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omments19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\\10.2.53.47\共享\1.月末预测 &amp; 月初分析 &amp; 分析PPT &amp; 降本增效\1.预测&amp;分析\2021\8月\分析\"/>
    </mc:Choice>
  </mc:AlternateContent>
  <xr:revisionPtr revIDLastSave="0" documentId="13_ncr:1_{7DE239CC-F992-4DB9-90EA-485A5BD9FFA5}" xr6:coauthVersionLast="47" xr6:coauthVersionMax="47" xr10:uidLastSave="{00000000-0000-0000-0000-000000000000}"/>
  <bookViews>
    <workbookView minimized="1" xWindow="2115" yWindow="2115" windowWidth="21600" windowHeight="11385" firstSheet="13" activeTab="16" xr2:uid="{00000000-000D-0000-FFFF-FFFF00000000}"/>
  </bookViews>
  <sheets>
    <sheet name="@预测#概况#" sheetId="1" r:id="rId1"/>
    <sheet name="@预测#利润分析#" sheetId="2" r:id="rId2"/>
    <sheet name="新价格" sheetId="3" r:id="rId3"/>
    <sheet name="@预测#利润建议# " sheetId="4" r:id="rId4"/>
    <sheet name="@预测#经营利润#" sheetId="5" r:id="rId5"/>
    <sheet name="@预测#收入利润#" sheetId="6" r:id="rId6"/>
    <sheet name="@预测#股份关联价（打印）" sheetId="7" r:id="rId7"/>
    <sheet name="#需填写" sheetId="8" r:id="rId8"/>
    <sheet name="#产量数据" sheetId="9" r:id="rId9"/>
    <sheet name="#产值" sheetId="10" r:id="rId10"/>
    <sheet name="#税金" sheetId="11" r:id="rId11"/>
    <sheet name="#子分公司分析" sheetId="12" r:id="rId12"/>
    <sheet name="#现金流 (新)" sheetId="13" r:id="rId13"/>
    <sheet name="#存货" sheetId="14" r:id="rId14"/>
    <sheet name="#销量数据" sheetId="15" r:id="rId15"/>
    <sheet name="#母公司报表" sheetId="16" r:id="rId16"/>
    <sheet name="#经营概况" sheetId="17" r:id="rId17"/>
    <sheet name="#经营利润" sheetId="18" r:id="rId18"/>
    <sheet name="#利润建议" sheetId="19" r:id="rId19"/>
    <sheet name="报宝武" sheetId="20" r:id="rId20"/>
    <sheet name="#分板块利润分析" sheetId="21" r:id="rId21"/>
    <sheet name="@分析#利润分析#" sheetId="22" r:id="rId22"/>
    <sheet name="钢铁分析" sheetId="23" r:id="rId23"/>
    <sheet name="钢材数据" sheetId="24" r:id="rId24"/>
    <sheet name="还原市场价格" sheetId="25" r:id="rId25"/>
    <sheet name="#利润因素分析（ppt）" sheetId="26" r:id="rId26"/>
    <sheet name="#采购&amp;股份关联" sheetId="27" r:id="rId27"/>
    <sheet name="Sheet1" sheetId="28" r:id="rId28"/>
    <sheet name="收入汇总（沈力）" sheetId="29" r:id="rId29"/>
    <sheet name="利润汇总（沈力)" sheetId="30" r:id="rId30"/>
    <sheet name="收入（汇总）" sheetId="31" r:id="rId31"/>
    <sheet name="#收入完成情况" sheetId="32" r:id="rId32"/>
    <sheet name="收入（关联）" sheetId="33" r:id="rId33"/>
    <sheet name="收入（外部）" sheetId="34" r:id="rId34"/>
    <sheet name="利润（汇总）" sheetId="35" r:id="rId35"/>
    <sheet name="画图" sheetId="36" r:id="rId36"/>
    <sheet name="#投资情况" sheetId="37" r:id="rId37"/>
    <sheet name="#投资收益" sheetId="38" r:id="rId38"/>
    <sheet name="矿产品购销" sheetId="39" r:id="rId39"/>
    <sheet name="产品质量" sheetId="40" r:id="rId40"/>
    <sheet name="@产量打印#概况" sheetId="41" r:id="rId41"/>
    <sheet name="@产量打印#矿产品" sheetId="42" r:id="rId42"/>
    <sheet name="@产量打印#不锈钢" sheetId="43" r:id="rId43"/>
    <sheet name="@产量打印#钢" sheetId="44" r:id="rId44"/>
    <sheet name="@产量打印#材" sheetId="45" r:id="rId45"/>
    <sheet name="304盈亏" sheetId="46" r:id="rId46"/>
  </sheets>
  <definedNames>
    <definedName name="_Hlk66891807" localSheetId="21">'@分析#利润分析#'!$F$20</definedName>
    <definedName name="_Hlk66977573" localSheetId="21">'@分析#利润分析#'!$F$13</definedName>
    <definedName name="_Hlk66983430" localSheetId="21">'@分析#利润分析#'!$F$12</definedName>
    <definedName name="_xlnm.Print_Area" localSheetId="16">'#经营概况'!$B$324:$O$377</definedName>
    <definedName name="_xlnm.Print_Area" localSheetId="17">'#经营利润'!$A$3:$BJ$46</definedName>
    <definedName name="_xlnm.Print_Area" localSheetId="25">'#利润因素分析（ppt）'!$F$2:$M$19</definedName>
    <definedName name="_xlnm.Print_Area" localSheetId="15">'#母公司报表'!$A$1:$P$68</definedName>
    <definedName name="_xlnm.Print_Area" localSheetId="42">'@产量打印#不锈钢'!$A$3:$K$42</definedName>
    <definedName name="_xlnm.Print_Area" localSheetId="44">'@产量打印#材'!$A$3:$K$35</definedName>
    <definedName name="_xlnm.Print_Area" localSheetId="40">'@产量打印#概况'!$A$4:$Q$30</definedName>
    <definedName name="_xlnm.Print_Area" localSheetId="43">'@产量打印#钢'!$A$3:$K$35</definedName>
    <definedName name="_xlnm.Print_Area" localSheetId="41">'@产量打印#矿产品'!$A$3:$K$46</definedName>
    <definedName name="_xlnm.Print_Area" localSheetId="0">'@预测#概况#'!$B$173:$O$196</definedName>
    <definedName name="_xlnm.Print_Area" localSheetId="6">'@预测#股份关联价（打印）'!$B$3:$K$22</definedName>
    <definedName name="_xlnm.Print_Area" localSheetId="27">Sheet1!$A$3:$AN$11</definedName>
    <definedName name="_xlnm.Print_Area" localSheetId="33">'收入（外部）'!$A$1:$AB$42</definedName>
    <definedName name="Z_014F367A_76F3_4C87_BC6E_9E1B9B2BDD74_.wvu.Cols" localSheetId="13" hidden="1">'#存货'!$G:$AN</definedName>
    <definedName name="Z_014F367A_76F3_4C87_BC6E_9E1B9B2BDD74_.wvu.Cols" localSheetId="5" hidden="1">'@预测#收入利润#'!$J:$K,'@预测#收入利润#'!$R:$S</definedName>
    <definedName name="Z_014F367A_76F3_4C87_BC6E_9E1B9B2BDD74_.wvu.PrintArea" localSheetId="17" hidden="1">'#经营利润'!$A$3:$BC$46</definedName>
    <definedName name="Z_014F367A_76F3_4C87_BC6E_9E1B9B2BDD74_.wvu.PrintArea" localSheetId="15" hidden="1">'#母公司报表'!$A$1:$P$68</definedName>
    <definedName name="Z_014F367A_76F3_4C87_BC6E_9E1B9B2BDD74_.wvu.PrintArea" localSheetId="42" hidden="1">'@产量打印#不锈钢'!$A$3:$K$42</definedName>
    <definedName name="Z_014F367A_76F3_4C87_BC6E_9E1B9B2BDD74_.wvu.PrintArea" localSheetId="44" hidden="1">'@产量打印#材'!$A$3:$K$35</definedName>
    <definedName name="Z_014F367A_76F3_4C87_BC6E_9E1B9B2BDD74_.wvu.PrintArea" localSheetId="40" hidden="1">'@产量打印#概况'!$A$4:$Q$30</definedName>
    <definedName name="Z_014F367A_76F3_4C87_BC6E_9E1B9B2BDD74_.wvu.PrintArea" localSheetId="43" hidden="1">'@产量打印#钢'!$A$3:$K$35</definedName>
    <definedName name="Z_014F367A_76F3_4C87_BC6E_9E1B9B2BDD74_.wvu.PrintArea" localSheetId="41" hidden="1">'@产量打印#矿产品'!$A$3:$K$46</definedName>
    <definedName name="Z_014F367A_76F3_4C87_BC6E_9E1B9B2BDD74_.wvu.Rows" localSheetId="13" hidden="1">'#存货'!$6:$6</definedName>
    <definedName name="Z_014F367A_76F3_4C87_BC6E_9E1B9B2BDD74_.wvu.Rows" localSheetId="17" hidden="1">'#经营利润'!$11:$11</definedName>
    <definedName name="Z_014F367A_76F3_4C87_BC6E_9E1B9B2BDD74_.wvu.Rows" localSheetId="4" hidden="1">'@预测#经营利润#'!#REF!,'@预测#经营利润#'!$35:$35,'@预测#经营利润#'!$29:$35,'@预测#经营利润#'!$25:$35,'@预测#经营利润#'!$27:$27,'@预测#经营利润#'!$40:$42</definedName>
    <definedName name="Z_014F367A_76F3_4C87_BC6E_9E1B9B2BDD74_.wvu.Rows" localSheetId="3" hidden="1">'@预测#利润建议# '!$11:$11,'@预测#利润建议# '!$21:$21,'@预测#利润建议# '!$18:$24</definedName>
    <definedName name="Z_07BDE1E5_3C01_4BFB_B6C9_A7B0244A4586_.wvu.Cols" localSheetId="13" hidden="1">'#存货'!$Q:$AB,'#存货'!$AD:$AE</definedName>
    <definedName name="Z_07BDE1E5_3C01_4BFB_B6C9_A7B0244A4586_.wvu.Cols" localSheetId="17" hidden="1">'#经营利润'!$D:$O</definedName>
    <definedName name="Z_07BDE1E5_3C01_4BFB_B6C9_A7B0244A4586_.wvu.Cols" localSheetId="18" hidden="1">'#利润建议'!$AF:$AN</definedName>
    <definedName name="Z_07BDE1E5_3C01_4BFB_B6C9_A7B0244A4586_.wvu.Cols" localSheetId="10" hidden="1">'#税金'!$B:$J,'#税金'!$L:$M,'#税金'!#REF!,'#税金'!$N:$U,'#税金'!$X:$Y</definedName>
    <definedName name="Z_07BDE1E5_3C01_4BFB_B6C9_A7B0244A4586_.wvu.Cols" localSheetId="12" hidden="1">'#现金流 (新)'!$F:$M,'#现金流 (新)'!$P:$Q</definedName>
    <definedName name="Z_07BDE1E5_3C01_4BFB_B6C9_A7B0244A4586_.wvu.Cols" localSheetId="34" hidden="1">'利润（汇总）'!$D:$L,'利润（汇总）'!$O:$P</definedName>
    <definedName name="Z_07BDE1E5_3C01_4BFB_B6C9_A7B0244A4586_.wvu.Cols" localSheetId="32" hidden="1">'收入（关联）'!$C:$K,'收入（关联）'!$N:$O</definedName>
    <definedName name="Z_07BDE1E5_3C01_4BFB_B6C9_A7B0244A4586_.wvu.Cols" localSheetId="30" hidden="1">'收入（汇总）'!$D:$L,'收入（汇总）'!$O:$P</definedName>
    <definedName name="Z_07C5EA8E_B4A6_4081_A20D_1442F86703B4_.wvu.Cols" localSheetId="13" hidden="1">'#存货'!$E:$G,'#存货'!$I:$J,'#存货'!$L:$M</definedName>
    <definedName name="Z_07C5EA8E_B4A6_4081_A20D_1442F86703B4_.wvu.Cols" localSheetId="17" hidden="1">'#经营利润'!$D:$K,'#经营利润'!$T:$AC</definedName>
    <definedName name="Z_07C5EA8E_B4A6_4081_A20D_1442F86703B4_.wvu.Cols" localSheetId="18" hidden="1">'#利润建议'!$B:$J,'#利润建议'!$W:$AN</definedName>
    <definedName name="Z_07C5EA8E_B4A6_4081_A20D_1442F86703B4_.wvu.Cols" localSheetId="15" hidden="1">'#母公司报表'!$K:$O,'#母公司报表'!$P:$P</definedName>
    <definedName name="Z_07C5EA8E_B4A6_4081_A20D_1442F86703B4_.wvu.Cols" localSheetId="10" hidden="1">'#税金'!$B:$D,'#税金'!$F:$M,'#税金'!#REF!,'#税金'!$N:$O,'#税金'!$R:$Y</definedName>
    <definedName name="Z_07C5EA8E_B4A6_4081_A20D_1442F86703B4_.wvu.Cols" localSheetId="12" hidden="1">'#现金流 (新)'!$C:$C,'#现金流 (新)'!$F:$H,'#现金流 (新)'!$K:$Q</definedName>
    <definedName name="Z_07C5EA8E_B4A6_4081_A20D_1442F86703B4_.wvu.Cols" localSheetId="14" hidden="1">'#销量数据'!$C:$H,'#销量数据'!$O:$AB</definedName>
    <definedName name="Z_07C5EA8E_B4A6_4081_A20D_1442F86703B4_.wvu.Cols" localSheetId="22" hidden="1">钢铁分析!$C:$E</definedName>
    <definedName name="Z_07C5EA8E_B4A6_4081_A20D_1442F86703B4_.wvu.Cols" localSheetId="34" hidden="1">'利润（汇总）'!$E:$I</definedName>
    <definedName name="Z_07C5EA8E_B4A6_4081_A20D_1442F86703B4_.wvu.Cols" localSheetId="32" hidden="1">'收入（关联）'!$D:$H</definedName>
    <definedName name="Z_07C5EA8E_B4A6_4081_A20D_1442F86703B4_.wvu.Cols" localSheetId="30" hidden="1">'收入（汇总）'!$E:$I</definedName>
    <definedName name="Z_07C5EA8E_B4A6_4081_A20D_1442F86703B4_.wvu.PrintArea" localSheetId="15" hidden="1">'#母公司报表'!$A$1:$P$68</definedName>
    <definedName name="Z_07C5EA8E_B4A6_4081_A20D_1442F86703B4_.wvu.Rows" localSheetId="13" hidden="1">'#存货'!$6:$6</definedName>
    <definedName name="Z_07C5EA8E_B4A6_4081_A20D_1442F86703B4_.wvu.Rows" localSheetId="17" hidden="1">'#经营利润'!#REF!,'#经营利润'!$35:$35,'#经营利润'!$29:$35,'#经营利润'!$27:$42</definedName>
    <definedName name="Z_07C5EA8E_B4A6_4081_A20D_1442F86703B4_.wvu.Rows" localSheetId="18" hidden="1">'#利润建议'!#REF!,'#利润建议'!$35:$35,'#利润建议'!$25:$35,'#利润建议'!$29:$42</definedName>
    <definedName name="Z_07C5EA8E_B4A6_4081_A20D_1442F86703B4_.wvu.Rows" localSheetId="15" hidden="1">'#母公司报表'!$115:$120</definedName>
    <definedName name="Z_08B6E424_80E7_4165_8D61_61449C1A0B17_.wvu.Cols" localSheetId="13" hidden="1">'#存货'!$E:$G,'#存货'!$I:$J,'#存货'!$L:$M</definedName>
    <definedName name="Z_08B6E424_80E7_4165_8D61_61449C1A0B17_.wvu.Cols" localSheetId="17" hidden="1">'#经营利润'!$D:$K,'#经营利润'!$T:$AC</definedName>
    <definedName name="Z_08B6E424_80E7_4165_8D61_61449C1A0B17_.wvu.Cols" localSheetId="18" hidden="1">'#利润建议'!$B:$J,'#利润建议'!$W:$AN</definedName>
    <definedName name="Z_08B6E424_80E7_4165_8D61_61449C1A0B17_.wvu.Cols" localSheetId="15" hidden="1">'#母公司报表'!$K:$O,'#母公司报表'!$P:$P</definedName>
    <definedName name="Z_08B6E424_80E7_4165_8D61_61449C1A0B17_.wvu.Cols" localSheetId="10" hidden="1">'#税金'!$B:$D,'#税金'!$F:$M,'#税金'!#REF!,'#税金'!$N:$O,'#税金'!$R:$Y</definedName>
    <definedName name="Z_08B6E424_80E7_4165_8D61_61449C1A0B17_.wvu.Cols" localSheetId="12" hidden="1">'#现金流 (新)'!$C:$C,'#现金流 (新)'!$F:$H,'#现金流 (新)'!$K:$Q</definedName>
    <definedName name="Z_08B6E424_80E7_4165_8D61_61449C1A0B17_.wvu.Cols" localSheetId="14" hidden="1">'#销量数据'!$C:$H,'#销量数据'!$O:$AB</definedName>
    <definedName name="Z_08B6E424_80E7_4165_8D61_61449C1A0B17_.wvu.Cols" localSheetId="22" hidden="1">钢铁分析!$C:$E</definedName>
    <definedName name="Z_08B6E424_80E7_4165_8D61_61449C1A0B17_.wvu.Cols" localSheetId="34" hidden="1">'利润（汇总）'!$E:$I</definedName>
    <definedName name="Z_08B6E424_80E7_4165_8D61_61449C1A0B17_.wvu.Cols" localSheetId="32" hidden="1">'收入（关联）'!$D:$H</definedName>
    <definedName name="Z_08B6E424_80E7_4165_8D61_61449C1A0B17_.wvu.Cols" localSheetId="30" hidden="1">'收入（汇总）'!$E:$I</definedName>
    <definedName name="Z_08B6E424_80E7_4165_8D61_61449C1A0B17_.wvu.PrintArea" localSheetId="15" hidden="1">'#母公司报表'!$A$1:$P$68</definedName>
    <definedName name="Z_08B6E424_80E7_4165_8D61_61449C1A0B17_.wvu.Rows" localSheetId="13" hidden="1">'#存货'!$6:$6</definedName>
    <definedName name="Z_08B6E424_80E7_4165_8D61_61449C1A0B17_.wvu.Rows" localSheetId="17" hidden="1">'#经营利润'!#REF!,'#经营利润'!$35:$35,'#经营利润'!$29:$35,'#经营利润'!$27:$42</definedName>
    <definedName name="Z_08B6E424_80E7_4165_8D61_61449C1A0B17_.wvu.Rows" localSheetId="18" hidden="1">'#利润建议'!#REF!,'#利润建议'!$35:$35,'#利润建议'!$25:$35,'#利润建议'!$29:$42</definedName>
    <definedName name="Z_08B6E424_80E7_4165_8D61_61449C1A0B17_.wvu.Rows" localSheetId="15" hidden="1">'#母公司报表'!$115:$120</definedName>
    <definedName name="Z_0939EF0F_630F_4187_AC51_2730E1AE6705_.wvu.Cols" localSheetId="13" hidden="1">'#存货'!$E:$Y,'#存货'!$AA:$AB</definedName>
    <definedName name="Z_0939EF0F_630F_4187_AC51_2730E1AE6705_.wvu.Cols" localSheetId="17" hidden="1">'#经营利润'!$D:$S,'#经营利润'!$X:$AC</definedName>
    <definedName name="Z_0939EF0F_630F_4187_AC51_2730E1AE6705_.wvu.Cols" localSheetId="18" hidden="1">'#利润建议'!$B:$Y,'#利润建议'!$AF:$AN</definedName>
    <definedName name="Z_0939EF0F_630F_4187_AC51_2730E1AE6705_.wvu.Cols" localSheetId="15" hidden="1">'#母公司报表'!$P:$P</definedName>
    <definedName name="Z_0939EF0F_630F_4187_AC51_2730E1AE6705_.wvu.Cols" localSheetId="10" hidden="1">'#税金'!$B:$H,'#税金'!$J:$M,'#税金'!#REF!,'#税金'!$N:$S,'#税金'!$V:$Y</definedName>
    <definedName name="Z_0939EF0F_630F_4187_AC51_2730E1AE6705_.wvu.Cols" localSheetId="12" hidden="1">'#现金流 (新)'!$C:$C,'#现金流 (新)'!$F:$L,'#现金流 (新)'!$O:$Q</definedName>
    <definedName name="Z_0939EF0F_630F_4187_AC51_2730E1AE6705_.wvu.Cols" localSheetId="14" hidden="1">'#销量数据'!$C:$R,'#销量数据'!$W:$AB</definedName>
    <definedName name="Z_0939EF0F_630F_4187_AC51_2730E1AE6705_.wvu.Cols" localSheetId="22" hidden="1">钢铁分析!$C:$E</definedName>
    <definedName name="Z_0939EF0F_630F_4187_AC51_2730E1AE6705_.wvu.Cols" localSheetId="34" hidden="1">'利润（汇总）'!$D:$L,'利润（汇总）'!$N:$P</definedName>
    <definedName name="Z_0939EF0F_630F_4187_AC51_2730E1AE6705_.wvu.Cols" localSheetId="32" hidden="1">'收入（关联）'!$C:$K,'收入（关联）'!$M:$O</definedName>
    <definedName name="Z_0939EF0F_630F_4187_AC51_2730E1AE6705_.wvu.Cols" localSheetId="30" hidden="1">'收入（汇总）'!$D:$L,'收入（汇总）'!$N:$P</definedName>
    <definedName name="Z_0939EF0F_630F_4187_AC51_2730E1AE6705_.wvu.PrintArea" localSheetId="15" hidden="1">'#母公司报表'!$A$1:$P$68</definedName>
    <definedName name="Z_0939EF0F_630F_4187_AC51_2730E1AE6705_.wvu.Rows" localSheetId="13" hidden="1">'#存货'!$6:$6</definedName>
    <definedName name="Z_0939EF0F_630F_4187_AC51_2730E1AE6705_.wvu.Rows" localSheetId="17" hidden="1">'#经营利润'!$11:$11,'#经营利润'!$35:$35,'#经营利润'!$29:$35,'#经营利润'!$40:$42</definedName>
    <definedName name="Z_0939EF0F_630F_4187_AC51_2730E1AE6705_.wvu.Rows" localSheetId="18" hidden="1">'#利润建议'!$11:$11,'#利润建议'!$35:$35,'#利润建议'!$25:$35,'#利润建议'!$40:$42</definedName>
    <definedName name="Z_0939EF0F_630F_4187_AC51_2730E1AE6705_.wvu.Rows" localSheetId="15" hidden="1">'#母公司报表'!$115:$120</definedName>
    <definedName name="Z_0939EF0F_630F_4187_AC51_2730E1AE6705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0A12A584_F332_4000_BDA6_011E20E11458_.wvu.Cols" localSheetId="13" hidden="1">'#存货'!$Q:$AB,'#存货'!$AD:$AE,'#存货'!$AG:$AH</definedName>
    <definedName name="Z_0A12A584_F332_4000_BDA6_011E20E11458_.wvu.Cols" localSheetId="10" hidden="1">'#税金'!$C:$L,'#税金'!#REF!,'#税金'!$O:$Y</definedName>
    <definedName name="Z_0A12A584_F332_4000_BDA6_011E20E11458_.wvu.Cols" localSheetId="12" hidden="1">'#现金流 (新)'!$P:$Q</definedName>
    <definedName name="Z_0A12A584_F332_4000_BDA6_011E20E11458_.wvu.Cols" localSheetId="39" hidden="1">产品质量!$E:$M</definedName>
    <definedName name="Z_0A65E571_0485_43E9_B080_1BCAB8487E78_.wvu.Cols" localSheetId="13" hidden="1">'#存货'!$G:$AN</definedName>
    <definedName name="Z_0A65E571_0485_43E9_B080_1BCAB8487E78_.wvu.Cols" localSheetId="17" hidden="1">'#经营利润'!$H:$AC</definedName>
    <definedName name="Z_0A65E571_0485_43E9_B080_1BCAB8487E78_.wvu.Cols" localSheetId="18" hidden="1">'#利润建议'!$H:$AN</definedName>
    <definedName name="Z_0A65E571_0485_43E9_B080_1BCAB8487E78_.wvu.Cols" localSheetId="12" hidden="1">'#现金流 (新)'!$G:$Q</definedName>
    <definedName name="Z_0A65E571_0485_43E9_B080_1BCAB8487E78_.wvu.Cols" localSheetId="5" hidden="1">'@预测#收入利润#'!$R:$S</definedName>
    <definedName name="Z_0A65E571_0485_43E9_B080_1BCAB8487E78_.wvu.PrintArea" localSheetId="17" hidden="1">'#经营利润'!$A$3:$BC$46</definedName>
    <definedName name="Z_0A65E571_0485_43E9_B080_1BCAB8487E78_.wvu.PrintArea" localSheetId="15" hidden="1">'#母公司报表'!$A$1:$P$68</definedName>
    <definedName name="Z_0A65E571_0485_43E9_B080_1BCAB8487E78_.wvu.PrintArea" localSheetId="42" hidden="1">'@产量打印#不锈钢'!$A$3:$K$42</definedName>
    <definedName name="Z_0A65E571_0485_43E9_B080_1BCAB8487E78_.wvu.PrintArea" localSheetId="44" hidden="1">'@产量打印#材'!$A$3:$K$35</definedName>
    <definedName name="Z_0A65E571_0485_43E9_B080_1BCAB8487E78_.wvu.PrintArea" localSheetId="40" hidden="1">'@产量打印#概况'!$A$4:$Q$30</definedName>
    <definedName name="Z_0A65E571_0485_43E9_B080_1BCAB8487E78_.wvu.PrintArea" localSheetId="43" hidden="1">'@产量打印#钢'!$A$3:$K$35</definedName>
    <definedName name="Z_0A65E571_0485_43E9_B080_1BCAB8487E78_.wvu.PrintArea" localSheetId="41" hidden="1">'@产量打印#矿产品'!$A$3:$K$46</definedName>
    <definedName name="Z_0A65E571_0485_43E9_B080_1BCAB8487E78_.wvu.Rows" localSheetId="13" hidden="1">'#存货'!$6:$6</definedName>
    <definedName name="Z_0A65E571_0485_43E9_B080_1BCAB8487E78_.wvu.Rows" localSheetId="20" hidden="1">'#分板块利润分析'!$70:$72</definedName>
    <definedName name="Z_0A65E571_0485_43E9_B080_1BCAB8487E78_.wvu.Rows" localSheetId="17" hidden="1">'#经营利润'!$11:$11</definedName>
    <definedName name="Z_0A65E571_0485_43E9_B080_1BCAB8487E78_.wvu.Rows" localSheetId="4" hidden="1">'@预测#经营利润#'!#REF!,'@预测#经营利润#'!$35:$35,'@预测#经营利润#'!$29:$35,'@预测#经营利润#'!$25:$35</definedName>
    <definedName name="Z_0A65E571_0485_43E9_B080_1BCAB8487E78_.wvu.Rows" localSheetId="3" hidden="1">'@预测#利润建议# '!$11:$11,'@预测#利润建议# '!$21:$21,'@预测#利润建议# '!$18:$24</definedName>
    <definedName name="Z_0AE8CEBD_B789_44D4_BF2A_088C49338895_.wvu.Cols" localSheetId="13" hidden="1">'#存货'!$G:$AN</definedName>
    <definedName name="Z_0AE8CEBD_B789_44D4_BF2A_088C49338895_.wvu.Cols" localSheetId="20" hidden="1">'#分板块利润分析'!$F:$F,'#分板块利润分析'!$H:$H,'#分板块利润分析'!$J:$J,'#分板块利润分析'!$Q:$Q,'#分板块利润分析'!$T:$T</definedName>
    <definedName name="Z_0AE8CEBD_B789_44D4_BF2A_088C49338895_.wvu.Cols" localSheetId="17" hidden="1">'#经营利润'!$H:$AC</definedName>
    <definedName name="Z_0AE8CEBD_B789_44D4_BF2A_088C49338895_.wvu.Cols" localSheetId="18" hidden="1">'#利润建议'!$H:$AN</definedName>
    <definedName name="Z_0AE8CEBD_B789_44D4_BF2A_088C49338895_.wvu.Cols" localSheetId="12" hidden="1">'#现金流 (新)'!$G:$Q</definedName>
    <definedName name="Z_0AE8CEBD_B789_44D4_BF2A_088C49338895_.wvu.Cols" localSheetId="5" hidden="1">'@预测#收入利润#'!$R:$S</definedName>
    <definedName name="Z_0AE8CEBD_B789_44D4_BF2A_088C49338895_.wvu.PrintArea" localSheetId="17" hidden="1">'#经营利润'!$A$3:$BC$46</definedName>
    <definedName name="Z_0AE8CEBD_B789_44D4_BF2A_088C49338895_.wvu.PrintArea" localSheetId="15" hidden="1">'#母公司报表'!$A$1:$P$68</definedName>
    <definedName name="Z_0AE8CEBD_B789_44D4_BF2A_088C49338895_.wvu.PrintArea" localSheetId="42" hidden="1">'@产量打印#不锈钢'!$A$3:$K$42</definedName>
    <definedName name="Z_0AE8CEBD_B789_44D4_BF2A_088C49338895_.wvu.PrintArea" localSheetId="44" hidden="1">'@产量打印#材'!$A$3:$K$35</definedName>
    <definedName name="Z_0AE8CEBD_B789_44D4_BF2A_088C49338895_.wvu.PrintArea" localSheetId="40" hidden="1">'@产量打印#概况'!$A$4:$Q$30</definedName>
    <definedName name="Z_0AE8CEBD_B789_44D4_BF2A_088C49338895_.wvu.PrintArea" localSheetId="43" hidden="1">'@产量打印#钢'!$A$3:$K$35</definedName>
    <definedName name="Z_0AE8CEBD_B789_44D4_BF2A_088C49338895_.wvu.PrintArea" localSheetId="41" hidden="1">'@产量打印#矿产品'!$A$3:$K$46</definedName>
    <definedName name="Z_0AE8CEBD_B789_44D4_BF2A_088C49338895_.wvu.Rows" localSheetId="13" hidden="1">'#存货'!$6:$6</definedName>
    <definedName name="Z_0AE8CEBD_B789_44D4_BF2A_088C49338895_.wvu.Rows" localSheetId="20" hidden="1">'#分板块利润分析'!$70:$72,'#分板块利润分析'!$80:$81</definedName>
    <definedName name="Z_0AE8CEBD_B789_44D4_BF2A_088C49338895_.wvu.Rows" localSheetId="17" hidden="1">'#经营利润'!$11:$11,'#经营利润'!$35:$35,'#经营利润'!$29:$35,'#经营利润'!$25:$35,'#经营利润'!$27:$36,'#经营利润'!$40:$42</definedName>
    <definedName name="Z_0AE8CEBD_B789_44D4_BF2A_088C49338895_.wvu.Rows" localSheetId="18" hidden="1">'#利润建议'!$11:$11,'#利润建议'!$35:$35,'#利润建议'!$25:$35,'#利润建议'!$27:$35,'#利润建议'!$29:$36,'#利润建议'!$40:$42</definedName>
    <definedName name="Z_0AE8CEBD_B789_44D4_BF2A_088C49338895_.wvu.Rows" localSheetId="11" hidden="1">'#子分公司分析'!$4:$5,'#子分公司分析'!$9:$9,'#子分公司分析'!$15:$15,'#子分公司分析'!$22:$22,'#子分公司分析'!$29:$29</definedName>
    <definedName name="Z_0AE8CEBD_B789_44D4_BF2A_088C49338895_.wvu.Rows" localSheetId="4" hidden="1">'@预测#经营利润#'!#REF!,'@预测#经营利润#'!$35:$35,'@预测#经营利润#'!$29:$35,'@预测#经营利润#'!$25:$35</definedName>
    <definedName name="Z_0AE8CEBD_B789_44D4_BF2A_088C49338895_.wvu.Rows" localSheetId="3" hidden="1">'@预测#利润建议# '!$11:$11,'@预测#利润建议# '!$21:$21,'@预测#利润建议# '!$18:$24</definedName>
    <definedName name="Z_0C89DAB9_7D08_4E38_8B2F_4F1A1E7E4B72_.wvu.Cols" localSheetId="13" hidden="1">'#存货'!$E:$AB,'#存货'!$AD:$AE</definedName>
    <definedName name="Z_0C89DAB9_7D08_4E38_8B2F_4F1A1E7E4B72_.wvu.Cols" localSheetId="17" hidden="1">'#经营利润'!$D:$U,'#经营利润'!$Z:$AC</definedName>
    <definedName name="Z_0C89DAB9_7D08_4E38_8B2F_4F1A1E7E4B72_.wvu.Cols" localSheetId="18" hidden="1">'#利润建议'!$B:$AB,'#利润建议'!$AI:$AN</definedName>
    <definedName name="Z_0C89DAB9_7D08_4E38_8B2F_4F1A1E7E4B72_.wvu.Cols" localSheetId="15" hidden="1">'#母公司报表'!$P:$P</definedName>
    <definedName name="Z_0C89DAB9_7D08_4E38_8B2F_4F1A1E7E4B72_.wvu.Cols" localSheetId="10" hidden="1">'#税金'!$B:$J,'#税金'!$L:$M,'#税金'!#REF!,'#税金'!$N:$U,'#税金'!$X:$Y</definedName>
    <definedName name="Z_0C89DAB9_7D08_4E38_8B2F_4F1A1E7E4B72_.wvu.Cols" localSheetId="12" hidden="1">'#现金流 (新)'!$C:$C,'#现金流 (新)'!$F:$M,'#现金流 (新)'!$P:$Q</definedName>
    <definedName name="Z_0C89DAB9_7D08_4E38_8B2F_4F1A1E7E4B72_.wvu.Cols" localSheetId="14" hidden="1">'#销量数据'!$C:$T,'#销量数据'!$Y:$AB</definedName>
    <definedName name="Z_0C89DAB9_7D08_4E38_8B2F_4F1A1E7E4B72_.wvu.Cols" localSheetId="22" hidden="1">钢铁分析!$C:$E</definedName>
    <definedName name="Z_0C89DAB9_7D08_4E38_8B2F_4F1A1E7E4B72_.wvu.Cols" localSheetId="34" hidden="1">'利润（汇总）'!$D:$L</definedName>
    <definedName name="Z_0C89DAB9_7D08_4E38_8B2F_4F1A1E7E4B72_.wvu.Cols" localSheetId="32" hidden="1">'收入（关联）'!$C:$K</definedName>
    <definedName name="Z_0C89DAB9_7D08_4E38_8B2F_4F1A1E7E4B72_.wvu.Cols" localSheetId="30" hidden="1">'收入（汇总）'!$D:$L</definedName>
    <definedName name="Z_0C89DAB9_7D08_4E38_8B2F_4F1A1E7E4B72_.wvu.PrintArea" localSheetId="15" hidden="1">'#母公司报表'!$A$1:$P$68</definedName>
    <definedName name="Z_0C89DAB9_7D08_4E38_8B2F_4F1A1E7E4B72_.wvu.Rows" localSheetId="13" hidden="1">'#存货'!$6:$6</definedName>
    <definedName name="Z_0C89DAB9_7D08_4E38_8B2F_4F1A1E7E4B72_.wvu.Rows" localSheetId="17" hidden="1">'#经营利润'!$11:$11,'#经营利润'!$35:$35,'#经营利润'!$29:$35,'#经营利润'!$40:$42</definedName>
    <definedName name="Z_0C89DAB9_7D08_4E38_8B2F_4F1A1E7E4B72_.wvu.Rows" localSheetId="18" hidden="1">'#利润建议'!$11:$11,'#利润建议'!$35:$35,'#利润建议'!$25:$35,'#利润建议'!$40:$42</definedName>
    <definedName name="Z_0C89DAB9_7D08_4E38_8B2F_4F1A1E7E4B72_.wvu.Rows" localSheetId="15" hidden="1">'#母公司报表'!$115:$120</definedName>
    <definedName name="Z_0C89DAB9_7D08_4E38_8B2F_4F1A1E7E4B72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0D719F6E_EE33_4D65_A23E_030320BB853A_.wvu.Cols" localSheetId="13" hidden="1">'#存货'!$V:$Y,'#存货'!$AA:$AB,'#存货'!$AD:$AE</definedName>
    <definedName name="Z_0D719F6E_EE33_4D65_A23E_030320BB853A_.wvu.Cols" localSheetId="17" hidden="1">'#经营利润'!$D:$Y</definedName>
    <definedName name="Z_0D719F6E_EE33_4D65_A23E_030320BB853A_.wvu.Cols" localSheetId="18" hidden="1">'#利润建议'!$B:$AE</definedName>
    <definedName name="Z_0D719F6E_EE33_4D65_A23E_030320BB853A_.wvu.Cols" localSheetId="15" hidden="1">'#母公司报表'!$D:$F,'#母公司报表'!$P:$P</definedName>
    <definedName name="Z_0D719F6E_EE33_4D65_A23E_030320BB853A_.wvu.Cols" localSheetId="10" hidden="1">'#税金'!$B:$L,'#税金'!#REF!,'#税金'!$N:$W</definedName>
    <definedName name="Z_0D719F6E_EE33_4D65_A23E_030320BB853A_.wvu.Cols" localSheetId="12" hidden="1">'#现金流 (新)'!$F:$O</definedName>
    <definedName name="Z_0D719F6E_EE33_4D65_A23E_030320BB853A_.wvu.Cols" localSheetId="14" hidden="1">'#销量数据'!$O:$T</definedName>
    <definedName name="Z_0D719F6E_EE33_4D65_A23E_030320BB853A_.wvu.Cols" localSheetId="39" hidden="1">产品质量!$D:$K</definedName>
    <definedName name="Z_0D719F6E_EE33_4D65_A23E_030320BB853A_.wvu.Cols" localSheetId="34" hidden="1">'利润（汇总）'!$C:$N</definedName>
    <definedName name="Z_0D719F6E_EE33_4D65_A23E_030320BB853A_.wvu.Cols" localSheetId="32" hidden="1">'收入（关联）'!$B:$M</definedName>
    <definedName name="Z_0D719F6E_EE33_4D65_A23E_030320BB853A_.wvu.Cols" localSheetId="30" hidden="1">'收入（汇总）'!$C:$N</definedName>
    <definedName name="Z_0D719F6E_EE33_4D65_A23E_030320BB853A_.wvu.PrintArea" localSheetId="18" hidden="1">'#利润建议'!$A$1:$CA$35</definedName>
    <definedName name="Z_0D719F6E_EE33_4D65_A23E_030320BB853A_.wvu.PrintArea" localSheetId="15" hidden="1">'#母公司报表'!$A$1:$P$68</definedName>
    <definedName name="Z_0D719F6E_EE33_4D65_A23E_030320BB853A_.wvu.Rows" localSheetId="13" hidden="1">'#存货'!$6:$6,'#存货'!$13:$13,'#存货'!#REF!,'#存货'!$16:$16,'#存货'!#REF!,'#存货'!#REF!,'#存货'!#REF!</definedName>
    <definedName name="Z_0D719F6E_EE33_4D65_A23E_030320BB853A_.wvu.Rows" localSheetId="15" hidden="1">'#母公司报表'!$115:$120</definedName>
    <definedName name="Z_0D719F6E_EE33_4D65_A23E_030320BB853A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0E461394_5926_4EA4_BA34_456CF3BFA19C_.wvu.Cols" localSheetId="13" hidden="1">'#存货'!$E:$Y,'#存货'!$AA:$AB</definedName>
    <definedName name="Z_0E461394_5926_4EA4_BA34_456CF3BFA19C_.wvu.Cols" localSheetId="17" hidden="1">'#经营利润'!$D:$S,'#经营利润'!$X:$AC</definedName>
    <definedName name="Z_0E461394_5926_4EA4_BA34_456CF3BFA19C_.wvu.Cols" localSheetId="18" hidden="1">'#利润建议'!$B:$Y,'#利润建议'!$AF:$AN</definedName>
    <definedName name="Z_0E461394_5926_4EA4_BA34_456CF3BFA19C_.wvu.Cols" localSheetId="15" hidden="1">'#母公司报表'!$P:$P</definedName>
    <definedName name="Z_0E461394_5926_4EA4_BA34_456CF3BFA19C_.wvu.Cols" localSheetId="10" hidden="1">'#税金'!$B:$I,'#税金'!$K:$M,'#税金'!#REF!,'#税金'!$N:$T,'#税金'!$W:$Y</definedName>
    <definedName name="Z_0E461394_5926_4EA4_BA34_456CF3BFA19C_.wvu.Cols" localSheetId="12" hidden="1">'#现金流 (新)'!$C:$C,'#现金流 (新)'!$F:$L,'#现金流 (新)'!$O:$Q</definedName>
    <definedName name="Z_0E461394_5926_4EA4_BA34_456CF3BFA19C_.wvu.Cols" localSheetId="14" hidden="1">'#销量数据'!$C:$R,'#销量数据'!$W:$AB</definedName>
    <definedName name="Z_0E461394_5926_4EA4_BA34_456CF3BFA19C_.wvu.Cols" localSheetId="22" hidden="1">钢铁分析!$C:$E</definedName>
    <definedName name="Z_0E461394_5926_4EA4_BA34_456CF3BFA19C_.wvu.Cols" localSheetId="34" hidden="1">'利润（汇总）'!$D:$L,'利润（汇总）'!$N:$P</definedName>
    <definedName name="Z_0E461394_5926_4EA4_BA34_456CF3BFA19C_.wvu.Cols" localSheetId="32" hidden="1">'收入（关联）'!$C:$K,'收入（关联）'!$M:$O</definedName>
    <definedName name="Z_0E461394_5926_4EA4_BA34_456CF3BFA19C_.wvu.Cols" localSheetId="30" hidden="1">'收入（汇总）'!$D:$L,'收入（汇总）'!$N:$P</definedName>
    <definedName name="Z_0E461394_5926_4EA4_BA34_456CF3BFA19C_.wvu.PrintArea" localSheetId="15" hidden="1">'#母公司报表'!$A$1:$P$68</definedName>
    <definedName name="Z_0E461394_5926_4EA4_BA34_456CF3BFA19C_.wvu.Rows" localSheetId="13" hidden="1">'#存货'!$6:$6</definedName>
    <definedName name="Z_0E461394_5926_4EA4_BA34_456CF3BFA19C_.wvu.Rows" localSheetId="17" hidden="1">'#经营利润'!$11:$11,'#经营利润'!$35:$35,'#经营利润'!$29:$35,'#经营利润'!$40:$42</definedName>
    <definedName name="Z_0E461394_5926_4EA4_BA34_456CF3BFA19C_.wvu.Rows" localSheetId="18" hidden="1">'#利润建议'!$11:$11,'#利润建议'!$35:$35,'#利润建议'!$25:$35,'#利润建议'!$40:$42</definedName>
    <definedName name="Z_0E461394_5926_4EA4_BA34_456CF3BFA19C_.wvu.Rows" localSheetId="15" hidden="1">'#母公司报表'!$115:$120</definedName>
    <definedName name="Z_0E461394_5926_4EA4_BA34_456CF3BFA19C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10CB4F07_02A9_4EDA_AF4D_E477DB0971A0_.wvu.Cols" localSheetId="13" hidden="1">'#存货'!$E:$G,'#存货'!$I:$J,'#存货'!$L:$M</definedName>
    <definedName name="Z_10CB4F07_02A9_4EDA_AF4D_E477DB0971A0_.wvu.Cols" localSheetId="17" hidden="1">'#经营利润'!$D:$K,'#经营利润'!$R:$AC</definedName>
    <definedName name="Z_10CB4F07_02A9_4EDA_AF4D_E477DB0971A0_.wvu.Cols" localSheetId="18" hidden="1">'#利润建议'!$B:$J,'#利润建议'!$W:$AN</definedName>
    <definedName name="Z_10CB4F07_02A9_4EDA_AF4D_E477DB0971A0_.wvu.Cols" localSheetId="15" hidden="1">'#母公司报表'!$J:$O,'#母公司报表'!$P:$P</definedName>
    <definedName name="Z_10CB4F07_02A9_4EDA_AF4D_E477DB0971A0_.wvu.Cols" localSheetId="10" hidden="1">'#税金'!$B:$D,'#税金'!$F:$M,'#税金'!#REF!,'#税金'!$N:$O,'#税金'!$R:$Y</definedName>
    <definedName name="Z_10CB4F07_02A9_4EDA_AF4D_E477DB0971A0_.wvu.Cols" localSheetId="12" hidden="1">'#现金流 (新)'!$C:$C,'#现金流 (新)'!$F:$H,'#现金流 (新)'!$K:$Q</definedName>
    <definedName name="Z_10CB4F07_02A9_4EDA_AF4D_E477DB0971A0_.wvu.Cols" localSheetId="14" hidden="1">'#销量数据'!$C:$H,'#销量数据'!$O:$AB</definedName>
    <definedName name="Z_10CB4F07_02A9_4EDA_AF4D_E477DB0971A0_.wvu.Cols" localSheetId="22" hidden="1">钢铁分析!$C:$E</definedName>
    <definedName name="Z_10CB4F07_02A9_4EDA_AF4D_E477DB0971A0_.wvu.PrintArea" localSheetId="15" hidden="1">'#母公司报表'!$A$1:$P$68</definedName>
    <definedName name="Z_10CB4F07_02A9_4EDA_AF4D_E477DB0971A0_.wvu.Rows" localSheetId="13" hidden="1">'#存货'!$6:$6</definedName>
    <definedName name="Z_10CB4F07_02A9_4EDA_AF4D_E477DB0971A0_.wvu.Rows" localSheetId="17" hidden="1">'#经营利润'!#REF!,'#经营利润'!$35:$35,'#经营利润'!$29:$35,'#经营利润'!$27:$42</definedName>
    <definedName name="Z_10CB4F07_02A9_4EDA_AF4D_E477DB0971A0_.wvu.Rows" localSheetId="18" hidden="1">'#利润建议'!#REF!,'#利润建议'!$35:$35,'#利润建议'!$25:$35,'#利润建议'!$29:$42</definedName>
    <definedName name="Z_10CB4F07_02A9_4EDA_AF4D_E477DB0971A0_.wvu.Rows" localSheetId="15" hidden="1">'#母公司报表'!$115:$120</definedName>
    <definedName name="Z_11A69670_36C9_425C_9026_E9DC1EC47E74_.wvu.Cols" localSheetId="13" hidden="1">'#存货'!$V:$Y,'#存货'!$AA:$AB,'#存货'!$AD:$AE</definedName>
    <definedName name="Z_11A69670_36C9_425C_9026_E9DC1EC47E74_.wvu.Cols" localSheetId="17" hidden="1">'#经营利润'!$D:$U,'#经营利润'!$AB:$AC</definedName>
    <definedName name="Z_11A69670_36C9_425C_9026_E9DC1EC47E74_.wvu.Cols" localSheetId="18" hidden="1">'#利润建议'!$B:$AE</definedName>
    <definedName name="Z_11A69670_36C9_425C_9026_E9DC1EC47E74_.wvu.Cols" localSheetId="15" hidden="1">'#母公司报表'!$D:$F,'#母公司报表'!$P:$P</definedName>
    <definedName name="Z_11A69670_36C9_425C_9026_E9DC1EC47E74_.wvu.Cols" localSheetId="10" hidden="1">'#税金'!$B:$K,'#税金'!$M:$M,'#税金'!#REF!,'#税金'!$N:$V,'#税金'!$Y:$Y</definedName>
    <definedName name="Z_11A69670_36C9_425C_9026_E9DC1EC47E74_.wvu.Cols" localSheetId="12" hidden="1">'#现金流 (新)'!$F:$M,'#现金流 (新)'!$P:$Q</definedName>
    <definedName name="Z_11A69670_36C9_425C_9026_E9DC1EC47E74_.wvu.Cols" localSheetId="14" hidden="1">'#销量数据'!$O:$T,'#销量数据'!$Y:$AB</definedName>
    <definedName name="Z_11A69670_36C9_425C_9026_E9DC1EC47E74_.wvu.Cols" localSheetId="39" hidden="1">产品质量!$D:$K,产品质量!$O:$P</definedName>
    <definedName name="Z_11A69670_36C9_425C_9026_E9DC1EC47E74_.wvu.Cols" localSheetId="34" hidden="1">'利润（汇总）'!$C:$M,'利润（汇总）'!$P:$P</definedName>
    <definedName name="Z_11A69670_36C9_425C_9026_E9DC1EC47E74_.wvu.Cols" localSheetId="32" hidden="1">'收入（关联）'!$B:$L,'收入（关联）'!$O:$O</definedName>
    <definedName name="Z_11A69670_36C9_425C_9026_E9DC1EC47E74_.wvu.Cols" localSheetId="30" hidden="1">'收入（汇总）'!$C:$M,'收入（汇总）'!$P:$P</definedName>
    <definedName name="Z_11A69670_36C9_425C_9026_E9DC1EC47E74_.wvu.PrintArea" localSheetId="18" hidden="1">'#利润建议'!$A$1:$CA$35</definedName>
    <definedName name="Z_11A69670_36C9_425C_9026_E9DC1EC47E74_.wvu.PrintArea" localSheetId="15" hidden="1">'#母公司报表'!$A$1:$P$68</definedName>
    <definedName name="Z_11A69670_36C9_425C_9026_E9DC1EC47E74_.wvu.Rows" localSheetId="13" hidden="1">'#存货'!$6:$6,'#存货'!$13:$13,'#存货'!#REF!,'#存货'!$16:$16,'#存货'!#REF!,'#存货'!#REF!,'#存货'!#REF!</definedName>
    <definedName name="Z_11A69670_36C9_425C_9026_E9DC1EC47E74_.wvu.Rows" localSheetId="17" hidden="1">'#经营利润'!$11:$11</definedName>
    <definedName name="Z_11A69670_36C9_425C_9026_E9DC1EC47E74_.wvu.Rows" localSheetId="15" hidden="1">'#母公司报表'!$115:$120</definedName>
    <definedName name="Z_11A69670_36C9_425C_9026_E9DC1EC47E74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120E0493_3E39_4701_8F05_17ABBE64FD3D_.wvu.Cols" localSheetId="13" hidden="1">'#存货'!$E:$S,'#存货'!$U:$V</definedName>
    <definedName name="Z_120E0493_3E39_4701_8F05_17ABBE64FD3D_.wvu.Cols" localSheetId="17" hidden="1">'#经营利润'!$D:$Q,'#经营利润'!$V:$AC</definedName>
    <definedName name="Z_120E0493_3E39_4701_8F05_17ABBE64FD3D_.wvu.Cols" localSheetId="18" hidden="1">'#利润建议'!$B:$S,'#利润建议'!$Z:$AN</definedName>
    <definedName name="Z_120E0493_3E39_4701_8F05_17ABBE64FD3D_.wvu.Cols" localSheetId="15" hidden="1">'#母公司报表'!$L:$O,'#母公司报表'!$P:$P</definedName>
    <definedName name="Z_120E0493_3E39_4701_8F05_17ABBE64FD3D_.wvu.Cols" localSheetId="10" hidden="1">'#税金'!$B:$H,'#税金'!$J:$M,'#税金'!#REF!,'#税金'!$N:$S,'#税金'!$V:$Y</definedName>
    <definedName name="Z_120E0493_3E39_4701_8F05_17ABBE64FD3D_.wvu.Cols" localSheetId="12" hidden="1">'#现金流 (新)'!$C:$C,'#现金流 (新)'!$F:$K,'#现金流 (新)'!$N:$Q</definedName>
    <definedName name="Z_120E0493_3E39_4701_8F05_17ABBE64FD3D_.wvu.Cols" localSheetId="14" hidden="1">'#销量数据'!$C:$N,'#销量数据'!$U:$AB</definedName>
    <definedName name="Z_120E0493_3E39_4701_8F05_17ABBE64FD3D_.wvu.Cols" localSheetId="39" hidden="1">产品质量!$E:$G,产品质量!$M:$P</definedName>
    <definedName name="Z_120E0493_3E39_4701_8F05_17ABBE64FD3D_.wvu.Cols" localSheetId="34" hidden="1">'利润（汇总）'!$C:$J,'利润（汇总）'!$M:$P</definedName>
    <definedName name="Z_120E0493_3E39_4701_8F05_17ABBE64FD3D_.wvu.Cols" localSheetId="32" hidden="1">'收入（关联）'!$B:$I,'收入（关联）'!$L:$O</definedName>
    <definedName name="Z_120E0493_3E39_4701_8F05_17ABBE64FD3D_.wvu.Cols" localSheetId="30" hidden="1">'收入（汇总）'!$C:$J,'收入（汇总）'!$M:$P</definedName>
    <definedName name="Z_120E0493_3E39_4701_8F05_17ABBE64FD3D_.wvu.PrintArea" localSheetId="18" hidden="1">'#利润建议'!$A$3:$CA$44</definedName>
    <definedName name="Z_120E0493_3E39_4701_8F05_17ABBE64FD3D_.wvu.PrintArea" localSheetId="34" hidden="1">'利润（汇总）'!$B$1:$P$48</definedName>
    <definedName name="Z_120E0493_3E39_4701_8F05_17ABBE64FD3D_.wvu.PrintArea" localSheetId="32" hidden="1">'收入（关联）'!$A$1:$O$48</definedName>
    <definedName name="Z_120E0493_3E39_4701_8F05_17ABBE64FD3D_.wvu.PrintArea" localSheetId="30" hidden="1">'收入（汇总）'!$B$1:$P$51</definedName>
    <definedName name="Z_120E0493_3E39_4701_8F05_17ABBE64FD3D_.wvu.Rows" localSheetId="13" hidden="1">'#存货'!$6:$6,'#存货'!$13:$13,'#存货'!#REF!,'#存货'!$16:$16,'#存货'!#REF!,'#存货'!#REF!,'#存货'!#REF!</definedName>
    <definedName name="Z_120E0493_3E39_4701_8F05_17ABBE64FD3D_.wvu.Rows" localSheetId="18" hidden="1">'#利润建议'!#REF!</definedName>
    <definedName name="Z_120E0493_3E39_4701_8F05_17ABBE64FD3D_.wvu.Rows" localSheetId="15" hidden="1">'#母公司报表'!$115:$120</definedName>
    <definedName name="Z_120E0493_3E39_4701_8F05_17ABBE64FD3D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120E0493_3E39_4701_8F05_17ABBE64FD3D_.wvu.Rows" localSheetId="34" hidden="1">'利润（汇总）'!#REF!,'利润（汇总）'!$34:$34</definedName>
    <definedName name="Z_120E0493_3E39_4701_8F05_17ABBE64FD3D_.wvu.Rows" localSheetId="32" hidden="1">'收入（关联）'!#REF!,'收入（关联）'!$35:$35</definedName>
    <definedName name="Z_120E0493_3E39_4701_8F05_17ABBE64FD3D_.wvu.Rows" localSheetId="30" hidden="1">'收入（汇总）'!#REF!,'收入（汇总）'!$35:$35</definedName>
    <definedName name="Z_137C1CA6_FEAF_4E69_9624_EE2C0CBD133A_.wvu.Cols" localSheetId="18" hidden="1">'#利润建议'!$B:$M</definedName>
    <definedName name="Z_137C1CA6_FEAF_4E69_9624_EE2C0CBD133A_.wvu.Cols" localSheetId="34" hidden="1">'利润（汇总）'!#REF!</definedName>
    <definedName name="Z_137C1CA6_FEAF_4E69_9624_EE2C0CBD133A_.wvu.Cols" localSheetId="32" hidden="1">'收入（关联）'!#REF!</definedName>
    <definedName name="Z_137C1CA6_FEAF_4E69_9624_EE2C0CBD133A_.wvu.Cols" localSheetId="30" hidden="1">'收入（汇总）'!#REF!</definedName>
    <definedName name="Z_13B48CE4_A9EA_42BE_9FB0_8C4672123BBC_.wvu.PrintArea" localSheetId="17" hidden="1">'#经营利润'!$A$3:$BC$46</definedName>
    <definedName name="Z_13B48CE4_A9EA_42BE_9FB0_8C4672123BBC_.wvu.PrintArea" localSheetId="15" hidden="1">'#母公司报表'!$A$1:$P$68</definedName>
    <definedName name="Z_13B48CE4_A9EA_42BE_9FB0_8C4672123BBC_.wvu.PrintArea" localSheetId="40" hidden="1">'@产量打印#概况'!$A$4:$Q$30,'@产量打印#矿产品'!$A$3:$K$46,'@产量打印#不锈钢'!$A$3:$K$42,'@产量打印#钢'!$A$3:$K$35,'@产量打印#材'!$A$3:$K$35</definedName>
    <definedName name="Z_13B48CE4_A9EA_42BE_9FB0_8C4672123BBC_.wvu.Rows" localSheetId="17" hidden="1">'#经营利润'!$11:$11</definedName>
    <definedName name="Z_1439B75D_1068_4320_944B_C33560493A98_.wvu.Cols" localSheetId="17" hidden="1">'#经营利润'!$I:$AC</definedName>
    <definedName name="Z_1439B75D_1068_4320_944B_C33560493A98_.wvu.Cols" localSheetId="18" hidden="1">'#利润建议'!$C:$C,'#利润建议'!$H:$AN</definedName>
    <definedName name="Z_1439B75D_1068_4320_944B_C33560493A98_.wvu.Cols" localSheetId="34" hidden="1">'利润（汇总）'!#REF!,'利润（汇总）'!#REF!,'利润（汇总）'!$F:$P,'利润（汇总）'!#REF!</definedName>
    <definedName name="Z_1439B75D_1068_4320_944B_C33560493A98_.wvu.Cols" localSheetId="32" hidden="1">'收入（关联）'!$C:$C,'收入（关联）'!$D:$D,'收入（关联）'!$E:$O,'收入（关联）'!#REF!</definedName>
    <definedName name="Z_1439B75D_1068_4320_944B_C33560493A98_.wvu.Cols" localSheetId="30" hidden="1">'收入（汇总）'!$D:$D,'收入（汇总）'!$E:$E,'收入（汇总）'!$F:$P,'收入（汇总）'!#REF!</definedName>
    <definedName name="Z_1439B75D_1068_4320_944B_C33560493A98_.wvu.PrintArea" localSheetId="34" hidden="1">'利润（汇总）'!$B$2:$P$48</definedName>
    <definedName name="Z_1439B75D_1068_4320_944B_C33560493A98_.wvu.PrintArea" localSheetId="32" hidden="1">'收入（关联）'!$A$2:$O$48</definedName>
    <definedName name="Z_1439B75D_1068_4320_944B_C33560493A98_.wvu.PrintArea" localSheetId="30" hidden="1">'收入（汇总）'!$B$2:$P$51</definedName>
    <definedName name="Z_1439B75D_1068_4320_944B_C33560493A98_.wvu.Rows" localSheetId="18" hidden="1">'#利润建议'!#REF!</definedName>
    <definedName name="Z_1439B75D_1068_4320_944B_C33560493A98_.wvu.Rows" localSheetId="34" hidden="1">'利润（汇总）'!#REF!,'利润（汇总）'!$32:$45</definedName>
    <definedName name="Z_1439B75D_1068_4320_944B_C33560493A98_.wvu.Rows" localSheetId="32" hidden="1">'收入（关联）'!#REF!,'收入（关联）'!$33:$45</definedName>
    <definedName name="Z_1439B75D_1068_4320_944B_C33560493A98_.wvu.Rows" localSheetId="30" hidden="1">'收入（汇总）'!#REF!,'收入（汇总）'!$33:$48</definedName>
    <definedName name="Z_143A8CF8_8FE5_4B5D_B939_1CD63A54801F_.wvu.Cols" localSheetId="13" hidden="1">'#存货'!$F:$F,'#存货'!$K:$AN</definedName>
    <definedName name="Z_143A8CF8_8FE5_4B5D_B939_1CD63A54801F_.wvu.Cols" localSheetId="17" hidden="1">'#经营利润'!$D:$E,'#经营利润'!$J:$AC</definedName>
    <definedName name="Z_143A8CF8_8FE5_4B5D_B939_1CD63A54801F_.wvu.Cols" localSheetId="18" hidden="1">'#利润建议'!$K:$AN</definedName>
    <definedName name="Z_143A8CF8_8FE5_4B5D_B939_1CD63A54801F_.wvu.Cols" localSheetId="15" hidden="1">'#母公司报表'!$P:$P</definedName>
    <definedName name="Z_143A8CF8_8FE5_4B5D_B939_1CD63A54801F_.wvu.Cols" localSheetId="10" hidden="1">'#税金'!$B:$B,'#税金'!$D:$M,'#税金'!#REF!,'#税金'!$P:$Y</definedName>
    <definedName name="Z_143A8CF8_8FE5_4B5D_B939_1CD63A54801F_.wvu.Cols" localSheetId="12" hidden="1">'#现金流 (新)'!$C:$C,'#现金流 (新)'!$H:$Q</definedName>
    <definedName name="Z_143A8CF8_8FE5_4B5D_B939_1CD63A54801F_.wvu.Cols" localSheetId="14" hidden="1">'#销量数据'!$C:$D,'#销量数据'!$I:$AB</definedName>
    <definedName name="Z_143A8CF8_8FE5_4B5D_B939_1CD63A54801F_.wvu.Cols" localSheetId="39" hidden="1">产品质量!$F:$P</definedName>
    <definedName name="Z_143A8CF8_8FE5_4B5D_B939_1CD63A54801F_.wvu.PrintArea" localSheetId="15" hidden="1">'#母公司报表'!$A$1:$P$68</definedName>
    <definedName name="Z_143A8CF8_8FE5_4B5D_B939_1CD63A54801F_.wvu.Rows" localSheetId="13" hidden="1">'#存货'!$6:$6,'#存货'!$13:$13,'#存货'!#REF!,'#存货'!$16:$16,'#存货'!#REF!,'#存货'!#REF!,'#存货'!#REF!</definedName>
    <definedName name="Z_143A8CF8_8FE5_4B5D_B939_1CD63A54801F_.wvu.Rows" localSheetId="17" hidden="1">'#经营利润'!$11:$11,'#经营利润'!$35:$35,'#经营利润'!$30:$35,'#经营利润'!$25:$35,'#经营利润'!$40:$42</definedName>
    <definedName name="Z_143A8CF8_8FE5_4B5D_B939_1CD63A54801F_.wvu.Rows" localSheetId="18" hidden="1">'#利润建议'!$11:$11,'#利润建议'!$35:$35,'#利润建议'!$26:$35,'#利润建议'!$27:$35,'#利润建议'!$40:$42</definedName>
    <definedName name="Z_143A8CF8_8FE5_4B5D_B939_1CD63A54801F_.wvu.Rows" localSheetId="15" hidden="1">'#母公司报表'!$115:$120</definedName>
    <definedName name="Z_143A8CF8_8FE5_4B5D_B939_1CD63A54801F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154F2662_451B_4D29_A8FE_D3B0356B539D_.wvu.Cols" localSheetId="13" hidden="1">'#存货'!$E:$G,'#存货'!$I:$J,'#存货'!$L:$M</definedName>
    <definedName name="Z_154F2662_451B_4D29_A8FE_D3B0356B539D_.wvu.Cols" localSheetId="17" hidden="1">'#经营利润'!$D:$K,'#经营利润'!$R:$AC</definedName>
    <definedName name="Z_154F2662_451B_4D29_A8FE_D3B0356B539D_.wvu.Cols" localSheetId="18" hidden="1">'#利润建议'!$B:$J,'#利润建议'!$T:$AN</definedName>
    <definedName name="Z_154F2662_451B_4D29_A8FE_D3B0356B539D_.wvu.Cols" localSheetId="15" hidden="1">'#母公司报表'!$J:$O,'#母公司报表'!$P:$P</definedName>
    <definedName name="Z_154F2662_451B_4D29_A8FE_D3B0356B539D_.wvu.Cols" localSheetId="10" hidden="1">'#税金'!$B:$D,'#税金'!$F:$M,'#税金'!#REF!,'#税金'!$N:$O,'#税金'!$R:$Y</definedName>
    <definedName name="Z_154F2662_451B_4D29_A8FE_D3B0356B539D_.wvu.Cols" localSheetId="12" hidden="1">'#现金流 (新)'!$C:$C,'#现金流 (新)'!$F:$H,'#现金流 (新)'!$K:$Q</definedName>
    <definedName name="Z_154F2662_451B_4D29_A8FE_D3B0356B539D_.wvu.Cols" localSheetId="14" hidden="1">'#销量数据'!$C:$H,'#销量数据'!$O:$AB</definedName>
    <definedName name="Z_154F2662_451B_4D29_A8FE_D3B0356B539D_.wvu.Cols" localSheetId="22" hidden="1">钢铁分析!$C:$E</definedName>
    <definedName name="Z_154F2662_451B_4D29_A8FE_D3B0356B539D_.wvu.PrintArea" localSheetId="15" hidden="1">'#母公司报表'!$A$1:$P$68</definedName>
    <definedName name="Z_154F2662_451B_4D29_A8FE_D3B0356B539D_.wvu.Rows" localSheetId="13" hidden="1">'#存货'!$6:$6</definedName>
    <definedName name="Z_154F2662_451B_4D29_A8FE_D3B0356B539D_.wvu.Rows" localSheetId="17" hidden="1">'#经营利润'!$11:$11,'#经营利润'!$35:$35,'#经营利润'!$30:$30,'#经营利润'!$32:$42</definedName>
    <definedName name="Z_154F2662_451B_4D29_A8FE_D3B0356B539D_.wvu.Rows" localSheetId="18" hidden="1">'#利润建议'!$11:$11,'#利润建议'!$35:$35,'#利润建议'!$26:$26,'#利润建议'!$32:$42</definedName>
    <definedName name="Z_154F2662_451B_4D29_A8FE_D3B0356B539D_.wvu.Rows" localSheetId="15" hidden="1">'#母公司报表'!$115:$120</definedName>
    <definedName name="Z_154F2662_451B_4D29_A8FE_D3B0356B539D_.wvu.Rows" localSheetId="14" hidden="1">'#销量数据'!$83:$84</definedName>
    <definedName name="Z_167A20F9_87B3_4E7A_8B36_FB1CC2890AB6_.wvu.Cols" localSheetId="13" hidden="1">'#存货'!$E:$AE,'#存货'!$AG:$AH</definedName>
    <definedName name="Z_167A20F9_87B3_4E7A_8B36_FB1CC2890AB6_.wvu.Cols" localSheetId="17" hidden="1">'#经营利润'!$D:$W,'#经营利润'!$AB:$AC</definedName>
    <definedName name="Z_167A20F9_87B3_4E7A_8B36_FB1CC2890AB6_.wvu.Cols" localSheetId="18" hidden="1">'#利润建议'!$B:$S,'#利润建议'!$AL:$AN</definedName>
    <definedName name="Z_167A20F9_87B3_4E7A_8B36_FB1CC2890AB6_.wvu.Cols" localSheetId="15" hidden="1">'#母公司报表'!$P:$P</definedName>
    <definedName name="Z_167A20F9_87B3_4E7A_8B36_FB1CC2890AB6_.wvu.Cols" localSheetId="10" hidden="1">'#税金'!$B:$K,'#税金'!$M:$M,'#税金'!#REF!,'#税金'!$N:$V,'#税金'!$Y:$Y</definedName>
    <definedName name="Z_167A20F9_87B3_4E7A_8B36_FB1CC2890AB6_.wvu.Cols" localSheetId="12" hidden="1">'#现金流 (新)'!$C:$C,'#现金流 (新)'!$F:$N,'#现金流 (新)'!$Q:$Q</definedName>
    <definedName name="Z_167A20F9_87B3_4E7A_8B36_FB1CC2890AB6_.wvu.Cols" localSheetId="14" hidden="1">'#销量数据'!$C:$V,'#销量数据'!$AA:$AB</definedName>
    <definedName name="Z_167A20F9_87B3_4E7A_8B36_FB1CC2890AB6_.wvu.Cols" localSheetId="22" hidden="1">钢铁分析!$C:$E</definedName>
    <definedName name="Z_167A20F9_87B3_4E7A_8B36_FB1CC2890AB6_.wvu.Cols" localSheetId="34" hidden="1">'利润（汇总）'!$D:$L</definedName>
    <definedName name="Z_167A20F9_87B3_4E7A_8B36_FB1CC2890AB6_.wvu.Cols" localSheetId="32" hidden="1">'收入（关联）'!$C:$K</definedName>
    <definedName name="Z_167A20F9_87B3_4E7A_8B36_FB1CC2890AB6_.wvu.Cols" localSheetId="30" hidden="1">'收入（汇总）'!$D:$L</definedName>
    <definedName name="Z_167A20F9_87B3_4E7A_8B36_FB1CC2890AB6_.wvu.PrintArea" localSheetId="15" hidden="1">'#母公司报表'!$A$1:$P$68</definedName>
    <definedName name="Z_167A20F9_87B3_4E7A_8B36_FB1CC2890AB6_.wvu.Rows" localSheetId="13" hidden="1">'#存货'!$6:$6</definedName>
    <definedName name="Z_167A20F9_87B3_4E7A_8B36_FB1CC2890AB6_.wvu.Rows" localSheetId="17" hidden="1">'#经营利润'!$11:$11,'#经营利润'!$35:$35,'#经营利润'!$29:$35,'#经营利润'!$40:$42</definedName>
    <definedName name="Z_167A20F9_87B3_4E7A_8B36_FB1CC2890AB6_.wvu.Rows" localSheetId="14" hidden="1">'#销量数据'!$6:$7,'#销量数据'!$27:$28,'#销量数据'!$30:$33,'#销量数据'!$35:$38,'#销量数据'!$41:$44,'#销量数据'!$46:$49,'#销量数据'!$56:$59,'#销量数据'!$61:$62,'#销量数据'!$65:$65,'#销量数据'!$81:$81</definedName>
    <definedName name="Z_1683F931_F47D_47C0_A395_D48080DC7EE6_.wvu.Cols" localSheetId="13" hidden="1">'#存货'!$O:$P</definedName>
    <definedName name="Z_1683F931_F47D_47C0_A395_D48080DC7EE6_.wvu.Cols" localSheetId="17" hidden="1">'#经营利润'!$BD:$BE</definedName>
    <definedName name="Z_1683F931_F47D_47C0_A395_D48080DC7EE6_.wvu.Cols" localSheetId="18" hidden="1">'#利润建议'!$B:$J</definedName>
    <definedName name="Z_1683F931_F47D_47C0_A395_D48080DC7EE6_.wvu.Cols" localSheetId="15" hidden="1">'#母公司报表'!$D:$N</definedName>
    <definedName name="Z_1683F931_F47D_47C0_A395_D48080DC7EE6_.wvu.Cols" localSheetId="12" hidden="1">'#现金流 (新)'!$G:$AH</definedName>
    <definedName name="Z_1683F931_F47D_47C0_A395_D48080DC7EE6_.wvu.Cols" localSheetId="21" hidden="1">'@分析#利润分析#'!$D:$D</definedName>
    <definedName name="Z_1683F931_F47D_47C0_A395_D48080DC7EE6_.wvu.Cols" localSheetId="1" hidden="1">'@预测#利润分析#'!$D:$D</definedName>
    <definedName name="Z_1683F931_F47D_47C0_A395_D48080DC7EE6_.wvu.Cols" localSheetId="5" hidden="1">'@预测#收入利润#'!$B:$C</definedName>
    <definedName name="Z_1683F931_F47D_47C0_A395_D48080DC7EE6_.wvu.Cols" localSheetId="27" hidden="1">Sheet1!$T:$AK</definedName>
    <definedName name="Z_1683F931_F47D_47C0_A395_D48080DC7EE6_.wvu.Cols" localSheetId="35" hidden="1">画图!$K:$O</definedName>
    <definedName name="Z_1683F931_F47D_47C0_A395_D48080DC7EE6_.wvu.Cols" localSheetId="34" hidden="1">'利润（汇总）'!$U:$U</definedName>
    <definedName name="Z_1683F931_F47D_47C0_A395_D48080DC7EE6_.wvu.Cols" localSheetId="32" hidden="1">'收入（关联）'!$T:$T</definedName>
    <definedName name="Z_1683F931_F47D_47C0_A395_D48080DC7EE6_.wvu.Cols" localSheetId="30" hidden="1">'收入（汇总）'!$U:$U</definedName>
    <definedName name="Z_1683F931_F47D_47C0_A395_D48080DC7EE6_.wvu.Cols" localSheetId="33" hidden="1">'收入（外部）'!$T:$T</definedName>
    <definedName name="Z_1683F931_F47D_47C0_A395_D48080DC7EE6_.wvu.PrintArea" localSheetId="16" hidden="1">'#经营概况'!$B$324:$O$377</definedName>
    <definedName name="Z_1683F931_F47D_47C0_A395_D48080DC7EE6_.wvu.PrintArea" localSheetId="17" hidden="1">'#经营利润'!$A$3:$BJ$46</definedName>
    <definedName name="Z_1683F931_F47D_47C0_A395_D48080DC7EE6_.wvu.PrintArea" localSheetId="25" hidden="1">'#利润因素分析（ppt）'!$F$2:$M$19</definedName>
    <definedName name="Z_1683F931_F47D_47C0_A395_D48080DC7EE6_.wvu.PrintArea" localSheetId="15" hidden="1">'#母公司报表'!$A$1:$P$68</definedName>
    <definedName name="Z_1683F931_F47D_47C0_A395_D48080DC7EE6_.wvu.PrintArea" localSheetId="42" hidden="1">'@产量打印#不锈钢'!$A$3:$K$42</definedName>
    <definedName name="Z_1683F931_F47D_47C0_A395_D48080DC7EE6_.wvu.PrintArea" localSheetId="44" hidden="1">'@产量打印#材'!$A$3:$K$35</definedName>
    <definedName name="Z_1683F931_F47D_47C0_A395_D48080DC7EE6_.wvu.PrintArea" localSheetId="40" hidden="1">'@产量打印#概况'!$A$4:$Q$30</definedName>
    <definedName name="Z_1683F931_F47D_47C0_A395_D48080DC7EE6_.wvu.PrintArea" localSheetId="43" hidden="1">'@产量打印#钢'!$A$3:$K$35</definedName>
    <definedName name="Z_1683F931_F47D_47C0_A395_D48080DC7EE6_.wvu.PrintArea" localSheetId="41" hidden="1">'@产量打印#矿产品'!$A$3:$K$46</definedName>
    <definedName name="Z_1683F931_F47D_47C0_A395_D48080DC7EE6_.wvu.PrintArea" localSheetId="0" hidden="1">'@预测#概况#'!$B$173:$O$196</definedName>
    <definedName name="Z_1683F931_F47D_47C0_A395_D48080DC7EE6_.wvu.PrintArea" localSheetId="6" hidden="1">'@预测#股份关联价（打印）'!$B$3:$K$22</definedName>
    <definedName name="Z_1683F931_F47D_47C0_A395_D48080DC7EE6_.wvu.PrintArea" localSheetId="27" hidden="1">Sheet1!$A$3:$AN$11</definedName>
    <definedName name="Z_1683F931_F47D_47C0_A395_D48080DC7EE6_.wvu.PrintArea" localSheetId="33" hidden="1">'收入（外部）'!$A$1:$AB$42</definedName>
    <definedName name="Z_1683F931_F47D_47C0_A395_D48080DC7EE6_.wvu.Rows" localSheetId="13" hidden="1">'#存货'!$6:$6</definedName>
    <definedName name="Z_1683F931_F47D_47C0_A395_D48080DC7EE6_.wvu.Rows" localSheetId="20" hidden="1">'#分板块利润分析'!$70:$72</definedName>
    <definedName name="Z_1683F931_F47D_47C0_A395_D48080DC7EE6_.wvu.Rows" localSheetId="16" hidden="1">'#经营概况'!$91:$92,'#经营概况'!$98:$99,'#经营概况'!$244:$244</definedName>
    <definedName name="Z_1683F931_F47D_47C0_A395_D48080DC7EE6_.wvu.Rows" localSheetId="17" hidden="1">'#经营利润'!$17:$22,'#经营利润'!$25:$25,'#经营利润'!$27:$42</definedName>
    <definedName name="Z_1683F931_F47D_47C0_A395_D48080DC7EE6_.wvu.Rows" localSheetId="18" hidden="1">'#利润建议'!$25:$42,'#利润建议'!$65:$88</definedName>
    <definedName name="Z_1683F931_F47D_47C0_A395_D48080DC7EE6_.wvu.Rows" localSheetId="11" hidden="1">'#子分公司分析'!$4:$5,'#子分公司分析'!$7:$7,'#子分公司分析'!$14:$14</definedName>
    <definedName name="Z_1683F931_F47D_47C0_A395_D48080DC7EE6_.wvu.Rows" localSheetId="21" hidden="1">'@分析#利润分析#'!$58:$58</definedName>
    <definedName name="Z_1683F931_F47D_47C0_A395_D48080DC7EE6_.wvu.Rows" localSheetId="1" hidden="1">'@预测#利润分析#'!$59:$59</definedName>
    <definedName name="Z_1683F931_F47D_47C0_A395_D48080DC7EE6_.wvu.Rows" localSheetId="3" hidden="1">'@预测#利润建议# '!$18:$21,'@预测#利润建议# '!$23:$42</definedName>
    <definedName name="Z_18011841_3258_4178_99F2_27AFD6F744C7_.wvu.Cols" localSheetId="13" hidden="1">'#存货'!$G:$AN</definedName>
    <definedName name="Z_18011841_3258_4178_99F2_27AFD6F744C7_.wvu.Cols" localSheetId="5" hidden="1">'@预测#收入利润#'!$J:$K,'@预测#收入利润#'!$R:$S</definedName>
    <definedName name="Z_18011841_3258_4178_99F2_27AFD6F744C7_.wvu.PrintArea" localSheetId="17" hidden="1">'#经营利润'!$A$3:$BC$46</definedName>
    <definedName name="Z_18011841_3258_4178_99F2_27AFD6F744C7_.wvu.PrintArea" localSheetId="15" hidden="1">'#母公司报表'!$A$1:$P$68</definedName>
    <definedName name="Z_18011841_3258_4178_99F2_27AFD6F744C7_.wvu.PrintArea" localSheetId="42" hidden="1">'@产量打印#不锈钢'!$A$3:$K$42</definedName>
    <definedName name="Z_18011841_3258_4178_99F2_27AFD6F744C7_.wvu.PrintArea" localSheetId="44" hidden="1">'@产量打印#材'!$A$3:$K$35</definedName>
    <definedName name="Z_18011841_3258_4178_99F2_27AFD6F744C7_.wvu.PrintArea" localSheetId="40" hidden="1">'@产量打印#概况'!$A$4:$Q$30</definedName>
    <definedName name="Z_18011841_3258_4178_99F2_27AFD6F744C7_.wvu.PrintArea" localSheetId="43" hidden="1">'@产量打印#钢'!$A$3:$K$35</definedName>
    <definedName name="Z_18011841_3258_4178_99F2_27AFD6F744C7_.wvu.PrintArea" localSheetId="41" hidden="1">'@产量打印#矿产品'!$A$3:$K$46</definedName>
    <definedName name="Z_18011841_3258_4178_99F2_27AFD6F744C7_.wvu.Rows" localSheetId="13" hidden="1">'#存货'!$6:$6</definedName>
    <definedName name="Z_18011841_3258_4178_99F2_27AFD6F744C7_.wvu.Rows" localSheetId="17" hidden="1">'#经营利润'!$11:$11</definedName>
    <definedName name="Z_18011841_3258_4178_99F2_27AFD6F744C7_.wvu.Rows" localSheetId="4" hidden="1">'@预测#经营利润#'!#REF!,'@预测#经营利润#'!$35:$35,'@预测#经营利润#'!$29:$35,'@预测#经营利润#'!$25:$35,'@预测#经营利润#'!$27:$27,'@预测#经营利润#'!$40:$42</definedName>
    <definedName name="Z_18011841_3258_4178_99F2_27AFD6F744C7_.wvu.Rows" localSheetId="3" hidden="1">'@预测#利润建议# '!$11:$11,'@预测#利润建议# '!$21:$21,'@预测#利润建议# '!$18:$24</definedName>
    <definedName name="Z_18A53DAD_9DA6_4AE5_A707_A5CFB2A98CDF_.wvu.Cols" localSheetId="13" hidden="1">'#存货'!$E:$G,'#存货'!$I:$J,'#存货'!$L:$M</definedName>
    <definedName name="Z_18A53DAD_9DA6_4AE5_A707_A5CFB2A98CDF_.wvu.Cols" localSheetId="17" hidden="1">'#经营利润'!$D:$K,'#经营利润'!$R:$AC</definedName>
    <definedName name="Z_18A53DAD_9DA6_4AE5_A707_A5CFB2A98CDF_.wvu.Cols" localSheetId="18" hidden="1">'#利润建议'!$B:$J,'#利润建议'!$W:$AN</definedName>
    <definedName name="Z_18A53DAD_9DA6_4AE5_A707_A5CFB2A98CDF_.wvu.Cols" localSheetId="15" hidden="1">'#母公司报表'!$J:$O,'#母公司报表'!$P:$P</definedName>
    <definedName name="Z_18A53DAD_9DA6_4AE5_A707_A5CFB2A98CDF_.wvu.Cols" localSheetId="10" hidden="1">'#税金'!$B:$D,'#税金'!$F:$M,'#税金'!#REF!,'#税金'!$N:$O,'#税金'!$R:$Y</definedName>
    <definedName name="Z_18A53DAD_9DA6_4AE5_A707_A5CFB2A98CDF_.wvu.Cols" localSheetId="12" hidden="1">'#现金流 (新)'!$C:$C,'#现金流 (新)'!$F:$H,'#现金流 (新)'!$K:$Q</definedName>
    <definedName name="Z_18A53DAD_9DA6_4AE5_A707_A5CFB2A98CDF_.wvu.Cols" localSheetId="14" hidden="1">'#销量数据'!$C:$H</definedName>
    <definedName name="Z_18A53DAD_9DA6_4AE5_A707_A5CFB2A98CDF_.wvu.Cols" localSheetId="22" hidden="1">钢铁分析!$C:$E</definedName>
    <definedName name="Z_18A53DAD_9DA6_4AE5_A707_A5CFB2A98CDF_.wvu.PrintArea" localSheetId="15" hidden="1">'#母公司报表'!$A$1:$P$68</definedName>
    <definedName name="Z_18A53DAD_9DA6_4AE5_A707_A5CFB2A98CDF_.wvu.Rows" localSheetId="13" hidden="1">'#存货'!$6:$6</definedName>
    <definedName name="Z_18A53DAD_9DA6_4AE5_A707_A5CFB2A98CDF_.wvu.Rows" localSheetId="17" hidden="1">'#经营利润'!#REF!,'#经营利润'!$35:$35,'#经营利润'!$29:$35,'#经营利润'!$27:$42</definedName>
    <definedName name="Z_18A53DAD_9DA6_4AE5_A707_A5CFB2A98CDF_.wvu.Rows" localSheetId="18" hidden="1">'#利润建议'!#REF!,'#利润建议'!$35:$35,'#利润建议'!$25:$35,'#利润建议'!$29:$42</definedName>
    <definedName name="Z_18A53DAD_9DA6_4AE5_A707_A5CFB2A98CDF_.wvu.Rows" localSheetId="15" hidden="1">'#母公司报表'!$115:$120</definedName>
    <definedName name="Z_18AA5A38_E6A4_4914_B253_153D73CAD3D5_.wvu.Cols" localSheetId="13" hidden="1">'#存货'!$F:$F,'#存货'!$I:$J,'#存货'!$N:$AN</definedName>
    <definedName name="Z_18AA5A38_E6A4_4914_B253_153D73CAD3D5_.wvu.Cols" localSheetId="17" hidden="1">'#经营利润'!$D:$U,'#经营利润'!$Z:$AC</definedName>
    <definedName name="Z_18AA5A38_E6A4_4914_B253_153D73CAD3D5_.wvu.Cols" localSheetId="18" hidden="1">'#利润建议'!$Z:$AN</definedName>
    <definedName name="Z_18AA5A38_E6A4_4914_B253_153D73CAD3D5_.wvu.Cols" localSheetId="15" hidden="1">'#母公司报表'!$P:$P</definedName>
    <definedName name="Z_18AA5A38_E6A4_4914_B253_153D73CAD3D5_.wvu.Cols" localSheetId="10" hidden="1">'#税金'!$B:$J,'#税金'!$L:$M,'#税金'!#REF!,'#税金'!$N:$U,'#税金'!$X:$Y</definedName>
    <definedName name="Z_18AA5A38_E6A4_4914_B253_153D73CAD3D5_.wvu.Cols" localSheetId="12" hidden="1">'#现金流 (新)'!$F:$M,'#现金流 (新)'!$P:$Q,'#现金流 (新)'!$AJ:$AJ,'#现金流 (新)'!$AM:$AM</definedName>
    <definedName name="Z_18AA5A38_E6A4_4914_B253_153D73CAD3D5_.wvu.Rows" localSheetId="15" hidden="1">'#母公司报表'!$115:$120</definedName>
    <definedName name="Z_18AA5A38_E6A4_4914_B253_153D73CAD3D5_.wvu.Rows" localSheetId="14" hidden="1">'#销量数据'!$6:$6,'#销量数据'!$27:$28,'#销量数据'!$30:$33,'#销量数据'!$35:$38,'#销量数据'!$41:$44,'#销量数据'!$46:$49,'#销量数据'!$58:$59,'#销量数据'!$61:$62,'#销量数据'!$65:$65</definedName>
    <definedName name="Z_19259783_3860_4239_99AF_4C19494827FC_.wvu.Cols" localSheetId="13" hidden="1">'#存货'!$G:$AN</definedName>
    <definedName name="Z_19259783_3860_4239_99AF_4C19494827FC_.wvu.Cols" localSheetId="5" hidden="1">'@预测#收入利润#'!$R:$S</definedName>
    <definedName name="Z_19259783_3860_4239_99AF_4C19494827FC_.wvu.PrintArea" localSheetId="17" hidden="1">'#经营利润'!$A$3:$BC$46</definedName>
    <definedName name="Z_19259783_3860_4239_99AF_4C19494827FC_.wvu.PrintArea" localSheetId="15" hidden="1">'#母公司报表'!$A$1:$P$68</definedName>
    <definedName name="Z_19259783_3860_4239_99AF_4C19494827FC_.wvu.PrintArea" localSheetId="42" hidden="1">'@产量打印#不锈钢'!$A$3:$K$42</definedName>
    <definedName name="Z_19259783_3860_4239_99AF_4C19494827FC_.wvu.PrintArea" localSheetId="44" hidden="1">'@产量打印#材'!$A$3:$K$35</definedName>
    <definedName name="Z_19259783_3860_4239_99AF_4C19494827FC_.wvu.PrintArea" localSheetId="40" hidden="1">'@产量打印#概况'!$A$4:$Q$30</definedName>
    <definedName name="Z_19259783_3860_4239_99AF_4C19494827FC_.wvu.PrintArea" localSheetId="43" hidden="1">'@产量打印#钢'!$A$3:$K$35</definedName>
    <definedName name="Z_19259783_3860_4239_99AF_4C19494827FC_.wvu.PrintArea" localSheetId="41" hidden="1">'@产量打印#矿产品'!$A$3:$K$46</definedName>
    <definedName name="Z_19259783_3860_4239_99AF_4C19494827FC_.wvu.Rows" localSheetId="13" hidden="1">'#存货'!$6:$6</definedName>
    <definedName name="Z_19259783_3860_4239_99AF_4C19494827FC_.wvu.Rows" localSheetId="17" hidden="1">'#经营利润'!$11:$11</definedName>
    <definedName name="Z_19259783_3860_4239_99AF_4C19494827FC_.wvu.Rows" localSheetId="4" hidden="1">'@预测#经营利润#'!#REF!,'@预测#经营利润#'!$35:$35,'@预测#经营利润#'!$29:$35,'@预测#经营利润#'!$25:$35,'@预测#经营利润#'!$27:$27,'@预测#经营利润#'!$40:$42</definedName>
    <definedName name="Z_19259783_3860_4239_99AF_4C19494827FC_.wvu.Rows" localSheetId="3" hidden="1">'@预测#利润建议# '!$11:$11,'@预测#利润建议# '!$21:$21,'@预测#利润建议# '!$18:$24</definedName>
    <definedName name="Z_197EFB57_17D2_4D8A_BD47_454B6B16E308_.wvu.Cols" localSheetId="13" hidden="1">'#存货'!$E:$V,'#存货'!$X:$Y</definedName>
    <definedName name="Z_197EFB57_17D2_4D8A_BD47_454B6B16E308_.wvu.Cols" localSheetId="17" hidden="1">'#经营利润'!$D:$Q,'#经营利润'!$V:$AC</definedName>
    <definedName name="Z_197EFB57_17D2_4D8A_BD47_454B6B16E308_.wvu.Cols" localSheetId="18" hidden="1">'#利润建议'!$B:$V,'#利润建议'!$AC:$AN</definedName>
    <definedName name="Z_197EFB57_17D2_4D8A_BD47_454B6B16E308_.wvu.Cols" localSheetId="15" hidden="1">'#母公司报表'!$L:$O,'#母公司报表'!$P:$P</definedName>
    <definedName name="Z_197EFB57_17D2_4D8A_BD47_454B6B16E308_.wvu.Cols" localSheetId="10" hidden="1">'#税金'!$B:$H,'#税金'!$J:$M,'#税金'!#REF!,'#税金'!$N:$S,'#税金'!$V:$Y</definedName>
    <definedName name="Z_197EFB57_17D2_4D8A_BD47_454B6B16E308_.wvu.Cols" localSheetId="12" hidden="1">'#现金流 (新)'!$C:$C,'#现金流 (新)'!$F:$K,'#现金流 (新)'!$N:$Q</definedName>
    <definedName name="Z_197EFB57_17D2_4D8A_BD47_454B6B16E308_.wvu.Cols" localSheetId="14" hidden="1">'#销量数据'!$C:$Q,'#销量数据'!$W:$AA</definedName>
    <definedName name="Z_197EFB57_17D2_4D8A_BD47_454B6B16E308_.wvu.Cols" localSheetId="22" hidden="1">钢铁分析!$C:$E</definedName>
    <definedName name="Z_197EFB57_17D2_4D8A_BD47_454B6B16E308_.wvu.Cols" localSheetId="34" hidden="1">'利润（汇总）'!$N:$P</definedName>
    <definedName name="Z_197EFB57_17D2_4D8A_BD47_454B6B16E308_.wvu.Cols" localSheetId="32" hidden="1">'收入（关联）'!$M:$O</definedName>
    <definedName name="Z_197EFB57_17D2_4D8A_BD47_454B6B16E308_.wvu.Cols" localSheetId="30" hidden="1">'收入（汇总）'!$N:$P</definedName>
    <definedName name="Z_197EFB57_17D2_4D8A_BD47_454B6B16E308_.wvu.PrintArea" localSheetId="15" hidden="1">'#母公司报表'!$A$1:$P$68</definedName>
    <definedName name="Z_197EFB57_17D2_4D8A_BD47_454B6B16E308_.wvu.Rows" localSheetId="13" hidden="1">'#存货'!$6:$6</definedName>
    <definedName name="Z_197EFB57_17D2_4D8A_BD47_454B6B16E308_.wvu.Rows" localSheetId="17" hidden="1">'#经营利润'!$11:$11,'#经营利润'!$35:$35,'#经营利润'!$29:$35,'#经营利润'!$27:$27,'#经营利润'!$40:$42</definedName>
    <definedName name="Z_197EFB57_17D2_4D8A_BD47_454B6B16E308_.wvu.Rows" localSheetId="18" hidden="1">'#利润建议'!$11:$11,'#利润建议'!$35:$35,'#利润建议'!$25:$35,'#利润建议'!$29:$29,'#利润建议'!$40:$42</definedName>
    <definedName name="Z_197EFB57_17D2_4D8A_BD47_454B6B16E308_.wvu.Rows" localSheetId="15" hidden="1">'#母公司报表'!$115:$120</definedName>
    <definedName name="Z_1BBD1596_143E_4714_99EF_E3545231CCD1_.wvu.Cols" localSheetId="17" hidden="1">'#经营利润'!$H:$AC</definedName>
    <definedName name="Z_1BBD1596_143E_4714_99EF_E3545231CCD1_.wvu.Cols" localSheetId="18" hidden="1">'#利润建议'!$H:$AN</definedName>
    <definedName name="Z_1BBD1596_143E_4714_99EF_E3545231CCD1_.wvu.Cols" localSheetId="12" hidden="1">'#现金流 (新)'!$G:$Q</definedName>
    <definedName name="Z_1BBD1596_143E_4714_99EF_E3545231CCD1_.wvu.PrintArea" localSheetId="17" hidden="1">'#经营利润'!$A$3:$BC$46</definedName>
    <definedName name="Z_1BBD1596_143E_4714_99EF_E3545231CCD1_.wvu.PrintArea" localSheetId="15" hidden="1">'#母公司报表'!$A$1:$P$68</definedName>
    <definedName name="Z_1BBD1596_143E_4714_99EF_E3545231CCD1_.wvu.PrintArea" localSheetId="42" hidden="1">'@产量打印#不锈钢'!$A$3:$K$42</definedName>
    <definedName name="Z_1BBD1596_143E_4714_99EF_E3545231CCD1_.wvu.PrintArea" localSheetId="44" hidden="1">'@产量打印#材'!$A$3:$K$35</definedName>
    <definedName name="Z_1BBD1596_143E_4714_99EF_E3545231CCD1_.wvu.PrintArea" localSheetId="40" hidden="1">'@产量打印#概况'!$A$4:$Q$30</definedName>
    <definedName name="Z_1BBD1596_143E_4714_99EF_E3545231CCD1_.wvu.PrintArea" localSheetId="43" hidden="1">'@产量打印#钢'!$A$3:$K$35</definedName>
    <definedName name="Z_1BBD1596_143E_4714_99EF_E3545231CCD1_.wvu.PrintArea" localSheetId="41" hidden="1">'@产量打印#矿产品'!$A$3:$K$46</definedName>
    <definedName name="Z_1BBD1596_143E_4714_99EF_E3545231CCD1_.wvu.Rows" localSheetId="13" hidden="1">'#存货'!$6:$6</definedName>
    <definedName name="Z_1BBD1596_143E_4714_99EF_E3545231CCD1_.wvu.Rows" localSheetId="20" hidden="1">'#分板块利润分析'!$70:$72</definedName>
    <definedName name="Z_1BBD1596_143E_4714_99EF_E3545231CCD1_.wvu.Rows" localSheetId="17" hidden="1">'#经营利润'!#REF!</definedName>
    <definedName name="Z_1BBD1596_143E_4714_99EF_E3545231CCD1_.wvu.Rows" localSheetId="18" hidden="1">'#利润建议'!#REF!</definedName>
    <definedName name="Z_1BBD1596_143E_4714_99EF_E3545231CCD1_.wvu.Rows" localSheetId="3" hidden="1">'@预测#利润建议# '!$21:$21,'@预测#利润建议# '!$18:$24</definedName>
    <definedName name="Z_1C51DBDC_63D7_4438_B597_C86525057D78_.wvu.Cols" localSheetId="13" hidden="1">'#存货'!$E:$G,'#存货'!$I:$J,'#存货'!$L:$M</definedName>
    <definedName name="Z_1C51DBDC_63D7_4438_B597_C86525057D78_.wvu.Cols" localSheetId="17" hidden="1">'#经营利润'!$D:$K,'#经营利润'!$T:$AC</definedName>
    <definedName name="Z_1C51DBDC_63D7_4438_B597_C86525057D78_.wvu.Cols" localSheetId="18" hidden="1">'#利润建议'!$B:$J,'#利润建议'!$W:$AN</definedName>
    <definedName name="Z_1C51DBDC_63D7_4438_B597_C86525057D78_.wvu.Cols" localSheetId="15" hidden="1">'#母公司报表'!$K:$O,'#母公司报表'!$P:$P</definedName>
    <definedName name="Z_1C51DBDC_63D7_4438_B597_C86525057D78_.wvu.Cols" localSheetId="10" hidden="1">'#税金'!$B:$D,'#税金'!$F:$M,'#税金'!#REF!,'#税金'!$N:$O,'#税金'!$R:$Y</definedName>
    <definedName name="Z_1C51DBDC_63D7_4438_B597_C86525057D78_.wvu.Cols" localSheetId="12" hidden="1">'#现金流 (新)'!$C:$C,'#现金流 (新)'!$F:$H,'#现金流 (新)'!$K:$Q</definedName>
    <definedName name="Z_1C51DBDC_63D7_4438_B597_C86525057D78_.wvu.Cols" localSheetId="14" hidden="1">'#销量数据'!$C:$H,'#销量数据'!$O:$AB</definedName>
    <definedName name="Z_1C51DBDC_63D7_4438_B597_C86525057D78_.wvu.Cols" localSheetId="22" hidden="1">钢铁分析!$C:$E</definedName>
    <definedName name="Z_1C51DBDC_63D7_4438_B597_C86525057D78_.wvu.Cols" localSheetId="34" hidden="1">'利润（汇总）'!$E:$I</definedName>
    <definedName name="Z_1C51DBDC_63D7_4438_B597_C86525057D78_.wvu.Cols" localSheetId="32" hidden="1">'收入（关联）'!$D:$H</definedName>
    <definedName name="Z_1C51DBDC_63D7_4438_B597_C86525057D78_.wvu.Cols" localSheetId="30" hidden="1">'收入（汇总）'!$E:$I</definedName>
    <definedName name="Z_1C51DBDC_63D7_4438_B597_C86525057D78_.wvu.PrintArea" localSheetId="15" hidden="1">'#母公司报表'!$A$1:$P$68</definedName>
    <definedName name="Z_1C51DBDC_63D7_4438_B597_C86525057D78_.wvu.Rows" localSheetId="13" hidden="1">'#存货'!$6:$6</definedName>
    <definedName name="Z_1C51DBDC_63D7_4438_B597_C86525057D78_.wvu.Rows" localSheetId="17" hidden="1">'#经营利润'!#REF!,'#经营利润'!$35:$35,'#经营利润'!$29:$35,'#经营利润'!$27:$42</definedName>
    <definedName name="Z_1C51DBDC_63D7_4438_B597_C86525057D78_.wvu.Rows" localSheetId="18" hidden="1">'#利润建议'!#REF!,'#利润建议'!$35:$35,'#利润建议'!$25:$35,'#利润建议'!$29:$42</definedName>
    <definedName name="Z_1C51DBDC_63D7_4438_B597_C86525057D78_.wvu.Rows" localSheetId="15" hidden="1">'#母公司报表'!$115:$120</definedName>
    <definedName name="Z_20F818A5_0322_41AD_A614_4B41746B0185_.wvu.Cols" localSheetId="13" hidden="1">'#存货'!$E:$AB,'#存货'!$AD:$AE</definedName>
    <definedName name="Z_20F818A5_0322_41AD_A614_4B41746B0185_.wvu.Cols" localSheetId="17" hidden="1">'#经营利润'!$D:$U,'#经营利润'!$Z:$AC</definedName>
    <definedName name="Z_20F818A5_0322_41AD_A614_4B41746B0185_.wvu.Cols" localSheetId="18" hidden="1">'#利润建议'!$B:$AB,'#利润建议'!$AI:$AN</definedName>
    <definedName name="Z_20F818A5_0322_41AD_A614_4B41746B0185_.wvu.Cols" localSheetId="15" hidden="1">'#母公司报表'!$P:$P</definedName>
    <definedName name="Z_20F818A5_0322_41AD_A614_4B41746B0185_.wvu.Cols" localSheetId="10" hidden="1">'#税金'!$B:$J,'#税金'!$L:$M,'#税金'!#REF!,'#税金'!$N:$U,'#税金'!$X:$Y</definedName>
    <definedName name="Z_20F818A5_0322_41AD_A614_4B41746B0185_.wvu.Cols" localSheetId="12" hidden="1">'#现金流 (新)'!$C:$C,'#现金流 (新)'!$F:$M,'#现金流 (新)'!$P:$Q</definedName>
    <definedName name="Z_20F818A5_0322_41AD_A614_4B41746B0185_.wvu.Cols" localSheetId="14" hidden="1">'#销量数据'!$C:$T</definedName>
    <definedName name="Z_20F818A5_0322_41AD_A614_4B41746B0185_.wvu.Cols" localSheetId="22" hidden="1">钢铁分析!$C:$E</definedName>
    <definedName name="Z_20F818A5_0322_41AD_A614_4B41746B0185_.wvu.Cols" localSheetId="34" hidden="1">'利润（汇总）'!$D:$L</definedName>
    <definedName name="Z_20F818A5_0322_41AD_A614_4B41746B0185_.wvu.Cols" localSheetId="32" hidden="1">'收入（关联）'!$C:$K</definedName>
    <definedName name="Z_20F818A5_0322_41AD_A614_4B41746B0185_.wvu.Cols" localSheetId="30" hidden="1">'收入（汇总）'!$D:$L</definedName>
    <definedName name="Z_20F818A5_0322_41AD_A614_4B41746B0185_.wvu.PrintArea" localSheetId="15" hidden="1">'#母公司报表'!$A$1:$P$68</definedName>
    <definedName name="Z_20F818A5_0322_41AD_A614_4B41746B0185_.wvu.Rows" localSheetId="13" hidden="1">'#存货'!$6:$6</definedName>
    <definedName name="Z_20F818A5_0322_41AD_A614_4B41746B0185_.wvu.Rows" localSheetId="17" hidden="1">'#经营利润'!$11:$11,'#经营利润'!$35:$35,'#经营利润'!$29:$35,'#经营利润'!$40:$42</definedName>
    <definedName name="Z_20F818A5_0322_41AD_A614_4B41746B0185_.wvu.Rows" localSheetId="18" hidden="1">'#利润建议'!$11:$11,'#利润建议'!$35:$35,'#利润建议'!$25:$35,'#利润建议'!$40:$42</definedName>
    <definedName name="Z_20F818A5_0322_41AD_A614_4B41746B0185_.wvu.Rows" localSheetId="15" hidden="1">'#母公司报表'!$115:$120</definedName>
    <definedName name="Z_22C86560_F6B3_4DAB_9875_30AFDFEF5635_.wvu.Cols" localSheetId="13" hidden="1">'#存货'!$E:$G,'#存货'!$N:$AN</definedName>
    <definedName name="Z_22C86560_F6B3_4DAB_9875_30AFDFEF5635_.wvu.Cols" localSheetId="17" hidden="1">'#经营利润'!$D:$E,'#经营利润'!$L:$AC</definedName>
    <definedName name="Z_22C86560_F6B3_4DAB_9875_30AFDFEF5635_.wvu.Cols" localSheetId="15" hidden="1">'#母公司报表'!$P:$P</definedName>
    <definedName name="Z_22C86560_F6B3_4DAB_9875_30AFDFEF5635_.wvu.Cols" localSheetId="10" hidden="1">'#税金'!$B:$B,'#税金'!$D:$M,'#税金'!#REF!,'#税金'!$P:$Y</definedName>
    <definedName name="Z_22C86560_F6B3_4DAB_9875_30AFDFEF5635_.wvu.Cols" localSheetId="12" hidden="1">'#现金流 (新)'!$C:$C,'#现金流 (新)'!$H:$Q</definedName>
    <definedName name="Z_22C86560_F6B3_4DAB_9875_30AFDFEF5635_.wvu.Cols" localSheetId="22" hidden="1">钢铁分析!$C:$E</definedName>
    <definedName name="Z_22C86560_F6B3_4DAB_9875_30AFDFEF5635_.wvu.PrintArea" localSheetId="15" hidden="1">'#母公司报表'!$A$1:$P$68</definedName>
    <definedName name="Z_22C86560_F6B3_4DAB_9875_30AFDFEF5635_.wvu.Rows" localSheetId="13" hidden="1">'#存货'!$6:$6</definedName>
    <definedName name="Z_22C86560_F6B3_4DAB_9875_30AFDFEF5635_.wvu.Rows" localSheetId="17" hidden="1">'#经营利润'!$11:$11,'#经营利润'!$35:$35,'#经营利润'!$30:$35,'#经营利润'!$25:$35,'#经营利润'!$40:$42</definedName>
    <definedName name="Z_22C86560_F6B3_4DAB_9875_30AFDFEF5635_.wvu.Rows" localSheetId="18" hidden="1">'#利润建议'!$11:$11,'#利润建议'!$35:$35,'#利润建议'!$26:$35,'#利润建议'!$27:$35,'#利润建议'!$40:$42</definedName>
    <definedName name="Z_22C86560_F6B3_4DAB_9875_30AFDFEF5635_.wvu.Rows" localSheetId="15" hidden="1">'#母公司报表'!$115:$120</definedName>
    <definedName name="Z_22C86560_F6B3_4DAB_9875_30AFDFEF5635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23A43F2F_0A49_4411_B6A1_3C5E156C39FE_.wvu.Cols" localSheetId="13" hidden="1">'#存货'!$E:$Y,'#存货'!$AA:$AB</definedName>
    <definedName name="Z_23A43F2F_0A49_4411_B6A1_3C5E156C39FE_.wvu.Cols" localSheetId="17" hidden="1">'#经营利润'!$D:$S,'#经营利润'!$Z:$AC</definedName>
    <definedName name="Z_23A43F2F_0A49_4411_B6A1_3C5E156C39FE_.wvu.Cols" localSheetId="18" hidden="1">'#利润建议'!$B:$Y,'#利润建议'!$AF:$AN</definedName>
    <definedName name="Z_23A43F2F_0A49_4411_B6A1_3C5E156C39FE_.wvu.Cols" localSheetId="15" hidden="1">'#母公司报表'!$P:$P</definedName>
    <definedName name="Z_23A43F2F_0A49_4411_B6A1_3C5E156C39FE_.wvu.Cols" localSheetId="10" hidden="1">'#税金'!$B:$J,'#税金'!$L:$M,'#税金'!#REF!,'#税金'!$N:$U,'#税金'!$X:$Y</definedName>
    <definedName name="Z_23A43F2F_0A49_4411_B6A1_3C5E156C39FE_.wvu.Cols" localSheetId="12" hidden="1">'#现金流 (新)'!$C:$C,'#现金流 (新)'!$F:$M,'#现金流 (新)'!$P:$Q</definedName>
    <definedName name="Z_23A43F2F_0A49_4411_B6A1_3C5E156C39FE_.wvu.Cols" localSheetId="14" hidden="1">'#销量数据'!$C:$V</definedName>
    <definedName name="Z_23A43F2F_0A49_4411_B6A1_3C5E156C39FE_.wvu.Cols" localSheetId="22" hidden="1">钢铁分析!$C:$E</definedName>
    <definedName name="Z_23A43F2F_0A49_4411_B6A1_3C5E156C39FE_.wvu.Cols" localSheetId="34" hidden="1">'利润（汇总）'!$D:$L</definedName>
    <definedName name="Z_23A43F2F_0A49_4411_B6A1_3C5E156C39FE_.wvu.Cols" localSheetId="32" hidden="1">'收入（关联）'!$C:$K</definedName>
    <definedName name="Z_23A43F2F_0A49_4411_B6A1_3C5E156C39FE_.wvu.Cols" localSheetId="30" hidden="1">'收入（汇总）'!$D:$L</definedName>
    <definedName name="Z_23A43F2F_0A49_4411_B6A1_3C5E156C39FE_.wvu.PrintArea" localSheetId="15" hidden="1">'#母公司报表'!$A$1:$P$68</definedName>
    <definedName name="Z_23A43F2F_0A49_4411_B6A1_3C5E156C39FE_.wvu.Rows" localSheetId="13" hidden="1">'#存货'!$6:$6</definedName>
    <definedName name="Z_23A43F2F_0A49_4411_B6A1_3C5E156C39FE_.wvu.Rows" localSheetId="17" hidden="1">'#经营利润'!$11:$11,'#经营利润'!$35:$35,'#经营利润'!$29:$35,'#经营利润'!$40:$42</definedName>
    <definedName name="Z_23A43F2F_0A49_4411_B6A1_3C5E156C39FE_.wvu.Rows" localSheetId="18" hidden="1">'#利润建议'!$11:$11,'#利润建议'!$35:$35,'#利润建议'!$25:$35,'#利润建议'!$40:$42</definedName>
    <definedName name="Z_23A43F2F_0A49_4411_B6A1_3C5E156C39FE_.wvu.Rows" localSheetId="15" hidden="1">'#母公司报表'!$115:$120</definedName>
    <definedName name="Z_23A43F2F_0A49_4411_B6A1_3C5E156C39FE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24EE5953_5A4A_46D3_BD15_909B1756D055_.wvu.Cols" localSheetId="13" hidden="1">'#存货'!$E:$G,'#存货'!$I:$J,'#存货'!$L:$M</definedName>
    <definedName name="Z_24EE5953_5A4A_46D3_BD15_909B1756D055_.wvu.Cols" localSheetId="17" hidden="1">'#经营利润'!$D:$K,'#经营利润'!$R:$AC</definedName>
    <definedName name="Z_24EE5953_5A4A_46D3_BD15_909B1756D055_.wvu.Cols" localSheetId="18" hidden="1">'#利润建议'!$B:$J,'#利润建议'!$W:$AN</definedName>
    <definedName name="Z_24EE5953_5A4A_46D3_BD15_909B1756D055_.wvu.Cols" localSheetId="15" hidden="1">'#母公司报表'!$J:$O,'#母公司报表'!$P:$P</definedName>
    <definedName name="Z_24EE5953_5A4A_46D3_BD15_909B1756D055_.wvu.Cols" localSheetId="10" hidden="1">'#税金'!$B:$D,'#税金'!$F:$M,'#税金'!#REF!,'#税金'!$N:$O,'#税金'!$R:$Y</definedName>
    <definedName name="Z_24EE5953_5A4A_46D3_BD15_909B1756D055_.wvu.Cols" localSheetId="12" hidden="1">'#现金流 (新)'!$C:$C,'#现金流 (新)'!$F:$H,'#现金流 (新)'!$K:$Q</definedName>
    <definedName name="Z_24EE5953_5A4A_46D3_BD15_909B1756D055_.wvu.Cols" localSheetId="14" hidden="1">'#销量数据'!$C:$H,'#销量数据'!$O:$AB</definedName>
    <definedName name="Z_24EE5953_5A4A_46D3_BD15_909B1756D055_.wvu.Cols" localSheetId="22" hidden="1">钢铁分析!$C:$E</definedName>
    <definedName name="Z_24EE5953_5A4A_46D3_BD15_909B1756D055_.wvu.PrintArea" localSheetId="15" hidden="1">'#母公司报表'!$A$1:$P$68</definedName>
    <definedName name="Z_24EE5953_5A4A_46D3_BD15_909B1756D055_.wvu.Rows" localSheetId="13" hidden="1">'#存货'!$6:$6</definedName>
    <definedName name="Z_24EE5953_5A4A_46D3_BD15_909B1756D055_.wvu.Rows" localSheetId="17" hidden="1">'#经营利润'!#REF!,'#经营利润'!$35:$35,'#经营利润'!$29:$35,'#经营利润'!$27:$42</definedName>
    <definedName name="Z_24EE5953_5A4A_46D3_BD15_909B1756D055_.wvu.Rows" localSheetId="18" hidden="1">'#利润建议'!#REF!,'#利润建议'!$35:$35,'#利润建议'!$25:$35,'#利润建议'!$29:$42</definedName>
    <definedName name="Z_24EE5953_5A4A_46D3_BD15_909B1756D055_.wvu.Rows" localSheetId="15" hidden="1">'#母公司报表'!$115:$120</definedName>
    <definedName name="Z_258218A7_96F4_4F51_9E8F_984D9FF6254E_.wvu.Cols" localSheetId="13" hidden="1">'#存货'!$E:$M,'#存货'!$O:$P,'#存货'!$U:$V</definedName>
    <definedName name="Z_258218A7_96F4_4F51_9E8F_984D9FF6254E_.wvu.Cols" localSheetId="17" hidden="1">'#经营利润'!$F:$O,'#经营利润'!$T:$AC</definedName>
    <definedName name="Z_258218A7_96F4_4F51_9E8F_984D9FF6254E_.wvu.Cols" localSheetId="18" hidden="1">'#利润建议'!$B:$S,'#利润建议'!$Z:$AN</definedName>
    <definedName name="Z_258218A7_96F4_4F51_9E8F_984D9FF6254E_.wvu.Cols" localSheetId="15" hidden="1">'#母公司报表'!$K:$O,'#母公司报表'!$P:$P</definedName>
    <definedName name="Z_258218A7_96F4_4F51_9E8F_984D9FF6254E_.wvu.Cols" localSheetId="10" hidden="1">'#税金'!$B:$E,'#税金'!$G:$M,'#税金'!#REF!,'#税金'!$N:$P,'#税金'!$S:$Y</definedName>
    <definedName name="Z_258218A7_96F4_4F51_9E8F_984D9FF6254E_.wvu.Cols" localSheetId="12" hidden="1">'#现金流 (新)'!$C:$C,'#现金流 (新)'!$F:$J,'#现金流 (新)'!$M:$Q</definedName>
    <definedName name="Z_258218A7_96F4_4F51_9E8F_984D9FF6254E_.wvu.Cols" localSheetId="14" hidden="1">'#销量数据'!$C:$J</definedName>
    <definedName name="Z_258218A7_96F4_4F51_9E8F_984D9FF6254E_.wvu.Cols" localSheetId="39" hidden="1">产品质量!$E:$G,产品质量!$J:$P</definedName>
    <definedName name="Z_258218A7_96F4_4F51_9E8F_984D9FF6254E_.wvu.Cols" localSheetId="34" hidden="1">'利润（汇总）'!$C:$I,'利润（汇总）'!$L:$P</definedName>
    <definedName name="Z_258218A7_96F4_4F51_9E8F_984D9FF6254E_.wvu.Cols" localSheetId="32" hidden="1">'收入（关联）'!$B:$H,'收入（关联）'!$K:$O</definedName>
    <definedName name="Z_258218A7_96F4_4F51_9E8F_984D9FF6254E_.wvu.Cols" localSheetId="30" hidden="1">'收入（汇总）'!$C:$I,'收入（汇总）'!$L:$P</definedName>
    <definedName name="Z_258218A7_96F4_4F51_9E8F_984D9FF6254E_.wvu.PrintArea" localSheetId="18" hidden="1">'#利润建议'!$A$3:$CA$44</definedName>
    <definedName name="Z_258218A7_96F4_4F51_9E8F_984D9FF6254E_.wvu.PrintArea" localSheetId="34" hidden="1">'利润（汇总）'!$B$1:$P$48</definedName>
    <definedName name="Z_258218A7_96F4_4F51_9E8F_984D9FF6254E_.wvu.PrintArea" localSheetId="32" hidden="1">'收入（关联）'!$A$1:$O$48</definedName>
    <definedName name="Z_258218A7_96F4_4F51_9E8F_984D9FF6254E_.wvu.PrintArea" localSheetId="30" hidden="1">'收入（汇总）'!$B$1:$P$51</definedName>
    <definedName name="Z_258218A7_96F4_4F51_9E8F_984D9FF6254E_.wvu.Rows" localSheetId="13" hidden="1">'#存货'!$6:$6,'#存货'!$13:$13,'#存货'!#REF!,'#存货'!$16:$16,'#存货'!#REF!,'#存货'!#REF!,'#存货'!#REF!</definedName>
    <definedName name="Z_258218A7_96F4_4F51_9E8F_984D9FF6254E_.wvu.Rows" localSheetId="18" hidden="1">'#利润建议'!#REF!</definedName>
    <definedName name="Z_258218A7_96F4_4F51_9E8F_984D9FF6254E_.wvu.Rows" localSheetId="15" hidden="1">'#母公司报表'!$115:$120</definedName>
    <definedName name="Z_258218A7_96F4_4F51_9E8F_984D9FF6254E_.wvu.Rows" localSheetId="14" hidden="1">'#销量数据'!$6:$7,'#销量数据'!$27:$28,'#销量数据'!$30:$33,'#销量数据'!$35:$38,'#销量数据'!$41:$44,'#销量数据'!$46:$49,'#销量数据'!$56:$56,'#销量数据'!$61:$62,'#销量数据'!$65:$65,'#销量数据'!#REF!</definedName>
    <definedName name="Z_258218A7_96F4_4F51_9E8F_984D9FF6254E_.wvu.Rows" localSheetId="34" hidden="1">'利润（汇总）'!$34:$34</definedName>
    <definedName name="Z_258218A7_96F4_4F51_9E8F_984D9FF6254E_.wvu.Rows" localSheetId="32" hidden="1">'收入（关联）'!$35:$35</definedName>
    <definedName name="Z_258218A7_96F4_4F51_9E8F_984D9FF6254E_.wvu.Rows" localSheetId="30" hidden="1">'收入（汇总）'!$35:$35</definedName>
    <definedName name="Z_25D0C3AF_91C9_4045_8479_094D59F10765_.wvu.Cols" localSheetId="13" hidden="1">'#存货'!$G:$AN</definedName>
    <definedName name="Z_25D0C3AF_91C9_4045_8479_094D59F10765_.wvu.Cols" localSheetId="5" hidden="1">'@预测#收入利润#'!$J:$K,'@预测#收入利润#'!$R:$S</definedName>
    <definedName name="Z_25D0C3AF_91C9_4045_8479_094D59F10765_.wvu.PrintArea" localSheetId="17" hidden="1">'#经营利润'!$A$3:$BC$46</definedName>
    <definedName name="Z_25D0C3AF_91C9_4045_8479_094D59F10765_.wvu.PrintArea" localSheetId="15" hidden="1">'#母公司报表'!$A$1:$P$68</definedName>
    <definedName name="Z_25D0C3AF_91C9_4045_8479_094D59F10765_.wvu.PrintArea" localSheetId="42" hidden="1">'@产量打印#不锈钢'!$A$3:$K$42</definedName>
    <definedName name="Z_25D0C3AF_91C9_4045_8479_094D59F10765_.wvu.PrintArea" localSheetId="44" hidden="1">'@产量打印#材'!$A$3:$K$35</definedName>
    <definedName name="Z_25D0C3AF_91C9_4045_8479_094D59F10765_.wvu.PrintArea" localSheetId="40" hidden="1">'@产量打印#概况'!$A$4:$Q$30</definedName>
    <definedName name="Z_25D0C3AF_91C9_4045_8479_094D59F10765_.wvu.PrintArea" localSheetId="43" hidden="1">'@产量打印#钢'!$A$3:$K$35</definedName>
    <definedName name="Z_25D0C3AF_91C9_4045_8479_094D59F10765_.wvu.PrintArea" localSheetId="41" hidden="1">'@产量打印#矿产品'!$A$3:$K$46</definedName>
    <definedName name="Z_25D0C3AF_91C9_4045_8479_094D59F10765_.wvu.Rows" localSheetId="13" hidden="1">'#存货'!$6:$6</definedName>
    <definedName name="Z_25D0C3AF_91C9_4045_8479_094D59F10765_.wvu.Rows" localSheetId="17" hidden="1">'#经营利润'!$11:$11</definedName>
    <definedName name="Z_25D0C3AF_91C9_4045_8479_094D59F10765_.wvu.Rows" localSheetId="4" hidden="1">'@预测#经营利润#'!#REF!,'@预测#经营利润#'!$35:$35,'@预测#经营利润#'!$29:$35,'@预测#经营利润#'!$25:$35,'@预测#经营利润#'!$27:$27,'@预测#经营利润#'!$40:$42</definedName>
    <definedName name="Z_25D0C3AF_91C9_4045_8479_094D59F10765_.wvu.Rows" localSheetId="3" hidden="1">'@预测#利润建议# '!$11:$11,'@预测#利润建议# '!$21:$21,'@预测#利润建议# '!$18:$24</definedName>
    <definedName name="Z_27FBA3D5_2487_4A9C_A3CE_5EE78D187DE9_.wvu.Cols" localSheetId="13" hidden="1">'#存货'!$G:$AN</definedName>
    <definedName name="Z_27FBA3D5_2487_4A9C_A3CE_5EE78D187DE9_.wvu.Cols" localSheetId="16" hidden="1">'#经营概况'!$E:$E,'#经营概况'!$L:$N</definedName>
    <definedName name="Z_27FBA3D5_2487_4A9C_A3CE_5EE78D187DE9_.wvu.Cols" localSheetId="12" hidden="1">'#现金流 (新)'!$G:$Q</definedName>
    <definedName name="Z_27FBA3D5_2487_4A9C_A3CE_5EE78D187DE9_.wvu.Cols" localSheetId="5" hidden="1">'@预测#收入利润#'!$J:$K,'@预测#收入利润#'!$R:$S</definedName>
    <definedName name="Z_27FBA3D5_2487_4A9C_A3CE_5EE78D187DE9_.wvu.PrintArea" localSheetId="17" hidden="1">'#经营利润'!$A$3:$BC$46</definedName>
    <definedName name="Z_27FBA3D5_2487_4A9C_A3CE_5EE78D187DE9_.wvu.PrintArea" localSheetId="15" hidden="1">'#母公司报表'!$A$1:$P$68</definedName>
    <definedName name="Z_27FBA3D5_2487_4A9C_A3CE_5EE78D187DE9_.wvu.PrintArea" localSheetId="42" hidden="1">'@产量打印#不锈钢'!$A$3:$K$42</definedName>
    <definedName name="Z_27FBA3D5_2487_4A9C_A3CE_5EE78D187DE9_.wvu.PrintArea" localSheetId="44" hidden="1">'@产量打印#材'!$A$3:$K$35</definedName>
    <definedName name="Z_27FBA3D5_2487_4A9C_A3CE_5EE78D187DE9_.wvu.PrintArea" localSheetId="40" hidden="1">'@产量打印#概况'!$A$4:$Q$30</definedName>
    <definedName name="Z_27FBA3D5_2487_4A9C_A3CE_5EE78D187DE9_.wvu.PrintArea" localSheetId="43" hidden="1">'@产量打印#钢'!$A$3:$K$35</definedName>
    <definedName name="Z_27FBA3D5_2487_4A9C_A3CE_5EE78D187DE9_.wvu.PrintArea" localSheetId="41" hidden="1">'@产量打印#矿产品'!$A$3:$K$46</definedName>
    <definedName name="Z_27FBA3D5_2487_4A9C_A3CE_5EE78D187DE9_.wvu.Rows" localSheetId="13" hidden="1">'#存货'!$6:$6</definedName>
    <definedName name="Z_27FBA3D5_2487_4A9C_A3CE_5EE78D187DE9_.wvu.Rows" localSheetId="17" hidden="1">'#经营利润'!$11:$11</definedName>
    <definedName name="Z_27FBA3D5_2487_4A9C_A3CE_5EE78D187DE9_.wvu.Rows" localSheetId="4" hidden="1">'@预测#经营利润#'!#REF!,'@预测#经营利润#'!$35:$35,'@预测#经营利润#'!$29:$35,'@预测#经营利润#'!$25:$35,'@预测#经营利润#'!$27:$27,'@预测#经营利润#'!$40:$42</definedName>
    <definedName name="Z_27FBA3D5_2487_4A9C_A3CE_5EE78D187DE9_.wvu.Rows" localSheetId="3" hidden="1">'@预测#利润建议# '!$11:$11,'@预测#利润建议# '!$21:$21,'@预测#利润建议# '!$18:$24</definedName>
    <definedName name="Z_28AB2668_B617_4155_8186_96B6FA5AF769_.wvu.Cols" localSheetId="13" hidden="1">'#存货'!$E:$G,'#存货'!$I:$J,'#存货'!$L:$M</definedName>
    <definedName name="Z_28AB2668_B617_4155_8186_96B6FA5AF769_.wvu.Cols" localSheetId="17" hidden="1">'#经营利润'!$D:$I,'#经营利润'!$N:$AC</definedName>
    <definedName name="Z_28AB2668_B617_4155_8186_96B6FA5AF769_.wvu.Cols" localSheetId="18" hidden="1">'#利润建议'!$B:$J,'#利润建议'!$Q:$AN</definedName>
    <definedName name="Z_28AB2668_B617_4155_8186_96B6FA5AF769_.wvu.Cols" localSheetId="15" hidden="1">'#母公司报表'!$H:$O,'#母公司报表'!$P:$P</definedName>
    <definedName name="Z_28AB2668_B617_4155_8186_96B6FA5AF769_.wvu.Cols" localSheetId="10" hidden="1">'#税金'!$B:$D,'#税金'!$F:$M,'#税金'!#REF!,'#税金'!$N:$O,'#税金'!$R:$Y</definedName>
    <definedName name="Z_28AB2668_B617_4155_8186_96B6FA5AF769_.wvu.Cols" localSheetId="12" hidden="1">'#现金流 (新)'!$C:$C,'#现金流 (新)'!$F:$G,'#现金流 (新)'!$J:$Q</definedName>
    <definedName name="Z_28AB2668_B617_4155_8186_96B6FA5AF769_.wvu.Cols" localSheetId="14" hidden="1">'#销量数据'!$C:$H,'#销量数据'!$M:$AB</definedName>
    <definedName name="Z_28AB2668_B617_4155_8186_96B6FA5AF769_.wvu.Cols" localSheetId="22" hidden="1">钢铁分析!$C:$E</definedName>
    <definedName name="Z_28AB2668_B617_4155_8186_96B6FA5AF769_.wvu.Cols" localSheetId="34" hidden="1">'利润（汇总）'!$I:$P</definedName>
    <definedName name="Z_28AB2668_B617_4155_8186_96B6FA5AF769_.wvu.Cols" localSheetId="32" hidden="1">'收入（关联）'!$H:$O</definedName>
    <definedName name="Z_28AB2668_B617_4155_8186_96B6FA5AF769_.wvu.Cols" localSheetId="30" hidden="1">'收入（汇总）'!$I:$P</definedName>
    <definedName name="Z_28AB2668_B617_4155_8186_96B6FA5AF769_.wvu.PrintArea" localSheetId="15" hidden="1">'#母公司报表'!$A$1:$P$68</definedName>
    <definedName name="Z_28AB2668_B617_4155_8186_96B6FA5AF769_.wvu.Rows" localSheetId="13" hidden="1">'#存货'!$6:$6</definedName>
    <definedName name="Z_28AB2668_B617_4155_8186_96B6FA5AF769_.wvu.Rows" localSheetId="17" hidden="1">'#经营利润'!$11:$11,'#经营利润'!$35:$35,'#经营利润'!$30:$30,'#经营利润'!$32:$42</definedName>
    <definedName name="Z_28AB2668_B617_4155_8186_96B6FA5AF769_.wvu.Rows" localSheetId="18" hidden="1">'#利润建议'!$11:$11,'#利润建议'!$35:$35,'#利润建议'!$26:$26,'#利润建议'!$32:$42</definedName>
    <definedName name="Z_28AB2668_B617_4155_8186_96B6FA5AF769_.wvu.Rows" localSheetId="15" hidden="1">'#母公司报表'!$115:$120</definedName>
    <definedName name="Z_28AB2668_B617_4155_8186_96B6FA5AF769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2925FA6C_7258_449A_8802_98E3647A8A35_.wvu.Cols" localSheetId="13" hidden="1">'#存货'!$W:$AN</definedName>
    <definedName name="Z_2925FA6C_7258_449A_8802_98E3647A8A35_.wvu.Cols" localSheetId="10" hidden="1">'#税金'!$B:$B,'#税金'!$D:$M,'#税金'!#REF!,'#税金'!$P:$Y</definedName>
    <definedName name="Z_2925FA6C_7258_449A_8802_98E3647A8A35_.wvu.Cols" localSheetId="12" hidden="1">'#现金流 (新)'!$P:$Q</definedName>
    <definedName name="Z_2925FA6C_7258_449A_8802_98E3647A8A35_.wvu.Cols" localSheetId="39" hidden="1">产品质量!$E:$M</definedName>
    <definedName name="Z_29523C05_A977_4B34_AECD_A37CF818611E_.wvu.PrintArea" localSheetId="15" hidden="1">'#母公司报表'!$A$1:$P$68</definedName>
    <definedName name="Z_29523C05_A977_4B34_AECD_A37CF818611E_.wvu.PrintArea" localSheetId="40" hidden="1">'@产量打印#概况'!$A$4:$Q$30,'@产量打印#矿产品'!$A$3:$K$46,'@产量打印#不锈钢'!$A$3:$K$42,'@产量打印#钢'!$A$3:$K$35,'@产量打印#材'!$A$3:$K$35</definedName>
    <definedName name="Z_2D60DBBD_AAD9_44AC_87DA_94C7C0FF4D09_.wvu.Cols" localSheetId="13" hidden="1">'#存货'!$V:$Y,'#存货'!$AA:$AB,'#存货'!$AD:$AE,'#存货'!$AJ:$AK</definedName>
    <definedName name="Z_2D60DBBD_AAD9_44AC_87DA_94C7C0FF4D09_.wvu.Cols" localSheetId="17" hidden="1">'#经营利润'!$H:$AC</definedName>
    <definedName name="Z_2D60DBBD_AAD9_44AC_87DA_94C7C0FF4D09_.wvu.Cols" localSheetId="18" hidden="1">'#利润建议'!$B:$AE</definedName>
    <definedName name="Z_2D60DBBD_AAD9_44AC_87DA_94C7C0FF4D09_.wvu.Cols" localSheetId="15" hidden="1">'#母公司报表'!$P:$P</definedName>
    <definedName name="Z_2D60DBBD_AAD9_44AC_87DA_94C7C0FF4D09_.wvu.Cols" localSheetId="10" hidden="1">'#税金'!$C:$L,'#税金'!#REF!,'#税金'!$O:$Y</definedName>
    <definedName name="Z_2D60DBBD_AAD9_44AC_87DA_94C7C0FF4D09_.wvu.Cols" localSheetId="12" hidden="1">'#现金流 (新)'!$G:$Q</definedName>
    <definedName name="Z_2D60DBBD_AAD9_44AC_87DA_94C7C0FF4D09_.wvu.Cols" localSheetId="39" hidden="1">产品质量!$D:$K</definedName>
    <definedName name="Z_2D60DBBD_AAD9_44AC_87DA_94C7C0FF4D09_.wvu.Cols" localSheetId="34" hidden="1">'利润（汇总）'!$F:$P</definedName>
    <definedName name="Z_2D60DBBD_AAD9_44AC_87DA_94C7C0FF4D09_.wvu.Cols" localSheetId="32" hidden="1">'收入（关联）'!$E:$O</definedName>
    <definedName name="Z_2D60DBBD_AAD9_44AC_87DA_94C7C0FF4D09_.wvu.Cols" localSheetId="30" hidden="1">'收入（汇总）'!$F:$P</definedName>
    <definedName name="Z_2D60DBBD_AAD9_44AC_87DA_94C7C0FF4D09_.wvu.PrintArea" localSheetId="18" hidden="1">'#利润建议'!$A$1:$CA$35</definedName>
    <definedName name="Z_2D60DBBD_AAD9_44AC_87DA_94C7C0FF4D09_.wvu.PrintArea" localSheetId="15" hidden="1">'#母公司报表'!$A$1:$P$68</definedName>
    <definedName name="Z_2D60DBBD_AAD9_44AC_87DA_94C7C0FF4D09_.wvu.Rows" localSheetId="13" hidden="1">'#存货'!$6:$6,'#存货'!$13:$13,'#存货'!#REF!,'#存货'!$16:$16,'#存货'!#REF!,'#存货'!#REF!,'#存货'!#REF!</definedName>
    <definedName name="Z_2D60DBBD_AAD9_44AC_87DA_94C7C0FF4D09_.wvu.Rows" localSheetId="15" hidden="1">'#母公司报表'!$115:$120</definedName>
    <definedName name="Z_2D60DBBD_AAD9_44AC_87DA_94C7C0FF4D09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2E512F2D_CAE5_415B_BACC_5B627326A139_.wvu.Cols" localSheetId="13" hidden="1">'#存货'!$E:$G,'#存货'!$I:$J,'#存货'!$L:$M</definedName>
    <definedName name="Z_2E512F2D_CAE5_415B_BACC_5B627326A139_.wvu.Cols" localSheetId="17" hidden="1">'#经营利润'!$D:$K,'#经营利润'!$R:$AC</definedName>
    <definedName name="Z_2E512F2D_CAE5_415B_BACC_5B627326A139_.wvu.Cols" localSheetId="18" hidden="1">'#利润建议'!$B:$J,'#利润建议'!$T:$AN</definedName>
    <definedName name="Z_2E512F2D_CAE5_415B_BACC_5B627326A139_.wvu.Cols" localSheetId="15" hidden="1">'#母公司报表'!$H:$O,'#母公司报表'!$P:$P</definedName>
    <definedName name="Z_2E512F2D_CAE5_415B_BACC_5B627326A139_.wvu.Cols" localSheetId="10" hidden="1">'#税金'!$B:$D,'#税金'!$F:$M,'#税金'!#REF!,'#税金'!$N:$O,'#税金'!$R:$Y</definedName>
    <definedName name="Z_2E512F2D_CAE5_415B_BACC_5B627326A139_.wvu.Cols" localSheetId="12" hidden="1">'#现金流 (新)'!$C:$C,'#现金流 (新)'!$F:$H,'#现金流 (新)'!$K:$Q</definedName>
    <definedName name="Z_2E512F2D_CAE5_415B_BACC_5B627326A139_.wvu.Cols" localSheetId="14" hidden="1">'#销量数据'!$C:$H,'#销量数据'!$O:$AB</definedName>
    <definedName name="Z_2E512F2D_CAE5_415B_BACC_5B627326A139_.wvu.Cols" localSheetId="22" hidden="1">钢铁分析!$C:$E</definedName>
    <definedName name="Z_2E512F2D_CAE5_415B_BACC_5B627326A139_.wvu.PrintArea" localSheetId="15" hidden="1">'#母公司报表'!$A$1:$P$68</definedName>
    <definedName name="Z_2E512F2D_CAE5_415B_BACC_5B627326A139_.wvu.Rows" localSheetId="13" hidden="1">'#存货'!$6:$6</definedName>
    <definedName name="Z_2E512F2D_CAE5_415B_BACC_5B627326A139_.wvu.Rows" localSheetId="17" hidden="1">'#经营利润'!$11:$11,'#经营利润'!$35:$35,'#经营利润'!$30:$30,'#经营利润'!$32:$42</definedName>
    <definedName name="Z_2E512F2D_CAE5_415B_BACC_5B627326A139_.wvu.Rows" localSheetId="18" hidden="1">'#利润建议'!$11:$11,'#利润建议'!$35:$35,'#利润建议'!$26:$26,'#利润建议'!$32:$42</definedName>
    <definedName name="Z_2E512F2D_CAE5_415B_BACC_5B627326A139_.wvu.Rows" localSheetId="15" hidden="1">'#母公司报表'!$115:$120</definedName>
    <definedName name="Z_2E512F2D_CAE5_415B_BACC_5B627326A139_.wvu.Rows" localSheetId="14" hidden="1">'#销量数据'!$83:$84</definedName>
    <definedName name="Z_2F47A827_9643_4D8A_AC5D_6B09D79AACF9_.wvu.Cols" localSheetId="13" hidden="1">'#存货'!$F:$G</definedName>
    <definedName name="Z_2F47A827_9643_4D8A_AC5D_6B09D79AACF9_.wvu.Cols" localSheetId="20" hidden="1">'#分板块利润分析'!$J:$J,'#分板块利润分析'!#REF!</definedName>
    <definedName name="Z_2F47A827_9643_4D8A_AC5D_6B09D79AACF9_.wvu.Cols" localSheetId="17" hidden="1">'#经营利润'!$B:$E,'#经营利润'!$J:$AC,'#经营利润'!$BD:$BE</definedName>
    <definedName name="Z_2F47A827_9643_4D8A_AC5D_6B09D79AACF9_.wvu.Cols" localSheetId="18" hidden="1">'#利润建议'!$B:$D</definedName>
    <definedName name="Z_2F47A827_9643_4D8A_AC5D_6B09D79AACF9_.wvu.Cols" localSheetId="12" hidden="1">'#现金流 (新)'!$F:$G,'#现金流 (新)'!$I:$Q</definedName>
    <definedName name="Z_2F47A827_9643_4D8A_AC5D_6B09D79AACF9_.wvu.Cols" localSheetId="5" hidden="1">'@预测#收入利润#'!$T:$U</definedName>
    <definedName name="Z_2F47A827_9643_4D8A_AC5D_6B09D79AACF9_.wvu.Cols" localSheetId="27" hidden="1">Sheet1!$T:$AK</definedName>
    <definedName name="Z_2F47A827_9643_4D8A_AC5D_6B09D79AACF9_.wvu.Cols" localSheetId="35" hidden="1">画图!$O:$O</definedName>
    <definedName name="Z_2F47A827_9643_4D8A_AC5D_6B09D79AACF9_.wvu.PrintArea" localSheetId="17" hidden="1">'#经营利润'!$A$3:$BC$46</definedName>
    <definedName name="Z_2F47A827_9643_4D8A_AC5D_6B09D79AACF9_.wvu.PrintArea" localSheetId="15" hidden="1">'#母公司报表'!$A$1:$P$68</definedName>
    <definedName name="Z_2F47A827_9643_4D8A_AC5D_6B09D79AACF9_.wvu.PrintArea" localSheetId="42" hidden="1">'@产量打印#不锈钢'!$A$3:$K$42</definedName>
    <definedName name="Z_2F47A827_9643_4D8A_AC5D_6B09D79AACF9_.wvu.PrintArea" localSheetId="44" hidden="1">'@产量打印#材'!$A$3:$K$35</definedName>
    <definedName name="Z_2F47A827_9643_4D8A_AC5D_6B09D79AACF9_.wvu.PrintArea" localSheetId="40" hidden="1">'@产量打印#概况'!$A$4:$Q$30</definedName>
    <definedName name="Z_2F47A827_9643_4D8A_AC5D_6B09D79AACF9_.wvu.PrintArea" localSheetId="43" hidden="1">'@产量打印#钢'!$A$3:$K$35</definedName>
    <definedName name="Z_2F47A827_9643_4D8A_AC5D_6B09D79AACF9_.wvu.PrintArea" localSheetId="41" hidden="1">'@产量打印#矿产品'!$A$3:$K$46</definedName>
    <definedName name="Z_2F47A827_9643_4D8A_AC5D_6B09D79AACF9_.wvu.PrintArea" localSheetId="6" hidden="1">'@预测#股份关联价（打印）'!$B$3:$K$22</definedName>
    <definedName name="Z_2F47A827_9643_4D8A_AC5D_6B09D79AACF9_.wvu.PrintArea" localSheetId="27" hidden="1">Sheet1!$A$3:$AN$11</definedName>
    <definedName name="Z_2F47A827_9643_4D8A_AC5D_6B09D79AACF9_.wvu.Rows" localSheetId="13" hidden="1">'#存货'!$6:$6</definedName>
    <definedName name="Z_2F47A827_9643_4D8A_AC5D_6B09D79AACF9_.wvu.Rows" localSheetId="20" hidden="1">'#分板块利润分析'!$70:$72,'#分板块利润分析'!$78:$81</definedName>
    <definedName name="Z_2F47A827_9643_4D8A_AC5D_6B09D79AACF9_.wvu.Rows" localSheetId="17" hidden="1">'#经营利润'!$10:$11,'#经营利润'!$14:$36,'#经营利润'!$40:$42</definedName>
    <definedName name="Z_2F47A827_9643_4D8A_AC5D_6B09D79AACF9_.wvu.Rows" localSheetId="18" hidden="1">'#利润建议'!$10:$11,'#利润建议'!$14:$36,'#利润建议'!$40:$42</definedName>
    <definedName name="Z_2F47A827_9643_4D8A_AC5D_6B09D79AACF9_.wvu.Rows" localSheetId="11" hidden="1">'#子分公司分析'!$9:$9,'#子分公司分析'!$14:$15,'#子分公司分析'!$29:$29</definedName>
    <definedName name="Z_2F47A827_9643_4D8A_AC5D_6B09D79AACF9_.wvu.Rows" localSheetId="4" hidden="1">'@预测#经营利润#'!$10:$10,'@预测#经营利润#'!$27:$36,'@预测#经营利润#'!$40:$42</definedName>
    <definedName name="Z_2F47A827_9643_4D8A_AC5D_6B09D79AACF9_.wvu.Rows" localSheetId="3" hidden="1">'@预测#利润建议# '!$18:$21,'@预测#利润建议# '!$23:$42</definedName>
    <definedName name="Z_2FDAE200_BA28_4C34_9C86_C1CD393A6C8A_.wvu.Cols" localSheetId="13" hidden="1">'#存货'!$E:$G,'#存货'!$I:$J,'#存货'!$N:$AN</definedName>
    <definedName name="Z_2FDAE200_BA28_4C34_9C86_C1CD393A6C8A_.wvu.Cols" localSheetId="17" hidden="1">'#经营利润'!$D:$G,'#经营利润'!$L:$AC</definedName>
    <definedName name="Z_2FDAE200_BA28_4C34_9C86_C1CD393A6C8A_.wvu.Cols" localSheetId="18" hidden="1">'#利润建议'!$B:$G,'#利润建议'!$N:$AN</definedName>
    <definedName name="Z_2FDAE200_BA28_4C34_9C86_C1CD393A6C8A_.wvu.Cols" localSheetId="15" hidden="1">'#母公司报表'!$G:$O,'#母公司报表'!$P:$P</definedName>
    <definedName name="Z_2FDAE200_BA28_4C34_9C86_C1CD393A6C8A_.wvu.Cols" localSheetId="10" hidden="1">'#税金'!$B:$C,'#税金'!$E:$M,'#税金'!#REF!,'#税金'!$N:$N,'#税金'!$Q:$Y</definedName>
    <definedName name="Z_2FDAE200_BA28_4C34_9C86_C1CD393A6C8A_.wvu.Cols" localSheetId="12" hidden="1">'#现金流 (新)'!$C:$C,'#现金流 (新)'!$F:$F,'#现金流 (新)'!$I:$Q</definedName>
    <definedName name="Z_2FDAE200_BA28_4C34_9C86_C1CD393A6C8A_.wvu.Cols" localSheetId="14" hidden="1">'#销量数据'!$K:$AB</definedName>
    <definedName name="Z_2FDAE200_BA28_4C34_9C86_C1CD393A6C8A_.wvu.Cols" localSheetId="22" hidden="1">钢铁分析!$C:$E</definedName>
    <definedName name="Z_2FDAE200_BA28_4C34_9C86_C1CD393A6C8A_.wvu.Cols" localSheetId="34" hidden="1">'利润（汇总）'!$D:$D</definedName>
    <definedName name="Z_2FDAE200_BA28_4C34_9C86_C1CD393A6C8A_.wvu.Cols" localSheetId="32" hidden="1">'收入（关联）'!$C:$C</definedName>
    <definedName name="Z_2FDAE200_BA28_4C34_9C86_C1CD393A6C8A_.wvu.Cols" localSheetId="30" hidden="1">'收入（汇总）'!$D:$D</definedName>
    <definedName name="Z_2FDAE200_BA28_4C34_9C86_C1CD393A6C8A_.wvu.PrintArea" localSheetId="15" hidden="1">'#母公司报表'!$A$1:$P$68</definedName>
    <definedName name="Z_2FDAE200_BA28_4C34_9C86_C1CD393A6C8A_.wvu.Rows" localSheetId="13" hidden="1">'#存货'!$6:$6</definedName>
    <definedName name="Z_2FDAE200_BA28_4C34_9C86_C1CD393A6C8A_.wvu.Rows" localSheetId="17" hidden="1">'#经营利润'!$11:$11,'#经营利润'!$35:$35,'#经营利润'!$30:$30,'#经营利润'!$32:$42</definedName>
    <definedName name="Z_2FDAE200_BA28_4C34_9C86_C1CD393A6C8A_.wvu.Rows" localSheetId="18" hidden="1">'#利润建议'!$11:$11,'#利润建议'!$35:$35,'#利润建议'!$26:$35,'#利润建议'!$40:$42</definedName>
    <definedName name="Z_2FDAE200_BA28_4C34_9C86_C1CD393A6C8A_.wvu.Rows" localSheetId="15" hidden="1">'#母公司报表'!$115:$120</definedName>
    <definedName name="Z_2FDAE200_BA28_4C34_9C86_C1CD393A6C8A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303A9D89_611D_4504_BCAA_071C53B021F7_.wvu.Cols" localSheetId="26" hidden="1">'#采购&amp;股份关联'!$D:$S</definedName>
    <definedName name="Z_303A9D89_611D_4504_BCAA_071C53B021F7_.wvu.Cols" localSheetId="17" hidden="1">'#经营利润'!$L:$AC</definedName>
    <definedName name="Z_303A9D89_611D_4504_BCAA_071C53B021F7_.wvu.Cols" localSheetId="18" hidden="1">'#利润建议'!$B:$AN,'#利润建议'!$AX:$BX</definedName>
    <definedName name="Z_303A9D89_611D_4504_BCAA_071C53B021F7_.wvu.Cols" localSheetId="12" hidden="1">'#现金流 (新)'!$C:$Q,'#现金流 (新)'!$S:$AE,'#现金流 (新)'!$AJ:$AJ,'#现金流 (新)'!$AM:$AM</definedName>
    <definedName name="Z_303A9D89_611D_4504_BCAA_071C53B021F7_.wvu.Cols" localSheetId="21" hidden="1">'@分析#利润分析#'!$D:$D</definedName>
    <definedName name="Z_303A9D89_611D_4504_BCAA_071C53B021F7_.wvu.Cols" localSheetId="1" hidden="1">'@预测#利润分析#'!$D:$D</definedName>
    <definedName name="Z_303A9D89_611D_4504_BCAA_071C53B021F7_.wvu.Cols" localSheetId="27" hidden="1">Sheet1!$T:$AK</definedName>
    <definedName name="Z_303A9D89_611D_4504_BCAA_071C53B021F7_.wvu.Cols" localSheetId="35" hidden="1">画图!$K:$O</definedName>
    <definedName name="Z_303A9D89_611D_4504_BCAA_071C53B021F7_.wvu.PrintArea" localSheetId="17" hidden="1">'#经营利润'!$A$3:$BC$46</definedName>
    <definedName name="Z_303A9D89_611D_4504_BCAA_071C53B021F7_.wvu.PrintArea" localSheetId="15" hidden="1">'#母公司报表'!$A$1:$P$68</definedName>
    <definedName name="Z_303A9D89_611D_4504_BCAA_071C53B021F7_.wvu.PrintArea" localSheetId="42" hidden="1">'@产量打印#不锈钢'!$A$3:$K$42</definedName>
    <definedName name="Z_303A9D89_611D_4504_BCAA_071C53B021F7_.wvu.PrintArea" localSheetId="44" hidden="1">'@产量打印#材'!$A$3:$K$35</definedName>
    <definedName name="Z_303A9D89_611D_4504_BCAA_071C53B021F7_.wvu.PrintArea" localSheetId="40" hidden="1">'@产量打印#概况'!$A$4:$Q$30</definedName>
    <definedName name="Z_303A9D89_611D_4504_BCAA_071C53B021F7_.wvu.PrintArea" localSheetId="43" hidden="1">'@产量打印#钢'!$A$3:$K$35</definedName>
    <definedName name="Z_303A9D89_611D_4504_BCAA_071C53B021F7_.wvu.PrintArea" localSheetId="41" hidden="1">'@产量打印#矿产品'!$A$3:$K$46</definedName>
    <definedName name="Z_303A9D89_611D_4504_BCAA_071C53B021F7_.wvu.PrintArea" localSheetId="6" hidden="1">'@预测#股份关联价（打印）'!$B$3:$K$22</definedName>
    <definedName name="Z_303A9D89_611D_4504_BCAA_071C53B021F7_.wvu.PrintArea" localSheetId="27" hidden="1">Sheet1!$A$3:$AN$11</definedName>
    <definedName name="Z_303A9D89_611D_4504_BCAA_071C53B021F7_.wvu.Rows" localSheetId="13" hidden="1">'#存货'!$6:$6</definedName>
    <definedName name="Z_303A9D89_611D_4504_BCAA_071C53B021F7_.wvu.Rows" localSheetId="20" hidden="1">'#分板块利润分析'!$70:$72,'#分板块利润分析'!$78:$81</definedName>
    <definedName name="Z_303A9D89_611D_4504_BCAA_071C53B021F7_.wvu.Rows" localSheetId="18" hidden="1">'#利润建议'!$10:$11,'#利润建议'!$17:$22,'#利润建议'!$25:$42</definedName>
    <definedName name="Z_303A9D89_611D_4504_BCAA_071C53B021F7_.wvu.Rows" localSheetId="21" hidden="1">'@分析#利润分析#'!$58:$58</definedName>
    <definedName name="Z_303A9D89_611D_4504_BCAA_071C53B021F7_.wvu.Rows" localSheetId="6" hidden="1">'@预测#股份关联价（打印）'!$30:$30</definedName>
    <definedName name="Z_303A9D89_611D_4504_BCAA_071C53B021F7_.wvu.Rows" localSheetId="1" hidden="1">'@预测#利润分析#'!$59:$59</definedName>
    <definedName name="Z_3161D81E_9240_4559_86A1_CBB00E9B0855_.wvu.Cols" localSheetId="17" hidden="1">'#经营利润'!$F:$F,'#经营利润'!$L:$AC</definedName>
    <definedName name="Z_3161D81E_9240_4559_86A1_CBB00E9B0855_.wvu.Cols" localSheetId="12" hidden="1">'#现金流 (新)'!$I:$Q</definedName>
    <definedName name="Z_3161D81E_9240_4559_86A1_CBB00E9B0855_.wvu.Cols" localSheetId="34" hidden="1">'利润（汇总）'!$D:$D,'利润（汇总）'!$H:$P</definedName>
    <definedName name="Z_3161D81E_9240_4559_86A1_CBB00E9B0855_.wvu.Cols" localSheetId="32" hidden="1">'收入（关联）'!$C:$C,'收入（关联）'!$G:$O</definedName>
    <definedName name="Z_3161D81E_9240_4559_86A1_CBB00E9B0855_.wvu.Cols" localSheetId="30" hidden="1">'收入（汇总）'!$D:$D,'收入（汇总）'!$H:$P</definedName>
    <definedName name="Z_31DA5DA5_F8F2_46A1_BF0F_3BAD805BD047_.wvu.Cols" localSheetId="13" hidden="1">'#存货'!$E:$AB,'#存货'!$AD:$AE</definedName>
    <definedName name="Z_31DA5DA5_F8F2_46A1_BF0F_3BAD805BD047_.wvu.Cols" localSheetId="17" hidden="1">'#经营利润'!$D:$U,'#经营利润'!$Z:$AC</definedName>
    <definedName name="Z_31DA5DA5_F8F2_46A1_BF0F_3BAD805BD047_.wvu.Cols" localSheetId="18" hidden="1">'#利润建议'!$B:$AB,'#利润建议'!$AI:$AN</definedName>
    <definedName name="Z_31DA5DA5_F8F2_46A1_BF0F_3BAD805BD047_.wvu.Cols" localSheetId="15" hidden="1">'#母公司报表'!$P:$P</definedName>
    <definedName name="Z_31DA5DA5_F8F2_46A1_BF0F_3BAD805BD047_.wvu.Cols" localSheetId="10" hidden="1">'#税金'!$B:$K,'#税金'!$M:$M,'#税金'!#REF!,'#税金'!$N:$V,'#税金'!$Y:$Y</definedName>
    <definedName name="Z_31DA5DA5_F8F2_46A1_BF0F_3BAD805BD047_.wvu.Cols" localSheetId="12" hidden="1">'#现金流 (新)'!$C:$C,'#现金流 (新)'!$F:$M,'#现金流 (新)'!$P:$Q</definedName>
    <definedName name="Z_31DA5DA5_F8F2_46A1_BF0F_3BAD805BD047_.wvu.Cols" localSheetId="14" hidden="1">'#销量数据'!$C:$T,'#销量数据'!$AA:$AB</definedName>
    <definedName name="Z_31DA5DA5_F8F2_46A1_BF0F_3BAD805BD047_.wvu.Cols" localSheetId="22" hidden="1">钢铁分析!$C:$E</definedName>
    <definedName name="Z_31DA5DA5_F8F2_46A1_BF0F_3BAD805BD047_.wvu.Cols" localSheetId="34" hidden="1">'利润（汇总）'!$D:$L</definedName>
    <definedName name="Z_31DA5DA5_F8F2_46A1_BF0F_3BAD805BD047_.wvu.Cols" localSheetId="32" hidden="1">'收入（关联）'!$C:$K</definedName>
    <definedName name="Z_31DA5DA5_F8F2_46A1_BF0F_3BAD805BD047_.wvu.Cols" localSheetId="30" hidden="1">'收入（汇总）'!$D:$L</definedName>
    <definedName name="Z_31DA5DA5_F8F2_46A1_BF0F_3BAD805BD047_.wvu.PrintArea" localSheetId="15" hidden="1">'#母公司报表'!$A$1:$P$68</definedName>
    <definedName name="Z_31DA5DA5_F8F2_46A1_BF0F_3BAD805BD047_.wvu.Rows" localSheetId="13" hidden="1">'#存货'!$6:$6</definedName>
    <definedName name="Z_31DA5DA5_F8F2_46A1_BF0F_3BAD805BD047_.wvu.Rows" localSheetId="17" hidden="1">'#经营利润'!$11:$11,'#经营利润'!$35:$35,'#经营利润'!$29:$35,'#经营利润'!$40:$42</definedName>
    <definedName name="Z_31DA5DA5_F8F2_46A1_BF0F_3BAD805BD047_.wvu.Rows" localSheetId="18" hidden="1">'#利润建议'!$11:$11,'#利润建议'!$35:$35,'#利润建议'!$25:$35,'#利润建议'!$40:$42</definedName>
    <definedName name="Z_31DA5DA5_F8F2_46A1_BF0F_3BAD805BD047_.wvu.Rows" localSheetId="15" hidden="1">'#母公司报表'!$115:$120</definedName>
    <definedName name="Z_31DA5DA5_F8F2_46A1_BF0F_3BAD805BD047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322A45A6_8B26_49B8_A4D9_EFB3C94A758D_.wvu.Cols" localSheetId="13" hidden="1">'#存货'!$D:$BC</definedName>
    <definedName name="Z_322A45A6_8B26_49B8_A4D9_EFB3C94A758D_.wvu.Cols" localSheetId="17" hidden="1">'#经营利润'!$BD:$BE</definedName>
    <definedName name="Z_322A45A6_8B26_49B8_A4D9_EFB3C94A758D_.wvu.Cols" localSheetId="18" hidden="1">'#利润建议'!$B:$BF,'#利润建议'!$BM:$BX</definedName>
    <definedName name="Z_322A45A6_8B26_49B8_A4D9_EFB3C94A758D_.wvu.Cols" localSheetId="15" hidden="1">'#母公司报表'!$D:$N</definedName>
    <definedName name="Z_322A45A6_8B26_49B8_A4D9_EFB3C94A758D_.wvu.Cols" localSheetId="12" hidden="1">'#现金流 (新)'!$C:$Q,'#现金流 (新)'!$S:$AE,'#现金流 (新)'!$AJ:$AJ,'#现金流 (新)'!$AM:$AM</definedName>
    <definedName name="Z_322A45A6_8B26_49B8_A4D9_EFB3C94A758D_.wvu.Cols" localSheetId="11" hidden="1">'#子分公司分析'!$D:$D</definedName>
    <definedName name="Z_322A45A6_8B26_49B8_A4D9_EFB3C94A758D_.wvu.Cols" localSheetId="21" hidden="1">'@分析#利润分析#'!$D:$D</definedName>
    <definedName name="Z_322A45A6_8B26_49B8_A4D9_EFB3C94A758D_.wvu.Cols" localSheetId="1" hidden="1">'@预测#利润分析#'!$D:$D</definedName>
    <definedName name="Z_322A45A6_8B26_49B8_A4D9_EFB3C94A758D_.wvu.Cols" localSheetId="5" hidden="1">'@预测#收入利润#'!$B:$C</definedName>
    <definedName name="Z_322A45A6_8B26_49B8_A4D9_EFB3C94A758D_.wvu.Cols" localSheetId="27" hidden="1">Sheet1!$T:$AK</definedName>
    <definedName name="Z_322A45A6_8B26_49B8_A4D9_EFB3C94A758D_.wvu.Cols" localSheetId="35" hidden="1">画图!$K:$O</definedName>
    <definedName name="Z_322A45A6_8B26_49B8_A4D9_EFB3C94A758D_.wvu.Cols" localSheetId="34" hidden="1">'利润（汇总）'!$U:$U</definedName>
    <definedName name="Z_322A45A6_8B26_49B8_A4D9_EFB3C94A758D_.wvu.Cols" localSheetId="32" hidden="1">'收入（关联）'!$B:$AM</definedName>
    <definedName name="Z_322A45A6_8B26_49B8_A4D9_EFB3C94A758D_.wvu.Cols" localSheetId="30" hidden="1">'收入（汇总）'!$U:$U</definedName>
    <definedName name="Z_322A45A6_8B26_49B8_A4D9_EFB3C94A758D_.wvu.Cols" localSheetId="33" hidden="1">'收入（外部）'!$B:$AM</definedName>
    <definedName name="Z_322A45A6_8B26_49B8_A4D9_EFB3C94A758D_.wvu.PrintArea" localSheetId="16" hidden="1">'#经营概况'!$B$324:$O$377</definedName>
    <definedName name="Z_322A45A6_8B26_49B8_A4D9_EFB3C94A758D_.wvu.PrintArea" localSheetId="17" hidden="1">'#经营利润'!$A$3:$BJ$46</definedName>
    <definedName name="Z_322A45A6_8B26_49B8_A4D9_EFB3C94A758D_.wvu.PrintArea" localSheetId="25" hidden="1">'#利润因素分析（ppt）'!$F$2:$M$19</definedName>
    <definedName name="Z_322A45A6_8B26_49B8_A4D9_EFB3C94A758D_.wvu.PrintArea" localSheetId="15" hidden="1">'#母公司报表'!$A$1:$P$68</definedName>
    <definedName name="Z_322A45A6_8B26_49B8_A4D9_EFB3C94A758D_.wvu.PrintArea" localSheetId="42" hidden="1">'@产量打印#不锈钢'!$A$3:$K$42</definedName>
    <definedName name="Z_322A45A6_8B26_49B8_A4D9_EFB3C94A758D_.wvu.PrintArea" localSheetId="44" hidden="1">'@产量打印#材'!$A$3:$K$35</definedName>
    <definedName name="Z_322A45A6_8B26_49B8_A4D9_EFB3C94A758D_.wvu.PrintArea" localSheetId="40" hidden="1">'@产量打印#概况'!$A$4:$Q$30</definedName>
    <definedName name="Z_322A45A6_8B26_49B8_A4D9_EFB3C94A758D_.wvu.PrintArea" localSheetId="43" hidden="1">'@产量打印#钢'!$A$3:$K$35</definedName>
    <definedName name="Z_322A45A6_8B26_49B8_A4D9_EFB3C94A758D_.wvu.PrintArea" localSheetId="41" hidden="1">'@产量打印#矿产品'!$A$3:$K$46</definedName>
    <definedName name="Z_322A45A6_8B26_49B8_A4D9_EFB3C94A758D_.wvu.PrintArea" localSheetId="0" hidden="1">'@预测#概况#'!$B$173:$O$196</definedName>
    <definedName name="Z_322A45A6_8B26_49B8_A4D9_EFB3C94A758D_.wvu.PrintArea" localSheetId="6" hidden="1">'@预测#股份关联价（打印）'!$B$3:$K$37</definedName>
    <definedName name="Z_322A45A6_8B26_49B8_A4D9_EFB3C94A758D_.wvu.PrintArea" localSheetId="27" hidden="1">Sheet1!$A$3:$AN$11</definedName>
    <definedName name="Z_322A45A6_8B26_49B8_A4D9_EFB3C94A758D_.wvu.PrintArea" localSheetId="33" hidden="1">'收入（外部）'!$A$1:$AB$42</definedName>
    <definedName name="Z_322A45A6_8B26_49B8_A4D9_EFB3C94A758D_.wvu.Rows" localSheetId="13" hidden="1">'#存货'!$6:$6</definedName>
    <definedName name="Z_322A45A6_8B26_49B8_A4D9_EFB3C94A758D_.wvu.Rows" localSheetId="20" hidden="1">'#分板块利润分析'!$70:$72</definedName>
    <definedName name="Z_322A45A6_8B26_49B8_A4D9_EFB3C94A758D_.wvu.Rows" localSheetId="16" hidden="1">'#经营概况'!$98:$99,'#经营概况'!$179:$179</definedName>
    <definedName name="Z_322A45A6_8B26_49B8_A4D9_EFB3C94A758D_.wvu.Rows" localSheetId="17" hidden="1">'#经营利润'!$17:$22,'#经营利润'!$25:$25,'#经营利润'!$27:$42</definedName>
    <definedName name="Z_322A45A6_8B26_49B8_A4D9_EFB3C94A758D_.wvu.Rows" localSheetId="18" hidden="1">'#利润建议'!$17:$22,'#利润建议'!$25:$42,'#利润建议'!$65:$88</definedName>
    <definedName name="Z_322A45A6_8B26_49B8_A4D9_EFB3C94A758D_.wvu.Rows" localSheetId="11" hidden="1">'#子分公司分析'!$4:$7,'#子分公司分析'!$11:$14,'#子分公司分析'!$17:$21,'#子分公司分析'!$23:$38</definedName>
    <definedName name="Z_322A45A6_8B26_49B8_A4D9_EFB3C94A758D_.wvu.Rows" localSheetId="1" hidden="1">'@预测#利润分析#'!$59:$59</definedName>
    <definedName name="Z_322A45A6_8B26_49B8_A4D9_EFB3C94A758D_.wvu.Rows" localSheetId="3" hidden="1">'@预测#利润建议# '!$18:$21,'@预测#利润建议# '!$23:$42,'@预测#利润建议# '!$44:$48</definedName>
    <definedName name="Z_36E40B02_4C89_4FF7_B122_C7E925F860B7_.wvu.Cols" localSheetId="13" hidden="1">'#存货'!$G:$AN</definedName>
    <definedName name="Z_36E40B02_4C89_4FF7_B122_C7E925F860B7_.wvu.Cols" localSheetId="5" hidden="1">'@预测#收入利润#'!$J:$K,'@预测#收入利润#'!$R:$S</definedName>
    <definedName name="Z_36E40B02_4C89_4FF7_B122_C7E925F860B7_.wvu.PrintArea" localSheetId="17" hidden="1">'#经营利润'!$A$3:$BC$46</definedName>
    <definedName name="Z_36E40B02_4C89_4FF7_B122_C7E925F860B7_.wvu.PrintArea" localSheetId="15" hidden="1">'#母公司报表'!$A$1:$P$68</definedName>
    <definedName name="Z_36E40B02_4C89_4FF7_B122_C7E925F860B7_.wvu.PrintArea" localSheetId="42" hidden="1">'@产量打印#不锈钢'!$A$3:$K$42</definedName>
    <definedName name="Z_36E40B02_4C89_4FF7_B122_C7E925F860B7_.wvu.PrintArea" localSheetId="44" hidden="1">'@产量打印#材'!$A$3:$K$35</definedName>
    <definedName name="Z_36E40B02_4C89_4FF7_B122_C7E925F860B7_.wvu.PrintArea" localSheetId="40" hidden="1">'@产量打印#概况'!$A$4:$Q$30</definedName>
    <definedName name="Z_36E40B02_4C89_4FF7_B122_C7E925F860B7_.wvu.PrintArea" localSheetId="43" hidden="1">'@产量打印#钢'!$A$3:$K$35</definedName>
    <definedName name="Z_36E40B02_4C89_4FF7_B122_C7E925F860B7_.wvu.PrintArea" localSheetId="41" hidden="1">'@产量打印#矿产品'!$A$3:$K$46</definedName>
    <definedName name="Z_36E40B02_4C89_4FF7_B122_C7E925F860B7_.wvu.Rows" localSheetId="13" hidden="1">'#存货'!$6:$6</definedName>
    <definedName name="Z_36E40B02_4C89_4FF7_B122_C7E925F860B7_.wvu.Rows" localSheetId="17" hidden="1">'#经营利润'!$11:$11</definedName>
    <definedName name="Z_36E40B02_4C89_4FF7_B122_C7E925F860B7_.wvu.Rows" localSheetId="4" hidden="1">'@预测#经营利润#'!#REF!,'@预测#经营利润#'!$35:$35,'@预测#经营利润#'!$29:$35,'@预测#经营利润#'!$25:$35,'@预测#经营利润#'!$27:$27,'@预测#经营利润#'!$40:$42</definedName>
    <definedName name="Z_36E40B02_4C89_4FF7_B122_C7E925F860B7_.wvu.Rows" localSheetId="3" hidden="1">'@预测#利润建议# '!$11:$11,'@预测#利润建议# '!$21:$21,'@预测#利润建议# '!$18:$24</definedName>
    <definedName name="Z_37D7BD2A_6431_41E6_A646_EC3C5B574B1C_.wvu.Cols" localSheetId="13" hidden="1">'#存货'!$AC:$AN</definedName>
    <definedName name="Z_37D7BD2A_6431_41E6_A646_EC3C5B574B1C_.wvu.Cols" localSheetId="17" hidden="1">'#经营利润'!$D:$O,'#经营利润'!$X:$Y</definedName>
    <definedName name="Z_37D7BD2A_6431_41E6_A646_EC3C5B574B1C_.wvu.Cols" localSheetId="18" hidden="1">'#利润建议'!$B:$AH</definedName>
    <definedName name="Z_37D7BD2A_6431_41E6_A646_EC3C5B574B1C_.wvu.Cols" localSheetId="15" hidden="1">'#母公司报表'!$L:$O</definedName>
    <definedName name="Z_37D7BD2A_6431_41E6_A646_EC3C5B574B1C_.wvu.Cols" localSheetId="10" hidden="1">'#税金'!$B:$H,'#税金'!$J:$M,'#税金'!#REF!,'#税金'!$N:$S,'#税金'!$V:$Y</definedName>
    <definedName name="Z_37D7BD2A_6431_41E6_A646_EC3C5B574B1C_.wvu.Cols" localSheetId="12" hidden="1">'#现金流 (新)'!$F:$K,'#现金流 (新)'!$N:$Q</definedName>
    <definedName name="Z_37D7BD2A_6431_41E6_A646_EC3C5B574B1C_.wvu.Cols" localSheetId="14" hidden="1">'#销量数据'!$W:$AB</definedName>
    <definedName name="Z_37D7BD2A_6431_41E6_A646_EC3C5B574B1C_.wvu.Cols" localSheetId="39" hidden="1">产品质量!$E:$M</definedName>
    <definedName name="Z_37D7BD2A_6431_41E6_A646_EC3C5B574B1C_.wvu.Cols" localSheetId="34" hidden="1">'利润（汇总）'!$C:$N</definedName>
    <definedName name="Z_37D7BD2A_6431_41E6_A646_EC3C5B574B1C_.wvu.Cols" localSheetId="32" hidden="1">'收入（关联）'!$B:$M</definedName>
    <definedName name="Z_37D7BD2A_6431_41E6_A646_EC3C5B574B1C_.wvu.Cols" localSheetId="30" hidden="1">'收入（汇总）'!$C:$N</definedName>
    <definedName name="Z_37D7BD2A_6431_41E6_A646_EC3C5B574B1C_.wvu.Rows" localSheetId="15" hidden="1">'#母公司报表'!$115:$120</definedName>
    <definedName name="Z_3B943BAF_34C7_494A_A071_85DE0891E5A1_.wvu.Cols" localSheetId="20" hidden="1">'#分板块利润分析'!$J:$J,'#分板块利润分析'!#REF!</definedName>
    <definedName name="Z_3B943BAF_34C7_494A_A071_85DE0891E5A1_.wvu.Cols" localSheetId="17" hidden="1">'#经营利润'!$L:$AC</definedName>
    <definedName name="Z_3B943BAF_34C7_494A_A071_85DE0891E5A1_.wvu.Cols" localSheetId="18" hidden="1">'#利润建议'!$B:$G</definedName>
    <definedName name="Z_3B943BAF_34C7_494A_A071_85DE0891E5A1_.wvu.Cols" localSheetId="31" hidden="1">'#收入完成情况'!$E:$E,'#收入完成情况'!$I:$I,'#收入完成情况'!$M:$M</definedName>
    <definedName name="Z_3B943BAF_34C7_494A_A071_85DE0891E5A1_.wvu.Cols" localSheetId="12" hidden="1">'#现金流 (新)'!$F:$G,'#现金流 (新)'!$I:$Q</definedName>
    <definedName name="Z_3B943BAF_34C7_494A_A071_85DE0891E5A1_.wvu.Cols" localSheetId="5" hidden="1">'@预测#收入利润#'!$B:$D,'@预测#收入利润#'!$F:$G,'@预测#收入利润#'!$J:$K,'@预测#收入利润#'!$P:$P,'@预测#收入利润#'!$T:$V</definedName>
    <definedName name="Z_3B943BAF_34C7_494A_A071_85DE0891E5A1_.wvu.Cols" localSheetId="35" hidden="1">画图!$O:$O</definedName>
    <definedName name="Z_3B943BAF_34C7_494A_A071_85DE0891E5A1_.wvu.Cols" localSheetId="30" hidden="1">'收入（汇总）'!$D:$D</definedName>
    <definedName name="Z_3B943BAF_34C7_494A_A071_85DE0891E5A1_.wvu.PrintArea" localSheetId="17" hidden="1">'#经营利润'!$A$3:$BJ$43</definedName>
    <definedName name="Z_3B943BAF_34C7_494A_A071_85DE0891E5A1_.wvu.PrintArea" localSheetId="18" hidden="1">'#利润建议'!$A$3:$CD$42</definedName>
    <definedName name="Z_3B943BAF_34C7_494A_A071_85DE0891E5A1_.wvu.PrintArea" localSheetId="25" hidden="1">'#利润因素分析（ppt）'!$F$2:$M$21</definedName>
    <definedName name="Z_3B943BAF_34C7_494A_A071_85DE0891E5A1_.wvu.PrintArea" localSheetId="15" hidden="1">'#母公司报表'!$A$1:$P$68</definedName>
    <definedName name="Z_3B943BAF_34C7_494A_A071_85DE0891E5A1_.wvu.PrintArea" localSheetId="31" hidden="1">'#收入完成情况'!$B$3:$Q$44</definedName>
    <definedName name="Z_3B943BAF_34C7_494A_A071_85DE0891E5A1_.wvu.PrintArea" localSheetId="11" hidden="1">'#子分公司分析'!$C$3:$L$37</definedName>
    <definedName name="Z_3B943BAF_34C7_494A_A071_85DE0891E5A1_.wvu.PrintArea" localSheetId="42" hidden="1">'@产量打印#不锈钢'!$A$3:$K$42</definedName>
    <definedName name="Z_3B943BAF_34C7_494A_A071_85DE0891E5A1_.wvu.PrintArea" localSheetId="44" hidden="1">'@产量打印#材'!$A$3:$K$35</definedName>
    <definedName name="Z_3B943BAF_34C7_494A_A071_85DE0891E5A1_.wvu.PrintArea" localSheetId="40" hidden="1">'@产量打印#概况'!$A$4:$Q$30</definedName>
    <definedName name="Z_3B943BAF_34C7_494A_A071_85DE0891E5A1_.wvu.PrintArea" localSheetId="43" hidden="1">'@产量打印#钢'!$A$3:$K$35</definedName>
    <definedName name="Z_3B943BAF_34C7_494A_A071_85DE0891E5A1_.wvu.PrintArea" localSheetId="41" hidden="1">'@产量打印#矿产品'!$A$3:$K$46</definedName>
    <definedName name="Z_3B943BAF_34C7_494A_A071_85DE0891E5A1_.wvu.PrintArea" localSheetId="0" hidden="1">'@预测#概况#'!$B$173:$O$196</definedName>
    <definedName name="Z_3B943BAF_34C7_494A_A071_85DE0891E5A1_.wvu.PrintArea" localSheetId="33" hidden="1">'收入（外部）'!$A$1:$AB$42</definedName>
    <definedName name="Z_3B943BAF_34C7_494A_A071_85DE0891E5A1_.wvu.Rows" localSheetId="13" hidden="1">'#存货'!$6:$6</definedName>
    <definedName name="Z_3B943BAF_34C7_494A_A071_85DE0891E5A1_.wvu.Rows" localSheetId="20" hidden="1">'#分板块利润分析'!$66:$66,'#分板块利润分析'!$70:$72</definedName>
    <definedName name="Z_3B943BAF_34C7_494A_A071_85DE0891E5A1_.wvu.Rows" localSheetId="16" hidden="1">'#经营概况'!$244:$244</definedName>
    <definedName name="Z_3B943BAF_34C7_494A_A071_85DE0891E5A1_.wvu.Rows" localSheetId="0" hidden="1">'@预测#概况#'!$109:$110</definedName>
    <definedName name="Z_3B943BAF_34C7_494A_A071_85DE0891E5A1_.wvu.Rows" localSheetId="4" hidden="1">'@预测#经营利润#'!$10:$11,'@预测#经营利润#'!$29:$42</definedName>
    <definedName name="Z_3B943BAF_34C7_494A_A071_85DE0891E5A1_.wvu.Rows" localSheetId="3" hidden="1">'@预测#利润建议# '!$10:$11,'@预测#利润建议# '!$18:$22,'@预测#利润建议# '!$24:$42</definedName>
    <definedName name="Z_3B943BAF_34C7_494A_A071_85DE0891E5A1_.wvu.Rows" localSheetId="5" hidden="1">'@预测#收入利润#'!#REF!</definedName>
    <definedName name="Z_3CCF3427_8050_4AEC_8A04_4BAA26257820_.wvu.Cols" localSheetId="13" hidden="1">'#存货'!$E:$Y,'#存货'!$AA:$AB</definedName>
    <definedName name="Z_3CCF3427_8050_4AEC_8A04_4BAA26257820_.wvu.Cols" localSheetId="17" hidden="1">'#经营利润'!$D:$S,'#经营利润'!$X:$AC</definedName>
    <definedName name="Z_3CCF3427_8050_4AEC_8A04_4BAA26257820_.wvu.Cols" localSheetId="18" hidden="1">'#利润建议'!$B:$Y,'#利润建议'!$AF:$AN</definedName>
    <definedName name="Z_3CCF3427_8050_4AEC_8A04_4BAA26257820_.wvu.Cols" localSheetId="15" hidden="1">'#母公司报表'!$P:$P</definedName>
    <definedName name="Z_3CCF3427_8050_4AEC_8A04_4BAA26257820_.wvu.Cols" localSheetId="10" hidden="1">'#税金'!$B:$I,'#税金'!$K:$M,'#税金'!#REF!,'#税金'!$N:$T,'#税金'!$W:$Y</definedName>
    <definedName name="Z_3CCF3427_8050_4AEC_8A04_4BAA26257820_.wvu.Cols" localSheetId="12" hidden="1">'#现金流 (新)'!$C:$C,'#现金流 (新)'!$F:$L,'#现金流 (新)'!$O:$Q</definedName>
    <definedName name="Z_3CCF3427_8050_4AEC_8A04_4BAA26257820_.wvu.Cols" localSheetId="14" hidden="1">'#销量数据'!$C:$R,'#销量数据'!$W:$AB</definedName>
    <definedName name="Z_3CCF3427_8050_4AEC_8A04_4BAA26257820_.wvu.Cols" localSheetId="22" hidden="1">钢铁分析!$C:$E</definedName>
    <definedName name="Z_3CCF3427_8050_4AEC_8A04_4BAA26257820_.wvu.Cols" localSheetId="34" hidden="1">'利润（汇总）'!$D:$L,'利润（汇总）'!$N:$P</definedName>
    <definedName name="Z_3CCF3427_8050_4AEC_8A04_4BAA26257820_.wvu.Cols" localSheetId="32" hidden="1">'收入（关联）'!$C:$K,'收入（关联）'!$M:$O</definedName>
    <definedName name="Z_3CCF3427_8050_4AEC_8A04_4BAA26257820_.wvu.Cols" localSheetId="30" hidden="1">'收入（汇总）'!$D:$L,'收入（汇总）'!$N:$P</definedName>
    <definedName name="Z_3CCF3427_8050_4AEC_8A04_4BAA26257820_.wvu.PrintArea" localSheetId="15" hidden="1">'#母公司报表'!$A$1:$P$68</definedName>
    <definedName name="Z_3CCF3427_8050_4AEC_8A04_4BAA26257820_.wvu.Rows" localSheetId="13" hidden="1">'#存货'!$6:$6</definedName>
    <definedName name="Z_3CCF3427_8050_4AEC_8A04_4BAA26257820_.wvu.Rows" localSheetId="17" hidden="1">'#经营利润'!$11:$11,'#经营利润'!$35:$35,'#经营利润'!$29:$35,'#经营利润'!$40:$42</definedName>
    <definedName name="Z_3CCF3427_8050_4AEC_8A04_4BAA26257820_.wvu.Rows" localSheetId="18" hidden="1">'#利润建议'!$11:$11,'#利润建议'!$35:$35,'#利润建议'!$25:$35,'#利润建议'!$40:$42</definedName>
    <definedName name="Z_3CCF3427_8050_4AEC_8A04_4BAA26257820_.wvu.Rows" localSheetId="15" hidden="1">'#母公司报表'!$115:$120</definedName>
    <definedName name="Z_3CCF3427_8050_4AEC_8A04_4BAA26257820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3D52B039_FE93_42E9_B809_02D0F004EAF6_.wvu.Cols" localSheetId="13" hidden="1">'#存货'!$V:$Y,'#存货'!$AA:$AB</definedName>
    <definedName name="Z_3D52B039_FE93_42E9_B809_02D0F004EAF6_.wvu.Cols" localSheetId="17" hidden="1">'#经营利润'!$D:$U,'#经营利润'!$Z:$AC</definedName>
    <definedName name="Z_3D52B039_FE93_42E9_B809_02D0F004EAF6_.wvu.Cols" localSheetId="18" hidden="1">'#利润建议'!$B:$AB,'#利润建议'!$AI:$AN</definedName>
    <definedName name="Z_3D52B039_FE93_42E9_B809_02D0F004EAF6_.wvu.Cols" localSheetId="15" hidden="1">'#母公司报表'!$D:$F,'#母公司报表'!$P:$P</definedName>
    <definedName name="Z_3D52B039_FE93_42E9_B809_02D0F004EAF6_.wvu.Cols" localSheetId="10" hidden="1">'#税金'!$B:$J,'#税金'!$L:$M,'#税金'!$N:$U,'#税金'!$X:$Y</definedName>
    <definedName name="Z_3D52B039_FE93_42E9_B809_02D0F004EAF6_.wvu.Cols" localSheetId="12" hidden="1">'#现金流 (新)'!$F:$M,'#现金流 (新)'!$P:$Q</definedName>
    <definedName name="Z_3D52B039_FE93_42E9_B809_02D0F004EAF6_.wvu.Cols" localSheetId="14" hidden="1">'#销量数据'!$O:$T,'#销量数据'!$Y:$AB</definedName>
    <definedName name="Z_3D52B039_FE93_42E9_B809_02D0F004EAF6_.wvu.Cols" localSheetId="39" hidden="1">产品质量!$D:$K,产品质量!$O:$P</definedName>
    <definedName name="Z_3D52B039_FE93_42E9_B809_02D0F004EAF6_.wvu.Cols" localSheetId="34" hidden="1">'利润（汇总）'!$C:$L,'利润（汇总）'!$O:$P</definedName>
    <definedName name="Z_3D52B039_FE93_42E9_B809_02D0F004EAF6_.wvu.Cols" localSheetId="32" hidden="1">'收入（关联）'!$B:$K,'收入（关联）'!$N:$O</definedName>
    <definedName name="Z_3D52B039_FE93_42E9_B809_02D0F004EAF6_.wvu.Cols" localSheetId="30" hidden="1">'收入（汇总）'!$C:$L,'收入（汇总）'!$O:$P</definedName>
    <definedName name="Z_3D52B039_FE93_42E9_B809_02D0F004EAF6_.wvu.PrintArea" localSheetId="18" hidden="1">'#利润建议'!$A$1:$CA$35</definedName>
    <definedName name="Z_3D52B039_FE93_42E9_B809_02D0F004EAF6_.wvu.PrintArea" localSheetId="15" hidden="1">'#母公司报表'!$A$1:$P$68</definedName>
    <definedName name="Z_3D52B039_FE93_42E9_B809_02D0F004EAF6_.wvu.Rows" localSheetId="13" hidden="1">'#存货'!$6:$6,'#存货'!$13:$13,'#存货'!#REF!,'#存货'!$16:$16,'#存货'!#REF!,'#存货'!#REF!,'#存货'!#REF!</definedName>
    <definedName name="Z_3D52B039_FE93_42E9_B809_02D0F004EAF6_.wvu.Rows" localSheetId="15" hidden="1">'#母公司报表'!$115:$120</definedName>
    <definedName name="Z_3D52B039_FE93_42E9_B809_02D0F004EAF6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3E08BCF4_68DF_438D_8855_BD0E950664B7_.wvu.Cols" localSheetId="13" hidden="1">'#存货'!$E:$G,'#存货'!$I:$J,'#存货'!$L:$M</definedName>
    <definedName name="Z_3E08BCF4_68DF_438D_8855_BD0E950664B7_.wvu.Cols" localSheetId="17" hidden="1">'#经营利润'!$D:$K,'#经营利润'!$T:$AC</definedName>
    <definedName name="Z_3E08BCF4_68DF_438D_8855_BD0E950664B7_.wvu.Cols" localSheetId="18" hidden="1">'#利润建议'!$B:$J,'#利润建议'!$W:$AN</definedName>
    <definedName name="Z_3E08BCF4_68DF_438D_8855_BD0E950664B7_.wvu.Cols" localSheetId="15" hidden="1">'#母公司报表'!$K:$O,'#母公司报表'!$P:$P</definedName>
    <definedName name="Z_3E08BCF4_68DF_438D_8855_BD0E950664B7_.wvu.Cols" localSheetId="10" hidden="1">'#税金'!$B:$D,'#税金'!$F:$M,'#税金'!#REF!,'#税金'!$N:$O,'#税金'!$R:$Y</definedName>
    <definedName name="Z_3E08BCF4_68DF_438D_8855_BD0E950664B7_.wvu.Cols" localSheetId="12" hidden="1">'#现金流 (新)'!$C:$C,'#现金流 (新)'!$F:$H,'#现金流 (新)'!$K:$Q</definedName>
    <definedName name="Z_3E08BCF4_68DF_438D_8855_BD0E950664B7_.wvu.Cols" localSheetId="14" hidden="1">'#销量数据'!$C:$H,'#销量数据'!$O:$AB</definedName>
    <definedName name="Z_3E08BCF4_68DF_438D_8855_BD0E950664B7_.wvu.Cols" localSheetId="22" hidden="1">钢铁分析!$C:$E</definedName>
    <definedName name="Z_3E08BCF4_68DF_438D_8855_BD0E950664B7_.wvu.Cols" localSheetId="34" hidden="1">'利润（汇总）'!$E:$I</definedName>
    <definedName name="Z_3E08BCF4_68DF_438D_8855_BD0E950664B7_.wvu.Cols" localSheetId="32" hidden="1">'收入（关联）'!$D:$H</definedName>
    <definedName name="Z_3E08BCF4_68DF_438D_8855_BD0E950664B7_.wvu.Cols" localSheetId="30" hidden="1">'收入（汇总）'!$E:$I</definedName>
    <definedName name="Z_3E08BCF4_68DF_438D_8855_BD0E950664B7_.wvu.PrintArea" localSheetId="15" hidden="1">'#母公司报表'!$A$1:$P$68</definedName>
    <definedName name="Z_3E08BCF4_68DF_438D_8855_BD0E950664B7_.wvu.Rows" localSheetId="13" hidden="1">'#存货'!$6:$6</definedName>
    <definedName name="Z_3E08BCF4_68DF_438D_8855_BD0E950664B7_.wvu.Rows" localSheetId="17" hidden="1">'#经营利润'!#REF!,'#经营利润'!$35:$35,'#经营利润'!$29:$35,'#经营利润'!$27:$42</definedName>
    <definedName name="Z_3E08BCF4_68DF_438D_8855_BD0E950664B7_.wvu.Rows" localSheetId="18" hidden="1">'#利润建议'!#REF!,'#利润建议'!$35:$35,'#利润建议'!$25:$35,'#利润建议'!$29:$42</definedName>
    <definedName name="Z_3E08BCF4_68DF_438D_8855_BD0E950664B7_.wvu.Rows" localSheetId="15" hidden="1">'#母公司报表'!$115:$120</definedName>
    <definedName name="Z_3ED3BCB8_E8FC_468D_A697_A257182F4B02_.wvu.PrintArea" localSheetId="17" hidden="1">'#经营利润'!$A$3:$BC$46</definedName>
    <definedName name="Z_3ED3BCB8_E8FC_468D_A697_A257182F4B02_.wvu.PrintArea" localSheetId="15" hidden="1">'#母公司报表'!$A$1:$P$68</definedName>
    <definedName name="Z_3ED3BCB8_E8FC_468D_A697_A257182F4B02_.wvu.PrintArea" localSheetId="42" hidden="1">'@产量打印#不锈钢'!$A$3:$K$42</definedName>
    <definedName name="Z_3ED3BCB8_E8FC_468D_A697_A257182F4B02_.wvu.PrintArea" localSheetId="44" hidden="1">'@产量打印#材'!$A$3:$K$35</definedName>
    <definedName name="Z_3ED3BCB8_E8FC_468D_A697_A257182F4B02_.wvu.PrintArea" localSheetId="43" hidden="1">'@产量打印#钢'!$A$3:$K$35</definedName>
    <definedName name="Z_3ED3BCB8_E8FC_468D_A697_A257182F4B02_.wvu.PrintArea" localSheetId="41" hidden="1">'@产量打印#矿产品'!$A$3:$K$46</definedName>
    <definedName name="Z_3ED3BCB8_E8FC_468D_A697_A257182F4B02_.wvu.Rows" localSheetId="17" hidden="1">'#经营利润'!$11:$11</definedName>
    <definedName name="Z_4055C83F_8B00_4BBF_ABF8_63D7786368B0_.wvu.Cols" localSheetId="13" hidden="1">'#存货'!$E:$AE,'#存货'!$AG:$AH</definedName>
    <definedName name="Z_4055C83F_8B00_4BBF_ABF8_63D7786368B0_.wvu.Cols" localSheetId="17" hidden="1">'#经营利润'!$D:$W,'#经营利润'!$AB:$AC</definedName>
    <definedName name="Z_4055C83F_8B00_4BBF_ABF8_63D7786368B0_.wvu.Cols" localSheetId="18" hidden="1">'#利润建议'!$B:$AE,'#利润建议'!$AL:$AN</definedName>
    <definedName name="Z_4055C83F_8B00_4BBF_ABF8_63D7786368B0_.wvu.Cols" localSheetId="15" hidden="1">'#母公司报表'!$P:$P</definedName>
    <definedName name="Z_4055C83F_8B00_4BBF_ABF8_63D7786368B0_.wvu.Cols" localSheetId="10" hidden="1">'#税金'!$B:$K,'#税金'!$M:$M,'#税金'!#REF!,'#税金'!$N:$V,'#税金'!$Y:$Y</definedName>
    <definedName name="Z_4055C83F_8B00_4BBF_ABF8_63D7786368B0_.wvu.Cols" localSheetId="12" hidden="1">'#现金流 (新)'!$C:$C,'#现金流 (新)'!$F:$N,'#现金流 (新)'!$Q:$Q</definedName>
    <definedName name="Z_4055C83F_8B00_4BBF_ABF8_63D7786368B0_.wvu.Cols" localSheetId="14" hidden="1">'#销量数据'!$C:$V,'#销量数据'!$AA:$AB</definedName>
    <definedName name="Z_4055C83F_8B00_4BBF_ABF8_63D7786368B0_.wvu.Cols" localSheetId="22" hidden="1">钢铁分析!$C:$E</definedName>
    <definedName name="Z_4055C83F_8B00_4BBF_ABF8_63D7786368B0_.wvu.Cols" localSheetId="34" hidden="1">'利润（汇总）'!$D:$L</definedName>
    <definedName name="Z_4055C83F_8B00_4BBF_ABF8_63D7786368B0_.wvu.Cols" localSheetId="32" hidden="1">'收入（关联）'!$C:$K</definedName>
    <definedName name="Z_4055C83F_8B00_4BBF_ABF8_63D7786368B0_.wvu.Cols" localSheetId="30" hidden="1">'收入（汇总）'!$D:$L</definedName>
    <definedName name="Z_4055C83F_8B00_4BBF_ABF8_63D7786368B0_.wvu.PrintArea" localSheetId="15" hidden="1">'#母公司报表'!$A$1:$P$68</definedName>
    <definedName name="Z_4055C83F_8B00_4BBF_ABF8_63D7786368B0_.wvu.Rows" localSheetId="13" hidden="1">'#存货'!$6:$6</definedName>
    <definedName name="Z_4055C83F_8B00_4BBF_ABF8_63D7786368B0_.wvu.Rows" localSheetId="17" hidden="1">'#经营利润'!$11:$11,'#经营利润'!$35:$35,'#经营利润'!$29:$35,'#经营利润'!$40:$42</definedName>
    <definedName name="Z_4055C83F_8B00_4BBF_ABF8_63D7786368B0_.wvu.Rows" localSheetId="18" hidden="1">'#利润建议'!$11:$11,'#利润建议'!$35:$35,'#利润建议'!$25:$35,'#利润建议'!$40:$42</definedName>
    <definedName name="Z_4055C83F_8B00_4BBF_ABF8_63D7786368B0_.wvu.Rows" localSheetId="14" hidden="1">'#销量数据'!$6:$7,'#销量数据'!$27:$28,'#销量数据'!$30:$33,'#销量数据'!$35:$38,'#销量数据'!$41:$44,'#销量数据'!$46:$49,'#销量数据'!$56:$59,'#销量数据'!$61:$62,'#销量数据'!$65:$65,'#销量数据'!$81:$81</definedName>
    <definedName name="Z_40AF7B4B_9732_454B_BEBB_CDCA875DE574_.wvu.Cols" localSheetId="13" hidden="1">'#存货'!$F:$G,'#存货'!$K:$AN</definedName>
    <definedName name="Z_40AF7B4B_9732_454B_BEBB_CDCA875DE574_.wvu.Cols" localSheetId="20" hidden="1">'#分板块利润分析'!$E:$E,'#分板块利润分析'!$AA:$AA</definedName>
    <definedName name="Z_40AF7B4B_9732_454B_BEBB_CDCA875DE574_.wvu.Cols" localSheetId="17" hidden="1">'#经营利润'!$C:$E,'#经营利润'!$J:$AC,'#经营利润'!$BD:$BE</definedName>
    <definedName name="Z_40AF7B4B_9732_454B_BEBB_CDCA875DE574_.wvu.Cols" localSheetId="18" hidden="1">'#利润建议'!$B:$D,'#利润建议'!$K:$AN</definedName>
    <definedName name="Z_40AF7B4B_9732_454B_BEBB_CDCA875DE574_.wvu.Cols" localSheetId="31" hidden="1">'#收入完成情况'!$E:$E,'#收入完成情况'!$I:$I</definedName>
    <definedName name="Z_40AF7B4B_9732_454B_BEBB_CDCA875DE574_.wvu.Cols" localSheetId="12" hidden="1">'#现金流 (新)'!$C:$C,'#现金流 (新)'!$H:$Q</definedName>
    <definedName name="Z_40AF7B4B_9732_454B_BEBB_CDCA875DE574_.wvu.Cols" localSheetId="5" hidden="1">'@预测#收入利润#'!$B:$C,'@预测#收入利润#'!$F:$G,'@预测#收入利润#'!$T:$U</definedName>
    <definedName name="Z_40AF7B4B_9732_454B_BEBB_CDCA875DE574_.wvu.Cols" localSheetId="34" hidden="1">'利润（汇总）'!$C:$P</definedName>
    <definedName name="Z_40AF7B4B_9732_454B_BEBB_CDCA875DE574_.wvu.Cols" localSheetId="32" hidden="1">'收入（关联）'!$B:$O</definedName>
    <definedName name="Z_40AF7B4B_9732_454B_BEBB_CDCA875DE574_.wvu.Cols" localSheetId="30" hidden="1">'收入（汇总）'!$C:$P</definedName>
    <definedName name="Z_40AF7B4B_9732_454B_BEBB_CDCA875DE574_.wvu.Cols" localSheetId="33" hidden="1">'收入（外部）'!$B:$O</definedName>
    <definedName name="Z_40AF7B4B_9732_454B_BEBB_CDCA875DE574_.wvu.PrintArea" localSheetId="17" hidden="1">'#经营利润'!$A$3:$BG$43</definedName>
    <definedName name="Z_40AF7B4B_9732_454B_BEBB_CDCA875DE574_.wvu.PrintArea" localSheetId="18" hidden="1">'#利润建议'!$A$3:$CD$44</definedName>
    <definedName name="Z_40AF7B4B_9732_454B_BEBB_CDCA875DE574_.wvu.PrintArea" localSheetId="25" hidden="1">'#利润因素分析（ppt）'!$F$2:$M$21</definedName>
    <definedName name="Z_40AF7B4B_9732_454B_BEBB_CDCA875DE574_.wvu.PrintArea" localSheetId="15" hidden="1">'#母公司报表'!$A$1:$P$68</definedName>
    <definedName name="Z_40AF7B4B_9732_454B_BEBB_CDCA875DE574_.wvu.PrintArea" localSheetId="11" hidden="1">'#子分公司分析'!$C$3:$L$37</definedName>
    <definedName name="Z_40AF7B4B_9732_454B_BEBB_CDCA875DE574_.wvu.PrintArea" localSheetId="42" hidden="1">'@产量打印#不锈钢'!$A$3:$K$42</definedName>
    <definedName name="Z_40AF7B4B_9732_454B_BEBB_CDCA875DE574_.wvu.PrintArea" localSheetId="44" hidden="1">'@产量打印#材'!$A$3:$K$35</definedName>
    <definedName name="Z_40AF7B4B_9732_454B_BEBB_CDCA875DE574_.wvu.PrintArea" localSheetId="40" hidden="1">'@产量打印#概况'!$A$4:$Q$30</definedName>
    <definedName name="Z_40AF7B4B_9732_454B_BEBB_CDCA875DE574_.wvu.PrintArea" localSheetId="43" hidden="1">'@产量打印#钢'!$A$3:$K$35</definedName>
    <definedName name="Z_40AF7B4B_9732_454B_BEBB_CDCA875DE574_.wvu.PrintArea" localSheetId="41" hidden="1">'@产量打印#矿产品'!$A$3:$K$46</definedName>
    <definedName name="Z_40AF7B4B_9732_454B_BEBB_CDCA875DE574_.wvu.PrintArea" localSheetId="33" hidden="1">'收入（外部）'!$A$1:$AB$42</definedName>
    <definedName name="Z_40AF7B4B_9732_454B_BEBB_CDCA875DE574_.wvu.Rows" localSheetId="13" hidden="1">'#存货'!$6:$6</definedName>
    <definedName name="Z_40AF7B4B_9732_454B_BEBB_CDCA875DE574_.wvu.Rows" localSheetId="20" hidden="1">'#分板块利润分析'!$66:$66,'#分板块利润分析'!$70:$72</definedName>
    <definedName name="Z_40AF7B4B_9732_454B_BEBB_CDCA875DE574_.wvu.Rows" localSheetId="16" hidden="1">'#经营概况'!$91:$92,'#经营概况'!$98:$99</definedName>
    <definedName name="Z_40AF7B4B_9732_454B_BEBB_CDCA875DE574_.wvu.Rows" localSheetId="18" hidden="1">'#利润建议'!$10:$11,'#利润建议'!$25:$36,'#利润建议'!$37:$42</definedName>
    <definedName name="Z_40AF7B4B_9732_454B_BEBB_CDCA875DE574_.wvu.Rows" localSheetId="11" hidden="1">'#子分公司分析'!$4:$5,'#子分公司分析'!$11:$12,'#子分公司分析'!$15:$15</definedName>
    <definedName name="Z_40AF7B4B_9732_454B_BEBB_CDCA875DE574_.wvu.Rows" localSheetId="4" hidden="1">'@预测#经营利润#'!$10:$11,'@预测#经营利润#'!$29:$42</definedName>
    <definedName name="Z_40AF7B4B_9732_454B_BEBB_CDCA875DE574_.wvu.Rows" localSheetId="3" hidden="1">'@预测#利润建议# '!$10:$11,'@预测#利润建议# '!$18:$41</definedName>
    <definedName name="Z_41D69301_9D30_4E5C_9B03_8B77210B2A0F_.wvu.Cols" localSheetId="13" hidden="1">'#存货'!$E:$S,'#存货'!$U:$V</definedName>
    <definedName name="Z_41D69301_9D30_4E5C_9B03_8B77210B2A0F_.wvu.Cols" localSheetId="17" hidden="1">'#经营利润'!$D:$O,'#经营利润'!$T:$AC</definedName>
    <definedName name="Z_41D69301_9D30_4E5C_9B03_8B77210B2A0F_.wvu.Cols" localSheetId="18" hidden="1">'#利润建议'!$B:$S,'#利润建议'!$Z:$AN</definedName>
    <definedName name="Z_41D69301_9D30_4E5C_9B03_8B77210B2A0F_.wvu.Cols" localSheetId="15" hidden="1">'#母公司报表'!$K:$O,'#母公司报表'!$P:$P</definedName>
    <definedName name="Z_41D69301_9D30_4E5C_9B03_8B77210B2A0F_.wvu.Cols" localSheetId="10" hidden="1">'#税金'!$B:$G,'#税金'!$I:$M,'#税金'!#REF!,'#税金'!$N:$R,'#税金'!$U:$Y</definedName>
    <definedName name="Z_41D69301_9D30_4E5C_9B03_8B77210B2A0F_.wvu.Cols" localSheetId="12" hidden="1">'#现金流 (新)'!$C:$C,'#现金流 (新)'!$F:$J,'#现金流 (新)'!$M:$Q</definedName>
    <definedName name="Z_41D69301_9D30_4E5C_9B03_8B77210B2A0F_.wvu.Cols" localSheetId="14" hidden="1">'#销量数据'!$C:$N,'#销量数据'!$S:$AB</definedName>
    <definedName name="Z_41D69301_9D30_4E5C_9B03_8B77210B2A0F_.wvu.Cols" localSheetId="22" hidden="1">钢铁分析!$C:$E</definedName>
    <definedName name="Z_41D69301_9D30_4E5C_9B03_8B77210B2A0F_.wvu.Cols" localSheetId="34" hidden="1">'利润（汇总）'!$E:$I</definedName>
    <definedName name="Z_41D69301_9D30_4E5C_9B03_8B77210B2A0F_.wvu.Cols" localSheetId="32" hidden="1">'收入（关联）'!$D:$H</definedName>
    <definedName name="Z_41D69301_9D30_4E5C_9B03_8B77210B2A0F_.wvu.Cols" localSheetId="30" hidden="1">'收入（汇总）'!$E:$I</definedName>
    <definedName name="Z_41D69301_9D30_4E5C_9B03_8B77210B2A0F_.wvu.PrintArea" localSheetId="15" hidden="1">'#母公司报表'!$A$1:$P$68</definedName>
    <definedName name="Z_41D69301_9D30_4E5C_9B03_8B77210B2A0F_.wvu.Rows" localSheetId="13" hidden="1">'#存货'!$6:$6</definedName>
    <definedName name="Z_41D69301_9D30_4E5C_9B03_8B77210B2A0F_.wvu.Rows" localSheetId="17" hidden="1">'#经营利润'!#REF!,'#经营利润'!$35:$35,'#经营利润'!$29:$35,'#经营利润'!$27:$27,'#经营利润'!$40:$42</definedName>
    <definedName name="Z_41D69301_9D30_4E5C_9B03_8B77210B2A0F_.wvu.Rows" localSheetId="18" hidden="1">'#利润建议'!#REF!,'#利润建议'!$35:$35,'#利润建议'!$25:$35,'#利润建议'!$29:$29,'#利润建议'!$40:$42</definedName>
    <definedName name="Z_41D69301_9D30_4E5C_9B03_8B77210B2A0F_.wvu.Rows" localSheetId="15" hidden="1">'#母公司报表'!$115:$120</definedName>
    <definedName name="Z_41D69301_9D30_4E5C_9B03_8B77210B2A0F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43897816_D2F0_4C3D_8F57_E0039BD2296B_.wvu.Cols" localSheetId="13" hidden="1">'#存货'!$F:$G</definedName>
    <definedName name="Z_43897816_D2F0_4C3D_8F57_E0039BD2296B_.wvu.Cols" localSheetId="17" hidden="1">'#经营利润'!$B:$E,'#经营利润'!$G:$W</definedName>
    <definedName name="Z_43897816_D2F0_4C3D_8F57_E0039BD2296B_.wvu.Cols" localSheetId="18" hidden="1">'#利润建议'!$B:$D</definedName>
    <definedName name="Z_43897816_D2F0_4C3D_8F57_E0039BD2296B_.wvu.Cols" localSheetId="12" hidden="1">'#现金流 (新)'!$F:$G,'#现金流 (新)'!$I:$Q</definedName>
    <definedName name="Z_43897816_D2F0_4C3D_8F57_E0039BD2296B_.wvu.Cols" localSheetId="21" hidden="1">'@分析#利润分析#'!$D:$D</definedName>
    <definedName name="Z_43897816_D2F0_4C3D_8F57_E0039BD2296B_.wvu.Cols" localSheetId="0" hidden="1">'@预测#概况#'!$M:$Q</definedName>
    <definedName name="Z_43897816_D2F0_4C3D_8F57_E0039BD2296B_.wvu.Cols" localSheetId="1" hidden="1">'@预测#利润分析#'!$D:$D</definedName>
    <definedName name="Z_43897816_D2F0_4C3D_8F57_E0039BD2296B_.wvu.Cols" localSheetId="5" hidden="1">'@预测#收入利润#'!$B:$D,'@预测#收入利润#'!$F:$G,'@预测#收入利润#'!$P:$P,'@预测#收入利润#'!$T:$V</definedName>
    <definedName name="Z_43897816_D2F0_4C3D_8F57_E0039BD2296B_.wvu.Cols" localSheetId="27" hidden="1">Sheet1!$T:$AK</definedName>
    <definedName name="Z_43897816_D2F0_4C3D_8F57_E0039BD2296B_.wvu.Cols" localSheetId="35" hidden="1">画图!$O:$O</definedName>
    <definedName name="Z_43897816_D2F0_4C3D_8F57_E0039BD2296B_.wvu.PrintArea" localSheetId="17" hidden="1">'#经营利润'!$A$3:$BC$46</definedName>
    <definedName name="Z_43897816_D2F0_4C3D_8F57_E0039BD2296B_.wvu.PrintArea" localSheetId="15" hidden="1">'#母公司报表'!$A$1:$P$68</definedName>
    <definedName name="Z_43897816_D2F0_4C3D_8F57_E0039BD2296B_.wvu.PrintArea" localSheetId="42" hidden="1">'@产量打印#不锈钢'!$A$3:$K$42</definedName>
    <definedName name="Z_43897816_D2F0_4C3D_8F57_E0039BD2296B_.wvu.PrintArea" localSheetId="44" hidden="1">'@产量打印#材'!$A$3:$K$35</definedName>
    <definedName name="Z_43897816_D2F0_4C3D_8F57_E0039BD2296B_.wvu.PrintArea" localSheetId="40" hidden="1">'@产量打印#概况'!$A$4:$Q$30</definedName>
    <definedName name="Z_43897816_D2F0_4C3D_8F57_E0039BD2296B_.wvu.PrintArea" localSheetId="43" hidden="1">'@产量打印#钢'!$A$3:$K$35</definedName>
    <definedName name="Z_43897816_D2F0_4C3D_8F57_E0039BD2296B_.wvu.PrintArea" localSheetId="41" hidden="1">'@产量打印#矿产品'!$A$3:$K$46</definedName>
    <definedName name="Z_43897816_D2F0_4C3D_8F57_E0039BD2296B_.wvu.PrintArea" localSheetId="6" hidden="1">'@预测#股份关联价（打印）'!$B$3:$K$22</definedName>
    <definedName name="Z_43897816_D2F0_4C3D_8F57_E0039BD2296B_.wvu.PrintArea" localSheetId="27" hidden="1">Sheet1!$A$3:$AN$11</definedName>
    <definedName name="Z_43897816_D2F0_4C3D_8F57_E0039BD2296B_.wvu.Rows" localSheetId="13" hidden="1">'#存货'!$6:$6</definedName>
    <definedName name="Z_43897816_D2F0_4C3D_8F57_E0039BD2296B_.wvu.Rows" localSheetId="20" hidden="1">'#分板块利润分析'!$70:$72,'#分板块利润分析'!$78:$81</definedName>
    <definedName name="Z_43897816_D2F0_4C3D_8F57_E0039BD2296B_.wvu.Rows" localSheetId="18" hidden="1">'#利润建议'!$10:$11,'#利润建议'!$14:$36,'#利润建议'!$40:$42</definedName>
    <definedName name="Z_43897816_D2F0_4C3D_8F57_E0039BD2296B_.wvu.Rows" localSheetId="11" hidden="1">'#子分公司分析'!$29:$29</definedName>
    <definedName name="Z_43897816_D2F0_4C3D_8F57_E0039BD2296B_.wvu.Rows" localSheetId="21" hidden="1">'@分析#利润分析#'!$58:$58</definedName>
    <definedName name="Z_43897816_D2F0_4C3D_8F57_E0039BD2296B_.wvu.Rows" localSheetId="4" hidden="1">'@预测#经营利润#'!$10:$11,'@预测#经营利润#'!$17:$22,'@预测#经营利润#'!$25:$42</definedName>
    <definedName name="Z_43897816_D2F0_4C3D_8F57_E0039BD2296B_.wvu.Rows" localSheetId="1" hidden="1">'@预测#利润分析#'!$59:$59</definedName>
    <definedName name="Z_441A69C6_42DB_4802_922B_6A55A1FCE3B5_.wvu.Cols" localSheetId="13" hidden="1">'#存货'!$V:$Y,'#存货'!$AA:$AB,'#存货'!$AD:$AE,'#存货'!$AJ:$AK</definedName>
    <definedName name="Z_441A69C6_42DB_4802_922B_6A55A1FCE3B5_.wvu.Cols" localSheetId="17" hidden="1">'#经营利润'!$D:$Y</definedName>
    <definedName name="Z_441A69C6_42DB_4802_922B_6A55A1FCE3B5_.wvu.Cols" localSheetId="18" hidden="1">'#利润建议'!$B:$AE</definedName>
    <definedName name="Z_441A69C6_42DB_4802_922B_6A55A1FCE3B5_.wvu.Cols" localSheetId="15" hidden="1">'#母公司报表'!$P:$P</definedName>
    <definedName name="Z_441A69C6_42DB_4802_922B_6A55A1FCE3B5_.wvu.Cols" localSheetId="10" hidden="1">'#税金'!$B:$L,'#税金'!#REF!,'#税金'!$N:$W</definedName>
    <definedName name="Z_441A69C6_42DB_4802_922B_6A55A1FCE3B5_.wvu.Cols" localSheetId="12" hidden="1">'#现金流 (新)'!$G:$Q</definedName>
    <definedName name="Z_441A69C6_42DB_4802_922B_6A55A1FCE3B5_.wvu.Cols" localSheetId="14" hidden="1">'#销量数据'!$G:$AB</definedName>
    <definedName name="Z_441A69C6_42DB_4802_922B_6A55A1FCE3B5_.wvu.Cols" localSheetId="39" hidden="1">产品质量!$D:$K</definedName>
    <definedName name="Z_441A69C6_42DB_4802_922B_6A55A1FCE3B5_.wvu.Cols" localSheetId="34" hidden="1">'利润（汇总）'!$D:$M</definedName>
    <definedName name="Z_441A69C6_42DB_4802_922B_6A55A1FCE3B5_.wvu.Cols" localSheetId="32" hidden="1">'收入（关联）'!$C:$L</definedName>
    <definedName name="Z_441A69C6_42DB_4802_922B_6A55A1FCE3B5_.wvu.Cols" localSheetId="30" hidden="1">'收入（汇总）'!$D:$M</definedName>
    <definedName name="Z_441A69C6_42DB_4802_922B_6A55A1FCE3B5_.wvu.PrintArea" localSheetId="18" hidden="1">'#利润建议'!$A$1:$CA$35</definedName>
    <definedName name="Z_441A69C6_42DB_4802_922B_6A55A1FCE3B5_.wvu.PrintArea" localSheetId="15" hidden="1">'#母公司报表'!$A$1:$P$68</definedName>
    <definedName name="Z_441A69C6_42DB_4802_922B_6A55A1FCE3B5_.wvu.Rows" localSheetId="13" hidden="1">'#存货'!$6:$6,'#存货'!$13:$13,'#存货'!#REF!,'#存货'!$16:$16,'#存货'!#REF!,'#存货'!#REF!,'#存货'!#REF!</definedName>
    <definedName name="Z_441A69C6_42DB_4802_922B_6A55A1FCE3B5_.wvu.Rows" localSheetId="15" hidden="1">'#母公司报表'!$115:$120</definedName>
    <definedName name="Z_441A69C6_42DB_4802_922B_6A55A1FCE3B5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4583A87D_5DFF_47BD_849A_FA4AAF2B9CE3_.wvu.Cols" localSheetId="16" hidden="1">'#经营概况'!$I:$K</definedName>
    <definedName name="Z_4583A87D_5DFF_47BD_849A_FA4AAF2B9CE3_.wvu.Cols" localSheetId="17" hidden="1">'#经营利润'!$L:$AC</definedName>
    <definedName name="Z_4583A87D_5DFF_47BD_849A_FA4AAF2B9CE3_.wvu.Cols" localSheetId="18" hidden="1">'#利润建议'!$B:$G</definedName>
    <definedName name="Z_4583A87D_5DFF_47BD_849A_FA4AAF2B9CE3_.wvu.Cols" localSheetId="31" hidden="1">'#收入完成情况'!$E:$E,'#收入完成情况'!$I:$I,'#收入完成情况'!$M:$M</definedName>
    <definedName name="Z_4583A87D_5DFF_47BD_849A_FA4AAF2B9CE3_.wvu.Cols" localSheetId="12" hidden="1">'#现金流 (新)'!$F:$G,'#现金流 (新)'!$I:$Q</definedName>
    <definedName name="Z_4583A87D_5DFF_47BD_849A_FA4AAF2B9CE3_.wvu.Cols" localSheetId="21" hidden="1">'@分析#利润分析#'!$D:$D</definedName>
    <definedName name="Z_4583A87D_5DFF_47BD_849A_FA4AAF2B9CE3_.wvu.Cols" localSheetId="1" hidden="1">'@预测#利润分析#'!$D:$D</definedName>
    <definedName name="Z_4583A87D_5DFF_47BD_849A_FA4AAF2B9CE3_.wvu.Cols" localSheetId="5" hidden="1">'@预测#收入利润#'!$B:$D,'@预测#收入利润#'!$F:$G,'@预测#收入利润#'!$P:$P,'@预测#收入利润#'!$T:$V</definedName>
    <definedName name="Z_4583A87D_5DFF_47BD_849A_FA4AAF2B9CE3_.wvu.Cols" localSheetId="27" hidden="1">Sheet1!$AC:$AK</definedName>
    <definedName name="Z_4583A87D_5DFF_47BD_849A_FA4AAF2B9CE3_.wvu.Cols" localSheetId="35" hidden="1">画图!$O:$O</definedName>
    <definedName name="Z_4583A87D_5DFF_47BD_849A_FA4AAF2B9CE3_.wvu.Cols" localSheetId="30" hidden="1">'收入（汇总）'!$D:$D</definedName>
    <definedName name="Z_4583A87D_5DFF_47BD_849A_FA4AAF2B9CE3_.wvu.PrintArea" localSheetId="17" hidden="1">'#经营利润'!$A$3:$BJ$43</definedName>
    <definedName name="Z_4583A87D_5DFF_47BD_849A_FA4AAF2B9CE3_.wvu.PrintArea" localSheetId="18" hidden="1">'#利润建议'!$A$3:$CD$42</definedName>
    <definedName name="Z_4583A87D_5DFF_47BD_849A_FA4AAF2B9CE3_.wvu.PrintArea" localSheetId="25" hidden="1">'#利润因素分析（ppt）'!$F$2:$M$21</definedName>
    <definedName name="Z_4583A87D_5DFF_47BD_849A_FA4AAF2B9CE3_.wvu.PrintArea" localSheetId="15" hidden="1">'#母公司报表'!$A$1:$P$68</definedName>
    <definedName name="Z_4583A87D_5DFF_47BD_849A_FA4AAF2B9CE3_.wvu.PrintArea" localSheetId="31" hidden="1">'#收入完成情况'!$B$3:$Q$44</definedName>
    <definedName name="Z_4583A87D_5DFF_47BD_849A_FA4AAF2B9CE3_.wvu.PrintArea" localSheetId="11" hidden="1">'#子分公司分析'!$C$3:$L$37</definedName>
    <definedName name="Z_4583A87D_5DFF_47BD_849A_FA4AAF2B9CE3_.wvu.PrintArea" localSheetId="42" hidden="1">'@产量打印#不锈钢'!$A$3:$K$42</definedName>
    <definedName name="Z_4583A87D_5DFF_47BD_849A_FA4AAF2B9CE3_.wvu.PrintArea" localSheetId="44" hidden="1">'@产量打印#材'!$A$3:$K$35</definedName>
    <definedName name="Z_4583A87D_5DFF_47BD_849A_FA4AAF2B9CE3_.wvu.PrintArea" localSheetId="40" hidden="1">'@产量打印#概况'!$A$4:$V$30</definedName>
    <definedName name="Z_4583A87D_5DFF_47BD_849A_FA4AAF2B9CE3_.wvu.PrintArea" localSheetId="43" hidden="1">'@产量打印#钢'!$A$3:$K$35</definedName>
    <definedName name="Z_4583A87D_5DFF_47BD_849A_FA4AAF2B9CE3_.wvu.PrintArea" localSheetId="41" hidden="1">'@产量打印#矿产品'!$A$3:$K$46</definedName>
    <definedName name="Z_4583A87D_5DFF_47BD_849A_FA4AAF2B9CE3_.wvu.PrintArea" localSheetId="0" hidden="1">'@预测#概况#'!$B$173:$O$196</definedName>
    <definedName name="Z_4583A87D_5DFF_47BD_849A_FA4AAF2B9CE3_.wvu.PrintArea" localSheetId="6" hidden="1">'@预测#股份关联价（打印）'!$B$3:$K$22</definedName>
    <definedName name="Z_4583A87D_5DFF_47BD_849A_FA4AAF2B9CE3_.wvu.PrintArea" localSheetId="27" hidden="1">Sheet1!$A$3:$AN$11</definedName>
    <definedName name="Z_4583A87D_5DFF_47BD_849A_FA4AAF2B9CE3_.wvu.PrintArea" localSheetId="33" hidden="1">'收入（外部）'!$A$1:$AB$42</definedName>
    <definedName name="Z_4583A87D_5DFF_47BD_849A_FA4AAF2B9CE3_.wvu.Rows" localSheetId="13" hidden="1">'#存货'!$6:$6</definedName>
    <definedName name="Z_4583A87D_5DFF_47BD_849A_FA4AAF2B9CE3_.wvu.Rows" localSheetId="20" hidden="1">'#分板块利润分析'!$66:$66,'#分板块利润分析'!$70:$72</definedName>
    <definedName name="Z_4583A87D_5DFF_47BD_849A_FA4AAF2B9CE3_.wvu.Rows" localSheetId="16" hidden="1">'#经营概况'!$244:$244</definedName>
    <definedName name="Z_4583A87D_5DFF_47BD_849A_FA4AAF2B9CE3_.wvu.Rows" localSheetId="21" hidden="1">'@分析#利润分析#'!$58:$58</definedName>
    <definedName name="Z_4583A87D_5DFF_47BD_849A_FA4AAF2B9CE3_.wvu.Rows" localSheetId="0" hidden="1">'@预测#概况#'!$109:$110</definedName>
    <definedName name="Z_4583A87D_5DFF_47BD_849A_FA4AAF2B9CE3_.wvu.Rows" localSheetId="4" hidden="1">'@预测#经营利润#'!$10:$11,'@预测#经营利润#'!$29:$42</definedName>
    <definedName name="Z_4583A87D_5DFF_47BD_849A_FA4AAF2B9CE3_.wvu.Rows" localSheetId="1" hidden="1">'@预测#利润分析#'!$59:$59</definedName>
    <definedName name="Z_4583A87D_5DFF_47BD_849A_FA4AAF2B9CE3_.wvu.Rows" localSheetId="3" hidden="1">'@预测#利润建议# '!$18:$21,'@预测#利润建议# '!$23:$42</definedName>
    <definedName name="Z_45B4C0D1_53B6_4553_BFF9_393760B8E0CE_.wvu.Cols" localSheetId="13" hidden="1">'#存货'!$E:$J,'#存货'!$L:$M,'#存货'!$Q:$AN</definedName>
    <definedName name="Z_45B4C0D1_53B6_4553_BFF9_393760B8E0CE_.wvu.Cols" localSheetId="20" hidden="1">'#分板块利润分析'!$C:$C,'#分板块利润分析'!$J:$J,'#分板块利润分析'!#REF!</definedName>
    <definedName name="Z_45B4C0D1_53B6_4553_BFF9_393760B8E0CE_.wvu.Cols" localSheetId="17" hidden="1">'#经营利润'!$BD:$BE,'#经营利润'!$BI:$BI</definedName>
    <definedName name="Z_45B4C0D1_53B6_4553_BFF9_393760B8E0CE_.wvu.Cols" localSheetId="18" hidden="1">'#利润建议'!$B:$J,'#利润建议'!$Q:$AN</definedName>
    <definedName name="Z_45B4C0D1_53B6_4553_BFF9_393760B8E0CE_.wvu.Cols" localSheetId="12" hidden="1">'#现金流 (新)'!$C:$C,'#现金流 (新)'!$F:$G,'#现金流 (新)'!$J:$Q</definedName>
    <definedName name="Z_45B4C0D1_53B6_4553_BFF9_393760B8E0CE_.wvu.Cols" localSheetId="5" hidden="1">'@预测#收入利润#'!$B:$C,'@预测#收入利润#'!$T:$U</definedName>
    <definedName name="Z_45B4C0D1_53B6_4553_BFF9_393760B8E0CE_.wvu.PrintArea" localSheetId="17" hidden="1">'#经营利润'!$A$3:$BJ$46</definedName>
    <definedName name="Z_45B4C0D1_53B6_4553_BFF9_393760B8E0CE_.wvu.PrintArea" localSheetId="15" hidden="1">'#母公司报表'!$A$1:$P$68</definedName>
    <definedName name="Z_45B4C0D1_53B6_4553_BFF9_393760B8E0CE_.wvu.PrintArea" localSheetId="42" hidden="1">'@产量打印#不锈钢'!$A$3:$K$42</definedName>
    <definedName name="Z_45B4C0D1_53B6_4553_BFF9_393760B8E0CE_.wvu.PrintArea" localSheetId="44" hidden="1">'@产量打印#材'!$A$3:$K$35</definedName>
    <definedName name="Z_45B4C0D1_53B6_4553_BFF9_393760B8E0CE_.wvu.PrintArea" localSheetId="40" hidden="1">'@产量打印#概况'!$A$4:$Q$30</definedName>
    <definedName name="Z_45B4C0D1_53B6_4553_BFF9_393760B8E0CE_.wvu.PrintArea" localSheetId="43" hidden="1">'@产量打印#钢'!$A$3:$K$35</definedName>
    <definedName name="Z_45B4C0D1_53B6_4553_BFF9_393760B8E0CE_.wvu.PrintArea" localSheetId="41" hidden="1">'@产量打印#矿产品'!$A$3:$K$46</definedName>
    <definedName name="Z_45B4C0D1_53B6_4553_BFF9_393760B8E0CE_.wvu.PrintArea" localSheetId="33" hidden="1">'收入（外部）'!$A$1:$AB$42</definedName>
    <definedName name="Z_45B4C0D1_53B6_4553_BFF9_393760B8E0CE_.wvu.Rows" localSheetId="13" hidden="1">'#存货'!$6:$6</definedName>
    <definedName name="Z_45B4C0D1_53B6_4553_BFF9_393760B8E0CE_.wvu.Rows" localSheetId="20" hidden="1">'#分板块利润分析'!$70:$72,'#分板块利润分析'!$81:$81</definedName>
    <definedName name="Z_45B4C0D1_53B6_4553_BFF9_393760B8E0CE_.wvu.Rows" localSheetId="16" hidden="1">'#经营概况'!#REF!</definedName>
    <definedName name="Z_45B4C0D1_53B6_4553_BFF9_393760B8E0CE_.wvu.Rows" localSheetId="17" hidden="1">'#经营利润'!$11:$11,'#经营利润'!$35:$35,'#经营利润'!$29:$35,'#经营利润'!$27:$36,'#经营利润'!$37:$42</definedName>
    <definedName name="Z_45B4C0D1_53B6_4553_BFF9_393760B8E0CE_.wvu.Rows" localSheetId="18" hidden="1">'#利润建议'!$10:$11,'#利润建议'!$35:$35,'#利润建议'!$25:$35,'#利润建议'!$29:$36,'#利润建议'!$37:$42</definedName>
    <definedName name="Z_45B4C0D1_53B6_4553_BFF9_393760B8E0CE_.wvu.Rows" localSheetId="11" hidden="1">'#子分公司分析'!$4:$5,'#子分公司分析'!$9:$9,'#子分公司分析'!$11:$12,'#子分公司分析'!$14:$15,'#子分公司分析'!$23:$23</definedName>
    <definedName name="Z_45B4C0D1_53B6_4553_BFF9_393760B8E0CE_.wvu.Rows" localSheetId="4" hidden="1">'@预测#经营利润#'!#REF!,'@预测#经营利润#'!$31:$31,'@预测#经营利润#'!$35:$35,'@预测#经营利润#'!$29:$36,'@预测#经营利润#'!$37:$42</definedName>
    <definedName name="Z_45B4C0D1_53B6_4553_BFF9_393760B8E0CE_.wvu.Rows" localSheetId="3" hidden="1">'@预测#利润建议# '!#REF!,'@预测#利润建议# '!$20:$20,'@预测#利润建议# '!$22:$22,'@预测#利润建议# '!$18:$35,'@预测#利润建议# '!$37:$42</definedName>
    <definedName name="Z_475289CE_C535_4C54_8ED4_FDE49D65733C_.wvu.Cols" localSheetId="13" hidden="1">'#存货'!$E:$M,'#存货'!$O:$P,'#存货'!$T:$AN</definedName>
    <definedName name="Z_475289CE_C535_4C54_8ED4_FDE49D65733C_.wvu.Cols" localSheetId="17" hidden="1">'#经营利润'!$D:$K,'#经营利润'!$R:$AC</definedName>
    <definedName name="Z_475289CE_C535_4C54_8ED4_FDE49D65733C_.wvu.Cols" localSheetId="18" hidden="1">'#利润建议'!$B:$M</definedName>
    <definedName name="Z_475289CE_C535_4C54_8ED4_FDE49D65733C_.wvu.Cols" localSheetId="15" hidden="1">'#母公司报表'!$P:$P</definedName>
    <definedName name="Z_475289CE_C535_4C54_8ED4_FDE49D65733C_.wvu.Cols" localSheetId="10" hidden="1">'#税金'!$B:$E,'#税金'!$G:$M,'#税金'!#REF!,'#税金'!$N:$P,'#税金'!$S:$Y</definedName>
    <definedName name="Z_475289CE_C535_4C54_8ED4_FDE49D65733C_.wvu.Cols" localSheetId="12" hidden="1">'#现金流 (新)'!$C:$C,'#现金流 (新)'!$F:$H,'#现金流 (新)'!$K:$Q</definedName>
    <definedName name="Z_475289CE_C535_4C54_8ED4_FDE49D65733C_.wvu.Cols" localSheetId="14" hidden="1">'#销量数据'!$C:$J,'#销量数据'!$O:$AB</definedName>
    <definedName name="Z_475289CE_C535_4C54_8ED4_FDE49D65733C_.wvu.Cols" localSheetId="22" hidden="1">钢铁分析!$C:$E</definedName>
    <definedName name="Z_475289CE_C535_4C54_8ED4_FDE49D65733C_.wvu.Cols" localSheetId="34" hidden="1">'利润（汇总）'!$C:$G,'利润（汇总）'!$J:$P</definedName>
    <definedName name="Z_475289CE_C535_4C54_8ED4_FDE49D65733C_.wvu.Cols" localSheetId="32" hidden="1">'收入（关联）'!$B:$F,'收入（关联）'!$I:$O</definedName>
    <definedName name="Z_475289CE_C535_4C54_8ED4_FDE49D65733C_.wvu.Cols" localSheetId="30" hidden="1">'收入（汇总）'!$C:$G,'收入（汇总）'!$J:$P</definedName>
    <definedName name="Z_475289CE_C535_4C54_8ED4_FDE49D65733C_.wvu.PrintArea" localSheetId="15" hidden="1">'#母公司报表'!$A$1:$P$68</definedName>
    <definedName name="Z_475289CE_C535_4C54_8ED4_FDE49D65733C_.wvu.Rows" localSheetId="13" hidden="1">'#存货'!$6:$6</definedName>
    <definedName name="Z_475289CE_C535_4C54_8ED4_FDE49D65733C_.wvu.Rows" localSheetId="17" hidden="1">'#经营利润'!$11:$11,'#经营利润'!$35:$35,'#经营利润'!$29:$35,'#经营利润'!$27:$42</definedName>
    <definedName name="Z_475289CE_C535_4C54_8ED4_FDE49D65733C_.wvu.Rows" localSheetId="18" hidden="1">'#利润建议'!$11:$11,'#利润建议'!$35:$35,'#利润建议'!$25:$35,'#利润建议'!$29:$42</definedName>
    <definedName name="Z_475289CE_C535_4C54_8ED4_FDE49D65733C_.wvu.Rows" localSheetId="15" hidden="1">'#母公司报表'!$115:$120</definedName>
    <definedName name="Z_475289CE_C535_4C54_8ED4_FDE49D65733C_.wvu.Rows" localSheetId="14" hidden="1">'#销量数据'!$6:$7,'#销量数据'!$27:$28,'#销量数据'!$30:$33,'#销量数据'!$35:$38,'#销量数据'!$41:$44,'#销量数据'!$46:$49,'#销量数据'!$56:$59,'#销量数据'!$61:$62,'#销量数据'!$65:$65,'#销量数据'!$81:$81,'#销量数据'!$83:$84</definedName>
    <definedName name="Z_48BFFF18_9597_4DF7_A28B_DAB5E2A4B4B1_.wvu.Cols" localSheetId="13" hidden="1">'#存货'!$E:$AE,'#存货'!$AG:$AH</definedName>
    <definedName name="Z_48BFFF18_9597_4DF7_A28B_DAB5E2A4B4B1_.wvu.Cols" localSheetId="17" hidden="1">'#经营利润'!$D:$W,'#经营利润'!$AB:$AC</definedName>
    <definedName name="Z_48BFFF18_9597_4DF7_A28B_DAB5E2A4B4B1_.wvu.Cols" localSheetId="18" hidden="1">'#利润建议'!$B:$AB</definedName>
    <definedName name="Z_48BFFF18_9597_4DF7_A28B_DAB5E2A4B4B1_.wvu.Cols" localSheetId="15" hidden="1">'#母公司报表'!$P:$P</definedName>
    <definedName name="Z_48BFFF18_9597_4DF7_A28B_DAB5E2A4B4B1_.wvu.Cols" localSheetId="10" hidden="1">'#税金'!$B:$K,'#税金'!$M:$M,'#税金'!#REF!,'#税金'!$N:$V,'#税金'!$Y:$Y</definedName>
    <definedName name="Z_48BFFF18_9597_4DF7_A28B_DAB5E2A4B4B1_.wvu.Cols" localSheetId="12" hidden="1">'#现金流 (新)'!$C:$C,'#现金流 (新)'!$F:$N,'#现金流 (新)'!$Q:$Q</definedName>
    <definedName name="Z_48BFFF18_9597_4DF7_A28B_DAB5E2A4B4B1_.wvu.Cols" localSheetId="14" hidden="1">'#销量数据'!$C:$V,'#销量数据'!$AA:$AB</definedName>
    <definedName name="Z_48BFFF18_9597_4DF7_A28B_DAB5E2A4B4B1_.wvu.Cols" localSheetId="22" hidden="1">钢铁分析!$C:$E</definedName>
    <definedName name="Z_48BFFF18_9597_4DF7_A28B_DAB5E2A4B4B1_.wvu.Cols" localSheetId="34" hidden="1">'利润（汇总）'!$D:$L</definedName>
    <definedName name="Z_48BFFF18_9597_4DF7_A28B_DAB5E2A4B4B1_.wvu.Cols" localSheetId="32" hidden="1">'收入（关联）'!$C:$K</definedName>
    <definedName name="Z_48BFFF18_9597_4DF7_A28B_DAB5E2A4B4B1_.wvu.Cols" localSheetId="30" hidden="1">'收入（汇总）'!$D:$L</definedName>
    <definedName name="Z_48BFFF18_9597_4DF7_A28B_DAB5E2A4B4B1_.wvu.PrintArea" localSheetId="15" hidden="1">'#母公司报表'!$A$1:$P$68</definedName>
    <definedName name="Z_48BFFF18_9597_4DF7_A28B_DAB5E2A4B4B1_.wvu.Rows" localSheetId="13" hidden="1">'#存货'!$6:$6</definedName>
    <definedName name="Z_48BFFF18_9597_4DF7_A28B_DAB5E2A4B4B1_.wvu.Rows" localSheetId="17" hidden="1">'#经营利润'!$11:$11,'#经营利润'!$35:$35,'#经营利润'!$29:$35,'#经营利润'!$40:$42</definedName>
    <definedName name="Z_48BFFF18_9597_4DF7_A28B_DAB5E2A4B4B1_.wvu.Rows" localSheetId="15" hidden="1">'#母公司报表'!$115:$120</definedName>
    <definedName name="Z_48BFFF18_9597_4DF7_A28B_DAB5E2A4B4B1_.wvu.Rows" localSheetId="14" hidden="1">'#销量数据'!$6:$7,'#销量数据'!$27:$28,'#销量数据'!$30:$33,'#销量数据'!$35:$38,'#销量数据'!$41:$44,'#销量数据'!$46:$49,'#销量数据'!$56:$59,'#销量数据'!$61:$62,'#销量数据'!$65:$65,'#销量数据'!$81:$81</definedName>
    <definedName name="Z_4D741423_63C7_4D50_A4E3_AF29BDD12C51_.wvu.PrintArea" localSheetId="17" hidden="1">'#经营利润'!$A$3:$BC$46</definedName>
    <definedName name="Z_4D741423_63C7_4D50_A4E3_AF29BDD12C51_.wvu.PrintArea" localSheetId="15" hidden="1">'#母公司报表'!$A$1:$P$68</definedName>
    <definedName name="Z_4D741423_63C7_4D50_A4E3_AF29BDD12C51_.wvu.PrintArea" localSheetId="40" hidden="1">'@产量打印#概况'!$A$4:$Q$30,'@产量打印#矿产品'!$A$3:$K$46,'@产量打印#不锈钢'!$A$3:$K$42,'@产量打印#钢'!$A$3:$K$35,'@产量打印#材'!$A$3:$K$35</definedName>
    <definedName name="Z_4D741423_63C7_4D50_A4E3_AF29BDD12C51_.wvu.Rows" localSheetId="17" hidden="1">'#经营利润'!$11:$11</definedName>
    <definedName name="Z_4DD36C04_336A_46A1_BA3B_F84A07EE0A3B_.wvu.Cols" localSheetId="13" hidden="1">'#存货'!$E:$S,'#存货'!$U:$V</definedName>
    <definedName name="Z_4DD36C04_336A_46A1_BA3B_F84A07EE0A3B_.wvu.Cols" localSheetId="17" hidden="1">'#经营利润'!$D:$O,'#经营利润'!$T:$AC</definedName>
    <definedName name="Z_4DD36C04_336A_46A1_BA3B_F84A07EE0A3B_.wvu.Cols" localSheetId="18" hidden="1">'#利润建议'!$B:$S,'#利润建议'!$Z:$AN</definedName>
    <definedName name="Z_4DD36C04_336A_46A1_BA3B_F84A07EE0A3B_.wvu.Cols" localSheetId="15" hidden="1">'#母公司报表'!$K:$O,'#母公司报表'!$P:$P</definedName>
    <definedName name="Z_4DD36C04_336A_46A1_BA3B_F84A07EE0A3B_.wvu.Cols" localSheetId="10" hidden="1">'#税金'!$B:$G,'#税金'!$I:$M,'#税金'!#REF!,'#税金'!$N:$R,'#税金'!$U:$Y</definedName>
    <definedName name="Z_4DD36C04_336A_46A1_BA3B_F84A07EE0A3B_.wvu.Cols" localSheetId="12" hidden="1">'#现金流 (新)'!$C:$C,'#现金流 (新)'!$F:$J,'#现金流 (新)'!$M:$Q</definedName>
    <definedName name="Z_4DD36C04_336A_46A1_BA3B_F84A07EE0A3B_.wvu.Cols" localSheetId="14" hidden="1">'#销量数据'!$C:$N,'#销量数据'!$S:$AB</definedName>
    <definedName name="Z_4DD36C04_336A_46A1_BA3B_F84A07EE0A3B_.wvu.Cols" localSheetId="22" hidden="1">钢铁分析!$C:$E</definedName>
    <definedName name="Z_4DD36C04_336A_46A1_BA3B_F84A07EE0A3B_.wvu.Cols" localSheetId="34" hidden="1">'利润（汇总）'!$E:$I</definedName>
    <definedName name="Z_4DD36C04_336A_46A1_BA3B_F84A07EE0A3B_.wvu.Cols" localSheetId="32" hidden="1">'收入（关联）'!$D:$H</definedName>
    <definedName name="Z_4DD36C04_336A_46A1_BA3B_F84A07EE0A3B_.wvu.Cols" localSheetId="30" hidden="1">'收入（汇总）'!$E:$I</definedName>
    <definedName name="Z_4DD36C04_336A_46A1_BA3B_F84A07EE0A3B_.wvu.PrintArea" localSheetId="15" hidden="1">'#母公司报表'!$A$1:$P$68</definedName>
    <definedName name="Z_4DD36C04_336A_46A1_BA3B_F84A07EE0A3B_.wvu.Rows" localSheetId="13" hidden="1">'#存货'!$6:$6</definedName>
    <definedName name="Z_4DD36C04_336A_46A1_BA3B_F84A07EE0A3B_.wvu.Rows" localSheetId="17" hidden="1">'#经营利润'!#REF!,'#经营利润'!$35:$35,'#经营利润'!$29:$35,'#经营利润'!$27:$27,'#经营利润'!$40:$42</definedName>
    <definedName name="Z_4DD36C04_336A_46A1_BA3B_F84A07EE0A3B_.wvu.Rows" localSheetId="18" hidden="1">'#利润建议'!#REF!,'#利润建议'!$35:$35,'#利润建议'!$25:$35,'#利润建议'!$29:$29,'#利润建议'!$40:$42</definedName>
    <definedName name="Z_4DD36C04_336A_46A1_BA3B_F84A07EE0A3B_.wvu.Rows" localSheetId="15" hidden="1">'#母公司报表'!$115:$120</definedName>
    <definedName name="Z_4DD36C04_336A_46A1_BA3B_F84A07EE0A3B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4ECDB3D5_F698_43C3_ACB7_D74D9894DA79_.wvu.Cols" localSheetId="13" hidden="1">'#存货'!$E:$AH,'#存货'!$AJ:$AK</definedName>
    <definedName name="Z_4ECDB3D5_F698_43C3_ACB7_D74D9894DA79_.wvu.Cols" localSheetId="10" hidden="1">'#税金'!$B:$L,'#税金'!#REF!,'#税金'!$N:$W</definedName>
    <definedName name="Z_4ECDB3D5_F698_43C3_ACB7_D74D9894DA79_.wvu.Cols" localSheetId="12" hidden="1">'#现金流 (新)'!$C:$C,'#现金流 (新)'!$F:$O</definedName>
    <definedName name="Z_4ECDB3D5_F698_43C3_ACB7_D74D9894DA79_.wvu.Rows" localSheetId="13" hidden="1">'#存货'!$6:$6</definedName>
    <definedName name="Z_4F41C7D3_9E3A_4AD6_AF9A_89D1137AD64E_.wvu.Cols" localSheetId="13" hidden="1">'#存货'!$G:$AN</definedName>
    <definedName name="Z_4F41C7D3_9E3A_4AD6_AF9A_89D1137AD64E_.wvu.Cols" localSheetId="5" hidden="1">'@预测#收入利润#'!$J:$K,'@预测#收入利润#'!$R:$S</definedName>
    <definedName name="Z_4F41C7D3_9E3A_4AD6_AF9A_89D1137AD64E_.wvu.PrintArea" localSheetId="17" hidden="1">'#经营利润'!$A$3:$BC$46</definedName>
    <definedName name="Z_4F41C7D3_9E3A_4AD6_AF9A_89D1137AD64E_.wvu.PrintArea" localSheetId="15" hidden="1">'#母公司报表'!$A$1:$P$68</definedName>
    <definedName name="Z_4F41C7D3_9E3A_4AD6_AF9A_89D1137AD64E_.wvu.PrintArea" localSheetId="42" hidden="1">'@产量打印#不锈钢'!$A$3:$K$42</definedName>
    <definedName name="Z_4F41C7D3_9E3A_4AD6_AF9A_89D1137AD64E_.wvu.PrintArea" localSheetId="44" hidden="1">'@产量打印#材'!$A$3:$K$35</definedName>
    <definedName name="Z_4F41C7D3_9E3A_4AD6_AF9A_89D1137AD64E_.wvu.PrintArea" localSheetId="40" hidden="1">'@产量打印#概况'!$A$4:$Q$30</definedName>
    <definedName name="Z_4F41C7D3_9E3A_4AD6_AF9A_89D1137AD64E_.wvu.PrintArea" localSheetId="43" hidden="1">'@产量打印#钢'!$A$3:$K$35</definedName>
    <definedName name="Z_4F41C7D3_9E3A_4AD6_AF9A_89D1137AD64E_.wvu.PrintArea" localSheetId="41" hidden="1">'@产量打印#矿产品'!$A$3:$K$46</definedName>
    <definedName name="Z_4F41C7D3_9E3A_4AD6_AF9A_89D1137AD64E_.wvu.Rows" localSheetId="13" hidden="1">'#存货'!$6:$6</definedName>
    <definedName name="Z_4F41C7D3_9E3A_4AD6_AF9A_89D1137AD64E_.wvu.Rows" localSheetId="17" hidden="1">'#经营利润'!$11:$11</definedName>
    <definedName name="Z_4F41C7D3_9E3A_4AD6_AF9A_89D1137AD64E_.wvu.Rows" localSheetId="4" hidden="1">'@预测#经营利润#'!#REF!,'@预测#经营利润#'!$35:$35,'@预测#经营利润#'!$29:$35,'@预测#经营利润#'!$25:$35,'@预测#经营利润#'!$27:$27,'@预测#经营利润#'!$40:$42</definedName>
    <definedName name="Z_4F41C7D3_9E3A_4AD6_AF9A_89D1137AD64E_.wvu.Rows" localSheetId="3" hidden="1">'@预测#利润建议# '!$11:$11,'@预测#利润建议# '!$21:$21,'@预测#利润建议# '!$18:$24</definedName>
    <definedName name="Z_500C3980_ED13_4C97_96B1_955D50509B66_.wvu.Cols" localSheetId="13" hidden="1">'#存货'!$F:$G,'#存货'!$K:$AN</definedName>
    <definedName name="Z_500C3980_ED13_4C97_96B1_955D50509B66_.wvu.Cols" localSheetId="20" hidden="1">'#分板块利润分析'!$E:$E,'#分板块利润分析'!$AA:$AA</definedName>
    <definedName name="Z_500C3980_ED13_4C97_96B1_955D50509B66_.wvu.Cols" localSheetId="17" hidden="1">'#经营利润'!$C:$E,'#经营利润'!$J:$AC,'#经营利润'!$BD:$BE</definedName>
    <definedName name="Z_500C3980_ED13_4C97_96B1_955D50509B66_.wvu.Cols" localSheetId="18" hidden="1">'#利润建议'!$B:$D,'#利润建议'!$K:$AN</definedName>
    <definedName name="Z_500C3980_ED13_4C97_96B1_955D50509B66_.wvu.Cols" localSheetId="31" hidden="1">'#收入完成情况'!$E:$E,'#收入完成情况'!$I:$I</definedName>
    <definedName name="Z_500C3980_ED13_4C97_96B1_955D50509B66_.wvu.Cols" localSheetId="12" hidden="1">'#现金流 (新)'!$C:$C,'#现金流 (新)'!$H:$Q</definedName>
    <definedName name="Z_500C3980_ED13_4C97_96B1_955D50509B66_.wvu.Cols" localSheetId="5" hidden="1">'@预测#收入利润#'!$B:$C,'@预测#收入利润#'!$F:$G,'@预测#收入利润#'!$T:$U</definedName>
    <definedName name="Z_500C3980_ED13_4C97_96B1_955D50509B66_.wvu.Cols" localSheetId="34" hidden="1">'利润（汇总）'!$C:$P</definedName>
    <definedName name="Z_500C3980_ED13_4C97_96B1_955D50509B66_.wvu.Cols" localSheetId="32" hidden="1">'收入（关联）'!$B:$O</definedName>
    <definedName name="Z_500C3980_ED13_4C97_96B1_955D50509B66_.wvu.Cols" localSheetId="30" hidden="1">'收入（汇总）'!$C:$P</definedName>
    <definedName name="Z_500C3980_ED13_4C97_96B1_955D50509B66_.wvu.Cols" localSheetId="33" hidden="1">'收入（外部）'!$B:$O</definedName>
    <definedName name="Z_500C3980_ED13_4C97_96B1_955D50509B66_.wvu.PrintArea" localSheetId="17" hidden="1">'#经营利润'!$A$3:$BG$43</definedName>
    <definedName name="Z_500C3980_ED13_4C97_96B1_955D50509B66_.wvu.PrintArea" localSheetId="18" hidden="1">'#利润建议'!$A$3:$CD$44</definedName>
    <definedName name="Z_500C3980_ED13_4C97_96B1_955D50509B66_.wvu.PrintArea" localSheetId="25" hidden="1">'#利润因素分析（ppt）'!$F$2:$M$21</definedName>
    <definedName name="Z_500C3980_ED13_4C97_96B1_955D50509B66_.wvu.PrintArea" localSheetId="15" hidden="1">'#母公司报表'!$A$1:$P$68</definedName>
    <definedName name="Z_500C3980_ED13_4C97_96B1_955D50509B66_.wvu.PrintArea" localSheetId="11" hidden="1">'#子分公司分析'!$C$3:$L$37</definedName>
    <definedName name="Z_500C3980_ED13_4C97_96B1_955D50509B66_.wvu.PrintArea" localSheetId="42" hidden="1">'@产量打印#不锈钢'!$A$3:$K$42</definedName>
    <definedName name="Z_500C3980_ED13_4C97_96B1_955D50509B66_.wvu.PrintArea" localSheetId="44" hidden="1">'@产量打印#材'!$A$3:$K$35</definedName>
    <definedName name="Z_500C3980_ED13_4C97_96B1_955D50509B66_.wvu.PrintArea" localSheetId="40" hidden="1">'@产量打印#概况'!$A$4:$Q$30</definedName>
    <definedName name="Z_500C3980_ED13_4C97_96B1_955D50509B66_.wvu.PrintArea" localSheetId="43" hidden="1">'@产量打印#钢'!$A$3:$K$35</definedName>
    <definedName name="Z_500C3980_ED13_4C97_96B1_955D50509B66_.wvu.PrintArea" localSheetId="41" hidden="1">'@产量打印#矿产品'!$A$3:$K$46</definedName>
    <definedName name="Z_500C3980_ED13_4C97_96B1_955D50509B66_.wvu.PrintArea" localSheetId="33" hidden="1">'收入（外部）'!$A$1:$AB$42</definedName>
    <definedName name="Z_500C3980_ED13_4C97_96B1_955D50509B66_.wvu.Rows" localSheetId="13" hidden="1">'#存货'!$6:$6</definedName>
    <definedName name="Z_500C3980_ED13_4C97_96B1_955D50509B66_.wvu.Rows" localSheetId="20" hidden="1">'#分板块利润分析'!$66:$66,'#分板块利润分析'!$70:$72</definedName>
    <definedName name="Z_500C3980_ED13_4C97_96B1_955D50509B66_.wvu.Rows" localSheetId="16" hidden="1">'#经营概况'!$91:$92,'#经营概况'!$98:$99</definedName>
    <definedName name="Z_500C3980_ED13_4C97_96B1_955D50509B66_.wvu.Rows" localSheetId="18" hidden="1">'#利润建议'!$10:$11,'#利润建议'!$25:$36,'#利润建议'!$37:$42</definedName>
    <definedName name="Z_500C3980_ED13_4C97_96B1_955D50509B66_.wvu.Rows" localSheetId="11" hidden="1">'#子分公司分析'!$4:$5,'#子分公司分析'!$11:$12,'#子分公司分析'!$15:$15</definedName>
    <definedName name="Z_500C3980_ED13_4C97_96B1_955D50509B66_.wvu.Rows" localSheetId="4" hidden="1">'@预测#经营利润#'!$10:$11,'@预测#经营利润#'!$29:$42</definedName>
    <definedName name="Z_500C3980_ED13_4C97_96B1_955D50509B66_.wvu.Rows" localSheetId="3" hidden="1">'@预测#利润建议# '!$10:$11,'@预测#利润建议# '!$18:$41</definedName>
    <definedName name="Z_5051A1E8_F765_4D5B_BCC5_D7DC9BED22B4_.wvu.Cols" localSheetId="13" hidden="1">'#存货'!$AF:$AN</definedName>
    <definedName name="Z_5051A1E8_F765_4D5B_BCC5_D7DC9BED22B4_.wvu.Cols" localSheetId="17" hidden="1">'#经营利润'!$D:$O,'#经营利润'!$X:$AC</definedName>
    <definedName name="Z_5051A1E8_F765_4D5B_BCC5_D7DC9BED22B4_.wvu.Cols" localSheetId="18" hidden="1">'#利润建议'!$B:$Y,'#利润建议'!$AF:$AN</definedName>
    <definedName name="Z_5051A1E8_F765_4D5B_BCC5_D7DC9BED22B4_.wvu.Cols" localSheetId="15" hidden="1">'#母公司报表'!$M:$O</definedName>
    <definedName name="Z_5051A1E8_F765_4D5B_BCC5_D7DC9BED22B4_.wvu.Cols" localSheetId="10" hidden="1">'#税金'!$B:$H,'#税金'!$J:$M,'#税金'!#REF!,'#税金'!$N:$S,'#税金'!$V:$Y</definedName>
    <definedName name="Z_5051A1E8_F765_4D5B_BCC5_D7DC9BED22B4_.wvu.Cols" localSheetId="12" hidden="1">'#现金流 (新)'!$F:$K,'#现金流 (新)'!$N:$Q</definedName>
    <definedName name="Z_5051A1E8_F765_4D5B_BCC5_D7DC9BED22B4_.wvu.Cols" localSheetId="14" hidden="1">'#销量数据'!$W:$AB</definedName>
    <definedName name="Z_5051A1E8_F765_4D5B_BCC5_D7DC9BED22B4_.wvu.Cols" localSheetId="39" hidden="1">产品质量!$E:$M</definedName>
    <definedName name="Z_5051A1E8_F765_4D5B_BCC5_D7DC9BED22B4_.wvu.Cols" localSheetId="34" hidden="1">'利润（汇总）'!$C:$K,'利润（汇总）'!$N:$P</definedName>
    <definedName name="Z_5051A1E8_F765_4D5B_BCC5_D7DC9BED22B4_.wvu.Cols" localSheetId="32" hidden="1">'收入（关联）'!$B:$J,'收入（关联）'!$M:$O</definedName>
    <definedName name="Z_5051A1E8_F765_4D5B_BCC5_D7DC9BED22B4_.wvu.Cols" localSheetId="30" hidden="1">'收入（汇总）'!$C:$K,'收入（汇总）'!$N:$P</definedName>
    <definedName name="Z_5051A1E8_F765_4D5B_BCC5_D7DC9BED22B4_.wvu.PrintArea" localSheetId="18" hidden="1">'#利润建议'!$A$1:$CA$44</definedName>
    <definedName name="Z_5051A1E8_F765_4D5B_BCC5_D7DC9BED22B4_.wvu.Rows" localSheetId="18" hidden="1">'#利润建议'!$11:$11,'#利润建议'!#REF!</definedName>
    <definedName name="Z_5051A1E8_F765_4D5B_BCC5_D7DC9BED22B4_.wvu.Rows" localSheetId="15" hidden="1">'#母公司报表'!$115:$120</definedName>
    <definedName name="Z_5051A1E8_F765_4D5B_BCC5_D7DC9BED22B4_.wvu.Rows" localSheetId="14" hidden="1">'#销量数据'!$6:$6,'#销量数据'!$27:$28,'#销量数据'!$30:$33,'#销量数据'!$41:$44,'#销量数据'!$46:$49,'#销量数据'!$56:$59,'#销量数据'!$61:$62,'#销量数据'!$65:$65,'#销量数据'!#REF!</definedName>
    <definedName name="Z_50C701E8_0C70_4C73_BE97_FBDE0A0493BF_.wvu.Cols" localSheetId="13" hidden="1">'#存货'!$E:$G,'#存货'!$I:$J,'#存货'!$L:$M</definedName>
    <definedName name="Z_50C701E8_0C70_4C73_BE97_FBDE0A0493BF_.wvu.Cols" localSheetId="17" hidden="1">'#经营利润'!$D:$I,'#经营利润'!$P:$AC</definedName>
    <definedName name="Z_50C701E8_0C70_4C73_BE97_FBDE0A0493BF_.wvu.Cols" localSheetId="18" hidden="1">'#利润建议'!$B:$J,'#利润建议'!$Q:$AN</definedName>
    <definedName name="Z_50C701E8_0C70_4C73_BE97_FBDE0A0493BF_.wvu.Cols" localSheetId="15" hidden="1">'#母公司报表'!$H:$O,'#母公司报表'!$P:$P</definedName>
    <definedName name="Z_50C701E8_0C70_4C73_BE97_FBDE0A0493BF_.wvu.Cols" localSheetId="10" hidden="1">'#税金'!$B:$D,'#税金'!$F:$M,'#税金'!#REF!,'#税金'!$N:$O,'#税金'!$R:$Y</definedName>
    <definedName name="Z_50C701E8_0C70_4C73_BE97_FBDE0A0493BF_.wvu.Cols" localSheetId="12" hidden="1">'#现金流 (新)'!$C:$C,'#现金流 (新)'!$F:$G,'#现金流 (新)'!$J:$Q</definedName>
    <definedName name="Z_50C701E8_0C70_4C73_BE97_FBDE0A0493BF_.wvu.Cols" localSheetId="14" hidden="1">'#销量数据'!$C:$H,'#销量数据'!$M:$AB</definedName>
    <definedName name="Z_50C701E8_0C70_4C73_BE97_FBDE0A0493BF_.wvu.Cols" localSheetId="22" hidden="1">钢铁分析!$C:$E</definedName>
    <definedName name="Z_50C701E8_0C70_4C73_BE97_FBDE0A0493BF_.wvu.Cols" localSheetId="34" hidden="1">'利润（汇总）'!$J:$P</definedName>
    <definedName name="Z_50C701E8_0C70_4C73_BE97_FBDE0A0493BF_.wvu.Cols" localSheetId="32" hidden="1">'收入（关联）'!$I:$O</definedName>
    <definedName name="Z_50C701E8_0C70_4C73_BE97_FBDE0A0493BF_.wvu.Cols" localSheetId="30" hidden="1">'收入（汇总）'!$J:$P</definedName>
    <definedName name="Z_50C701E8_0C70_4C73_BE97_FBDE0A0493BF_.wvu.PrintArea" localSheetId="15" hidden="1">'#母公司报表'!$A$1:$P$68</definedName>
    <definedName name="Z_50C701E8_0C70_4C73_BE97_FBDE0A0493BF_.wvu.Rows" localSheetId="13" hidden="1">'#存货'!$6:$6</definedName>
    <definedName name="Z_50C701E8_0C70_4C73_BE97_FBDE0A0493BF_.wvu.Rows" localSheetId="17" hidden="1">'#经营利润'!$11:$11,'#经营利润'!$35:$35,'#经营利润'!$30:$30,'#经营利润'!$32:$42</definedName>
    <definedName name="Z_50C701E8_0C70_4C73_BE97_FBDE0A0493BF_.wvu.Rows" localSheetId="18" hidden="1">'#利润建议'!$11:$11,'#利润建议'!$35:$35,'#利润建议'!$26:$26,'#利润建议'!$32:$42</definedName>
    <definedName name="Z_50C701E8_0C70_4C73_BE97_FBDE0A0493BF_.wvu.Rows" localSheetId="15" hidden="1">'#母公司报表'!$115:$120</definedName>
    <definedName name="Z_50C701E8_0C70_4C73_BE97_FBDE0A0493BF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512AB92C_83C0_4F5A_8619_E6584EDBF23B_.wvu.Cols" localSheetId="13" hidden="1">'#存货'!$V:$Y,'#存货'!$AA:$AB,'#存货'!$AD:$AE</definedName>
    <definedName name="Z_512AB92C_83C0_4F5A_8619_E6584EDBF23B_.wvu.Cols" localSheetId="17" hidden="1">'#经营利润'!$D:$U,'#经营利润'!$AB:$AC</definedName>
    <definedName name="Z_512AB92C_83C0_4F5A_8619_E6584EDBF23B_.wvu.Cols" localSheetId="18" hidden="1">'#利润建议'!$B:$AE,'#利润建议'!$AL:$AN</definedName>
    <definedName name="Z_512AB92C_83C0_4F5A_8619_E6584EDBF23B_.wvu.Cols" localSheetId="15" hidden="1">'#母公司报表'!$D:$F,'#母公司报表'!$P:$P</definedName>
    <definedName name="Z_512AB92C_83C0_4F5A_8619_E6584EDBF23B_.wvu.Cols" localSheetId="10" hidden="1">'#税金'!$B:$K,'#税金'!$M:$M,'#税金'!#REF!,'#税金'!$N:$V,'#税金'!$Y:$Y</definedName>
    <definedName name="Z_512AB92C_83C0_4F5A_8619_E6584EDBF23B_.wvu.Cols" localSheetId="12" hidden="1">'#现金流 (新)'!$F:$M,'#现金流 (新)'!$Q:$Q</definedName>
    <definedName name="Z_512AB92C_83C0_4F5A_8619_E6584EDBF23B_.wvu.Cols" localSheetId="14" hidden="1">'#销量数据'!$O:$T</definedName>
    <definedName name="Z_512AB92C_83C0_4F5A_8619_E6584EDBF23B_.wvu.Cols" localSheetId="39" hidden="1">产品质量!$D:$K</definedName>
    <definedName name="Z_512AB92C_83C0_4F5A_8619_E6584EDBF23B_.wvu.Cols" localSheetId="34" hidden="1">'利润（汇总）'!$C:$M,'利润（汇总）'!$P:$P</definedName>
    <definedName name="Z_512AB92C_83C0_4F5A_8619_E6584EDBF23B_.wvu.Cols" localSheetId="32" hidden="1">'收入（关联）'!$B:$L,'收入（关联）'!$O:$O</definedName>
    <definedName name="Z_512AB92C_83C0_4F5A_8619_E6584EDBF23B_.wvu.Cols" localSheetId="30" hidden="1">'收入（汇总）'!$C:$M,'收入（汇总）'!$P:$P</definedName>
    <definedName name="Z_512AB92C_83C0_4F5A_8619_E6584EDBF23B_.wvu.PrintArea" localSheetId="18" hidden="1">'#利润建议'!$A$1:$CA$35</definedName>
    <definedName name="Z_512AB92C_83C0_4F5A_8619_E6584EDBF23B_.wvu.PrintArea" localSheetId="15" hidden="1">'#母公司报表'!$A$1:$P$68</definedName>
    <definedName name="Z_512AB92C_83C0_4F5A_8619_E6584EDBF23B_.wvu.Rows" localSheetId="13" hidden="1">'#存货'!$6:$6,'#存货'!$13:$13,'#存货'!#REF!,'#存货'!$16:$16,'#存货'!#REF!,'#存货'!#REF!,'#存货'!#REF!</definedName>
    <definedName name="Z_512AB92C_83C0_4F5A_8619_E6584EDBF23B_.wvu.Rows" localSheetId="15" hidden="1">'#母公司报表'!$115:$120</definedName>
    <definedName name="Z_512AB92C_83C0_4F5A_8619_E6584EDBF23B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521CDE6C_19BB_4228_9E73_1E0C0688A72D_.wvu.Cols" localSheetId="13" hidden="1">'#存货'!$E:$AB,'#存货'!$AD:$AE</definedName>
    <definedName name="Z_521CDE6C_19BB_4228_9E73_1E0C0688A72D_.wvu.Cols" localSheetId="17" hidden="1">'#经营利润'!$D:$U,'#经营利润'!$Z:$AC</definedName>
    <definedName name="Z_521CDE6C_19BB_4228_9E73_1E0C0688A72D_.wvu.Cols" localSheetId="18" hidden="1">'#利润建议'!$AF:$AN</definedName>
    <definedName name="Z_521CDE6C_19BB_4228_9E73_1E0C0688A72D_.wvu.Cols" localSheetId="15" hidden="1">'#母公司报表'!$P:$P</definedName>
    <definedName name="Z_521CDE6C_19BB_4228_9E73_1E0C0688A72D_.wvu.Cols" localSheetId="10" hidden="1">'#税金'!$B:$J,'#税金'!$L:$M,'#税金'!#REF!,'#税金'!$N:$U,'#税金'!$X:$Y</definedName>
    <definedName name="Z_521CDE6C_19BB_4228_9E73_1E0C0688A72D_.wvu.Cols" localSheetId="12" hidden="1">'#现金流 (新)'!$C:$C,'#现金流 (新)'!$F:$M,'#现金流 (新)'!$P:$Q</definedName>
    <definedName name="Z_521CDE6C_19BB_4228_9E73_1E0C0688A72D_.wvu.Cols" localSheetId="14" hidden="1">'#销量数据'!$C:$T,'#销量数据'!$Y:$AB</definedName>
    <definedName name="Z_521CDE6C_19BB_4228_9E73_1E0C0688A72D_.wvu.Cols" localSheetId="22" hidden="1">钢铁分析!$C:$E</definedName>
    <definedName name="Z_521CDE6C_19BB_4228_9E73_1E0C0688A72D_.wvu.Cols" localSheetId="34" hidden="1">'利润（汇总）'!$D:$L</definedName>
    <definedName name="Z_521CDE6C_19BB_4228_9E73_1E0C0688A72D_.wvu.Cols" localSheetId="32" hidden="1">'收入（关联）'!$C:$K</definedName>
    <definedName name="Z_521CDE6C_19BB_4228_9E73_1E0C0688A72D_.wvu.Cols" localSheetId="30" hidden="1">'收入（汇总）'!$D:$L</definedName>
    <definedName name="Z_521CDE6C_19BB_4228_9E73_1E0C0688A72D_.wvu.PrintArea" localSheetId="15" hidden="1">'#母公司报表'!$A$1:$P$68</definedName>
    <definedName name="Z_521CDE6C_19BB_4228_9E73_1E0C0688A72D_.wvu.Rows" localSheetId="13" hidden="1">'#存货'!$6:$6</definedName>
    <definedName name="Z_521CDE6C_19BB_4228_9E73_1E0C0688A72D_.wvu.Rows" localSheetId="17" hidden="1">'#经营利润'!$11:$11,'#经营利润'!$35:$35,'#经营利润'!$29:$35,'#经营利润'!$40:$42</definedName>
    <definedName name="Z_521CDE6C_19BB_4228_9E73_1E0C0688A72D_.wvu.Rows" localSheetId="18" hidden="1">'#利润建议'!$11:$11,'#利润建议'!$35:$35,'#利润建议'!$25:$35,'#利润建议'!$40:$42</definedName>
    <definedName name="Z_521CDE6C_19BB_4228_9E73_1E0C0688A72D_.wvu.Rows" localSheetId="15" hidden="1">'#母公司报表'!$115:$120</definedName>
    <definedName name="Z_521CDE6C_19BB_4228_9E73_1E0C0688A72D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53B7D9C4_7878_4319_9C88_518B79E4F132_.wvu.Cols" localSheetId="13" hidden="1">'#存货'!$E:$AE,'#存货'!$AG:$AH</definedName>
    <definedName name="Z_53B7D9C4_7878_4319_9C88_518B79E4F132_.wvu.Cols" localSheetId="17" hidden="1">'#经营利润'!$D:$W,'#经营利润'!$AB:$AC</definedName>
    <definedName name="Z_53B7D9C4_7878_4319_9C88_518B79E4F132_.wvu.Cols" localSheetId="18" hidden="1">'#利润建议'!$B:$AE,'#利润建议'!$AL:$AN</definedName>
    <definedName name="Z_53B7D9C4_7878_4319_9C88_518B79E4F132_.wvu.Cols" localSheetId="15" hidden="1">'#母公司报表'!$P:$P</definedName>
    <definedName name="Z_53B7D9C4_7878_4319_9C88_518B79E4F132_.wvu.Cols" localSheetId="10" hidden="1">'#税金'!$B:$K,'#税金'!$M:$M,'#税金'!#REF!,'#税金'!$N:$V,'#税金'!$Y:$Y</definedName>
    <definedName name="Z_53B7D9C4_7878_4319_9C88_518B79E4F132_.wvu.Cols" localSheetId="12" hidden="1">'#现金流 (新)'!$C:$C,'#现金流 (新)'!$F:$N,'#现金流 (新)'!$Q:$Q</definedName>
    <definedName name="Z_53B7D9C4_7878_4319_9C88_518B79E4F132_.wvu.Cols" localSheetId="14" hidden="1">'#销量数据'!$C:$V,'#销量数据'!$AA:$AB</definedName>
    <definedName name="Z_53B7D9C4_7878_4319_9C88_518B79E4F132_.wvu.Cols" localSheetId="22" hidden="1">钢铁分析!$C:$E</definedName>
    <definedName name="Z_53B7D9C4_7878_4319_9C88_518B79E4F132_.wvu.Cols" localSheetId="34" hidden="1">'利润（汇总）'!$D:$L</definedName>
    <definedName name="Z_53B7D9C4_7878_4319_9C88_518B79E4F132_.wvu.Cols" localSheetId="32" hidden="1">'收入（关联）'!$C:$K</definedName>
    <definedName name="Z_53B7D9C4_7878_4319_9C88_518B79E4F132_.wvu.Cols" localSheetId="30" hidden="1">'收入（汇总）'!$D:$L</definedName>
    <definedName name="Z_53B7D9C4_7878_4319_9C88_518B79E4F132_.wvu.PrintArea" localSheetId="15" hidden="1">'#母公司报表'!$A$1:$P$68</definedName>
    <definedName name="Z_53B7D9C4_7878_4319_9C88_518B79E4F132_.wvu.Rows" localSheetId="13" hidden="1">'#存货'!$6:$6</definedName>
    <definedName name="Z_53B7D9C4_7878_4319_9C88_518B79E4F132_.wvu.Rows" localSheetId="17" hidden="1">'#经营利润'!$11:$11,'#经营利润'!$35:$35,'#经营利润'!$29:$35,'#经营利润'!$40:$42</definedName>
    <definedName name="Z_53B7D9C4_7878_4319_9C88_518B79E4F132_.wvu.Rows" localSheetId="18" hidden="1">'#利润建议'!$11:$11,'#利润建议'!$35:$35,'#利润建议'!$25:$35,'#利润建议'!$40:$42</definedName>
    <definedName name="Z_53B7D9C4_7878_4319_9C88_518B79E4F132_.wvu.Rows" localSheetId="14" hidden="1">'#销量数据'!$6:$7,'#销量数据'!$27:$28,'#销量数据'!$30:$33,'#销量数据'!$35:$38,'#销量数据'!$41:$44,'#销量数据'!$46:$49,'#销量数据'!$56:$59,'#销量数据'!$61:$62,'#销量数据'!$65:$65,'#销量数据'!$81:$81</definedName>
    <definedName name="Z_57959A52_10EC_45F0_B96C_D3EBCC5DD6EC_.wvu.Cols" localSheetId="17" hidden="1">'#经营利润'!$H:$AC</definedName>
    <definedName name="Z_57959A52_10EC_45F0_B96C_D3EBCC5DD6EC_.wvu.Cols" localSheetId="18" hidden="1">'#利润建议'!$H:$AN</definedName>
    <definedName name="Z_57959A52_10EC_45F0_B96C_D3EBCC5DD6EC_.wvu.Cols" localSheetId="12" hidden="1">'#现金流 (新)'!$G:$Q</definedName>
    <definedName name="Z_57959A52_10EC_45F0_B96C_D3EBCC5DD6EC_.wvu.PrintArea" localSheetId="17" hidden="1">'#经营利润'!$A$3:$BC$46</definedName>
    <definedName name="Z_57959A52_10EC_45F0_B96C_D3EBCC5DD6EC_.wvu.PrintArea" localSheetId="15" hidden="1">'#母公司报表'!$A$1:$P$68</definedName>
    <definedName name="Z_57959A52_10EC_45F0_B96C_D3EBCC5DD6EC_.wvu.PrintArea" localSheetId="42" hidden="1">'@产量打印#不锈钢'!$A$3:$K$42</definedName>
    <definedName name="Z_57959A52_10EC_45F0_B96C_D3EBCC5DD6EC_.wvu.PrintArea" localSheetId="44" hidden="1">'@产量打印#材'!$A$3:$K$35</definedName>
    <definedName name="Z_57959A52_10EC_45F0_B96C_D3EBCC5DD6EC_.wvu.PrintArea" localSheetId="40" hidden="1">'@产量打印#概况'!$A$4:$Q$30</definedName>
    <definedName name="Z_57959A52_10EC_45F0_B96C_D3EBCC5DD6EC_.wvu.PrintArea" localSheetId="43" hidden="1">'@产量打印#钢'!$A$3:$K$35</definedName>
    <definedName name="Z_57959A52_10EC_45F0_B96C_D3EBCC5DD6EC_.wvu.PrintArea" localSheetId="41" hidden="1">'@产量打印#矿产品'!$A$3:$K$46</definedName>
    <definedName name="Z_57959A52_10EC_45F0_B96C_D3EBCC5DD6EC_.wvu.Rows" localSheetId="13" hidden="1">'#存货'!$6:$6</definedName>
    <definedName name="Z_57959A52_10EC_45F0_B96C_D3EBCC5DD6EC_.wvu.Rows" localSheetId="20" hidden="1">'#分板块利润分析'!$70:$72</definedName>
    <definedName name="Z_57959A52_10EC_45F0_B96C_D3EBCC5DD6EC_.wvu.Rows" localSheetId="17" hidden="1">'#经营利润'!#REF!</definedName>
    <definedName name="Z_57959A52_10EC_45F0_B96C_D3EBCC5DD6EC_.wvu.Rows" localSheetId="18" hidden="1">'#利润建议'!#REF!</definedName>
    <definedName name="Z_57959A52_10EC_45F0_B96C_D3EBCC5DD6EC_.wvu.Rows" localSheetId="3" hidden="1">'@预测#利润建议# '!$21:$21,'@预测#利润建议# '!$18:$24</definedName>
    <definedName name="Z_57CDC4C6_3CB9_4FD9_A7A5_A9D15B00F65C_.wvu.Cols" localSheetId="13" hidden="1">'#存货'!$E:$AB,'#存货'!$AD:$AE</definedName>
    <definedName name="Z_57CDC4C6_3CB9_4FD9_A7A5_A9D15B00F65C_.wvu.Cols" localSheetId="17" hidden="1">'#经营利润'!$D:$U,'#经营利润'!$AB:$AC</definedName>
    <definedName name="Z_57CDC4C6_3CB9_4FD9_A7A5_A9D15B00F65C_.wvu.Cols" localSheetId="18" hidden="1">'#利润建议'!$B:$D,'#利润建议'!$AI:$AN</definedName>
    <definedName name="Z_57CDC4C6_3CB9_4FD9_A7A5_A9D15B00F65C_.wvu.Cols" localSheetId="15" hidden="1">'#母公司报表'!$P:$P</definedName>
    <definedName name="Z_57CDC4C6_3CB9_4FD9_A7A5_A9D15B00F65C_.wvu.Cols" localSheetId="10" hidden="1">'#税金'!$B:$J,'#税金'!$L:$M,'#税金'!#REF!,'#税金'!$N:$U,'#税金'!$X:$Y</definedName>
    <definedName name="Z_57CDC4C6_3CB9_4FD9_A7A5_A9D15B00F65C_.wvu.Cols" localSheetId="12" hidden="1">'#现金流 (新)'!$C:$C,'#现金流 (新)'!$F:$M,'#现金流 (新)'!$P:$Q</definedName>
    <definedName name="Z_57CDC4C6_3CB9_4FD9_A7A5_A9D15B00F65C_.wvu.Cols" localSheetId="14" hidden="1">'#销量数据'!$C:$T,'#销量数据'!$Y:$AB</definedName>
    <definedName name="Z_57CDC4C6_3CB9_4FD9_A7A5_A9D15B00F65C_.wvu.Cols" localSheetId="22" hidden="1">钢铁分析!$C:$E</definedName>
    <definedName name="Z_57CDC4C6_3CB9_4FD9_A7A5_A9D15B00F65C_.wvu.Cols" localSheetId="34" hidden="1">'利润（汇总）'!$D:$M,'利润（汇总）'!$P:$P</definedName>
    <definedName name="Z_57CDC4C6_3CB9_4FD9_A7A5_A9D15B00F65C_.wvu.Cols" localSheetId="32" hidden="1">'收入（关联）'!$C:$L,'收入（关联）'!$O:$O</definedName>
    <definedName name="Z_57CDC4C6_3CB9_4FD9_A7A5_A9D15B00F65C_.wvu.Cols" localSheetId="30" hidden="1">'收入（汇总）'!$D:$M,'收入（汇总）'!$P:$P</definedName>
    <definedName name="Z_57CDC4C6_3CB9_4FD9_A7A5_A9D15B00F65C_.wvu.PrintArea" localSheetId="15" hidden="1">'#母公司报表'!$A$1:$P$68</definedName>
    <definedName name="Z_57CDC4C6_3CB9_4FD9_A7A5_A9D15B00F65C_.wvu.Rows" localSheetId="13" hidden="1">'#存货'!$6:$6</definedName>
    <definedName name="Z_57CDC4C6_3CB9_4FD9_A7A5_A9D15B00F65C_.wvu.Rows" localSheetId="17" hidden="1">'#经营利润'!$11:$11,'#经营利润'!$35:$35,'#经营利润'!$29:$35,'#经营利润'!$40:$42</definedName>
    <definedName name="Z_57CDC4C6_3CB9_4FD9_A7A5_A9D15B00F65C_.wvu.Rows" localSheetId="18" hidden="1">'#利润建议'!$11:$11</definedName>
    <definedName name="Z_57CDC4C6_3CB9_4FD9_A7A5_A9D15B00F65C_.wvu.Rows" localSheetId="15" hidden="1">'#母公司报表'!$115:$120</definedName>
    <definedName name="Z_57CDC4C6_3CB9_4FD9_A7A5_A9D15B00F65C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5E234E38_52C4_4B97_BA92_CEE4B611DDA9_.wvu.Cols" localSheetId="13" hidden="1">'#存货'!$E:$G,'#存货'!$I:$J,'#存货'!$N:$AN</definedName>
    <definedName name="Z_5E234E38_52C4_4B97_BA92_CEE4B611DDA9_.wvu.Cols" localSheetId="17" hidden="1">'#经营利润'!$D:$E,'#经营利润'!$L:$AC</definedName>
    <definedName name="Z_5E234E38_52C4_4B97_BA92_CEE4B611DDA9_.wvu.Cols" localSheetId="15" hidden="1">'#母公司报表'!$G:$O,'#母公司报表'!$P:$P</definedName>
    <definedName name="Z_5E234E38_52C4_4B97_BA92_CEE4B611DDA9_.wvu.Cols" localSheetId="10" hidden="1">'#税金'!$B:$C,'#税金'!$E:$M,'#税金'!#REF!,'#税金'!$N:$N,'#税金'!$Q:$Y</definedName>
    <definedName name="Z_5E234E38_52C4_4B97_BA92_CEE4B611DDA9_.wvu.Cols" localSheetId="12" hidden="1">'#现金流 (新)'!$C:$C,'#现金流 (新)'!$H:$Q</definedName>
    <definedName name="Z_5E234E38_52C4_4B97_BA92_CEE4B611DDA9_.wvu.Cols" localSheetId="14" hidden="1">'#销量数据'!$K:$AB</definedName>
    <definedName name="Z_5E234E38_52C4_4B97_BA92_CEE4B611DDA9_.wvu.Cols" localSheetId="22" hidden="1">钢铁分析!$C:$E</definedName>
    <definedName name="Z_5E234E38_52C4_4B97_BA92_CEE4B611DDA9_.wvu.Cols" localSheetId="34" hidden="1">'利润（汇总）'!$D:$D</definedName>
    <definedName name="Z_5E234E38_52C4_4B97_BA92_CEE4B611DDA9_.wvu.Cols" localSheetId="32" hidden="1">'收入（关联）'!$C:$C</definedName>
    <definedName name="Z_5E234E38_52C4_4B97_BA92_CEE4B611DDA9_.wvu.Cols" localSheetId="30" hidden="1">'收入（汇总）'!$D:$D</definedName>
    <definedName name="Z_5E234E38_52C4_4B97_BA92_CEE4B611DDA9_.wvu.PrintArea" localSheetId="15" hidden="1">'#母公司报表'!$A$1:$P$68</definedName>
    <definedName name="Z_5E234E38_52C4_4B97_BA92_CEE4B611DDA9_.wvu.Rows" localSheetId="13" hidden="1">'#存货'!$6:$6</definedName>
    <definedName name="Z_5E234E38_52C4_4B97_BA92_CEE4B611DDA9_.wvu.Rows" localSheetId="17" hidden="1">'#经营利润'!$11:$11,'#经营利润'!$35:$35,'#经营利润'!$30:$35,'#经营利润'!$25:$35,'#经营利润'!$40:$42</definedName>
    <definedName name="Z_5E234E38_52C4_4B97_BA92_CEE4B611DDA9_.wvu.Rows" localSheetId="15" hidden="1">'#母公司报表'!$115:$120</definedName>
    <definedName name="Z_5E234E38_52C4_4B97_BA92_CEE4B611DDA9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5E76F939_8430_45EA_B398_572007A7851C_.wvu.Cols" localSheetId="13" hidden="1">'#存货'!$X:$Y,'#存货'!$AC:$AN</definedName>
    <definedName name="Z_5E76F939_8430_45EA_B398_572007A7851C_.wvu.Cols" localSheetId="17" hidden="1">'#经营利润'!$D:$O,'#经营利润'!$V:$AC</definedName>
    <definedName name="Z_5E76F939_8430_45EA_B398_572007A7851C_.wvu.Cols" localSheetId="18" hidden="1">'#利润建议'!$AC:$AN</definedName>
    <definedName name="Z_5E76F939_8430_45EA_B398_572007A7851C_.wvu.Cols" localSheetId="15" hidden="1">'#母公司报表'!$L:$O</definedName>
    <definedName name="Z_5E76F939_8430_45EA_B398_572007A7851C_.wvu.Cols" localSheetId="10" hidden="1">'#税金'!$B:$H,'#税金'!$J:$M,'#税金'!#REF!,'#税金'!$N:$S,'#税金'!$V:$Y</definedName>
    <definedName name="Z_5E76F939_8430_45EA_B398_572007A7851C_.wvu.Cols" localSheetId="12" hidden="1">'#现金流 (新)'!$F:$K,'#现金流 (新)'!$N:$Q</definedName>
    <definedName name="Z_5E76F939_8430_45EA_B398_572007A7851C_.wvu.Cols" localSheetId="14" hidden="1">'#销量数据'!$C:$P,'#销量数据'!$U:$AB</definedName>
    <definedName name="Z_5E76F939_8430_45EA_B398_572007A7851C_.wvu.Cols" localSheetId="39" hidden="1">产品质量!$M:$P</definedName>
    <definedName name="Z_5E76F939_8430_45EA_B398_572007A7851C_.wvu.Cols" localSheetId="34" hidden="1">'利润（汇总）'!$D:$J,'利润（汇总）'!$M:$P</definedName>
    <definedName name="Z_5E76F939_8430_45EA_B398_572007A7851C_.wvu.Cols" localSheetId="32" hidden="1">'收入（关联）'!$C:$I,'收入（关联）'!$L:$O</definedName>
    <definedName name="Z_5E76F939_8430_45EA_B398_572007A7851C_.wvu.Cols" localSheetId="30" hidden="1">'收入（汇总）'!$D:$J,'收入（汇总）'!$M:$P</definedName>
    <definedName name="Z_5E76F939_8430_45EA_B398_572007A7851C_.wvu.Rows" localSheetId="13" hidden="1">'#存货'!$6:$6,'#存货'!$13:$13,'#存货'!#REF!,'#存货'!$16:$16,'#存货'!#REF!,'#存货'!#REF!,'#存货'!$24:$24</definedName>
    <definedName name="Z_5E76F939_8430_45EA_B398_572007A7851C_.wvu.Rows" localSheetId="15" hidden="1">'#母公司报表'!$115:$120</definedName>
    <definedName name="Z_5E76F939_8430_45EA_B398_572007A7851C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5F079440_678E_4056_B77A_4E631C50985D_.wvu.Cols" localSheetId="13" hidden="1">'#存货'!$G:$AN</definedName>
    <definedName name="Z_5F079440_678E_4056_B77A_4E631C50985D_.wvu.Cols" localSheetId="5" hidden="1">'@预测#收入利润#'!$J:$K,'@预测#收入利润#'!$R:$S</definedName>
    <definedName name="Z_5F079440_678E_4056_B77A_4E631C50985D_.wvu.PrintArea" localSheetId="17" hidden="1">'#经营利润'!$A$3:$BC$46</definedName>
    <definedName name="Z_5F079440_678E_4056_B77A_4E631C50985D_.wvu.PrintArea" localSheetId="15" hidden="1">'#母公司报表'!$A$1:$P$68</definedName>
    <definedName name="Z_5F079440_678E_4056_B77A_4E631C50985D_.wvu.PrintArea" localSheetId="42" hidden="1">'@产量打印#不锈钢'!$A$3:$K$42</definedName>
    <definedName name="Z_5F079440_678E_4056_B77A_4E631C50985D_.wvu.PrintArea" localSheetId="44" hidden="1">'@产量打印#材'!$A$3:$K$35</definedName>
    <definedName name="Z_5F079440_678E_4056_B77A_4E631C50985D_.wvu.PrintArea" localSheetId="40" hidden="1">'@产量打印#概况'!$A$4:$Q$30</definedName>
    <definedName name="Z_5F079440_678E_4056_B77A_4E631C50985D_.wvu.PrintArea" localSheetId="43" hidden="1">'@产量打印#钢'!$A$3:$K$35</definedName>
    <definedName name="Z_5F079440_678E_4056_B77A_4E631C50985D_.wvu.PrintArea" localSheetId="41" hidden="1">'@产量打印#矿产品'!$A$3:$K$46</definedName>
    <definedName name="Z_5F079440_678E_4056_B77A_4E631C50985D_.wvu.Rows" localSheetId="13" hidden="1">'#存货'!$6:$6</definedName>
    <definedName name="Z_5F079440_678E_4056_B77A_4E631C50985D_.wvu.Rows" localSheetId="17" hidden="1">'#经营利润'!$11:$11</definedName>
    <definedName name="Z_5F079440_678E_4056_B77A_4E631C50985D_.wvu.Rows" localSheetId="4" hidden="1">'@预测#经营利润#'!#REF!,'@预测#经营利润#'!$35:$35,'@预测#经营利润#'!$29:$35,'@预测#经营利润#'!$25:$35,'@预测#经营利润#'!$27:$27,'@预测#经营利润#'!$40:$42</definedName>
    <definedName name="Z_5F079440_678E_4056_B77A_4E631C50985D_.wvu.Rows" localSheetId="3" hidden="1">'@预测#利润建议# '!$11:$11,'@预测#利润建议# '!$21:$21,'@预测#利润建议# '!$18:$24</definedName>
    <definedName name="Z_5F5494BC_1BD8_45DF_9189_614E707AF84A_.wvu.Cols" localSheetId="13" hidden="1">'#存货'!$E:$P,'#存货'!$R:$S,'#存货'!$W:$AN</definedName>
    <definedName name="Z_5F5494BC_1BD8_45DF_9189_614E707AF84A_.wvu.Cols" localSheetId="17" hidden="1">'#经营利润'!$D:$M,'#经营利润'!$R:$AC</definedName>
    <definedName name="Z_5F5494BC_1BD8_45DF_9189_614E707AF84A_.wvu.Cols" localSheetId="18" hidden="1">'#利润建议'!$B:$P,'#利润建议'!$W:$AN</definedName>
    <definedName name="Z_5F5494BC_1BD8_45DF_9189_614E707AF84A_.wvu.Cols" localSheetId="15" hidden="1">'#母公司报表'!$J:$O,'#母公司报表'!$P:$P</definedName>
    <definedName name="Z_5F5494BC_1BD8_45DF_9189_614E707AF84A_.wvu.Cols" localSheetId="10" hidden="1">'#税金'!$B:$F,'#税金'!$H:$M,'#税金'!#REF!,'#税金'!$N:$Q,'#税金'!$T:$Y</definedName>
    <definedName name="Z_5F5494BC_1BD8_45DF_9189_614E707AF84A_.wvu.Cols" localSheetId="12" hidden="1">'#现金流 (新)'!$C:$C,'#现金流 (新)'!$F:$I,'#现金流 (新)'!$L:$Q</definedName>
    <definedName name="Z_5F5494BC_1BD8_45DF_9189_614E707AF84A_.wvu.Cols" localSheetId="14" hidden="1">'#销量数据'!$C:$L,'#销量数据'!$Q:$AB</definedName>
    <definedName name="Z_5F5494BC_1BD8_45DF_9189_614E707AF84A_.wvu.Cols" localSheetId="22" hidden="1">钢铁分析!$C:$E</definedName>
    <definedName name="Z_5F5494BC_1BD8_45DF_9189_614E707AF84A_.wvu.Cols" localSheetId="34" hidden="1">'利润（汇总）'!$D:$H,'利润（汇总）'!$K:$P</definedName>
    <definedName name="Z_5F5494BC_1BD8_45DF_9189_614E707AF84A_.wvu.Cols" localSheetId="32" hidden="1">'收入（关联）'!$C:$G,'收入（关联）'!$J:$O</definedName>
    <definedName name="Z_5F5494BC_1BD8_45DF_9189_614E707AF84A_.wvu.Cols" localSheetId="30" hidden="1">'收入（汇总）'!$D:$H,'收入（汇总）'!$K:$P</definedName>
    <definedName name="Z_5F5494BC_1BD8_45DF_9189_614E707AF84A_.wvu.PrintArea" localSheetId="15" hidden="1">'#母公司报表'!$A$1:$P$68</definedName>
    <definedName name="Z_5F5494BC_1BD8_45DF_9189_614E707AF84A_.wvu.Rows" localSheetId="13" hidden="1">'#存货'!$6:$6</definedName>
    <definedName name="Z_5F5494BC_1BD8_45DF_9189_614E707AF84A_.wvu.Rows" localSheetId="17" hidden="1">'#经营利润'!#REF!,'#经营利润'!$35:$35,'#经营利润'!$29:$35,'#经营利润'!$27:$42</definedName>
    <definedName name="Z_5F5494BC_1BD8_45DF_9189_614E707AF84A_.wvu.Rows" localSheetId="18" hidden="1">'#利润建议'!#REF!,'#利润建议'!$35:$35,'#利润建议'!$25:$35,'#利润建议'!$29:$42</definedName>
    <definedName name="Z_5F5494BC_1BD8_45DF_9189_614E707AF84A_.wvu.Rows" localSheetId="15" hidden="1">'#母公司报表'!$115:$120</definedName>
    <definedName name="Z_5F5494BC_1BD8_45DF_9189_614E707AF84A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61EC540A_F3CC_4C57_8569_5CB26B5EAAB4_.wvu.Cols" localSheetId="13" hidden="1">'#存货'!$E:$Y,'#存货'!$AA:$AB</definedName>
    <definedName name="Z_61EC540A_F3CC_4C57_8569_5CB26B5EAAB4_.wvu.Cols" localSheetId="17" hidden="1">'#经营利润'!$D:$S,'#经营利润'!$Z:$AC</definedName>
    <definedName name="Z_61EC540A_F3CC_4C57_8569_5CB26B5EAAB4_.wvu.Cols" localSheetId="18" hidden="1">'#利润建议'!$B:$Y,'#利润建议'!$AF:$AN</definedName>
    <definedName name="Z_61EC540A_F3CC_4C57_8569_5CB26B5EAAB4_.wvu.Cols" localSheetId="15" hidden="1">'#母公司报表'!$P:$P</definedName>
    <definedName name="Z_61EC540A_F3CC_4C57_8569_5CB26B5EAAB4_.wvu.Cols" localSheetId="10" hidden="1">'#税金'!$B:$J,'#税金'!$L:$M,'#税金'!#REF!,'#税金'!$N:$U,'#税金'!$X:$Y</definedName>
    <definedName name="Z_61EC540A_F3CC_4C57_8569_5CB26B5EAAB4_.wvu.Cols" localSheetId="12" hidden="1">'#现金流 (新)'!$C:$C,'#现金流 (新)'!$F:$L,'#现金流 (新)'!$O:$Q</definedName>
    <definedName name="Z_61EC540A_F3CC_4C57_8569_5CB26B5EAAB4_.wvu.Cols" localSheetId="14" hidden="1">'#销量数据'!$C:$V</definedName>
    <definedName name="Z_61EC540A_F3CC_4C57_8569_5CB26B5EAAB4_.wvu.Cols" localSheetId="22" hidden="1">钢铁分析!$C:$E</definedName>
    <definedName name="Z_61EC540A_F3CC_4C57_8569_5CB26B5EAAB4_.wvu.Cols" localSheetId="34" hidden="1">'利润（汇总）'!$D:$L</definedName>
    <definedName name="Z_61EC540A_F3CC_4C57_8569_5CB26B5EAAB4_.wvu.Cols" localSheetId="32" hidden="1">'收入（关联）'!$C:$K</definedName>
    <definedName name="Z_61EC540A_F3CC_4C57_8569_5CB26B5EAAB4_.wvu.Cols" localSheetId="30" hidden="1">'收入（汇总）'!$D:$L</definedName>
    <definedName name="Z_61EC540A_F3CC_4C57_8569_5CB26B5EAAB4_.wvu.PrintArea" localSheetId="15" hidden="1">'#母公司报表'!$A$1:$P$68</definedName>
    <definedName name="Z_61EC540A_F3CC_4C57_8569_5CB26B5EAAB4_.wvu.Rows" localSheetId="13" hidden="1">'#存货'!$6:$6</definedName>
    <definedName name="Z_61EC540A_F3CC_4C57_8569_5CB26B5EAAB4_.wvu.Rows" localSheetId="17" hidden="1">'#经营利润'!$11:$11,'#经营利润'!$35:$35,'#经营利润'!$29:$35,'#经营利润'!$40:$42</definedName>
    <definedName name="Z_61EC540A_F3CC_4C57_8569_5CB26B5EAAB4_.wvu.Rows" localSheetId="18" hidden="1">'#利润建议'!$11:$11,'#利润建议'!$35:$35,'#利润建议'!$25:$35,'#利润建议'!$40:$42</definedName>
    <definedName name="Z_61EC540A_F3CC_4C57_8569_5CB26B5EAAB4_.wvu.Rows" localSheetId="15" hidden="1">'#母公司报表'!$115:$120</definedName>
    <definedName name="Z_61EC540A_F3CC_4C57_8569_5CB26B5EAAB4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66435F4B_F141_4449_BF06_CAFD3F8EBB60_.wvu.Cols" localSheetId="13" hidden="1">'#存货'!$E:$V,'#存货'!$X:$Y</definedName>
    <definedName name="Z_66435F4B_F141_4449_BF06_CAFD3F8EBB60_.wvu.Cols" localSheetId="17" hidden="1">'#经营利润'!$D:$Q,'#经营利润'!$V:$AC</definedName>
    <definedName name="Z_66435F4B_F141_4449_BF06_CAFD3F8EBB60_.wvu.Cols" localSheetId="18" hidden="1">'#利润建议'!$B:$V,'#利润建议'!$AC:$AN</definedName>
    <definedName name="Z_66435F4B_F141_4449_BF06_CAFD3F8EBB60_.wvu.Cols" localSheetId="15" hidden="1">'#母公司报表'!$L:$O,'#母公司报表'!$P:$P</definedName>
    <definedName name="Z_66435F4B_F141_4449_BF06_CAFD3F8EBB60_.wvu.Cols" localSheetId="10" hidden="1">'#税金'!$B:$H,'#税金'!$J:$M,'#税金'!#REF!,'#税金'!$N:$S,'#税金'!$V:$Y</definedName>
    <definedName name="Z_66435F4B_F141_4449_BF06_CAFD3F8EBB60_.wvu.Cols" localSheetId="12" hidden="1">'#现金流 (新)'!$C:$C,'#现金流 (新)'!$F:$K,'#现金流 (新)'!$N:$Q</definedName>
    <definedName name="Z_66435F4B_F141_4449_BF06_CAFD3F8EBB60_.wvu.Cols" localSheetId="14" hidden="1">'#销量数据'!$C:$P,'#销量数据'!$W:$AA</definedName>
    <definedName name="Z_66435F4B_F141_4449_BF06_CAFD3F8EBB60_.wvu.Cols" localSheetId="22" hidden="1">钢铁分析!$C:$E</definedName>
    <definedName name="Z_66435F4B_F141_4449_BF06_CAFD3F8EBB60_.wvu.Cols" localSheetId="34" hidden="1">'利润（汇总）'!$M:$P</definedName>
    <definedName name="Z_66435F4B_F141_4449_BF06_CAFD3F8EBB60_.wvu.Cols" localSheetId="32" hidden="1">'收入（关联）'!$L:$O</definedName>
    <definedName name="Z_66435F4B_F141_4449_BF06_CAFD3F8EBB60_.wvu.Cols" localSheetId="30" hidden="1">'收入（汇总）'!$M:$P</definedName>
    <definedName name="Z_66435F4B_F141_4449_BF06_CAFD3F8EBB60_.wvu.PrintArea" localSheetId="15" hidden="1">'#母公司报表'!$A$1:$P$68</definedName>
    <definedName name="Z_66435F4B_F141_4449_BF06_CAFD3F8EBB60_.wvu.Rows" localSheetId="13" hidden="1">'#存货'!$6:$6</definedName>
    <definedName name="Z_66435F4B_F141_4449_BF06_CAFD3F8EBB60_.wvu.Rows" localSheetId="17" hidden="1">'#经营利润'!$11:$11,'#经营利润'!$35:$35,'#经营利润'!$29:$35,'#经营利润'!$27:$27,'#经营利润'!$40:$42</definedName>
    <definedName name="Z_66435F4B_F141_4449_BF06_CAFD3F8EBB60_.wvu.Rows" localSheetId="18" hidden="1">'#利润建议'!$11:$11,'#利润建议'!$35:$35,'#利润建议'!$25:$35,'#利润建议'!$29:$29,'#利润建议'!$40:$42</definedName>
    <definedName name="Z_66435F4B_F141_4449_BF06_CAFD3F8EBB60_.wvu.Rows" localSheetId="15" hidden="1">'#母公司报表'!$115:$120</definedName>
    <definedName name="Z_66435F4B_F141_4449_BF06_CAFD3F8EBB60_.wvu.Rows" localSheetId="14" hidden="1">'#销量数据'!$6:$7,'#销量数据'!$27:$28,'#销量数据'!$61:$62,'#销量数据'!$65:$65,'#销量数据'!#REF!</definedName>
    <definedName name="Z_66AB0700_16E3_41DB_96D0_12C3A6726075_.wvu.Cols" localSheetId="13" hidden="1">'#存货'!$G:$AN</definedName>
    <definedName name="Z_66AB0700_16E3_41DB_96D0_12C3A6726075_.wvu.Cols" localSheetId="5" hidden="1">'@预测#收入利润#'!$J:$K,'@预测#收入利润#'!$R:$S</definedName>
    <definedName name="Z_66AB0700_16E3_41DB_96D0_12C3A6726075_.wvu.PrintArea" localSheetId="17" hidden="1">'#经营利润'!$A$3:$BC$46</definedName>
    <definedName name="Z_66AB0700_16E3_41DB_96D0_12C3A6726075_.wvu.PrintArea" localSheetId="15" hidden="1">'#母公司报表'!$A$1:$P$68</definedName>
    <definedName name="Z_66AB0700_16E3_41DB_96D0_12C3A6726075_.wvu.PrintArea" localSheetId="42" hidden="1">'@产量打印#不锈钢'!$A$3:$K$42</definedName>
    <definedName name="Z_66AB0700_16E3_41DB_96D0_12C3A6726075_.wvu.PrintArea" localSheetId="44" hidden="1">'@产量打印#材'!$A$3:$K$35</definedName>
    <definedName name="Z_66AB0700_16E3_41DB_96D0_12C3A6726075_.wvu.PrintArea" localSheetId="40" hidden="1">'@产量打印#概况'!$A$4:$Q$30</definedName>
    <definedName name="Z_66AB0700_16E3_41DB_96D0_12C3A6726075_.wvu.PrintArea" localSheetId="43" hidden="1">'@产量打印#钢'!$A$3:$K$35</definedName>
    <definedName name="Z_66AB0700_16E3_41DB_96D0_12C3A6726075_.wvu.PrintArea" localSheetId="41" hidden="1">'@产量打印#矿产品'!$A$3:$K$46</definedName>
    <definedName name="Z_66AB0700_16E3_41DB_96D0_12C3A6726075_.wvu.Rows" localSheetId="13" hidden="1">'#存货'!$6:$6</definedName>
    <definedName name="Z_66AB0700_16E3_41DB_96D0_12C3A6726075_.wvu.Rows" localSheetId="17" hidden="1">'#经营利润'!$11:$11</definedName>
    <definedName name="Z_66AB0700_16E3_41DB_96D0_12C3A6726075_.wvu.Rows" localSheetId="4" hidden="1">'@预测#经营利润#'!#REF!,'@预测#经营利润#'!$35:$35,'@预测#经营利润#'!$29:$35,'@预测#经营利润#'!$25:$35,'@预测#经营利润#'!$27:$27,'@预测#经营利润#'!$40:$42</definedName>
    <definedName name="Z_66AB0700_16E3_41DB_96D0_12C3A6726075_.wvu.Rows" localSheetId="3" hidden="1">'@预测#利润建议# '!$11:$11,'@预测#利润建议# '!$21:$21,'@预测#利润建议# '!$18:$24</definedName>
    <definedName name="Z_6A1E79C9_91E3_4EEA_8ABB_4446083299EC_.wvu.Cols" localSheetId="13" hidden="1">'#存货'!$E:$J,'#存货'!$L:$M,'#存货'!$Q:$AN</definedName>
    <definedName name="Z_6A1E79C9_91E3_4EEA_8ABB_4446083299EC_.wvu.Cols" localSheetId="17" hidden="1">'#经营利润'!$R:$AC,'#经营利润'!$BD:$BE,'#经营利润'!$BI:$BI</definedName>
    <definedName name="Z_6A1E79C9_91E3_4EEA_8ABB_4446083299EC_.wvu.Cols" localSheetId="18" hidden="1">'#利润建议'!$B:$J,'#利润建议'!$Q:$AN</definedName>
    <definedName name="Z_6A1E79C9_91E3_4EEA_8ABB_4446083299EC_.wvu.Cols" localSheetId="12" hidden="1">'#现金流 (新)'!$G:$AH</definedName>
    <definedName name="Z_6A1E79C9_91E3_4EEA_8ABB_4446083299EC_.wvu.Cols" localSheetId="21" hidden="1">'@分析#利润分析#'!$D:$D</definedName>
    <definedName name="Z_6A1E79C9_91E3_4EEA_8ABB_4446083299EC_.wvu.Cols" localSheetId="1" hidden="1">'@预测#利润分析#'!$D:$D</definedName>
    <definedName name="Z_6A1E79C9_91E3_4EEA_8ABB_4446083299EC_.wvu.Cols" localSheetId="27" hidden="1">Sheet1!$AC:$AK</definedName>
    <definedName name="Z_6A1E79C9_91E3_4EEA_8ABB_4446083299EC_.wvu.Cols" localSheetId="35" hidden="1">画图!$K:$O</definedName>
    <definedName name="Z_6A1E79C9_91E3_4EEA_8ABB_4446083299EC_.wvu.PrintArea" localSheetId="16" hidden="1">'#经营概况'!$B$324:$O$377</definedName>
    <definedName name="Z_6A1E79C9_91E3_4EEA_8ABB_4446083299EC_.wvu.PrintArea" localSheetId="17" hidden="1">'#经营利润'!$A$3:$BJ$46</definedName>
    <definedName name="Z_6A1E79C9_91E3_4EEA_8ABB_4446083299EC_.wvu.PrintArea" localSheetId="25" hidden="1">'#利润因素分析（ppt）'!$F$2:$M$19</definedName>
    <definedName name="Z_6A1E79C9_91E3_4EEA_8ABB_4446083299EC_.wvu.PrintArea" localSheetId="15" hidden="1">'#母公司报表'!$A$1:$P$68</definedName>
    <definedName name="Z_6A1E79C9_91E3_4EEA_8ABB_4446083299EC_.wvu.PrintArea" localSheetId="42" hidden="1">'@产量打印#不锈钢'!$A$3:$K$42</definedName>
    <definedName name="Z_6A1E79C9_91E3_4EEA_8ABB_4446083299EC_.wvu.PrintArea" localSheetId="44" hidden="1">'@产量打印#材'!$A$3:$K$35</definedName>
    <definedName name="Z_6A1E79C9_91E3_4EEA_8ABB_4446083299EC_.wvu.PrintArea" localSheetId="40" hidden="1">'@产量打印#概况'!$A$4:$Q$30</definedName>
    <definedName name="Z_6A1E79C9_91E3_4EEA_8ABB_4446083299EC_.wvu.PrintArea" localSheetId="43" hidden="1">'@产量打印#钢'!$A$3:$K$35</definedName>
    <definedName name="Z_6A1E79C9_91E3_4EEA_8ABB_4446083299EC_.wvu.PrintArea" localSheetId="41" hidden="1">'@产量打印#矿产品'!$A$3:$K$46</definedName>
    <definedName name="Z_6A1E79C9_91E3_4EEA_8ABB_4446083299EC_.wvu.PrintArea" localSheetId="6" hidden="1">'@预测#股份关联价（打印）'!$B$3:$K$22</definedName>
    <definedName name="Z_6A1E79C9_91E3_4EEA_8ABB_4446083299EC_.wvu.PrintArea" localSheetId="27" hidden="1">Sheet1!$A$3:$AN$11</definedName>
    <definedName name="Z_6A1E79C9_91E3_4EEA_8ABB_4446083299EC_.wvu.PrintArea" localSheetId="33" hidden="1">'收入（外部）'!$A$1:$AB$42</definedName>
    <definedName name="Z_6A1E79C9_91E3_4EEA_8ABB_4446083299EC_.wvu.Rows" localSheetId="13" hidden="1">'#存货'!$6:$6</definedName>
    <definedName name="Z_6A1E79C9_91E3_4EEA_8ABB_4446083299EC_.wvu.Rows" localSheetId="20" hidden="1">'#分板块利润分析'!$70:$72,'#分板块利润分析'!$81:$81</definedName>
    <definedName name="Z_6A1E79C9_91E3_4EEA_8ABB_4446083299EC_.wvu.Rows" localSheetId="18" hidden="1">'#利润建议'!$10:$11,'#利润建议'!$25:$42</definedName>
    <definedName name="Z_6A1E79C9_91E3_4EEA_8ABB_4446083299EC_.wvu.Rows" localSheetId="11" hidden="1">'#子分公司分析'!$23:$23</definedName>
    <definedName name="Z_6A1E79C9_91E3_4EEA_8ABB_4446083299EC_.wvu.Rows" localSheetId="3" hidden="1">'@预测#利润建议# '!$18:$21,'@预测#利润建议# '!$23:$42</definedName>
    <definedName name="Z_6A57ADA6_359A_4D07_BF65_F8A442958EC8_.wvu.Cols" localSheetId="13" hidden="1">'#存货'!$E:$S,'#存货'!$U:$V</definedName>
    <definedName name="Z_6A57ADA6_359A_4D07_BF65_F8A442958EC8_.wvu.Cols" localSheetId="17" hidden="1">'#经营利润'!$D:$O,'#经营利润'!$V:$AC</definedName>
    <definedName name="Z_6A57ADA6_359A_4D07_BF65_F8A442958EC8_.wvu.Cols" localSheetId="18" hidden="1">'#利润建议'!$B:$S,'#利润建议'!$Z:$AN</definedName>
    <definedName name="Z_6A57ADA6_359A_4D07_BF65_F8A442958EC8_.wvu.Cols" localSheetId="15" hidden="1">'#母公司报表'!$L:$O,'#母公司报表'!$P:$P</definedName>
    <definedName name="Z_6A57ADA6_359A_4D07_BF65_F8A442958EC8_.wvu.Cols" localSheetId="10" hidden="1">'#税金'!$B:$H,'#税金'!$J:$M,'#税金'!#REF!,'#税金'!$N:$S,'#税金'!$V:$Y</definedName>
    <definedName name="Z_6A57ADA6_359A_4D07_BF65_F8A442958EC8_.wvu.Cols" localSheetId="12" hidden="1">'#现金流 (新)'!$C:$C,'#现金流 (新)'!$F:$J,'#现金流 (新)'!$M:$Q</definedName>
    <definedName name="Z_6A57ADA6_359A_4D07_BF65_F8A442958EC8_.wvu.Cols" localSheetId="14" hidden="1">'#销量数据'!$C:$N,'#销量数据'!$U:$AB</definedName>
    <definedName name="Z_6A57ADA6_359A_4D07_BF65_F8A442958EC8_.wvu.Cols" localSheetId="22" hidden="1">钢铁分析!$C:$E</definedName>
    <definedName name="Z_6A57ADA6_359A_4D07_BF65_F8A442958EC8_.wvu.Cols" localSheetId="34" hidden="1">'利润（汇总）'!$E:$I</definedName>
    <definedName name="Z_6A57ADA6_359A_4D07_BF65_F8A442958EC8_.wvu.Cols" localSheetId="32" hidden="1">'收入（关联）'!$D:$H</definedName>
    <definedName name="Z_6A57ADA6_359A_4D07_BF65_F8A442958EC8_.wvu.Cols" localSheetId="30" hidden="1">'收入（汇总）'!$E:$I</definedName>
    <definedName name="Z_6A57ADA6_359A_4D07_BF65_F8A442958EC8_.wvu.PrintArea" localSheetId="15" hidden="1">'#母公司报表'!$A$1:$P$68</definedName>
    <definedName name="Z_6A57ADA6_359A_4D07_BF65_F8A442958EC8_.wvu.Rows" localSheetId="13" hidden="1">'#存货'!$6:$6</definedName>
    <definedName name="Z_6A57ADA6_359A_4D07_BF65_F8A442958EC8_.wvu.Rows" localSheetId="17" hidden="1">'#经营利润'!#REF!,'#经营利润'!$35:$35,'#经营利润'!$29:$35,'#经营利润'!$27:$27,'#经营利润'!$40:$42</definedName>
    <definedName name="Z_6A57ADA6_359A_4D07_BF65_F8A442958EC8_.wvu.Rows" localSheetId="18" hidden="1">'#利润建议'!#REF!,'#利润建议'!$35:$35,'#利润建议'!$25:$35,'#利润建议'!$29:$29,'#利润建议'!$40:$42</definedName>
    <definedName name="Z_6A57ADA6_359A_4D07_BF65_F8A442958EC8_.wvu.Rows" localSheetId="15" hidden="1">'#母公司报表'!$115:$120</definedName>
    <definedName name="Z_6A57ADA6_359A_4D07_BF65_F8A442958EC8_.wvu.Rows" localSheetId="14" hidden="1">'#销量数据'!#REF!</definedName>
    <definedName name="Z_6B5CCA07_2BDD_4B8E_9E3C_2111BBA97430_.wvu.Cols" localSheetId="20" hidden="1">'#分板块利润分析'!$S:$S,'#分板块利润分析'!$AB:$AB</definedName>
    <definedName name="Z_6B5CCA07_2BDD_4B8E_9E3C_2111BBA97430_.wvu.Cols" localSheetId="17" hidden="1">'#经营利润'!$D:$AA,'#经营利润'!$AF:$BA,'#经营利润'!$BD:$BE</definedName>
    <definedName name="Z_6B5CCA07_2BDD_4B8E_9E3C_2111BBA97430_.wvu.Cols" localSheetId="18" hidden="1">'#利润建议'!$B:$AK,'#利润建议'!$AR:$BX</definedName>
    <definedName name="Z_6B5CCA07_2BDD_4B8E_9E3C_2111BBA97430_.wvu.Cols" localSheetId="31" hidden="1">'#收入完成情况'!$D:$D,'#收入完成情况'!$I:$I,'#收入完成情况'!$M:$M,'#收入完成情况'!$O:$O</definedName>
    <definedName name="Z_6B5CCA07_2BDD_4B8E_9E3C_2111BBA97430_.wvu.Cols" localSheetId="36" hidden="1">'#投资情况'!$A:$A</definedName>
    <definedName name="Z_6B5CCA07_2BDD_4B8E_9E3C_2111BBA97430_.wvu.Cols" localSheetId="12" hidden="1">'#现金流 (新)'!$C:$Q</definedName>
    <definedName name="Z_6B5CCA07_2BDD_4B8E_9E3C_2111BBA97430_.wvu.Cols" localSheetId="14" hidden="1">'#销量数据'!$CA:$CV</definedName>
    <definedName name="Z_6B5CCA07_2BDD_4B8E_9E3C_2111BBA97430_.wvu.Cols" localSheetId="4" hidden="1">'@预测#经营利润#'!$I:$I,'@预测#经营利润#'!$L:$L</definedName>
    <definedName name="Z_6B5CCA07_2BDD_4B8E_9E3C_2111BBA97430_.wvu.Cols" localSheetId="5" hidden="1">'@预测#收入利润#'!$P:$Q,'@预测#收入利润#'!$T:$V</definedName>
    <definedName name="Z_6B5CCA07_2BDD_4B8E_9E3C_2111BBA97430_.wvu.Cols" localSheetId="27" hidden="1">Sheet1!$AC:$AK</definedName>
    <definedName name="Z_6B5CCA07_2BDD_4B8E_9E3C_2111BBA97430_.wvu.Cols" localSheetId="35" hidden="1">画图!$O:$O</definedName>
    <definedName name="Z_6B5CCA07_2BDD_4B8E_9E3C_2111BBA97430_.wvu.PrintArea" localSheetId="16" hidden="1">'#经营概况'!$B$322:$O$379</definedName>
    <definedName name="Z_6B5CCA07_2BDD_4B8E_9E3C_2111BBA97430_.wvu.PrintArea" localSheetId="17" hidden="1">'#经营利润'!$A$3:$BC$46</definedName>
    <definedName name="Z_6B5CCA07_2BDD_4B8E_9E3C_2111BBA97430_.wvu.PrintArea" localSheetId="15" hidden="1">'#母公司报表'!$A$1:$P$68</definedName>
    <definedName name="Z_6B5CCA07_2BDD_4B8E_9E3C_2111BBA97430_.wvu.PrintArea" localSheetId="42" hidden="1">'@产量打印#不锈钢'!$A$3:$K$42</definedName>
    <definedName name="Z_6B5CCA07_2BDD_4B8E_9E3C_2111BBA97430_.wvu.PrintArea" localSheetId="44" hidden="1">'@产量打印#材'!$A$3:$K$35</definedName>
    <definedName name="Z_6B5CCA07_2BDD_4B8E_9E3C_2111BBA97430_.wvu.PrintArea" localSheetId="40" hidden="1">'@产量打印#概况'!$A$4:$Q$30</definedName>
    <definedName name="Z_6B5CCA07_2BDD_4B8E_9E3C_2111BBA97430_.wvu.PrintArea" localSheetId="43" hidden="1">'@产量打印#钢'!$A$3:$K$35</definedName>
    <definedName name="Z_6B5CCA07_2BDD_4B8E_9E3C_2111BBA97430_.wvu.PrintArea" localSheetId="41" hidden="1">'@产量打印#矿产品'!$A$3:$K$46</definedName>
    <definedName name="Z_6B5CCA07_2BDD_4B8E_9E3C_2111BBA97430_.wvu.PrintArea" localSheetId="6" hidden="1">'@预测#股份关联价（打印）'!$B$3:$K$22</definedName>
    <definedName name="Z_6B5CCA07_2BDD_4B8E_9E3C_2111BBA97430_.wvu.PrintArea" localSheetId="27" hidden="1">Sheet1!$A$3:$AN$11</definedName>
    <definedName name="Z_6B5CCA07_2BDD_4B8E_9E3C_2111BBA97430_.wvu.Rows" localSheetId="13" hidden="1">'#存货'!$6:$6</definedName>
    <definedName name="Z_6B5CCA07_2BDD_4B8E_9E3C_2111BBA97430_.wvu.Rows" localSheetId="20" hidden="1">'#分板块利润分析'!$70:$72</definedName>
    <definedName name="Z_6B5CCA07_2BDD_4B8E_9E3C_2111BBA97430_.wvu.Rows" localSheetId="16" hidden="1">'#经营概况'!$179:$180</definedName>
    <definedName name="Z_6B5CCA07_2BDD_4B8E_9E3C_2111BBA97430_.wvu.Rows" localSheetId="17" hidden="1">'#经营利润'!$17:$22,'#经营利润'!$25:$42</definedName>
    <definedName name="Z_6B5CCA07_2BDD_4B8E_9E3C_2111BBA97430_.wvu.Rows" localSheetId="11" hidden="1">'#子分公司分析'!$4:$5,'#子分公司分析'!$14:$14</definedName>
    <definedName name="Z_6B5CCA07_2BDD_4B8E_9E3C_2111BBA97430_.wvu.Rows" localSheetId="0" hidden="1">'@预测#概况#'!#REF!,'@预测#概况#'!$109:$110</definedName>
    <definedName name="Z_6B5CCA07_2BDD_4B8E_9E3C_2111BBA97430_.wvu.Rows" localSheetId="3" hidden="1">'@预测#利润建议# '!$18:$21</definedName>
    <definedName name="Z_6BCBC505_53C7_4504_A75E_A63944106538_.wvu.Cols" localSheetId="13" hidden="1">'#存货'!$E:$V,'#存货'!$X:$Y</definedName>
    <definedName name="Z_6BCBC505_53C7_4504_A75E_A63944106538_.wvu.Cols" localSheetId="17" hidden="1">'#经营利润'!$D:$Q,'#经营利润'!$V:$AC</definedName>
    <definedName name="Z_6BCBC505_53C7_4504_A75E_A63944106538_.wvu.Cols" localSheetId="18" hidden="1">'#利润建议'!$B:$V,'#利润建议'!$AC:$AN</definedName>
    <definedName name="Z_6BCBC505_53C7_4504_A75E_A63944106538_.wvu.Cols" localSheetId="15" hidden="1">'#母公司报表'!$L:$O,'#母公司报表'!$P:$P</definedName>
    <definedName name="Z_6BCBC505_53C7_4504_A75E_A63944106538_.wvu.Cols" localSheetId="10" hidden="1">'#税金'!$B:$H,'#税金'!$J:$M,'#税金'!#REF!,'#税金'!$N:$S,'#税金'!$V:$Y</definedName>
    <definedName name="Z_6BCBC505_53C7_4504_A75E_A63944106538_.wvu.Cols" localSheetId="12" hidden="1">'#现金流 (新)'!$C:$C,'#现金流 (新)'!$F:$K,'#现金流 (新)'!$N:$Q</definedName>
    <definedName name="Z_6BCBC505_53C7_4504_A75E_A63944106538_.wvu.Cols" localSheetId="14" hidden="1">'#销量数据'!$C:$P,'#销量数据'!$U:$AB</definedName>
    <definedName name="Z_6BCBC505_53C7_4504_A75E_A63944106538_.wvu.Cols" localSheetId="22" hidden="1">钢铁分析!$C:$E</definedName>
    <definedName name="Z_6BCBC505_53C7_4504_A75E_A63944106538_.wvu.Cols" localSheetId="34" hidden="1">'利润（汇总）'!$E:$I,'利润（汇总）'!$M:$P</definedName>
    <definedName name="Z_6BCBC505_53C7_4504_A75E_A63944106538_.wvu.Cols" localSheetId="32" hidden="1">'收入（关联）'!$D:$H,'收入（关联）'!$L:$O</definedName>
    <definedName name="Z_6BCBC505_53C7_4504_A75E_A63944106538_.wvu.Cols" localSheetId="30" hidden="1">'收入（汇总）'!$E:$I,'收入（汇总）'!$M:$P</definedName>
    <definedName name="Z_6BCBC505_53C7_4504_A75E_A63944106538_.wvu.PrintArea" localSheetId="15" hidden="1">'#母公司报表'!$A$1:$P$68</definedName>
    <definedName name="Z_6BCBC505_53C7_4504_A75E_A63944106538_.wvu.Rows" localSheetId="13" hidden="1">'#存货'!$6:$6</definedName>
    <definedName name="Z_6BCBC505_53C7_4504_A75E_A63944106538_.wvu.Rows" localSheetId="17" hidden="1">'#经营利润'!$11:$11,'#经营利润'!$35:$35,'#经营利润'!$29:$35,'#经营利润'!$27:$27,'#经营利润'!$40:$42</definedName>
    <definedName name="Z_6BCBC505_53C7_4504_A75E_A63944106538_.wvu.Rows" localSheetId="18" hidden="1">'#利润建议'!$11:$11,'#利润建议'!$35:$35,'#利润建议'!$25:$35,'#利润建议'!$29:$29,'#利润建议'!$40:$42</definedName>
    <definedName name="Z_6BCBC505_53C7_4504_A75E_A63944106538_.wvu.Rows" localSheetId="15" hidden="1">'#母公司报表'!$115:$120</definedName>
    <definedName name="Z_6BCBC505_53C7_4504_A75E_A63944106538_.wvu.Rows" localSheetId="14" hidden="1">'#销量数据'!$6:$7,'#销量数据'!$27:$28,'#销量数据'!$61:$62,'#销量数据'!$65:$65,'#销量数据'!#REF!</definedName>
    <definedName name="Z_6C6BA6CD_2088_4A35_8DDE_3A6D491DCFCE_.wvu.Cols" localSheetId="13" hidden="1">'#存货'!$E:$V,'#存货'!$X:$Y</definedName>
    <definedName name="Z_6C6BA6CD_2088_4A35_8DDE_3A6D491DCFCE_.wvu.Cols" localSheetId="17" hidden="1">'#经营利润'!$D:$Q,'#经营利润'!$X:$AC</definedName>
    <definedName name="Z_6C6BA6CD_2088_4A35_8DDE_3A6D491DCFCE_.wvu.Cols" localSheetId="18" hidden="1">'#利润建议'!$B:$V</definedName>
    <definedName name="Z_6C6BA6CD_2088_4A35_8DDE_3A6D491DCFCE_.wvu.Cols" localSheetId="15" hidden="1">'#母公司报表'!$L:$O,'#母公司报表'!$P:$P</definedName>
    <definedName name="Z_6C6BA6CD_2088_4A35_8DDE_3A6D491DCFCE_.wvu.Cols" localSheetId="10" hidden="1">'#税金'!$B:$H,'#税金'!$J:$M,'#税金'!#REF!,'#税金'!$N:$S,'#税金'!$V:$Y</definedName>
    <definedName name="Z_6C6BA6CD_2088_4A35_8DDE_3A6D491DCFCE_.wvu.Cols" localSheetId="12" hidden="1">'#现金流 (新)'!$C:$C,'#现金流 (新)'!$F:$K,'#现金流 (新)'!$N:$Q</definedName>
    <definedName name="Z_6C6BA6CD_2088_4A35_8DDE_3A6D491DCFCE_.wvu.Cols" localSheetId="14" hidden="1">'#销量数据'!$C:$P,'#销量数据'!$W:$AA</definedName>
    <definedName name="Z_6C6BA6CD_2088_4A35_8DDE_3A6D491DCFCE_.wvu.Cols" localSheetId="22" hidden="1">钢铁分析!$C:$E</definedName>
    <definedName name="Z_6C6BA6CD_2088_4A35_8DDE_3A6D491DCFCE_.wvu.PrintArea" localSheetId="15" hidden="1">'#母公司报表'!$A$1:$P$68</definedName>
    <definedName name="Z_6C6BA6CD_2088_4A35_8DDE_3A6D491DCFCE_.wvu.Rows" localSheetId="13" hidden="1">'#存货'!$6:$6</definedName>
    <definedName name="Z_6C6BA6CD_2088_4A35_8DDE_3A6D491DCFCE_.wvu.Rows" localSheetId="17" hidden="1">'#经营利润'!$11:$11,'#经营利润'!$35:$35,'#经营利润'!$29:$35,'#经营利润'!$27:$27,'#经营利润'!$40:$42</definedName>
    <definedName name="Z_6C6BA6CD_2088_4A35_8DDE_3A6D491DCFCE_.wvu.Rows" localSheetId="18" hidden="1">'#利润建议'!$11:$11,'#利润建议'!$35:$35,'#利润建议'!$25:$35,'#利润建议'!$29:$29,'#利润建议'!$40:$42</definedName>
    <definedName name="Z_6C6BA6CD_2088_4A35_8DDE_3A6D491DCFCE_.wvu.Rows" localSheetId="15" hidden="1">'#母公司报表'!$115:$120</definedName>
    <definedName name="Z_6C6BA6CD_2088_4A35_8DDE_3A6D491DCFCE_.wvu.Rows" localSheetId="14" hidden="1">'#销量数据'!$6:$7,'#销量数据'!$27:$28,'#销量数据'!$61:$62,'#销量数据'!$65:$65,'#销量数据'!#REF!</definedName>
    <definedName name="Z_6DFCDC06_D75C_420C_8134_2D165196E638_.wvu.Cols" localSheetId="13" hidden="1">'#存货'!$F:$F,'#存货'!$I:$J,'#存货'!$L:$M,'#存货'!$Q:$AN</definedName>
    <definedName name="Z_6DFCDC06_D75C_420C_8134_2D165196E638_.wvu.Cols" localSheetId="17" hidden="1">'#经营利润'!$D:$I,'#经营利润'!$N:$AC</definedName>
    <definedName name="Z_6DFCDC06_D75C_420C_8134_2D165196E638_.wvu.Cols" localSheetId="18" hidden="1">'#利润建议'!$B:$D</definedName>
    <definedName name="Z_6DFCDC06_D75C_420C_8134_2D165196E638_.wvu.Cols" localSheetId="10" hidden="1">'#税金'!$B:$D,'#税金'!$F:$M,'#税金'!#REF!,'#税金'!$N:$O,'#税金'!$R:$Y</definedName>
    <definedName name="Z_6DFCDC06_D75C_420C_8134_2D165196E638_.wvu.Cols" localSheetId="12" hidden="1">'#现金流 (新)'!$C:$C,'#现金流 (新)'!$F:$F,'#现金流 (新)'!$J:$Q</definedName>
    <definedName name="Z_6DFCDC06_D75C_420C_8134_2D165196E638_.wvu.Cols" localSheetId="14" hidden="1">'#销量数据'!$C:$H,'#销量数据'!$M:$AB</definedName>
    <definedName name="Z_6DFCDC06_D75C_420C_8134_2D165196E638_.wvu.Cols" localSheetId="34" hidden="1">'利润（汇总）'!$C:$F,'利润（汇总）'!$I:$P</definedName>
    <definedName name="Z_6DFCDC06_D75C_420C_8134_2D165196E638_.wvu.Cols" localSheetId="32" hidden="1">'收入（关联）'!$B:$E,'收入（关联）'!$H:$O</definedName>
    <definedName name="Z_6DFCDC06_D75C_420C_8134_2D165196E638_.wvu.Cols" localSheetId="30" hidden="1">'收入（汇总）'!$C:$F,'收入（汇总）'!$I:$P</definedName>
    <definedName name="Z_6DFCDC06_D75C_420C_8134_2D165196E638_.wvu.PrintArea" localSheetId="34" hidden="1">'利润（汇总）'!$B$1:$P$48</definedName>
    <definedName name="Z_6DFCDC06_D75C_420C_8134_2D165196E638_.wvu.PrintArea" localSheetId="32" hidden="1">'收入（关联）'!$A$1:$O$48</definedName>
    <definedName name="Z_6DFCDC06_D75C_420C_8134_2D165196E638_.wvu.PrintArea" localSheetId="30" hidden="1">'收入（汇总）'!$B$1:$P$51</definedName>
    <definedName name="Z_6DFCDC06_D75C_420C_8134_2D165196E638_.wvu.Rows" localSheetId="14" hidden="1">'#销量数据'!$6:$6,'#销量数据'!$26:$28,'#销量数据'!$30:$33,'#销量数据'!$35:$38,'#销量数据'!$41:$44,'#销量数据'!$46:$49,'#销量数据'!$56:$56,'#销量数据'!$61:$62,'#销量数据'!$65:$65</definedName>
    <definedName name="Z_6E7F00E8_454B_449F_8D3A_4DCE777FC52F_.wvu.Cols" localSheetId="13" hidden="1">'#存货'!$G:$AN</definedName>
    <definedName name="Z_6E7F00E8_454B_449F_8D3A_4DCE777FC52F_.wvu.Cols" localSheetId="5" hidden="1">'@预测#收入利润#'!$J:$K,'@预测#收入利润#'!$R:$S</definedName>
    <definedName name="Z_6E7F00E8_454B_449F_8D3A_4DCE777FC52F_.wvu.PrintArea" localSheetId="17" hidden="1">'#经营利润'!$A$3:$BC$46</definedName>
    <definedName name="Z_6E7F00E8_454B_449F_8D3A_4DCE777FC52F_.wvu.PrintArea" localSheetId="15" hidden="1">'#母公司报表'!$A$1:$P$68</definedName>
    <definedName name="Z_6E7F00E8_454B_449F_8D3A_4DCE777FC52F_.wvu.PrintArea" localSheetId="42" hidden="1">'@产量打印#不锈钢'!$A$3:$K$42</definedName>
    <definedName name="Z_6E7F00E8_454B_449F_8D3A_4DCE777FC52F_.wvu.PrintArea" localSheetId="44" hidden="1">'@产量打印#材'!$A$3:$K$35</definedName>
    <definedName name="Z_6E7F00E8_454B_449F_8D3A_4DCE777FC52F_.wvu.PrintArea" localSheetId="40" hidden="1">'@产量打印#概况'!$A$4:$Q$30</definedName>
    <definedName name="Z_6E7F00E8_454B_449F_8D3A_4DCE777FC52F_.wvu.PrintArea" localSheetId="43" hidden="1">'@产量打印#钢'!$A$3:$K$35</definedName>
    <definedName name="Z_6E7F00E8_454B_449F_8D3A_4DCE777FC52F_.wvu.PrintArea" localSheetId="41" hidden="1">'@产量打印#矿产品'!$A$3:$K$46</definedName>
    <definedName name="Z_6E7F00E8_454B_449F_8D3A_4DCE777FC52F_.wvu.Rows" localSheetId="13" hidden="1">'#存货'!$6:$6</definedName>
    <definedName name="Z_6E7F00E8_454B_449F_8D3A_4DCE777FC52F_.wvu.Rows" localSheetId="17" hidden="1">'#经营利润'!$11:$11</definedName>
    <definedName name="Z_6E7F00E8_454B_449F_8D3A_4DCE777FC52F_.wvu.Rows" localSheetId="4" hidden="1">'@预测#经营利润#'!#REF!,'@预测#经营利润#'!$35:$35,'@预测#经营利润#'!$29:$35,'@预测#经营利润#'!$25:$35,'@预测#经营利润#'!$27:$27,'@预测#经营利润#'!$40:$42</definedName>
    <definedName name="Z_6E7F00E8_454B_449F_8D3A_4DCE777FC52F_.wvu.Rows" localSheetId="3" hidden="1">'@预测#利润建议# '!$11:$11,'@预测#利润建议# '!$21:$21,'@预测#利润建议# '!$18:$24</definedName>
    <definedName name="Z_6FBD52F4_917F_49D3_9F3B_4DD8F6AEC286_.wvu.Cols" localSheetId="13" hidden="1">'#存货'!$G:$AN</definedName>
    <definedName name="Z_6FBD52F4_917F_49D3_9F3B_4DD8F6AEC286_.wvu.Cols" localSheetId="5" hidden="1">'@预测#收入利润#'!$J:$K,'@预测#收入利润#'!$R:$S</definedName>
    <definedName name="Z_6FBD52F4_917F_49D3_9F3B_4DD8F6AEC286_.wvu.PrintArea" localSheetId="17" hidden="1">'#经营利润'!$A$3:$BC$46</definedName>
    <definedName name="Z_6FBD52F4_917F_49D3_9F3B_4DD8F6AEC286_.wvu.PrintArea" localSheetId="15" hidden="1">'#母公司报表'!$A$1:$P$68</definedName>
    <definedName name="Z_6FBD52F4_917F_49D3_9F3B_4DD8F6AEC286_.wvu.PrintArea" localSheetId="42" hidden="1">'@产量打印#不锈钢'!$A$3:$K$42</definedName>
    <definedName name="Z_6FBD52F4_917F_49D3_9F3B_4DD8F6AEC286_.wvu.PrintArea" localSheetId="44" hidden="1">'@产量打印#材'!$A$3:$K$35</definedName>
    <definedName name="Z_6FBD52F4_917F_49D3_9F3B_4DD8F6AEC286_.wvu.PrintArea" localSheetId="40" hidden="1">'@产量打印#概况'!$A$4:$Q$30</definedName>
    <definedName name="Z_6FBD52F4_917F_49D3_9F3B_4DD8F6AEC286_.wvu.PrintArea" localSheetId="43" hidden="1">'@产量打印#钢'!$A$3:$K$35</definedName>
    <definedName name="Z_6FBD52F4_917F_49D3_9F3B_4DD8F6AEC286_.wvu.PrintArea" localSheetId="41" hidden="1">'@产量打印#矿产品'!$A$3:$K$46</definedName>
    <definedName name="Z_6FBD52F4_917F_49D3_9F3B_4DD8F6AEC286_.wvu.Rows" localSheetId="13" hidden="1">'#存货'!$6:$6</definedName>
    <definedName name="Z_6FBD52F4_917F_49D3_9F3B_4DD8F6AEC286_.wvu.Rows" localSheetId="17" hidden="1">'#经营利润'!$11:$11</definedName>
    <definedName name="Z_6FBD52F4_917F_49D3_9F3B_4DD8F6AEC286_.wvu.Rows" localSheetId="4" hidden="1">'@预测#经营利润#'!#REF!,'@预测#经营利润#'!$35:$35,'@预测#经营利润#'!$29:$35,'@预测#经营利润#'!$25:$35,'@预测#经营利润#'!$27:$27,'@预测#经营利润#'!$40:$42</definedName>
    <definedName name="Z_6FBD52F4_917F_49D3_9F3B_4DD8F6AEC286_.wvu.Rows" localSheetId="3" hidden="1">'@预测#利润建议# '!$11:$11,'@预测#利润建议# '!$21:$21,'@预测#利润建议# '!$18:$24</definedName>
    <definedName name="Z_70563451_76CF_4634_8D99_C0A01F3E1BB3_.wvu.Cols" localSheetId="17" hidden="1">'#经营利润'!$F:$F</definedName>
    <definedName name="Z_70563451_76CF_4634_8D99_C0A01F3E1BB3_.wvu.Cols" localSheetId="18" hidden="1">'#利润建议'!$B:$Y,'#利润建议'!#REF!</definedName>
    <definedName name="Z_71BE0EAF_D451_4507_BFE4_49CED6962B31_.wvu.Cols" localSheetId="13" hidden="1">'#存货'!$G:$AN</definedName>
    <definedName name="Z_71BE0EAF_D451_4507_BFE4_49CED6962B31_.wvu.Cols" localSheetId="5" hidden="1">'@预测#收入利润#'!$J:$K,'@预测#收入利润#'!$R:$S</definedName>
    <definedName name="Z_71BE0EAF_D451_4507_BFE4_49CED6962B31_.wvu.PrintArea" localSheetId="17" hidden="1">'#经营利润'!$A$3:$BC$46</definedName>
    <definedName name="Z_71BE0EAF_D451_4507_BFE4_49CED6962B31_.wvu.PrintArea" localSheetId="15" hidden="1">'#母公司报表'!$A$1:$P$68</definedName>
    <definedName name="Z_71BE0EAF_D451_4507_BFE4_49CED6962B31_.wvu.PrintArea" localSheetId="42" hidden="1">'@产量打印#不锈钢'!$A$3:$K$42</definedName>
    <definedName name="Z_71BE0EAF_D451_4507_BFE4_49CED6962B31_.wvu.PrintArea" localSheetId="44" hidden="1">'@产量打印#材'!$A$3:$K$35</definedName>
    <definedName name="Z_71BE0EAF_D451_4507_BFE4_49CED6962B31_.wvu.PrintArea" localSheetId="40" hidden="1">'@产量打印#概况'!$A$4:$Q$30</definedName>
    <definedName name="Z_71BE0EAF_D451_4507_BFE4_49CED6962B31_.wvu.PrintArea" localSheetId="43" hidden="1">'@产量打印#钢'!$A$3:$K$35</definedName>
    <definedName name="Z_71BE0EAF_D451_4507_BFE4_49CED6962B31_.wvu.PrintArea" localSheetId="41" hidden="1">'@产量打印#矿产品'!$A$3:$K$46</definedName>
    <definedName name="Z_71BE0EAF_D451_4507_BFE4_49CED6962B31_.wvu.Rows" localSheetId="13" hidden="1">'#存货'!$6:$6</definedName>
    <definedName name="Z_71BE0EAF_D451_4507_BFE4_49CED6962B31_.wvu.Rows" localSheetId="17" hidden="1">'#经营利润'!$11:$11</definedName>
    <definedName name="Z_71BE0EAF_D451_4507_BFE4_49CED6962B31_.wvu.Rows" localSheetId="4" hidden="1">'@预测#经营利润#'!#REF!,'@预测#经营利润#'!$35:$35,'@预测#经营利润#'!$29:$35,'@预测#经营利润#'!$25:$35,'@预测#经营利润#'!$27:$27,'@预测#经营利润#'!$40:$42</definedName>
    <definedName name="Z_71BE0EAF_D451_4507_BFE4_49CED6962B31_.wvu.Rows" localSheetId="3" hidden="1">'@预测#利润建议# '!$11:$11,'@预测#利润建议# '!$21:$21,'@预测#利润建议# '!$18:$24</definedName>
    <definedName name="Z_737C56CF_DBCE_4485_B9E7_81FA57DDA0E2_.wvu.Cols" localSheetId="13" hidden="1">'#存货'!$E:$G,'#存货'!$N:$AN</definedName>
    <definedName name="Z_737C56CF_DBCE_4485_B9E7_81FA57DDA0E2_.wvu.Cols" localSheetId="17" hidden="1">'#经营利润'!$D:$E,'#经营利润'!$L:$AC</definedName>
    <definedName name="Z_737C56CF_DBCE_4485_B9E7_81FA57DDA0E2_.wvu.Cols" localSheetId="15" hidden="1">'#母公司报表'!$G:$O,'#母公司报表'!$P:$P</definedName>
    <definedName name="Z_737C56CF_DBCE_4485_B9E7_81FA57DDA0E2_.wvu.Cols" localSheetId="10" hidden="1">'#税金'!$B:$C,'#税金'!$E:$M,'#税金'!#REF!,'#税金'!$N:$N,'#税金'!$Q:$Y</definedName>
    <definedName name="Z_737C56CF_DBCE_4485_B9E7_81FA57DDA0E2_.wvu.Cols" localSheetId="12" hidden="1">'#现金流 (新)'!$C:$C,'#现金流 (新)'!$F:$F,'#现金流 (新)'!$I:$Q</definedName>
    <definedName name="Z_737C56CF_DBCE_4485_B9E7_81FA57DDA0E2_.wvu.Cols" localSheetId="22" hidden="1">钢铁分析!$C:$E</definedName>
    <definedName name="Z_737C56CF_DBCE_4485_B9E7_81FA57DDA0E2_.wvu.PrintArea" localSheetId="15" hidden="1">'#母公司报表'!$A$1:$P$68</definedName>
    <definedName name="Z_737C56CF_DBCE_4485_B9E7_81FA57DDA0E2_.wvu.Rows" localSheetId="13" hidden="1">'#存货'!$6:$6</definedName>
    <definedName name="Z_737C56CF_DBCE_4485_B9E7_81FA57DDA0E2_.wvu.Rows" localSheetId="17" hidden="1">'#经营利润'!$11:$11,'#经营利润'!$35:$35,'#经营利润'!$30:$35,'#经营利润'!$25:$35,'#经营利润'!$40:$42</definedName>
    <definedName name="Z_737C56CF_DBCE_4485_B9E7_81FA57DDA0E2_.wvu.Rows" localSheetId="18" hidden="1">'#利润建议'!$11:$11,'#利润建议'!$35:$35,'#利润建议'!$26:$35,'#利润建议'!$27:$35,'#利润建议'!$40:$42</definedName>
    <definedName name="Z_737C56CF_DBCE_4485_B9E7_81FA57DDA0E2_.wvu.Rows" localSheetId="15" hidden="1">'#母公司报表'!$115:$120</definedName>
    <definedName name="Z_737C56CF_DBCE_4485_B9E7_81FA57DDA0E2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737EBC06_DAFF_4E9A_BAF8_4C9C87759A55_.wvu.Cols" localSheetId="13" hidden="1">'#存货'!$E:$G,'#存货'!$I:$J,'#存货'!$L:$M</definedName>
    <definedName name="Z_737EBC06_DAFF_4E9A_BAF8_4C9C87759A55_.wvu.Cols" localSheetId="17" hidden="1">'#经营利润'!$D:$I,'#经营利润'!$N:$AC</definedName>
    <definedName name="Z_737EBC06_DAFF_4E9A_BAF8_4C9C87759A55_.wvu.Cols" localSheetId="18" hidden="1">'#利润建议'!$B:$J,'#利润建议'!$Q:$AN</definedName>
    <definedName name="Z_737EBC06_DAFF_4E9A_BAF8_4C9C87759A55_.wvu.Cols" localSheetId="15" hidden="1">'#母公司报表'!$H:$O,'#母公司报表'!$P:$P</definedName>
    <definedName name="Z_737EBC06_DAFF_4E9A_BAF8_4C9C87759A55_.wvu.Cols" localSheetId="10" hidden="1">'#税金'!$B:$D,'#税金'!$F:$M,'#税金'!#REF!,'#税金'!$N:$O,'#税金'!$R:$Y</definedName>
    <definedName name="Z_737EBC06_DAFF_4E9A_BAF8_4C9C87759A55_.wvu.Cols" localSheetId="12" hidden="1">'#现金流 (新)'!$C:$C,'#现金流 (新)'!$F:$G,'#现金流 (新)'!$J:$Q</definedName>
    <definedName name="Z_737EBC06_DAFF_4E9A_BAF8_4C9C87759A55_.wvu.Cols" localSheetId="14" hidden="1">'#销量数据'!$C:$H,'#销量数据'!$M:$AB</definedName>
    <definedName name="Z_737EBC06_DAFF_4E9A_BAF8_4C9C87759A55_.wvu.Cols" localSheetId="22" hidden="1">钢铁分析!$C:$E</definedName>
    <definedName name="Z_737EBC06_DAFF_4E9A_BAF8_4C9C87759A55_.wvu.Cols" localSheetId="34" hidden="1">'利润（汇总）'!$I:$P</definedName>
    <definedName name="Z_737EBC06_DAFF_4E9A_BAF8_4C9C87759A55_.wvu.Cols" localSheetId="32" hidden="1">'收入（关联）'!$H:$O</definedName>
    <definedName name="Z_737EBC06_DAFF_4E9A_BAF8_4C9C87759A55_.wvu.Cols" localSheetId="30" hidden="1">'收入（汇总）'!$I:$P</definedName>
    <definedName name="Z_737EBC06_DAFF_4E9A_BAF8_4C9C87759A55_.wvu.PrintArea" localSheetId="15" hidden="1">'#母公司报表'!$A$1:$P$68</definedName>
    <definedName name="Z_737EBC06_DAFF_4E9A_BAF8_4C9C87759A55_.wvu.Rows" localSheetId="13" hidden="1">'#存货'!$6:$6</definedName>
    <definedName name="Z_737EBC06_DAFF_4E9A_BAF8_4C9C87759A55_.wvu.Rows" localSheetId="17" hidden="1">'#经营利润'!$11:$11,'#经营利润'!$35:$35,'#经营利润'!$30:$30,'#经营利润'!$32:$42</definedName>
    <definedName name="Z_737EBC06_DAFF_4E9A_BAF8_4C9C87759A55_.wvu.Rows" localSheetId="18" hidden="1">'#利润建议'!$11:$11,'#利润建议'!$35:$35,'#利润建议'!$26:$26,'#利润建议'!$32:$42</definedName>
    <definedName name="Z_737EBC06_DAFF_4E9A_BAF8_4C9C87759A55_.wvu.Rows" localSheetId="15" hidden="1">'#母公司报表'!$115:$120</definedName>
    <definedName name="Z_737EBC06_DAFF_4E9A_BAF8_4C9C87759A55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7588F4F4_E908_4385_BCD7_D4436D8306AA_.wvu.Cols" localSheetId="13" hidden="1">'#存货'!$E:$Y,'#存货'!$AA:$AB</definedName>
    <definedName name="Z_7588F4F4_E908_4385_BCD7_D4436D8306AA_.wvu.Cols" localSheetId="17" hidden="1">'#经营利润'!$D:$S,'#经营利润'!$Z:$AC</definedName>
    <definedName name="Z_7588F4F4_E908_4385_BCD7_D4436D8306AA_.wvu.Cols" localSheetId="18" hidden="1">'#利润建议'!$B:$Y,'#利润建议'!$AF:$AN</definedName>
    <definedName name="Z_7588F4F4_E908_4385_BCD7_D4436D8306AA_.wvu.Cols" localSheetId="15" hidden="1">'#母公司报表'!$P:$P</definedName>
    <definedName name="Z_7588F4F4_E908_4385_BCD7_D4436D8306AA_.wvu.Cols" localSheetId="10" hidden="1">'#税金'!$B:$I,'#税金'!$K:$M,'#税金'!#REF!,'#税金'!$N:$T,'#税金'!$W:$Y</definedName>
    <definedName name="Z_7588F4F4_E908_4385_BCD7_D4436D8306AA_.wvu.Cols" localSheetId="12" hidden="1">'#现金流 (新)'!$C:$C,'#现金流 (新)'!$F:$L,'#现金流 (新)'!$O:$Q</definedName>
    <definedName name="Z_7588F4F4_E908_4385_BCD7_D4436D8306AA_.wvu.Cols" localSheetId="14" hidden="1">'#销量数据'!$C:$R,'#销量数据'!$W:$AB</definedName>
    <definedName name="Z_7588F4F4_E908_4385_BCD7_D4436D8306AA_.wvu.Cols" localSheetId="22" hidden="1">钢铁分析!$C:$E</definedName>
    <definedName name="Z_7588F4F4_E908_4385_BCD7_D4436D8306AA_.wvu.Cols" localSheetId="34" hidden="1">'利润（汇总）'!$D:$L</definedName>
    <definedName name="Z_7588F4F4_E908_4385_BCD7_D4436D8306AA_.wvu.Cols" localSheetId="32" hidden="1">'收入（关联）'!$C:$K</definedName>
    <definedName name="Z_7588F4F4_E908_4385_BCD7_D4436D8306AA_.wvu.Cols" localSheetId="30" hidden="1">'收入（汇总）'!$D:$L</definedName>
    <definedName name="Z_7588F4F4_E908_4385_BCD7_D4436D8306AA_.wvu.PrintArea" localSheetId="15" hidden="1">'#母公司报表'!$A$1:$P$68</definedName>
    <definedName name="Z_7588F4F4_E908_4385_BCD7_D4436D8306AA_.wvu.Rows" localSheetId="13" hidden="1">'#存货'!$6:$6</definedName>
    <definedName name="Z_7588F4F4_E908_4385_BCD7_D4436D8306AA_.wvu.Rows" localSheetId="17" hidden="1">'#经营利润'!$11:$11,'#经营利润'!$35:$35,'#经营利润'!$29:$35,'#经营利润'!$40:$42</definedName>
    <definedName name="Z_7588F4F4_E908_4385_BCD7_D4436D8306AA_.wvu.Rows" localSheetId="18" hidden="1">'#利润建议'!$11:$11,'#利润建议'!$35:$35,'#利润建议'!$25:$35,'#利润建议'!$40:$42</definedName>
    <definedName name="Z_7588F4F4_E908_4385_BCD7_D4436D8306AA_.wvu.Rows" localSheetId="15" hidden="1">'#母公司报表'!$115:$120</definedName>
    <definedName name="Z_7588F4F4_E908_4385_BCD7_D4436D8306AA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779D4AE7_804E_4D87_A627_1563C25C36EB_.wvu.Cols" localSheetId="13" hidden="1">'#存货'!$V:$Y,'#存货'!$AA:$AB,'#存货'!$AD:$AE</definedName>
    <definedName name="Z_779D4AE7_804E_4D87_A627_1563C25C36EB_.wvu.Cols" localSheetId="17" hidden="1">'#经营利润'!$D:$U,'#经营利润'!$AB:$AC</definedName>
    <definedName name="Z_779D4AE7_804E_4D87_A627_1563C25C36EB_.wvu.Cols" localSheetId="18" hidden="1">'#利润建议'!$B:$AE,'#利润建议'!$AL:$AN</definedName>
    <definedName name="Z_779D4AE7_804E_4D87_A627_1563C25C36EB_.wvu.Cols" localSheetId="15" hidden="1">'#母公司报表'!$D:$F,'#母公司报表'!$P:$P</definedName>
    <definedName name="Z_779D4AE7_804E_4D87_A627_1563C25C36EB_.wvu.Cols" localSheetId="10" hidden="1">'#税金'!$B:$L,'#税金'!#REF!,'#税金'!$N:$W</definedName>
    <definedName name="Z_779D4AE7_804E_4D87_A627_1563C25C36EB_.wvu.Cols" localSheetId="12" hidden="1">'#现金流 (新)'!$F:$M,'#现金流 (新)'!$Q:$Q</definedName>
    <definedName name="Z_779D4AE7_804E_4D87_A627_1563C25C36EB_.wvu.Cols" localSheetId="14" hidden="1">'#销量数据'!$O:$T</definedName>
    <definedName name="Z_779D4AE7_804E_4D87_A627_1563C25C36EB_.wvu.Cols" localSheetId="39" hidden="1">产品质量!$D:$K</definedName>
    <definedName name="Z_779D4AE7_804E_4D87_A627_1563C25C36EB_.wvu.Cols" localSheetId="34" hidden="1">'利润（汇总）'!$C:$M,'利润（汇总）'!$P:$P</definedName>
    <definedName name="Z_779D4AE7_804E_4D87_A627_1563C25C36EB_.wvu.Cols" localSheetId="32" hidden="1">'收入（关联）'!$B:$L,'收入（关联）'!$O:$O</definedName>
    <definedName name="Z_779D4AE7_804E_4D87_A627_1563C25C36EB_.wvu.Cols" localSheetId="30" hidden="1">'收入（汇总）'!$C:$M,'收入（汇总）'!$P:$P</definedName>
    <definedName name="Z_779D4AE7_804E_4D87_A627_1563C25C36EB_.wvu.PrintArea" localSheetId="18" hidden="1">'#利润建议'!$A$1:$CA$35</definedName>
    <definedName name="Z_779D4AE7_804E_4D87_A627_1563C25C36EB_.wvu.PrintArea" localSheetId="15" hidden="1">'#母公司报表'!$A$1:$P$68</definedName>
    <definedName name="Z_779D4AE7_804E_4D87_A627_1563C25C36EB_.wvu.Rows" localSheetId="13" hidden="1">'#存货'!$6:$6,'#存货'!$13:$13,'#存货'!#REF!,'#存货'!$16:$16,'#存货'!#REF!,'#存货'!#REF!,'#存货'!#REF!</definedName>
    <definedName name="Z_779D4AE7_804E_4D87_A627_1563C25C36EB_.wvu.Rows" localSheetId="15" hidden="1">'#母公司报表'!$115:$120</definedName>
    <definedName name="Z_779D4AE7_804E_4D87_A627_1563C25C36EB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7AB07AC7_DDB6_42B4_B31B_E875EA620CF6_.wvu.Cols" localSheetId="13" hidden="1">'#存货'!$E:$G,'#存货'!$I:$J,'#存货'!$L:$M</definedName>
    <definedName name="Z_7AB07AC7_DDB6_42B4_B31B_E875EA620CF6_.wvu.Cols" localSheetId="17" hidden="1">'#经营利润'!$D:$I,'#经营利润'!$N:$AC</definedName>
    <definedName name="Z_7AB07AC7_DDB6_42B4_B31B_E875EA620CF6_.wvu.Cols" localSheetId="18" hidden="1">'#利润建议'!$B:$J,'#利润建议'!$Q:$AN</definedName>
    <definedName name="Z_7AB07AC7_DDB6_42B4_B31B_E875EA620CF6_.wvu.Cols" localSheetId="15" hidden="1">'#母公司报表'!$H:$O,'#母公司报表'!$P:$P</definedName>
    <definedName name="Z_7AB07AC7_DDB6_42B4_B31B_E875EA620CF6_.wvu.Cols" localSheetId="10" hidden="1">'#税金'!$B:$D,'#税金'!$F:$M,'#税金'!#REF!,'#税金'!$N:$O,'#税金'!$R:$Y</definedName>
    <definedName name="Z_7AB07AC7_DDB6_42B4_B31B_E875EA620CF6_.wvu.Cols" localSheetId="12" hidden="1">'#现金流 (新)'!$C:$C,'#现金流 (新)'!$F:$G,'#现金流 (新)'!$J:$Q</definedName>
    <definedName name="Z_7AB07AC7_DDB6_42B4_B31B_E875EA620CF6_.wvu.Cols" localSheetId="14" hidden="1">'#销量数据'!$C:$H,'#销量数据'!$M:$AB</definedName>
    <definedName name="Z_7AB07AC7_DDB6_42B4_B31B_E875EA620CF6_.wvu.Cols" localSheetId="22" hidden="1">钢铁分析!$C:$E</definedName>
    <definedName name="Z_7AB07AC7_DDB6_42B4_B31B_E875EA620CF6_.wvu.Cols" localSheetId="34" hidden="1">'利润（汇总）'!$I:$P</definedName>
    <definedName name="Z_7AB07AC7_DDB6_42B4_B31B_E875EA620CF6_.wvu.Cols" localSheetId="32" hidden="1">'收入（关联）'!$H:$O</definedName>
    <definedName name="Z_7AB07AC7_DDB6_42B4_B31B_E875EA620CF6_.wvu.Cols" localSheetId="30" hidden="1">'收入（汇总）'!$I:$P</definedName>
    <definedName name="Z_7AB07AC7_DDB6_42B4_B31B_E875EA620CF6_.wvu.PrintArea" localSheetId="15" hidden="1">'#母公司报表'!$A$1:$P$68</definedName>
    <definedName name="Z_7AB07AC7_DDB6_42B4_B31B_E875EA620CF6_.wvu.Rows" localSheetId="13" hidden="1">'#存货'!$6:$6</definedName>
    <definedName name="Z_7AB07AC7_DDB6_42B4_B31B_E875EA620CF6_.wvu.Rows" localSheetId="17" hidden="1">'#经营利润'!$11:$11,'#经营利润'!$35:$35,'#经营利润'!$30:$30,'#经营利润'!$32:$42</definedName>
    <definedName name="Z_7AB07AC7_DDB6_42B4_B31B_E875EA620CF6_.wvu.Rows" localSheetId="18" hidden="1">'#利润建议'!$11:$11,'#利润建议'!$35:$35,'#利润建议'!$26:$26,'#利润建议'!$32:$42</definedName>
    <definedName name="Z_7AB07AC7_DDB6_42B4_B31B_E875EA620CF6_.wvu.Rows" localSheetId="15" hidden="1">'#母公司报表'!$115:$120</definedName>
    <definedName name="Z_7AB07AC7_DDB6_42B4_B31B_E875EA620CF6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7AFCA798_403A_4BB4_BE10_E2D22B1C2DC6_.wvu.Cols" localSheetId="13" hidden="1">'#存货'!$E:$AE,'#存货'!$AG:$AH</definedName>
    <definedName name="Z_7AFCA798_403A_4BB4_BE10_E2D22B1C2DC6_.wvu.Cols" localSheetId="17" hidden="1">'#经营利润'!$D:$W,'#经营利润'!$AB:$AC</definedName>
    <definedName name="Z_7AFCA798_403A_4BB4_BE10_E2D22B1C2DC6_.wvu.Cols" localSheetId="18" hidden="1">'#利润建议'!$B:$AE,'#利润建议'!$AL:$AN</definedName>
    <definedName name="Z_7AFCA798_403A_4BB4_BE10_E2D22B1C2DC6_.wvu.Cols" localSheetId="15" hidden="1">'#母公司报表'!$P:$P</definedName>
    <definedName name="Z_7AFCA798_403A_4BB4_BE10_E2D22B1C2DC6_.wvu.Cols" localSheetId="10" hidden="1">'#税金'!$B:$K,'#税金'!$M:$M,'#税金'!#REF!,'#税金'!$N:$V,'#税金'!$Y:$Y</definedName>
    <definedName name="Z_7AFCA798_403A_4BB4_BE10_E2D22B1C2DC6_.wvu.Cols" localSheetId="12" hidden="1">'#现金流 (新)'!$C:$C,'#现金流 (新)'!$F:$N,'#现金流 (新)'!$Q:$Q</definedName>
    <definedName name="Z_7AFCA798_403A_4BB4_BE10_E2D22B1C2DC6_.wvu.Cols" localSheetId="14" hidden="1">'#销量数据'!$C:$V,'#销量数据'!$AA:$AB</definedName>
    <definedName name="Z_7AFCA798_403A_4BB4_BE10_E2D22B1C2DC6_.wvu.Cols" localSheetId="22" hidden="1">钢铁分析!$C:$E</definedName>
    <definedName name="Z_7AFCA798_403A_4BB4_BE10_E2D22B1C2DC6_.wvu.Cols" localSheetId="34" hidden="1">'利润（汇总）'!$D:$L</definedName>
    <definedName name="Z_7AFCA798_403A_4BB4_BE10_E2D22B1C2DC6_.wvu.Cols" localSheetId="32" hidden="1">'收入（关联）'!$C:$K</definedName>
    <definedName name="Z_7AFCA798_403A_4BB4_BE10_E2D22B1C2DC6_.wvu.Cols" localSheetId="30" hidden="1">'收入（汇总）'!$D:$L</definedName>
    <definedName name="Z_7AFCA798_403A_4BB4_BE10_E2D22B1C2DC6_.wvu.PrintArea" localSheetId="15" hidden="1">'#母公司报表'!$A$1:$P$68</definedName>
    <definedName name="Z_7AFCA798_403A_4BB4_BE10_E2D22B1C2DC6_.wvu.Rows" localSheetId="13" hidden="1">'#存货'!$6:$6</definedName>
    <definedName name="Z_7AFCA798_403A_4BB4_BE10_E2D22B1C2DC6_.wvu.Rows" localSheetId="17" hidden="1">'#经营利润'!$11:$11,'#经营利润'!$35:$35,'#经营利润'!$29:$35,'#经营利润'!$40:$42</definedName>
    <definedName name="Z_7AFCA798_403A_4BB4_BE10_E2D22B1C2DC6_.wvu.Rows" localSheetId="18" hidden="1">'#利润建议'!$11:$11,'#利润建议'!$35:$35,'#利润建议'!$25:$35,'#利润建议'!$40:$42</definedName>
    <definedName name="Z_7AFCA798_403A_4BB4_BE10_E2D22B1C2DC6_.wvu.Rows" localSheetId="14" hidden="1">'#销量数据'!$6:$7,'#销量数据'!$27:$28,'#销量数据'!$30:$33,'#销量数据'!$35:$38,'#销量数据'!$41:$44,'#销量数据'!$46:$49,'#销量数据'!$56:$59,'#销量数据'!$61:$62,'#销量数据'!$65:$65,'#销量数据'!$81:$81</definedName>
    <definedName name="Z_7FF3C9ED_077A_48F0_B086_68931F9A4968_.wvu.Cols" localSheetId="13" hidden="1">'#存货'!$V:$Y,'#存货'!$AA:$AB,'#存货'!$AF:$AN</definedName>
    <definedName name="Z_7FF3C9ED_077A_48F0_B086_68931F9A4968_.wvu.Cols" localSheetId="17" hidden="1">'#经营利润'!$D:$O,'#经营利润'!$X:$AC</definedName>
    <definedName name="Z_7FF3C9ED_077A_48F0_B086_68931F9A4968_.wvu.Cols" localSheetId="18" hidden="1">'#利润建议'!$B:$Y,'#利润建议'!$AF:$AN</definedName>
    <definedName name="Z_7FF3C9ED_077A_48F0_B086_68931F9A4968_.wvu.Cols" localSheetId="15" hidden="1">'#母公司报表'!$M:$O,'#母公司报表'!$P:$P</definedName>
    <definedName name="Z_7FF3C9ED_077A_48F0_B086_68931F9A4968_.wvu.Cols" localSheetId="10" hidden="1">'#税金'!$B:$I,'#税金'!$K:$M,'#税金'!#REF!,'#税金'!$N:$T,'#税金'!$W:$Y</definedName>
    <definedName name="Z_7FF3C9ED_077A_48F0_B086_68931F9A4968_.wvu.Cols" localSheetId="12" hidden="1">'#现金流 (新)'!$F:$L,'#现金流 (新)'!$O:$Q</definedName>
    <definedName name="Z_7FF3C9ED_077A_48F0_B086_68931F9A4968_.wvu.Cols" localSheetId="14" hidden="1">'#销量数据'!$W:$AB</definedName>
    <definedName name="Z_7FF3C9ED_077A_48F0_B086_68931F9A4968_.wvu.Cols" localSheetId="39" hidden="1">产品质量!$D:$K,产品质量!$N:$P</definedName>
    <definedName name="Z_7FF3C9ED_077A_48F0_B086_68931F9A4968_.wvu.Cols" localSheetId="34" hidden="1">'利润（汇总）'!$C:$K,'利润（汇总）'!$N:$P</definedName>
    <definedName name="Z_7FF3C9ED_077A_48F0_B086_68931F9A4968_.wvu.Cols" localSheetId="32" hidden="1">'收入（关联）'!$B:$J,'收入（关联）'!$M:$O</definedName>
    <definedName name="Z_7FF3C9ED_077A_48F0_B086_68931F9A4968_.wvu.Cols" localSheetId="30" hidden="1">'收入（汇总）'!$C:$K,'收入（汇总）'!$N:$P</definedName>
    <definedName name="Z_7FF3C9ED_077A_48F0_B086_68931F9A4968_.wvu.PrintArea" localSheetId="18" hidden="1">'#利润建议'!$A$1:$CA$44</definedName>
    <definedName name="Z_7FF3C9ED_077A_48F0_B086_68931F9A4968_.wvu.PrintArea" localSheetId="15" hidden="1">'#母公司报表'!$A$1:$P$68</definedName>
    <definedName name="Z_7FF3C9ED_077A_48F0_B086_68931F9A4968_.wvu.Rows" localSheetId="13" hidden="1">'#存货'!$6:$6,'#存货'!$13:$13,'#存货'!#REF!,'#存货'!$16:$16,'#存货'!#REF!,'#存货'!#REF!,'#存货'!#REF!</definedName>
    <definedName name="Z_7FF3C9ED_077A_48F0_B086_68931F9A4968_.wvu.Rows" localSheetId="15" hidden="1">'#母公司报表'!$115:$120</definedName>
    <definedName name="Z_7FF3C9ED_077A_48F0_B086_68931F9A4968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80005EB9_A907_47FD_A638_2C22CDD197A4_.wvu.Cols" localSheetId="13" hidden="1">'#存货'!$E:$J,'#存货'!$L:$M</definedName>
    <definedName name="Z_80005EB9_A907_47FD_A638_2C22CDD197A4_.wvu.Cols" localSheetId="17" hidden="1">'#经营利润'!$D:$G,'#经营利润'!$N:$AC</definedName>
    <definedName name="Z_80005EB9_A907_47FD_A638_2C22CDD197A4_.wvu.Cols" localSheetId="18" hidden="1">'#利润建议'!$B:$G,'#利润建议'!$Q:$AN</definedName>
    <definedName name="Z_80005EB9_A907_47FD_A638_2C22CDD197A4_.wvu.Cols" localSheetId="15" hidden="1">'#母公司报表'!$G:$O,'#母公司报表'!$P:$P</definedName>
    <definedName name="Z_80005EB9_A907_47FD_A638_2C22CDD197A4_.wvu.Cols" localSheetId="10" hidden="1">'#税金'!$B:$C,'#税金'!$E:$M,'#税金'!#REF!,'#税金'!$N:$N,'#税金'!$Q:$Y</definedName>
    <definedName name="Z_80005EB9_A907_47FD_A638_2C22CDD197A4_.wvu.Cols" localSheetId="12" hidden="1">'#现金流 (新)'!$C:$C,'#现金流 (新)'!$F:$F,'#现金流 (新)'!$I:$Q</definedName>
    <definedName name="Z_80005EB9_A907_47FD_A638_2C22CDD197A4_.wvu.Cols" localSheetId="22" hidden="1">钢铁分析!$C:$E</definedName>
    <definedName name="Z_80005EB9_A907_47FD_A638_2C22CDD197A4_.wvu.Cols" localSheetId="34" hidden="1">'利润（汇总）'!$D:$D,'利润（汇总）'!$I:$P</definedName>
    <definedName name="Z_80005EB9_A907_47FD_A638_2C22CDD197A4_.wvu.Cols" localSheetId="32" hidden="1">'收入（关联）'!$C:$C,'收入（关联）'!$H:$O</definedName>
    <definedName name="Z_80005EB9_A907_47FD_A638_2C22CDD197A4_.wvu.Cols" localSheetId="30" hidden="1">'收入（汇总）'!$D:$D,'收入（汇总）'!$I:$P</definedName>
    <definedName name="Z_80005EB9_A907_47FD_A638_2C22CDD197A4_.wvu.PrintArea" localSheetId="15" hidden="1">'#母公司报表'!$A$1:$P$68</definedName>
    <definedName name="Z_80005EB9_A907_47FD_A638_2C22CDD197A4_.wvu.Rows" localSheetId="13" hidden="1">'#存货'!$6:$6</definedName>
    <definedName name="Z_80005EB9_A907_47FD_A638_2C22CDD197A4_.wvu.Rows" localSheetId="17" hidden="1">'#经营利润'!$11:$11,'#经营利润'!$35:$35,'#经营利润'!$30:$30,'#经营利润'!$32:$42</definedName>
    <definedName name="Z_80005EB9_A907_47FD_A638_2C22CDD197A4_.wvu.Rows" localSheetId="18" hidden="1">'#利润建议'!$11:$11,'#利润建议'!$35:$35,'#利润建议'!$26:$26,'#利润建议'!$32:$42</definedName>
    <definedName name="Z_80005EB9_A907_47FD_A638_2C22CDD197A4_.wvu.Rows" localSheetId="15" hidden="1">'#母公司报表'!$115:$120</definedName>
    <definedName name="Z_80005EB9_A907_47FD_A638_2C22CDD197A4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8076582E_4507_4E84_823E_A9D4766DBF13_.wvu.Cols" localSheetId="13" hidden="1">'#存货'!$E:$S,'#存货'!$U:$V</definedName>
    <definedName name="Z_8076582E_4507_4E84_823E_A9D4766DBF13_.wvu.Cols" localSheetId="17" hidden="1">'#经营利润'!$D:$O,'#经营利润'!$T:$AC</definedName>
    <definedName name="Z_8076582E_4507_4E84_823E_A9D4766DBF13_.wvu.Cols" localSheetId="18" hidden="1">'#利润建议'!$B:$S,'#利润建议'!$Z:$AN</definedName>
    <definedName name="Z_8076582E_4507_4E84_823E_A9D4766DBF13_.wvu.Cols" localSheetId="15" hidden="1">'#母公司报表'!$K:$O,'#母公司报表'!$P:$P</definedName>
    <definedName name="Z_8076582E_4507_4E84_823E_A9D4766DBF13_.wvu.Cols" localSheetId="10" hidden="1">'#税金'!$B:$G,'#税金'!$I:$M,'#税金'!#REF!,'#税金'!$N:$R,'#税金'!$U:$Y</definedName>
    <definedName name="Z_8076582E_4507_4E84_823E_A9D4766DBF13_.wvu.Cols" localSheetId="12" hidden="1">'#现金流 (新)'!$C:$C,'#现金流 (新)'!$F:$J,'#现金流 (新)'!$M:$Q</definedName>
    <definedName name="Z_8076582E_4507_4E84_823E_A9D4766DBF13_.wvu.Cols" localSheetId="14" hidden="1">'#销量数据'!$C:$N,'#销量数据'!$S:$AB</definedName>
    <definedName name="Z_8076582E_4507_4E84_823E_A9D4766DBF13_.wvu.Cols" localSheetId="22" hidden="1">钢铁分析!$C:$E</definedName>
    <definedName name="Z_8076582E_4507_4E84_823E_A9D4766DBF13_.wvu.Cols" localSheetId="34" hidden="1">'利润（汇总）'!$E:$I</definedName>
    <definedName name="Z_8076582E_4507_4E84_823E_A9D4766DBF13_.wvu.Cols" localSheetId="32" hidden="1">'收入（关联）'!$D:$H</definedName>
    <definedName name="Z_8076582E_4507_4E84_823E_A9D4766DBF13_.wvu.Cols" localSheetId="30" hidden="1">'收入（汇总）'!$E:$I</definedName>
    <definedName name="Z_8076582E_4507_4E84_823E_A9D4766DBF13_.wvu.PrintArea" localSheetId="15" hidden="1">'#母公司报表'!$A$1:$P$68</definedName>
    <definedName name="Z_8076582E_4507_4E84_823E_A9D4766DBF13_.wvu.Rows" localSheetId="13" hidden="1">'#存货'!$6:$6</definedName>
    <definedName name="Z_8076582E_4507_4E84_823E_A9D4766DBF13_.wvu.Rows" localSheetId="17" hidden="1">'#经营利润'!#REF!,'#经营利润'!$35:$35,'#经营利润'!$29:$35,'#经营利润'!$27:$27,'#经营利润'!$40:$42</definedName>
    <definedName name="Z_8076582E_4507_4E84_823E_A9D4766DBF13_.wvu.Rows" localSheetId="18" hidden="1">'#利润建议'!#REF!,'#利润建议'!$35:$35,'#利润建议'!$25:$35,'#利润建议'!$29:$29,'#利润建议'!$40:$42</definedName>
    <definedName name="Z_8076582E_4507_4E84_823E_A9D4766DBF13_.wvu.Rows" localSheetId="15" hidden="1">'#母公司报表'!$115:$120</definedName>
    <definedName name="Z_8076582E_4507_4E84_823E_A9D4766DBF13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848294BF_25CC_4984_95A0_14E496E8E827_.wvu.Cols" localSheetId="17" hidden="1">'#经营利润'!$F:$I</definedName>
    <definedName name="Z_848294BF_25CC_4984_95A0_14E496E8E827_.wvu.Cols" localSheetId="18" hidden="1">'#利润建议'!$B:$AB,'#利润建议'!#REF!</definedName>
    <definedName name="Z_848294BF_25CC_4984_95A0_14E496E8E827_.wvu.Cols" localSheetId="34" hidden="1">'利润（汇总）'!$D:$D,'利润（汇总）'!#REF!</definedName>
    <definedName name="Z_848294BF_25CC_4984_95A0_14E496E8E827_.wvu.Cols" localSheetId="32" hidden="1">'收入（关联）'!$C:$C,'收入（关联）'!#REF!</definedName>
    <definedName name="Z_848294BF_25CC_4984_95A0_14E496E8E827_.wvu.Cols" localSheetId="30" hidden="1">'收入（汇总）'!$D:$D,'收入（汇总）'!#REF!</definedName>
    <definedName name="Z_848294BF_25CC_4984_95A0_14E496E8E827_.wvu.Rows" localSheetId="18" hidden="1">'#利润建议'!#REF!</definedName>
    <definedName name="Z_848294BF_25CC_4984_95A0_14E496E8E827_.wvu.Rows" localSheetId="34" hidden="1">'利润（汇总）'!#REF!,'利润（汇总）'!#REF!</definedName>
    <definedName name="Z_848294BF_25CC_4984_95A0_14E496E8E827_.wvu.Rows" localSheetId="32" hidden="1">'收入（关联）'!#REF!,'收入（关联）'!#REF!</definedName>
    <definedName name="Z_848294BF_25CC_4984_95A0_14E496E8E827_.wvu.Rows" localSheetId="30" hidden="1">'收入（汇总）'!#REF!,'收入（汇总）'!#REF!</definedName>
    <definedName name="Z_849C46E5_4ED4_41B9_BDA9_A6465B9DA9C2_.wvu.Cols" localSheetId="26" hidden="1">'#采购&amp;股份关联'!$C:$AN</definedName>
    <definedName name="Z_849C46E5_4ED4_41B9_BDA9_A6465B9DA9C2_.wvu.Cols" localSheetId="13" hidden="1">'#存货'!$D:$AQ,'#存货'!$AV:$AW</definedName>
    <definedName name="Z_849C46E5_4ED4_41B9_BDA9_A6465B9DA9C2_.wvu.Cols" localSheetId="20" hidden="1">'#分板块利润分析'!$Q:$Q,'#分板块利润分析'!$S:$Y</definedName>
    <definedName name="Z_849C46E5_4ED4_41B9_BDA9_A6465B9DA9C2_.wvu.Cols" localSheetId="17" hidden="1">'#经营利润'!$D:$AG,'#经营利润'!$AJ:$BA,'#经营利润'!$BD:$BE</definedName>
    <definedName name="Z_849C46E5_4ED4_41B9_BDA9_A6465B9DA9C2_.wvu.Cols" localSheetId="18" hidden="1">'#利润建议'!$B:$AT,'#利润建议'!$BA:$BX</definedName>
    <definedName name="Z_849C46E5_4ED4_41B9_BDA9_A6465B9DA9C2_.wvu.Cols" localSheetId="31" hidden="1">'#收入完成情况'!$E:$E,'#收入完成情况'!$I:$I,'#收入完成情况'!$M:$M</definedName>
    <definedName name="Z_849C46E5_4ED4_41B9_BDA9_A6465B9DA9C2_.wvu.Cols" localSheetId="12" hidden="1">'#现金流 (新)'!$C:$Q,'#现金流 (新)'!$S:$AE,'#现金流 (新)'!$AJ:$AJ,'#现金流 (新)'!$AM:$AM</definedName>
    <definedName name="Z_849C46E5_4ED4_41B9_BDA9_A6465B9DA9C2_.wvu.Cols" localSheetId="21" hidden="1">'@分析#利润分析#'!$D:$D</definedName>
    <definedName name="Z_849C46E5_4ED4_41B9_BDA9_A6465B9DA9C2_.wvu.Cols" localSheetId="4" hidden="1">'@预测#经营利润#'!$I:$I,'@预测#经营利润#'!$L:$L</definedName>
    <definedName name="Z_849C46E5_4ED4_41B9_BDA9_A6465B9DA9C2_.wvu.Cols" localSheetId="1" hidden="1">'@预测#利润分析#'!$D:$D</definedName>
    <definedName name="Z_849C46E5_4ED4_41B9_BDA9_A6465B9DA9C2_.wvu.Cols" localSheetId="5" hidden="1">'@预测#收入利润#'!$B:$G,'@预测#收入利润#'!$P:$R,'@预测#收入利润#'!$T:$W</definedName>
    <definedName name="Z_849C46E5_4ED4_41B9_BDA9_A6465B9DA9C2_.wvu.Cols" localSheetId="27" hidden="1">Sheet1!$T:$AK</definedName>
    <definedName name="Z_849C46E5_4ED4_41B9_BDA9_A6465B9DA9C2_.wvu.Cols" localSheetId="24" hidden="1">还原市场价格!$I:$Q</definedName>
    <definedName name="Z_849C46E5_4ED4_41B9_BDA9_A6465B9DA9C2_.wvu.Cols" localSheetId="35" hidden="1">画图!$O:$O</definedName>
    <definedName name="Z_849C46E5_4ED4_41B9_BDA9_A6465B9DA9C2_.wvu.Cols" localSheetId="30" hidden="1">'收入（汇总）'!$D:$D</definedName>
    <definedName name="Z_849C46E5_4ED4_41B9_BDA9_A6465B9DA9C2_.wvu.PrintArea" localSheetId="16" hidden="1">'#经营概况'!$B$322:$O$379</definedName>
    <definedName name="Z_849C46E5_4ED4_41B9_BDA9_A6465B9DA9C2_.wvu.PrintArea" localSheetId="17" hidden="1">'#经营利润'!$A$3:$BJ$43</definedName>
    <definedName name="Z_849C46E5_4ED4_41B9_BDA9_A6465B9DA9C2_.wvu.PrintArea" localSheetId="18" hidden="1">'#利润建议'!$A$3:$CD$42</definedName>
    <definedName name="Z_849C46E5_4ED4_41B9_BDA9_A6465B9DA9C2_.wvu.PrintArea" localSheetId="25" hidden="1">'#利润因素分析（ppt）'!$F$2:$M$21</definedName>
    <definedName name="Z_849C46E5_4ED4_41B9_BDA9_A6465B9DA9C2_.wvu.PrintArea" localSheetId="15" hidden="1">'#母公司报表'!$A$1:$P$68</definedName>
    <definedName name="Z_849C46E5_4ED4_41B9_BDA9_A6465B9DA9C2_.wvu.PrintArea" localSheetId="31" hidden="1">'#收入完成情况'!$B$3:$Q$44</definedName>
    <definedName name="Z_849C46E5_4ED4_41B9_BDA9_A6465B9DA9C2_.wvu.PrintArea" localSheetId="11" hidden="1">'#子分公司分析'!$C$3:$L$37</definedName>
    <definedName name="Z_849C46E5_4ED4_41B9_BDA9_A6465B9DA9C2_.wvu.PrintArea" localSheetId="42" hidden="1">'@产量打印#不锈钢'!$A$3:$K$42</definedName>
    <definedName name="Z_849C46E5_4ED4_41B9_BDA9_A6465B9DA9C2_.wvu.PrintArea" localSheetId="44" hidden="1">'@产量打印#材'!$A$3:$K$35</definedName>
    <definedName name="Z_849C46E5_4ED4_41B9_BDA9_A6465B9DA9C2_.wvu.PrintArea" localSheetId="40" hidden="1">'@产量打印#概况'!$A$4:$V$30</definedName>
    <definedName name="Z_849C46E5_4ED4_41B9_BDA9_A6465B9DA9C2_.wvu.PrintArea" localSheetId="43" hidden="1">'@产量打印#钢'!$A$3:$K$35</definedName>
    <definedName name="Z_849C46E5_4ED4_41B9_BDA9_A6465B9DA9C2_.wvu.PrintArea" localSheetId="41" hidden="1">'@产量打印#矿产品'!$A$3:$K$46</definedName>
    <definedName name="Z_849C46E5_4ED4_41B9_BDA9_A6465B9DA9C2_.wvu.PrintArea" localSheetId="0" hidden="1">'@预测#概况#'!$B$173:$O$196</definedName>
    <definedName name="Z_849C46E5_4ED4_41B9_BDA9_A6465B9DA9C2_.wvu.PrintArea" localSheetId="6" hidden="1">'@预测#股份关联价（打印）'!$B$3:$K$22</definedName>
    <definedName name="Z_849C46E5_4ED4_41B9_BDA9_A6465B9DA9C2_.wvu.PrintArea" localSheetId="27" hidden="1">Sheet1!$A$3:$AN$11</definedName>
    <definedName name="Z_849C46E5_4ED4_41B9_BDA9_A6465B9DA9C2_.wvu.PrintArea" localSheetId="33" hidden="1">'收入（外部）'!$A$1:$AB$42</definedName>
    <definedName name="Z_849C46E5_4ED4_41B9_BDA9_A6465B9DA9C2_.wvu.PrintTitles" localSheetId="16" hidden="1">'#经营概况'!$322:$325</definedName>
    <definedName name="Z_849C46E5_4ED4_41B9_BDA9_A6465B9DA9C2_.wvu.Rows" localSheetId="13" hidden="1">'#存货'!$6:$6</definedName>
    <definedName name="Z_849C46E5_4ED4_41B9_BDA9_A6465B9DA9C2_.wvu.Rows" localSheetId="20" hidden="1">'#分板块利润分析'!$70:$72</definedName>
    <definedName name="Z_849C46E5_4ED4_41B9_BDA9_A6465B9DA9C2_.wvu.Rows" localSheetId="16" hidden="1">'#经营概况'!$91:$92,'#经营概况'!$98:$99,'#经营概况'!$179:$179</definedName>
    <definedName name="Z_849C46E5_4ED4_41B9_BDA9_A6465B9DA9C2_.wvu.Rows" localSheetId="18" hidden="1">'#利润建议'!$10:$11,'#利润建议'!$17:$22,'#利润建议'!$25:$42,'#利润建议'!$44:$48</definedName>
    <definedName name="Z_849C46E5_4ED4_41B9_BDA9_A6465B9DA9C2_.wvu.Rows" localSheetId="11" hidden="1">'#子分公司分析'!$4:$6,'#子分公司分析'!$11:$11,'#子分公司分析'!$21:$21,'#子分公司分析'!$28:$28,'#子分公司分析'!$33:$33</definedName>
    <definedName name="Z_849C46E5_4ED4_41B9_BDA9_A6465B9DA9C2_.wvu.Rows" localSheetId="21" hidden="1">'@分析#利润分析#'!$58:$58</definedName>
    <definedName name="Z_849C46E5_4ED4_41B9_BDA9_A6465B9DA9C2_.wvu.Rows" localSheetId="6" hidden="1">'@预测#股份关联价（打印）'!$30:$30</definedName>
    <definedName name="Z_849C46E5_4ED4_41B9_BDA9_A6465B9DA9C2_.wvu.Rows" localSheetId="1" hidden="1">'@预测#利润分析#'!$59:$59</definedName>
    <definedName name="Z_849C46E5_4ED4_41B9_BDA9_A6465B9DA9C2_.wvu.Rows" localSheetId="19" hidden="1">报宝武!$18:$25</definedName>
    <definedName name="Z_866DDA52_5701_40F7_8BFA_34EF995FCCE2_.wvu.Cols" localSheetId="13" hidden="1">'#存货'!$E:$AE,'#存货'!$AG:$AH</definedName>
    <definedName name="Z_866DDA52_5701_40F7_8BFA_34EF995FCCE2_.wvu.Cols" localSheetId="17" hidden="1">'#经营利润'!$D:$W,'#经营利润'!$AB:$AC</definedName>
    <definedName name="Z_866DDA52_5701_40F7_8BFA_34EF995FCCE2_.wvu.Cols" localSheetId="18" hidden="1">'#利润建议'!$B:$AE,'#利润建议'!$AL:$AN</definedName>
    <definedName name="Z_866DDA52_5701_40F7_8BFA_34EF995FCCE2_.wvu.Cols" localSheetId="15" hidden="1">'#母公司报表'!$P:$P</definedName>
    <definedName name="Z_866DDA52_5701_40F7_8BFA_34EF995FCCE2_.wvu.Cols" localSheetId="10" hidden="1">'#税金'!$B:$K,'#税金'!$M:$M,'#税金'!#REF!,'#税金'!$N:$V,'#税金'!$Y:$Y</definedName>
    <definedName name="Z_866DDA52_5701_40F7_8BFA_34EF995FCCE2_.wvu.Cols" localSheetId="12" hidden="1">'#现金流 (新)'!$C:$C,'#现金流 (新)'!$F:$N,'#现金流 (新)'!$Q:$Q</definedName>
    <definedName name="Z_866DDA52_5701_40F7_8BFA_34EF995FCCE2_.wvu.Cols" localSheetId="14" hidden="1">'#销量数据'!$C:$V,'#销量数据'!$AA:$AB</definedName>
    <definedName name="Z_866DDA52_5701_40F7_8BFA_34EF995FCCE2_.wvu.Cols" localSheetId="22" hidden="1">钢铁分析!$C:$E</definedName>
    <definedName name="Z_866DDA52_5701_40F7_8BFA_34EF995FCCE2_.wvu.Cols" localSheetId="34" hidden="1">'利润（汇总）'!$D:$L</definedName>
    <definedName name="Z_866DDA52_5701_40F7_8BFA_34EF995FCCE2_.wvu.Cols" localSheetId="32" hidden="1">'收入（关联）'!$C:$K</definedName>
    <definedName name="Z_866DDA52_5701_40F7_8BFA_34EF995FCCE2_.wvu.Cols" localSheetId="30" hidden="1">'收入（汇总）'!$D:$L</definedName>
    <definedName name="Z_866DDA52_5701_40F7_8BFA_34EF995FCCE2_.wvu.PrintArea" localSheetId="15" hidden="1">'#母公司报表'!$A$1:$P$68</definedName>
    <definedName name="Z_866DDA52_5701_40F7_8BFA_34EF995FCCE2_.wvu.Rows" localSheetId="13" hidden="1">'#存货'!$6:$6</definedName>
    <definedName name="Z_866DDA52_5701_40F7_8BFA_34EF995FCCE2_.wvu.Rows" localSheetId="17" hidden="1">'#经营利润'!$11:$11,'#经营利润'!$35:$35,'#经营利润'!$29:$35,'#经营利润'!$40:$42</definedName>
    <definedName name="Z_866DDA52_5701_40F7_8BFA_34EF995FCCE2_.wvu.Rows" localSheetId="18" hidden="1">'#利润建议'!$11:$11,'#利润建议'!$35:$35,'#利润建议'!$25:$35,'#利润建议'!$40:$42</definedName>
    <definedName name="Z_866DDA52_5701_40F7_8BFA_34EF995FCCE2_.wvu.Rows" localSheetId="14" hidden="1">'#销量数据'!$6:$7,'#销量数据'!$27:$28,'#销量数据'!$30:$33,'#销量数据'!$35:$38,'#销量数据'!$41:$44,'#销量数据'!$46:$49,'#销量数据'!$56:$59,'#销量数据'!$61:$62,'#销量数据'!$65:$65,'#销量数据'!$81:$81</definedName>
    <definedName name="Z_8676BCCC_C528_4601_B32E_996AD8B32E6B_.wvu.Cols" localSheetId="13" hidden="1">'#存货'!$G:$AN</definedName>
    <definedName name="Z_8676BCCC_C528_4601_B32E_996AD8B32E6B_.wvu.Cols" localSheetId="5" hidden="1">'@预测#收入利润#'!$J:$K,'@预测#收入利润#'!$R:$S</definedName>
    <definedName name="Z_8676BCCC_C528_4601_B32E_996AD8B32E6B_.wvu.PrintArea" localSheetId="17" hidden="1">'#经营利润'!$A$3:$BC$46</definedName>
    <definedName name="Z_8676BCCC_C528_4601_B32E_996AD8B32E6B_.wvu.PrintArea" localSheetId="15" hidden="1">'#母公司报表'!$A$1:$P$68</definedName>
    <definedName name="Z_8676BCCC_C528_4601_B32E_996AD8B32E6B_.wvu.PrintArea" localSheetId="42" hidden="1">'@产量打印#不锈钢'!$A$3:$K$42</definedName>
    <definedName name="Z_8676BCCC_C528_4601_B32E_996AD8B32E6B_.wvu.PrintArea" localSheetId="44" hidden="1">'@产量打印#材'!$A$3:$K$35</definedName>
    <definedName name="Z_8676BCCC_C528_4601_B32E_996AD8B32E6B_.wvu.PrintArea" localSheetId="40" hidden="1">'@产量打印#概况'!$A$4:$Q$30</definedName>
    <definedName name="Z_8676BCCC_C528_4601_B32E_996AD8B32E6B_.wvu.PrintArea" localSheetId="43" hidden="1">'@产量打印#钢'!$A$3:$K$35</definedName>
    <definedName name="Z_8676BCCC_C528_4601_B32E_996AD8B32E6B_.wvu.PrintArea" localSheetId="41" hidden="1">'@产量打印#矿产品'!$A$3:$K$46</definedName>
    <definedName name="Z_8676BCCC_C528_4601_B32E_996AD8B32E6B_.wvu.Rows" localSheetId="13" hidden="1">'#存货'!$6:$6</definedName>
    <definedName name="Z_8676BCCC_C528_4601_B32E_996AD8B32E6B_.wvu.Rows" localSheetId="17" hidden="1">'#经营利润'!$11:$11</definedName>
    <definedName name="Z_8676BCCC_C528_4601_B32E_996AD8B32E6B_.wvu.Rows" localSheetId="4" hidden="1">'@预测#经营利润#'!#REF!,'@预测#经营利润#'!$35:$35,'@预测#经营利润#'!$29:$35,'@预测#经营利润#'!$25:$35,'@预测#经营利润#'!$27:$27,'@预测#经营利润#'!$40:$42</definedName>
    <definedName name="Z_8676BCCC_C528_4601_B32E_996AD8B32E6B_.wvu.Rows" localSheetId="3" hidden="1">'@预测#利润建议# '!$11:$11,'@预测#利润建议# '!$21:$21,'@预测#利润建议# '!$18:$24</definedName>
    <definedName name="Z_868DDA17_16FF_4C0B_A569_D164EF319271_.wvu.Cols" localSheetId="13" hidden="1">'#存货'!$E:$AE,'#存货'!$AG:$AH,'#存货'!$AL:$AN</definedName>
    <definedName name="Z_868DDA17_16FF_4C0B_A569_D164EF319271_.wvu.Cols" localSheetId="17" hidden="1">'#经营利润'!$D:$U,'#经营利润'!$Z:$AC</definedName>
    <definedName name="Z_868DDA17_16FF_4C0B_A569_D164EF319271_.wvu.Cols" localSheetId="18" hidden="1">'#利润建议'!$B:$AB,'#利润建议'!$AI:$AN</definedName>
    <definedName name="Z_868DDA17_16FF_4C0B_A569_D164EF319271_.wvu.Cols" localSheetId="15" hidden="1">'#母公司报表'!$D:$F,'#母公司报表'!$P:$P</definedName>
    <definedName name="Z_868DDA17_16FF_4C0B_A569_D164EF319271_.wvu.Cols" localSheetId="10" hidden="1">'#税金'!$B:$J,'#税金'!$L:$M,'#税金'!$N:$U,'#税金'!$X:$Y</definedName>
    <definedName name="Z_868DDA17_16FF_4C0B_A569_D164EF319271_.wvu.Cols" localSheetId="12" hidden="1">'#现金流 (新)'!$F:$M,'#现金流 (新)'!$P:$Q</definedName>
    <definedName name="Z_868DDA17_16FF_4C0B_A569_D164EF319271_.wvu.Cols" localSheetId="14" hidden="1">'#销量数据'!$C:$V,'#销量数据'!$AA:$AB</definedName>
    <definedName name="Z_868DDA17_16FF_4C0B_A569_D164EF319271_.wvu.Cols" localSheetId="39" hidden="1">产品质量!$D:$K,产品质量!$O:$P</definedName>
    <definedName name="Z_868DDA17_16FF_4C0B_A569_D164EF319271_.wvu.Cols" localSheetId="34" hidden="1">'利润（汇总）'!$C:$L,'利润（汇总）'!$O:$P</definedName>
    <definedName name="Z_868DDA17_16FF_4C0B_A569_D164EF319271_.wvu.Cols" localSheetId="32" hidden="1">'收入（关联）'!$B:$K,'收入（关联）'!$N:$O</definedName>
    <definedName name="Z_868DDA17_16FF_4C0B_A569_D164EF319271_.wvu.Cols" localSheetId="30" hidden="1">'收入（汇总）'!$C:$L,'收入（汇总）'!$O:$P</definedName>
    <definedName name="Z_868DDA17_16FF_4C0B_A569_D164EF319271_.wvu.PrintArea" localSheetId="18" hidden="1">'#利润建议'!$A$1:$CA$44</definedName>
    <definedName name="Z_868DDA17_16FF_4C0B_A569_D164EF319271_.wvu.PrintArea" localSheetId="15" hidden="1">'#母公司报表'!$A$1:$P$68</definedName>
    <definedName name="Z_868DDA17_16FF_4C0B_A569_D164EF319271_.wvu.Rows" localSheetId="13" hidden="1">'#存货'!$6:$6,'#存货'!#REF!,'#存货'!$16:$16,'#存货'!#REF!,'#存货'!#REF!,'#存货'!#REF!</definedName>
    <definedName name="Z_868DDA17_16FF_4C0B_A569_D164EF319271_.wvu.Rows" localSheetId="15" hidden="1">'#母公司报表'!$115:$120</definedName>
    <definedName name="Z_868DDA17_16FF_4C0B_A569_D164EF319271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899F6892_12D1_4106_A319_A063C7C46C67_.wvu.Cols" localSheetId="13" hidden="1">'#存货'!$K:$AN</definedName>
    <definedName name="Z_899F6892_12D1_4106_A319_A063C7C46C67_.wvu.Cols" localSheetId="15" hidden="1">'#母公司报表'!$P:$P</definedName>
    <definedName name="Z_899F6892_12D1_4106_A319_A063C7C46C67_.wvu.Cols" localSheetId="10" hidden="1">'#税金'!$B:$B,'#税金'!$D:$M,'#税金'!#REF!,'#税金'!$P:$Y</definedName>
    <definedName name="Z_899F6892_12D1_4106_A319_A063C7C46C67_.wvu.Cols" localSheetId="12" hidden="1">'#现金流 (新)'!$C:$C,'#现金流 (新)'!$H:$Q</definedName>
    <definedName name="Z_899F6892_12D1_4106_A319_A063C7C46C67_.wvu.Cols" localSheetId="14" hidden="1">'#销量数据'!$G:$AB</definedName>
    <definedName name="Z_899F6892_12D1_4106_A319_A063C7C46C67_.wvu.Cols" localSheetId="39" hidden="1">产品质量!$F:$P</definedName>
    <definedName name="Z_899F6892_12D1_4106_A319_A063C7C46C67_.wvu.PrintArea" localSheetId="15" hidden="1">'#母公司报表'!$A$1:$P$68</definedName>
    <definedName name="Z_899F6892_12D1_4106_A319_A063C7C46C67_.wvu.Rows" localSheetId="13" hidden="1">'#存货'!$6:$6,'#存货'!$13:$13,'#存货'!#REF!,'#存货'!$16:$16,'#存货'!#REF!,'#存货'!#REF!,'#存货'!#REF!</definedName>
    <definedName name="Z_899F6892_12D1_4106_A319_A063C7C46C67_.wvu.Rows" localSheetId="15" hidden="1">'#母公司报表'!$115:$120</definedName>
    <definedName name="Z_899F6892_12D1_4106_A319_A063C7C46C67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8A1A60F4_189D_4499_BEDF_4A1BA93FFA15_.wvu.Cols" localSheetId="17" hidden="1">'#经营利润'!$AB:$AC</definedName>
    <definedName name="Z_8A1A60F4_189D_4499_BEDF_4A1BA93FFA15_.wvu.Cols" localSheetId="14" hidden="1">'#销量数据'!$C:$D,'#销量数据'!$AA:$AB,'#销量数据'!#REF!</definedName>
    <definedName name="Z_8A1A60F4_189D_4499_BEDF_4A1BA93FFA15_.wvu.Cols" localSheetId="34" hidden="1">'利润（汇总）'!$P:$P</definedName>
    <definedName name="Z_8A1A60F4_189D_4499_BEDF_4A1BA93FFA15_.wvu.Cols" localSheetId="32" hidden="1">'收入（关联）'!$O:$O</definedName>
    <definedName name="Z_8A1A60F4_189D_4499_BEDF_4A1BA93FFA15_.wvu.Cols" localSheetId="30" hidden="1">'收入（汇总）'!$P:$P</definedName>
    <definedName name="Z_8A482C82_E5C4_4C7E_B159_7E58D3C1C091_.wvu.Cols" localSheetId="13" hidden="1">'#存货'!$E:$G,'#存货'!$I:$J,'#存货'!$L:$M</definedName>
    <definedName name="Z_8A482C82_E5C4_4C7E_B159_7E58D3C1C091_.wvu.Cols" localSheetId="17" hidden="1">'#经营利润'!$D:$I,'#经营利润'!$N:$AC</definedName>
    <definedName name="Z_8A482C82_E5C4_4C7E_B159_7E58D3C1C091_.wvu.Cols" localSheetId="18" hidden="1">'#利润建议'!$B:$J,'#利润建议'!$Q:$AN</definedName>
    <definedName name="Z_8A482C82_E5C4_4C7E_B159_7E58D3C1C091_.wvu.Cols" localSheetId="15" hidden="1">'#母公司报表'!$H:$O,'#母公司报表'!$P:$P</definedName>
    <definedName name="Z_8A482C82_E5C4_4C7E_B159_7E58D3C1C091_.wvu.Cols" localSheetId="10" hidden="1">'#税金'!$B:$D,'#税金'!$F:$M,'#税金'!#REF!,'#税金'!$N:$O,'#税金'!$R:$Y</definedName>
    <definedName name="Z_8A482C82_E5C4_4C7E_B159_7E58D3C1C091_.wvu.Cols" localSheetId="12" hidden="1">'#现金流 (新)'!$C:$C,'#现金流 (新)'!$F:$G,'#现金流 (新)'!$J:$Q</definedName>
    <definedName name="Z_8A482C82_E5C4_4C7E_B159_7E58D3C1C091_.wvu.Cols" localSheetId="14" hidden="1">'#销量数据'!$C:$H,'#销量数据'!$M:$AB</definedName>
    <definedName name="Z_8A482C82_E5C4_4C7E_B159_7E58D3C1C091_.wvu.Cols" localSheetId="22" hidden="1">钢铁分析!$C:$E</definedName>
    <definedName name="Z_8A482C82_E5C4_4C7E_B159_7E58D3C1C091_.wvu.Cols" localSheetId="34" hidden="1">'利润（汇总）'!$I:$P</definedName>
    <definedName name="Z_8A482C82_E5C4_4C7E_B159_7E58D3C1C091_.wvu.Cols" localSheetId="32" hidden="1">'收入（关联）'!$H:$O</definedName>
    <definedName name="Z_8A482C82_E5C4_4C7E_B159_7E58D3C1C091_.wvu.Cols" localSheetId="30" hidden="1">'收入（汇总）'!$I:$P</definedName>
    <definedName name="Z_8A482C82_E5C4_4C7E_B159_7E58D3C1C091_.wvu.PrintArea" localSheetId="15" hidden="1">'#母公司报表'!$A$1:$P$68</definedName>
    <definedName name="Z_8A482C82_E5C4_4C7E_B159_7E58D3C1C091_.wvu.Rows" localSheetId="13" hidden="1">'#存货'!$6:$6</definedName>
    <definedName name="Z_8A482C82_E5C4_4C7E_B159_7E58D3C1C091_.wvu.Rows" localSheetId="17" hidden="1">'#经营利润'!$11:$11,'#经营利润'!$35:$35,'#经营利润'!$30:$30,'#经营利润'!$32:$42</definedName>
    <definedName name="Z_8A482C82_E5C4_4C7E_B159_7E58D3C1C091_.wvu.Rows" localSheetId="18" hidden="1">'#利润建议'!$11:$11,'#利润建议'!$35:$35,'#利润建议'!$26:$26,'#利润建议'!$32:$42</definedName>
    <definedName name="Z_8A482C82_E5C4_4C7E_B159_7E58D3C1C091_.wvu.Rows" localSheetId="15" hidden="1">'#母公司报表'!$115:$120</definedName>
    <definedName name="Z_8A482C82_E5C4_4C7E_B159_7E58D3C1C091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8B80B510_C931_46B1_8591_DEA916D76593_.wvu.Cols" localSheetId="17" hidden="1">'#经营利润'!$L:$AC</definedName>
    <definedName name="Z_8B80B510_C931_46B1_8591_DEA916D76593_.wvu.Cols" localSheetId="18" hidden="1">'#利润建议'!$B:$AZ,'#利润建议'!$BG:$BX</definedName>
    <definedName name="Z_8B80B510_C931_46B1_8591_DEA916D76593_.wvu.Cols" localSheetId="31" hidden="1">'#收入完成情况'!$E:$E,'#收入完成情况'!$I:$I,'#收入完成情况'!$M:$M</definedName>
    <definedName name="Z_8B80B510_C931_46B1_8591_DEA916D76593_.wvu.Cols" localSheetId="12" hidden="1">'#现金流 (新)'!$F:$G,'#现金流 (新)'!$I:$Q</definedName>
    <definedName name="Z_8B80B510_C931_46B1_8591_DEA916D76593_.wvu.Cols" localSheetId="21" hidden="1">'@分析#利润分析#'!$D:$D</definedName>
    <definedName name="Z_8B80B510_C931_46B1_8591_DEA916D76593_.wvu.Cols" localSheetId="1" hidden="1">'@预测#利润分析#'!$D:$D</definedName>
    <definedName name="Z_8B80B510_C931_46B1_8591_DEA916D76593_.wvu.Cols" localSheetId="5" hidden="1">'@预测#收入利润#'!$B:$D,'@预测#收入利润#'!$F:$G,'@预测#收入利润#'!$P:$P,'@预测#收入利润#'!$T:$V</definedName>
    <definedName name="Z_8B80B510_C931_46B1_8591_DEA916D76593_.wvu.Cols" localSheetId="27" hidden="1">Sheet1!$AC:$AK</definedName>
    <definedName name="Z_8B80B510_C931_46B1_8591_DEA916D76593_.wvu.Cols" localSheetId="35" hidden="1">画图!$O:$O</definedName>
    <definedName name="Z_8B80B510_C931_46B1_8591_DEA916D76593_.wvu.Cols" localSheetId="30" hidden="1">'收入（汇总）'!$D:$D</definedName>
    <definedName name="Z_8B80B510_C931_46B1_8591_DEA916D76593_.wvu.PrintArea" localSheetId="17" hidden="1">'#经营利润'!$A$3:$BJ$43</definedName>
    <definedName name="Z_8B80B510_C931_46B1_8591_DEA916D76593_.wvu.PrintArea" localSheetId="18" hidden="1">'#利润建议'!$A$3:$CD$42</definedName>
    <definedName name="Z_8B80B510_C931_46B1_8591_DEA916D76593_.wvu.PrintArea" localSheetId="25" hidden="1">'#利润因素分析（ppt）'!$F$2:$M$21</definedName>
    <definedName name="Z_8B80B510_C931_46B1_8591_DEA916D76593_.wvu.PrintArea" localSheetId="15" hidden="1">'#母公司报表'!$A$1:$P$68</definedName>
    <definedName name="Z_8B80B510_C931_46B1_8591_DEA916D76593_.wvu.PrintArea" localSheetId="31" hidden="1">'#收入完成情况'!$B$3:$Q$44</definedName>
    <definedName name="Z_8B80B510_C931_46B1_8591_DEA916D76593_.wvu.PrintArea" localSheetId="11" hidden="1">'#子分公司分析'!$C$3:$L$37</definedName>
    <definedName name="Z_8B80B510_C931_46B1_8591_DEA916D76593_.wvu.PrintArea" localSheetId="42" hidden="1">'@产量打印#不锈钢'!$A$3:$K$42</definedName>
    <definedName name="Z_8B80B510_C931_46B1_8591_DEA916D76593_.wvu.PrintArea" localSheetId="44" hidden="1">'@产量打印#材'!$A$3:$K$35</definedName>
    <definedName name="Z_8B80B510_C931_46B1_8591_DEA916D76593_.wvu.PrintArea" localSheetId="40" hidden="1">'@产量打印#概况'!$A$4:$V$30</definedName>
    <definedName name="Z_8B80B510_C931_46B1_8591_DEA916D76593_.wvu.PrintArea" localSheetId="43" hidden="1">'@产量打印#钢'!$A$3:$K$35</definedName>
    <definedName name="Z_8B80B510_C931_46B1_8591_DEA916D76593_.wvu.PrintArea" localSheetId="41" hidden="1">'@产量打印#矿产品'!$A$3:$K$46</definedName>
    <definedName name="Z_8B80B510_C931_46B1_8591_DEA916D76593_.wvu.PrintArea" localSheetId="0" hidden="1">'@预测#概况#'!$B$173:$O$196</definedName>
    <definedName name="Z_8B80B510_C931_46B1_8591_DEA916D76593_.wvu.PrintArea" localSheetId="6" hidden="1">'@预测#股份关联价（打印）'!$B$3:$K$22</definedName>
    <definedName name="Z_8B80B510_C931_46B1_8591_DEA916D76593_.wvu.PrintArea" localSheetId="27" hidden="1">Sheet1!$A$3:$AN$11</definedName>
    <definedName name="Z_8B80B510_C931_46B1_8591_DEA916D76593_.wvu.PrintArea" localSheetId="33" hidden="1">'收入（外部）'!$A$1:$AB$42</definedName>
    <definedName name="Z_8B80B510_C931_46B1_8591_DEA916D76593_.wvu.Rows" localSheetId="13" hidden="1">'#存货'!$6:$6</definedName>
    <definedName name="Z_8B80B510_C931_46B1_8591_DEA916D76593_.wvu.Rows" localSheetId="20" hidden="1">'#分板块利润分析'!$66:$66,'#分板块利润分析'!$70:$72</definedName>
    <definedName name="Z_8B80B510_C931_46B1_8591_DEA916D76593_.wvu.Rows" localSheetId="16" hidden="1">'#经营概况'!$244:$244</definedName>
    <definedName name="Z_8B80B510_C931_46B1_8591_DEA916D76593_.wvu.Rows" localSheetId="21" hidden="1">'@分析#利润分析#'!$58:$58</definedName>
    <definedName name="Z_8B80B510_C931_46B1_8591_DEA916D76593_.wvu.Rows" localSheetId="0" hidden="1">'@预测#概况#'!$109:$110</definedName>
    <definedName name="Z_8B80B510_C931_46B1_8591_DEA916D76593_.wvu.Rows" localSheetId="4" hidden="1">'@预测#经营利润#'!$10:$11,'@预测#经营利润#'!$29:$42</definedName>
    <definedName name="Z_8B80B510_C931_46B1_8591_DEA916D76593_.wvu.Rows" localSheetId="1" hidden="1">'@预测#利润分析#'!$59:$59</definedName>
    <definedName name="Z_8B80B510_C931_46B1_8591_DEA916D76593_.wvu.Rows" localSheetId="3" hidden="1">'@预测#利润建议# '!$18:$21,'@预测#利润建议# '!$23:$42</definedName>
    <definedName name="Z_8C09BCDE_4B8A_4469_B3F2_7F4528A2E78D_.wvu.Cols" localSheetId="26" hidden="1">'#采购&amp;股份关联'!$C:$AN</definedName>
    <definedName name="Z_8C09BCDE_4B8A_4469_B3F2_7F4528A2E78D_.wvu.Cols" localSheetId="13" hidden="1">'#存货'!$D:$AQ,'#存货'!$AV:$AW</definedName>
    <definedName name="Z_8C09BCDE_4B8A_4469_B3F2_7F4528A2E78D_.wvu.Cols" localSheetId="20" hidden="1">'#分板块利润分析'!$Q:$Q,'#分板块利润分析'!$S:$Y</definedName>
    <definedName name="Z_8C09BCDE_4B8A_4469_B3F2_7F4528A2E78D_.wvu.Cols" localSheetId="17" hidden="1">'#经营利润'!$D:$AG,'#经营利润'!$AJ:$BA,'#经营利润'!$BD:$BE</definedName>
    <definedName name="Z_8C09BCDE_4B8A_4469_B3F2_7F4528A2E78D_.wvu.Cols" localSheetId="18" hidden="1">'#利润建议'!$B:$AT,'#利润建议'!$BA:$BX</definedName>
    <definedName name="Z_8C09BCDE_4B8A_4469_B3F2_7F4528A2E78D_.wvu.Cols" localSheetId="31" hidden="1">'#收入完成情况'!$E:$E,'#收入完成情况'!$I:$I,'#收入完成情况'!$M:$M</definedName>
    <definedName name="Z_8C09BCDE_4B8A_4469_B3F2_7F4528A2E78D_.wvu.Cols" localSheetId="12" hidden="1">'#现金流 (新)'!$C:$Q,'#现金流 (新)'!$S:$AE,'#现金流 (新)'!$AJ:$AJ,'#现金流 (新)'!$AM:$AM</definedName>
    <definedName name="Z_8C09BCDE_4B8A_4469_B3F2_7F4528A2E78D_.wvu.Cols" localSheetId="21" hidden="1">'@分析#利润分析#'!$D:$D</definedName>
    <definedName name="Z_8C09BCDE_4B8A_4469_B3F2_7F4528A2E78D_.wvu.Cols" localSheetId="4" hidden="1">'@预测#经营利润#'!$I:$I,'@预测#经营利润#'!$L:$L</definedName>
    <definedName name="Z_8C09BCDE_4B8A_4469_B3F2_7F4528A2E78D_.wvu.Cols" localSheetId="1" hidden="1">'@预测#利润分析#'!$D:$D</definedName>
    <definedName name="Z_8C09BCDE_4B8A_4469_B3F2_7F4528A2E78D_.wvu.Cols" localSheetId="5" hidden="1">'@预测#收入利润#'!$B:$G,'@预测#收入利润#'!$P:$R,'@预测#收入利润#'!$T:$W</definedName>
    <definedName name="Z_8C09BCDE_4B8A_4469_B3F2_7F4528A2E78D_.wvu.Cols" localSheetId="27" hidden="1">Sheet1!$T:$AK</definedName>
    <definedName name="Z_8C09BCDE_4B8A_4469_B3F2_7F4528A2E78D_.wvu.Cols" localSheetId="24" hidden="1">还原市场价格!$I:$Q</definedName>
    <definedName name="Z_8C09BCDE_4B8A_4469_B3F2_7F4528A2E78D_.wvu.Cols" localSheetId="35" hidden="1">画图!$O:$O</definedName>
    <definedName name="Z_8C09BCDE_4B8A_4469_B3F2_7F4528A2E78D_.wvu.Cols" localSheetId="30" hidden="1">'收入（汇总）'!$D:$D</definedName>
    <definedName name="Z_8C09BCDE_4B8A_4469_B3F2_7F4528A2E78D_.wvu.PrintArea" localSheetId="16" hidden="1">'#经营概况'!$B$322:$O$379</definedName>
    <definedName name="Z_8C09BCDE_4B8A_4469_B3F2_7F4528A2E78D_.wvu.PrintArea" localSheetId="17" hidden="1">'#经营利润'!$A$3:$BJ$43</definedName>
    <definedName name="Z_8C09BCDE_4B8A_4469_B3F2_7F4528A2E78D_.wvu.PrintArea" localSheetId="18" hidden="1">'#利润建议'!$A$3:$CD$42</definedName>
    <definedName name="Z_8C09BCDE_4B8A_4469_B3F2_7F4528A2E78D_.wvu.PrintArea" localSheetId="25" hidden="1">'#利润因素分析（ppt）'!$F$2:$M$21</definedName>
    <definedName name="Z_8C09BCDE_4B8A_4469_B3F2_7F4528A2E78D_.wvu.PrintArea" localSheetId="15" hidden="1">'#母公司报表'!$A$1:$P$68</definedName>
    <definedName name="Z_8C09BCDE_4B8A_4469_B3F2_7F4528A2E78D_.wvu.PrintArea" localSheetId="31" hidden="1">'#收入完成情况'!$B$3:$Q$44</definedName>
    <definedName name="Z_8C09BCDE_4B8A_4469_B3F2_7F4528A2E78D_.wvu.PrintArea" localSheetId="11" hidden="1">'#子分公司分析'!$C$3:$L$37</definedName>
    <definedName name="Z_8C09BCDE_4B8A_4469_B3F2_7F4528A2E78D_.wvu.PrintArea" localSheetId="42" hidden="1">'@产量打印#不锈钢'!$A$3:$K$42</definedName>
    <definedName name="Z_8C09BCDE_4B8A_4469_B3F2_7F4528A2E78D_.wvu.PrintArea" localSheetId="44" hidden="1">'@产量打印#材'!$A$3:$K$35</definedName>
    <definedName name="Z_8C09BCDE_4B8A_4469_B3F2_7F4528A2E78D_.wvu.PrintArea" localSheetId="40" hidden="1">'@产量打印#概况'!$A$4:$V$30</definedName>
    <definedName name="Z_8C09BCDE_4B8A_4469_B3F2_7F4528A2E78D_.wvu.PrintArea" localSheetId="43" hidden="1">'@产量打印#钢'!$A$3:$K$35</definedName>
    <definedName name="Z_8C09BCDE_4B8A_4469_B3F2_7F4528A2E78D_.wvu.PrintArea" localSheetId="41" hidden="1">'@产量打印#矿产品'!$A$3:$K$46</definedName>
    <definedName name="Z_8C09BCDE_4B8A_4469_B3F2_7F4528A2E78D_.wvu.PrintArea" localSheetId="0" hidden="1">'@预测#概况#'!$B$173:$O$196</definedName>
    <definedName name="Z_8C09BCDE_4B8A_4469_B3F2_7F4528A2E78D_.wvu.PrintArea" localSheetId="6" hidden="1">'@预测#股份关联价（打印）'!$B$3:$K$22</definedName>
    <definedName name="Z_8C09BCDE_4B8A_4469_B3F2_7F4528A2E78D_.wvu.PrintArea" localSheetId="27" hidden="1">Sheet1!$A$3:$AN$11</definedName>
    <definedName name="Z_8C09BCDE_4B8A_4469_B3F2_7F4528A2E78D_.wvu.PrintArea" localSheetId="33" hidden="1">'收入（外部）'!$A$1:$AB$42</definedName>
    <definedName name="Z_8C09BCDE_4B8A_4469_B3F2_7F4528A2E78D_.wvu.PrintTitles" localSheetId="16" hidden="1">'#经营概况'!$322:$325</definedName>
    <definedName name="Z_8C09BCDE_4B8A_4469_B3F2_7F4528A2E78D_.wvu.Rows" localSheetId="13" hidden="1">'#存货'!$6:$6</definedName>
    <definedName name="Z_8C09BCDE_4B8A_4469_B3F2_7F4528A2E78D_.wvu.Rows" localSheetId="20" hidden="1">'#分板块利润分析'!$70:$72</definedName>
    <definedName name="Z_8C09BCDE_4B8A_4469_B3F2_7F4528A2E78D_.wvu.Rows" localSheetId="16" hidden="1">'#经营概况'!$91:$92,'#经营概况'!$98:$99,'#经营概况'!$179:$179</definedName>
    <definedName name="Z_8C09BCDE_4B8A_4469_B3F2_7F4528A2E78D_.wvu.Rows" localSheetId="18" hidden="1">'#利润建议'!$10:$11,'#利润建议'!$17:$22,'#利润建议'!$25:$42,'#利润建议'!$44:$48</definedName>
    <definedName name="Z_8C09BCDE_4B8A_4469_B3F2_7F4528A2E78D_.wvu.Rows" localSheetId="11" hidden="1">'#子分公司分析'!$4:$6,'#子分公司分析'!$11:$11,'#子分公司分析'!$21:$21,'#子分公司分析'!$28:$28,'#子分公司分析'!$33:$33</definedName>
    <definedName name="Z_8C09BCDE_4B8A_4469_B3F2_7F4528A2E78D_.wvu.Rows" localSheetId="21" hidden="1">'@分析#利润分析#'!$58:$58</definedName>
    <definedName name="Z_8C09BCDE_4B8A_4469_B3F2_7F4528A2E78D_.wvu.Rows" localSheetId="6" hidden="1">'@预测#股份关联价（打印）'!$30:$30</definedName>
    <definedName name="Z_8C09BCDE_4B8A_4469_B3F2_7F4528A2E78D_.wvu.Rows" localSheetId="1" hidden="1">'@预测#利润分析#'!$59:$59</definedName>
    <definedName name="Z_8C09BCDE_4B8A_4469_B3F2_7F4528A2E78D_.wvu.Rows" localSheetId="19" hidden="1">报宝武!$18:$25</definedName>
    <definedName name="Z_8C371FBF_8610_4A62_ACE8_C85B409DE714_.wvu.Cols" localSheetId="13" hidden="1">'#存货'!$E:$S,'#存货'!$U:$V</definedName>
    <definedName name="Z_8C371FBF_8610_4A62_ACE8_C85B409DE714_.wvu.Cols" localSheetId="17" hidden="1">'#经营利润'!$D:$O,'#经营利润'!$T:$AC</definedName>
    <definedName name="Z_8C371FBF_8610_4A62_ACE8_C85B409DE714_.wvu.Cols" localSheetId="18" hidden="1">'#利润建议'!$B:$S,'#利润建议'!$Z:$AN</definedName>
    <definedName name="Z_8C371FBF_8610_4A62_ACE8_C85B409DE714_.wvu.Cols" localSheetId="15" hidden="1">'#母公司报表'!$K:$O,'#母公司报表'!$P:$P</definedName>
    <definedName name="Z_8C371FBF_8610_4A62_ACE8_C85B409DE714_.wvu.Cols" localSheetId="10" hidden="1">'#税金'!$B:$G,'#税金'!$I:$M,'#税金'!#REF!,'#税金'!$N:$R,'#税金'!$U:$Y</definedName>
    <definedName name="Z_8C371FBF_8610_4A62_ACE8_C85B409DE714_.wvu.Cols" localSheetId="12" hidden="1">'#现金流 (新)'!$C:$C,'#现金流 (新)'!$F:$J,'#现金流 (新)'!$M:$Q</definedName>
    <definedName name="Z_8C371FBF_8610_4A62_ACE8_C85B409DE714_.wvu.Cols" localSheetId="14" hidden="1">'#销量数据'!$C:$N,'#销量数据'!$S:$AB</definedName>
    <definedName name="Z_8C371FBF_8610_4A62_ACE8_C85B409DE714_.wvu.Cols" localSheetId="22" hidden="1">钢铁分析!$C:$E</definedName>
    <definedName name="Z_8C371FBF_8610_4A62_ACE8_C85B409DE714_.wvu.Cols" localSheetId="34" hidden="1">'利润（汇总）'!$E:$I</definedName>
    <definedName name="Z_8C371FBF_8610_4A62_ACE8_C85B409DE714_.wvu.Cols" localSheetId="32" hidden="1">'收入（关联）'!$D:$H</definedName>
    <definedName name="Z_8C371FBF_8610_4A62_ACE8_C85B409DE714_.wvu.Cols" localSheetId="30" hidden="1">'收入（汇总）'!$E:$I</definedName>
    <definedName name="Z_8C371FBF_8610_4A62_ACE8_C85B409DE714_.wvu.PrintArea" localSheetId="15" hidden="1">'#母公司报表'!$A$1:$P$68</definedName>
    <definedName name="Z_8C371FBF_8610_4A62_ACE8_C85B409DE714_.wvu.Rows" localSheetId="13" hidden="1">'#存货'!$6:$6</definedName>
    <definedName name="Z_8C371FBF_8610_4A62_ACE8_C85B409DE714_.wvu.Rows" localSheetId="17" hidden="1">'#经营利润'!#REF!,'#经营利润'!$35:$35,'#经营利润'!$29:$35,'#经营利润'!$27:$27,'#经营利润'!$40:$42</definedName>
    <definedName name="Z_8C371FBF_8610_4A62_ACE8_C85B409DE714_.wvu.Rows" localSheetId="18" hidden="1">'#利润建议'!#REF!,'#利润建议'!$35:$35,'#利润建议'!$25:$35,'#利润建议'!$29:$29,'#利润建议'!$40:$42</definedName>
    <definedName name="Z_8C371FBF_8610_4A62_ACE8_C85B409DE714_.wvu.Rows" localSheetId="15" hidden="1">'#母公司报表'!$115:$120</definedName>
    <definedName name="Z_8C371FBF_8610_4A62_ACE8_C85B409DE714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8EF9FF62_1AD5_4D29_9EEA_6B3DDE7E38FE_.wvu.PrintArea" localSheetId="17" hidden="1">'#经营利润'!$A$3:$BC$46</definedName>
    <definedName name="Z_8EF9FF62_1AD5_4D29_9EEA_6B3DDE7E38FE_.wvu.PrintArea" localSheetId="15" hidden="1">'#母公司报表'!$A$1:$P$68</definedName>
    <definedName name="Z_8EF9FF62_1AD5_4D29_9EEA_6B3DDE7E38FE_.wvu.PrintArea" localSheetId="40" hidden="1">'@产量打印#概况'!$A$4:$Q$30,'@产量打印#矿产品'!$A$3:$K$46,'@产量打印#不锈钢'!$A$3:$K$42,'@产量打印#钢'!$A$3:$K$35,'@产量打印#材'!$A$3:$K$35</definedName>
    <definedName name="Z_8EF9FF62_1AD5_4D29_9EEA_6B3DDE7E38FE_.wvu.Rows" localSheetId="17" hidden="1">'#经营利润'!$11:$11</definedName>
    <definedName name="Z_8F5F1338_C684_41C4_9AA2_143629D2F55E_.wvu.Cols" localSheetId="18" hidden="1">'#利润建议'!$B:$D</definedName>
    <definedName name="Z_8F650A8F_68FA_4A73_8E0F_35B1C9018183_.wvu.Cols" localSheetId="13" hidden="1">'#存货'!$F:$G,'#存货'!$K:$AN</definedName>
    <definedName name="Z_8F650A8F_68FA_4A73_8E0F_35B1C9018183_.wvu.Cols" localSheetId="20" hidden="1">'#分板块利润分析'!$E:$E,'#分板块利润分析'!$AA:$AA</definedName>
    <definedName name="Z_8F650A8F_68FA_4A73_8E0F_35B1C9018183_.wvu.Cols" localSheetId="17" hidden="1">'#经营利润'!$C:$E,'#经营利润'!$J:$AC,'#经营利润'!$BD:$BE</definedName>
    <definedName name="Z_8F650A8F_68FA_4A73_8E0F_35B1C9018183_.wvu.Cols" localSheetId="18" hidden="1">'#利润建议'!$B:$D,'#利润建议'!$K:$AN</definedName>
    <definedName name="Z_8F650A8F_68FA_4A73_8E0F_35B1C9018183_.wvu.Cols" localSheetId="31" hidden="1">'#收入完成情况'!$E:$E,'#收入完成情况'!$I:$I</definedName>
    <definedName name="Z_8F650A8F_68FA_4A73_8E0F_35B1C9018183_.wvu.Cols" localSheetId="12" hidden="1">'#现金流 (新)'!$C:$C,'#现金流 (新)'!$H:$Q</definedName>
    <definedName name="Z_8F650A8F_68FA_4A73_8E0F_35B1C9018183_.wvu.Cols" localSheetId="5" hidden="1">'@预测#收入利润#'!$B:$C,'@预测#收入利润#'!$F:$G,'@预测#收入利润#'!$T:$U</definedName>
    <definedName name="Z_8F650A8F_68FA_4A73_8E0F_35B1C9018183_.wvu.Cols" localSheetId="34" hidden="1">'利润（汇总）'!$C:$P</definedName>
    <definedName name="Z_8F650A8F_68FA_4A73_8E0F_35B1C9018183_.wvu.Cols" localSheetId="32" hidden="1">'收入（关联）'!$B:$O</definedName>
    <definedName name="Z_8F650A8F_68FA_4A73_8E0F_35B1C9018183_.wvu.Cols" localSheetId="30" hidden="1">'收入（汇总）'!$C:$P</definedName>
    <definedName name="Z_8F650A8F_68FA_4A73_8E0F_35B1C9018183_.wvu.Cols" localSheetId="33" hidden="1">'收入（外部）'!$B:$O</definedName>
    <definedName name="Z_8F650A8F_68FA_4A73_8E0F_35B1C9018183_.wvu.PrintArea" localSheetId="17" hidden="1">'#经营利润'!$A$3:$BG$43</definedName>
    <definedName name="Z_8F650A8F_68FA_4A73_8E0F_35B1C9018183_.wvu.PrintArea" localSheetId="18" hidden="1">'#利润建议'!$A$3:$CD$44</definedName>
    <definedName name="Z_8F650A8F_68FA_4A73_8E0F_35B1C9018183_.wvu.PrintArea" localSheetId="25" hidden="1">'#利润因素分析（ppt）'!$F$2:$M$21</definedName>
    <definedName name="Z_8F650A8F_68FA_4A73_8E0F_35B1C9018183_.wvu.PrintArea" localSheetId="15" hidden="1">'#母公司报表'!$A$1:$P$68</definedName>
    <definedName name="Z_8F650A8F_68FA_4A73_8E0F_35B1C9018183_.wvu.PrintArea" localSheetId="11" hidden="1">'#子分公司分析'!$C$3:$L$37</definedName>
    <definedName name="Z_8F650A8F_68FA_4A73_8E0F_35B1C9018183_.wvu.PrintArea" localSheetId="42" hidden="1">'@产量打印#不锈钢'!$A$3:$K$42</definedName>
    <definedName name="Z_8F650A8F_68FA_4A73_8E0F_35B1C9018183_.wvu.PrintArea" localSheetId="44" hidden="1">'@产量打印#材'!$A$3:$K$35</definedName>
    <definedName name="Z_8F650A8F_68FA_4A73_8E0F_35B1C9018183_.wvu.PrintArea" localSheetId="40" hidden="1">'@产量打印#概况'!$A$4:$Q$30</definedName>
    <definedName name="Z_8F650A8F_68FA_4A73_8E0F_35B1C9018183_.wvu.PrintArea" localSheetId="43" hidden="1">'@产量打印#钢'!$A$3:$K$35</definedName>
    <definedName name="Z_8F650A8F_68FA_4A73_8E0F_35B1C9018183_.wvu.PrintArea" localSheetId="41" hidden="1">'@产量打印#矿产品'!$A$3:$K$46</definedName>
    <definedName name="Z_8F650A8F_68FA_4A73_8E0F_35B1C9018183_.wvu.PrintArea" localSheetId="33" hidden="1">'收入（外部）'!$A$1:$AB$42</definedName>
    <definedName name="Z_8F650A8F_68FA_4A73_8E0F_35B1C9018183_.wvu.Rows" localSheetId="13" hidden="1">'#存货'!$6:$6</definedName>
    <definedName name="Z_8F650A8F_68FA_4A73_8E0F_35B1C9018183_.wvu.Rows" localSheetId="20" hidden="1">'#分板块利润分析'!$66:$66,'#分板块利润分析'!$70:$72</definedName>
    <definedName name="Z_8F650A8F_68FA_4A73_8E0F_35B1C9018183_.wvu.Rows" localSheetId="16" hidden="1">'#经营概况'!$91:$92,'#经营概况'!$98:$99</definedName>
    <definedName name="Z_8F650A8F_68FA_4A73_8E0F_35B1C9018183_.wvu.Rows" localSheetId="18" hidden="1">'#利润建议'!$10:$11,'#利润建议'!$25:$36,'#利润建议'!$37:$42</definedName>
    <definedName name="Z_8F650A8F_68FA_4A73_8E0F_35B1C9018183_.wvu.Rows" localSheetId="11" hidden="1">'#子分公司分析'!$4:$5,'#子分公司分析'!$11:$12,'#子分公司分析'!$15:$15</definedName>
    <definedName name="Z_8F650A8F_68FA_4A73_8E0F_35B1C9018183_.wvu.Rows" localSheetId="4" hidden="1">'@预测#经营利润#'!$10:$11,'@预测#经营利润#'!$29:$42</definedName>
    <definedName name="Z_8F650A8F_68FA_4A73_8E0F_35B1C9018183_.wvu.Rows" localSheetId="3" hidden="1">'@预测#利润建议# '!$10:$11,'@预测#利润建议# '!$18:$41</definedName>
    <definedName name="Z_900BDA2A_BB7F_4C18_AF29_F3056EDAB48D_.wvu.Cols" localSheetId="17" hidden="1">'#经营利润'!$D:$E,'#经营利润'!$Z:$AC</definedName>
    <definedName name="Z_900BDA2A_BB7F_4C18_AF29_F3056EDAB48D_.wvu.Cols" localSheetId="18" hidden="1">'#利润建议'!$B:$Y,'#利润建议'!$AI:$AN</definedName>
    <definedName name="Z_900BDA2A_BB7F_4C18_AF29_F3056EDAB48D_.wvu.Cols" localSheetId="10" hidden="1">'#税金'!$B:$J,'#税金'!$L:$M,'#税金'!#REF!,'#税金'!$N:$U,'#税金'!$X:$Y</definedName>
    <definedName name="Z_900BDA2A_BB7F_4C18_AF29_F3056EDAB48D_.wvu.Cols" localSheetId="12" hidden="1">'#现金流 (新)'!$F:$M</definedName>
    <definedName name="Z_900BDA2A_BB7F_4C18_AF29_F3056EDAB48D_.wvu.Cols" localSheetId="14" hidden="1">'#销量数据'!$C:$R,'#销量数据'!$Y:$AB,'#销量数据'!#REF!</definedName>
    <definedName name="Z_900BDA2A_BB7F_4C18_AF29_F3056EDAB48D_.wvu.Cols" localSheetId="34" hidden="1">'利润（汇总）'!$C:$K,'利润（汇总）'!$O:$P</definedName>
    <definedName name="Z_900BDA2A_BB7F_4C18_AF29_F3056EDAB48D_.wvu.Cols" localSheetId="32" hidden="1">'收入（关联）'!$B:$J,'收入（关联）'!$N:$O</definedName>
    <definedName name="Z_900BDA2A_BB7F_4C18_AF29_F3056EDAB48D_.wvu.Cols" localSheetId="30" hidden="1">'收入（汇总）'!$C:$K,'收入（汇总）'!$O:$P</definedName>
    <definedName name="Z_900BDA2A_BB7F_4C18_AF29_F3056EDAB48D_.wvu.Rows" localSheetId="17" hidden="1">'#经营利润'!#REF!,'#经营利润'!#REF!</definedName>
    <definedName name="Z_900BDA2A_BB7F_4C18_AF29_F3056EDAB48D_.wvu.Rows" localSheetId="18" hidden="1">'#利润建议'!#REF!</definedName>
    <definedName name="Z_900BDA2A_BB7F_4C18_AF29_F3056EDAB48D_.wvu.Rows" localSheetId="14" hidden="1">'#销量数据'!$6:$6,'#销量数据'!#REF!,'#销量数据'!#REF!,'#销量数据'!#REF!,'#销量数据'!#REF!,'#销量数据'!#REF!,'#销量数据'!$27:$28,'#销量数据'!$30:$30,'#销量数据'!$32:$33,'#销量数据'!$35:$38,'#销量数据'!$41:$44,'#销量数据'!$46:$49,'#销量数据'!#REF!,'#销量数据'!$61:$62</definedName>
    <definedName name="Z_93C2EE38_7189_4DF1_9285_2103A0696C8D_.wvu.Cols" localSheetId="13" hidden="1">'#存货'!$V:$Y,'#存货'!$AA:$AB,'#存货'!$AF:$AN</definedName>
    <definedName name="Z_93C2EE38_7189_4DF1_9285_2103A0696C8D_.wvu.Cols" localSheetId="17" hidden="1">'#经营利润'!$D:$U,'#经营利润'!$Z:$AC</definedName>
    <definedName name="Z_93C2EE38_7189_4DF1_9285_2103A0696C8D_.wvu.Cols" localSheetId="18" hidden="1">'#利润建议'!$B:$AB,'#利润建议'!$AI:$AN</definedName>
    <definedName name="Z_93C2EE38_7189_4DF1_9285_2103A0696C8D_.wvu.Cols" localSheetId="15" hidden="1">'#母公司报表'!$D:$F,'#母公司报表'!$P:$P</definedName>
    <definedName name="Z_93C2EE38_7189_4DF1_9285_2103A0696C8D_.wvu.Cols" localSheetId="10" hidden="1">'#税金'!$B:$J,'#税金'!$L:$M,'#税金'!$N:$U,'#税金'!$X:$Y</definedName>
    <definedName name="Z_93C2EE38_7189_4DF1_9285_2103A0696C8D_.wvu.Cols" localSheetId="12" hidden="1">'#现金流 (新)'!$F:$M,'#现金流 (新)'!$P:$Q</definedName>
    <definedName name="Z_93C2EE38_7189_4DF1_9285_2103A0696C8D_.wvu.Cols" localSheetId="14" hidden="1">'#销量数据'!$C:$T,'#销量数据'!$AA:$AB</definedName>
    <definedName name="Z_93C2EE38_7189_4DF1_9285_2103A0696C8D_.wvu.Cols" localSheetId="39" hidden="1">产品质量!$D:$K,产品质量!$O:$P</definedName>
    <definedName name="Z_93C2EE38_7189_4DF1_9285_2103A0696C8D_.wvu.Cols" localSheetId="34" hidden="1">'利润（汇总）'!$C:$L,'利润（汇总）'!$O:$P</definedName>
    <definedName name="Z_93C2EE38_7189_4DF1_9285_2103A0696C8D_.wvu.Cols" localSheetId="32" hidden="1">'收入（关联）'!$B:$K,'收入（关联）'!$N:$O</definedName>
    <definedName name="Z_93C2EE38_7189_4DF1_9285_2103A0696C8D_.wvu.Cols" localSheetId="30" hidden="1">'收入（汇总）'!$C:$L,'收入（汇总）'!$O:$P</definedName>
    <definedName name="Z_93C2EE38_7189_4DF1_9285_2103A0696C8D_.wvu.PrintArea" localSheetId="18" hidden="1">'#利润建议'!$A$1:$CA$44</definedName>
    <definedName name="Z_93C2EE38_7189_4DF1_9285_2103A0696C8D_.wvu.PrintArea" localSheetId="15" hidden="1">'#母公司报表'!$A$1:$P$68</definedName>
    <definedName name="Z_93C2EE38_7189_4DF1_9285_2103A0696C8D_.wvu.Rows" localSheetId="13" hidden="1">'#存货'!$6:$6,'#存货'!$13:$13,'#存货'!#REF!,'#存货'!$16:$16,'#存货'!#REF!,'#存货'!#REF!,'#存货'!#REF!</definedName>
    <definedName name="Z_93C2EE38_7189_4DF1_9285_2103A0696C8D_.wvu.Rows" localSheetId="15" hidden="1">'#母公司报表'!$115:$120</definedName>
    <definedName name="Z_93C2EE38_7189_4DF1_9285_2103A0696C8D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95848FCA_A865_47B8_87CF_C33591418319_.wvu.Cols" localSheetId="18" hidden="1">'#利润建议'!$B:$AE</definedName>
    <definedName name="Z_983E1CD7_E726_45CA_80FF_3B1AE14B3ED6_.wvu.Cols" localSheetId="13" hidden="1">'#存货'!$E:$G,'#存货'!$I:$J,'#存货'!$L:$M</definedName>
    <definedName name="Z_983E1CD7_E726_45CA_80FF_3B1AE14B3ED6_.wvu.Cols" localSheetId="17" hidden="1">'#经营利润'!$D:$I,'#经营利润'!$N:$AC</definedName>
    <definedName name="Z_983E1CD7_E726_45CA_80FF_3B1AE14B3ED6_.wvu.Cols" localSheetId="18" hidden="1">'#利润建议'!$B:$J,'#利润建议'!$Q:$AN</definedName>
    <definedName name="Z_983E1CD7_E726_45CA_80FF_3B1AE14B3ED6_.wvu.Cols" localSheetId="15" hidden="1">'#母公司报表'!$H:$O,'#母公司报表'!$P:$P</definedName>
    <definedName name="Z_983E1CD7_E726_45CA_80FF_3B1AE14B3ED6_.wvu.Cols" localSheetId="10" hidden="1">'#税金'!$B:$D,'#税金'!$F:$M,'#税金'!#REF!,'#税金'!$N:$O,'#税金'!$R:$Y</definedName>
    <definedName name="Z_983E1CD7_E726_45CA_80FF_3B1AE14B3ED6_.wvu.Cols" localSheetId="12" hidden="1">'#现金流 (新)'!$C:$C,'#现金流 (新)'!$F:$G,'#现金流 (新)'!$J:$Q</definedName>
    <definedName name="Z_983E1CD7_E726_45CA_80FF_3B1AE14B3ED6_.wvu.Cols" localSheetId="14" hidden="1">'#销量数据'!$C:$H,'#销量数据'!$M:$AB</definedName>
    <definedName name="Z_983E1CD7_E726_45CA_80FF_3B1AE14B3ED6_.wvu.Cols" localSheetId="22" hidden="1">钢铁分析!$C:$E</definedName>
    <definedName name="Z_983E1CD7_E726_45CA_80FF_3B1AE14B3ED6_.wvu.Cols" localSheetId="34" hidden="1">'利润（汇总）'!$D:$D,'利润（汇总）'!$I:$P</definedName>
    <definedName name="Z_983E1CD7_E726_45CA_80FF_3B1AE14B3ED6_.wvu.Cols" localSheetId="32" hidden="1">'收入（关联）'!$C:$C,'收入（关联）'!$H:$O</definedName>
    <definedName name="Z_983E1CD7_E726_45CA_80FF_3B1AE14B3ED6_.wvu.Cols" localSheetId="30" hidden="1">'收入（汇总）'!$D:$D,'收入（汇总）'!$I:$P</definedName>
    <definedName name="Z_983E1CD7_E726_45CA_80FF_3B1AE14B3ED6_.wvu.PrintArea" localSheetId="15" hidden="1">'#母公司报表'!$A$1:$P$68</definedName>
    <definedName name="Z_983E1CD7_E726_45CA_80FF_3B1AE14B3ED6_.wvu.Rows" localSheetId="13" hidden="1">'#存货'!$6:$6</definedName>
    <definedName name="Z_983E1CD7_E726_45CA_80FF_3B1AE14B3ED6_.wvu.Rows" localSheetId="17" hidden="1">'#经营利润'!$11:$11,'#经营利润'!$35:$35,'#经营利润'!$30:$30,'#经营利润'!$32:$42</definedName>
    <definedName name="Z_983E1CD7_E726_45CA_80FF_3B1AE14B3ED6_.wvu.Rows" localSheetId="18" hidden="1">'#利润建议'!$11:$11,'#利润建议'!$35:$35,'#利润建议'!$26:$26,'#利润建议'!$32:$42</definedName>
    <definedName name="Z_983E1CD7_E726_45CA_80FF_3B1AE14B3ED6_.wvu.Rows" localSheetId="15" hidden="1">'#母公司报表'!$115:$120</definedName>
    <definedName name="Z_983E1CD7_E726_45CA_80FF_3B1AE14B3ED6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9ADE76AC_AD3F_42BA_AEB1_1F3E8FD54896_.wvu.Cols" localSheetId="13" hidden="1">'#存货'!$E:$G,'#存货'!$I:$J,'#存货'!$L:$M</definedName>
    <definedName name="Z_9ADE76AC_AD3F_42BA_AEB1_1F3E8FD54896_.wvu.Cols" localSheetId="17" hidden="1">'#经营利润'!$D:$G,'#经营利润'!$N:$AC</definedName>
    <definedName name="Z_9ADE76AC_AD3F_42BA_AEB1_1F3E8FD54896_.wvu.Cols" localSheetId="18" hidden="1">'#利润建议'!$B:$G,'#利润建议'!$Q:$AN</definedName>
    <definedName name="Z_9ADE76AC_AD3F_42BA_AEB1_1F3E8FD54896_.wvu.Cols" localSheetId="15" hidden="1">'#母公司报表'!$H:$O,'#母公司报表'!$P:$P</definedName>
    <definedName name="Z_9ADE76AC_AD3F_42BA_AEB1_1F3E8FD54896_.wvu.Cols" localSheetId="10" hidden="1">'#税金'!$B:$D,'#税金'!$F:$M,'#税金'!#REF!,'#税金'!$N:$O,'#税金'!$R:$Y</definedName>
    <definedName name="Z_9ADE76AC_AD3F_42BA_AEB1_1F3E8FD54896_.wvu.Cols" localSheetId="12" hidden="1">'#现金流 (新)'!$C:$C,'#现金流 (新)'!$F:$F,'#现金流 (新)'!$I:$Q</definedName>
    <definedName name="Z_9ADE76AC_AD3F_42BA_AEB1_1F3E8FD54896_.wvu.Cols" localSheetId="14" hidden="1">'#销量数据'!$C:$H,'#销量数据'!$M:$AB</definedName>
    <definedName name="Z_9ADE76AC_AD3F_42BA_AEB1_1F3E8FD54896_.wvu.Cols" localSheetId="22" hidden="1">钢铁分析!$C:$E</definedName>
    <definedName name="Z_9ADE76AC_AD3F_42BA_AEB1_1F3E8FD54896_.wvu.Cols" localSheetId="34" hidden="1">'利润（汇总）'!$D:$D,'利润（汇总）'!$I:$P</definedName>
    <definedName name="Z_9ADE76AC_AD3F_42BA_AEB1_1F3E8FD54896_.wvu.Cols" localSheetId="32" hidden="1">'收入（关联）'!$C:$C,'收入（关联）'!$H:$O</definedName>
    <definedName name="Z_9ADE76AC_AD3F_42BA_AEB1_1F3E8FD54896_.wvu.Cols" localSheetId="30" hidden="1">'收入（汇总）'!$D:$D,'收入（汇总）'!$I:$P</definedName>
    <definedName name="Z_9ADE76AC_AD3F_42BA_AEB1_1F3E8FD54896_.wvu.PrintArea" localSheetId="15" hidden="1">'#母公司报表'!$A$1:$P$68</definedName>
    <definedName name="Z_9ADE76AC_AD3F_42BA_AEB1_1F3E8FD54896_.wvu.Rows" localSheetId="13" hidden="1">'#存货'!$6:$6</definedName>
    <definedName name="Z_9ADE76AC_AD3F_42BA_AEB1_1F3E8FD54896_.wvu.Rows" localSheetId="17" hidden="1">'#经营利润'!$11:$11,'#经营利润'!$35:$35,'#经营利润'!$30:$30,'#经营利润'!$32:$42</definedName>
    <definedName name="Z_9ADE76AC_AD3F_42BA_AEB1_1F3E8FD54896_.wvu.Rows" localSheetId="15" hidden="1">'#母公司报表'!$115:$120</definedName>
    <definedName name="Z_9ADE76AC_AD3F_42BA_AEB1_1F3E8FD54896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9B87030B_2A8E_4C07_BE52_B9CE25E00E43_.wvu.Cols" localSheetId="13" hidden="1">'#存货'!$AG:$AH</definedName>
    <definedName name="Z_9B87030B_2A8E_4C07_BE52_B9CE25E00E43_.wvu.Cols" localSheetId="10" hidden="1">'#税金'!#REF!,'#税金'!$N:$W</definedName>
    <definedName name="Z_9B87030B_2A8E_4C07_BE52_B9CE25E00E43_.wvu.Cols" localSheetId="12" hidden="1">'#现金流 (新)'!$AJ:$AJ,'#现金流 (新)'!$AM:$AM</definedName>
    <definedName name="Z_9B87030B_2A8E_4C07_BE52_B9CE25E00E43_.wvu.Cols" localSheetId="14" hidden="1">'#销量数据'!$C:$D,'#销量数据'!#REF!</definedName>
    <definedName name="Z_9B87030B_2A8E_4C07_BE52_B9CE25E00E43_.wvu.Rows" localSheetId="18" hidden="1">'#利润建议'!#REF!,'#利润建议'!#REF!</definedName>
    <definedName name="Z_9B87030B_2A8E_4C07_BE52_B9CE25E00E43_.wvu.Rows" localSheetId="14" hidden="1">'#销量数据'!$41:$44,'#销量数据'!$46:$49</definedName>
    <definedName name="Z_9D838C38_640D_411E_9D66_13F288C1821B_.wvu.Cols" localSheetId="13" hidden="1">'#存货'!$K:$AN</definedName>
    <definedName name="Z_9D838C38_640D_411E_9D66_13F288C1821B_.wvu.Cols" localSheetId="15" hidden="1">'#母公司报表'!$P:$P</definedName>
    <definedName name="Z_9D838C38_640D_411E_9D66_13F288C1821B_.wvu.Cols" localSheetId="10" hidden="1">'#税金'!$B:$B,'#税金'!$D:$M,'#税金'!#REF!,'#税金'!$P:$Y</definedName>
    <definedName name="Z_9D838C38_640D_411E_9D66_13F288C1821B_.wvu.Cols" localSheetId="12" hidden="1">'#现金流 (新)'!$C:$C,'#现金流 (新)'!$H:$Q</definedName>
    <definedName name="Z_9D838C38_640D_411E_9D66_13F288C1821B_.wvu.Cols" localSheetId="14" hidden="1">'#销量数据'!$I:$AB</definedName>
    <definedName name="Z_9D838C38_640D_411E_9D66_13F288C1821B_.wvu.Cols" localSheetId="39" hidden="1">产品质量!$F:$P</definedName>
    <definedName name="Z_9D838C38_640D_411E_9D66_13F288C1821B_.wvu.PrintArea" localSheetId="15" hidden="1">'#母公司报表'!$A$1:$P$68</definedName>
    <definedName name="Z_9D838C38_640D_411E_9D66_13F288C1821B_.wvu.Rows" localSheetId="13" hidden="1">'#存货'!$6:$6,'#存货'!$13:$13,'#存货'!#REF!,'#存货'!$16:$16,'#存货'!#REF!,'#存货'!#REF!,'#存货'!#REF!</definedName>
    <definedName name="Z_9D838C38_640D_411E_9D66_13F288C1821B_.wvu.Rows" localSheetId="15" hidden="1">'#母公司报表'!$115:$120</definedName>
    <definedName name="Z_9D838C38_640D_411E_9D66_13F288C1821B_.wvu.Rows" localSheetId="14" hidden="1">'#销量数据'!$30:$33,'#销量数据'!$35:$38,'#销量数据'!$41:$44,'#销量数据'!$46:$49,'#销量数据'!$56:$59,'#销量数据'!$61:$62,'#销量数据'!$65:$65,'#销量数据'!#REF!,'#销量数据'!$81:$81</definedName>
    <definedName name="Z_9E48903F_3CA5_4327_9B70_37A86B6122E6_.wvu.Cols" localSheetId="13" hidden="1">'#存货'!$E:$AH,'#存货'!$AJ:$AK</definedName>
    <definedName name="Z_9E48903F_3CA5_4327_9B70_37A86B6122E6_.wvu.Cols" localSheetId="17" hidden="1">'#经营利润'!$D:$Y</definedName>
    <definedName name="Z_9E48903F_3CA5_4327_9B70_37A86B6122E6_.wvu.Cols" localSheetId="18" hidden="1">'#利润建议'!$B:$AH</definedName>
    <definedName name="Z_9E48903F_3CA5_4327_9B70_37A86B6122E6_.wvu.Cols" localSheetId="15" hidden="1">'#母公司报表'!$P:$P</definedName>
    <definedName name="Z_9E48903F_3CA5_4327_9B70_37A86B6122E6_.wvu.Cols" localSheetId="10" hidden="1">'#税金'!$B:$L,'#税金'!#REF!,'#税金'!$N:$W</definedName>
    <definedName name="Z_9E48903F_3CA5_4327_9B70_37A86B6122E6_.wvu.Cols" localSheetId="12" hidden="1">'#现金流 (新)'!$C:$C,'#现金流 (新)'!$F:$O</definedName>
    <definedName name="Z_9E48903F_3CA5_4327_9B70_37A86B6122E6_.wvu.Cols" localSheetId="14" hidden="1">'#销量数据'!$C:$X</definedName>
    <definedName name="Z_9E48903F_3CA5_4327_9B70_37A86B6122E6_.wvu.Cols" localSheetId="22" hidden="1">钢铁分析!$C:$E</definedName>
    <definedName name="Z_9E48903F_3CA5_4327_9B70_37A86B6122E6_.wvu.Cols" localSheetId="34" hidden="1">'利润（汇总）'!$D:$N</definedName>
    <definedName name="Z_9E48903F_3CA5_4327_9B70_37A86B6122E6_.wvu.Cols" localSheetId="32" hidden="1">'收入（关联）'!$C:$M</definedName>
    <definedName name="Z_9E48903F_3CA5_4327_9B70_37A86B6122E6_.wvu.Cols" localSheetId="30" hidden="1">'收入（汇总）'!$D:$N</definedName>
    <definedName name="Z_9E48903F_3CA5_4327_9B70_37A86B6122E6_.wvu.PrintArea" localSheetId="15" hidden="1">'#母公司报表'!$A$1:$P$68</definedName>
    <definedName name="Z_9E48903F_3CA5_4327_9B70_37A86B6122E6_.wvu.Rows" localSheetId="13" hidden="1">'#存货'!$6:$6</definedName>
    <definedName name="Z_9E48903F_3CA5_4327_9B70_37A86B6122E6_.wvu.Rows" localSheetId="17" hidden="1">'#经营利润'!$11:$11,'#经营利润'!$29:$35,'#经营利润'!$25:$35,'#经营利润'!$27:$27,'#经营利润'!$40:$42</definedName>
    <definedName name="Z_9E48903F_3CA5_4327_9B70_37A86B6122E6_.wvu.Rows" localSheetId="18" hidden="1">'#利润建议'!$11:$11,'#利润建议'!$25:$35,'#利润建议'!$27:$35,'#利润建议'!$29:$29,'#利润建议'!$40:$42</definedName>
    <definedName name="Z_9E48903F_3CA5_4327_9B70_37A86B6122E6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A1EBD1BD_83D2_4984_9926_72591A31670C_.wvu.Cols" localSheetId="13" hidden="1">'#存货'!$E:$Y,'#存货'!$AA:$AB,'#存货'!$AF:$AN</definedName>
    <definedName name="Z_A1EBD1BD_83D2_4984_9926_72591A31670C_.wvu.Cols" localSheetId="17" hidden="1">'#经营利润'!$F:$S,'#经营利润'!$X:$AC</definedName>
    <definedName name="Z_A1EBD1BD_83D2_4984_9926_72591A31670C_.wvu.Cols" localSheetId="18" hidden="1">'#利润建议'!$B:$S,'#利润建议'!$Z:$AN</definedName>
    <definedName name="Z_A1EBD1BD_83D2_4984_9926_72591A31670C_.wvu.Cols" localSheetId="15" hidden="1">'#母公司报表'!$D:$I,'#母公司报表'!$P:$P</definedName>
    <definedName name="Z_A1EBD1BD_83D2_4984_9926_72591A31670C_.wvu.Cols" localSheetId="10" hidden="1">'#税金'!$B:$I,'#税金'!$K:$M,'#税金'!$N:$T,'#税金'!$W:$Y</definedName>
    <definedName name="Z_A1EBD1BD_83D2_4984_9926_72591A31670C_.wvu.Cols" localSheetId="12" hidden="1">'#现金流 (新)'!$C:$C,'#现金流 (新)'!$F:$L,'#现金流 (新)'!$O:$Q</definedName>
    <definedName name="Z_A1EBD1BD_83D2_4984_9926_72591A31670C_.wvu.Cols" localSheetId="14" hidden="1">'#销量数据'!$C:$R,'#销量数据'!$W:$AB</definedName>
    <definedName name="Z_A1EBD1BD_83D2_4984_9926_72591A31670C_.wvu.Cols" localSheetId="39" hidden="1">产品质量!$E:$K,产品质量!$N:$P</definedName>
    <definedName name="Z_A1EBD1BD_83D2_4984_9926_72591A31670C_.wvu.Cols" localSheetId="34" hidden="1">'利润（汇总）'!$C:$K,'利润（汇总）'!$N:$P</definedName>
    <definedName name="Z_A1EBD1BD_83D2_4984_9926_72591A31670C_.wvu.Cols" localSheetId="32" hidden="1">'收入（关联）'!$B:$J,'收入（关联）'!$M:$O</definedName>
    <definedName name="Z_A1EBD1BD_83D2_4984_9926_72591A31670C_.wvu.Cols" localSheetId="30" hidden="1">'收入（汇总）'!$C:$K,'收入（汇总）'!$N:$P</definedName>
    <definedName name="Z_A1EBD1BD_83D2_4984_9926_72591A31670C_.wvu.PrintArea" localSheetId="18" hidden="1">'#利润建议'!$A$3:$CA$44</definedName>
    <definedName name="Z_A1EBD1BD_83D2_4984_9926_72591A31670C_.wvu.PrintArea" localSheetId="34" hidden="1">'利润（汇总）'!$B$1:$P$48</definedName>
    <definedName name="Z_A1EBD1BD_83D2_4984_9926_72591A31670C_.wvu.PrintArea" localSheetId="32" hidden="1">'收入（关联）'!$A$1:$O$48</definedName>
    <definedName name="Z_A1EBD1BD_83D2_4984_9926_72591A31670C_.wvu.PrintArea" localSheetId="30" hidden="1">'收入（汇总）'!$B$1:$P$51</definedName>
    <definedName name="Z_A1EBD1BD_83D2_4984_9926_72591A31670C_.wvu.Rows" localSheetId="13" hidden="1">'#存货'!$6:$6,'#存货'!$13:$13,'#存货'!#REF!,'#存货'!$16:$16,'#存货'!#REF!,'#存货'!#REF!,'#存货'!#REF!</definedName>
    <definedName name="Z_A1EBD1BD_83D2_4984_9926_72591A31670C_.wvu.Rows" localSheetId="18" hidden="1">'#利润建议'!#REF!</definedName>
    <definedName name="Z_A1EBD1BD_83D2_4984_9926_72591A31670C_.wvu.Rows" localSheetId="15" hidden="1">'#母公司报表'!$115:$120</definedName>
    <definedName name="Z_A1EBD1BD_83D2_4984_9926_72591A31670C_.wvu.Rows" localSheetId="14" hidden="1">'#销量数据'!$6:$7,'#销量数据'!$27:$28,'#销量数据'!$30:$33,'#销量数据'!$35:$38,'#销量数据'!$41:$44,'#销量数据'!$46:$49,'#销量数据'!$56:$56,'#销量数据'!$61:$62,'#销量数据'!$65:$65,'#销量数据'!#REF!</definedName>
    <definedName name="Z_A1EBD1BD_83D2_4984_9926_72591A31670C_.wvu.Rows" localSheetId="34" hidden="1">'利润（汇总）'!$34:$34</definedName>
    <definedName name="Z_A1EBD1BD_83D2_4984_9926_72591A31670C_.wvu.Rows" localSheetId="32" hidden="1">'收入（关联）'!$35:$35</definedName>
    <definedName name="Z_A1EBD1BD_83D2_4984_9926_72591A31670C_.wvu.Rows" localSheetId="30" hidden="1">'收入（汇总）'!$35:$35</definedName>
    <definedName name="Z_A36C668A_AB27_4C62_BD47_078C0C9CF9DE_.wvu.Cols" localSheetId="13" hidden="1">'#存货'!$E:$G,'#存货'!$I:$J,'#存货'!$L:$M</definedName>
    <definedName name="Z_A36C668A_AB27_4C62_BD47_078C0C9CF9DE_.wvu.Cols" localSheetId="17" hidden="1">'#经营利润'!$D:$K,'#经营利润'!$T:$AC</definedName>
    <definedName name="Z_A36C668A_AB27_4C62_BD47_078C0C9CF9DE_.wvu.Cols" localSheetId="18" hidden="1">'#利润建议'!$B:$J,'#利润建议'!$W:$AN</definedName>
    <definedName name="Z_A36C668A_AB27_4C62_BD47_078C0C9CF9DE_.wvu.Cols" localSheetId="15" hidden="1">'#母公司报表'!$K:$O,'#母公司报表'!$P:$P</definedName>
    <definedName name="Z_A36C668A_AB27_4C62_BD47_078C0C9CF9DE_.wvu.Cols" localSheetId="10" hidden="1">'#税金'!$B:$D,'#税金'!$F:$M,'#税金'!#REF!,'#税金'!$N:$O,'#税金'!$R:$Y</definedName>
    <definedName name="Z_A36C668A_AB27_4C62_BD47_078C0C9CF9DE_.wvu.Cols" localSheetId="12" hidden="1">'#现金流 (新)'!$C:$C,'#现金流 (新)'!$F:$H,'#现金流 (新)'!$K:$Q</definedName>
    <definedName name="Z_A36C668A_AB27_4C62_BD47_078C0C9CF9DE_.wvu.Cols" localSheetId="14" hidden="1">'#销量数据'!$C:$H,'#销量数据'!$O:$AB</definedName>
    <definedName name="Z_A36C668A_AB27_4C62_BD47_078C0C9CF9DE_.wvu.Cols" localSheetId="22" hidden="1">钢铁分析!$C:$E</definedName>
    <definedName name="Z_A36C668A_AB27_4C62_BD47_078C0C9CF9DE_.wvu.Cols" localSheetId="34" hidden="1">'利润（汇总）'!$E:$I</definedName>
    <definedName name="Z_A36C668A_AB27_4C62_BD47_078C0C9CF9DE_.wvu.Cols" localSheetId="32" hidden="1">'收入（关联）'!$D:$H</definedName>
    <definedName name="Z_A36C668A_AB27_4C62_BD47_078C0C9CF9DE_.wvu.Cols" localSheetId="30" hidden="1">'收入（汇总）'!$E:$I</definedName>
    <definedName name="Z_A36C668A_AB27_4C62_BD47_078C0C9CF9DE_.wvu.PrintArea" localSheetId="15" hidden="1">'#母公司报表'!$A$1:$P$68</definedName>
    <definedName name="Z_A36C668A_AB27_4C62_BD47_078C0C9CF9DE_.wvu.Rows" localSheetId="13" hidden="1">'#存货'!$6:$6</definedName>
    <definedName name="Z_A36C668A_AB27_4C62_BD47_078C0C9CF9DE_.wvu.Rows" localSheetId="17" hidden="1">'#经营利润'!#REF!,'#经营利润'!$35:$35,'#经营利润'!$29:$35,'#经营利润'!$27:$42</definedName>
    <definedName name="Z_A36C668A_AB27_4C62_BD47_078C0C9CF9DE_.wvu.Rows" localSheetId="18" hidden="1">'#利润建议'!#REF!,'#利润建议'!$35:$35,'#利润建议'!$25:$35,'#利润建议'!$29:$42</definedName>
    <definedName name="Z_A36C668A_AB27_4C62_BD47_078C0C9CF9DE_.wvu.Rows" localSheetId="15" hidden="1">'#母公司报表'!$115:$120</definedName>
    <definedName name="Z_A66A1C53_6193_4715_B30A_8BF3592350F0_.wvu.Cols" localSheetId="13" hidden="1">'#存货'!$G:$AN</definedName>
    <definedName name="Z_A66A1C53_6193_4715_B30A_8BF3592350F0_.wvu.Cols" localSheetId="5" hidden="1">'@预测#收入利润#'!$J:$K,'@预测#收入利润#'!$R:$S</definedName>
    <definedName name="Z_A66A1C53_6193_4715_B30A_8BF3592350F0_.wvu.PrintArea" localSheetId="17" hidden="1">'#经营利润'!$A$3:$BC$46</definedName>
    <definedName name="Z_A66A1C53_6193_4715_B30A_8BF3592350F0_.wvu.PrintArea" localSheetId="15" hidden="1">'#母公司报表'!$A$1:$P$68</definedName>
    <definedName name="Z_A66A1C53_6193_4715_B30A_8BF3592350F0_.wvu.PrintArea" localSheetId="42" hidden="1">'@产量打印#不锈钢'!$A$3:$K$42</definedName>
    <definedName name="Z_A66A1C53_6193_4715_B30A_8BF3592350F0_.wvu.PrintArea" localSheetId="44" hidden="1">'@产量打印#材'!$A$3:$K$35</definedName>
    <definedName name="Z_A66A1C53_6193_4715_B30A_8BF3592350F0_.wvu.PrintArea" localSheetId="40" hidden="1">'@产量打印#概况'!$A$4:$Q$30</definedName>
    <definedName name="Z_A66A1C53_6193_4715_B30A_8BF3592350F0_.wvu.PrintArea" localSheetId="43" hidden="1">'@产量打印#钢'!$A$3:$K$35</definedName>
    <definedName name="Z_A66A1C53_6193_4715_B30A_8BF3592350F0_.wvu.PrintArea" localSheetId="41" hidden="1">'@产量打印#矿产品'!$A$3:$K$46</definedName>
    <definedName name="Z_A66A1C53_6193_4715_B30A_8BF3592350F0_.wvu.Rows" localSheetId="13" hidden="1">'#存货'!$6:$6</definedName>
    <definedName name="Z_A66A1C53_6193_4715_B30A_8BF3592350F0_.wvu.Rows" localSheetId="17" hidden="1">'#经营利润'!$11:$11</definedName>
    <definedName name="Z_A66A1C53_6193_4715_B30A_8BF3592350F0_.wvu.Rows" localSheetId="4" hidden="1">'@预测#经营利润#'!#REF!,'@预测#经营利润#'!$35:$35,'@预测#经营利润#'!$29:$35,'@预测#经营利润#'!$25:$35,'@预测#经营利润#'!$27:$27,'@预测#经营利润#'!$40:$42</definedName>
    <definedName name="Z_A66A1C53_6193_4715_B30A_8BF3592350F0_.wvu.Rows" localSheetId="3" hidden="1">'@预测#利润建议# '!$11:$11,'@预测#利润建议# '!$21:$21,'@预测#利润建议# '!$18:$24</definedName>
    <definedName name="Z_A69D52C9_A44D_4377_B7CF_CFBC743B5789_.wvu.Cols" localSheetId="13" hidden="1">'#存货'!$E:$S,'#存货'!$U:$V</definedName>
    <definedName name="Z_A69D52C9_A44D_4377_B7CF_CFBC743B5789_.wvu.Cols" localSheetId="17" hidden="1">'#经营利润'!$D:$K,'#经营利润'!$T:$AC</definedName>
    <definedName name="Z_A69D52C9_A44D_4377_B7CF_CFBC743B5789_.wvu.Cols" localSheetId="18" hidden="1">'#利润建议'!$B:$J,'#利润建议'!$W:$AN</definedName>
    <definedName name="Z_A69D52C9_A44D_4377_B7CF_CFBC743B5789_.wvu.Cols" localSheetId="15" hidden="1">'#母公司报表'!$K:$O,'#母公司报表'!$P:$P</definedName>
    <definedName name="Z_A69D52C9_A44D_4377_B7CF_CFBC743B5789_.wvu.Cols" localSheetId="10" hidden="1">'#税金'!$B:$D,'#税金'!$F:$M,'#税金'!#REF!,'#税金'!$N:$O,'#税金'!$R:$Y</definedName>
    <definedName name="Z_A69D52C9_A44D_4377_B7CF_CFBC743B5789_.wvu.Cols" localSheetId="12" hidden="1">'#现金流 (新)'!$C:$C,'#现金流 (新)'!$F:$H,'#现金流 (新)'!$K:$Q</definedName>
    <definedName name="Z_A69D52C9_A44D_4377_B7CF_CFBC743B5789_.wvu.Cols" localSheetId="14" hidden="1">'#销量数据'!$C:$H,'#销量数据'!$O:$AB</definedName>
    <definedName name="Z_A69D52C9_A44D_4377_B7CF_CFBC743B5789_.wvu.Cols" localSheetId="22" hidden="1">钢铁分析!$C:$E</definedName>
    <definedName name="Z_A69D52C9_A44D_4377_B7CF_CFBC743B5789_.wvu.Cols" localSheetId="34" hidden="1">'利润（汇总）'!$E:$I</definedName>
    <definedName name="Z_A69D52C9_A44D_4377_B7CF_CFBC743B5789_.wvu.Cols" localSheetId="32" hidden="1">'收入（关联）'!$D:$H</definedName>
    <definedName name="Z_A69D52C9_A44D_4377_B7CF_CFBC743B5789_.wvu.Cols" localSheetId="30" hidden="1">'收入（汇总）'!$E:$I</definedName>
    <definedName name="Z_A69D52C9_A44D_4377_B7CF_CFBC743B5789_.wvu.PrintArea" localSheetId="15" hidden="1">'#母公司报表'!$A$1:$P$68</definedName>
    <definedName name="Z_A69D52C9_A44D_4377_B7CF_CFBC743B5789_.wvu.Rows" localSheetId="13" hidden="1">'#存货'!$6:$6</definedName>
    <definedName name="Z_A69D52C9_A44D_4377_B7CF_CFBC743B5789_.wvu.Rows" localSheetId="17" hidden="1">'#经营利润'!#REF!,'#经营利润'!$35:$35,'#经营利润'!$29:$35,'#经营利润'!$27:$42</definedName>
    <definedName name="Z_A69D52C9_A44D_4377_B7CF_CFBC743B5789_.wvu.Rows" localSheetId="18" hidden="1">'#利润建议'!#REF!,'#利润建议'!$35:$35,'#利润建议'!$25:$35,'#利润建议'!$29:$42</definedName>
    <definedName name="Z_A69D52C9_A44D_4377_B7CF_CFBC743B5789_.wvu.Rows" localSheetId="15" hidden="1">'#母公司报表'!$115:$120</definedName>
    <definedName name="Z_A8456D60_99BA_4794_8966_0CBA0A37EA6F_.wvu.Cols" localSheetId="20" hidden="1">'#分板块利润分析'!#REF!,'#分板块利润分析'!$Q:$Q,'#分板块利润分析'!$T:$T</definedName>
    <definedName name="Z_A8456D60_99BA_4794_8966_0CBA0A37EA6F_.wvu.Cols" localSheetId="17" hidden="1">'#经营利润'!$H:$AC</definedName>
    <definedName name="Z_A8456D60_99BA_4794_8966_0CBA0A37EA6F_.wvu.Cols" localSheetId="18" hidden="1">'#利润建议'!$H:$AN</definedName>
    <definedName name="Z_A8456D60_99BA_4794_8966_0CBA0A37EA6F_.wvu.Cols" localSheetId="12" hidden="1">'#现金流 (新)'!$G:$Q</definedName>
    <definedName name="Z_A8456D60_99BA_4794_8966_0CBA0A37EA6F_.wvu.Cols" localSheetId="5" hidden="1">'@预测#收入利润#'!$B:$C,'@预测#收入利润#'!$F:$G,'@预测#收入利润#'!$J:$K,'@预测#收入利润#'!$T:$U</definedName>
    <definedName name="Z_A8456D60_99BA_4794_8966_0CBA0A37EA6F_.wvu.PrintArea" localSheetId="17" hidden="1">'#经营利润'!$A$3:$BC$46</definedName>
    <definedName name="Z_A8456D60_99BA_4794_8966_0CBA0A37EA6F_.wvu.PrintArea" localSheetId="15" hidden="1">'#母公司报表'!$A$1:$P$68</definedName>
    <definedName name="Z_A8456D60_99BA_4794_8966_0CBA0A37EA6F_.wvu.PrintArea" localSheetId="42" hidden="1">'@产量打印#不锈钢'!$A$3:$K$42</definedName>
    <definedName name="Z_A8456D60_99BA_4794_8966_0CBA0A37EA6F_.wvu.PrintArea" localSheetId="44" hidden="1">'@产量打印#材'!$A$3:$K$35</definedName>
    <definedName name="Z_A8456D60_99BA_4794_8966_0CBA0A37EA6F_.wvu.PrintArea" localSheetId="40" hidden="1">'@产量打印#概况'!$A$4:$Q$30</definedName>
    <definedName name="Z_A8456D60_99BA_4794_8966_0CBA0A37EA6F_.wvu.PrintArea" localSheetId="43" hidden="1">'@产量打印#钢'!$A$3:$K$35</definedName>
    <definedName name="Z_A8456D60_99BA_4794_8966_0CBA0A37EA6F_.wvu.PrintArea" localSheetId="41" hidden="1">'@产量打印#矿产品'!$A$3:$K$46</definedName>
    <definedName name="Z_A8456D60_99BA_4794_8966_0CBA0A37EA6F_.wvu.Rows" localSheetId="13" hidden="1">'#存货'!$6:$6</definedName>
    <definedName name="Z_A8456D60_99BA_4794_8966_0CBA0A37EA6F_.wvu.Rows" localSheetId="20" hidden="1">'#分板块利润分析'!$70:$72</definedName>
    <definedName name="Z_A8456D60_99BA_4794_8966_0CBA0A37EA6F_.wvu.Rows" localSheetId="17" hidden="1">'#经营利润'!#REF!</definedName>
    <definedName name="Z_A8456D60_99BA_4794_8966_0CBA0A37EA6F_.wvu.Rows" localSheetId="18" hidden="1">'#利润建议'!#REF!</definedName>
    <definedName name="Z_A8456D60_99BA_4794_8966_0CBA0A37EA6F_.wvu.Rows" localSheetId="4" hidden="1">'@预测#经营利润#'!#REF!,'@预测#经营利润#'!$31:$31,'@预测#经营利润#'!$14:$35,'@预测#经营利润#'!$29:$35,'@预测#经营利润#'!$27:$36,'@预测#经营利润#'!$40:$42</definedName>
    <definedName name="Z_A8456D60_99BA_4794_8966_0CBA0A37EA6F_.wvu.Rows" localSheetId="3" hidden="1">'@预测#利润建议# '!#REF!,'@预测#利润建议# '!$20:$20,'@预测#利润建议# '!$15:$22,'@预测#利润建议# '!$18:$30,'@预测#利润建议# '!$32:$35,'@预测#利润建议# '!$38:$42</definedName>
    <definedName name="Z_A8456D60_99BA_4794_8966_0CBA0A37EA6F_.wvu.Rows" localSheetId="5" hidden="1">'@预测#收入利润#'!#REF!</definedName>
    <definedName name="Z_AC7B33B3_2544_44B1_B2EB_192403E7EA01_.wvu.Cols" localSheetId="13" hidden="1">'#存货'!$V:$Y,'#存货'!$AA:$AB,'#存货'!$AD:$AE,'#存货'!$AJ:$AK</definedName>
    <definedName name="Z_AC7B33B3_2544_44B1_B2EB_192403E7EA01_.wvu.Cols" localSheetId="17" hidden="1">'#经营利润'!$D:$Y</definedName>
    <definedName name="Z_AC7B33B3_2544_44B1_B2EB_192403E7EA01_.wvu.Cols" localSheetId="18" hidden="1">'#利润建议'!$B:$AE</definedName>
    <definedName name="Z_AC7B33B3_2544_44B1_B2EB_192403E7EA01_.wvu.Cols" localSheetId="15" hidden="1">'#母公司报表'!$D:$F,'#母公司报表'!$P:$P</definedName>
    <definedName name="Z_AC7B33B3_2544_44B1_B2EB_192403E7EA01_.wvu.Cols" localSheetId="10" hidden="1">'#税金'!$B:$L,'#税金'!#REF!,'#税金'!$N:$W</definedName>
    <definedName name="Z_AC7B33B3_2544_44B1_B2EB_192403E7EA01_.wvu.Cols" localSheetId="12" hidden="1">'#现金流 (新)'!$F:$O</definedName>
    <definedName name="Z_AC7B33B3_2544_44B1_B2EB_192403E7EA01_.wvu.Cols" localSheetId="14" hidden="1">'#销量数据'!$C:$X</definedName>
    <definedName name="Z_AC7B33B3_2544_44B1_B2EB_192403E7EA01_.wvu.Cols" localSheetId="39" hidden="1">产品质量!$D:$K</definedName>
    <definedName name="Z_AC7B33B3_2544_44B1_B2EB_192403E7EA01_.wvu.Cols" localSheetId="34" hidden="1">'利润（汇总）'!$D:$N</definedName>
    <definedName name="Z_AC7B33B3_2544_44B1_B2EB_192403E7EA01_.wvu.Cols" localSheetId="32" hidden="1">'收入（关联）'!$C:$M</definedName>
    <definedName name="Z_AC7B33B3_2544_44B1_B2EB_192403E7EA01_.wvu.Cols" localSheetId="30" hidden="1">'收入（汇总）'!$D:$N</definedName>
    <definedName name="Z_AC7B33B3_2544_44B1_B2EB_192403E7EA01_.wvu.PrintArea" localSheetId="18" hidden="1">'#利润建议'!$A$1:$CA$35</definedName>
    <definedName name="Z_AC7B33B3_2544_44B1_B2EB_192403E7EA01_.wvu.PrintArea" localSheetId="15" hidden="1">'#母公司报表'!$A$1:$P$68</definedName>
    <definedName name="Z_AC7B33B3_2544_44B1_B2EB_192403E7EA01_.wvu.Rows" localSheetId="13" hidden="1">'#存货'!$6:$6,'#存货'!$13:$13,'#存货'!#REF!,'#存货'!$16:$16,'#存货'!#REF!,'#存货'!#REF!,'#存货'!#REF!</definedName>
    <definedName name="Z_AC7B33B3_2544_44B1_B2EB_192403E7EA01_.wvu.Rows" localSheetId="15" hidden="1">'#母公司报表'!$115:$120</definedName>
    <definedName name="Z_AC7B33B3_2544_44B1_B2EB_192403E7EA01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AD901154_CA44_461D_AF16_3CAA4F11EFC7_.wvu.Cols" localSheetId="13" hidden="1">'#存货'!$Q:$AB,'#存货'!$AD:$AE,'#存货'!$AG:$AH</definedName>
    <definedName name="Z_AD901154_CA44_461D_AF16_3CAA4F11EFC7_.wvu.Cols" localSheetId="17" hidden="1">'#经营利润'!$D:$O,'#经营利润'!$X:$Y</definedName>
    <definedName name="Z_AD901154_CA44_461D_AF16_3CAA4F11EFC7_.wvu.Cols" localSheetId="18" hidden="1">'#利润建议'!$B:$AH</definedName>
    <definedName name="Z_AD901154_CA44_461D_AF16_3CAA4F11EFC7_.wvu.Cols" localSheetId="10" hidden="1">'#税金'!$B:$L,'#税金'!#REF!,'#税金'!$N:$V</definedName>
    <definedName name="Z_AD901154_CA44_461D_AF16_3CAA4F11EFC7_.wvu.Cols" localSheetId="12" hidden="1">'#现金流 (新)'!$F:$N</definedName>
    <definedName name="Z_AD901154_CA44_461D_AF16_3CAA4F11EFC7_.wvu.Cols" localSheetId="14" hidden="1">'#销量数据'!$U:$X</definedName>
    <definedName name="Z_AD901154_CA44_461D_AF16_3CAA4F11EFC7_.wvu.Cols" localSheetId="39" hidden="1">产品质量!$E:$M</definedName>
    <definedName name="Z_AD901154_CA44_461D_AF16_3CAA4F11EFC7_.wvu.Cols" localSheetId="34" hidden="1">'利润（汇总）'!$C:$N</definedName>
    <definedName name="Z_AD901154_CA44_461D_AF16_3CAA4F11EFC7_.wvu.Cols" localSheetId="32" hidden="1">'收入（关联）'!$B:$M</definedName>
    <definedName name="Z_AD901154_CA44_461D_AF16_3CAA4F11EFC7_.wvu.Cols" localSheetId="30" hidden="1">'收入（汇总）'!$C:$N</definedName>
    <definedName name="Z_AD901154_CA44_461D_AF16_3CAA4F11EFC7_.wvu.Rows" localSheetId="14" hidden="1">'#销量数据'!$6:$7,'#销量数据'!$26:$28,'#销量数据'!$30:$33,'#销量数据'!$35:$38,'#销量数据'!$41:$44,'#销量数据'!$47:$47,'#销量数据'!$49:$49,'#销量数据'!$56:$59,'#销量数据'!$61:$62</definedName>
    <definedName name="Z_AE0DD889_C13C_4059_8024_0F5B234827E9_.wvu.Cols" localSheetId="13" hidden="1">'#存货'!$E:$M,'#存货'!$O:$P,'#存货'!$T:$AN</definedName>
    <definedName name="Z_AE0DD889_C13C_4059_8024_0F5B234827E9_.wvu.Cols" localSheetId="20" hidden="1">'#分板块利润分析'!$E:$E,'#分板块利润分析'!$AA:$AA</definedName>
    <definedName name="Z_AE0DD889_C13C_4059_8024_0F5B234827E9_.wvu.Cols" localSheetId="17" hidden="1">'#经营利润'!$D:$K,'#经营利润'!$BD:$BE</definedName>
    <definedName name="Z_AE0DD889_C13C_4059_8024_0F5B234827E9_.wvu.Cols" localSheetId="18" hidden="1">'#利润建议'!$B:$M,'#利润建议'!$T:$AN</definedName>
    <definedName name="Z_AE0DD889_C13C_4059_8024_0F5B234827E9_.wvu.Cols" localSheetId="15" hidden="1">'#母公司报表'!$D:$N</definedName>
    <definedName name="Z_AE0DD889_C13C_4059_8024_0F5B234827E9_.wvu.Cols" localSheetId="31" hidden="1">'#收入完成情况'!$I:$I</definedName>
    <definedName name="Z_AE0DD889_C13C_4059_8024_0F5B234827E9_.wvu.Cols" localSheetId="12" hidden="1">'#现金流 (新)'!$F:$H,'#现金流 (新)'!$K:$Q</definedName>
    <definedName name="Z_AE0DD889_C13C_4059_8024_0F5B234827E9_.wvu.Cols" localSheetId="5" hidden="1">'@预测#收入利润#'!$B:$C,'@预测#收入利润#'!$F:$G</definedName>
    <definedName name="Z_AE0DD889_C13C_4059_8024_0F5B234827E9_.wvu.Cols" localSheetId="27" hidden="1">Sheet1!$Z:$AK</definedName>
    <definedName name="Z_AE0DD889_C13C_4059_8024_0F5B234827E9_.wvu.Cols" localSheetId="35" hidden="1">画图!$K:$O</definedName>
    <definedName name="Z_AE0DD889_C13C_4059_8024_0F5B234827E9_.wvu.Cols" localSheetId="34" hidden="1">'利润（汇总）'!$U:$U</definedName>
    <definedName name="Z_AE0DD889_C13C_4059_8024_0F5B234827E9_.wvu.Cols" localSheetId="32" hidden="1">'收入（关联）'!$T:$T</definedName>
    <definedName name="Z_AE0DD889_C13C_4059_8024_0F5B234827E9_.wvu.Cols" localSheetId="30" hidden="1">'收入（汇总）'!$U:$U</definedName>
    <definedName name="Z_AE0DD889_C13C_4059_8024_0F5B234827E9_.wvu.Cols" localSheetId="33" hidden="1">'收入（外部）'!$T:$T</definedName>
    <definedName name="Z_AE0DD889_C13C_4059_8024_0F5B234827E9_.wvu.PrintArea" localSheetId="16" hidden="1">'#经营概况'!$B$322:$O$379</definedName>
    <definedName name="Z_AE0DD889_C13C_4059_8024_0F5B234827E9_.wvu.PrintArea" localSheetId="17" hidden="1">'#经营利润'!$A$3:$BJ$46</definedName>
    <definedName name="Z_AE0DD889_C13C_4059_8024_0F5B234827E9_.wvu.PrintArea" localSheetId="25" hidden="1">'#利润因素分析（ppt）'!$F$2:$M$19</definedName>
    <definedName name="Z_AE0DD889_C13C_4059_8024_0F5B234827E9_.wvu.PrintArea" localSheetId="15" hidden="1">'#母公司报表'!$A$1:$P$68</definedName>
    <definedName name="Z_AE0DD889_C13C_4059_8024_0F5B234827E9_.wvu.PrintArea" localSheetId="42" hidden="1">'@产量打印#不锈钢'!$A$3:$K$42</definedName>
    <definedName name="Z_AE0DD889_C13C_4059_8024_0F5B234827E9_.wvu.PrintArea" localSheetId="44" hidden="1">'@产量打印#材'!$A$3:$K$35</definedName>
    <definedName name="Z_AE0DD889_C13C_4059_8024_0F5B234827E9_.wvu.PrintArea" localSheetId="40" hidden="1">'@产量打印#概况'!$A$4:$Q$30</definedName>
    <definedName name="Z_AE0DD889_C13C_4059_8024_0F5B234827E9_.wvu.PrintArea" localSheetId="43" hidden="1">'@产量打印#钢'!$A$3:$K$35</definedName>
    <definedName name="Z_AE0DD889_C13C_4059_8024_0F5B234827E9_.wvu.PrintArea" localSheetId="41" hidden="1">'@产量打印#矿产品'!$A$3:$K$46</definedName>
    <definedName name="Z_AE0DD889_C13C_4059_8024_0F5B234827E9_.wvu.PrintArea" localSheetId="0" hidden="1">'@预测#概况#'!$B$173:$O$196</definedName>
    <definedName name="Z_AE0DD889_C13C_4059_8024_0F5B234827E9_.wvu.PrintArea" localSheetId="6" hidden="1">'@预测#股份关联价（打印）'!$B$3:$K$22</definedName>
    <definedName name="Z_AE0DD889_C13C_4059_8024_0F5B234827E9_.wvu.PrintArea" localSheetId="27" hidden="1">Sheet1!$A$3:$AN$11</definedName>
    <definedName name="Z_AE0DD889_C13C_4059_8024_0F5B234827E9_.wvu.PrintArea" localSheetId="33" hidden="1">'收入（外部）'!$A$1:$AB$42</definedName>
    <definedName name="Z_AE0DD889_C13C_4059_8024_0F5B234827E9_.wvu.Rows" localSheetId="13" hidden="1">'#存货'!$6:$6</definedName>
    <definedName name="Z_AE0DD889_C13C_4059_8024_0F5B234827E9_.wvu.Rows" localSheetId="20" hidden="1">'#分板块利润分析'!$70:$72</definedName>
    <definedName name="Z_AE0DD889_C13C_4059_8024_0F5B234827E9_.wvu.Rows" localSheetId="16" hidden="1">'#经营概况'!$91:$92,'#经营概况'!$98:$99,'#经营概况'!$244:$244</definedName>
    <definedName name="Z_AE0DD889_C13C_4059_8024_0F5B234827E9_.wvu.Rows" localSheetId="18" hidden="1">'#利润建议'!$17:$22,'#利润建议'!$25:$27,'#利润建议'!$29:$42,'#利润建议'!$65:$88</definedName>
    <definedName name="Z_AE0DD889_C13C_4059_8024_0F5B234827E9_.wvu.Rows" localSheetId="11" hidden="1">'#子分公司分析'!$4:$5,'#子分公司分析'!$7:$7</definedName>
    <definedName name="Z_AE0DD889_C13C_4059_8024_0F5B234827E9_.wvu.Rows" localSheetId="3" hidden="1">'@预测#利润建议# '!$18:$21,'@预测#利润建议# '!$23:$42</definedName>
    <definedName name="Z_AE83F625_D219_4CDE_A893_447A9C531056_.wvu.Cols" localSheetId="13" hidden="1">'#存货'!$E:$G,'#存货'!$I:$J,'#存货'!$L:$M</definedName>
    <definedName name="Z_AE83F625_D219_4CDE_A893_447A9C531056_.wvu.Cols" localSheetId="17" hidden="1">'#经营利润'!$D:$G,'#经营利润'!$N:$AC</definedName>
    <definedName name="Z_AE83F625_D219_4CDE_A893_447A9C531056_.wvu.Cols" localSheetId="18" hidden="1">'#利润建议'!$B:$G,'#利润建议'!$Q:$AN</definedName>
    <definedName name="Z_AE83F625_D219_4CDE_A893_447A9C531056_.wvu.Cols" localSheetId="15" hidden="1">'#母公司报表'!$H:$O,'#母公司报表'!$P:$P</definedName>
    <definedName name="Z_AE83F625_D219_4CDE_A893_447A9C531056_.wvu.Cols" localSheetId="10" hidden="1">'#税金'!$B:$D,'#税金'!$F:$M,'#税金'!#REF!,'#税金'!$N:$O,'#税金'!$R:$Y</definedName>
    <definedName name="Z_AE83F625_D219_4CDE_A893_447A9C531056_.wvu.Cols" localSheetId="12" hidden="1">'#现金流 (新)'!$C:$C,'#现金流 (新)'!$F:$G,'#现金流 (新)'!$J:$Q</definedName>
    <definedName name="Z_AE83F625_D219_4CDE_A893_447A9C531056_.wvu.Cols" localSheetId="14" hidden="1">'#销量数据'!$C:$H,'#销量数据'!$M:$AB</definedName>
    <definedName name="Z_AE83F625_D219_4CDE_A893_447A9C531056_.wvu.Cols" localSheetId="22" hidden="1">钢铁分析!$C:$E</definedName>
    <definedName name="Z_AE83F625_D219_4CDE_A893_447A9C531056_.wvu.Cols" localSheetId="34" hidden="1">'利润（汇总）'!$D:$D,'利润（汇总）'!$I:$P</definedName>
    <definedName name="Z_AE83F625_D219_4CDE_A893_447A9C531056_.wvu.Cols" localSheetId="32" hidden="1">'收入（关联）'!$C:$C,'收入（关联）'!$H:$O</definedName>
    <definedName name="Z_AE83F625_D219_4CDE_A893_447A9C531056_.wvu.Cols" localSheetId="30" hidden="1">'收入（汇总）'!$D:$D,'收入（汇总）'!$I:$P</definedName>
    <definedName name="Z_AE83F625_D219_4CDE_A893_447A9C531056_.wvu.PrintArea" localSheetId="15" hidden="1">'#母公司报表'!$A$1:$P$68</definedName>
    <definedName name="Z_AE83F625_D219_4CDE_A893_447A9C531056_.wvu.Rows" localSheetId="13" hidden="1">'#存货'!$6:$6</definedName>
    <definedName name="Z_AE83F625_D219_4CDE_A893_447A9C531056_.wvu.Rows" localSheetId="17" hidden="1">'#经营利润'!$11:$11,'#经营利润'!$35:$35,'#经营利润'!$30:$30,'#经营利润'!$32:$42</definedName>
    <definedName name="Z_AE83F625_D219_4CDE_A893_447A9C531056_.wvu.Rows" localSheetId="15" hidden="1">'#母公司报表'!$115:$120</definedName>
    <definedName name="Z_AE83F625_D219_4CDE_A893_447A9C531056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AE9C586E_4CF9_4695_9F77_95F59D2E4F78_.wvu.Cols" localSheetId="13" hidden="1">'#存货'!$E:$G,'#存货'!$I:$J,'#存货'!$L:$M</definedName>
    <definedName name="Z_AE9C586E_4CF9_4695_9F77_95F59D2E4F78_.wvu.Cols" localSheetId="17" hidden="1">'#经营利润'!$D:$G,'#经营利润'!$N:$AC</definedName>
    <definedName name="Z_AE9C586E_4CF9_4695_9F77_95F59D2E4F78_.wvu.Cols" localSheetId="18" hidden="1">'#利润建议'!$B:$G,'#利润建议'!$Q:$AN</definedName>
    <definedName name="Z_AE9C586E_4CF9_4695_9F77_95F59D2E4F78_.wvu.Cols" localSheetId="15" hidden="1">'#母公司报表'!$H:$O,'#母公司报表'!$P:$P</definedName>
    <definedName name="Z_AE9C586E_4CF9_4695_9F77_95F59D2E4F78_.wvu.Cols" localSheetId="10" hidden="1">'#税金'!$B:$D,'#税金'!$F:$M,'#税金'!#REF!,'#税金'!$N:$O,'#税金'!$R:$Y</definedName>
    <definedName name="Z_AE9C586E_4CF9_4695_9F77_95F59D2E4F78_.wvu.Cols" localSheetId="12" hidden="1">'#现金流 (新)'!$C:$C,'#现金流 (新)'!$F:$F,'#现金流 (新)'!$I:$Q</definedName>
    <definedName name="Z_AE9C586E_4CF9_4695_9F77_95F59D2E4F78_.wvu.Cols" localSheetId="14" hidden="1">'#销量数据'!$C:$H,'#销量数据'!$M:$AB</definedName>
    <definedName name="Z_AE9C586E_4CF9_4695_9F77_95F59D2E4F78_.wvu.Cols" localSheetId="22" hidden="1">钢铁分析!$C:$E</definedName>
    <definedName name="Z_AE9C586E_4CF9_4695_9F77_95F59D2E4F78_.wvu.Cols" localSheetId="34" hidden="1">'利润（汇总）'!$D:$D,'利润（汇总）'!$I:$P</definedName>
    <definedName name="Z_AE9C586E_4CF9_4695_9F77_95F59D2E4F78_.wvu.Cols" localSheetId="32" hidden="1">'收入（关联）'!$C:$C,'收入（关联）'!$H:$O</definedName>
    <definedName name="Z_AE9C586E_4CF9_4695_9F77_95F59D2E4F78_.wvu.Cols" localSheetId="30" hidden="1">'收入（汇总）'!$D:$D,'收入（汇总）'!$I:$P</definedName>
    <definedName name="Z_AE9C586E_4CF9_4695_9F77_95F59D2E4F78_.wvu.PrintArea" localSheetId="15" hidden="1">'#母公司报表'!$A$1:$P$68</definedName>
    <definedName name="Z_AE9C586E_4CF9_4695_9F77_95F59D2E4F78_.wvu.Rows" localSheetId="13" hidden="1">'#存货'!$6:$6</definedName>
    <definedName name="Z_AE9C586E_4CF9_4695_9F77_95F59D2E4F78_.wvu.Rows" localSheetId="17" hidden="1">'#经营利润'!$11:$11,'#经营利润'!$35:$35,'#经营利润'!$30:$30,'#经营利润'!$32:$42</definedName>
    <definedName name="Z_AE9C586E_4CF9_4695_9F77_95F59D2E4F78_.wvu.Rows" localSheetId="15" hidden="1">'#母公司报表'!$115:$120</definedName>
    <definedName name="Z_AE9C586E_4CF9_4695_9F77_95F59D2E4F78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B05E9AC3_0F46_4D9D_8846_081F6221EAE5_.wvu.Cols" localSheetId="13" hidden="1">'#存货'!$G:$AN</definedName>
    <definedName name="Z_B05E9AC3_0F46_4D9D_8846_081F6221EAE5_.wvu.Cols" localSheetId="5" hidden="1">'@预测#收入利润#'!$J:$K,'@预测#收入利润#'!$R:$S</definedName>
    <definedName name="Z_B05E9AC3_0F46_4D9D_8846_081F6221EAE5_.wvu.PrintArea" localSheetId="17" hidden="1">'#经营利润'!$A$3:$BC$46</definedName>
    <definedName name="Z_B05E9AC3_0F46_4D9D_8846_081F6221EAE5_.wvu.PrintArea" localSheetId="15" hidden="1">'#母公司报表'!$A$1:$P$68</definedName>
    <definedName name="Z_B05E9AC3_0F46_4D9D_8846_081F6221EAE5_.wvu.PrintArea" localSheetId="42" hidden="1">'@产量打印#不锈钢'!$A$3:$K$42</definedName>
    <definedName name="Z_B05E9AC3_0F46_4D9D_8846_081F6221EAE5_.wvu.PrintArea" localSheetId="44" hidden="1">'@产量打印#材'!$A$3:$K$35</definedName>
    <definedName name="Z_B05E9AC3_0F46_4D9D_8846_081F6221EAE5_.wvu.PrintArea" localSheetId="40" hidden="1">'@产量打印#概况'!$A$4:$Q$30</definedName>
    <definedName name="Z_B05E9AC3_0F46_4D9D_8846_081F6221EAE5_.wvu.PrintArea" localSheetId="43" hidden="1">'@产量打印#钢'!$A$3:$K$35</definedName>
    <definedName name="Z_B05E9AC3_0F46_4D9D_8846_081F6221EAE5_.wvu.PrintArea" localSheetId="41" hidden="1">'@产量打印#矿产品'!$A$3:$K$46</definedName>
    <definedName name="Z_B05E9AC3_0F46_4D9D_8846_081F6221EAE5_.wvu.Rows" localSheetId="13" hidden="1">'#存货'!$6:$6</definedName>
    <definedName name="Z_B05E9AC3_0F46_4D9D_8846_081F6221EAE5_.wvu.Rows" localSheetId="17" hidden="1">'#经营利润'!$11:$11</definedName>
    <definedName name="Z_B05E9AC3_0F46_4D9D_8846_081F6221EAE5_.wvu.Rows" localSheetId="4" hidden="1">'@预测#经营利润#'!#REF!,'@预测#经营利润#'!$35:$35,'@预测#经营利润#'!$29:$35,'@预测#经营利润#'!$25:$35,'@预测#经营利润#'!$27:$27,'@预测#经营利润#'!$40:$42</definedName>
    <definedName name="Z_B05E9AC3_0F46_4D9D_8846_081F6221EAE5_.wvu.Rows" localSheetId="3" hidden="1">'@预测#利润建议# '!$11:$11,'@预测#利润建议# '!$21:$21,'@预测#利润建议# '!$18:$24</definedName>
    <definedName name="Z_B081DDF0_6E98_4757_8C08_C170775BC8A9_.wvu.Cols" localSheetId="13" hidden="1">'#存货'!$E:$V,'#存货'!$X:$Y</definedName>
    <definedName name="Z_B081DDF0_6E98_4757_8C08_C170775BC8A9_.wvu.Cols" localSheetId="17" hidden="1">'#经营利润'!$D:$Q,'#经营利润'!$V:$AC</definedName>
    <definedName name="Z_B081DDF0_6E98_4757_8C08_C170775BC8A9_.wvu.Cols" localSheetId="18" hidden="1">'#利润建议'!$B:$V,'#利润建议'!$AC:$AN</definedName>
    <definedName name="Z_B081DDF0_6E98_4757_8C08_C170775BC8A9_.wvu.Cols" localSheetId="15" hidden="1">'#母公司报表'!$L:$O,'#母公司报表'!$P:$P</definedName>
    <definedName name="Z_B081DDF0_6E98_4757_8C08_C170775BC8A9_.wvu.Cols" localSheetId="10" hidden="1">'#税金'!$B:$H,'#税金'!$J:$M,'#税金'!#REF!,'#税金'!$N:$S,'#税金'!$V:$Y</definedName>
    <definedName name="Z_B081DDF0_6E98_4757_8C08_C170775BC8A9_.wvu.Cols" localSheetId="12" hidden="1">'#现金流 (新)'!$C:$C,'#现金流 (新)'!$F:$K,'#现金流 (新)'!$N:$Q</definedName>
    <definedName name="Z_B081DDF0_6E98_4757_8C08_C170775BC8A9_.wvu.Cols" localSheetId="14" hidden="1">'#销量数据'!$C:$P,'#销量数据'!$U:$AB</definedName>
    <definedName name="Z_B081DDF0_6E98_4757_8C08_C170775BC8A9_.wvu.Cols" localSheetId="22" hidden="1">钢铁分析!$C:$E</definedName>
    <definedName name="Z_B081DDF0_6E98_4757_8C08_C170775BC8A9_.wvu.Cols" localSheetId="34" hidden="1">'利润（汇总）'!$M:$P</definedName>
    <definedName name="Z_B081DDF0_6E98_4757_8C08_C170775BC8A9_.wvu.Cols" localSheetId="32" hidden="1">'收入（关联）'!$L:$O</definedName>
    <definedName name="Z_B081DDF0_6E98_4757_8C08_C170775BC8A9_.wvu.Cols" localSheetId="30" hidden="1">'收入（汇总）'!$M:$P</definedName>
    <definedName name="Z_B081DDF0_6E98_4757_8C08_C170775BC8A9_.wvu.PrintArea" localSheetId="15" hidden="1">'#母公司报表'!$A$1:$P$68</definedName>
    <definedName name="Z_B081DDF0_6E98_4757_8C08_C170775BC8A9_.wvu.Rows" localSheetId="13" hidden="1">'#存货'!$6:$6</definedName>
    <definedName name="Z_B081DDF0_6E98_4757_8C08_C170775BC8A9_.wvu.Rows" localSheetId="17" hidden="1">'#经营利润'!$11:$11,'#经营利润'!$35:$35,'#经营利润'!$29:$35,'#经营利润'!$27:$27,'#经营利润'!$40:$42</definedName>
    <definedName name="Z_B081DDF0_6E98_4757_8C08_C170775BC8A9_.wvu.Rows" localSheetId="18" hidden="1">'#利润建议'!$11:$11,'#利润建议'!$35:$35,'#利润建议'!$25:$35,'#利润建议'!$29:$29,'#利润建议'!$40:$42</definedName>
    <definedName name="Z_B081DDF0_6E98_4757_8C08_C170775BC8A9_.wvu.Rows" localSheetId="15" hidden="1">'#母公司报表'!$115:$120</definedName>
    <definedName name="Z_B081DDF0_6E98_4757_8C08_C170775BC8A9_.wvu.Rows" localSheetId="14" hidden="1">'#销量数据'!$6:$7,'#销量数据'!$27:$28,'#销量数据'!$61:$62,'#销量数据'!$65:$65,'#销量数据'!#REF!</definedName>
    <definedName name="Z_B2FD925D_A2C6_4D05_96CD_82EB75420B17_.wvu.Cols" localSheetId="13" hidden="1">'#存货'!$E:$Y,'#存货'!$AA:$AB</definedName>
    <definedName name="Z_B2FD925D_A2C6_4D05_96CD_82EB75420B17_.wvu.Cols" localSheetId="17" hidden="1">'#经营利润'!$D:$S,'#经营利润'!$X:$AC</definedName>
    <definedName name="Z_B2FD925D_A2C6_4D05_96CD_82EB75420B17_.wvu.Cols" localSheetId="18" hidden="1">'#利润建议'!$B:$Y,'#利润建议'!$AF:$AN</definedName>
    <definedName name="Z_B2FD925D_A2C6_4D05_96CD_82EB75420B17_.wvu.Cols" localSheetId="15" hidden="1">'#母公司报表'!$P:$P</definedName>
    <definedName name="Z_B2FD925D_A2C6_4D05_96CD_82EB75420B17_.wvu.Cols" localSheetId="10" hidden="1">'#税金'!$B:$J,'#税金'!$L:$M,'#税金'!#REF!,'#税金'!$N:$U,'#税金'!$X:$Y</definedName>
    <definedName name="Z_B2FD925D_A2C6_4D05_96CD_82EB75420B17_.wvu.Cols" localSheetId="12" hidden="1">'#现金流 (新)'!$C:$C,'#现金流 (新)'!$F:$L,'#现金流 (新)'!$O:$Q</definedName>
    <definedName name="Z_B2FD925D_A2C6_4D05_96CD_82EB75420B17_.wvu.Cols" localSheetId="14" hidden="1">'#销量数据'!$C:$V</definedName>
    <definedName name="Z_B2FD925D_A2C6_4D05_96CD_82EB75420B17_.wvu.Cols" localSheetId="22" hidden="1">钢铁分析!$C:$E</definedName>
    <definedName name="Z_B2FD925D_A2C6_4D05_96CD_82EB75420B17_.wvu.Cols" localSheetId="34" hidden="1">'利润（汇总）'!$D:$L</definedName>
    <definedName name="Z_B2FD925D_A2C6_4D05_96CD_82EB75420B17_.wvu.Cols" localSheetId="32" hidden="1">'收入（关联）'!$C:$K</definedName>
    <definedName name="Z_B2FD925D_A2C6_4D05_96CD_82EB75420B17_.wvu.Cols" localSheetId="30" hidden="1">'收入（汇总）'!$D:$L</definedName>
    <definedName name="Z_B2FD925D_A2C6_4D05_96CD_82EB75420B17_.wvu.PrintArea" localSheetId="15" hidden="1">'#母公司报表'!$A$1:$P$68</definedName>
    <definedName name="Z_B2FD925D_A2C6_4D05_96CD_82EB75420B17_.wvu.Rows" localSheetId="13" hidden="1">'#存货'!$6:$6</definedName>
    <definedName name="Z_B2FD925D_A2C6_4D05_96CD_82EB75420B17_.wvu.Rows" localSheetId="17" hidden="1">'#经营利润'!$11:$11,'#经营利润'!$35:$35,'#经营利润'!$29:$35,'#经营利润'!$40:$42</definedName>
    <definedName name="Z_B2FD925D_A2C6_4D05_96CD_82EB75420B17_.wvu.Rows" localSheetId="18" hidden="1">'#利润建议'!$11:$11,'#利润建议'!$35:$35,'#利润建议'!$25:$35,'#利润建议'!$40:$42</definedName>
    <definedName name="Z_B2FD925D_A2C6_4D05_96CD_82EB75420B17_.wvu.Rows" localSheetId="15" hidden="1">'#母公司报表'!$115:$120</definedName>
    <definedName name="Z_B2FD925D_A2C6_4D05_96CD_82EB75420B17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B327504A_4D7C_416F_A40D_4035B3322323_.wvu.Cols" localSheetId="13" hidden="1">'#存货'!$E:$AE,'#存货'!$AG:$AH</definedName>
    <definedName name="Z_B327504A_4D7C_416F_A40D_4035B3322323_.wvu.Cols" localSheetId="17" hidden="1">'#经营利润'!$D:$W</definedName>
    <definedName name="Z_B327504A_4D7C_416F_A40D_4035B3322323_.wvu.Cols" localSheetId="18" hidden="1">'#利润建议'!$B:$S,'#利润建议'!$AL:$AN</definedName>
    <definedName name="Z_B327504A_4D7C_416F_A40D_4035B3322323_.wvu.Cols" localSheetId="15" hidden="1">'#母公司报表'!$P:$P</definedName>
    <definedName name="Z_B327504A_4D7C_416F_A40D_4035B3322323_.wvu.Cols" localSheetId="10" hidden="1">'#税金'!$B:$K,'#税金'!$M:$M,'#税金'!#REF!,'#税金'!$N:$V,'#税金'!$Y:$Y</definedName>
    <definedName name="Z_B327504A_4D7C_416F_A40D_4035B3322323_.wvu.Cols" localSheetId="12" hidden="1">'#现金流 (新)'!$C:$C,'#现金流 (新)'!$F:$N,'#现金流 (新)'!$Q:$Q</definedName>
    <definedName name="Z_B327504A_4D7C_416F_A40D_4035B3322323_.wvu.Cols" localSheetId="14" hidden="1">'#销量数据'!$C:$V</definedName>
    <definedName name="Z_B327504A_4D7C_416F_A40D_4035B3322323_.wvu.Cols" localSheetId="22" hidden="1">钢铁分析!$C:$E</definedName>
    <definedName name="Z_B327504A_4D7C_416F_A40D_4035B3322323_.wvu.Cols" localSheetId="34" hidden="1">'利润（汇总）'!$D:$L</definedName>
    <definedName name="Z_B327504A_4D7C_416F_A40D_4035B3322323_.wvu.Cols" localSheetId="32" hidden="1">'收入（关联）'!$C:$K</definedName>
    <definedName name="Z_B327504A_4D7C_416F_A40D_4035B3322323_.wvu.Cols" localSheetId="30" hidden="1">'收入（汇总）'!$D:$L</definedName>
    <definedName name="Z_B327504A_4D7C_416F_A40D_4035B3322323_.wvu.PrintArea" localSheetId="15" hidden="1">'#母公司报表'!$A$1:$P$68</definedName>
    <definedName name="Z_B327504A_4D7C_416F_A40D_4035B3322323_.wvu.Rows" localSheetId="13" hidden="1">'#存货'!$6:$6</definedName>
    <definedName name="Z_B37168A1_DBAB_4BDE_9F92_6261DCDF3D92_.wvu.Cols" localSheetId="13" hidden="1">'#存货'!$E:$S,'#存货'!$U:$V</definedName>
    <definedName name="Z_B37168A1_DBAB_4BDE_9F92_6261DCDF3D92_.wvu.Cols" localSheetId="20" hidden="1">'#分板块利润分析'!$E:$E,'#分板块利润分析'!$AA:$AA</definedName>
    <definedName name="Z_B37168A1_DBAB_4BDE_9F92_6261DCDF3D92_.wvu.Cols" localSheetId="17" hidden="1">'#经营利润'!$D:$O,'#经营利润'!$T:$AC,'#经营利润'!$BD:$BE</definedName>
    <definedName name="Z_B37168A1_DBAB_4BDE_9F92_6261DCDF3D92_.wvu.Cols" localSheetId="18" hidden="1">'#利润建议'!$B:$S,'#利润建议'!$Z:$AN</definedName>
    <definedName name="Z_B37168A1_DBAB_4BDE_9F92_6261DCDF3D92_.wvu.Cols" localSheetId="31" hidden="1">'#收入完成情况'!$D:$D,'#收入完成情况'!$I:$I,'#收入完成情况'!$M:$M</definedName>
    <definedName name="Z_B37168A1_DBAB_4BDE_9F92_6261DCDF3D92_.wvu.Cols" localSheetId="12" hidden="1">'#现金流 (新)'!$C:$C,'#现金流 (新)'!$F:$Q</definedName>
    <definedName name="Z_B37168A1_DBAB_4BDE_9F92_6261DCDF3D92_.wvu.Cols" localSheetId="11" hidden="1">'#子分公司分析'!$D:$E</definedName>
    <definedName name="Z_B37168A1_DBAB_4BDE_9F92_6261DCDF3D92_.wvu.Cols" localSheetId="5" hidden="1">'@预测#收入利润#'!$B:$D,'@预测#收入利润#'!$F:$G,'@预测#收入利润#'!$P:$P,'@预测#收入利润#'!$T:$V</definedName>
    <definedName name="Z_B37168A1_DBAB_4BDE_9F92_6261DCDF3D92_.wvu.Cols" localSheetId="27" hidden="1">Sheet1!$T:$AK</definedName>
    <definedName name="Z_B37168A1_DBAB_4BDE_9F92_6261DCDF3D92_.wvu.Cols" localSheetId="35" hidden="1">画图!$O:$O</definedName>
    <definedName name="Z_B37168A1_DBAB_4BDE_9F92_6261DCDF3D92_.wvu.Cols" localSheetId="30" hidden="1">'收入（汇总）'!$D:$D</definedName>
    <definedName name="Z_B37168A1_DBAB_4BDE_9F92_6261DCDF3D92_.wvu.Cols" localSheetId="33" hidden="1">'收入（外部）'!$C:$AA</definedName>
    <definedName name="Z_B37168A1_DBAB_4BDE_9F92_6261DCDF3D92_.wvu.PrintArea" localSheetId="17" hidden="1">'#经营利润'!$A$3:$BJ$50</definedName>
    <definedName name="Z_B37168A1_DBAB_4BDE_9F92_6261DCDF3D92_.wvu.PrintArea" localSheetId="18" hidden="1">'#利润建议'!$A$3:$CD$42</definedName>
    <definedName name="Z_B37168A1_DBAB_4BDE_9F92_6261DCDF3D92_.wvu.PrintArea" localSheetId="25" hidden="1">'#利润因素分析（ppt）'!$F$2:$M$21</definedName>
    <definedName name="Z_B37168A1_DBAB_4BDE_9F92_6261DCDF3D92_.wvu.PrintArea" localSheetId="15" hidden="1">'#母公司报表'!$A$1:$P$68</definedName>
    <definedName name="Z_B37168A1_DBAB_4BDE_9F92_6261DCDF3D92_.wvu.PrintArea" localSheetId="31" hidden="1">'#收入完成情况'!$B$3:$Q$44</definedName>
    <definedName name="Z_B37168A1_DBAB_4BDE_9F92_6261DCDF3D92_.wvu.PrintArea" localSheetId="11" hidden="1">'#子分公司分析'!$C$3:$L$37</definedName>
    <definedName name="Z_B37168A1_DBAB_4BDE_9F92_6261DCDF3D92_.wvu.PrintArea" localSheetId="42" hidden="1">'@产量打印#不锈钢'!$A$3:$K$42</definedName>
    <definedName name="Z_B37168A1_DBAB_4BDE_9F92_6261DCDF3D92_.wvu.PrintArea" localSheetId="44" hidden="1">'@产量打印#材'!$A$3:$K$35</definedName>
    <definedName name="Z_B37168A1_DBAB_4BDE_9F92_6261DCDF3D92_.wvu.PrintArea" localSheetId="40" hidden="1">'@产量打印#概况'!$A$4:$Q$30</definedName>
    <definedName name="Z_B37168A1_DBAB_4BDE_9F92_6261DCDF3D92_.wvu.PrintArea" localSheetId="43" hidden="1">'@产量打印#钢'!$A$3:$K$35</definedName>
    <definedName name="Z_B37168A1_DBAB_4BDE_9F92_6261DCDF3D92_.wvu.PrintArea" localSheetId="41" hidden="1">'@产量打印#矿产品'!$A$3:$K$46</definedName>
    <definedName name="Z_B37168A1_DBAB_4BDE_9F92_6261DCDF3D92_.wvu.PrintArea" localSheetId="0" hidden="1">'@预测#概况#'!$B$173:$O$196</definedName>
    <definedName name="Z_B37168A1_DBAB_4BDE_9F92_6261DCDF3D92_.wvu.PrintArea" localSheetId="6" hidden="1">'@预测#股份关联价（打印）'!$B$3:$K$22</definedName>
    <definedName name="Z_B37168A1_DBAB_4BDE_9F92_6261DCDF3D92_.wvu.PrintArea" localSheetId="27" hidden="1">Sheet1!$A$3:$AN$11</definedName>
    <definedName name="Z_B37168A1_DBAB_4BDE_9F92_6261DCDF3D92_.wvu.PrintArea" localSheetId="33" hidden="1">'收入（外部）'!$A$1:$AB$42</definedName>
    <definedName name="Z_B37168A1_DBAB_4BDE_9F92_6261DCDF3D92_.wvu.Rows" localSheetId="13" hidden="1">'#存货'!$6:$6</definedName>
    <definedName name="Z_B37168A1_DBAB_4BDE_9F92_6261DCDF3D92_.wvu.Rows" localSheetId="20" hidden="1">'#分板块利润分析'!$66:$66,'#分板块利润分析'!$70:$72</definedName>
    <definedName name="Z_B37168A1_DBAB_4BDE_9F92_6261DCDF3D92_.wvu.Rows" localSheetId="16" hidden="1">'#经营概况'!$98:$99,'#经营概况'!$179:$180</definedName>
    <definedName name="Z_B37168A1_DBAB_4BDE_9F92_6261DCDF3D92_.wvu.Rows" localSheetId="17" hidden="1">'#经营利润'!$18:$22,'#经营利润'!$25:$42</definedName>
    <definedName name="Z_B37168A1_DBAB_4BDE_9F92_6261DCDF3D92_.wvu.Rows" localSheetId="18" hidden="1">'#利润建议'!$18:$22,'#利润建议'!$25:$42</definedName>
    <definedName name="Z_B37168A1_DBAB_4BDE_9F92_6261DCDF3D92_.wvu.Rows" localSheetId="11" hidden="1">'#子分公司分析'!$4:$5,'#子分公司分析'!$14:$15,'#子分公司分析'!#REF!</definedName>
    <definedName name="Z_B37168A1_DBAB_4BDE_9F92_6261DCDF3D92_.wvu.Rows" localSheetId="0" hidden="1">'@预测#概况#'!$109:$110</definedName>
    <definedName name="Z_B37168A1_DBAB_4BDE_9F92_6261DCDF3D92_.wvu.Rows" localSheetId="3" hidden="1">'@预测#利润建议# '!$18:$21,'@预测#利润建议# '!$23:$42</definedName>
    <definedName name="Z_B37168A1_DBAB_4BDE_9F92_6261DCDF3D92_.wvu.Rows" localSheetId="5" hidden="1">'@预测#收入利润#'!#REF!</definedName>
    <definedName name="Z_B3942CB1_BE2C_4AAF_8612_E06FFF682DA5_.wvu.Cols" localSheetId="13" hidden="1">'#存货'!$F:$F,'#存货'!$I:$J,'#存货'!$L:$M,'#存货'!$O:$P,'#存货'!$R:$S,'#存货'!$W:$AN</definedName>
    <definedName name="Z_B3942CB1_BE2C_4AAF_8612_E06FFF682DA5_.wvu.Cols" localSheetId="17" hidden="1">'#经营利润'!$D:$K,'#经营利润'!$R:$AC</definedName>
    <definedName name="Z_B3942CB1_BE2C_4AAF_8612_E06FFF682DA5_.wvu.Cols" localSheetId="18" hidden="1">'#利润建议'!$B:$P,'#利润建议'!$W:$AN</definedName>
    <definedName name="Z_B3942CB1_BE2C_4AAF_8612_E06FFF682DA5_.wvu.Cols" localSheetId="10" hidden="1">'#税金'!$B:$F,'#税金'!$H:$M,'#税金'!#REF!,'#税金'!$N:$Q,'#税金'!$T:$Y</definedName>
    <definedName name="Z_B3942CB1_BE2C_4AAF_8612_E06FFF682DA5_.wvu.Cols" localSheetId="12" hidden="1">'#现金流 (新)'!$C:$C,'#现金流 (新)'!$F:$I,'#现金流 (新)'!$L:$Q</definedName>
    <definedName name="Z_B3942CB1_BE2C_4AAF_8612_E06FFF682DA5_.wvu.Cols" localSheetId="14" hidden="1">'#销量数据'!$C:$H,'#销量数据'!$K:$L,'#销量数据'!$Q:$AB</definedName>
    <definedName name="Z_B3942CB1_BE2C_4AAF_8612_E06FFF682DA5_.wvu.Cols" localSheetId="34" hidden="1">'利润（汇总）'!$C:$G,'利润（汇总）'!$K:$P</definedName>
    <definedName name="Z_B3942CB1_BE2C_4AAF_8612_E06FFF682DA5_.wvu.Cols" localSheetId="32" hidden="1">'收入（关联）'!$B:$F,'收入（关联）'!$J:$O</definedName>
    <definedName name="Z_B3942CB1_BE2C_4AAF_8612_E06FFF682DA5_.wvu.Cols" localSheetId="30" hidden="1">'收入（汇总）'!$C:$G,'收入（汇总）'!$K:$P</definedName>
    <definedName name="Z_B3942CB1_BE2C_4AAF_8612_E06FFF682DA5_.wvu.PrintArea" localSheetId="34" hidden="1">'利润（汇总）'!$B$1:$P$48</definedName>
    <definedName name="Z_B3942CB1_BE2C_4AAF_8612_E06FFF682DA5_.wvu.PrintArea" localSheetId="32" hidden="1">'收入（关联）'!$A$1:$O$48</definedName>
    <definedName name="Z_B3942CB1_BE2C_4AAF_8612_E06FFF682DA5_.wvu.PrintArea" localSheetId="30" hidden="1">'收入（汇总）'!$B$1:$P$51</definedName>
    <definedName name="Z_B3942CB1_BE2C_4AAF_8612_E06FFF682DA5_.wvu.Rows" localSheetId="14" hidden="1">'#销量数据'!$6:$6,'#销量数据'!$26:$28,'#销量数据'!$30:$33,'#销量数据'!$35:$38,'#销量数据'!$41:$44,'#销量数据'!$46:$49,'#销量数据'!$56:$56,'#销量数据'!$61:$62,'#销量数据'!$65:$65</definedName>
    <definedName name="Z_BAB02A6C_320D_434C_BBB8_DE344F5B36B3_.wvu.Cols" localSheetId="13" hidden="1">'#存货'!$E:$Y,'#存货'!$AA:$AB</definedName>
    <definedName name="Z_BAB02A6C_320D_434C_BBB8_DE344F5B36B3_.wvu.Cols" localSheetId="17" hidden="1">'#经营利润'!$D:$U,'#经营利润'!$Z:$AC</definedName>
    <definedName name="Z_BAB02A6C_320D_434C_BBB8_DE344F5B36B3_.wvu.Cols" localSheetId="18" hidden="1">'#利润建议'!$AF:$AN</definedName>
    <definedName name="Z_BAB02A6C_320D_434C_BBB8_DE344F5B36B3_.wvu.Cols" localSheetId="15" hidden="1">'#母公司报表'!$P:$P</definedName>
    <definedName name="Z_BAB02A6C_320D_434C_BBB8_DE344F5B36B3_.wvu.Cols" localSheetId="10" hidden="1">'#税金'!$B:$J,'#税金'!$L:$M,'#税金'!#REF!,'#税金'!$N:$U,'#税金'!$X:$Y</definedName>
    <definedName name="Z_BAB02A6C_320D_434C_BBB8_DE344F5B36B3_.wvu.Cols" localSheetId="12" hidden="1">'#现金流 (新)'!$C:$C,'#现金流 (新)'!$F:$L,'#现金流 (新)'!$O:$Q</definedName>
    <definedName name="Z_BAB02A6C_320D_434C_BBB8_DE344F5B36B3_.wvu.Cols" localSheetId="14" hidden="1">'#销量数据'!$C:$T,'#销量数据'!$Y:$AB</definedName>
    <definedName name="Z_BAB02A6C_320D_434C_BBB8_DE344F5B36B3_.wvu.Cols" localSheetId="22" hidden="1">钢铁分析!$C:$E</definedName>
    <definedName name="Z_BAB02A6C_320D_434C_BBB8_DE344F5B36B3_.wvu.Cols" localSheetId="34" hidden="1">'利润（汇总）'!$D:$L</definedName>
    <definedName name="Z_BAB02A6C_320D_434C_BBB8_DE344F5B36B3_.wvu.Cols" localSheetId="32" hidden="1">'收入（关联）'!$C:$K</definedName>
    <definedName name="Z_BAB02A6C_320D_434C_BBB8_DE344F5B36B3_.wvu.Cols" localSheetId="30" hidden="1">'收入（汇总）'!$D:$L</definedName>
    <definedName name="Z_BAB02A6C_320D_434C_BBB8_DE344F5B36B3_.wvu.PrintArea" localSheetId="15" hidden="1">'#母公司报表'!$A$1:$P$68</definedName>
    <definedName name="Z_BAB02A6C_320D_434C_BBB8_DE344F5B36B3_.wvu.Rows" localSheetId="13" hidden="1">'#存货'!$6:$6</definedName>
    <definedName name="Z_BAB02A6C_320D_434C_BBB8_DE344F5B36B3_.wvu.Rows" localSheetId="17" hidden="1">'#经营利润'!$11:$11,'#经营利润'!$35:$35,'#经营利润'!$29:$35,'#经营利润'!$40:$42</definedName>
    <definedName name="Z_BAB02A6C_320D_434C_BBB8_DE344F5B36B3_.wvu.Rows" localSheetId="18" hidden="1">'#利润建议'!$11:$11,'#利润建议'!$35:$35,'#利润建议'!$25:$35,'#利润建议'!$40:$42</definedName>
    <definedName name="Z_BAB02A6C_320D_434C_BBB8_DE344F5B36B3_.wvu.Rows" localSheetId="15" hidden="1">'#母公司报表'!$115:$120</definedName>
    <definedName name="Z_BAB02A6C_320D_434C_BBB8_DE344F5B36B3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BCBF0FD1_7FC8_4057_9BF3_FAC7817F43D5_.wvu.Cols" localSheetId="13" hidden="1">'#存货'!$E:$AE,'#存货'!$AG:$AH</definedName>
    <definedName name="Z_BCBF0FD1_7FC8_4057_9BF3_FAC7817F43D5_.wvu.Cols" localSheetId="17" hidden="1">'#经营利润'!$D:$W,'#经营利润'!$AB:$AC</definedName>
    <definedName name="Z_BCBF0FD1_7FC8_4057_9BF3_FAC7817F43D5_.wvu.Cols" localSheetId="18" hidden="1">'#利润建议'!$B:$S,'#利润建议'!$AL:$AN</definedName>
    <definedName name="Z_BCBF0FD1_7FC8_4057_9BF3_FAC7817F43D5_.wvu.Cols" localSheetId="15" hidden="1">'#母公司报表'!$P:$P</definedName>
    <definedName name="Z_BCBF0FD1_7FC8_4057_9BF3_FAC7817F43D5_.wvu.Cols" localSheetId="10" hidden="1">'#税金'!$B:$L,'#税金'!#REF!,'#税金'!$N:$W</definedName>
    <definedName name="Z_BCBF0FD1_7FC8_4057_9BF3_FAC7817F43D5_.wvu.Cols" localSheetId="12" hidden="1">'#现金流 (新)'!$C:$C,'#现金流 (新)'!$F:$O</definedName>
    <definedName name="Z_BCBF0FD1_7FC8_4057_9BF3_FAC7817F43D5_.wvu.Cols" localSheetId="14" hidden="1">'#销量数据'!$C:$V</definedName>
    <definedName name="Z_BCBF0FD1_7FC8_4057_9BF3_FAC7817F43D5_.wvu.Cols" localSheetId="22" hidden="1">钢铁分析!$C:$E</definedName>
    <definedName name="Z_BCBF0FD1_7FC8_4057_9BF3_FAC7817F43D5_.wvu.Cols" localSheetId="34" hidden="1">'利润（汇总）'!$D:$L</definedName>
    <definedName name="Z_BCBF0FD1_7FC8_4057_9BF3_FAC7817F43D5_.wvu.Cols" localSheetId="32" hidden="1">'收入（关联）'!$C:$K</definedName>
    <definedName name="Z_BCBF0FD1_7FC8_4057_9BF3_FAC7817F43D5_.wvu.Cols" localSheetId="30" hidden="1">'收入（汇总）'!$D:$L</definedName>
    <definedName name="Z_BCBF0FD1_7FC8_4057_9BF3_FAC7817F43D5_.wvu.PrintArea" localSheetId="15" hidden="1">'#母公司报表'!$A$1:$P$68</definedName>
    <definedName name="Z_BCBF0FD1_7FC8_4057_9BF3_FAC7817F43D5_.wvu.Rows" localSheetId="13" hidden="1">'#存货'!$6:$6</definedName>
    <definedName name="Z_BCBF0FD1_7FC8_4057_9BF3_FAC7817F43D5_.wvu.Rows" localSheetId="17" hidden="1">'#经营利润'!$11:$11,'#经营利润'!$35:$35,'#经营利润'!$29:$35,'#经营利润'!$40:$42</definedName>
    <definedName name="Z_C048319A_7305_4A91_857C_138F89C3CB02_.wvu.Cols" localSheetId="13" hidden="1">'#存货'!$E:$G,'#存货'!$I:$J,'#存货'!$L:$M</definedName>
    <definedName name="Z_C048319A_7305_4A91_857C_138F89C3CB02_.wvu.Cols" localSheetId="17" hidden="1">'#经营利润'!$D:$K,'#经营利润'!$R:$AC</definedName>
    <definedName name="Z_C048319A_7305_4A91_857C_138F89C3CB02_.wvu.Cols" localSheetId="18" hidden="1">'#利润建议'!$B:$J,'#利润建议'!$W:$AN</definedName>
    <definedName name="Z_C048319A_7305_4A91_857C_138F89C3CB02_.wvu.Cols" localSheetId="15" hidden="1">'#母公司报表'!$J:$O,'#母公司报表'!$P:$P</definedName>
    <definedName name="Z_C048319A_7305_4A91_857C_138F89C3CB02_.wvu.Cols" localSheetId="10" hidden="1">'#税金'!$B:$D,'#税金'!$F:$M,'#税金'!#REF!,'#税金'!$N:$O,'#税金'!$R:$Y</definedName>
    <definedName name="Z_C048319A_7305_4A91_857C_138F89C3CB02_.wvu.Cols" localSheetId="12" hidden="1">'#现金流 (新)'!$C:$C,'#现金流 (新)'!$F:$H,'#现金流 (新)'!$K:$Q</definedName>
    <definedName name="Z_C048319A_7305_4A91_857C_138F89C3CB02_.wvu.Cols" localSheetId="14" hidden="1">'#销量数据'!$C:$H,'#销量数据'!$O:$AB</definedName>
    <definedName name="Z_C048319A_7305_4A91_857C_138F89C3CB02_.wvu.Cols" localSheetId="22" hidden="1">钢铁分析!$C:$E</definedName>
    <definedName name="Z_C048319A_7305_4A91_857C_138F89C3CB02_.wvu.PrintArea" localSheetId="15" hidden="1">'#母公司报表'!$A$1:$P$68</definedName>
    <definedName name="Z_C048319A_7305_4A91_857C_138F89C3CB02_.wvu.Rows" localSheetId="13" hidden="1">'#存货'!$6:$6</definedName>
    <definedName name="Z_C048319A_7305_4A91_857C_138F89C3CB02_.wvu.Rows" localSheetId="17" hidden="1">'#经营利润'!#REF!,'#经营利润'!$35:$35,'#经营利润'!$29:$35,'#经营利润'!$27:$42</definedName>
    <definedName name="Z_C048319A_7305_4A91_857C_138F89C3CB02_.wvu.Rows" localSheetId="18" hidden="1">'#利润建议'!#REF!,'#利润建议'!$35:$35,'#利润建议'!$25:$35,'#利润建议'!$29:$42</definedName>
    <definedName name="Z_C048319A_7305_4A91_857C_138F89C3CB02_.wvu.Rows" localSheetId="15" hidden="1">'#母公司报表'!$115:$120</definedName>
    <definedName name="Z_C1BA65EB_507A_4143_A3AD_76AEC6E740D6_.wvu.Cols" localSheetId="34" hidden="1">'利润（汇总）'!$C:$C,'利润（汇总）'!#REF!</definedName>
    <definedName name="Z_C1BA65EB_507A_4143_A3AD_76AEC6E740D6_.wvu.Cols" localSheetId="32" hidden="1">'收入（关联）'!$B:$B,'收入（关联）'!#REF!</definedName>
    <definedName name="Z_C1BA65EB_507A_4143_A3AD_76AEC6E740D6_.wvu.Cols" localSheetId="30" hidden="1">'收入（汇总）'!$C:$C,'收入（汇总）'!#REF!</definedName>
    <definedName name="Z_C1C08B07_A6B3_40BB_B741_BA6FA9EACAD9_.wvu.Cols" localSheetId="13" hidden="1">'#存货'!$V:$Y,'#存货'!$AA:$AB,'#存货'!$AD:$AE,'#存货'!$AJ:$AK</definedName>
    <definedName name="Z_C1C08B07_A6B3_40BB_B741_BA6FA9EACAD9_.wvu.Cols" localSheetId="17" hidden="1">'#经营利润'!$D:$Y</definedName>
    <definedName name="Z_C1C08B07_A6B3_40BB_B741_BA6FA9EACAD9_.wvu.Cols" localSheetId="18" hidden="1">'#利润建议'!$B:$AE</definedName>
    <definedName name="Z_C1C08B07_A6B3_40BB_B741_BA6FA9EACAD9_.wvu.Cols" localSheetId="15" hidden="1">'#母公司报表'!$P:$P</definedName>
    <definedName name="Z_C1C08B07_A6B3_40BB_B741_BA6FA9EACAD9_.wvu.Cols" localSheetId="10" hidden="1">'#税金'!$C:$L,'#税金'!$O:$Y</definedName>
    <definedName name="Z_C1C08B07_A6B3_40BB_B741_BA6FA9EACAD9_.wvu.Cols" localSheetId="12" hidden="1">'#现金流 (新)'!$G:$Q</definedName>
    <definedName name="Z_C1C08B07_A6B3_40BB_B741_BA6FA9EACAD9_.wvu.Cols" localSheetId="39" hidden="1">产品质量!$D:$K</definedName>
    <definedName name="Z_C1C08B07_A6B3_40BB_B741_BA6FA9EACAD9_.wvu.Cols" localSheetId="34" hidden="1">'利润（汇总）'!$D:$M</definedName>
    <definedName name="Z_C1C08B07_A6B3_40BB_B741_BA6FA9EACAD9_.wvu.Cols" localSheetId="32" hidden="1">'收入（关联）'!$C:$L</definedName>
    <definedName name="Z_C1C08B07_A6B3_40BB_B741_BA6FA9EACAD9_.wvu.Cols" localSheetId="30" hidden="1">'收入（汇总）'!$D:$M</definedName>
    <definedName name="Z_C1C08B07_A6B3_40BB_B741_BA6FA9EACAD9_.wvu.PrintArea" localSheetId="18" hidden="1">'#利润建议'!$A$1:$CA$35</definedName>
    <definedName name="Z_C1C08B07_A6B3_40BB_B741_BA6FA9EACAD9_.wvu.PrintArea" localSheetId="15" hidden="1">'#母公司报表'!$A$1:$P$68</definedName>
    <definedName name="Z_C1C08B07_A6B3_40BB_B741_BA6FA9EACAD9_.wvu.Rows" localSheetId="13" hidden="1">'#存货'!$6:$6,'#存货'!$13:$13,'#存货'!#REF!,'#存货'!$16:$16,'#存货'!#REF!,'#存货'!#REF!,'#存货'!#REF!</definedName>
    <definedName name="Z_C1C08B07_A6B3_40BB_B741_BA6FA9EACAD9_.wvu.Rows" localSheetId="15" hidden="1">'#母公司报表'!$115:$120</definedName>
    <definedName name="Z_C1C08B07_A6B3_40BB_B741_BA6FA9EACAD9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C1EEA299_60FE_441C_B281_1005064086B7_.wvu.Cols" localSheetId="13" hidden="1">'#存货'!$AF:$AN</definedName>
    <definedName name="Z_C1EEA299_60FE_441C_B281_1005064086B7_.wvu.Cols" localSheetId="17" hidden="1">'#经营利润'!$D:$O,'#经营利润'!$X:$AC</definedName>
    <definedName name="Z_C1EEA299_60FE_441C_B281_1005064086B7_.wvu.Cols" localSheetId="18" hidden="1">'#利润建议'!$B:$Y,'#利润建议'!$AF:$AN</definedName>
    <definedName name="Z_C1EEA299_60FE_441C_B281_1005064086B7_.wvu.Cols" localSheetId="15" hidden="1">'#母公司报表'!$D:$J,'#母公司报表'!$M:$O</definedName>
    <definedName name="Z_C1EEA299_60FE_441C_B281_1005064086B7_.wvu.Cols" localSheetId="10" hidden="1">'#税金'!$B:$H,'#税金'!$J:$M,'#税金'!#REF!,'#税金'!$N:$S,'#税金'!$V:$Y</definedName>
    <definedName name="Z_C1EEA299_60FE_441C_B281_1005064086B7_.wvu.Cols" localSheetId="12" hidden="1">'#现金流 (新)'!$F:$K,'#现金流 (新)'!$N:$Q</definedName>
    <definedName name="Z_C1EEA299_60FE_441C_B281_1005064086B7_.wvu.Cols" localSheetId="14" hidden="1">'#销量数据'!$W:$AB</definedName>
    <definedName name="Z_C1EEA299_60FE_441C_B281_1005064086B7_.wvu.Cols" localSheetId="39" hidden="1">产品质量!$E:$M</definedName>
    <definedName name="Z_C1EEA299_60FE_441C_B281_1005064086B7_.wvu.Cols" localSheetId="34" hidden="1">'利润（汇总）'!$C:$K,'利润（汇总）'!$N:$P</definedName>
    <definedName name="Z_C1EEA299_60FE_441C_B281_1005064086B7_.wvu.Cols" localSheetId="32" hidden="1">'收入（关联）'!$B:$J,'收入（关联）'!$M:$O</definedName>
    <definedName name="Z_C1EEA299_60FE_441C_B281_1005064086B7_.wvu.Cols" localSheetId="30" hidden="1">'收入（汇总）'!$C:$K,'收入（汇总）'!$N:$P</definedName>
    <definedName name="Z_C1EEA299_60FE_441C_B281_1005064086B7_.wvu.PrintArea" localSheetId="18" hidden="1">'#利润建议'!$A$1:$CA$44</definedName>
    <definedName name="Z_C1EEA299_60FE_441C_B281_1005064086B7_.wvu.Rows" localSheetId="18" hidden="1">'#利润建议'!$11:$11,'#利润建议'!#REF!</definedName>
    <definedName name="Z_C1EEA299_60FE_441C_B281_1005064086B7_.wvu.Rows" localSheetId="15" hidden="1">'#母公司报表'!$115:$120</definedName>
    <definedName name="Z_C1EEA299_60FE_441C_B281_1005064086B7_.wvu.Rows" localSheetId="14" hidden="1">'#销量数据'!$6:$6,'#销量数据'!$27:$28,'#销量数据'!$30:$33,'#销量数据'!$41:$44,'#销量数据'!$46:$49,'#销量数据'!$56:$59,'#销量数据'!$61:$62,'#销量数据'!$65:$65,'#销量数据'!#REF!</definedName>
    <definedName name="Z_C331A0BF_7D63_43B2_881C_EACBDCEBD3DD_.wvu.Cols" localSheetId="13" hidden="1">'#存货'!$V:$Y,'#存货'!$AA:$AB,'#存货'!$AD:$AE</definedName>
    <definedName name="Z_C331A0BF_7D63_43B2_881C_EACBDCEBD3DD_.wvu.Cols" localSheetId="17" hidden="1">'#经营利润'!$D:$U,'#经营利润'!$AB:$AC</definedName>
    <definedName name="Z_C331A0BF_7D63_43B2_881C_EACBDCEBD3DD_.wvu.Cols" localSheetId="18" hidden="1">'#利润建议'!$B:$AE,'#利润建议'!$AL:$AN</definedName>
    <definedName name="Z_C331A0BF_7D63_43B2_881C_EACBDCEBD3DD_.wvu.Cols" localSheetId="15" hidden="1">'#母公司报表'!$D:$F,'#母公司报表'!$P:$P</definedName>
    <definedName name="Z_C331A0BF_7D63_43B2_881C_EACBDCEBD3DD_.wvu.Cols" localSheetId="10" hidden="1">'#税金'!$B:$L,'#税金'!#REF!,'#税金'!$N:$W</definedName>
    <definedName name="Z_C331A0BF_7D63_43B2_881C_EACBDCEBD3DD_.wvu.Cols" localSheetId="12" hidden="1">'#现金流 (新)'!$F:$M,'#现金流 (新)'!$Q:$Q</definedName>
    <definedName name="Z_C331A0BF_7D63_43B2_881C_EACBDCEBD3DD_.wvu.Cols" localSheetId="14" hidden="1">'#销量数据'!$O:$T</definedName>
    <definedName name="Z_C331A0BF_7D63_43B2_881C_EACBDCEBD3DD_.wvu.Cols" localSheetId="39" hidden="1">产品质量!$D:$K</definedName>
    <definedName name="Z_C331A0BF_7D63_43B2_881C_EACBDCEBD3DD_.wvu.Cols" localSheetId="34" hidden="1">'利润（汇总）'!$C:$M,'利润（汇总）'!$P:$P</definedName>
    <definedName name="Z_C331A0BF_7D63_43B2_881C_EACBDCEBD3DD_.wvu.Cols" localSheetId="32" hidden="1">'收入（关联）'!$B:$L,'收入（关联）'!$O:$O</definedName>
    <definedName name="Z_C331A0BF_7D63_43B2_881C_EACBDCEBD3DD_.wvu.Cols" localSheetId="30" hidden="1">'收入（汇总）'!$C:$M,'收入（汇总）'!$P:$P</definedName>
    <definedName name="Z_C331A0BF_7D63_43B2_881C_EACBDCEBD3DD_.wvu.PrintArea" localSheetId="18" hidden="1">'#利润建议'!$A$1:$CA$35</definedName>
    <definedName name="Z_C331A0BF_7D63_43B2_881C_EACBDCEBD3DD_.wvu.PrintArea" localSheetId="15" hidden="1">'#母公司报表'!$A$1:$P$68</definedName>
    <definedName name="Z_C331A0BF_7D63_43B2_881C_EACBDCEBD3DD_.wvu.Rows" localSheetId="13" hidden="1">'#存货'!$6:$6,'#存货'!$13:$13,'#存货'!#REF!,'#存货'!$16:$16,'#存货'!#REF!,'#存货'!#REF!,'#存货'!#REF!</definedName>
    <definedName name="Z_C331A0BF_7D63_43B2_881C_EACBDCEBD3DD_.wvu.Rows" localSheetId="15" hidden="1">'#母公司报表'!$115:$120</definedName>
    <definedName name="Z_C331A0BF_7D63_43B2_881C_EACBDCEBD3DD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C3D13AE2_040B_45C3_A663_3B18DF5882FE_.wvu.Cols" localSheetId="13" hidden="1">'#存货'!$V:$Y,'#存货'!$AA:$AB,'#存货'!$AD:$AE</definedName>
    <definedName name="Z_C3D13AE2_040B_45C3_A663_3B18DF5882FE_.wvu.Cols" localSheetId="17" hidden="1">'#经营利润'!$D:$U,'#经营利润'!$AB:$AC</definedName>
    <definedName name="Z_C3D13AE2_040B_45C3_A663_3B18DF5882FE_.wvu.Cols" localSheetId="18" hidden="1">'#利润建议'!$B:$AE</definedName>
    <definedName name="Z_C3D13AE2_040B_45C3_A663_3B18DF5882FE_.wvu.Cols" localSheetId="15" hidden="1">'#母公司报表'!$D:$F,'#母公司报表'!$P:$P</definedName>
    <definedName name="Z_C3D13AE2_040B_45C3_A663_3B18DF5882FE_.wvu.Cols" localSheetId="10" hidden="1">'#税金'!$B:$K,'#税金'!$M:$M,'#税金'!#REF!,'#税金'!$N:$V,'#税金'!$Y:$Y</definedName>
    <definedName name="Z_C3D13AE2_040B_45C3_A663_3B18DF5882FE_.wvu.Cols" localSheetId="12" hidden="1">'#现金流 (新)'!$F:$M,'#现金流 (新)'!$Q:$Q</definedName>
    <definedName name="Z_C3D13AE2_040B_45C3_A663_3B18DF5882FE_.wvu.Cols" localSheetId="14" hidden="1">'#销量数据'!$O:$T</definedName>
    <definedName name="Z_C3D13AE2_040B_45C3_A663_3B18DF5882FE_.wvu.Cols" localSheetId="39" hidden="1">产品质量!$D:$K</definedName>
    <definedName name="Z_C3D13AE2_040B_45C3_A663_3B18DF5882FE_.wvu.Cols" localSheetId="34" hidden="1">'利润（汇总）'!$C:$M,'利润（汇总）'!$P:$P</definedName>
    <definedName name="Z_C3D13AE2_040B_45C3_A663_3B18DF5882FE_.wvu.Cols" localSheetId="32" hidden="1">'收入（关联）'!$B:$L,'收入（关联）'!$O:$O</definedName>
    <definedName name="Z_C3D13AE2_040B_45C3_A663_3B18DF5882FE_.wvu.Cols" localSheetId="30" hidden="1">'收入（汇总）'!$C:$M,'收入（汇总）'!$P:$P</definedName>
    <definedName name="Z_C3D13AE2_040B_45C3_A663_3B18DF5882FE_.wvu.PrintArea" localSheetId="18" hidden="1">'#利润建议'!$A$1:$CA$35</definedName>
    <definedName name="Z_C3D13AE2_040B_45C3_A663_3B18DF5882FE_.wvu.PrintArea" localSheetId="15" hidden="1">'#母公司报表'!$A$1:$P$68</definedName>
    <definedName name="Z_C3D13AE2_040B_45C3_A663_3B18DF5882FE_.wvu.Rows" localSheetId="13" hidden="1">'#存货'!$6:$6,'#存货'!$13:$13,'#存货'!#REF!,'#存货'!$16:$16,'#存货'!#REF!,'#存货'!#REF!,'#存货'!#REF!</definedName>
    <definedName name="Z_C3D13AE2_040B_45C3_A663_3B18DF5882FE_.wvu.Rows" localSheetId="15" hidden="1">'#母公司报表'!$115:$120</definedName>
    <definedName name="Z_C3D13AE2_040B_45C3_A663_3B18DF5882FE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C52D0F53_4D1D_4D01_B833_260359FD02A5_.wvu.Cols" localSheetId="26" hidden="1">'#采购&amp;股份关联'!$D:$S</definedName>
    <definedName name="Z_C52D0F53_4D1D_4D01_B833_260359FD02A5_.wvu.Cols" localSheetId="13" hidden="1">'#存货'!$E:$J,'#存货'!$L:$M,'#存货'!$Q:$AN</definedName>
    <definedName name="Z_C52D0F53_4D1D_4D01_B833_260359FD02A5_.wvu.Cols" localSheetId="20" hidden="1">'#分板块利润分析'!$E:$E,'#分板块利润分析'!$AA:$AA</definedName>
    <definedName name="Z_C52D0F53_4D1D_4D01_B833_260359FD02A5_.wvu.Cols" localSheetId="17" hidden="1">'#经营利润'!$D:$I,'#经营利润'!$N:$AC,'#经营利润'!$BD:$BE</definedName>
    <definedName name="Z_C52D0F53_4D1D_4D01_B833_260359FD02A5_.wvu.Cols" localSheetId="18" hidden="1">'#利润建议'!$B:$J,'#利润建议'!$Q:$AN</definedName>
    <definedName name="Z_C52D0F53_4D1D_4D01_B833_260359FD02A5_.wvu.Cols" localSheetId="31" hidden="1">'#收入完成情况'!$E:$E,'#收入完成情况'!$I:$I,'#收入完成情况'!$M:$M</definedName>
    <definedName name="Z_C52D0F53_4D1D_4D01_B833_260359FD02A5_.wvu.Cols" localSheetId="12" hidden="1">'#现金流 (新)'!$C:$C,'#现金流 (新)'!$F:$G,'#现金流 (新)'!$J:$Q</definedName>
    <definedName name="Z_C52D0F53_4D1D_4D01_B833_260359FD02A5_.wvu.Cols" localSheetId="5" hidden="1">'@预测#收入利润#'!$B:$D,'@预测#收入利润#'!$F:$G,'@预测#收入利润#'!$P:$P,'@预测#收入利润#'!$T:$V</definedName>
    <definedName name="Z_C52D0F53_4D1D_4D01_B833_260359FD02A5_.wvu.Cols" localSheetId="27" hidden="1">Sheet1!$T:$AK</definedName>
    <definedName name="Z_C52D0F53_4D1D_4D01_B833_260359FD02A5_.wvu.Cols" localSheetId="35" hidden="1">画图!$O:$O</definedName>
    <definedName name="Z_C52D0F53_4D1D_4D01_B833_260359FD02A5_.wvu.Cols" localSheetId="30" hidden="1">'收入（汇总）'!$D:$D</definedName>
    <definedName name="Z_C52D0F53_4D1D_4D01_B833_260359FD02A5_.wvu.PrintArea" localSheetId="16" hidden="1">'#经营概况'!$B$322:$O$379</definedName>
    <definedName name="Z_C52D0F53_4D1D_4D01_B833_260359FD02A5_.wvu.PrintArea" localSheetId="17" hidden="1">'#经营利润'!$A$3:$BJ$43</definedName>
    <definedName name="Z_C52D0F53_4D1D_4D01_B833_260359FD02A5_.wvu.PrintArea" localSheetId="18" hidden="1">'#利润建议'!$A$3:$CD$42</definedName>
    <definedName name="Z_C52D0F53_4D1D_4D01_B833_260359FD02A5_.wvu.PrintArea" localSheetId="25" hidden="1">'#利润因素分析（ppt）'!$F$2:$M$21</definedName>
    <definedName name="Z_C52D0F53_4D1D_4D01_B833_260359FD02A5_.wvu.PrintArea" localSheetId="15" hidden="1">'#母公司报表'!$A$1:$P$68</definedName>
    <definedName name="Z_C52D0F53_4D1D_4D01_B833_260359FD02A5_.wvu.PrintArea" localSheetId="31" hidden="1">'#收入完成情况'!$B$3:$Q$44</definedName>
    <definedName name="Z_C52D0F53_4D1D_4D01_B833_260359FD02A5_.wvu.PrintArea" localSheetId="11" hidden="1">'#子分公司分析'!$C$3:$L$37</definedName>
    <definedName name="Z_C52D0F53_4D1D_4D01_B833_260359FD02A5_.wvu.PrintArea" localSheetId="42" hidden="1">'@产量打印#不锈钢'!$A$3:$K$42</definedName>
    <definedName name="Z_C52D0F53_4D1D_4D01_B833_260359FD02A5_.wvu.PrintArea" localSheetId="44" hidden="1">'@产量打印#材'!$A$3:$K$35</definedName>
    <definedName name="Z_C52D0F53_4D1D_4D01_B833_260359FD02A5_.wvu.PrintArea" localSheetId="40" hidden="1">'@产量打印#概况'!$A$4:$V$30</definedName>
    <definedName name="Z_C52D0F53_4D1D_4D01_B833_260359FD02A5_.wvu.PrintArea" localSheetId="43" hidden="1">'@产量打印#钢'!$A$3:$K$35</definedName>
    <definedName name="Z_C52D0F53_4D1D_4D01_B833_260359FD02A5_.wvu.PrintArea" localSheetId="41" hidden="1">'@产量打印#矿产品'!$A$3:$K$46</definedName>
    <definedName name="Z_C52D0F53_4D1D_4D01_B833_260359FD02A5_.wvu.PrintArea" localSheetId="0" hidden="1">'@预测#概况#'!$B$173:$O$196</definedName>
    <definedName name="Z_C52D0F53_4D1D_4D01_B833_260359FD02A5_.wvu.PrintArea" localSheetId="6" hidden="1">'@预测#股份关联价（打印）'!$B$3:$K$22</definedName>
    <definedName name="Z_C52D0F53_4D1D_4D01_B833_260359FD02A5_.wvu.PrintArea" localSheetId="27" hidden="1">Sheet1!$A$3:$AN$11</definedName>
    <definedName name="Z_C52D0F53_4D1D_4D01_B833_260359FD02A5_.wvu.PrintArea" localSheetId="33" hidden="1">'收入（外部）'!$A$1:$AB$42</definedName>
    <definedName name="Z_C52D0F53_4D1D_4D01_B833_260359FD02A5_.wvu.Rows" localSheetId="13" hidden="1">'#存货'!$6:$6</definedName>
    <definedName name="Z_C52D0F53_4D1D_4D01_B833_260359FD02A5_.wvu.Rows" localSheetId="20" hidden="1">'#分板块利润分析'!$66:$66,'#分板块利润分析'!$70:$72</definedName>
    <definedName name="Z_C52D0F53_4D1D_4D01_B833_260359FD02A5_.wvu.Rows" localSheetId="16" hidden="1">'#经营概况'!$91:$92,'#经营概况'!$98:$99,'#经营概况'!$179:$179,'#经营概况'!$244:$244</definedName>
    <definedName name="Z_C52D0F53_4D1D_4D01_B833_260359FD02A5_.wvu.Rows" localSheetId="18" hidden="1">'#利润建议'!$10:$11,'#利润建议'!$17:$22,'#利润建议'!$25:$27,'#利润建议'!$29:$42</definedName>
    <definedName name="Z_C52D0F53_4D1D_4D01_B833_260359FD02A5_.wvu.Rows" localSheetId="11" hidden="1">'#子分公司分析'!$4:$5</definedName>
    <definedName name="Z_C52D0F53_4D1D_4D01_B833_260359FD02A5_.wvu.Rows" localSheetId="44" hidden="1">'@产量打印#材'!$33:$33</definedName>
    <definedName name="Z_C52D0F53_4D1D_4D01_B833_260359FD02A5_.wvu.Rows" localSheetId="0" hidden="1">'@预测#概况#'!$109:$110</definedName>
    <definedName name="Z_C52D0F53_4D1D_4D01_B833_260359FD02A5_.wvu.Rows" localSheetId="3" hidden="1">'@预测#利润建议# '!$18:$21,'@预测#利润建议# '!$23:$42</definedName>
    <definedName name="Z_C5D58FFD_76E3_4239_99E3_907A083C71DC_.wvu.Cols" localSheetId="13" hidden="1">'#存货'!$E:$P,'#存货'!$R:$S,'#存货'!$W:$AN</definedName>
    <definedName name="Z_C5D58FFD_76E3_4239_99E3_907A083C71DC_.wvu.Cols" localSheetId="17" hidden="1">'#经营利润'!$D:$K,'#经营利润'!$R:$AC</definedName>
    <definedName name="Z_C5D58FFD_76E3_4239_99E3_907A083C71DC_.wvu.Cols" localSheetId="18" hidden="1">'#利润建议'!$B:$P,'#利润建议'!$W:$AN</definedName>
    <definedName name="Z_C5D58FFD_76E3_4239_99E3_907A083C71DC_.wvu.Cols" localSheetId="15" hidden="1">'#母公司报表'!$J:$O,'#母公司报表'!$P:$P</definedName>
    <definedName name="Z_C5D58FFD_76E3_4239_99E3_907A083C71DC_.wvu.Cols" localSheetId="10" hidden="1">'#税金'!$B:$F,'#税金'!$H:$M,'#税金'!#REF!,'#税金'!$N:$Q,'#税金'!$T:$Y</definedName>
    <definedName name="Z_C5D58FFD_76E3_4239_99E3_907A083C71DC_.wvu.Cols" localSheetId="12" hidden="1">'#现金流 (新)'!$C:$C,'#现金流 (新)'!$F:$I,'#现金流 (新)'!$L:$Q</definedName>
    <definedName name="Z_C5D58FFD_76E3_4239_99E3_907A083C71DC_.wvu.Cols" localSheetId="14" hidden="1">'#销量数据'!$C:$L,'#销量数据'!$Q:$AB</definedName>
    <definedName name="Z_C5D58FFD_76E3_4239_99E3_907A083C71DC_.wvu.Cols" localSheetId="22" hidden="1">钢铁分析!$C:$E</definedName>
    <definedName name="Z_C5D58FFD_76E3_4239_99E3_907A083C71DC_.wvu.Cols" localSheetId="34" hidden="1">'利润（汇总）'!$D:$H,'利润（汇总）'!$K:$P</definedName>
    <definedName name="Z_C5D58FFD_76E3_4239_99E3_907A083C71DC_.wvu.Cols" localSheetId="32" hidden="1">'收入（关联）'!$C:$G,'收入（关联）'!$J:$O</definedName>
    <definedName name="Z_C5D58FFD_76E3_4239_99E3_907A083C71DC_.wvu.Cols" localSheetId="30" hidden="1">'收入（汇总）'!$D:$H,'收入（汇总）'!$K:$P</definedName>
    <definedName name="Z_C5D58FFD_76E3_4239_99E3_907A083C71DC_.wvu.PrintArea" localSheetId="15" hidden="1">'#母公司报表'!$A$1:$P$68</definedName>
    <definedName name="Z_C5D58FFD_76E3_4239_99E3_907A083C71DC_.wvu.Rows" localSheetId="13" hidden="1">'#存货'!$6:$6</definedName>
    <definedName name="Z_C5D58FFD_76E3_4239_99E3_907A083C71DC_.wvu.Rows" localSheetId="17" hidden="1">'#经营利润'!$11:$11,'#经营利润'!$35:$35,'#经营利润'!$30:$30,'#经营利润'!$32:$42</definedName>
    <definedName name="Z_C5D58FFD_76E3_4239_99E3_907A083C71DC_.wvu.Rows" localSheetId="15" hidden="1">'#母公司报表'!$115:$120</definedName>
    <definedName name="Z_C5D58FFD_76E3_4239_99E3_907A083C71DC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C5DF54AA_CEDA_4913_B16C_D4061EB1C3C4_.wvu.Cols" localSheetId="13" hidden="1">'#存货'!$Q:$AB,'#存货'!$AD:$AE,'#存货'!$AG:$AH</definedName>
    <definedName name="Z_C5DF54AA_CEDA_4913_B16C_D4061EB1C3C4_.wvu.Cols" localSheetId="10" hidden="1">'#税金'!$B:$F,'#税金'!$H:$M,'#税金'!#REF!,'#税金'!$N:$Q,'#税金'!$T:$Y</definedName>
    <definedName name="Z_C5DF54AA_CEDA_4913_B16C_D4061EB1C3C4_.wvu.Cols" localSheetId="12" hidden="1">'#现金流 (新)'!$F:$I,'#现金流 (新)'!$L:$Q</definedName>
    <definedName name="Z_C5DF54AA_CEDA_4913_B16C_D4061EB1C3C4_.wvu.Cols" localSheetId="39" hidden="1">产品质量!$E:$M</definedName>
    <definedName name="Z_C5DF54AA_CEDA_4913_B16C_D4061EB1C3C4_.wvu.Rows" localSheetId="15" hidden="1">'#母公司报表'!$115:$120</definedName>
    <definedName name="Z_C690025F_B214_48A6_A62A_C5780D972F53_.wvu.Cols" localSheetId="5" hidden="1">'@预测#收入利润#'!$J:$K,'@预测#收入利润#'!$R:$S</definedName>
    <definedName name="Z_C690025F_B214_48A6_A62A_C5780D972F53_.wvu.PrintArea" localSheetId="17" hidden="1">'#经营利润'!$A$3:$BC$46</definedName>
    <definedName name="Z_C690025F_B214_48A6_A62A_C5780D972F53_.wvu.PrintArea" localSheetId="15" hidden="1">'#母公司报表'!$A$1:$P$68</definedName>
    <definedName name="Z_C690025F_B214_48A6_A62A_C5780D972F53_.wvu.PrintArea" localSheetId="42" hidden="1">'@产量打印#不锈钢'!$A$3:$K$42</definedName>
    <definedName name="Z_C690025F_B214_48A6_A62A_C5780D972F53_.wvu.PrintArea" localSheetId="44" hidden="1">'@产量打印#材'!$A$3:$K$35</definedName>
    <definedName name="Z_C690025F_B214_48A6_A62A_C5780D972F53_.wvu.PrintArea" localSheetId="40" hidden="1">'@产量打印#概况'!$A$4:$Q$30</definedName>
    <definedName name="Z_C690025F_B214_48A6_A62A_C5780D972F53_.wvu.PrintArea" localSheetId="43" hidden="1">'@产量打印#钢'!$A$3:$K$35</definedName>
    <definedName name="Z_C690025F_B214_48A6_A62A_C5780D972F53_.wvu.PrintArea" localSheetId="41" hidden="1">'@产量打印#矿产品'!$A$3:$K$46</definedName>
    <definedName name="Z_C690025F_B214_48A6_A62A_C5780D972F53_.wvu.Rows" localSheetId="13" hidden="1">'#存货'!$6:$6</definedName>
    <definedName name="Z_C690025F_B214_48A6_A62A_C5780D972F53_.wvu.Rows" localSheetId="16" hidden="1">'#经营概况'!$272:$273</definedName>
    <definedName name="Z_C690025F_B214_48A6_A62A_C5780D972F53_.wvu.Rows" localSheetId="17" hidden="1">'#经营利润'!$11:$11</definedName>
    <definedName name="Z_C690025F_B214_48A6_A62A_C5780D972F53_.wvu.Rows" localSheetId="42" hidden="1">'@产量打印#不锈钢'!#REF!</definedName>
    <definedName name="Z_C690025F_B214_48A6_A62A_C5780D972F53_.wvu.Rows" localSheetId="4" hidden="1">'@预测#经营利润#'!#REF!,'@预测#经营利润#'!$35:$35,'@预测#经营利润#'!$29:$35,'@预测#经营利润#'!$25:$35,'@预测#经营利润#'!$27:$27,'@预测#经营利润#'!$40:$42</definedName>
    <definedName name="Z_C690025F_B214_48A6_A62A_C5780D972F53_.wvu.Rows" localSheetId="3" hidden="1">'@预测#利润建议# '!$11:$11,'@预测#利润建议# '!$21:$21,'@预测#利润建议# '!$18:$24</definedName>
    <definedName name="Z_C76E6DF1_DC75_49C4_A887_2DDD9A78230D_.wvu.Cols" localSheetId="13" hidden="1">'#存货'!$E:$S,'#存货'!$U:$V</definedName>
    <definedName name="Z_C76E6DF1_DC75_49C4_A887_2DDD9A78230D_.wvu.Cols" localSheetId="17" hidden="1">'#经营利润'!$D:$O,'#经营利润'!$T:$AC</definedName>
    <definedName name="Z_C76E6DF1_DC75_49C4_A887_2DDD9A78230D_.wvu.Cols" localSheetId="18" hidden="1">'#利润建议'!$B:$S,'#利润建议'!$Z:$AN</definedName>
    <definedName name="Z_C76E6DF1_DC75_49C4_A887_2DDD9A78230D_.wvu.Cols" localSheetId="15" hidden="1">'#母公司报表'!$K:$O,'#母公司报表'!$P:$P</definedName>
    <definedName name="Z_C76E6DF1_DC75_49C4_A887_2DDD9A78230D_.wvu.Cols" localSheetId="10" hidden="1">'#税金'!$B:$G,'#税金'!$I:$M,'#税金'!#REF!,'#税金'!$N:$R,'#税金'!$U:$Y</definedName>
    <definedName name="Z_C76E6DF1_DC75_49C4_A887_2DDD9A78230D_.wvu.Cols" localSheetId="12" hidden="1">'#现金流 (新)'!$C:$C,'#现金流 (新)'!$F:$J,'#现金流 (新)'!$M:$Q</definedName>
    <definedName name="Z_C76E6DF1_DC75_49C4_A887_2DDD9A78230D_.wvu.Cols" localSheetId="14" hidden="1">'#销量数据'!$C:$N,'#销量数据'!$S:$AB</definedName>
    <definedName name="Z_C76E6DF1_DC75_49C4_A887_2DDD9A78230D_.wvu.Cols" localSheetId="22" hidden="1">钢铁分析!$C:$E</definedName>
    <definedName name="Z_C76E6DF1_DC75_49C4_A887_2DDD9A78230D_.wvu.Cols" localSheetId="34" hidden="1">'利润（汇总）'!$E:$I</definedName>
    <definedName name="Z_C76E6DF1_DC75_49C4_A887_2DDD9A78230D_.wvu.Cols" localSheetId="32" hidden="1">'收入（关联）'!$D:$H</definedName>
    <definedName name="Z_C76E6DF1_DC75_49C4_A887_2DDD9A78230D_.wvu.Cols" localSheetId="30" hidden="1">'收入（汇总）'!$E:$I</definedName>
    <definedName name="Z_C76E6DF1_DC75_49C4_A887_2DDD9A78230D_.wvu.PrintArea" localSheetId="15" hidden="1">'#母公司报表'!$A$1:$P$68</definedName>
    <definedName name="Z_C76E6DF1_DC75_49C4_A887_2DDD9A78230D_.wvu.Rows" localSheetId="13" hidden="1">'#存货'!$6:$6</definedName>
    <definedName name="Z_C76E6DF1_DC75_49C4_A887_2DDD9A78230D_.wvu.Rows" localSheetId="17" hidden="1">'#经营利润'!#REF!,'#经营利润'!$35:$35,'#经营利润'!$29:$35,'#经营利润'!$27:$27,'#经营利润'!$40:$42</definedName>
    <definedName name="Z_C76E6DF1_DC75_49C4_A887_2DDD9A78230D_.wvu.Rows" localSheetId="18" hidden="1">'#利润建议'!#REF!,'#利润建议'!$35:$35,'#利润建议'!$25:$35,'#利润建议'!$29:$29,'#利润建议'!$40:$42</definedName>
    <definedName name="Z_C76E6DF1_DC75_49C4_A887_2DDD9A78230D_.wvu.Rows" localSheetId="15" hidden="1">'#母公司报表'!$115:$120</definedName>
    <definedName name="Z_C76E6DF1_DC75_49C4_A887_2DDD9A78230D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C79B2699_D55E_4B75_AC70_355F2EEBA3EB_.wvu.Cols" localSheetId="18" hidden="1">'#利润建议'!$E:$S</definedName>
    <definedName name="Z_C7AAAA90_9FC8_4F99_A6B4_C28DE7F1384C_.wvu.Cols" localSheetId="13" hidden="1">'#存货'!$L:$M,'#存货'!$O:$P,'#存货'!$R:$S,'#存货'!$U:$V,'#存货'!$X:$Y,'#存货'!$AA:$AB,'#存货'!$AD:$AE</definedName>
    <definedName name="Z_C7AAAA90_9FC8_4F99_A6B4_C28DE7F1384C_.wvu.Cols" localSheetId="17" hidden="1">'#经营利润'!$D:$U,'#经营利润'!$Z:$AC</definedName>
    <definedName name="Z_C7AAAA90_9FC8_4F99_A6B4_C28DE7F1384C_.wvu.Cols" localSheetId="18" hidden="1">'#利润建议'!$B:$AB,'#利润建议'!$AI:$AN</definedName>
    <definedName name="Z_C7AAAA90_9FC8_4F99_A6B4_C28DE7F1384C_.wvu.Cols" localSheetId="10" hidden="1">'#税金'!$B:$J,'#税金'!$L:$M,'#税金'!#REF!,'#税金'!$N:$U,'#税金'!$X:$Y</definedName>
    <definedName name="Z_C7AAAA90_9FC8_4F99_A6B4_C28DE7F1384C_.wvu.Cols" localSheetId="12" hidden="1">'#现金流 (新)'!$F:$M,'#现金流 (新)'!$P:$Q,'#现金流 (新)'!$AJ:$AJ,'#现金流 (新)'!$AM:$AM</definedName>
    <definedName name="Z_C7AAAA90_9FC8_4F99_A6B4_C28DE7F1384C_.wvu.Cols" localSheetId="14" hidden="1">'#销量数据'!$C:$T,'#销量数据'!$Y:$AB,'#销量数据'!#REF!</definedName>
    <definedName name="Z_C7AAAA90_9FC8_4F99_A6B4_C28DE7F1384C_.wvu.Cols" localSheetId="34" hidden="1">'利润（汇总）'!$C:$L,'利润（汇总）'!$O:$P</definedName>
    <definedName name="Z_C7AAAA90_9FC8_4F99_A6B4_C28DE7F1384C_.wvu.Cols" localSheetId="32" hidden="1">'收入（关联）'!$B:$K,'收入（关联）'!$N:$O</definedName>
    <definedName name="Z_C7AAAA90_9FC8_4F99_A6B4_C28DE7F1384C_.wvu.Cols" localSheetId="30" hidden="1">'收入（汇总）'!$C:$L,'收入（汇总）'!$O:$P</definedName>
    <definedName name="Z_C7AAAA90_9FC8_4F99_A6B4_C28DE7F1384C_.wvu.PrintTitles" localSheetId="34" hidden="1">'利润（汇总）'!$2:$2</definedName>
    <definedName name="Z_C7AAAA90_9FC8_4F99_A6B4_C28DE7F1384C_.wvu.PrintTitles" localSheetId="32" hidden="1">'收入（关联）'!$2:$2</definedName>
    <definedName name="Z_C7AAAA90_9FC8_4F99_A6B4_C28DE7F1384C_.wvu.PrintTitles" localSheetId="30" hidden="1">'收入（汇总）'!$2:$2</definedName>
    <definedName name="Z_C7AAAA90_9FC8_4F99_A6B4_C28DE7F1384C_.wvu.Rows" localSheetId="18" hidden="1">'#利润建议'!#REF!,'#利润建议'!#REF!,'#利润建议'!#REF!</definedName>
    <definedName name="Z_C7AAAA90_9FC8_4F99_A6B4_C28DE7F1384C_.wvu.Rows" localSheetId="14" hidden="1">'#销量数据'!$6:$6,'#销量数据'!$27:$28,'#销量数据'!$30:$33,'#销量数据'!$35:$38,'#销量数据'!$41:$44,'#销量数据'!$46:$49,'#销量数据'!$58:$59,'#销量数据'!$61:$62,'#销量数据'!$65:$65</definedName>
    <definedName name="Z_C8756429_5D0F_42A6_9C9B_30964BE6CAC3_.wvu.Cols" localSheetId="13" hidden="1">'#存货'!$F:$F,'#存货'!$I:$J,'#存货'!$L:$M,'#存货'!$O:$P,'#存货'!$R:$S,'#存货'!$W:$AN</definedName>
    <definedName name="Z_C8C8F144_0CA2_4B72_BA7C_FFB325AEFCC9_.wvu.Cols" localSheetId="13" hidden="1">'#存货'!$G:$AN</definedName>
    <definedName name="Z_C8C8F144_0CA2_4B72_BA7C_FFB325AEFCC9_.wvu.Cols" localSheetId="12" hidden="1">'#现金流 (新)'!$G:$Q</definedName>
    <definedName name="Z_C8C8F144_0CA2_4B72_BA7C_FFB325AEFCC9_.wvu.Cols" localSheetId="5" hidden="1">'@预测#收入利润#'!$J:$K,'@预测#收入利润#'!$R:$S</definedName>
    <definedName name="Z_C8C8F144_0CA2_4B72_BA7C_FFB325AEFCC9_.wvu.PrintArea" localSheetId="17" hidden="1">'#经营利润'!$A$3:$BC$46</definedName>
    <definedName name="Z_C8C8F144_0CA2_4B72_BA7C_FFB325AEFCC9_.wvu.PrintArea" localSheetId="15" hidden="1">'#母公司报表'!$A$1:$P$68</definedName>
    <definedName name="Z_C8C8F144_0CA2_4B72_BA7C_FFB325AEFCC9_.wvu.PrintArea" localSheetId="42" hidden="1">'@产量打印#不锈钢'!$A$3:$K$42</definedName>
    <definedName name="Z_C8C8F144_0CA2_4B72_BA7C_FFB325AEFCC9_.wvu.PrintArea" localSheetId="44" hidden="1">'@产量打印#材'!$A$3:$K$35</definedName>
    <definedName name="Z_C8C8F144_0CA2_4B72_BA7C_FFB325AEFCC9_.wvu.PrintArea" localSheetId="40" hidden="1">'@产量打印#概况'!$A$4:$Q$30</definedName>
    <definedName name="Z_C8C8F144_0CA2_4B72_BA7C_FFB325AEFCC9_.wvu.PrintArea" localSheetId="43" hidden="1">'@产量打印#钢'!$A$3:$K$35</definedName>
    <definedName name="Z_C8C8F144_0CA2_4B72_BA7C_FFB325AEFCC9_.wvu.PrintArea" localSheetId="41" hidden="1">'@产量打印#矿产品'!$A$3:$K$46</definedName>
    <definedName name="Z_C8C8F144_0CA2_4B72_BA7C_FFB325AEFCC9_.wvu.Rows" localSheetId="13" hidden="1">'#存货'!$6:$6</definedName>
    <definedName name="Z_C8C8F144_0CA2_4B72_BA7C_FFB325AEFCC9_.wvu.Rows" localSheetId="17" hidden="1">'#经营利润'!$11:$11</definedName>
    <definedName name="Z_C8C8F144_0CA2_4B72_BA7C_FFB325AEFCC9_.wvu.Rows" localSheetId="4" hidden="1">'@预测#经营利润#'!#REF!,'@预测#经营利润#'!$35:$35,'@预测#经营利润#'!$29:$35,'@预测#经营利润#'!$25:$35,'@预测#经营利润#'!$27:$27,'@预测#经营利润#'!$40:$42</definedName>
    <definedName name="Z_C8C8F144_0CA2_4B72_BA7C_FFB325AEFCC9_.wvu.Rows" localSheetId="3" hidden="1">'@预测#利润建议# '!$11:$11,'@预测#利润建议# '!$21:$21,'@预测#利润建议# '!$18:$24</definedName>
    <definedName name="Z_C9A88430_3808_49F4_8D86_BF8C70C55441_.wvu.Cols" localSheetId="13" hidden="1">'#存货'!$E:$J,'#存货'!$L:$M,'#存货'!$Q:$AN</definedName>
    <definedName name="Z_C9A88430_3808_49F4_8D86_BF8C70C55441_.wvu.Cols" localSheetId="17" hidden="1">'#经营利润'!$R:$AC,'#经营利润'!$BD:$BE,'#经营利润'!$BI:$BI</definedName>
    <definedName name="Z_C9A88430_3808_49F4_8D86_BF8C70C55441_.wvu.Cols" localSheetId="18" hidden="1">'#利润建议'!$B:$J,'#利润建议'!$Q:$AN</definedName>
    <definedName name="Z_C9A88430_3808_49F4_8D86_BF8C70C55441_.wvu.Cols" localSheetId="12" hidden="1">'#现金流 (新)'!$G:$AH</definedName>
    <definedName name="Z_C9A88430_3808_49F4_8D86_BF8C70C55441_.wvu.Cols" localSheetId="21" hidden="1">'@分析#利润分析#'!$D:$D</definedName>
    <definedName name="Z_C9A88430_3808_49F4_8D86_BF8C70C55441_.wvu.Cols" localSheetId="1" hidden="1">'@预测#利润分析#'!$D:$D</definedName>
    <definedName name="Z_C9A88430_3808_49F4_8D86_BF8C70C55441_.wvu.Cols" localSheetId="27" hidden="1">Sheet1!$AC:$AK</definedName>
    <definedName name="Z_C9A88430_3808_49F4_8D86_BF8C70C55441_.wvu.Cols" localSheetId="35" hidden="1">画图!$K:$O</definedName>
    <definedName name="Z_C9A88430_3808_49F4_8D86_BF8C70C55441_.wvu.PrintArea" localSheetId="16" hidden="1">'#经营概况'!$B$324:$O$377</definedName>
    <definedName name="Z_C9A88430_3808_49F4_8D86_BF8C70C55441_.wvu.PrintArea" localSheetId="17" hidden="1">'#经营利润'!$A$3:$BJ$46</definedName>
    <definedName name="Z_C9A88430_3808_49F4_8D86_BF8C70C55441_.wvu.PrintArea" localSheetId="25" hidden="1">'#利润因素分析（ppt）'!$F$2:$M$19</definedName>
    <definedName name="Z_C9A88430_3808_49F4_8D86_BF8C70C55441_.wvu.PrintArea" localSheetId="15" hidden="1">'#母公司报表'!$A$1:$P$68</definedName>
    <definedName name="Z_C9A88430_3808_49F4_8D86_BF8C70C55441_.wvu.PrintArea" localSheetId="42" hidden="1">'@产量打印#不锈钢'!$A$3:$K$42</definedName>
    <definedName name="Z_C9A88430_3808_49F4_8D86_BF8C70C55441_.wvu.PrintArea" localSheetId="44" hidden="1">'@产量打印#材'!$A$3:$K$35</definedName>
    <definedName name="Z_C9A88430_3808_49F4_8D86_BF8C70C55441_.wvu.PrintArea" localSheetId="40" hidden="1">'@产量打印#概况'!$A$4:$Q$30</definedName>
    <definedName name="Z_C9A88430_3808_49F4_8D86_BF8C70C55441_.wvu.PrintArea" localSheetId="43" hidden="1">'@产量打印#钢'!$A$3:$K$35</definedName>
    <definedName name="Z_C9A88430_3808_49F4_8D86_BF8C70C55441_.wvu.PrintArea" localSheetId="41" hidden="1">'@产量打印#矿产品'!$A$3:$K$46</definedName>
    <definedName name="Z_C9A88430_3808_49F4_8D86_BF8C70C55441_.wvu.PrintArea" localSheetId="6" hidden="1">'@预测#股份关联价（打印）'!$B$3:$K$22</definedName>
    <definedName name="Z_C9A88430_3808_49F4_8D86_BF8C70C55441_.wvu.PrintArea" localSheetId="27" hidden="1">Sheet1!$A$3:$AN$11</definedName>
    <definedName name="Z_C9A88430_3808_49F4_8D86_BF8C70C55441_.wvu.PrintArea" localSheetId="33" hidden="1">'收入（外部）'!$A$1:$AB$42</definedName>
    <definedName name="Z_C9A88430_3808_49F4_8D86_BF8C70C55441_.wvu.Rows" localSheetId="13" hidden="1">'#存货'!$6:$6</definedName>
    <definedName name="Z_C9A88430_3808_49F4_8D86_BF8C70C55441_.wvu.Rows" localSheetId="20" hidden="1">'#分板块利润分析'!$70:$72,'#分板块利润分析'!$81:$81</definedName>
    <definedName name="Z_C9A88430_3808_49F4_8D86_BF8C70C55441_.wvu.Rows" localSheetId="16" hidden="1">'#经营概况'!$179:$180</definedName>
    <definedName name="Z_C9A88430_3808_49F4_8D86_BF8C70C55441_.wvu.Rows" localSheetId="18" hidden="1">'#利润建议'!$10:$11,'#利润建议'!$25:$42</definedName>
    <definedName name="Z_C9A88430_3808_49F4_8D86_BF8C70C55441_.wvu.Rows" localSheetId="11" hidden="1">'#子分公司分析'!$23:$23</definedName>
    <definedName name="Z_C9A88430_3808_49F4_8D86_BF8C70C55441_.wvu.Rows" localSheetId="0" hidden="1">'@预测#概况#'!$44:$45,'@预测#概况#'!$73:$74</definedName>
    <definedName name="Z_C9A88430_3808_49F4_8D86_BF8C70C55441_.wvu.Rows" localSheetId="3" hidden="1">'@预测#利润建议# '!$18:$21,'@预测#利润建议# '!$23:$42,'@预测#利润建议# '!$44:$48</definedName>
    <definedName name="Z_CB8DB6B5_51CB_4110_8C21_F76BA2FAA0EF_.wvu.Cols" localSheetId="13" hidden="1">'#存货'!$V:$Y,'#存货'!$AA:$AB,'#存货'!$AD:$AE,'#存货'!$AJ:$AK</definedName>
    <definedName name="Z_CB8DB6B5_51CB_4110_8C21_F76BA2FAA0EF_.wvu.Cols" localSheetId="17" hidden="1">'#经营利润'!$D:$Y</definedName>
    <definedName name="Z_CB8DB6B5_51CB_4110_8C21_F76BA2FAA0EF_.wvu.Cols" localSheetId="18" hidden="1">'#利润建议'!$B:$AE</definedName>
    <definedName name="Z_CB8DB6B5_51CB_4110_8C21_F76BA2FAA0EF_.wvu.Cols" localSheetId="15" hidden="1">'#母公司报表'!$P:$P</definedName>
    <definedName name="Z_CB8DB6B5_51CB_4110_8C21_F76BA2FAA0EF_.wvu.Cols" localSheetId="10" hidden="1">'#税金'!$C:$L,'#税金'!#REF!,'#税金'!$O:$Y</definedName>
    <definedName name="Z_CB8DB6B5_51CB_4110_8C21_F76BA2FAA0EF_.wvu.Cols" localSheetId="12" hidden="1">'#现金流 (新)'!$G:$Q</definedName>
    <definedName name="Z_CB8DB6B5_51CB_4110_8C21_F76BA2FAA0EF_.wvu.Cols" localSheetId="39" hidden="1">产品质量!$D:$K</definedName>
    <definedName name="Z_CB8DB6B5_51CB_4110_8C21_F76BA2FAA0EF_.wvu.Cols" localSheetId="34" hidden="1">'利润（汇总）'!$D:$M</definedName>
    <definedName name="Z_CB8DB6B5_51CB_4110_8C21_F76BA2FAA0EF_.wvu.Cols" localSheetId="32" hidden="1">'收入（关联）'!$C:$L</definedName>
    <definedName name="Z_CB8DB6B5_51CB_4110_8C21_F76BA2FAA0EF_.wvu.Cols" localSheetId="30" hidden="1">'收入（汇总）'!$D:$M</definedName>
    <definedName name="Z_CB8DB6B5_51CB_4110_8C21_F76BA2FAA0EF_.wvu.PrintArea" localSheetId="18" hidden="1">'#利润建议'!$A$1:$CA$35</definedName>
    <definedName name="Z_CB8DB6B5_51CB_4110_8C21_F76BA2FAA0EF_.wvu.PrintArea" localSheetId="15" hidden="1">'#母公司报表'!$A$1:$P$68</definedName>
    <definedName name="Z_CB8DB6B5_51CB_4110_8C21_F76BA2FAA0EF_.wvu.Rows" localSheetId="13" hidden="1">'#存货'!$6:$6,'#存货'!$13:$13,'#存货'!#REF!,'#存货'!$16:$16,'#存货'!#REF!,'#存货'!#REF!,'#存货'!#REF!</definedName>
    <definedName name="Z_CB8DB6B5_51CB_4110_8C21_F76BA2FAA0EF_.wvu.Rows" localSheetId="15" hidden="1">'#母公司报表'!$115:$120</definedName>
    <definedName name="Z_CB8DB6B5_51CB_4110_8C21_F76BA2FAA0EF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CC32B179_B016_427E_9108_C8527156CF00_.wvu.Cols" localSheetId="13" hidden="1">'#存货'!$F:$F,'#存货'!$I:$J,'#存货'!$L:$M,'#存货'!$O:$P,'#存货'!$R:$S,'#存货'!$AC:$AN</definedName>
    <definedName name="Z_CC32B179_B016_427E_9108_C8527156CF00_.wvu.Cols" localSheetId="17" hidden="1">'#经营利润'!$D:$K,'#经营利润'!$R:$AC</definedName>
    <definedName name="Z_CC32B179_B016_427E_9108_C8527156CF00_.wvu.Cols" localSheetId="18" hidden="1">'#利润建议'!$B:$P,'#利润建议'!$W:$AN</definedName>
    <definedName name="Z_CC32B179_B016_427E_9108_C8527156CF00_.wvu.Cols" localSheetId="10" hidden="1">'#税金'!$B:$H,'#税金'!$J:$M,'#税金'!#REF!,'#税金'!$N:$S,'#税金'!$V:$Y</definedName>
    <definedName name="Z_CC32B179_B016_427E_9108_C8527156CF00_.wvu.Cols" localSheetId="12" hidden="1">'#现金流 (新)'!$C:$C,'#现金流 (新)'!$F:$K,'#现金流 (新)'!$N:$Q</definedName>
    <definedName name="Z_CC32B179_B016_427E_9108_C8527156CF00_.wvu.Cols" localSheetId="14" hidden="1">'#销量数据'!$C:$H,'#销量数据'!$K:$L</definedName>
    <definedName name="Z_CC32B179_B016_427E_9108_C8527156CF00_.wvu.Cols" localSheetId="34" hidden="1">'利润（汇总）'!$C:$G,'利润（汇总）'!$K:$P</definedName>
    <definedName name="Z_CC32B179_B016_427E_9108_C8527156CF00_.wvu.Cols" localSheetId="32" hidden="1">'收入（关联）'!$B:$F,'收入（关联）'!$J:$O</definedName>
    <definedName name="Z_CC32B179_B016_427E_9108_C8527156CF00_.wvu.Cols" localSheetId="30" hidden="1">'收入（汇总）'!$C:$G,'收入（汇总）'!$K:$P</definedName>
    <definedName name="Z_CC32B179_B016_427E_9108_C8527156CF00_.wvu.PrintArea" localSheetId="34" hidden="1">'利润（汇总）'!$B$1:$P$48</definedName>
    <definedName name="Z_CC32B179_B016_427E_9108_C8527156CF00_.wvu.PrintArea" localSheetId="32" hidden="1">'收入（关联）'!$A$1:$O$48</definedName>
    <definedName name="Z_CC32B179_B016_427E_9108_C8527156CF00_.wvu.PrintArea" localSheetId="30" hidden="1">'收入（汇总）'!$B$1:$P$51</definedName>
    <definedName name="Z_CC32B179_B016_427E_9108_C8527156CF00_.wvu.Rows" localSheetId="14" hidden="1">'#销量数据'!$6:$6,'#销量数据'!$26:$28,'#销量数据'!$30:$33,'#销量数据'!$35:$38,'#销量数据'!$41:$44,'#销量数据'!$46:$49,'#销量数据'!$56:$56,'#销量数据'!$61:$62,'#销量数据'!$65:$65</definedName>
    <definedName name="Z_CCBBD9B0_4191_4D7A_9F7B_BAC044A49153_.wvu.Cols" localSheetId="13" hidden="1">'#存货'!$E:$J,'#存货'!$L:$M,'#存货'!$Q:$AN</definedName>
    <definedName name="Z_CCBBD9B0_4191_4D7A_9F7B_BAC044A49153_.wvu.Cols" localSheetId="20" hidden="1">'#分板块利润分析'!$J:$J,'#分板块利润分析'!#REF!</definedName>
    <definedName name="Z_CCBBD9B0_4191_4D7A_9F7B_BAC044A49153_.wvu.Cols" localSheetId="17" hidden="1">'#经营利润'!$D:$I,'#经营利润'!$N:$AC,'#经营利润'!$BD:$BE</definedName>
    <definedName name="Z_CCBBD9B0_4191_4D7A_9F7B_BAC044A49153_.wvu.Cols" localSheetId="18" hidden="1">'#利润建议'!$E:$G,'#利润建议'!$Q:$AN</definedName>
    <definedName name="Z_CCBBD9B0_4191_4D7A_9F7B_BAC044A49153_.wvu.Cols" localSheetId="31" hidden="1">'#收入完成情况'!$E:$E,'#收入完成情况'!$I:$I,'#收入完成情况'!$M:$M</definedName>
    <definedName name="Z_CCBBD9B0_4191_4D7A_9F7B_BAC044A49153_.wvu.Cols" localSheetId="12" hidden="1">'#现金流 (新)'!$C:$C,'#现金流 (新)'!$F:$G,'#现金流 (新)'!$J:$Q</definedName>
    <definedName name="Z_CCBBD9B0_4191_4D7A_9F7B_BAC044A49153_.wvu.Cols" localSheetId="5" hidden="1">'@预测#收入利润#'!$B:$D,'@预测#收入利润#'!$F:$G,'@预测#收入利润#'!$J:$K,'@预测#收入利润#'!$P:$P,'@预测#收入利润#'!$T:$V</definedName>
    <definedName name="Z_CCBBD9B0_4191_4D7A_9F7B_BAC044A49153_.wvu.Cols" localSheetId="35" hidden="1">画图!$O:$O</definedName>
    <definedName name="Z_CCBBD9B0_4191_4D7A_9F7B_BAC044A49153_.wvu.Cols" localSheetId="30" hidden="1">'收入（汇总）'!$D:$D</definedName>
    <definedName name="Z_CCBBD9B0_4191_4D7A_9F7B_BAC044A49153_.wvu.PrintArea" localSheetId="17" hidden="1">'#经营利润'!$A$3:$BJ$43</definedName>
    <definedName name="Z_CCBBD9B0_4191_4D7A_9F7B_BAC044A49153_.wvu.PrintArea" localSheetId="18" hidden="1">'#利润建议'!$A$3:$CD$42</definedName>
    <definedName name="Z_CCBBD9B0_4191_4D7A_9F7B_BAC044A49153_.wvu.PrintArea" localSheetId="25" hidden="1">'#利润因素分析（ppt）'!$F$2:$M$21</definedName>
    <definedName name="Z_CCBBD9B0_4191_4D7A_9F7B_BAC044A49153_.wvu.PrintArea" localSheetId="15" hidden="1">'#母公司报表'!$A$1:$P$68</definedName>
    <definedName name="Z_CCBBD9B0_4191_4D7A_9F7B_BAC044A49153_.wvu.PrintArea" localSheetId="31" hidden="1">'#收入完成情况'!$B$3:$Q$44</definedName>
    <definedName name="Z_CCBBD9B0_4191_4D7A_9F7B_BAC044A49153_.wvu.PrintArea" localSheetId="11" hidden="1">'#子分公司分析'!$C$3:$L$37</definedName>
    <definedName name="Z_CCBBD9B0_4191_4D7A_9F7B_BAC044A49153_.wvu.PrintArea" localSheetId="42" hidden="1">'@产量打印#不锈钢'!$A$3:$K$42</definedName>
    <definedName name="Z_CCBBD9B0_4191_4D7A_9F7B_BAC044A49153_.wvu.PrintArea" localSheetId="44" hidden="1">'@产量打印#材'!$A$3:$K$35</definedName>
    <definedName name="Z_CCBBD9B0_4191_4D7A_9F7B_BAC044A49153_.wvu.PrintArea" localSheetId="40" hidden="1">'@产量打印#概况'!$A$4:$Q$30</definedName>
    <definedName name="Z_CCBBD9B0_4191_4D7A_9F7B_BAC044A49153_.wvu.PrintArea" localSheetId="43" hidden="1">'@产量打印#钢'!$A$3:$K$35</definedName>
    <definedName name="Z_CCBBD9B0_4191_4D7A_9F7B_BAC044A49153_.wvu.PrintArea" localSheetId="41" hidden="1">'@产量打印#矿产品'!$A$3:$K$46</definedName>
    <definedName name="Z_CCBBD9B0_4191_4D7A_9F7B_BAC044A49153_.wvu.PrintArea" localSheetId="0" hidden="1">'@预测#概况#'!$B$173:$O$196</definedName>
    <definedName name="Z_CCBBD9B0_4191_4D7A_9F7B_BAC044A49153_.wvu.PrintArea" localSheetId="33" hidden="1">'收入（外部）'!$A$1:$AB$42</definedName>
    <definedName name="Z_CCBBD9B0_4191_4D7A_9F7B_BAC044A49153_.wvu.Rows" localSheetId="13" hidden="1">'#存货'!$6:$6</definedName>
    <definedName name="Z_CCBBD9B0_4191_4D7A_9F7B_BAC044A49153_.wvu.Rows" localSheetId="20" hidden="1">'#分板块利润分析'!$66:$66,'#分板块利润分析'!$70:$72</definedName>
    <definedName name="Z_CCBBD9B0_4191_4D7A_9F7B_BAC044A49153_.wvu.Rows" localSheetId="16" hidden="1">'#经营概况'!$91:$92,'#经营概况'!$98:$99,'#经营概况'!$244:$244</definedName>
    <definedName name="Z_CCBBD9B0_4191_4D7A_9F7B_BAC044A49153_.wvu.Rows" localSheetId="17" hidden="1">'#经营利润'!$10:$11,'#经营利润'!$17:$22,'#经营利润'!$29:$42</definedName>
    <definedName name="Z_CCBBD9B0_4191_4D7A_9F7B_BAC044A49153_.wvu.Rows" localSheetId="0" hidden="1">'@预测#概况#'!$109:$110</definedName>
    <definedName name="Z_CCBBD9B0_4191_4D7A_9F7B_BAC044A49153_.wvu.Rows" localSheetId="3" hidden="1">'@预测#利润建议# '!$10:$11,'@预测#利润建议# '!$18:$22,'@预测#利润建议# '!$24:$42</definedName>
    <definedName name="Z_CCBBD9B0_4191_4D7A_9F7B_BAC044A49153_.wvu.Rows" localSheetId="5" hidden="1">'@预测#收入利润#'!#REF!</definedName>
    <definedName name="Z_CCBE5FE4_7C99_480D_AA6F_DE25584A04B6_.wvu.Cols" localSheetId="13" hidden="1">'#存货'!$E:$S,'#存货'!$U:$V</definedName>
    <definedName name="Z_CCBE5FE4_7C99_480D_AA6F_DE25584A04B6_.wvu.Cols" localSheetId="17" hidden="1">'#经营利润'!$D:$O,'#经营利润'!$V:$AC</definedName>
    <definedName name="Z_CCBE5FE4_7C99_480D_AA6F_DE25584A04B6_.wvu.Cols" localSheetId="18" hidden="1">'#利润建议'!$B:$S,'#利润建议'!$Z:$AN</definedName>
    <definedName name="Z_CCBE5FE4_7C99_480D_AA6F_DE25584A04B6_.wvu.Cols" localSheetId="15" hidden="1">'#母公司报表'!$K:$O,'#母公司报表'!$P:$P</definedName>
    <definedName name="Z_CCBE5FE4_7C99_480D_AA6F_DE25584A04B6_.wvu.Cols" localSheetId="10" hidden="1">'#税金'!$B:$H,'#税金'!$J:$M,'#税金'!#REF!,'#税金'!$N:$S,'#税金'!$V:$Y</definedName>
    <definedName name="Z_CCBE5FE4_7C99_480D_AA6F_DE25584A04B6_.wvu.Cols" localSheetId="12" hidden="1">'#现金流 (新)'!$C:$C,'#现金流 (新)'!$F:$J,'#现金流 (新)'!$M:$Q</definedName>
    <definedName name="Z_CCBE5FE4_7C99_480D_AA6F_DE25584A04B6_.wvu.Cols" localSheetId="14" hidden="1">'#销量数据'!$C:$N,'#销量数据'!$S:$AB</definedName>
    <definedName name="Z_CCBE5FE4_7C99_480D_AA6F_DE25584A04B6_.wvu.Cols" localSheetId="22" hidden="1">钢铁分析!$C:$E</definedName>
    <definedName name="Z_CCBE5FE4_7C99_480D_AA6F_DE25584A04B6_.wvu.Cols" localSheetId="34" hidden="1">'利润（汇总）'!$E:$I</definedName>
    <definedName name="Z_CCBE5FE4_7C99_480D_AA6F_DE25584A04B6_.wvu.Cols" localSheetId="32" hidden="1">'收入（关联）'!$D:$H</definedName>
    <definedName name="Z_CCBE5FE4_7C99_480D_AA6F_DE25584A04B6_.wvu.Cols" localSheetId="30" hidden="1">'收入（汇总）'!$E:$I</definedName>
    <definedName name="Z_CCBE5FE4_7C99_480D_AA6F_DE25584A04B6_.wvu.PrintArea" localSheetId="15" hidden="1">'#母公司报表'!$A$1:$P$68</definedName>
    <definedName name="Z_CCBE5FE4_7C99_480D_AA6F_DE25584A04B6_.wvu.Rows" localSheetId="13" hidden="1">'#存货'!$6:$6</definedName>
    <definedName name="Z_CCBE5FE4_7C99_480D_AA6F_DE25584A04B6_.wvu.Rows" localSheetId="17" hidden="1">'#经营利润'!#REF!,'#经营利润'!$35:$35,'#经营利润'!$29:$35,'#经营利润'!$27:$27,'#经营利润'!$40:$42</definedName>
    <definedName name="Z_CCBE5FE4_7C99_480D_AA6F_DE25584A04B6_.wvu.Rows" localSheetId="18" hidden="1">'#利润建议'!#REF!,'#利润建议'!$35:$35,'#利润建议'!$25:$35,'#利润建议'!$29:$29,'#利润建议'!$40:$42</definedName>
    <definedName name="Z_CCBE5FE4_7C99_480D_AA6F_DE25584A04B6_.wvu.Rows" localSheetId="15" hidden="1">'#母公司报表'!$115:$120</definedName>
    <definedName name="Z_CCBE5FE4_7C99_480D_AA6F_DE25584A04B6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CD8908DD_6132_4C04_8187_43DEA3E886DD_.wvu.Cols" localSheetId="13" hidden="1">'#存货'!$E:$Y,'#存货'!$AA:$AB</definedName>
    <definedName name="Z_CD8908DD_6132_4C04_8187_43DEA3E886DD_.wvu.Cols" localSheetId="17" hidden="1">'#经营利润'!$D:$S,'#经营利润'!$X:$AC</definedName>
    <definedName name="Z_CD8908DD_6132_4C04_8187_43DEA3E886DD_.wvu.Cols" localSheetId="18" hidden="1">'#利润建议'!$B:$Y,'#利润建议'!$AF:$AN</definedName>
    <definedName name="Z_CD8908DD_6132_4C04_8187_43DEA3E886DD_.wvu.Cols" localSheetId="15" hidden="1">'#母公司报表'!$P:$P</definedName>
    <definedName name="Z_CD8908DD_6132_4C04_8187_43DEA3E886DD_.wvu.Cols" localSheetId="10" hidden="1">'#税金'!$B:$I,'#税金'!$K:$M,'#税金'!#REF!,'#税金'!$N:$T,'#税金'!$W:$Y</definedName>
    <definedName name="Z_CD8908DD_6132_4C04_8187_43DEA3E886DD_.wvu.Cols" localSheetId="12" hidden="1">'#现金流 (新)'!$C:$C,'#现金流 (新)'!$F:$L,'#现金流 (新)'!$O:$Q</definedName>
    <definedName name="Z_CD8908DD_6132_4C04_8187_43DEA3E886DD_.wvu.Cols" localSheetId="14" hidden="1">'#销量数据'!$C:$R,'#销量数据'!$W:$AB</definedName>
    <definedName name="Z_CD8908DD_6132_4C04_8187_43DEA3E886DD_.wvu.Cols" localSheetId="22" hidden="1">钢铁分析!$C:$E</definedName>
    <definedName name="Z_CD8908DD_6132_4C04_8187_43DEA3E886DD_.wvu.Cols" localSheetId="34" hidden="1">'利润（汇总）'!$D:$L,'利润（汇总）'!$O:$P</definedName>
    <definedName name="Z_CD8908DD_6132_4C04_8187_43DEA3E886DD_.wvu.Cols" localSheetId="32" hidden="1">'收入（关联）'!$C:$K,'收入（关联）'!$N:$O</definedName>
    <definedName name="Z_CD8908DD_6132_4C04_8187_43DEA3E886DD_.wvu.Cols" localSheetId="30" hidden="1">'收入（汇总）'!$D:$L,'收入（汇总）'!$O:$P</definedName>
    <definedName name="Z_CD8908DD_6132_4C04_8187_43DEA3E886DD_.wvu.PrintArea" localSheetId="15" hidden="1">'#母公司报表'!$A$1:$P$68</definedName>
    <definedName name="Z_CD8908DD_6132_4C04_8187_43DEA3E886DD_.wvu.Rows" localSheetId="13" hidden="1">'#存货'!$6:$6</definedName>
    <definedName name="Z_CD8908DD_6132_4C04_8187_43DEA3E886DD_.wvu.Rows" localSheetId="17" hidden="1">'#经营利润'!$11:$11,'#经营利润'!$35:$35,'#经营利润'!$29:$35,'#经营利润'!$40:$42</definedName>
    <definedName name="Z_CD8908DD_6132_4C04_8187_43DEA3E886DD_.wvu.Rows" localSheetId="18" hidden="1">'#利润建议'!$11:$11,'#利润建议'!$35:$35,'#利润建议'!$25:$35,'#利润建议'!$40:$42</definedName>
    <definedName name="Z_CD8908DD_6132_4C04_8187_43DEA3E886DD_.wvu.Rows" localSheetId="15" hidden="1">'#母公司报表'!$115:$120</definedName>
    <definedName name="Z_CD8908DD_6132_4C04_8187_43DEA3E886DD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CE28E1EC_A57F_4EB5_80C3_4BB2A36AEA01_.wvu.Cols" localSheetId="13" hidden="1">'#存货'!$E:$Y,'#存货'!$AA:$AB</definedName>
    <definedName name="Z_CE28E1EC_A57F_4EB5_80C3_4BB2A36AEA01_.wvu.Cols" localSheetId="17" hidden="1">'#经营利润'!$D:$S,'#经营利润'!$Z:$AC</definedName>
    <definedName name="Z_CE28E1EC_A57F_4EB5_80C3_4BB2A36AEA01_.wvu.Cols" localSheetId="18" hidden="1">'#利润建议'!$AF:$AN</definedName>
    <definedName name="Z_CE28E1EC_A57F_4EB5_80C3_4BB2A36AEA01_.wvu.Cols" localSheetId="15" hidden="1">'#母公司报表'!$P:$P</definedName>
    <definedName name="Z_CE28E1EC_A57F_4EB5_80C3_4BB2A36AEA01_.wvu.Cols" localSheetId="10" hidden="1">'#税金'!$B:$J,'#税金'!$L:$M,'#税金'!#REF!,'#税金'!$N:$U,'#税金'!$X:$Y</definedName>
    <definedName name="Z_CE28E1EC_A57F_4EB5_80C3_4BB2A36AEA01_.wvu.Cols" localSheetId="12" hidden="1">'#现金流 (新)'!$C:$C,'#现金流 (新)'!$F:$L,'#现金流 (新)'!$O:$Q</definedName>
    <definedName name="Z_CE28E1EC_A57F_4EB5_80C3_4BB2A36AEA01_.wvu.Cols" localSheetId="14" hidden="1">'#销量数据'!$C:$V</definedName>
    <definedName name="Z_CE28E1EC_A57F_4EB5_80C3_4BB2A36AEA01_.wvu.Cols" localSheetId="22" hidden="1">钢铁分析!$C:$E</definedName>
    <definedName name="Z_CE28E1EC_A57F_4EB5_80C3_4BB2A36AEA01_.wvu.Cols" localSheetId="34" hidden="1">'利润（汇总）'!$D:$L</definedName>
    <definedName name="Z_CE28E1EC_A57F_4EB5_80C3_4BB2A36AEA01_.wvu.Cols" localSheetId="32" hidden="1">'收入（关联）'!$C:$K</definedName>
    <definedName name="Z_CE28E1EC_A57F_4EB5_80C3_4BB2A36AEA01_.wvu.Cols" localSheetId="30" hidden="1">'收入（汇总）'!$D:$L</definedName>
    <definedName name="Z_CE28E1EC_A57F_4EB5_80C3_4BB2A36AEA01_.wvu.PrintArea" localSheetId="15" hidden="1">'#母公司报表'!$A$1:$P$68</definedName>
    <definedName name="Z_CE28E1EC_A57F_4EB5_80C3_4BB2A36AEA01_.wvu.Rows" localSheetId="13" hidden="1">'#存货'!$6:$6</definedName>
    <definedName name="Z_CE28E1EC_A57F_4EB5_80C3_4BB2A36AEA01_.wvu.Rows" localSheetId="17" hidden="1">'#经营利润'!$11:$11,'#经营利润'!$35:$35,'#经营利润'!$29:$35,'#经营利润'!$40:$42</definedName>
    <definedName name="Z_CE28E1EC_A57F_4EB5_80C3_4BB2A36AEA01_.wvu.Rows" localSheetId="18" hidden="1">'#利润建议'!$11:$11,'#利润建议'!$35:$35,'#利润建议'!$25:$35,'#利润建议'!$40:$42</definedName>
    <definedName name="Z_CE28E1EC_A57F_4EB5_80C3_4BB2A36AEA01_.wvu.Rows" localSheetId="15" hidden="1">'#母公司报表'!$115:$120</definedName>
    <definedName name="Z_CE28E1EC_A57F_4EB5_80C3_4BB2A36AEA01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CE99621D_21BB_4F99_8352_7B7C1D6E9806_.wvu.Cols" localSheetId="13" hidden="1">'#存货'!$E:$G,'#存货'!$I:$J,'#存货'!$L:$M</definedName>
    <definedName name="Z_CE99621D_21BB_4F99_8352_7B7C1D6E9806_.wvu.Cols" localSheetId="17" hidden="1">'#经营利润'!$D:$K,'#经营利润'!$P:$AC</definedName>
    <definedName name="Z_CE99621D_21BB_4F99_8352_7B7C1D6E9806_.wvu.Cols" localSheetId="18" hidden="1">'#利润建议'!$B:$J,'#利润建议'!$T:$AN</definedName>
    <definedName name="Z_CE99621D_21BB_4F99_8352_7B7C1D6E9806_.wvu.Cols" localSheetId="15" hidden="1">'#母公司报表'!$H:$O,'#母公司报表'!$P:$P</definedName>
    <definedName name="Z_CE99621D_21BB_4F99_8352_7B7C1D6E9806_.wvu.Cols" localSheetId="10" hidden="1">'#税金'!$B:$E,'#税金'!$G:$M,'#税金'!#REF!,'#税金'!$N:$P,'#税金'!$S:$Y</definedName>
    <definedName name="Z_CE99621D_21BB_4F99_8352_7B7C1D6E9806_.wvu.Cols" localSheetId="12" hidden="1">'#现金流 (新)'!$C:$C,'#现金流 (新)'!$F:$G,'#现金流 (新)'!$J:$Q</definedName>
    <definedName name="Z_CE99621D_21BB_4F99_8352_7B7C1D6E9806_.wvu.Cols" localSheetId="14" hidden="1">'#销量数据'!$C:$H,'#销量数据'!$M:$AB</definedName>
    <definedName name="Z_CE99621D_21BB_4F99_8352_7B7C1D6E9806_.wvu.Cols" localSheetId="22" hidden="1">钢铁分析!$C:$E</definedName>
    <definedName name="Z_CE99621D_21BB_4F99_8352_7B7C1D6E9806_.wvu.Cols" localSheetId="34" hidden="1">'利润（汇总）'!$J:$P</definedName>
    <definedName name="Z_CE99621D_21BB_4F99_8352_7B7C1D6E9806_.wvu.Cols" localSheetId="32" hidden="1">'收入（关联）'!$I:$O</definedName>
    <definedName name="Z_CE99621D_21BB_4F99_8352_7B7C1D6E9806_.wvu.Cols" localSheetId="30" hidden="1">'收入（汇总）'!$J:$P</definedName>
    <definedName name="Z_CE99621D_21BB_4F99_8352_7B7C1D6E9806_.wvu.PrintArea" localSheetId="15" hidden="1">'#母公司报表'!$A$1:$P$68</definedName>
    <definedName name="Z_CE99621D_21BB_4F99_8352_7B7C1D6E9806_.wvu.Rows" localSheetId="13" hidden="1">'#存货'!$6:$6</definedName>
    <definedName name="Z_CE99621D_21BB_4F99_8352_7B7C1D6E9806_.wvu.Rows" localSheetId="17" hidden="1">'#经营利润'!$11:$11,'#经营利润'!$35:$35,'#经营利润'!$30:$30,'#经营利润'!$32:$42</definedName>
    <definedName name="Z_CE99621D_21BB_4F99_8352_7B7C1D6E9806_.wvu.Rows" localSheetId="18" hidden="1">'#利润建议'!$11:$11,'#利润建议'!$35:$35,'#利润建议'!$26:$26,'#利润建议'!$32:$42</definedName>
    <definedName name="Z_CE99621D_21BB_4F99_8352_7B7C1D6E9806_.wvu.Rows" localSheetId="15" hidden="1">'#母公司报表'!$115:$120</definedName>
    <definedName name="Z_CE99621D_21BB_4F99_8352_7B7C1D6E9806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CF8E6A98_B9B0_4D1B_8486_C71A4EB78053_.wvu.Cols" localSheetId="13" hidden="1">'#存货'!$F:$F,'#存货'!$K:$AN</definedName>
    <definedName name="Z_CF8E6A98_B9B0_4D1B_8486_C71A4EB78053_.wvu.Cols" localSheetId="17" hidden="1">'#经营利润'!$D:$E,'#经营利润'!$J:$AC</definedName>
    <definedName name="Z_CF8E6A98_B9B0_4D1B_8486_C71A4EB78053_.wvu.Cols" localSheetId="18" hidden="1">'#利润建议'!$B:$D,'#利润建议'!$K:$AN</definedName>
    <definedName name="Z_CF8E6A98_B9B0_4D1B_8486_C71A4EB78053_.wvu.Cols" localSheetId="15" hidden="1">'#母公司报表'!$P:$P</definedName>
    <definedName name="Z_CF8E6A98_B9B0_4D1B_8486_C71A4EB78053_.wvu.Cols" localSheetId="10" hidden="1">'#税金'!$B:$B,'#税金'!$D:$M,'#税金'!#REF!,'#税金'!$P:$Y</definedName>
    <definedName name="Z_CF8E6A98_B9B0_4D1B_8486_C71A4EB78053_.wvu.Cols" localSheetId="12" hidden="1">'#现金流 (新)'!$C:$C,'#现金流 (新)'!$H:$Q</definedName>
    <definedName name="Z_CF8E6A98_B9B0_4D1B_8486_C71A4EB78053_.wvu.Cols" localSheetId="14" hidden="1">'#销量数据'!$C:$D,'#销量数据'!$I:$AB</definedName>
    <definedName name="Z_CF8E6A98_B9B0_4D1B_8486_C71A4EB78053_.wvu.Cols" localSheetId="39" hidden="1">产品质量!$G:$P</definedName>
    <definedName name="Z_CF8E6A98_B9B0_4D1B_8486_C71A4EB78053_.wvu.PrintArea" localSheetId="15" hidden="1">'#母公司报表'!$A$1:$P$68</definedName>
    <definedName name="Z_CF8E6A98_B9B0_4D1B_8486_C71A4EB78053_.wvu.Rows" localSheetId="13" hidden="1">'#存货'!$6:$6,'#存货'!$13:$13,'#存货'!#REF!,'#存货'!$16:$16,'#存货'!#REF!,'#存货'!#REF!,'#存货'!#REF!</definedName>
    <definedName name="Z_CF8E6A98_B9B0_4D1B_8486_C71A4EB78053_.wvu.Rows" localSheetId="17" hidden="1">'#经营利润'!$11:$11,'#经营利润'!$35:$35,'#经营利润'!$30:$35,'#经营利润'!$25:$35,'#经营利润'!$40:$42</definedName>
    <definedName name="Z_CF8E6A98_B9B0_4D1B_8486_C71A4EB78053_.wvu.Rows" localSheetId="18" hidden="1">'#利润建议'!$11:$11,'#利润建议'!$35:$35,'#利润建议'!$26:$35,'#利润建议'!$27:$35,'#利润建议'!$40:$42</definedName>
    <definedName name="Z_CF8E6A98_B9B0_4D1B_8486_C71A4EB78053_.wvu.Rows" localSheetId="15" hidden="1">'#母公司报表'!$115:$120</definedName>
    <definedName name="Z_CF8E6A98_B9B0_4D1B_8486_C71A4EB78053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D2091037_E852_48B3_9227_30AD45EB9743_.wvu.Cols" localSheetId="13" hidden="1">'#存货'!$V:$Y,'#存货'!$AA:$AB,'#存货'!$AD:$AE</definedName>
    <definedName name="Z_D2091037_E852_48B3_9227_30AD45EB9743_.wvu.Cols" localSheetId="17" hidden="1">'#经营利润'!$D:$U,'#经营利润'!$AB:$AC</definedName>
    <definedName name="Z_D2091037_E852_48B3_9227_30AD45EB9743_.wvu.Cols" localSheetId="18" hidden="1">'#利润建议'!$B:$AE,'#利润建议'!$AL:$AN</definedName>
    <definedName name="Z_D2091037_E852_48B3_9227_30AD45EB9743_.wvu.Cols" localSheetId="15" hidden="1">'#母公司报表'!$D:$F,'#母公司报表'!$P:$P</definedName>
    <definedName name="Z_D2091037_E852_48B3_9227_30AD45EB9743_.wvu.Cols" localSheetId="10" hidden="1">'#税金'!$B:$K,'#税金'!$M:$M,'#税金'!#REF!,'#税金'!$N:$V,'#税金'!$Y:$Y</definedName>
    <definedName name="Z_D2091037_E852_48B3_9227_30AD45EB9743_.wvu.Cols" localSheetId="12" hidden="1">'#现金流 (新)'!$F:$M,'#现金流 (新)'!$Q:$Q</definedName>
    <definedName name="Z_D2091037_E852_48B3_9227_30AD45EB9743_.wvu.Cols" localSheetId="14" hidden="1">'#销量数据'!$O:$T</definedName>
    <definedName name="Z_D2091037_E852_48B3_9227_30AD45EB9743_.wvu.Cols" localSheetId="39" hidden="1">产品质量!$D:$K</definedName>
    <definedName name="Z_D2091037_E852_48B3_9227_30AD45EB9743_.wvu.Cols" localSheetId="34" hidden="1">'利润（汇总）'!$C:$M,'利润（汇总）'!$P:$P</definedName>
    <definedName name="Z_D2091037_E852_48B3_9227_30AD45EB9743_.wvu.Cols" localSheetId="32" hidden="1">'收入（关联）'!$B:$L,'收入（关联）'!$O:$O</definedName>
    <definedName name="Z_D2091037_E852_48B3_9227_30AD45EB9743_.wvu.Cols" localSheetId="30" hidden="1">'收入（汇总）'!$C:$M,'收入（汇总）'!$P:$P</definedName>
    <definedName name="Z_D2091037_E852_48B3_9227_30AD45EB9743_.wvu.PrintArea" localSheetId="18" hidden="1">'#利润建议'!$A$1:$CA$35</definedName>
    <definedName name="Z_D2091037_E852_48B3_9227_30AD45EB9743_.wvu.PrintArea" localSheetId="15" hidden="1">'#母公司报表'!$A$1:$P$68</definedName>
    <definedName name="Z_D2091037_E852_48B3_9227_30AD45EB9743_.wvu.Rows" localSheetId="13" hidden="1">'#存货'!$6:$6,'#存货'!$13:$13,'#存货'!#REF!,'#存货'!$16:$16,'#存货'!#REF!,'#存货'!#REF!,'#存货'!#REF!</definedName>
    <definedName name="Z_D2091037_E852_48B3_9227_30AD45EB9743_.wvu.Rows" localSheetId="15" hidden="1">'#母公司报表'!$115:$120</definedName>
    <definedName name="Z_D2091037_E852_48B3_9227_30AD45EB9743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D4551A80_3DA6_4647_829D_29E11141F03A_.wvu.Cols" localSheetId="13" hidden="1">'#存货'!$E:$Y,'#存货'!$AA:$AB</definedName>
    <definedName name="Z_D4551A80_3DA6_4647_829D_29E11141F03A_.wvu.Cols" localSheetId="17" hidden="1">'#经营利润'!$D:$S,'#经营利润'!$X:$AC</definedName>
    <definedName name="Z_D4551A80_3DA6_4647_829D_29E11141F03A_.wvu.Cols" localSheetId="18" hidden="1">'#利润建议'!$B:$Y,'#利润建议'!$AF:$AN</definedName>
    <definedName name="Z_D4551A80_3DA6_4647_829D_29E11141F03A_.wvu.Cols" localSheetId="15" hidden="1">'#母公司报表'!$P:$P</definedName>
    <definedName name="Z_D4551A80_3DA6_4647_829D_29E11141F03A_.wvu.Cols" localSheetId="10" hidden="1">'#税金'!$B:$I,'#税金'!$K:$M,'#税金'!#REF!,'#税金'!$N:$T,'#税金'!$W:$Y</definedName>
    <definedName name="Z_D4551A80_3DA6_4647_829D_29E11141F03A_.wvu.Cols" localSheetId="12" hidden="1">'#现金流 (新)'!$C:$C,'#现金流 (新)'!$F:$L,'#现金流 (新)'!$O:$Q</definedName>
    <definedName name="Z_D4551A80_3DA6_4647_829D_29E11141F03A_.wvu.Cols" localSheetId="14" hidden="1">'#销量数据'!$C:$R,'#销量数据'!$W:$AB</definedName>
    <definedName name="Z_D4551A80_3DA6_4647_829D_29E11141F03A_.wvu.Cols" localSheetId="22" hidden="1">钢铁分析!$C:$E</definedName>
    <definedName name="Z_D4551A80_3DA6_4647_829D_29E11141F03A_.wvu.Cols" localSheetId="34" hidden="1">'利润（汇总）'!$D:$L</definedName>
    <definedName name="Z_D4551A80_3DA6_4647_829D_29E11141F03A_.wvu.Cols" localSheetId="32" hidden="1">'收入（关联）'!$C:$K</definedName>
    <definedName name="Z_D4551A80_3DA6_4647_829D_29E11141F03A_.wvu.Cols" localSheetId="30" hidden="1">'收入（汇总）'!$D:$L</definedName>
    <definedName name="Z_D4551A80_3DA6_4647_829D_29E11141F03A_.wvu.PrintArea" localSheetId="15" hidden="1">'#母公司报表'!$A$1:$P$68</definedName>
    <definedName name="Z_D4551A80_3DA6_4647_829D_29E11141F03A_.wvu.Rows" localSheetId="13" hidden="1">'#存货'!$6:$6</definedName>
    <definedName name="Z_D4551A80_3DA6_4647_829D_29E11141F03A_.wvu.Rows" localSheetId="17" hidden="1">'#经营利润'!$11:$11,'#经营利润'!$35:$35,'#经营利润'!$29:$35,'#经营利润'!$40:$42</definedName>
    <definedName name="Z_D4551A80_3DA6_4647_829D_29E11141F03A_.wvu.Rows" localSheetId="18" hidden="1">'#利润建议'!$11:$11,'#利润建议'!$35:$35,'#利润建议'!$25:$35,'#利润建议'!$40:$42</definedName>
    <definedName name="Z_D4551A80_3DA6_4647_829D_29E11141F03A_.wvu.Rows" localSheetId="15" hidden="1">'#母公司报表'!$115:$120</definedName>
    <definedName name="Z_D4551A80_3DA6_4647_829D_29E11141F03A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D47DC979_FC78_48C9_94E1_D800CC832C6C_.wvu.Cols" localSheetId="13" hidden="1">'#存货'!$E:$S,'#存货'!$U:$V</definedName>
    <definedName name="Z_D47DC979_FC78_48C9_94E1_D800CC832C6C_.wvu.Cols" localSheetId="17" hidden="1">'#经营利润'!$D:$O,'#经营利润'!$T:$AC</definedName>
    <definedName name="Z_D47DC979_FC78_48C9_94E1_D800CC832C6C_.wvu.Cols" localSheetId="18" hidden="1">'#利润建议'!$B:$S,'#利润建议'!$Z:$AN</definedName>
    <definedName name="Z_D47DC979_FC78_48C9_94E1_D800CC832C6C_.wvu.Cols" localSheetId="15" hidden="1">'#母公司报表'!$K:$O,'#母公司报表'!$P:$P</definedName>
    <definedName name="Z_D47DC979_FC78_48C9_94E1_D800CC832C6C_.wvu.Cols" localSheetId="10" hidden="1">'#税金'!$B:$G,'#税金'!$I:$M,'#税金'!#REF!,'#税金'!$N:$R,'#税金'!$U:$Y</definedName>
    <definedName name="Z_D47DC979_FC78_48C9_94E1_D800CC832C6C_.wvu.Cols" localSheetId="12" hidden="1">'#现金流 (新)'!$C:$C,'#现金流 (新)'!$F:$J,'#现金流 (新)'!$M:$Q</definedName>
    <definedName name="Z_D47DC979_FC78_48C9_94E1_D800CC832C6C_.wvu.Cols" localSheetId="14" hidden="1">'#销量数据'!$C:$N,'#销量数据'!$S:$AB</definedName>
    <definedName name="Z_D47DC979_FC78_48C9_94E1_D800CC832C6C_.wvu.Cols" localSheetId="22" hidden="1">钢铁分析!$C:$E</definedName>
    <definedName name="Z_D47DC979_FC78_48C9_94E1_D800CC832C6C_.wvu.Cols" localSheetId="34" hidden="1">'利润（汇总）'!$E:$I</definedName>
    <definedName name="Z_D47DC979_FC78_48C9_94E1_D800CC832C6C_.wvu.Cols" localSheetId="32" hidden="1">'收入（关联）'!$D:$H</definedName>
    <definedName name="Z_D47DC979_FC78_48C9_94E1_D800CC832C6C_.wvu.Cols" localSheetId="30" hidden="1">'收入（汇总）'!$E:$I</definedName>
    <definedName name="Z_D47DC979_FC78_48C9_94E1_D800CC832C6C_.wvu.PrintArea" localSheetId="15" hidden="1">'#母公司报表'!$A$1:$P$68</definedName>
    <definedName name="Z_D47DC979_FC78_48C9_94E1_D800CC832C6C_.wvu.Rows" localSheetId="13" hidden="1">'#存货'!$6:$6</definedName>
    <definedName name="Z_D47DC979_FC78_48C9_94E1_D800CC832C6C_.wvu.Rows" localSheetId="17" hidden="1">'#经营利润'!#REF!,'#经营利润'!$35:$35,'#经营利润'!$29:$35,'#经营利润'!$27:$27,'#经营利润'!$40:$42</definedName>
    <definedName name="Z_D47DC979_FC78_48C9_94E1_D800CC832C6C_.wvu.Rows" localSheetId="18" hidden="1">'#利润建议'!#REF!,'#利润建议'!$35:$35,'#利润建议'!$25:$35,'#利润建议'!$29:$29,'#利润建议'!$40:$42</definedName>
    <definedName name="Z_D47DC979_FC78_48C9_94E1_D800CC832C6C_.wvu.Rows" localSheetId="15" hidden="1">'#母公司报表'!$115:$120</definedName>
    <definedName name="Z_D47DC979_FC78_48C9_94E1_D800CC832C6C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D4B65C4C_FD92_435E_A98A_BE352E9AE6DF_.wvu.Cols" localSheetId="13" hidden="1">'#存货'!$E:$P,'#存货'!$R:$S,'#存货'!$W:$AN</definedName>
    <definedName name="Z_D4B65C4C_FD92_435E_A98A_BE352E9AE6DF_.wvu.Cols" localSheetId="17" hidden="1">'#经营利润'!$D:$K,'#经营利润'!$R:$AC</definedName>
    <definedName name="Z_D4B65C4C_FD92_435E_A98A_BE352E9AE6DF_.wvu.Cols" localSheetId="18" hidden="1">'#利润建议'!$B:$P,'#利润建议'!$W:$AN</definedName>
    <definedName name="Z_D4B65C4C_FD92_435E_A98A_BE352E9AE6DF_.wvu.Cols" localSheetId="15" hidden="1">'#母公司报表'!$J:$O,'#母公司报表'!$P:$P</definedName>
    <definedName name="Z_D4B65C4C_FD92_435E_A98A_BE352E9AE6DF_.wvu.Cols" localSheetId="10" hidden="1">'#税金'!$B:$D,'#税金'!$F:$M,'#税金'!#REF!,'#税金'!$N:$O,'#税金'!$R:$Y</definedName>
    <definedName name="Z_D4B65C4C_FD92_435E_A98A_BE352E9AE6DF_.wvu.Cols" localSheetId="12" hidden="1">'#现金流 (新)'!$C:$C,'#现金流 (新)'!$F:$H,'#现金流 (新)'!$K:$Q</definedName>
    <definedName name="Z_D4B65C4C_FD92_435E_A98A_BE352E9AE6DF_.wvu.Cols" localSheetId="14" hidden="1">'#销量数据'!$C:$H,'#销量数据'!$Q:$AB</definedName>
    <definedName name="Z_D4B65C4C_FD92_435E_A98A_BE352E9AE6DF_.wvu.Cols" localSheetId="22" hidden="1">钢铁分析!$C:$E</definedName>
    <definedName name="Z_D4B65C4C_FD92_435E_A98A_BE352E9AE6DF_.wvu.PrintArea" localSheetId="15" hidden="1">'#母公司报表'!$A$1:$P$68</definedName>
    <definedName name="Z_D4B65C4C_FD92_435E_A98A_BE352E9AE6DF_.wvu.Rows" localSheetId="13" hidden="1">'#存货'!$6:$6</definedName>
    <definedName name="Z_D4B65C4C_FD92_435E_A98A_BE352E9AE6DF_.wvu.Rows" localSheetId="17" hidden="1">'#经营利润'!$11:$11,'#经营利润'!$35:$35,'#经营利润'!$30:$30,'#经营利润'!$32:$42</definedName>
    <definedName name="Z_D4B65C4C_FD92_435E_A98A_BE352E9AE6DF_.wvu.Rows" localSheetId="15" hidden="1">'#母公司报表'!$115:$120</definedName>
    <definedName name="Z_D66B8A9D_AE38_4794_AE50_360E767370F7_.wvu.Cols" localSheetId="13" hidden="1">'#存货'!$E:$G,'#存货'!$N:$AN</definedName>
    <definedName name="Z_D66B8A9D_AE38_4794_AE50_360E767370F7_.wvu.Cols" localSheetId="17" hidden="1">'#经营利润'!$D:$E,'#经营利润'!$L:$AC</definedName>
    <definedName name="Z_D66B8A9D_AE38_4794_AE50_360E767370F7_.wvu.Cols" localSheetId="15" hidden="1">'#母公司报表'!$G:$O,'#母公司报表'!$P:$P</definedName>
    <definedName name="Z_D66B8A9D_AE38_4794_AE50_360E767370F7_.wvu.Cols" localSheetId="10" hidden="1">'#税金'!$B:$C,'#税金'!$E:$M,'#税金'!#REF!,'#税金'!$N:$N,'#税金'!$Q:$Y</definedName>
    <definedName name="Z_D66B8A9D_AE38_4794_AE50_360E767370F7_.wvu.Cols" localSheetId="12" hidden="1">'#现金流 (新)'!$C:$C,'#现金流 (新)'!$H:$Q</definedName>
    <definedName name="Z_D66B8A9D_AE38_4794_AE50_360E767370F7_.wvu.Cols" localSheetId="22" hidden="1">钢铁分析!$C:$E</definedName>
    <definedName name="Z_D66B8A9D_AE38_4794_AE50_360E767370F7_.wvu.PrintArea" localSheetId="15" hidden="1">'#母公司报表'!$A$1:$P$68</definedName>
    <definedName name="Z_D66B8A9D_AE38_4794_AE50_360E767370F7_.wvu.Rows" localSheetId="13" hidden="1">'#存货'!$6:$6</definedName>
    <definedName name="Z_D66B8A9D_AE38_4794_AE50_360E767370F7_.wvu.Rows" localSheetId="17" hidden="1">'#经营利润'!$11:$11,'#经营利润'!$35:$35,'#经营利润'!$30:$35,'#经营利润'!$25:$35,'#经营利润'!$40:$42</definedName>
    <definedName name="Z_D66B8A9D_AE38_4794_AE50_360E767370F7_.wvu.Rows" localSheetId="18" hidden="1">'#利润建议'!$11:$11,'#利润建议'!$35:$35,'#利润建议'!$26:$35,'#利润建议'!$27:$35,'#利润建议'!$40:$42</definedName>
    <definedName name="Z_D66B8A9D_AE38_4794_AE50_360E767370F7_.wvu.Rows" localSheetId="15" hidden="1">'#母公司报表'!$115:$120</definedName>
    <definedName name="Z_D66B8A9D_AE38_4794_AE50_360E767370F7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D7BCFB76_2797_401D_A6F1_E020B5162DD4_.wvu.Cols" localSheetId="13" hidden="1">'#存货'!$V:$AY</definedName>
    <definedName name="Z_D7BCFB76_2797_401D_A6F1_E020B5162DD4_.wvu.Cols" localSheetId="20" hidden="1">'#分板块利润分析'!$E:$E,'#分板块利润分析'!$N:$N</definedName>
    <definedName name="Z_D7BCFB76_2797_401D_A6F1_E020B5162DD4_.wvu.Cols" localSheetId="17" hidden="1">'#经营利润'!$B:$Y</definedName>
    <definedName name="Z_D7BCFB76_2797_401D_A6F1_E020B5162DD4_.wvu.Cols" localSheetId="18" hidden="1">'#利润建议'!$B:$AY,'#利润建议'!$BG:$BX</definedName>
    <definedName name="Z_D7BCFB76_2797_401D_A6F1_E020B5162DD4_.wvu.Cols" localSheetId="31" hidden="1">'#收入完成情况'!$D:$D,'#收入完成情况'!$I:$I,'#收入完成情况'!$M:$M,'#收入完成情况'!$O:$O</definedName>
    <definedName name="Z_D7BCFB76_2797_401D_A6F1_E020B5162DD4_.wvu.Cols" localSheetId="37" hidden="1">'#投资收益'!$B:$AO</definedName>
    <definedName name="Z_D7BCFB76_2797_401D_A6F1_E020B5162DD4_.wvu.Cols" localSheetId="12" hidden="1">'#现金流 (新)'!$C:$C,'#现金流 (新)'!$F:$Q,'#现金流 (新)'!$S:$AE,'#现金流 (新)'!$AJ:$AJ,'#现金流 (新)'!$AM:$AM</definedName>
    <definedName name="Z_D7BCFB76_2797_401D_A6F1_E020B5162DD4_.wvu.Cols" localSheetId="1" hidden="1">'@预测#利润分析#'!$D:$D</definedName>
    <definedName name="Z_D7BCFB76_2797_401D_A6F1_E020B5162DD4_.wvu.Cols" localSheetId="5" hidden="1">'@预测#收入利润#'!$B:$D,'@预测#收入利润#'!$F:$G,'@预测#收入利润#'!$P:$P,'@预测#收入利润#'!$T:$V</definedName>
    <definedName name="Z_D7BCFB76_2797_401D_A6F1_E020B5162DD4_.wvu.Cols" localSheetId="27" hidden="1">Sheet1!$AC:$AK</definedName>
    <definedName name="Z_D7BCFB76_2797_401D_A6F1_E020B5162DD4_.wvu.Cols" localSheetId="35" hidden="1">画图!$O:$O</definedName>
    <definedName name="Z_D7BCFB76_2797_401D_A6F1_E020B5162DD4_.wvu.PrintArea" localSheetId="16" hidden="1">'#经营概况'!$B$322:$O$379</definedName>
    <definedName name="Z_D7BCFB76_2797_401D_A6F1_E020B5162DD4_.wvu.PrintArea" localSheetId="17" hidden="1">'#经营利润'!$A$3:$BC$46</definedName>
    <definedName name="Z_D7BCFB76_2797_401D_A6F1_E020B5162DD4_.wvu.PrintArea" localSheetId="15" hidden="1">'#母公司报表'!$A$1:$P$68</definedName>
    <definedName name="Z_D7BCFB76_2797_401D_A6F1_E020B5162DD4_.wvu.PrintArea" localSheetId="42" hidden="1">'@产量打印#不锈钢'!$A$3:$K$42</definedName>
    <definedName name="Z_D7BCFB76_2797_401D_A6F1_E020B5162DD4_.wvu.PrintArea" localSheetId="44" hidden="1">'@产量打印#材'!$A$3:$K$35</definedName>
    <definedName name="Z_D7BCFB76_2797_401D_A6F1_E020B5162DD4_.wvu.PrintArea" localSheetId="40" hidden="1">'@产量打印#概况'!$A$4:$Q$30</definedName>
    <definedName name="Z_D7BCFB76_2797_401D_A6F1_E020B5162DD4_.wvu.PrintArea" localSheetId="43" hidden="1">'@产量打印#钢'!$A$3:$K$35</definedName>
    <definedName name="Z_D7BCFB76_2797_401D_A6F1_E020B5162DD4_.wvu.PrintArea" localSheetId="41" hidden="1">'@产量打印#矿产品'!$A$3:$K$46</definedName>
    <definedName name="Z_D7BCFB76_2797_401D_A6F1_E020B5162DD4_.wvu.PrintArea" localSheetId="6" hidden="1">'@预测#股份关联价（打印）'!$B$3:$K$22</definedName>
    <definedName name="Z_D7BCFB76_2797_401D_A6F1_E020B5162DD4_.wvu.PrintArea" localSheetId="27" hidden="1">Sheet1!$A$3:$AN$11</definedName>
    <definedName name="Z_D7BCFB76_2797_401D_A6F1_E020B5162DD4_.wvu.Rows" localSheetId="13" hidden="1">'#存货'!$6:$6</definedName>
    <definedName name="Z_D7BCFB76_2797_401D_A6F1_E020B5162DD4_.wvu.Rows" localSheetId="20" hidden="1">'#分板块利润分析'!$70:$72</definedName>
    <definedName name="Z_D7BCFB76_2797_401D_A6F1_E020B5162DD4_.wvu.Rows" localSheetId="16" hidden="1">'#经营概况'!$98:$99,'#经营概况'!$179:$180</definedName>
    <definedName name="Z_D7BCFB76_2797_401D_A6F1_E020B5162DD4_.wvu.Rows" localSheetId="18" hidden="1">'#利润建议'!$16:$22,'#利润建议'!$25:$42</definedName>
    <definedName name="Z_D7BCFB76_2797_401D_A6F1_E020B5162DD4_.wvu.Rows" localSheetId="11" hidden="1">'#子分公司分析'!$4:$6,'#子分公司分析'!$11:$11,'#子分公司分析'!$13:$13,'#子分公司分析'!$21:$21,'#子分公司分析'!$28:$28,'#子分公司分析'!$33:$33</definedName>
    <definedName name="Z_D7BCFB76_2797_401D_A6F1_E020B5162DD4_.wvu.Rows" localSheetId="1" hidden="1">'@预测#利润分析#'!$59:$59</definedName>
    <definedName name="Z_D8556ED2_F799_42DF_8E7B_781F260F5A8E_.wvu.Cols" localSheetId="13" hidden="1">'#存货'!$AF:$AN</definedName>
    <definedName name="Z_D8556ED2_F799_42DF_8E7B_781F260F5A8E_.wvu.Cols" localSheetId="17" hidden="1">'#经营利润'!$D:$O,'#经营利润'!$X:$AC</definedName>
    <definedName name="Z_D8556ED2_F799_42DF_8E7B_781F260F5A8E_.wvu.Cols" localSheetId="18" hidden="1">'#利润建议'!$B:$Y,'#利润建议'!$AF:$AN</definedName>
    <definedName name="Z_D8556ED2_F799_42DF_8E7B_781F260F5A8E_.wvu.Cols" localSheetId="15" hidden="1">'#母公司报表'!$D:$J,'#母公司报表'!$M:$O</definedName>
    <definedName name="Z_D8556ED2_F799_42DF_8E7B_781F260F5A8E_.wvu.Cols" localSheetId="10" hidden="1">'#税金'!$B:$H,'#税金'!$J:$M,'#税金'!#REF!,'#税金'!$N:$S,'#税金'!$V:$Y</definedName>
    <definedName name="Z_D8556ED2_F799_42DF_8E7B_781F260F5A8E_.wvu.Cols" localSheetId="12" hidden="1">'#现金流 (新)'!$F:$K,'#现金流 (新)'!$N:$Q</definedName>
    <definedName name="Z_D8556ED2_F799_42DF_8E7B_781F260F5A8E_.wvu.Cols" localSheetId="14" hidden="1">'#销量数据'!$W:$AB</definedName>
    <definedName name="Z_D8556ED2_F799_42DF_8E7B_781F260F5A8E_.wvu.Cols" localSheetId="39" hidden="1">产品质量!$E:$M</definedName>
    <definedName name="Z_D8556ED2_F799_42DF_8E7B_781F260F5A8E_.wvu.Cols" localSheetId="34" hidden="1">'利润（汇总）'!$C:$K,'利润（汇总）'!$N:$P</definedName>
    <definedName name="Z_D8556ED2_F799_42DF_8E7B_781F260F5A8E_.wvu.Cols" localSheetId="32" hidden="1">'收入（关联）'!$B:$J,'收入（关联）'!$M:$O</definedName>
    <definedName name="Z_D8556ED2_F799_42DF_8E7B_781F260F5A8E_.wvu.Cols" localSheetId="30" hidden="1">'收入（汇总）'!$C:$K,'收入（汇总）'!$N:$P</definedName>
    <definedName name="Z_D8556ED2_F799_42DF_8E7B_781F260F5A8E_.wvu.PrintArea" localSheetId="18" hidden="1">'#利润建议'!$A$1:$CA$44</definedName>
    <definedName name="Z_D8556ED2_F799_42DF_8E7B_781F260F5A8E_.wvu.Rows" localSheetId="18" hidden="1">'#利润建议'!$11:$11,'#利润建议'!#REF!</definedName>
    <definedName name="Z_D8556ED2_F799_42DF_8E7B_781F260F5A8E_.wvu.Rows" localSheetId="15" hidden="1">'#母公司报表'!$115:$120</definedName>
    <definedName name="Z_D8556ED2_F799_42DF_8E7B_781F260F5A8E_.wvu.Rows" localSheetId="14" hidden="1">'#销量数据'!$6:$6,'#销量数据'!$27:$28,'#销量数据'!$30:$33,'#销量数据'!$41:$44,'#销量数据'!$46:$49,'#销量数据'!$56:$59,'#销量数据'!$61:$62,'#销量数据'!$65:$65,'#销量数据'!#REF!</definedName>
    <definedName name="Z_DE711BB9_FDF5_4FE9_8267_8D375340DC77_.wvu.Cols" localSheetId="13" hidden="1">'#存货'!$Q:$AB,'#存货'!$AD:$AE,'#存货'!$AG:$AH</definedName>
    <definedName name="Z_DE711BB9_FDF5_4FE9_8267_8D375340DC77_.wvu.Cols" localSheetId="18" hidden="1">'#利润建议'!$B:$O</definedName>
    <definedName name="Z_DE711BB9_FDF5_4FE9_8267_8D375340DC77_.wvu.Cols" localSheetId="15" hidden="1">'#母公司报表'!$P:$P</definedName>
    <definedName name="Z_DE711BB9_FDF5_4FE9_8267_8D375340DC77_.wvu.Cols" localSheetId="10" hidden="1">'#税金'!$B:$L,'#税金'!#REF!,'#税金'!$N:$V</definedName>
    <definedName name="Z_DE711BB9_FDF5_4FE9_8267_8D375340DC77_.wvu.Cols" localSheetId="12" hidden="1">'#现金流 (新)'!$F:$N</definedName>
    <definedName name="Z_DE711BB9_FDF5_4FE9_8267_8D375340DC77_.wvu.Cols" localSheetId="14" hidden="1">'#销量数据'!$U:$X</definedName>
    <definedName name="Z_DE711BB9_FDF5_4FE9_8267_8D375340DC77_.wvu.Cols" localSheetId="39" hidden="1">产品质量!$E:$M</definedName>
    <definedName name="Z_DE711BB9_FDF5_4FE9_8267_8D375340DC77_.wvu.Cols" localSheetId="34" hidden="1">'利润（汇总）'!$C:$G</definedName>
    <definedName name="Z_DE711BB9_FDF5_4FE9_8267_8D375340DC77_.wvu.Cols" localSheetId="32" hidden="1">'收入（关联）'!$B:$F</definedName>
    <definedName name="Z_DE711BB9_FDF5_4FE9_8267_8D375340DC77_.wvu.Cols" localSheetId="30" hidden="1">'收入（汇总）'!$C:$G</definedName>
    <definedName name="Z_DE711BB9_FDF5_4FE9_8267_8D375340DC77_.wvu.Rows" localSheetId="15" hidden="1">'#母公司报表'!$115:$120</definedName>
    <definedName name="Z_DE711BB9_FDF5_4FE9_8267_8D375340DC77_.wvu.Rows" localSheetId="14" hidden="1">'#销量数据'!$6:$7,'#销量数据'!$26:$28,'#销量数据'!$30:$33,'#销量数据'!$35:$38,'#销量数据'!$41:$44,'#销量数据'!$46:$49,'#销量数据'!$56:$56,'#销量数据'!$61:$62,'#销量数据'!$65:$65</definedName>
    <definedName name="Z_DE7F5D60_CDF4_4D19_B2BD_595BC8E40337_.wvu.Cols" localSheetId="13" hidden="1">'#存货'!$E:$S,'#存货'!$U:$V</definedName>
    <definedName name="Z_DE7F5D60_CDF4_4D19_B2BD_595BC8E40337_.wvu.Cols" localSheetId="17" hidden="1">'#经营利润'!$D:$O,'#经营利润'!$T:$AC</definedName>
    <definedName name="Z_DE7F5D60_CDF4_4D19_B2BD_595BC8E40337_.wvu.Cols" localSheetId="18" hidden="1">'#利润建议'!$B:$S,'#利润建议'!$Z:$AN</definedName>
    <definedName name="Z_DE7F5D60_CDF4_4D19_B2BD_595BC8E40337_.wvu.Cols" localSheetId="15" hidden="1">'#母公司报表'!$K:$O,'#母公司报表'!$P:$P</definedName>
    <definedName name="Z_DE7F5D60_CDF4_4D19_B2BD_595BC8E40337_.wvu.Cols" localSheetId="10" hidden="1">'#税金'!$B:$G,'#税金'!$I:$M,'#税金'!#REF!,'#税金'!$N:$R,'#税金'!$U:$Y</definedName>
    <definedName name="Z_DE7F5D60_CDF4_4D19_B2BD_595BC8E40337_.wvu.Cols" localSheetId="12" hidden="1">'#现金流 (新)'!$C:$C,'#现金流 (新)'!$F:$J,'#现金流 (新)'!$M:$Q</definedName>
    <definedName name="Z_DE7F5D60_CDF4_4D19_B2BD_595BC8E40337_.wvu.Cols" localSheetId="14" hidden="1">'#销量数据'!$C:$N,'#销量数据'!$S:$AB</definedName>
    <definedName name="Z_DE7F5D60_CDF4_4D19_B2BD_595BC8E40337_.wvu.Cols" localSheetId="22" hidden="1">钢铁分析!$C:$E</definedName>
    <definedName name="Z_DE7F5D60_CDF4_4D19_B2BD_595BC8E40337_.wvu.Cols" localSheetId="34" hidden="1">'利润（汇总）'!$E:$I</definedName>
    <definedName name="Z_DE7F5D60_CDF4_4D19_B2BD_595BC8E40337_.wvu.Cols" localSheetId="32" hidden="1">'收入（关联）'!$D:$H</definedName>
    <definedName name="Z_DE7F5D60_CDF4_4D19_B2BD_595BC8E40337_.wvu.Cols" localSheetId="30" hidden="1">'收入（汇总）'!$E:$I</definedName>
    <definedName name="Z_DE7F5D60_CDF4_4D19_B2BD_595BC8E40337_.wvu.PrintArea" localSheetId="15" hidden="1">'#母公司报表'!$A$1:$P$68</definedName>
    <definedName name="Z_DE7F5D60_CDF4_4D19_B2BD_595BC8E40337_.wvu.Rows" localSheetId="13" hidden="1">'#存货'!$6:$6</definedName>
    <definedName name="Z_DE7F5D60_CDF4_4D19_B2BD_595BC8E40337_.wvu.Rows" localSheetId="17" hidden="1">'#经营利润'!#REF!,'#经营利润'!$35:$35,'#经营利润'!$29:$35,'#经营利润'!$27:$27,'#经营利润'!$40:$42</definedName>
    <definedName name="Z_DE7F5D60_CDF4_4D19_B2BD_595BC8E40337_.wvu.Rows" localSheetId="18" hidden="1">'#利润建议'!#REF!,'#利润建议'!$35:$35,'#利润建议'!$25:$35,'#利润建议'!$29:$29,'#利润建议'!$40:$42</definedName>
    <definedName name="Z_DE7F5D60_CDF4_4D19_B2BD_595BC8E40337_.wvu.Rows" localSheetId="15" hidden="1">'#母公司报表'!$115:$120</definedName>
    <definedName name="Z_DE7F5D60_CDF4_4D19_B2BD_595BC8E40337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DE8E8808_8C46_4F6B_BD3B_880E6D36DA56_.wvu.Cols" localSheetId="13" hidden="1">'#存货'!$E:$V,'#存货'!$X:$Y</definedName>
    <definedName name="Z_DE8E8808_8C46_4F6B_BD3B_880E6D36DA56_.wvu.Cols" localSheetId="17" hidden="1">'#经营利润'!$D:$O,'#经营利润'!$V:$AC</definedName>
    <definedName name="Z_DE8E8808_8C46_4F6B_BD3B_880E6D36DA56_.wvu.Cols" localSheetId="18" hidden="1">'#利润建议'!$B:$V,'#利润建议'!$AC:$AN</definedName>
    <definedName name="Z_DE8E8808_8C46_4F6B_BD3B_880E6D36DA56_.wvu.Cols" localSheetId="15" hidden="1">'#母公司报表'!$L:$O,'#母公司报表'!$P:$P</definedName>
    <definedName name="Z_DE8E8808_8C46_4F6B_BD3B_880E6D36DA56_.wvu.Cols" localSheetId="10" hidden="1">'#税金'!$B:$H,'#税金'!$J:$M,'#税金'!#REF!,'#税金'!$N:$S,'#税金'!$V:$Y</definedName>
    <definedName name="Z_DE8E8808_8C46_4F6B_BD3B_880E6D36DA56_.wvu.Cols" localSheetId="12" hidden="1">'#现金流 (新)'!$C:$C,'#现金流 (新)'!$F:$K,'#现金流 (新)'!$N:$Q</definedName>
    <definedName name="Z_DE8E8808_8C46_4F6B_BD3B_880E6D36DA56_.wvu.Cols" localSheetId="14" hidden="1">'#销量数据'!$C:$P,'#销量数据'!$U:$AB</definedName>
    <definedName name="Z_DE8E8808_8C46_4F6B_BD3B_880E6D36DA56_.wvu.Cols" localSheetId="22" hidden="1">钢铁分析!$C:$E</definedName>
    <definedName name="Z_DE8E8808_8C46_4F6B_BD3B_880E6D36DA56_.wvu.Cols" localSheetId="34" hidden="1">'利润（汇总）'!$E:$I,'利润（汇总）'!$M:$P</definedName>
    <definedName name="Z_DE8E8808_8C46_4F6B_BD3B_880E6D36DA56_.wvu.Cols" localSheetId="32" hidden="1">'收入（关联）'!$D:$H,'收入（关联）'!$L:$O</definedName>
    <definedName name="Z_DE8E8808_8C46_4F6B_BD3B_880E6D36DA56_.wvu.Cols" localSheetId="30" hidden="1">'收入（汇总）'!$E:$I,'收入（汇总）'!$M:$P</definedName>
    <definedName name="Z_DE8E8808_8C46_4F6B_BD3B_880E6D36DA56_.wvu.PrintArea" localSheetId="15" hidden="1">'#母公司报表'!$A$1:$P$68</definedName>
    <definedName name="Z_DE8E8808_8C46_4F6B_BD3B_880E6D36DA56_.wvu.Rows" localSheetId="13" hidden="1">'#存货'!$6:$6</definedName>
    <definedName name="Z_DE8E8808_8C46_4F6B_BD3B_880E6D36DA56_.wvu.Rows" localSheetId="17" hidden="1">'#经营利润'!#REF!</definedName>
    <definedName name="Z_DE8E8808_8C46_4F6B_BD3B_880E6D36DA56_.wvu.Rows" localSheetId="15" hidden="1">'#母公司报表'!$115:$120</definedName>
    <definedName name="Z_DE8E8808_8C46_4F6B_BD3B_880E6D36DA56_.wvu.Rows" localSheetId="14" hidden="1">'#销量数据'!$6:$7,'#销量数据'!$27:$28,'#销量数据'!$61:$62,'#销量数据'!$65:$65,'#销量数据'!#REF!</definedName>
    <definedName name="Z_DF0CD9B1_0C58_4A1F_BE30_0186D5EFB097_.wvu.Cols" localSheetId="13" hidden="1">'#存货'!$E:$V,'#存货'!$X:$Y</definedName>
    <definedName name="Z_DF0CD9B1_0C58_4A1F_BE30_0186D5EFB097_.wvu.Cols" localSheetId="17" hidden="1">'#经营利润'!$D:$Q,'#经营利润'!$V:$AC</definedName>
    <definedName name="Z_DF0CD9B1_0C58_4A1F_BE30_0186D5EFB097_.wvu.Cols" localSheetId="18" hidden="1">'#利润建议'!$B:$V,'#利润建议'!$AC:$AN</definedName>
    <definedName name="Z_DF0CD9B1_0C58_4A1F_BE30_0186D5EFB097_.wvu.Cols" localSheetId="15" hidden="1">'#母公司报表'!$L:$O,'#母公司报表'!$P:$P</definedName>
    <definedName name="Z_DF0CD9B1_0C58_4A1F_BE30_0186D5EFB097_.wvu.Cols" localSheetId="10" hidden="1">'#税金'!$B:$H,'#税金'!$J:$M,'#税金'!#REF!,'#税金'!$N:$S,'#税金'!$V:$Y</definedName>
    <definedName name="Z_DF0CD9B1_0C58_4A1F_BE30_0186D5EFB097_.wvu.Cols" localSheetId="12" hidden="1">'#现金流 (新)'!$C:$C,'#现金流 (新)'!$F:$K,'#现金流 (新)'!$N:$Q</definedName>
    <definedName name="Z_DF0CD9B1_0C58_4A1F_BE30_0186D5EFB097_.wvu.Cols" localSheetId="14" hidden="1">'#销量数据'!$C:$Q,'#销量数据'!$W:$AA</definedName>
    <definedName name="Z_DF0CD9B1_0C58_4A1F_BE30_0186D5EFB097_.wvu.Cols" localSheetId="22" hidden="1">钢铁分析!$C:$E</definedName>
    <definedName name="Z_DF0CD9B1_0C58_4A1F_BE30_0186D5EFB097_.wvu.Cols" localSheetId="34" hidden="1">'利润（汇总）'!$M:$P</definedName>
    <definedName name="Z_DF0CD9B1_0C58_4A1F_BE30_0186D5EFB097_.wvu.Cols" localSheetId="32" hidden="1">'收入（关联）'!$L:$O</definedName>
    <definedName name="Z_DF0CD9B1_0C58_4A1F_BE30_0186D5EFB097_.wvu.Cols" localSheetId="30" hidden="1">'收入（汇总）'!$M:$P</definedName>
    <definedName name="Z_DF0CD9B1_0C58_4A1F_BE30_0186D5EFB097_.wvu.PrintArea" localSheetId="15" hidden="1">'#母公司报表'!$A$1:$P$68</definedName>
    <definedName name="Z_DF0CD9B1_0C58_4A1F_BE30_0186D5EFB097_.wvu.Rows" localSheetId="13" hidden="1">'#存货'!$6:$6</definedName>
    <definedName name="Z_DF0CD9B1_0C58_4A1F_BE30_0186D5EFB097_.wvu.Rows" localSheetId="17" hidden="1">'#经营利润'!$11:$11,'#经营利润'!$35:$35,'#经营利润'!$29:$35,'#经营利润'!$27:$27,'#经营利润'!$40:$42</definedName>
    <definedName name="Z_DF0CD9B1_0C58_4A1F_BE30_0186D5EFB097_.wvu.Rows" localSheetId="18" hidden="1">'#利润建议'!$11:$11,'#利润建议'!$35:$35,'#利润建议'!$25:$35,'#利润建议'!$29:$29,'#利润建议'!$40:$42</definedName>
    <definedName name="Z_DF0CD9B1_0C58_4A1F_BE30_0186D5EFB097_.wvu.Rows" localSheetId="15" hidden="1">'#母公司报表'!$115:$120</definedName>
    <definedName name="Z_DF0CD9B1_0C58_4A1F_BE30_0186D5EFB097_.wvu.Rows" localSheetId="14" hidden="1">'#销量数据'!$6:$7,'#销量数据'!$27:$28,'#销量数据'!$61:$62,'#销量数据'!$65:$65,'#销量数据'!#REF!</definedName>
    <definedName name="Z_DF36724C_846C_4D44_B641_87B0DA970C74_.wvu.Cols" localSheetId="13" hidden="1">'#存货'!$E:$M,'#存货'!$O:$P,'#存货'!$T:$AN</definedName>
    <definedName name="Z_DF36724C_846C_4D44_B641_87B0DA970C74_.wvu.Cols" localSheetId="17" hidden="1">'#经营利润'!$D:$K,'#经营利润'!$P:$AC</definedName>
    <definedName name="Z_DF36724C_846C_4D44_B641_87B0DA970C74_.wvu.Cols" localSheetId="18" hidden="1">'#利润建议'!$B:$M,'#利润建议'!$T:$AN</definedName>
    <definedName name="Z_DF36724C_846C_4D44_B641_87B0DA970C74_.wvu.Cols" localSheetId="15" hidden="1">'#母公司报表'!$P:$P</definedName>
    <definedName name="Z_DF36724C_846C_4D44_B641_87B0DA970C74_.wvu.Cols" localSheetId="10" hidden="1">'#税金'!$B:$E,'#税金'!$G:$M,'#税金'!#REF!,'#税金'!$N:$P,'#税金'!$S:$Y</definedName>
    <definedName name="Z_DF36724C_846C_4D44_B641_87B0DA970C74_.wvu.Cols" localSheetId="12" hidden="1">'#现金流 (新)'!$C:$C,'#现金流 (新)'!$F:$H,'#现金流 (新)'!$K:$Q</definedName>
    <definedName name="Z_DF36724C_846C_4D44_B641_87B0DA970C74_.wvu.Cols" localSheetId="14" hidden="1">'#销量数据'!$E:$L,'#销量数据'!$O:$AB</definedName>
    <definedName name="Z_DF36724C_846C_4D44_B641_87B0DA970C74_.wvu.Cols" localSheetId="22" hidden="1">钢铁分析!$C:$E</definedName>
    <definedName name="Z_DF36724C_846C_4D44_B641_87B0DA970C74_.wvu.Cols" localSheetId="34" hidden="1">'利润（汇总）'!$C:$G,'利润（汇总）'!$J:$P</definedName>
    <definedName name="Z_DF36724C_846C_4D44_B641_87B0DA970C74_.wvu.Cols" localSheetId="32" hidden="1">'收入（关联）'!$B:$F,'收入（关联）'!$I:$O</definedName>
    <definedName name="Z_DF36724C_846C_4D44_B641_87B0DA970C74_.wvu.Cols" localSheetId="30" hidden="1">'收入（汇总）'!$C:$G,'收入（汇总）'!$J:$P</definedName>
    <definedName name="Z_DF36724C_846C_4D44_B641_87B0DA970C74_.wvu.PrintArea" localSheetId="15" hidden="1">'#母公司报表'!$A$1:$P$68</definedName>
    <definedName name="Z_DF36724C_846C_4D44_B641_87B0DA970C74_.wvu.Rows" localSheetId="13" hidden="1">'#存货'!$6:$6</definedName>
    <definedName name="Z_DF36724C_846C_4D44_B641_87B0DA970C74_.wvu.Rows" localSheetId="17" hidden="1">'#经营利润'!$11:$11,'#经营利润'!$35:$35,'#经营利润'!$29:$35,'#经营利润'!$27:$42</definedName>
    <definedName name="Z_DF36724C_846C_4D44_B641_87B0DA970C74_.wvu.Rows" localSheetId="18" hidden="1">'#利润建议'!$11:$11,'#利润建议'!$35:$35,'#利润建议'!$25:$35,'#利润建议'!$29:$42</definedName>
    <definedName name="Z_DF36724C_846C_4D44_B641_87B0DA970C74_.wvu.Rows" localSheetId="15" hidden="1">'#母公司报表'!$115:$120</definedName>
    <definedName name="Z_DF36724C_846C_4D44_B641_87B0DA970C74_.wvu.Rows" localSheetId="14" hidden="1">'#销量数据'!$6:$7,'#销量数据'!$27:$28,'#销量数据'!$30:$33,'#销量数据'!$35:$38,'#销量数据'!$41:$44,'#销量数据'!$46:$49,'#销量数据'!$56:$59,'#销量数据'!$61:$62,'#销量数据'!$65:$65,'#销量数据'!$81:$81,'#销量数据'!$83:$84</definedName>
    <definedName name="Z_DFE47C33_A4EB_466A_AF21_4E11B1572268_.wvu.PrintArea" localSheetId="17" hidden="1">'#经营利润'!$A$3:$BC$46</definedName>
    <definedName name="Z_DFE47C33_A4EB_466A_AF21_4E11B1572268_.wvu.PrintArea" localSheetId="15" hidden="1">'#母公司报表'!$A$1:$P$68</definedName>
    <definedName name="Z_DFE47C33_A4EB_466A_AF21_4E11B1572268_.wvu.PrintArea" localSheetId="40" hidden="1">'@产量打印#概况'!$A$4:$Q$30,'@产量打印#矿产品'!$A$3:$K$46,'@产量打印#不锈钢'!$A$3:$K$42,'@产量打印#钢'!$A$3:$K$35,'@产量打印#材'!$A$3:$K$35</definedName>
    <definedName name="Z_DFE47C33_A4EB_466A_AF21_4E11B1572268_.wvu.Rows" localSheetId="17" hidden="1">'#经营利润'!$11:$11</definedName>
    <definedName name="Z_E0636B7E_5B63_4AA7_8EA7_CDA3F210D576_.wvu.Cols" localSheetId="13" hidden="1">'#存货'!$F:$F,'#存货'!$K:$AN</definedName>
    <definedName name="Z_E0636B7E_5B63_4AA7_8EA7_CDA3F210D576_.wvu.Cols" localSheetId="17" hidden="1">'#经营利润'!$D:$E,'#经营利润'!$J:$AC</definedName>
    <definedName name="Z_E0636B7E_5B63_4AA7_8EA7_CDA3F210D576_.wvu.Cols" localSheetId="18" hidden="1">'#利润建议'!$K:$AN</definedName>
    <definedName name="Z_E0636B7E_5B63_4AA7_8EA7_CDA3F210D576_.wvu.Cols" localSheetId="15" hidden="1">'#母公司报表'!$P:$P</definedName>
    <definedName name="Z_E0636B7E_5B63_4AA7_8EA7_CDA3F210D576_.wvu.Cols" localSheetId="10" hidden="1">'#税金'!$B:$B,'#税金'!$D:$M,'#税金'!#REF!,'#税金'!$P:$Y</definedName>
    <definedName name="Z_E0636B7E_5B63_4AA7_8EA7_CDA3F210D576_.wvu.Cols" localSheetId="12" hidden="1">'#现金流 (新)'!$C:$C,'#现金流 (新)'!$H:$Q</definedName>
    <definedName name="Z_E0636B7E_5B63_4AA7_8EA7_CDA3F210D576_.wvu.Cols" localSheetId="14" hidden="1">'#销量数据'!$C:$D,'#销量数据'!$I:$AB</definedName>
    <definedName name="Z_E0636B7E_5B63_4AA7_8EA7_CDA3F210D576_.wvu.Cols" localSheetId="39" hidden="1">产品质量!$F:$P</definedName>
    <definedName name="Z_E0636B7E_5B63_4AA7_8EA7_CDA3F210D576_.wvu.PrintArea" localSheetId="15" hidden="1">'#母公司报表'!$A$1:$P$68</definedName>
    <definedName name="Z_E0636B7E_5B63_4AA7_8EA7_CDA3F210D576_.wvu.Rows" localSheetId="13" hidden="1">'#存货'!$6:$6,'#存货'!$13:$13,'#存货'!#REF!,'#存货'!$16:$16,'#存货'!#REF!,'#存货'!#REF!,'#存货'!#REF!</definedName>
    <definedName name="Z_E0636B7E_5B63_4AA7_8EA7_CDA3F210D576_.wvu.Rows" localSheetId="17" hidden="1">'#经营利润'!$11:$11,'#经营利润'!$35:$35,'#经营利润'!$30:$35,'#经营利润'!$25:$35,'#经营利润'!$40:$42</definedName>
    <definedName name="Z_E0636B7E_5B63_4AA7_8EA7_CDA3F210D576_.wvu.Rows" localSheetId="18" hidden="1">'#利润建议'!$11:$11,'#利润建议'!$35:$35,'#利润建议'!$26:$35,'#利润建议'!$27:$35,'#利润建议'!$40:$42</definedName>
    <definedName name="Z_E0636B7E_5B63_4AA7_8EA7_CDA3F210D576_.wvu.Rows" localSheetId="15" hidden="1">'#母公司报表'!$115:$120</definedName>
    <definedName name="Z_E0636B7E_5B63_4AA7_8EA7_CDA3F210D576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E0AC2209_84B0_4596_9FCA_37D576509636_.wvu.Cols" localSheetId="13" hidden="1">'#存货'!$E:$V,'#存货'!$X:$Y</definedName>
    <definedName name="Z_E0AC2209_84B0_4596_9FCA_37D576509636_.wvu.Cols" localSheetId="17" hidden="1">'#经营利润'!$D:$Q,'#经营利润'!$V:$AC</definedName>
    <definedName name="Z_E0AC2209_84B0_4596_9FCA_37D576509636_.wvu.Cols" localSheetId="18" hidden="1">'#利润建议'!$B:$V,'#利润建议'!$AC:$AN</definedName>
    <definedName name="Z_E0AC2209_84B0_4596_9FCA_37D576509636_.wvu.Cols" localSheetId="15" hidden="1">'#母公司报表'!$L:$O,'#母公司报表'!$P:$P</definedName>
    <definedName name="Z_E0AC2209_84B0_4596_9FCA_37D576509636_.wvu.Cols" localSheetId="10" hidden="1">'#税金'!$B:$H,'#税金'!$J:$M,'#税金'!#REF!,'#税金'!$N:$S,'#税金'!$V:$Y</definedName>
    <definedName name="Z_E0AC2209_84B0_4596_9FCA_37D576509636_.wvu.Cols" localSheetId="12" hidden="1">'#现金流 (新)'!$C:$C,'#现金流 (新)'!$F:$K,'#现金流 (新)'!$N:$Q</definedName>
    <definedName name="Z_E0AC2209_84B0_4596_9FCA_37D576509636_.wvu.Cols" localSheetId="14" hidden="1">'#销量数据'!$C:$P,'#销量数据'!$U:$AB</definedName>
    <definedName name="Z_E0AC2209_84B0_4596_9FCA_37D576509636_.wvu.Cols" localSheetId="22" hidden="1">钢铁分析!$C:$E</definedName>
    <definedName name="Z_E0AC2209_84B0_4596_9FCA_37D576509636_.wvu.Cols" localSheetId="34" hidden="1">'利润（汇总）'!$M:$P</definedName>
    <definedName name="Z_E0AC2209_84B0_4596_9FCA_37D576509636_.wvu.Cols" localSheetId="32" hidden="1">'收入（关联）'!$L:$O</definedName>
    <definedName name="Z_E0AC2209_84B0_4596_9FCA_37D576509636_.wvu.Cols" localSheetId="30" hidden="1">'收入（汇总）'!$M:$P</definedName>
    <definedName name="Z_E0AC2209_84B0_4596_9FCA_37D576509636_.wvu.PrintArea" localSheetId="15" hidden="1">'#母公司报表'!$A$1:$P$68</definedName>
    <definedName name="Z_E0AC2209_84B0_4596_9FCA_37D576509636_.wvu.Rows" localSheetId="13" hidden="1">'#存货'!$6:$6</definedName>
    <definedName name="Z_E0AC2209_84B0_4596_9FCA_37D576509636_.wvu.Rows" localSheetId="17" hidden="1">'#经营利润'!$11:$11,'#经营利润'!$35:$35,'#经营利润'!$29:$35,'#经营利润'!$27:$27,'#经营利润'!$40:$42</definedName>
    <definedName name="Z_E0AC2209_84B0_4596_9FCA_37D576509636_.wvu.Rows" localSheetId="18" hidden="1">'#利润建议'!$11:$11,'#利润建议'!$35:$35,'#利润建议'!$25:$35,'#利润建议'!$29:$29,'#利润建议'!$40:$42</definedName>
    <definedName name="Z_E0AC2209_84B0_4596_9FCA_37D576509636_.wvu.Rows" localSheetId="15" hidden="1">'#母公司报表'!$115:$120</definedName>
    <definedName name="Z_E0AC2209_84B0_4596_9FCA_37D576509636_.wvu.Rows" localSheetId="14" hidden="1">'#销量数据'!$6:$7,'#销量数据'!$27:$28,'#销量数据'!$61:$62,'#销量数据'!$65:$65,'#销量数据'!#REF!</definedName>
    <definedName name="Z_E202BC5E_77CE_486A_B0F6_3194F157FB8E_.wvu.Cols" localSheetId="13" hidden="1">'#存货'!$F:$F,'#存货'!$N:$AN</definedName>
    <definedName name="Z_E202BC5E_77CE_486A_B0F6_3194F157FB8E_.wvu.Cols" localSheetId="17" hidden="1">'#经营利润'!$D:$E,'#经营利润'!$J:$AC</definedName>
    <definedName name="Z_E202BC5E_77CE_486A_B0F6_3194F157FB8E_.wvu.Cols" localSheetId="18" hidden="1">'#利润建议'!$K:$AN</definedName>
    <definedName name="Z_E202BC5E_77CE_486A_B0F6_3194F157FB8E_.wvu.Cols" localSheetId="15" hidden="1">'#母公司报表'!$P:$P</definedName>
    <definedName name="Z_E202BC5E_77CE_486A_B0F6_3194F157FB8E_.wvu.Cols" localSheetId="10" hidden="1">'#税金'!$B:$B,'#税金'!$D:$M,'#税金'!#REF!,'#税金'!$P:$Y</definedName>
    <definedName name="Z_E202BC5E_77CE_486A_B0F6_3194F157FB8E_.wvu.Cols" localSheetId="12" hidden="1">'#现金流 (新)'!$C:$C,'#现金流 (新)'!$H:$Q</definedName>
    <definedName name="Z_E202BC5E_77CE_486A_B0F6_3194F157FB8E_.wvu.Cols" localSheetId="14" hidden="1">'#销量数据'!$C:$D,'#销量数据'!$I:$AB</definedName>
    <definedName name="Z_E202BC5E_77CE_486A_B0F6_3194F157FB8E_.wvu.Cols" localSheetId="39" hidden="1">产品质量!$F:$P</definedName>
    <definedName name="Z_E202BC5E_77CE_486A_B0F6_3194F157FB8E_.wvu.PrintArea" localSheetId="15" hidden="1">'#母公司报表'!$A$1:$P$68</definedName>
    <definedName name="Z_E202BC5E_77CE_486A_B0F6_3194F157FB8E_.wvu.Rows" localSheetId="13" hidden="1">'#存货'!$6:$6,'#存货'!$13:$13,'#存货'!#REF!,'#存货'!$16:$16,'#存货'!#REF!,'#存货'!#REF!,'#存货'!#REF!</definedName>
    <definedName name="Z_E202BC5E_77CE_486A_B0F6_3194F157FB8E_.wvu.Rows" localSheetId="17" hidden="1">'#经营利润'!$11:$11,'#经营利润'!$35:$35,'#经营利润'!$30:$35,'#经营利润'!$25:$35,'#经营利润'!$40:$42</definedName>
    <definedName name="Z_E202BC5E_77CE_486A_B0F6_3194F157FB8E_.wvu.Rows" localSheetId="18" hidden="1">'#利润建议'!$11:$11,'#利润建议'!$35:$35,'#利润建议'!$26:$35,'#利润建议'!$27:$35,'#利润建议'!$40:$42</definedName>
    <definedName name="Z_E202BC5E_77CE_486A_B0F6_3194F157FB8E_.wvu.Rows" localSheetId="15" hidden="1">'#母公司报表'!$115:$120</definedName>
    <definedName name="Z_E202BC5E_77CE_486A_B0F6_3194F157FB8E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E4391C05_0487_4E51_93EE_BC1703EE5BE5_.wvu.Cols" localSheetId="13" hidden="1">'#存货'!$V:$Y,'#存货'!$AA:$AB,'#存货'!$AD:$AE,'#存货'!$AJ:$AK</definedName>
    <definedName name="Z_E4391C05_0487_4E51_93EE_BC1703EE5BE5_.wvu.Cols" localSheetId="17" hidden="1">'#经营利润'!$D:$Y</definedName>
    <definedName name="Z_E4391C05_0487_4E51_93EE_BC1703EE5BE5_.wvu.Cols" localSheetId="18" hidden="1">'#利润建议'!$B:$AE</definedName>
    <definedName name="Z_E4391C05_0487_4E51_93EE_BC1703EE5BE5_.wvu.Cols" localSheetId="15" hidden="1">'#母公司报表'!$D:$F,'#母公司报表'!$P:$P</definedName>
    <definedName name="Z_E4391C05_0487_4E51_93EE_BC1703EE5BE5_.wvu.Cols" localSheetId="10" hidden="1">'#税金'!$B:$L,'#税金'!#REF!,'#税金'!$N:$W</definedName>
    <definedName name="Z_E4391C05_0487_4E51_93EE_BC1703EE5BE5_.wvu.Cols" localSheetId="12" hidden="1">'#现金流 (新)'!$F:$O</definedName>
    <definedName name="Z_E4391C05_0487_4E51_93EE_BC1703EE5BE5_.wvu.Cols" localSheetId="14" hidden="1">'#销量数据'!$C:$X</definedName>
    <definedName name="Z_E4391C05_0487_4E51_93EE_BC1703EE5BE5_.wvu.Cols" localSheetId="39" hidden="1">产品质量!$D:$K</definedName>
    <definedName name="Z_E4391C05_0487_4E51_93EE_BC1703EE5BE5_.wvu.Cols" localSheetId="34" hidden="1">'利润（汇总）'!$D:$M</definedName>
    <definedName name="Z_E4391C05_0487_4E51_93EE_BC1703EE5BE5_.wvu.Cols" localSheetId="32" hidden="1">'收入（关联）'!$C:$L</definedName>
    <definedName name="Z_E4391C05_0487_4E51_93EE_BC1703EE5BE5_.wvu.Cols" localSheetId="30" hidden="1">'收入（汇总）'!$D:$M</definedName>
    <definedName name="Z_E4391C05_0487_4E51_93EE_BC1703EE5BE5_.wvu.PrintArea" localSheetId="18" hidden="1">'#利润建议'!$A$1:$CA$35</definedName>
    <definedName name="Z_E4391C05_0487_4E51_93EE_BC1703EE5BE5_.wvu.PrintArea" localSheetId="15" hidden="1">'#母公司报表'!$A$1:$P$68</definedName>
    <definedName name="Z_E4391C05_0487_4E51_93EE_BC1703EE5BE5_.wvu.Rows" localSheetId="13" hidden="1">'#存货'!$6:$6,'#存货'!$13:$13,'#存货'!#REF!,'#存货'!$16:$16,'#存货'!#REF!,'#存货'!#REF!,'#存货'!#REF!</definedName>
    <definedName name="Z_E4391C05_0487_4E51_93EE_BC1703EE5BE5_.wvu.Rows" localSheetId="15" hidden="1">'#母公司报表'!$115:$120</definedName>
    <definedName name="Z_E4391C05_0487_4E51_93EE_BC1703EE5BE5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E496D089_AAE7_46AC_8130_C0B5961E4BEE_.wvu.Cols" localSheetId="13" hidden="1">'#存货'!$E:$S,'#存货'!$U:$V</definedName>
    <definedName name="Z_E496D089_AAE7_46AC_8130_C0B5961E4BEE_.wvu.Cols" localSheetId="17" hidden="1">'#经营利润'!$D:$O,'#经营利润'!$T:$AC</definedName>
    <definedName name="Z_E496D089_AAE7_46AC_8130_C0B5961E4BEE_.wvu.Cols" localSheetId="18" hidden="1">'#利润建议'!$B:$S,'#利润建议'!$Z:$AN</definedName>
    <definedName name="Z_E496D089_AAE7_46AC_8130_C0B5961E4BEE_.wvu.Cols" localSheetId="15" hidden="1">'#母公司报表'!$K:$O,'#母公司报表'!$P:$P</definedName>
    <definedName name="Z_E496D089_AAE7_46AC_8130_C0B5961E4BEE_.wvu.Cols" localSheetId="10" hidden="1">'#税金'!$B:$G,'#税金'!$I:$M,'#税金'!#REF!,'#税金'!$N:$R,'#税金'!$U:$Y</definedName>
    <definedName name="Z_E496D089_AAE7_46AC_8130_C0B5961E4BEE_.wvu.Cols" localSheetId="12" hidden="1">'#现金流 (新)'!$C:$C,'#现金流 (新)'!$F:$J,'#现金流 (新)'!$M:$Q</definedName>
    <definedName name="Z_E496D089_AAE7_46AC_8130_C0B5961E4BEE_.wvu.Cols" localSheetId="14" hidden="1">'#销量数据'!$C:$N,'#销量数据'!$S:$AB</definedName>
    <definedName name="Z_E496D089_AAE7_46AC_8130_C0B5961E4BEE_.wvu.Cols" localSheetId="22" hidden="1">钢铁分析!$C:$E</definedName>
    <definedName name="Z_E496D089_AAE7_46AC_8130_C0B5961E4BEE_.wvu.Cols" localSheetId="34" hidden="1">'利润（汇总）'!$E:$I</definedName>
    <definedName name="Z_E496D089_AAE7_46AC_8130_C0B5961E4BEE_.wvu.Cols" localSheetId="32" hidden="1">'收入（关联）'!$D:$H</definedName>
    <definedName name="Z_E496D089_AAE7_46AC_8130_C0B5961E4BEE_.wvu.Cols" localSheetId="30" hidden="1">'收入（汇总）'!$E:$I</definedName>
    <definedName name="Z_E496D089_AAE7_46AC_8130_C0B5961E4BEE_.wvu.PrintArea" localSheetId="15" hidden="1">'#母公司报表'!$A$1:$P$68</definedName>
    <definedName name="Z_E496D089_AAE7_46AC_8130_C0B5961E4BEE_.wvu.Rows" localSheetId="13" hidden="1">'#存货'!$6:$6</definedName>
    <definedName name="Z_E496D089_AAE7_46AC_8130_C0B5961E4BEE_.wvu.Rows" localSheetId="17" hidden="1">'#经营利润'!#REF!,'#经营利润'!$35:$35,'#经营利润'!$29:$35,'#经营利润'!$27:$27,'#经营利润'!$40:$42</definedName>
    <definedName name="Z_E496D089_AAE7_46AC_8130_C0B5961E4BEE_.wvu.Rows" localSheetId="18" hidden="1">'#利润建议'!#REF!,'#利润建议'!$35:$35,'#利润建议'!$25:$35,'#利润建议'!$29:$29,'#利润建议'!$40:$42</definedName>
    <definedName name="Z_E496D089_AAE7_46AC_8130_C0B5961E4BEE_.wvu.Rows" localSheetId="15" hidden="1">'#母公司报表'!$115:$120</definedName>
    <definedName name="Z_E496D089_AAE7_46AC_8130_C0B5961E4BEE_.wvu.Rows" localSheetId="14" hidden="1">'#销量数据'!$6:$7,'#销量数据'!$27:$28,'#销量数据'!$30:$33,'#销量数据'!$35:$38,'#销量数据'!$41:$44,'#销量数据'!$46:$49,'#销量数据'!$56:$59,'#销量数据'!$61:$62,'#销量数据'!$65:$65,'#销量数据'!#REF!</definedName>
    <definedName name="Z_E61FFED3_723E_484A_93A0_94E1A801AF06_.wvu.Cols" localSheetId="13" hidden="1">'#存货'!$E:$G,'#存货'!$I:$J</definedName>
    <definedName name="Z_E61FFED3_723E_484A_93A0_94E1A801AF06_.wvu.Cols" localSheetId="17" hidden="1">'#经营利润'!$B:$G,'#经营利润'!$L:$AC,'#经营利润'!$BD:$BE</definedName>
    <definedName name="Z_E61FFED3_723E_484A_93A0_94E1A801AF06_.wvu.Cols" localSheetId="18" hidden="1">'#利润建议'!$B:$G,'#利润建议'!$N:$AN</definedName>
    <definedName name="Z_E61FFED3_723E_484A_93A0_94E1A801AF06_.wvu.Cols" localSheetId="12" hidden="1">'#现金流 (新)'!$G:$AH</definedName>
    <definedName name="Z_E61FFED3_723E_484A_93A0_94E1A801AF06_.wvu.Cols" localSheetId="21" hidden="1">'@分析#利润分析#'!$D:$D</definedName>
    <definedName name="Z_E61FFED3_723E_484A_93A0_94E1A801AF06_.wvu.Cols" localSheetId="1" hidden="1">'@预测#利润分析#'!$D:$D</definedName>
    <definedName name="Z_E61FFED3_723E_484A_93A0_94E1A801AF06_.wvu.Cols" localSheetId="5" hidden="1">'@预测#收入利润#'!$B:$D,'@预测#收入利润#'!$F:$G,'@预测#收入利润#'!$J:$K,'@预测#收入利润#'!$P:$P,'@预测#收入利润#'!$T:$V</definedName>
    <definedName name="Z_E61FFED3_723E_484A_93A0_94E1A801AF06_.wvu.Cols" localSheetId="27" hidden="1">Sheet1!$AC:$AK</definedName>
    <definedName name="Z_E61FFED3_723E_484A_93A0_94E1A801AF06_.wvu.Cols" localSheetId="35" hidden="1">画图!$K:$O</definedName>
    <definedName name="Z_E61FFED3_723E_484A_93A0_94E1A801AF06_.wvu.PrintArea" localSheetId="17" hidden="1">'#经营利润'!$A$3:$BC$46</definedName>
    <definedName name="Z_E61FFED3_723E_484A_93A0_94E1A801AF06_.wvu.PrintArea" localSheetId="15" hidden="1">'#母公司报表'!$A$1:$P$68</definedName>
    <definedName name="Z_E61FFED3_723E_484A_93A0_94E1A801AF06_.wvu.PrintArea" localSheetId="42" hidden="1">'@产量打印#不锈钢'!$A$3:$K$42</definedName>
    <definedName name="Z_E61FFED3_723E_484A_93A0_94E1A801AF06_.wvu.PrintArea" localSheetId="44" hidden="1">'@产量打印#材'!$A$3:$K$35</definedName>
    <definedName name="Z_E61FFED3_723E_484A_93A0_94E1A801AF06_.wvu.PrintArea" localSheetId="40" hidden="1">'@产量打印#概况'!$A$4:$Q$30</definedName>
    <definedName name="Z_E61FFED3_723E_484A_93A0_94E1A801AF06_.wvu.PrintArea" localSheetId="43" hidden="1">'@产量打印#钢'!$A$3:$K$35</definedName>
    <definedName name="Z_E61FFED3_723E_484A_93A0_94E1A801AF06_.wvu.PrintArea" localSheetId="41" hidden="1">'@产量打印#矿产品'!$A$3:$K$46</definedName>
    <definedName name="Z_E61FFED3_723E_484A_93A0_94E1A801AF06_.wvu.PrintArea" localSheetId="6" hidden="1">'@预测#股份关联价（打印）'!$B$3:$K$22</definedName>
    <definedName name="Z_E61FFED3_723E_484A_93A0_94E1A801AF06_.wvu.PrintArea" localSheetId="27" hidden="1">Sheet1!$A$3:$AN$11</definedName>
    <definedName name="Z_E61FFED3_723E_484A_93A0_94E1A801AF06_.wvu.Rows" localSheetId="13" hidden="1">'#存货'!$6:$6</definedName>
    <definedName name="Z_E61FFED3_723E_484A_93A0_94E1A801AF06_.wvu.Rows" localSheetId="20" hidden="1">'#分板块利润分析'!$70:$72</definedName>
    <definedName name="Z_E61FFED3_723E_484A_93A0_94E1A801AF06_.wvu.Rows" localSheetId="17" hidden="1">'#经营利润'!$10:$11,'#经营利润'!$20:$42</definedName>
    <definedName name="Z_E61FFED3_723E_484A_93A0_94E1A801AF06_.wvu.Rows" localSheetId="18" hidden="1">'#利润建议'!$10:$11,'#利润建议'!$20:$42</definedName>
    <definedName name="Z_E61FFED3_723E_484A_93A0_94E1A801AF06_.wvu.Rows" localSheetId="11" hidden="1">'#子分公司分析'!$4:$5,'#子分公司分析'!$9:$9,'#子分公司分析'!$11:$12,'#子分公司分析'!$14:$17,'#子分公司分析'!$29:$29</definedName>
    <definedName name="Z_E61FFED3_723E_484A_93A0_94E1A801AF06_.wvu.Rows" localSheetId="0" hidden="1">'@预测#概况#'!$109:$110</definedName>
    <definedName name="Z_E61FFED3_723E_484A_93A0_94E1A801AF06_.wvu.Rows" localSheetId="4" hidden="1">'@预测#经营利润#'!$10:$11,'@预测#经营利润#'!$29:$42</definedName>
    <definedName name="Z_E61FFED3_723E_484A_93A0_94E1A801AF06_.wvu.Rows" localSheetId="3" hidden="1">'@预测#利润建议# '!$18:$21,'@预测#利润建议# '!$23:$42,'@预测#利润建议# '!$44:$48</definedName>
    <definedName name="Z_E7BEB9FE_0DBC_4B7C_BC92_5BFF3CEC5409_.wvu.Cols" localSheetId="13" hidden="1">'#存货'!$E:$Y,'#存货'!$AA:$AB</definedName>
    <definedName name="Z_E7BEB9FE_0DBC_4B7C_BC92_5BFF3CEC5409_.wvu.Cols" localSheetId="17" hidden="1">'#经营利润'!$D:$S,'#经营利润'!$X:$AC</definedName>
    <definedName name="Z_E7BEB9FE_0DBC_4B7C_BC92_5BFF3CEC5409_.wvu.Cols" localSheetId="18" hidden="1">'#利润建议'!$B:$Y,'#利润建议'!$AF:$AN</definedName>
    <definedName name="Z_E7BEB9FE_0DBC_4B7C_BC92_5BFF3CEC5409_.wvu.Cols" localSheetId="15" hidden="1">'#母公司报表'!$P:$P</definedName>
    <definedName name="Z_E7BEB9FE_0DBC_4B7C_BC92_5BFF3CEC5409_.wvu.Cols" localSheetId="10" hidden="1">'#税金'!$B:$I,'#税金'!$K:$M,'#税金'!#REF!,'#税金'!$N:$T,'#税金'!$W:$Y</definedName>
    <definedName name="Z_E7BEB9FE_0DBC_4B7C_BC92_5BFF3CEC5409_.wvu.Cols" localSheetId="12" hidden="1">'#现金流 (新)'!$C:$C,'#现金流 (新)'!$F:$L,'#现金流 (新)'!$O:$Q</definedName>
    <definedName name="Z_E7BEB9FE_0DBC_4B7C_BC92_5BFF3CEC5409_.wvu.Cols" localSheetId="14" hidden="1">'#销量数据'!$C:$R,'#销量数据'!$Y:$AB</definedName>
    <definedName name="Z_E7BEB9FE_0DBC_4B7C_BC92_5BFF3CEC5409_.wvu.Cols" localSheetId="22" hidden="1">钢铁分析!$C:$E</definedName>
    <definedName name="Z_E7BEB9FE_0DBC_4B7C_BC92_5BFF3CEC5409_.wvu.Cols" localSheetId="34" hidden="1">'利润（汇总）'!$D:$L</definedName>
    <definedName name="Z_E7BEB9FE_0DBC_4B7C_BC92_5BFF3CEC5409_.wvu.Cols" localSheetId="32" hidden="1">'收入（关联）'!$C:$K</definedName>
    <definedName name="Z_E7BEB9FE_0DBC_4B7C_BC92_5BFF3CEC5409_.wvu.Cols" localSheetId="30" hidden="1">'收入（汇总）'!$D:$L</definedName>
    <definedName name="Z_E7BEB9FE_0DBC_4B7C_BC92_5BFF3CEC5409_.wvu.PrintArea" localSheetId="15" hidden="1">'#母公司报表'!$A$1:$P$68</definedName>
    <definedName name="Z_E7BEB9FE_0DBC_4B7C_BC92_5BFF3CEC5409_.wvu.Rows" localSheetId="13" hidden="1">'#存货'!$6:$6</definedName>
    <definedName name="Z_E7BEB9FE_0DBC_4B7C_BC92_5BFF3CEC5409_.wvu.Rows" localSheetId="17" hidden="1">'#经营利润'!$11:$11,'#经营利润'!$35:$35,'#经营利润'!$29:$35,'#经营利润'!$40:$42</definedName>
    <definedName name="Z_E7BEB9FE_0DBC_4B7C_BC92_5BFF3CEC5409_.wvu.Rows" localSheetId="18" hidden="1">'#利润建议'!$11:$11,'#利润建议'!$35:$35,'#利润建议'!$25:$35,'#利润建议'!$40:$42</definedName>
    <definedName name="Z_E7BEB9FE_0DBC_4B7C_BC92_5BFF3CEC5409_.wvu.Rows" localSheetId="15" hidden="1">'#母公司报表'!$115:$120</definedName>
    <definedName name="Z_E7BEB9FE_0DBC_4B7C_BC92_5BFF3CEC5409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E8101B56_E505_4C82_9B94_7497CAFA624C_.wvu.Cols" localSheetId="13" hidden="1">'#存货'!$E:$V,'#存货'!$X:$Y</definedName>
    <definedName name="Z_E8101B56_E505_4C82_9B94_7497CAFA624C_.wvu.Cols" localSheetId="17" hidden="1">'#经营利润'!$D:$Q,'#经营利润'!$V:$AC</definedName>
    <definedName name="Z_E8101B56_E505_4C82_9B94_7497CAFA624C_.wvu.Cols" localSheetId="18" hidden="1">'#利润建议'!$B:$V,'#利润建议'!$AC:$AN</definedName>
    <definedName name="Z_E8101B56_E505_4C82_9B94_7497CAFA624C_.wvu.Cols" localSheetId="15" hidden="1">'#母公司报表'!$L:$O,'#母公司报表'!$P:$P</definedName>
    <definedName name="Z_E8101B56_E505_4C82_9B94_7497CAFA624C_.wvu.Cols" localSheetId="10" hidden="1">'#税金'!$B:$H,'#税金'!$J:$M,'#税金'!#REF!,'#税金'!$N:$S,'#税金'!$V:$Y</definedName>
    <definedName name="Z_E8101B56_E505_4C82_9B94_7497CAFA624C_.wvu.Cols" localSheetId="12" hidden="1">'#现金流 (新)'!$C:$C,'#现金流 (新)'!$F:$K,'#现金流 (新)'!$N:$Q</definedName>
    <definedName name="Z_E8101B56_E505_4C82_9B94_7497CAFA624C_.wvu.Cols" localSheetId="14" hidden="1">'#销量数据'!$C:$P,'#销量数据'!$U:$AB</definedName>
    <definedName name="Z_E8101B56_E505_4C82_9B94_7497CAFA624C_.wvu.Cols" localSheetId="22" hidden="1">钢铁分析!$C:$E</definedName>
    <definedName name="Z_E8101B56_E505_4C82_9B94_7497CAFA624C_.wvu.Cols" localSheetId="34" hidden="1">'利润（汇总）'!$E:$I,'利润（汇总）'!$M:$P</definedName>
    <definedName name="Z_E8101B56_E505_4C82_9B94_7497CAFA624C_.wvu.Cols" localSheetId="32" hidden="1">'收入（关联）'!$D:$H,'收入（关联）'!$L:$O</definedName>
    <definedName name="Z_E8101B56_E505_4C82_9B94_7497CAFA624C_.wvu.Cols" localSheetId="30" hidden="1">'收入（汇总）'!$E:$I,'收入（汇总）'!$M:$P</definedName>
    <definedName name="Z_E8101B56_E505_4C82_9B94_7497CAFA624C_.wvu.PrintArea" localSheetId="15" hidden="1">'#母公司报表'!$A$1:$P$68</definedName>
    <definedName name="Z_E8101B56_E505_4C82_9B94_7497CAFA624C_.wvu.Rows" localSheetId="13" hidden="1">'#存货'!$6:$6</definedName>
    <definedName name="Z_E8101B56_E505_4C82_9B94_7497CAFA624C_.wvu.Rows" localSheetId="17" hidden="1">'#经营利润'!$11:$11,'#经营利润'!$35:$35,'#经营利润'!$29:$35,'#经营利润'!$27:$27,'#经营利润'!$40:$42</definedName>
    <definedName name="Z_E8101B56_E505_4C82_9B94_7497CAFA624C_.wvu.Rows" localSheetId="18" hidden="1">'#利润建议'!$11:$11,'#利润建议'!$35:$35,'#利润建议'!$25:$35,'#利润建议'!$29:$29,'#利润建议'!$40:$42</definedName>
    <definedName name="Z_E8101B56_E505_4C82_9B94_7497CAFA624C_.wvu.Rows" localSheetId="15" hidden="1">'#母公司报表'!$115:$120</definedName>
    <definedName name="Z_E8101B56_E505_4C82_9B94_7497CAFA624C_.wvu.Rows" localSheetId="14" hidden="1">'#销量数据'!$6:$7,'#销量数据'!$27:$28,'#销量数据'!$61:$62,'#销量数据'!$65:$65,'#销量数据'!#REF!</definedName>
    <definedName name="Z_E9E7EEB4_C471_4574_96BC_740290D0CAED_.wvu.Cols" localSheetId="13" hidden="1">'#存货'!$E:$AE,'#存货'!$AG:$AH</definedName>
    <definedName name="Z_E9E7EEB4_C471_4574_96BC_740290D0CAED_.wvu.Cols" localSheetId="17" hidden="1">'#经营利润'!$D:$W</definedName>
    <definedName name="Z_E9E7EEB4_C471_4574_96BC_740290D0CAED_.wvu.Cols" localSheetId="18" hidden="1">'#利润建议'!$B:$S,'#利润建议'!$AL:$AN</definedName>
    <definedName name="Z_E9E7EEB4_C471_4574_96BC_740290D0CAED_.wvu.Cols" localSheetId="15" hidden="1">'#母公司报表'!$P:$P</definedName>
    <definedName name="Z_E9E7EEB4_C471_4574_96BC_740290D0CAED_.wvu.Cols" localSheetId="10" hidden="1">'#税金'!$B:$K,'#税金'!$M:$M,'#税金'!#REF!,'#税金'!$N:$V,'#税金'!$Y:$Y</definedName>
    <definedName name="Z_E9E7EEB4_C471_4574_96BC_740290D0CAED_.wvu.Cols" localSheetId="12" hidden="1">'#现金流 (新)'!$C:$C,'#现金流 (新)'!$F:$N,'#现金流 (新)'!$Q:$Q</definedName>
    <definedName name="Z_E9E7EEB4_C471_4574_96BC_740290D0CAED_.wvu.Cols" localSheetId="14" hidden="1">'#销量数据'!$C:$V</definedName>
    <definedName name="Z_E9E7EEB4_C471_4574_96BC_740290D0CAED_.wvu.Cols" localSheetId="22" hidden="1">钢铁分析!$C:$E</definedName>
    <definedName name="Z_E9E7EEB4_C471_4574_96BC_740290D0CAED_.wvu.Cols" localSheetId="34" hidden="1">'利润（汇总）'!$D:$L</definedName>
    <definedName name="Z_E9E7EEB4_C471_4574_96BC_740290D0CAED_.wvu.Cols" localSheetId="32" hidden="1">'收入（关联）'!$C:$K</definedName>
    <definedName name="Z_E9E7EEB4_C471_4574_96BC_740290D0CAED_.wvu.Cols" localSheetId="30" hidden="1">'收入（汇总）'!$D:$L</definedName>
    <definedName name="Z_E9E7EEB4_C471_4574_96BC_740290D0CAED_.wvu.PrintArea" localSheetId="15" hidden="1">'#母公司报表'!$A$1:$P$68</definedName>
    <definedName name="Z_E9E7EEB4_C471_4574_96BC_740290D0CAED_.wvu.Rows" localSheetId="13" hidden="1">'#存货'!$6:$6</definedName>
    <definedName name="Z_E9E7EEB4_C471_4574_96BC_740290D0CAED_.wvu.Rows" localSheetId="17" hidden="1">'#经营利润'!$11:$11,'#经营利润'!$35:$35,'#经营利润'!$29:$35,'#经营利润'!$40:$42</definedName>
    <definedName name="Z_EA856AC2_CDFF_46B6_B0C4_30449DF132F4_.wvu.Cols" localSheetId="13" hidden="1">'#存货'!$F:$G</definedName>
    <definedName name="Z_EA856AC2_CDFF_46B6_B0C4_30449DF132F4_.wvu.Cols" localSheetId="17" hidden="1">'#经营利润'!$B:$E,'#经营利润'!$G:$W</definedName>
    <definedName name="Z_EA856AC2_CDFF_46B6_B0C4_30449DF132F4_.wvu.Cols" localSheetId="18" hidden="1">'#利润建议'!$B:$D</definedName>
    <definedName name="Z_EA856AC2_CDFF_46B6_B0C4_30449DF132F4_.wvu.Cols" localSheetId="31" hidden="1">'#收入完成情况'!$E:$E,'#收入完成情况'!$I:$I,'#收入完成情况'!$M:$M</definedName>
    <definedName name="Z_EA856AC2_CDFF_46B6_B0C4_30449DF132F4_.wvu.Cols" localSheetId="12" hidden="1">'#现金流 (新)'!$F:$G,'#现金流 (新)'!$I:$Q</definedName>
    <definedName name="Z_EA856AC2_CDFF_46B6_B0C4_30449DF132F4_.wvu.Cols" localSheetId="21" hidden="1">'@分析#利润分析#'!$D:$D</definedName>
    <definedName name="Z_EA856AC2_CDFF_46B6_B0C4_30449DF132F4_.wvu.Cols" localSheetId="0" hidden="1">'@预测#概况#'!$M:$Q</definedName>
    <definedName name="Z_EA856AC2_CDFF_46B6_B0C4_30449DF132F4_.wvu.Cols" localSheetId="1" hidden="1">'@预测#利润分析#'!$D:$D</definedName>
    <definedName name="Z_EA856AC2_CDFF_46B6_B0C4_30449DF132F4_.wvu.Cols" localSheetId="5" hidden="1">'@预测#收入利润#'!$B:$D,'@预测#收入利润#'!$F:$G,'@预测#收入利润#'!$P:$P,'@预测#收入利润#'!$T:$V</definedName>
    <definedName name="Z_EA856AC2_CDFF_46B6_B0C4_30449DF132F4_.wvu.Cols" localSheetId="27" hidden="1">Sheet1!$AC:$AK</definedName>
    <definedName name="Z_EA856AC2_CDFF_46B6_B0C4_30449DF132F4_.wvu.Cols" localSheetId="35" hidden="1">画图!$O:$O</definedName>
    <definedName name="Z_EA856AC2_CDFF_46B6_B0C4_30449DF132F4_.wvu.Cols" localSheetId="30" hidden="1">'收入（汇总）'!$D:$D</definedName>
    <definedName name="Z_EA856AC2_CDFF_46B6_B0C4_30449DF132F4_.wvu.PrintArea" localSheetId="17" hidden="1">'#经营利润'!$A$3:$BC$46</definedName>
    <definedName name="Z_EA856AC2_CDFF_46B6_B0C4_30449DF132F4_.wvu.PrintArea" localSheetId="15" hidden="1">'#母公司报表'!$A$1:$P$68</definedName>
    <definedName name="Z_EA856AC2_CDFF_46B6_B0C4_30449DF132F4_.wvu.PrintArea" localSheetId="31" hidden="1">'#收入完成情况'!$B$3:$Q$44</definedName>
    <definedName name="Z_EA856AC2_CDFF_46B6_B0C4_30449DF132F4_.wvu.PrintArea" localSheetId="42" hidden="1">'@产量打印#不锈钢'!$A$3:$K$42</definedName>
    <definedName name="Z_EA856AC2_CDFF_46B6_B0C4_30449DF132F4_.wvu.PrintArea" localSheetId="44" hidden="1">'@产量打印#材'!$A$3:$K$35</definedName>
    <definedName name="Z_EA856AC2_CDFF_46B6_B0C4_30449DF132F4_.wvu.PrintArea" localSheetId="40" hidden="1">'@产量打印#概况'!$A$4:$V$30</definedName>
    <definedName name="Z_EA856AC2_CDFF_46B6_B0C4_30449DF132F4_.wvu.PrintArea" localSheetId="43" hidden="1">'@产量打印#钢'!$A$3:$K$35</definedName>
    <definedName name="Z_EA856AC2_CDFF_46B6_B0C4_30449DF132F4_.wvu.PrintArea" localSheetId="41" hidden="1">'@产量打印#矿产品'!$A$3:$K$46</definedName>
    <definedName name="Z_EA856AC2_CDFF_46B6_B0C4_30449DF132F4_.wvu.PrintArea" localSheetId="6" hidden="1">'@预测#股份关联价（打印）'!$B$3:$K$22</definedName>
    <definedName name="Z_EA856AC2_CDFF_46B6_B0C4_30449DF132F4_.wvu.PrintArea" localSheetId="27" hidden="1">Sheet1!$A$3:$AN$11</definedName>
    <definedName name="Z_EA856AC2_CDFF_46B6_B0C4_30449DF132F4_.wvu.PrintArea" localSheetId="33" hidden="1">'收入（外部）'!$A$1:$AB$42</definedName>
    <definedName name="Z_EA856AC2_CDFF_46B6_B0C4_30449DF132F4_.wvu.Rows" localSheetId="13" hidden="1">'#存货'!$6:$6</definedName>
    <definedName name="Z_EA856AC2_CDFF_46B6_B0C4_30449DF132F4_.wvu.Rows" localSheetId="20" hidden="1">'#分板块利润分析'!$70:$72,'#分板块利润分析'!$78:$81</definedName>
    <definedName name="Z_EA856AC2_CDFF_46B6_B0C4_30449DF132F4_.wvu.Rows" localSheetId="18" hidden="1">'#利润建议'!$10:$11,'#利润建议'!$14:$36,'#利润建议'!$40:$42</definedName>
    <definedName name="Z_EA856AC2_CDFF_46B6_B0C4_30449DF132F4_.wvu.Rows" localSheetId="11" hidden="1">'#子分公司分析'!$12:$12,'#子分公司分析'!$14:$15,'#子分公司分析'!$29:$29</definedName>
    <definedName name="Z_EA856AC2_CDFF_46B6_B0C4_30449DF132F4_.wvu.Rows" localSheetId="21" hidden="1">'@分析#利润分析#'!$58:$58</definedName>
    <definedName name="Z_EA856AC2_CDFF_46B6_B0C4_30449DF132F4_.wvu.Rows" localSheetId="4" hidden="1">'@预测#经营利润#'!$10:$11,'@预测#经营利润#'!$17:$22,'@预测#经营利润#'!$25:$42</definedName>
    <definedName name="Z_EA856AC2_CDFF_46B6_B0C4_30449DF132F4_.wvu.Rows" localSheetId="1" hidden="1">'@预测#利润分析#'!$59:$59</definedName>
    <definedName name="Z_EEE4B3DA_ADF6_49CC_9873_068FE5927B92_.wvu.Cols" localSheetId="13" hidden="1">'#存货'!$F:$G</definedName>
    <definedName name="Z_EEE4B3DA_ADF6_49CC_9873_068FE5927B92_.wvu.Cols" localSheetId="20" hidden="1">'#分板块利润分析'!$J:$J,'#分板块利润分析'!#REF!</definedName>
    <definedName name="Z_EEE4B3DA_ADF6_49CC_9873_068FE5927B92_.wvu.Cols" localSheetId="17" hidden="1">'#经营利润'!$B:$E,'#经营利润'!$J:$AC,'#经营利润'!$BD:$BE</definedName>
    <definedName name="Z_EEE4B3DA_ADF6_49CC_9873_068FE5927B92_.wvu.Cols" localSheetId="18" hidden="1">'#利润建议'!$B:$D,'#利润建议'!$K:$AN</definedName>
    <definedName name="Z_EEE4B3DA_ADF6_49CC_9873_068FE5927B92_.wvu.Cols" localSheetId="12" hidden="1">'#现金流 (新)'!$F:$G,'#现金流 (新)'!$I:$Q</definedName>
    <definedName name="Z_EEE4B3DA_ADF6_49CC_9873_068FE5927B92_.wvu.Cols" localSheetId="5" hidden="1">'@预测#收入利润#'!$T:$U</definedName>
    <definedName name="Z_EEE4B3DA_ADF6_49CC_9873_068FE5927B92_.wvu.Cols" localSheetId="35" hidden="1">画图!$O:$O</definedName>
    <definedName name="Z_EEE4B3DA_ADF6_49CC_9873_068FE5927B92_.wvu.PrintArea" localSheetId="17" hidden="1">'#经营利润'!$A$3:$BC$46</definedName>
    <definedName name="Z_EEE4B3DA_ADF6_49CC_9873_068FE5927B92_.wvu.PrintArea" localSheetId="15" hidden="1">'#母公司报表'!$A$1:$P$68</definedName>
    <definedName name="Z_EEE4B3DA_ADF6_49CC_9873_068FE5927B92_.wvu.PrintArea" localSheetId="42" hidden="1">'@产量打印#不锈钢'!$A$3:$K$42</definedName>
    <definedName name="Z_EEE4B3DA_ADF6_49CC_9873_068FE5927B92_.wvu.PrintArea" localSheetId="44" hidden="1">'@产量打印#材'!$A$3:$K$35</definedName>
    <definedName name="Z_EEE4B3DA_ADF6_49CC_9873_068FE5927B92_.wvu.PrintArea" localSheetId="40" hidden="1">'@产量打印#概况'!$A$4:$Q$30</definedName>
    <definedName name="Z_EEE4B3DA_ADF6_49CC_9873_068FE5927B92_.wvu.PrintArea" localSheetId="43" hidden="1">'@产量打印#钢'!$A$3:$K$35</definedName>
    <definedName name="Z_EEE4B3DA_ADF6_49CC_9873_068FE5927B92_.wvu.PrintArea" localSheetId="41" hidden="1">'@产量打印#矿产品'!$A$3:$K$46</definedName>
    <definedName name="Z_EEE4B3DA_ADF6_49CC_9873_068FE5927B92_.wvu.Rows" localSheetId="13" hidden="1">'#存货'!$6:$6</definedName>
    <definedName name="Z_EEE4B3DA_ADF6_49CC_9873_068FE5927B92_.wvu.Rows" localSheetId="20" hidden="1">'#分板块利润分析'!$70:$72,'#分板块利润分析'!$78:$81</definedName>
    <definedName name="Z_EEE4B3DA_ADF6_49CC_9873_068FE5927B92_.wvu.Rows" localSheetId="17" hidden="1">'#经营利润'!$10:$11,'#经营利润'!$14:$36,'#经营利润'!$40:$42</definedName>
    <definedName name="Z_EEE4B3DA_ADF6_49CC_9873_068FE5927B92_.wvu.Rows" localSheetId="18" hidden="1">'#利润建议'!$10:$11,'#利润建议'!$14:$36,'#利润建议'!$40:$42</definedName>
    <definedName name="Z_EEE4B3DA_ADF6_49CC_9873_068FE5927B92_.wvu.Rows" localSheetId="11" hidden="1">'#子分公司分析'!$9:$9,'#子分公司分析'!$29:$29</definedName>
    <definedName name="Z_EEE4B3DA_ADF6_49CC_9873_068FE5927B92_.wvu.Rows" localSheetId="4" hidden="1">'@预测#经营利润#'!$10:$10,'@预测#经营利润#'!$27:$36,'@预测#经营利润#'!$40:$42</definedName>
    <definedName name="Z_EF272C5B_E1B4_4E28_A0CC_0096C93CB1E5_.wvu.Cols" localSheetId="13" hidden="1">'#存货'!$E:$G,'#存货'!$I:$J,'#存货'!$N:$AN</definedName>
    <definedName name="Z_EF272C5B_E1B4_4E28_A0CC_0096C93CB1E5_.wvu.Cols" localSheetId="17" hidden="1">'#经营利润'!$D:$G,'#经营利润'!$L:$AC</definedName>
    <definedName name="Z_EF272C5B_E1B4_4E28_A0CC_0096C93CB1E5_.wvu.Cols" localSheetId="18" hidden="1">'#利润建议'!$B:$G,'#利润建议'!$N:$AN</definedName>
    <definedName name="Z_EF272C5B_E1B4_4E28_A0CC_0096C93CB1E5_.wvu.Cols" localSheetId="15" hidden="1">'#母公司报表'!$G:$O,'#母公司报表'!$P:$P</definedName>
    <definedName name="Z_EF272C5B_E1B4_4E28_A0CC_0096C93CB1E5_.wvu.Cols" localSheetId="10" hidden="1">'#税金'!$B:$C,'#税金'!$E:$M,'#税金'!#REF!,'#税金'!$N:$N,'#税金'!$Q:$Y</definedName>
    <definedName name="Z_EF272C5B_E1B4_4E28_A0CC_0096C93CB1E5_.wvu.Cols" localSheetId="12" hidden="1">'#现金流 (新)'!$C:$C,'#现金流 (新)'!$F:$F,'#现金流 (新)'!$I:$Q</definedName>
    <definedName name="Z_EF272C5B_E1B4_4E28_A0CC_0096C93CB1E5_.wvu.Cols" localSheetId="14" hidden="1">'#销量数据'!$K:$AB</definedName>
    <definedName name="Z_EF272C5B_E1B4_4E28_A0CC_0096C93CB1E5_.wvu.Cols" localSheetId="22" hidden="1">钢铁分析!$C:$E</definedName>
    <definedName name="Z_EF272C5B_E1B4_4E28_A0CC_0096C93CB1E5_.wvu.Cols" localSheetId="34" hidden="1">'利润（汇总）'!$D:$D</definedName>
    <definedName name="Z_EF272C5B_E1B4_4E28_A0CC_0096C93CB1E5_.wvu.Cols" localSheetId="32" hidden="1">'收入（关联）'!$C:$C</definedName>
    <definedName name="Z_EF272C5B_E1B4_4E28_A0CC_0096C93CB1E5_.wvu.Cols" localSheetId="30" hidden="1">'收入（汇总）'!$D:$D</definedName>
    <definedName name="Z_EF272C5B_E1B4_4E28_A0CC_0096C93CB1E5_.wvu.PrintArea" localSheetId="15" hidden="1">'#母公司报表'!$A$1:$P$68</definedName>
    <definedName name="Z_EF272C5B_E1B4_4E28_A0CC_0096C93CB1E5_.wvu.Rows" localSheetId="13" hidden="1">'#存货'!$6:$6</definedName>
    <definedName name="Z_EF272C5B_E1B4_4E28_A0CC_0096C93CB1E5_.wvu.Rows" localSheetId="17" hidden="1">'#经营利润'!$11:$11,'#经营利润'!$35:$35,'#经营利润'!$30:$35,'#经营利润'!$40:$42</definedName>
    <definedName name="Z_EF272C5B_E1B4_4E28_A0CC_0096C93CB1E5_.wvu.Rows" localSheetId="18" hidden="1">'#利润建议'!$11:$11,'#利润建议'!$35:$35,'#利润建议'!$26:$35,'#利润建议'!$40:$42</definedName>
    <definedName name="Z_EF272C5B_E1B4_4E28_A0CC_0096C93CB1E5_.wvu.Rows" localSheetId="15" hidden="1">'#母公司报表'!$115:$120</definedName>
    <definedName name="Z_EF272C5B_E1B4_4E28_A0CC_0096C93CB1E5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F0C5A823_7582_4A77_AF72_65BD742B8A68_.wvu.Cols" localSheetId="13" hidden="1">'#存货'!$E:$Y,'#存货'!$AA:$AB</definedName>
    <definedName name="Z_F0C5A823_7582_4A77_AF72_65BD742B8A68_.wvu.Cols" localSheetId="17" hidden="1">'#经营利润'!$D:$S,'#经营利润'!$X:$AC</definedName>
    <definedName name="Z_F0C5A823_7582_4A77_AF72_65BD742B8A68_.wvu.Cols" localSheetId="18" hidden="1">'#利润建议'!$B:$Y,'#利润建议'!$AF:$AN</definedName>
    <definedName name="Z_F0C5A823_7582_4A77_AF72_65BD742B8A68_.wvu.Cols" localSheetId="15" hidden="1">'#母公司报表'!$P:$P</definedName>
    <definedName name="Z_F0C5A823_7582_4A77_AF72_65BD742B8A68_.wvu.Cols" localSheetId="10" hidden="1">'#税金'!$B:$I,'#税金'!$K:$M,'#税金'!#REF!,'#税金'!$N:$T,'#税金'!$W:$Y</definedName>
    <definedName name="Z_F0C5A823_7582_4A77_AF72_65BD742B8A68_.wvu.Cols" localSheetId="12" hidden="1">'#现金流 (新)'!$C:$C,'#现金流 (新)'!$F:$L,'#现金流 (新)'!$O:$Q</definedName>
    <definedName name="Z_F0C5A823_7582_4A77_AF72_65BD742B8A68_.wvu.Cols" localSheetId="14" hidden="1">'#销量数据'!$C:$R,'#销量数据'!$W:$AB</definedName>
    <definedName name="Z_F0C5A823_7582_4A77_AF72_65BD742B8A68_.wvu.Cols" localSheetId="22" hidden="1">钢铁分析!$C:$E</definedName>
    <definedName name="Z_F0C5A823_7582_4A77_AF72_65BD742B8A68_.wvu.Cols" localSheetId="34" hidden="1">'利润（汇总）'!$N:$P</definedName>
    <definedName name="Z_F0C5A823_7582_4A77_AF72_65BD742B8A68_.wvu.Cols" localSheetId="32" hidden="1">'收入（关联）'!$M:$O</definedName>
    <definedName name="Z_F0C5A823_7582_4A77_AF72_65BD742B8A68_.wvu.Cols" localSheetId="30" hidden="1">'收入（汇总）'!$N:$P</definedName>
    <definedName name="Z_F0C5A823_7582_4A77_AF72_65BD742B8A68_.wvu.PrintArea" localSheetId="15" hidden="1">'#母公司报表'!$A$1:$P$68</definedName>
    <definedName name="Z_F0C5A823_7582_4A77_AF72_65BD742B8A68_.wvu.Rows" localSheetId="13" hidden="1">'#存货'!$6:$6</definedName>
    <definedName name="Z_F0C5A823_7582_4A77_AF72_65BD742B8A68_.wvu.Rows" localSheetId="17" hidden="1">'#经营利润'!$11:$11,'#经营利润'!$35:$35,'#经营利润'!$29:$35,'#经营利润'!$40:$42</definedName>
    <definedName name="Z_F0C5A823_7582_4A77_AF72_65BD742B8A68_.wvu.Rows" localSheetId="18" hidden="1">'#利润建议'!$11:$11,'#利润建议'!$35:$35,'#利润建议'!$25:$35,'#利润建议'!$40:$42</definedName>
    <definedName name="Z_F0C5A823_7582_4A77_AF72_65BD742B8A68_.wvu.Rows" localSheetId="15" hidden="1">'#母公司报表'!$115:$120</definedName>
    <definedName name="Z_F0C5A823_7582_4A77_AF72_65BD742B8A68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F4AC907F_16C9_414D_9422_BE36B6323C42_.wvu.Cols" localSheetId="17" hidden="1">'#经营利润'!$D:$Q,'#经营利润'!$V:$AC</definedName>
    <definedName name="Z_F4AC907F_16C9_414D_9422_BE36B6323C42_.wvu.Cols" localSheetId="18" hidden="1">'#利润建议'!$B:$P,'#利润建议'!$AC:$AN</definedName>
    <definedName name="Z_F4AC907F_16C9_414D_9422_BE36B6323C42_.wvu.Cols" localSheetId="10" hidden="1">'#税金'!$B:$H,'#税金'!$J:$M,'#税金'!#REF!,'#税金'!$N:$R,'#税金'!$V:$Y</definedName>
    <definedName name="Z_F4AC907F_16C9_414D_9422_BE36B6323C42_.wvu.Cols" localSheetId="12" hidden="1">'#现金流 (新)'!$N:$Q,'#现金流 (新)'!$AJ:$AJ,'#现金流 (新)'!$AM:$AM</definedName>
    <definedName name="Z_F4AC907F_16C9_414D_9422_BE36B6323C42_.wvu.Cols" localSheetId="14" hidden="1">'#销量数据'!$C:$N,'#销量数据'!$U:$AB,'#销量数据'!#REF!</definedName>
    <definedName name="Z_F4AC907F_16C9_414D_9422_BE36B6323C42_.wvu.Cols" localSheetId="34" hidden="1">'利润（汇总）'!$C:$I,'利润（汇总）'!$M:$P</definedName>
    <definedName name="Z_F4AC907F_16C9_414D_9422_BE36B6323C42_.wvu.Cols" localSheetId="32" hidden="1">'收入（关联）'!$B:$H,'收入（关联）'!$L:$O</definedName>
    <definedName name="Z_F4AC907F_16C9_414D_9422_BE36B6323C42_.wvu.Cols" localSheetId="30" hidden="1">'收入（汇总）'!$C:$I,'收入（汇总）'!$M:$P</definedName>
    <definedName name="Z_F4AC907F_16C9_414D_9422_BE36B6323C42_.wvu.PrintTitles" localSheetId="34" hidden="1">'利润（汇总）'!$2:$2</definedName>
    <definedName name="Z_F4AC907F_16C9_414D_9422_BE36B6323C42_.wvu.PrintTitles" localSheetId="32" hidden="1">'收入（关联）'!$2:$2</definedName>
    <definedName name="Z_F4AC907F_16C9_414D_9422_BE36B6323C42_.wvu.PrintTitles" localSheetId="30" hidden="1">'收入（汇总）'!$2:$2</definedName>
    <definedName name="Z_F4AC907F_16C9_414D_9422_BE36B6323C42_.wvu.Rows" localSheetId="18" hidden="1">'#利润建议'!#REF!,'#利润建议'!#REF!,'#利润建议'!#REF!,'#利润建议'!#REF!</definedName>
    <definedName name="Z_F4AC907F_16C9_414D_9422_BE36B6323C42_.wvu.Rows" localSheetId="14" hidden="1">'#销量数据'!$6:$6,'#销量数据'!$27:$28,'#销量数据'!$30:$33,'#销量数据'!$35:$38,'#销量数据'!$41:$44,'#销量数据'!$46:$49,'#销量数据'!$58:$59,'#销量数据'!$61:$62,'#销量数据'!$65:$65</definedName>
    <definedName name="Z_F4E042F4_F63B_492A_B863_3220F2A3CD9E_.wvu.Cols" localSheetId="13" hidden="1">'#存货'!$E:$G,'#存货'!$I:$J,'#存货'!$L:$M</definedName>
    <definedName name="Z_F4E042F4_F63B_492A_B863_3220F2A3CD9E_.wvu.Cols" localSheetId="17" hidden="1">'#经营利润'!$D:$K,'#经营利润'!$T:$AC</definedName>
    <definedName name="Z_F4E042F4_F63B_492A_B863_3220F2A3CD9E_.wvu.Cols" localSheetId="18" hidden="1">'#利润建议'!$B:$J,'#利润建议'!$W:$AN</definedName>
    <definedName name="Z_F4E042F4_F63B_492A_B863_3220F2A3CD9E_.wvu.Cols" localSheetId="15" hidden="1">'#母公司报表'!$K:$O,'#母公司报表'!$P:$P</definedName>
    <definedName name="Z_F4E042F4_F63B_492A_B863_3220F2A3CD9E_.wvu.Cols" localSheetId="10" hidden="1">'#税金'!$B:$D,'#税金'!$F:$M,'#税金'!#REF!,'#税金'!$N:$O,'#税金'!$R:$Y</definedName>
    <definedName name="Z_F4E042F4_F63B_492A_B863_3220F2A3CD9E_.wvu.Cols" localSheetId="12" hidden="1">'#现金流 (新)'!$C:$C,'#现金流 (新)'!$F:$H,'#现金流 (新)'!$K:$Q</definedName>
    <definedName name="Z_F4E042F4_F63B_492A_B863_3220F2A3CD9E_.wvu.Cols" localSheetId="14" hidden="1">'#销量数据'!$C:$H,'#销量数据'!$O:$AB</definedName>
    <definedName name="Z_F4E042F4_F63B_492A_B863_3220F2A3CD9E_.wvu.Cols" localSheetId="22" hidden="1">钢铁分析!$C:$E</definedName>
    <definedName name="Z_F4E042F4_F63B_492A_B863_3220F2A3CD9E_.wvu.PrintArea" localSheetId="15" hidden="1">'#母公司报表'!$A$1:$P$68</definedName>
    <definedName name="Z_F4E042F4_F63B_492A_B863_3220F2A3CD9E_.wvu.Rows" localSheetId="13" hidden="1">'#存货'!$6:$6</definedName>
    <definedName name="Z_F4E042F4_F63B_492A_B863_3220F2A3CD9E_.wvu.Rows" localSheetId="17" hidden="1">'#经营利润'!#REF!,'#经营利润'!$35:$35,'#经营利润'!$29:$35,'#经营利润'!$27:$42</definedName>
    <definedName name="Z_F4E042F4_F63B_492A_B863_3220F2A3CD9E_.wvu.Rows" localSheetId="18" hidden="1">'#利润建议'!#REF!,'#利润建议'!$35:$35,'#利润建议'!$25:$35,'#利润建议'!$29:$42</definedName>
    <definedName name="Z_F4E042F4_F63B_492A_B863_3220F2A3CD9E_.wvu.Rows" localSheetId="15" hidden="1">'#母公司报表'!$115:$120</definedName>
    <definedName name="Z_F4EB51F4_FD23_4D5B_8072_1AF5D59D6686_.wvu.Cols" localSheetId="26" hidden="1">'#采购&amp;股份关联'!$D:$S</definedName>
    <definedName name="Z_F4EB51F4_FD23_4D5B_8072_1AF5D59D6686_.wvu.Cols" localSheetId="13" hidden="1">'#存货'!$AP:$AQ</definedName>
    <definedName name="Z_F4EB51F4_FD23_4D5B_8072_1AF5D59D6686_.wvu.Cols" localSheetId="20" hidden="1">'#分板块利润分析'!$C:$C,'#分板块利润分析'!$E:$E,'#分板块利润分析'!$Q:$Q,'#分板块利润分析'!$S:$S</definedName>
    <definedName name="Z_F4EB51F4_FD23_4D5B_8072_1AF5D59D6686_.wvu.Cols" localSheetId="17" hidden="1">'#经营利润'!$AH:$BA</definedName>
    <definedName name="Z_F4EB51F4_FD23_4D5B_8072_1AF5D59D6686_.wvu.Cols" localSheetId="18" hidden="1">'#利润建议'!$B:$AN,'#利润建议'!$AU:$BX</definedName>
    <definedName name="Z_F4EB51F4_FD23_4D5B_8072_1AF5D59D6686_.wvu.Cols" localSheetId="31" hidden="1">'#收入完成情况'!$E:$E,'#收入完成情况'!$I:$I,'#收入完成情况'!$M:$M</definedName>
    <definedName name="Z_F4EB51F4_FD23_4D5B_8072_1AF5D59D6686_.wvu.Cols" localSheetId="12" hidden="1">'#现金流 (新)'!$C:$Q,'#现金流 (新)'!$S:$AE,'#现金流 (新)'!$AJ:$AJ,'#现金流 (新)'!$AM:$AM</definedName>
    <definedName name="Z_F4EB51F4_FD23_4D5B_8072_1AF5D59D6686_.wvu.Cols" localSheetId="11" hidden="1">'#子分公司分析'!$M:$N</definedName>
    <definedName name="Z_F4EB51F4_FD23_4D5B_8072_1AF5D59D6686_.wvu.Cols" localSheetId="21" hidden="1">'@分析#利润分析#'!$D:$D</definedName>
    <definedName name="Z_F4EB51F4_FD23_4D5B_8072_1AF5D59D6686_.wvu.Cols" localSheetId="1" hidden="1">'@预测#利润分析#'!$D:$D</definedName>
    <definedName name="Z_F4EB51F4_FD23_4D5B_8072_1AF5D59D6686_.wvu.Cols" localSheetId="5" hidden="1">'@预测#收入利润#'!$B:$D,'@预测#收入利润#'!$F:$G,'@预测#收入利润#'!$P:$P,'@预测#收入利润#'!$T:$V</definedName>
    <definedName name="Z_F4EB51F4_FD23_4D5B_8072_1AF5D59D6686_.wvu.Cols" localSheetId="27" hidden="1">Sheet1!$T:$AK</definedName>
    <definedName name="Z_F4EB51F4_FD23_4D5B_8072_1AF5D59D6686_.wvu.Cols" localSheetId="35" hidden="1">画图!$O:$O</definedName>
    <definedName name="Z_F4EB51F4_FD23_4D5B_8072_1AF5D59D6686_.wvu.Cols" localSheetId="30" hidden="1">'收入（汇总）'!$D:$D</definedName>
    <definedName name="Z_F4EB51F4_FD23_4D5B_8072_1AF5D59D6686_.wvu.PrintArea" localSheetId="16" hidden="1">'#经营概况'!$B$322:$O$379</definedName>
    <definedName name="Z_F4EB51F4_FD23_4D5B_8072_1AF5D59D6686_.wvu.PrintArea" localSheetId="17" hidden="1">'#经营利润'!$A$3:$BJ$43</definedName>
    <definedName name="Z_F4EB51F4_FD23_4D5B_8072_1AF5D59D6686_.wvu.PrintArea" localSheetId="18" hidden="1">'#利润建议'!$A$3:$CD$42</definedName>
    <definedName name="Z_F4EB51F4_FD23_4D5B_8072_1AF5D59D6686_.wvu.PrintArea" localSheetId="25" hidden="1">'#利润因素分析（ppt）'!$F$2:$M$21</definedName>
    <definedName name="Z_F4EB51F4_FD23_4D5B_8072_1AF5D59D6686_.wvu.PrintArea" localSheetId="15" hidden="1">'#母公司报表'!$A$1:$P$68</definedName>
    <definedName name="Z_F4EB51F4_FD23_4D5B_8072_1AF5D59D6686_.wvu.PrintArea" localSheetId="31" hidden="1">'#收入完成情况'!$B$3:$Q$44</definedName>
    <definedName name="Z_F4EB51F4_FD23_4D5B_8072_1AF5D59D6686_.wvu.PrintArea" localSheetId="11" hidden="1">'#子分公司分析'!$C$3:$L$37</definedName>
    <definedName name="Z_F4EB51F4_FD23_4D5B_8072_1AF5D59D6686_.wvu.PrintArea" localSheetId="42" hidden="1">'@产量打印#不锈钢'!$A$3:$K$42</definedName>
    <definedName name="Z_F4EB51F4_FD23_4D5B_8072_1AF5D59D6686_.wvu.PrintArea" localSheetId="44" hidden="1">'@产量打印#材'!$A$3:$K$35</definedName>
    <definedName name="Z_F4EB51F4_FD23_4D5B_8072_1AF5D59D6686_.wvu.PrintArea" localSheetId="40" hidden="1">'@产量打印#概况'!$A$4:$V$30</definedName>
    <definedName name="Z_F4EB51F4_FD23_4D5B_8072_1AF5D59D6686_.wvu.PrintArea" localSheetId="43" hidden="1">'@产量打印#钢'!$A$3:$K$35</definedName>
    <definedName name="Z_F4EB51F4_FD23_4D5B_8072_1AF5D59D6686_.wvu.PrintArea" localSheetId="41" hidden="1">'@产量打印#矿产品'!$A$3:$K$46</definedName>
    <definedName name="Z_F4EB51F4_FD23_4D5B_8072_1AF5D59D6686_.wvu.PrintArea" localSheetId="0" hidden="1">'@预测#概况#'!$B$173:$O$196</definedName>
    <definedName name="Z_F4EB51F4_FD23_4D5B_8072_1AF5D59D6686_.wvu.PrintArea" localSheetId="6" hidden="1">'@预测#股份关联价（打印）'!$B$3:$K$22</definedName>
    <definedName name="Z_F4EB51F4_FD23_4D5B_8072_1AF5D59D6686_.wvu.PrintArea" localSheetId="27" hidden="1">Sheet1!$A$3:$AN$11</definedName>
    <definedName name="Z_F4EB51F4_FD23_4D5B_8072_1AF5D59D6686_.wvu.PrintArea" localSheetId="33" hidden="1">'收入（外部）'!$A$1:$AB$42</definedName>
    <definedName name="Z_F4EB51F4_FD23_4D5B_8072_1AF5D59D6686_.wvu.Rows" localSheetId="13" hidden="1">'#存货'!$6:$6</definedName>
    <definedName name="Z_F4EB51F4_FD23_4D5B_8072_1AF5D59D6686_.wvu.Rows" localSheetId="20" hidden="1">'#分板块利润分析'!$70:$72</definedName>
    <definedName name="Z_F4EB51F4_FD23_4D5B_8072_1AF5D59D6686_.wvu.Rows" localSheetId="17" hidden="1">'#经营利润'!$11:$11,'#经营利润'!$17:$22,'#经营利润'!$25:$42</definedName>
    <definedName name="Z_F4EB51F4_FD23_4D5B_8072_1AF5D59D6686_.wvu.Rows" localSheetId="18" hidden="1">'#利润建议'!$10:$11,'#利润建议'!$17:$22,'#利润建议'!$25:$42,'#利润建议'!$44:$48</definedName>
    <definedName name="Z_F4EB51F4_FD23_4D5B_8072_1AF5D59D6686_.wvu.Rows" localSheetId="21" hidden="1">'@分析#利润分析#'!$58:$58</definedName>
    <definedName name="Z_F4EB51F4_FD23_4D5B_8072_1AF5D59D6686_.wvu.Rows" localSheetId="1" hidden="1">'@预测#利润分析#'!$59:$59</definedName>
    <definedName name="Z_F4EB51F4_FD23_4D5B_8072_1AF5D59D6686_.wvu.Rows" localSheetId="3" hidden="1">'@预测#利润建议# '!$18:$21,'@预测#利润建议# '!$23:$42</definedName>
    <definedName name="Z_F4F6098D_61EE_4B41_9A28_3FF6056838D4_.wvu.Cols" localSheetId="13" hidden="1">'#存货'!$E:$G,'#存货'!$I:$J,'#存货'!$L:$M</definedName>
    <definedName name="Z_F4F6098D_61EE_4B41_9A28_3FF6056838D4_.wvu.Cols" localSheetId="17" hidden="1">'#经营利润'!$N:$AC</definedName>
    <definedName name="Z_F4F6098D_61EE_4B41_9A28_3FF6056838D4_.wvu.Cols" localSheetId="18" hidden="1">'#利润建议'!$B:$D,'#利润建议'!$Q:$AN</definedName>
    <definedName name="Z_F4F6098D_61EE_4B41_9A28_3FF6056838D4_.wvu.Cols" localSheetId="15" hidden="1">'#母公司报表'!$H:$O,'#母公司报表'!$P:$P</definedName>
    <definedName name="Z_F4F6098D_61EE_4B41_9A28_3FF6056838D4_.wvu.Cols" localSheetId="10" hidden="1">'#税金'!$B:$D,'#税金'!$F:$M,'#税金'!#REF!,'#税金'!$N:$O,'#税金'!$R:$Y</definedName>
    <definedName name="Z_F4F6098D_61EE_4B41_9A28_3FF6056838D4_.wvu.Cols" localSheetId="12" hidden="1">'#现金流 (新)'!$C:$C,'#现金流 (新)'!$F:$G,'#现金流 (新)'!$J:$Q</definedName>
    <definedName name="Z_F4F6098D_61EE_4B41_9A28_3FF6056838D4_.wvu.Cols" localSheetId="14" hidden="1">'#销量数据'!$C:$H,'#销量数据'!$M:$AB</definedName>
    <definedName name="Z_F4F6098D_61EE_4B41_9A28_3FF6056838D4_.wvu.Cols" localSheetId="22" hidden="1">钢铁分析!$C:$E</definedName>
    <definedName name="Z_F4F6098D_61EE_4B41_9A28_3FF6056838D4_.wvu.Cols" localSheetId="34" hidden="1">'利润（汇总）'!$I:$P</definedName>
    <definedName name="Z_F4F6098D_61EE_4B41_9A28_3FF6056838D4_.wvu.Cols" localSheetId="32" hidden="1">'收入（关联）'!$H:$O</definedName>
    <definedName name="Z_F4F6098D_61EE_4B41_9A28_3FF6056838D4_.wvu.Cols" localSheetId="30" hidden="1">'收入（汇总）'!$I:$P</definedName>
    <definedName name="Z_F4F6098D_61EE_4B41_9A28_3FF6056838D4_.wvu.PrintArea" localSheetId="15" hidden="1">'#母公司报表'!$A$1:$P$68</definedName>
    <definedName name="Z_F4F6098D_61EE_4B41_9A28_3FF6056838D4_.wvu.Rows" localSheetId="13" hidden="1">'#存货'!$6:$6</definedName>
    <definedName name="Z_F4F6098D_61EE_4B41_9A28_3FF6056838D4_.wvu.Rows" localSheetId="17" hidden="1">'#经营利润'!$35:$35,'#经营利润'!$30:$30,'#经营利润'!$32:$42</definedName>
    <definedName name="Z_F4F6098D_61EE_4B41_9A28_3FF6056838D4_.wvu.Rows" localSheetId="18" hidden="1">'#利润建议'!$35:$35,'#利润建议'!$26:$26,'#利润建议'!$32:$42</definedName>
    <definedName name="Z_F4F6098D_61EE_4B41_9A28_3FF6056838D4_.wvu.Rows" localSheetId="15" hidden="1">'#母公司报表'!$115:$120</definedName>
    <definedName name="Z_F4F6098D_61EE_4B41_9A28_3FF6056838D4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,'#销量数据'!$83:$84</definedName>
    <definedName name="Z_F59D1623_B10A_4756_A257_7083CF331282_.wvu.Cols" localSheetId="13" hidden="1">'#存货'!$E:$G,'#存货'!$I:$J,'#存货'!$L:$M</definedName>
    <definedName name="Z_F59D1623_B10A_4756_A257_7083CF331282_.wvu.Cols" localSheetId="17" hidden="1">'#经营利润'!$D:$K,'#经营利润'!$R:$AC</definedName>
    <definedName name="Z_F59D1623_B10A_4756_A257_7083CF331282_.wvu.Cols" localSheetId="18" hidden="1">'#利润建议'!$B:$J,'#利润建议'!$W:$AN</definedName>
    <definedName name="Z_F59D1623_B10A_4756_A257_7083CF331282_.wvu.Cols" localSheetId="15" hidden="1">'#母公司报表'!$J:$O,'#母公司报表'!$P:$P</definedName>
    <definedName name="Z_F59D1623_B10A_4756_A257_7083CF331282_.wvu.Cols" localSheetId="10" hidden="1">'#税金'!$B:$D,'#税金'!$F:$M,'#税金'!#REF!,'#税金'!$N:$O,'#税金'!$R:$Y</definedName>
    <definedName name="Z_F59D1623_B10A_4756_A257_7083CF331282_.wvu.Cols" localSheetId="12" hidden="1">'#现金流 (新)'!$C:$C,'#现金流 (新)'!$F:$H,'#现金流 (新)'!$K:$Q</definedName>
    <definedName name="Z_F59D1623_B10A_4756_A257_7083CF331282_.wvu.Cols" localSheetId="14" hidden="1">'#销量数据'!$C:$H,'#销量数据'!$O:$AB</definedName>
    <definedName name="Z_F59D1623_B10A_4756_A257_7083CF331282_.wvu.Cols" localSheetId="22" hidden="1">钢铁分析!$C:$E</definedName>
    <definedName name="Z_F59D1623_B10A_4756_A257_7083CF331282_.wvu.PrintArea" localSheetId="15" hidden="1">'#母公司报表'!$A$1:$P$68</definedName>
    <definedName name="Z_F59D1623_B10A_4756_A257_7083CF331282_.wvu.Rows" localSheetId="13" hidden="1">'#存货'!$6:$6</definedName>
    <definedName name="Z_F59D1623_B10A_4756_A257_7083CF331282_.wvu.Rows" localSheetId="17" hidden="1">'#经营利润'!#REF!,'#经营利润'!$35:$35,'#经营利润'!$29:$35,'#经营利润'!$27:$42</definedName>
    <definedName name="Z_F59D1623_B10A_4756_A257_7083CF331282_.wvu.Rows" localSheetId="18" hidden="1">'#利润建议'!#REF!,'#利润建议'!$35:$35,'#利润建议'!$25:$35,'#利润建议'!$29:$42</definedName>
    <definedName name="Z_F59D1623_B10A_4756_A257_7083CF331282_.wvu.Rows" localSheetId="15" hidden="1">'#母公司报表'!$115:$120</definedName>
    <definedName name="Z_F5F9735B_EE22_4AC6_B5AB_C856ED6C133D_.wvu.Cols" localSheetId="13" hidden="1">'#存货'!$E:$AB,'#存货'!$AD:$AE,'#存货'!$AI:$AN</definedName>
    <definedName name="Z_F5F9735B_EE22_4AC6_B5AB_C856ED6C133D_.wvu.Cols" localSheetId="20" hidden="1">'#分板块利润分析'!$C:$C,'#分板块利润分析'!$E:$E,'#分板块利润分析'!$J:$J,'#分板块利润分析'!#REF!</definedName>
    <definedName name="Z_F5F9735B_EE22_4AC6_B5AB_C856ED6C133D_.wvu.Cols" localSheetId="17" hidden="1">'#经营利润'!$D:$U,'#经营利润'!$Z:$AC,'#经营利润'!$BD:$BE</definedName>
    <definedName name="Z_F5F9735B_EE22_4AC6_B5AB_C856ED6C133D_.wvu.Cols" localSheetId="18" hidden="1">'#利润建议'!$B:$AB,'#利润建议'!$AI:$AN</definedName>
    <definedName name="Z_F5F9735B_EE22_4AC6_B5AB_C856ED6C133D_.wvu.Cols" localSheetId="31" hidden="1">'#收入完成情况'!$E:$E,'#收入完成情况'!$I:$I,'#收入完成情况'!$M:$M</definedName>
    <definedName name="Z_F5F9735B_EE22_4AC6_B5AB_C856ED6C133D_.wvu.Cols" localSheetId="12" hidden="1">'#现金流 (新)'!$G:$AH</definedName>
    <definedName name="Z_F5F9735B_EE22_4AC6_B5AB_C856ED6C133D_.wvu.Cols" localSheetId="5" hidden="1">'@预测#收入利润#'!$T:$U</definedName>
    <definedName name="Z_F5F9735B_EE22_4AC6_B5AB_C856ED6C133D_.wvu.Cols" localSheetId="35" hidden="1">画图!$N:$O</definedName>
    <definedName name="Z_F5F9735B_EE22_4AC6_B5AB_C856ED6C133D_.wvu.Cols" localSheetId="30" hidden="1">'收入（汇总）'!$D:$D</definedName>
    <definedName name="Z_F5F9735B_EE22_4AC6_B5AB_C856ED6C133D_.wvu.PrintArea" localSheetId="17" hidden="1">'#经营利润'!$A$3:$BJ$43</definedName>
    <definedName name="Z_F5F9735B_EE22_4AC6_B5AB_C856ED6C133D_.wvu.PrintArea" localSheetId="18" hidden="1">'#利润建议'!$A$3:$CA$43</definedName>
    <definedName name="Z_F5F9735B_EE22_4AC6_B5AB_C856ED6C133D_.wvu.PrintArea" localSheetId="25" hidden="1">'#利润因素分析（ppt）'!$F$2:$M$21</definedName>
    <definedName name="Z_F5F9735B_EE22_4AC6_B5AB_C856ED6C133D_.wvu.PrintArea" localSheetId="15" hidden="1">'#母公司报表'!$A$1:$P$68</definedName>
    <definedName name="Z_F5F9735B_EE22_4AC6_B5AB_C856ED6C133D_.wvu.PrintArea" localSheetId="31" hidden="1">'#收入完成情况'!$B$3:$Q$44</definedName>
    <definedName name="Z_F5F9735B_EE22_4AC6_B5AB_C856ED6C133D_.wvu.PrintArea" localSheetId="11" hidden="1">'#子分公司分析'!$C$3:$L$37</definedName>
    <definedName name="Z_F5F9735B_EE22_4AC6_B5AB_C856ED6C133D_.wvu.PrintArea" localSheetId="42" hidden="1">'@产量打印#不锈钢'!$A$3:$K$42</definedName>
    <definedName name="Z_F5F9735B_EE22_4AC6_B5AB_C856ED6C133D_.wvu.PrintArea" localSheetId="44" hidden="1">'@产量打印#材'!$A$3:$K$35</definedName>
    <definedName name="Z_F5F9735B_EE22_4AC6_B5AB_C856ED6C133D_.wvu.PrintArea" localSheetId="40" hidden="1">'@产量打印#概况'!$A$4:$Q$30</definedName>
    <definedName name="Z_F5F9735B_EE22_4AC6_B5AB_C856ED6C133D_.wvu.PrintArea" localSheetId="43" hidden="1">'@产量打印#钢'!$A$3:$K$35</definedName>
    <definedName name="Z_F5F9735B_EE22_4AC6_B5AB_C856ED6C133D_.wvu.PrintArea" localSheetId="41" hidden="1">'@产量打印#矿产品'!$A$3:$K$46</definedName>
    <definedName name="Z_F5F9735B_EE22_4AC6_B5AB_C856ED6C133D_.wvu.PrintArea" localSheetId="33" hidden="1">'收入（外部）'!$A$1:$AB$42</definedName>
    <definedName name="Z_F5F9735B_EE22_4AC6_B5AB_C856ED6C133D_.wvu.Rows" localSheetId="13" hidden="1">'#存货'!$6:$6</definedName>
    <definedName name="Z_F5F9735B_EE22_4AC6_B5AB_C856ED6C133D_.wvu.Rows" localSheetId="20" hidden="1">'#分板块利润分析'!$66:$66,'#分板块利润分析'!$70:$72,'#分板块利润分析'!$81:$81</definedName>
    <definedName name="Z_F5F9735B_EE22_4AC6_B5AB_C856ED6C133D_.wvu.Rows" localSheetId="17" hidden="1">'#经营利润'!$10:$11,'#经营利润'!$29:$42</definedName>
    <definedName name="Z_F5F9735B_EE22_4AC6_B5AB_C856ED6C133D_.wvu.Rows" localSheetId="18" hidden="1">'#利润建议'!$11:$11,'#利润建议'!$31:$35</definedName>
    <definedName name="Z_F5F9735B_EE22_4AC6_B5AB_C856ED6C133D_.wvu.Rows" localSheetId="4" hidden="1">'@预测#经营利润#'!$10:$10,'@预测#经营利润#'!$29:$35,'@预测#经营利润#'!$27:$42</definedName>
    <definedName name="Z_F5F9735B_EE22_4AC6_B5AB_C856ED6C133D_.wvu.Rows" localSheetId="3" hidden="1">'@预测#利润建议# '!$11:$11,'@预测#利润建议# '!$20:$21,'@预测#利润建议# '!$23:$42</definedName>
    <definedName name="Z_F888C381_11FD_4BA7_8A75_BD0DFEDD01FC_.wvu.Cols" localSheetId="13" hidden="1">'#存货'!$K:$AN</definedName>
    <definedName name="Z_F888C381_11FD_4BA7_8A75_BD0DFEDD01FC_.wvu.Cols" localSheetId="15" hidden="1">'#母公司报表'!$P:$P</definedName>
    <definedName name="Z_F888C381_11FD_4BA7_8A75_BD0DFEDD01FC_.wvu.Cols" localSheetId="10" hidden="1">'#税金'!$B:$B,'#税金'!$D:$M,'#税金'!#REF!,'#税金'!$P:$Y</definedName>
    <definedName name="Z_F888C381_11FD_4BA7_8A75_BD0DFEDD01FC_.wvu.Cols" localSheetId="12" hidden="1">'#现金流 (新)'!$C:$C,'#现金流 (新)'!$H:$Q</definedName>
    <definedName name="Z_F888C381_11FD_4BA7_8A75_BD0DFEDD01FC_.wvu.Cols" localSheetId="14" hidden="1">'#销量数据'!$I:$AB</definedName>
    <definedName name="Z_F888C381_11FD_4BA7_8A75_BD0DFEDD01FC_.wvu.Cols" localSheetId="39" hidden="1">产品质量!$F:$P</definedName>
    <definedName name="Z_F888C381_11FD_4BA7_8A75_BD0DFEDD01FC_.wvu.PrintArea" localSheetId="15" hidden="1">'#母公司报表'!$A$1:$P$68</definedName>
    <definedName name="Z_F888C381_11FD_4BA7_8A75_BD0DFEDD01FC_.wvu.Rows" localSheetId="13" hidden="1">'#存货'!$6:$6,'#存货'!$13:$13,'#存货'!#REF!,'#存货'!$16:$16,'#存货'!#REF!,'#存货'!#REF!,'#存货'!#REF!</definedName>
    <definedName name="Z_F888C381_11FD_4BA7_8A75_BD0DFEDD01FC_.wvu.Rows" localSheetId="15" hidden="1">'#母公司报表'!$115:$120</definedName>
    <definedName name="Z_F888C381_11FD_4BA7_8A75_BD0DFEDD01FC_.wvu.Rows" localSheetId="14" hidden="1">'#销量数据'!$6:$7,'#销量数据'!$27:$28,'#销量数据'!$30:$33,'#销量数据'!$35:$38,'#销量数据'!$41:$44,'#销量数据'!$46:$49,'#销量数据'!$56:$59,'#销量数据'!$61:$62,'#销量数据'!$65:$65,'#销量数据'!#REF!,'#销量数据'!$81:$81</definedName>
    <definedName name="Z_FAE47F87_2CDA_45F0_B7BB_7CE16E16C552_.wvu.Cols" localSheetId="13" hidden="1">'#存货'!$E:$Y,'#存货'!$AA:$AB</definedName>
    <definedName name="Z_FAE47F87_2CDA_45F0_B7BB_7CE16E16C552_.wvu.Cols" localSheetId="17" hidden="1">'#经营利润'!$D:$S,'#经营利润'!$X:$AC</definedName>
    <definedName name="Z_FAE47F87_2CDA_45F0_B7BB_7CE16E16C552_.wvu.Cols" localSheetId="18" hidden="1">'#利润建议'!$B:$Y,'#利润建议'!$AF:$AN</definedName>
    <definedName name="Z_FAE47F87_2CDA_45F0_B7BB_7CE16E16C552_.wvu.Cols" localSheetId="15" hidden="1">'#母公司报表'!$P:$P</definedName>
    <definedName name="Z_FAE47F87_2CDA_45F0_B7BB_7CE16E16C552_.wvu.Cols" localSheetId="10" hidden="1">'#税金'!$B:$J,'#税金'!$L:$M,'#税金'!#REF!,'#税金'!$N:$U,'#税金'!$X:$Y</definedName>
    <definedName name="Z_FAE47F87_2CDA_45F0_B7BB_7CE16E16C552_.wvu.Cols" localSheetId="12" hidden="1">'#现金流 (新)'!$C:$C,'#现金流 (新)'!$F:$M,'#现金流 (新)'!$P:$Q</definedName>
    <definedName name="Z_FAE47F87_2CDA_45F0_B7BB_7CE16E16C552_.wvu.Cols" localSheetId="14" hidden="1">'#销量数据'!$C:$R,'#销量数据'!$W:$AB</definedName>
    <definedName name="Z_FAE47F87_2CDA_45F0_B7BB_7CE16E16C552_.wvu.Cols" localSheetId="22" hidden="1">钢铁分析!$C:$E</definedName>
    <definedName name="Z_FAE47F87_2CDA_45F0_B7BB_7CE16E16C552_.wvu.Cols" localSheetId="34" hidden="1">'利润（汇总）'!$D:$L</definedName>
    <definedName name="Z_FAE47F87_2CDA_45F0_B7BB_7CE16E16C552_.wvu.Cols" localSheetId="32" hidden="1">'收入（关联）'!$C:$K</definedName>
    <definedName name="Z_FAE47F87_2CDA_45F0_B7BB_7CE16E16C552_.wvu.Cols" localSheetId="30" hidden="1">'收入（汇总）'!$D:$L</definedName>
    <definedName name="Z_FAE47F87_2CDA_45F0_B7BB_7CE16E16C552_.wvu.PrintArea" localSheetId="15" hidden="1">'#母公司报表'!$A$1:$P$68</definedName>
    <definedName name="Z_FAE47F87_2CDA_45F0_B7BB_7CE16E16C552_.wvu.Rows" localSheetId="13" hidden="1">'#存货'!$6:$6</definedName>
    <definedName name="Z_FAE47F87_2CDA_45F0_B7BB_7CE16E16C552_.wvu.Rows" localSheetId="17" hidden="1">'#经营利润'!$11:$11,'#经营利润'!$35:$35,'#经营利润'!$29:$35,'#经营利润'!$40:$42</definedName>
    <definedName name="Z_FAE47F87_2CDA_45F0_B7BB_7CE16E16C552_.wvu.Rows" localSheetId="18" hidden="1">'#利润建议'!$11:$11,'#利润建议'!$35:$35,'#利润建议'!$25:$35,'#利润建议'!$40:$42</definedName>
    <definedName name="Z_FAE47F87_2CDA_45F0_B7BB_7CE16E16C552_.wvu.Rows" localSheetId="15" hidden="1">'#母公司报表'!$115:$120</definedName>
    <definedName name="Z_FAE47F87_2CDA_45F0_B7BB_7CE16E16C552_.wvu.Rows" localSheetId="14" hidden="1">'#销量数据'!$6:$7,'#销量数据'!$27:$28,'#销量数据'!$30:$33,'#销量数据'!$35:$38,'#销量数据'!$41:$44,'#销量数据'!$46:$49,'#销量数据'!$56:$59,'#销量数据'!$61:$62,'#销量数据'!$65:$65</definedName>
    <definedName name="Z_FBAA8C89_87E1_4A2F_896B_FDD1209CF4E1_.wvu.Cols" localSheetId="13" hidden="1">'#存货'!$E:$G,'#存货'!$I:$J,'#存货'!$L:$M</definedName>
    <definedName name="Z_FBAA8C89_87E1_4A2F_896B_FDD1209CF4E1_.wvu.Cols" localSheetId="17" hidden="1">'#经营利润'!$D:$K,'#经营利润'!$R:$AC</definedName>
    <definedName name="Z_FBAA8C89_87E1_4A2F_896B_FDD1209CF4E1_.wvu.Cols" localSheetId="18" hidden="1">'#利润建议'!$B:$J,'#利润建议'!$W:$AN</definedName>
    <definedName name="Z_FBAA8C89_87E1_4A2F_896B_FDD1209CF4E1_.wvu.Cols" localSheetId="15" hidden="1">'#母公司报表'!$J:$O,'#母公司报表'!$P:$P</definedName>
    <definedName name="Z_FBAA8C89_87E1_4A2F_896B_FDD1209CF4E1_.wvu.Cols" localSheetId="10" hidden="1">'#税金'!$B:$D,'#税金'!$F:$M,'#税金'!#REF!,'#税金'!$N:$O,'#税金'!$R:$Y</definedName>
    <definedName name="Z_FBAA8C89_87E1_4A2F_896B_FDD1209CF4E1_.wvu.Cols" localSheetId="12" hidden="1">'#现金流 (新)'!$C:$C,'#现金流 (新)'!$F:$H,'#现金流 (新)'!$K:$Q</definedName>
    <definedName name="Z_FBAA8C89_87E1_4A2F_896B_FDD1209CF4E1_.wvu.Cols" localSheetId="14" hidden="1">'#销量数据'!$C:$H,'#销量数据'!$O:$AB</definedName>
    <definedName name="Z_FBAA8C89_87E1_4A2F_896B_FDD1209CF4E1_.wvu.Cols" localSheetId="22" hidden="1">钢铁分析!$C:$E</definedName>
    <definedName name="Z_FBAA8C89_87E1_4A2F_896B_FDD1209CF4E1_.wvu.PrintArea" localSheetId="15" hidden="1">'#母公司报表'!$A$1:$P$68</definedName>
    <definedName name="Z_FBAA8C89_87E1_4A2F_896B_FDD1209CF4E1_.wvu.Rows" localSheetId="13" hidden="1">'#存货'!$6:$6</definedName>
    <definedName name="Z_FBAA8C89_87E1_4A2F_896B_FDD1209CF4E1_.wvu.Rows" localSheetId="17" hidden="1">'#经营利润'!#REF!,'#经营利润'!$35:$35,'#经营利润'!$29:$35,'#经营利润'!$27:$42</definedName>
    <definedName name="Z_FBAA8C89_87E1_4A2F_896B_FDD1209CF4E1_.wvu.Rows" localSheetId="18" hidden="1">'#利润建议'!#REF!,'#利润建议'!$35:$35,'#利润建议'!$25:$35,'#利润建议'!$29:$42</definedName>
    <definedName name="Z_FBAA8C89_87E1_4A2F_896B_FDD1209CF4E1_.wvu.Rows" localSheetId="15" hidden="1">'#母公司报表'!$115:$120</definedName>
    <definedName name="Z_FF382DA6_058B_40C6_B965_51F6FECC7384_.wvu.Cols" localSheetId="13" hidden="1">'#存货'!$G:$AN</definedName>
    <definedName name="Z_FF382DA6_058B_40C6_B965_51F6FECC7384_.wvu.Cols" localSheetId="5" hidden="1">'@预测#收入利润#'!$J:$K,'@预测#收入利润#'!$R:$S</definedName>
    <definedName name="Z_FF382DA6_058B_40C6_B965_51F6FECC7384_.wvu.PrintArea" localSheetId="17" hidden="1">'#经营利润'!$A$3:$BC$46</definedName>
    <definedName name="Z_FF382DA6_058B_40C6_B965_51F6FECC7384_.wvu.PrintArea" localSheetId="15" hidden="1">'#母公司报表'!$A$1:$P$68</definedName>
    <definedName name="Z_FF382DA6_058B_40C6_B965_51F6FECC7384_.wvu.PrintArea" localSheetId="42" hidden="1">'@产量打印#不锈钢'!$A$3:$K$42</definedName>
    <definedName name="Z_FF382DA6_058B_40C6_B965_51F6FECC7384_.wvu.PrintArea" localSheetId="44" hidden="1">'@产量打印#材'!$A$3:$K$35</definedName>
    <definedName name="Z_FF382DA6_058B_40C6_B965_51F6FECC7384_.wvu.PrintArea" localSheetId="40" hidden="1">'@产量打印#概况'!$A$4:$Q$30</definedName>
    <definedName name="Z_FF382DA6_058B_40C6_B965_51F6FECC7384_.wvu.PrintArea" localSheetId="43" hidden="1">'@产量打印#钢'!$A$3:$K$35</definedName>
    <definedName name="Z_FF382DA6_058B_40C6_B965_51F6FECC7384_.wvu.PrintArea" localSheetId="41" hidden="1">'@产量打印#矿产品'!$A$3:$K$46</definedName>
    <definedName name="Z_FF382DA6_058B_40C6_B965_51F6FECC7384_.wvu.Rows" localSheetId="13" hidden="1">'#存货'!$6:$6</definedName>
    <definedName name="Z_FF382DA6_058B_40C6_B965_51F6FECC7384_.wvu.Rows" localSheetId="17" hidden="1">'#经营利润'!$11:$11</definedName>
    <definedName name="Z_FF382DA6_058B_40C6_B965_51F6FECC7384_.wvu.Rows" localSheetId="4" hidden="1">'@预测#经营利润#'!#REF!,'@预测#经营利润#'!$35:$35,'@预测#经营利润#'!$29:$35,'@预测#经营利润#'!$25:$35,'@预测#经营利润#'!$27:$27,'@预测#经营利润#'!$40:$42</definedName>
    <definedName name="Z_FF382DA6_058B_40C6_B965_51F6FECC7384_.wvu.Rows" localSheetId="3" hidden="1">'@预测#利润建议# '!$11:$11,'@预测#利润建议# '!$21:$21,'@预测#利润建议# '!$18:$24</definedName>
  </definedNames>
  <calcPr calcId="191029"/>
  <customWorkbookViews>
    <customWorkbookView name="张瀛 - 个人视图" guid="{1683F931-F47D-47C0-A395-D48080DC7EE6}" mergeInterval="0" personalView="1" maximized="1" xWindow="-8" yWindow="-8" windowWidth="1456" windowHeight="876" activeSheetId="8"/>
    <customWorkbookView name="臧泽祥 - 个人视图" guid="{43897816-D2F0-4C3D-8F57-E0039BD2296B}" mergeInterval="0" personalView="1" maximized="1" xWindow="-8" yWindow="-8" windowWidth="1936" windowHeight="1056" activeSheetId="15"/>
    <customWorkbookView name="郝晋伟 - 个人视图" guid="{849C46E5-4ED4-41B9-BDA9-A6465B9DA9C2}" mergeInterval="0" personalView="1" maximized="1" xWindow="-8" yWindow="-8" windowWidth="1456" windowHeight="876" activeSheetId="22"/>
    <customWorkbookView name="张钰涓 - 个人视图" guid="{8C09BCDE-4B8A-4469-B3F2-7F4528A2E78D}" mergeInterval="0" personalView="1" maximized="1" xWindow="-8" yWindow="-8" windowWidth="1936" windowHeight="1066" activeSheetId="8"/>
    <customWorkbookView name="王奇帅01 - 个人视图" guid="{F4EB51F4-FD23-4D5B-8072-1AF5D59D6686}" mergeInterval="0" personalView="1" maximized="1" xWindow="-8" yWindow="-8" windowWidth="1936" windowHeight="1056" activeSheetId="12"/>
    <customWorkbookView name="lei shi - 个人视图" guid="{D7BCFB76-2797-401D-A6F1-E020B5162DD4}" mergeInterval="0" personalView="1" maximized="1" xWindow="-9" yWindow="-9" windowWidth="1938" windowHeight="1048" activeSheetId="20"/>
    <customWorkbookView name="Administrator - 个人视图" guid="{C9A88430-3808-49F4-8D86-BF8C70C55441}" mergeInterval="0" personalView="1" maximized="1" xWindow="-8" yWindow="-8" windowWidth="1456" windowHeight="886" tabRatio="874" activeSheetId="12"/>
    <customWorkbookView name="Hao - 个人视图" guid="{E61FFED3-723E-484A-93A0-94E1A801AF06}" mergeInterval="0" personalView="1" maximized="1" xWindow="-8" yWindow="-8" windowWidth="1936" windowHeight="1056" activeSheetId="21"/>
    <customWorkbookView name="Windows User - 个人视图" guid="{6B5CCA07-2BDD-4B8E-9E3C-2111BBA97430}" mergeInterval="0" personalView="1" maximized="1" xWindow="3832" yWindow="-8" windowWidth="1936" windowHeight="1056" activeSheetId="12"/>
    <customWorkbookView name="w - 个人视图" guid="{2F47A827-9643-4D8A-AC5D-6B09D79AACF9}" mergeInterval="0" personalView="1" maximized="1" xWindow="-8" yWindow="-8" windowWidth="1456" windowHeight="876" activeSheetId="12"/>
    <customWorkbookView name="常星 - 个人视图" guid="{B37168A1-DBAB-4BDE-9F92-6261DCDF3D92}" mergeInterval="0" personalView="1" maximized="1" xWindow="-9" yWindow="-9" windowWidth="1938" windowHeight="1048" activeSheetId="12"/>
    <customWorkbookView name="畅苑如 - 个人视图" guid="{AE0DD889-C13C-4059-8024-0F5B234827E9}" mergeInterval="0" personalView="1" maximized="1" xWindow="-9" yWindow="-9" windowWidth="1458" windowHeight="870" activeSheetId="12"/>
    <customWorkbookView name="周鸿顺 - 个人视图" guid="{CCBBD9B0-4191-4D7A-9F7B-BAC044A49153}" personalView="1" maximized="1" xWindow="-8" yWindow="-8" windowWidth="1456" windowHeight="876" activeSheetId="12"/>
    <customWorkbookView name="赵跃辉 - 个人视图" guid="{F5F9735B-EE22-4AC6-B5AB-C856ED6C133D}" personalView="1" maximized="1" xWindow="-8" yWindow="-8" windowWidth="1456" windowHeight="876" activeSheetId="12"/>
    <customWorkbookView name="Li - 个人视图" guid="{45B4C0D1-53B6-4553-BFF9-393760B8E0CE}" personalView="1" maximized="1" xWindow="-9" yWindow="-9" windowWidth="1698" windowHeight="1020" activeSheetId="17"/>
    <customWorkbookView name="李晓东01 - 个人视图 (2)" guid="{1BBD1596-143E-4714-99EF-E3545231CCD1}" personalView="1" xWindow="-63" yWindow="37" windowWidth="1676" windowHeight="717" activeSheetId="6"/>
    <customWorkbookView name="赵跃辉 - 个人视图 (2)" guid="{A8456D60-99BA-4794-8966-0CBA0A37EA6F}" personalView="1" maximized="1" xWindow="-8" yWindow="-8" windowWidth="1936" windowHeight="1056" activeSheetId="12"/>
    <customWorkbookView name="NFS - 个人视图" guid="{500C3980-ED13-4C97-96B1-955D50509B66}" personalView="1" maximized="1" xWindow="1429" yWindow="-11" windowWidth="2582" windowHeight="1402" activeSheetId="8"/>
    <customWorkbookView name="Wang - 个人视图" guid="{3B943BAF-34C7-494A-A071-85DE0891E5A1}" personalView="1" maximized="1" xWindow="-8" yWindow="-8" windowWidth="1936" windowHeight="1056" activeSheetId="12"/>
    <customWorkbookView name="Chang - 个人视图" guid="{EEE4B3DA-ADF6-49CC-9873-068FE5927B92}" personalView="1" maximized="1" xWindow="-9" yWindow="-9" windowWidth="1458" windowHeight="870" activeSheetId="24"/>
    <customWorkbookView name="lixd - 个人视图" guid="{C52D0F53-4D1D-4D01-B833-260359FD02A5}" mergeInterval="0" personalView="1" maximized="1" xWindow="-8" yWindow="-8" windowWidth="1936" windowHeight="1056" activeSheetId="10"/>
    <customWorkbookView name="sl - 个人视图" guid="{6A1E79C9-91E3-4EEA-8ABB-4446083299EC}" mergeInterval="0" personalView="1" maximized="1" xWindow="-8" yWindow="-8" windowWidth="1696" windowHeight="1026" activeSheetId="2"/>
    <customWorkbookView name="niu - 个人视图" guid="{8B80B510-C931-46B1-8591-DEA916D76593}" mergeInterval="0" personalView="1" maximized="1" xWindow="-8" yWindow="-8" windowWidth="1936" windowHeight="1056" activeSheetId="8"/>
    <customWorkbookView name="H - 个人视图" guid="{303A9D89-611D-4504-BCAA-071C53B021F7}" mergeInterval="0" personalView="1" maximized="1" xWindow="-8" yWindow="-8" windowWidth="2576" windowHeight="1416" activeSheetId="2"/>
    <customWorkbookView name="李晓东01 - 个人视图" guid="{4583A87D-5DFF-47BD-849A-FA4AAF2B9CE3}" mergeInterval="0" personalView="1" xWindow="1027" yWindow="1" windowWidth="875" windowHeight="1040" activeSheetId="10"/>
    <customWorkbookView name="牛学娟 - 个人视图" guid="{EA856AC2-CDFF-46B6-B0C4-30449DF132F4}" mergeInterval="0" personalView="1" maximized="1" xWindow="-8" yWindow="-8" windowWidth="1936" windowHeight="1056" activeSheetId="12"/>
    <customWorkbookView name="沈力 - 个人视图" guid="{322A45A6-8B26-49B8-A4D9-EFB3C94A758D}" mergeInterval="0" personalView="1" maximized="1" xWindow="1672" yWindow="-8" windowWidth="1936" windowHeight="1048" activeSheetId="1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8" i="17" l="1"/>
  <c r="T29" i="41"/>
  <c r="AW42" i="27"/>
  <c r="AU73" i="27" l="1"/>
  <c r="AW79" i="27"/>
  <c r="AW80" i="27"/>
  <c r="AW81" i="27"/>
  <c r="AW82" i="27"/>
  <c r="AW83" i="27"/>
  <c r="AW84" i="27"/>
  <c r="AW43" i="27"/>
  <c r="AW68" i="27" s="1"/>
  <c r="AW38" i="27"/>
  <c r="AW37" i="27"/>
  <c r="AV33" i="27"/>
  <c r="AW54" i="27"/>
  <c r="AW39" i="27"/>
  <c r="AW40" i="27"/>
  <c r="AW41" i="27"/>
  <c r="AW66" i="27" l="1"/>
  <c r="AW69" i="27"/>
  <c r="AW70" i="27"/>
  <c r="AU3" i="31" l="1"/>
  <c r="AD45" i="22"/>
  <c r="J69" i="22" l="1"/>
  <c r="AV47" i="31" l="1"/>
  <c r="N82" i="22"/>
  <c r="BO30" i="38" l="1"/>
  <c r="AU21" i="33" l="1"/>
  <c r="AU20" i="33"/>
  <c r="AV18" i="31"/>
  <c r="AV3" i="31"/>
  <c r="AT4" i="10"/>
  <c r="AT10" i="10" s="1"/>
  <c r="AT3" i="10"/>
  <c r="AT9" i="10" s="1"/>
  <c r="CO89" i="15"/>
  <c r="CP89" i="15"/>
  <c r="CQ89" i="15"/>
  <c r="CR89" i="15"/>
  <c r="CS89" i="15"/>
  <c r="CT89" i="15"/>
  <c r="CU89" i="15"/>
  <c r="CV89" i="15"/>
  <c r="CN90" i="15"/>
  <c r="CO90" i="15"/>
  <c r="CP90" i="15"/>
  <c r="CQ90" i="15"/>
  <c r="CR90" i="15"/>
  <c r="CS90" i="15"/>
  <c r="CT90" i="15"/>
  <c r="CU90" i="15"/>
  <c r="CV90" i="15"/>
  <c r="CM90" i="15"/>
  <c r="CN89" i="15"/>
  <c r="CM89" i="15"/>
  <c r="AT199" i="9"/>
  <c r="AT198" i="9"/>
  <c r="AV84" i="27" l="1"/>
  <c r="AV83" i="27"/>
  <c r="AV82" i="27"/>
  <c r="AV81" i="27"/>
  <c r="AV80" i="27"/>
  <c r="AH21" i="8"/>
  <c r="AV79" i="27" l="1"/>
  <c r="AH18" i="8" l="1"/>
  <c r="AH16" i="8" s="1"/>
  <c r="AT164" i="9" l="1"/>
  <c r="AT165" i="9"/>
  <c r="AT166" i="9"/>
  <c r="AT167" i="9"/>
  <c r="AT168" i="9"/>
  <c r="AT170" i="9"/>
  <c r="AT171" i="9"/>
  <c r="AT172" i="9"/>
  <c r="AT173" i="9"/>
  <c r="AT175" i="9"/>
  <c r="AT176" i="9"/>
  <c r="AT177" i="9"/>
  <c r="AT178" i="9"/>
  <c r="AT179" i="9"/>
  <c r="AT180" i="9"/>
  <c r="AT183" i="9"/>
  <c r="AT201" i="9" s="1"/>
  <c r="AT184" i="9"/>
  <c r="AT186" i="9"/>
  <c r="AT187" i="9"/>
  <c r="AT138" i="9"/>
  <c r="AT139" i="9"/>
  <c r="AT140" i="9"/>
  <c r="AT141" i="9"/>
  <c r="AT142" i="9"/>
  <c r="AT148" i="9"/>
  <c r="AT149" i="9"/>
  <c r="AT151" i="9"/>
  <c r="AT152" i="9"/>
  <c r="AT155" i="9"/>
  <c r="AT156" i="9"/>
  <c r="AT157" i="9"/>
  <c r="AT158" i="9"/>
  <c r="AT159" i="9"/>
  <c r="AV54" i="27"/>
  <c r="AT150" i="9" l="1"/>
  <c r="AT174" i="9"/>
  <c r="AT185" i="9"/>
  <c r="AT188" i="9"/>
  <c r="AT154" i="9"/>
  <c r="AT153" i="9"/>
  <c r="AT163" i="9"/>
  <c r="AT162" i="9" s="1"/>
  <c r="AT169" i="9"/>
  <c r="Z25" i="2" l="1"/>
  <c r="AB25" i="2"/>
  <c r="AD25" i="2"/>
  <c r="Y25" i="2"/>
  <c r="W25" i="2"/>
  <c r="I72" i="1" l="1"/>
  <c r="I53" i="1"/>
  <c r="M10" i="6" l="1"/>
  <c r="D15" i="3"/>
  <c r="H25" i="3"/>
  <c r="P19" i="2"/>
  <c r="M39" i="6" l="1"/>
  <c r="P48" i="2" l="1"/>
  <c r="P37" i="2" l="1"/>
  <c r="H18" i="3"/>
  <c r="H27" i="3" s="1"/>
  <c r="F18" i="3"/>
  <c r="E18" i="3"/>
  <c r="C18" i="3"/>
  <c r="D24" i="3"/>
  <c r="I32" i="3" l="1"/>
  <c r="H29" i="3"/>
  <c r="H28" i="3"/>
  <c r="H30" i="3" l="1"/>
  <c r="I39" i="1"/>
  <c r="I128" i="1"/>
  <c r="R5" i="3" l="1"/>
  <c r="E43" i="27"/>
  <c r="P54" i="27"/>
  <c r="O54" i="27"/>
  <c r="N54" i="27"/>
  <c r="M54" i="27"/>
  <c r="L54" i="27"/>
  <c r="K54" i="27"/>
  <c r="J54" i="27"/>
  <c r="I54" i="27"/>
  <c r="H54" i="27"/>
  <c r="G54" i="27"/>
  <c r="F54" i="27"/>
  <c r="E54" i="27"/>
  <c r="E66" i="27" l="1"/>
  <c r="E70" i="27"/>
  <c r="E68" i="27"/>
  <c r="E69" i="27"/>
  <c r="E67" i="27"/>
  <c r="AT7" i="35"/>
  <c r="L100" i="20" l="1"/>
  <c r="I38" i="12" l="1"/>
  <c r="H38" i="12"/>
  <c r="AS59" i="34"/>
  <c r="BG12" i="14"/>
  <c r="BG7" i="14" s="1"/>
  <c r="BL22" i="14"/>
  <c r="BI22" i="14"/>
  <c r="BH22" i="14"/>
  <c r="BV16" i="14"/>
  <c r="BV15" i="14"/>
  <c r="BV14" i="14"/>
  <c r="BV12" i="14"/>
  <c r="BV7" i="14" s="1"/>
  <c r="BV9" i="14"/>
  <c r="BV3" i="14"/>
  <c r="BS16" i="14"/>
  <c r="BS15" i="14"/>
  <c r="BS14" i="14"/>
  <c r="BS12" i="14"/>
  <c r="BS7" i="14" s="1"/>
  <c r="BS9" i="14"/>
  <c r="BS3" i="14"/>
  <c r="BP16" i="14"/>
  <c r="BP15" i="14"/>
  <c r="BP14" i="14"/>
  <c r="BP12" i="14"/>
  <c r="BP7" i="14" s="1"/>
  <c r="BP9" i="14"/>
  <c r="BP3" i="14"/>
  <c r="BM16" i="14"/>
  <c r="BM15" i="14"/>
  <c r="BM14" i="14"/>
  <c r="BM12" i="14"/>
  <c r="BM7" i="14" s="1"/>
  <c r="BM9" i="14"/>
  <c r="BM3" i="14"/>
  <c r="BJ16" i="14"/>
  <c r="BJ15" i="14"/>
  <c r="BJ14" i="14"/>
  <c r="BJ12" i="14"/>
  <c r="BJ7" i="14" s="1"/>
  <c r="BJ9" i="14"/>
  <c r="BJ3" i="14"/>
  <c r="BG16" i="14"/>
  <c r="BG15" i="14"/>
  <c r="BG14" i="14"/>
  <c r="BG9" i="14"/>
  <c r="BG3" i="14"/>
  <c r="AT21" i="33"/>
  <c r="AT20" i="33"/>
  <c r="AS10" i="33"/>
  <c r="AU18" i="31"/>
  <c r="BG13" i="14" l="1"/>
  <c r="BG19" i="14" s="1"/>
  <c r="BP8" i="14"/>
  <c r="BM13" i="14"/>
  <c r="BM19" i="14" s="1"/>
  <c r="BM8" i="14"/>
  <c r="BG2" i="14"/>
  <c r="BP2" i="14"/>
  <c r="BG8" i="14"/>
  <c r="BV2" i="14"/>
  <c r="BS13" i="14"/>
  <c r="BS19" i="14" s="1"/>
  <c r="BJ13" i="14"/>
  <c r="BJ19" i="14" s="1"/>
  <c r="BV8" i="14"/>
  <c r="BV13" i="14"/>
  <c r="BV19" i="14" s="1"/>
  <c r="BJ8" i="14"/>
  <c r="BP13" i="14"/>
  <c r="BP19" i="14" s="1"/>
  <c r="BJ2" i="14"/>
  <c r="BM2" i="14"/>
  <c r="BS2" i="14"/>
  <c r="BS8" i="14"/>
  <c r="AH62" i="16" l="1"/>
  <c r="Z25" i="22" l="1"/>
  <c r="AB25" i="22"/>
  <c r="AD25" i="22"/>
  <c r="Y25" i="22"/>
  <c r="W25" i="22"/>
  <c r="AU47" i="31" l="1"/>
  <c r="AS9" i="10" l="1"/>
  <c r="AS10" i="10"/>
  <c r="AG42" i="16"/>
  <c r="K69" i="22"/>
  <c r="AH42" i="16" l="1"/>
  <c r="AG71" i="16" l="1"/>
  <c r="X38" i="22" l="1"/>
  <c r="K16" i="41" l="1"/>
  <c r="J16" i="41"/>
  <c r="AU84" i="27"/>
  <c r="AU83" i="27"/>
  <c r="AU82" i="27"/>
  <c r="AU81" i="27"/>
  <c r="AU80" i="27"/>
  <c r="AS199" i="9"/>
  <c r="AU79" i="27" l="1"/>
  <c r="AG18" i="8"/>
  <c r="AG16" i="8" s="1"/>
  <c r="AG21" i="8"/>
  <c r="AR194" i="9"/>
  <c r="G7" i="45"/>
  <c r="G7" i="44"/>
  <c r="AS198" i="9"/>
  <c r="AS164" i="9"/>
  <c r="AS165" i="9"/>
  <c r="AS166" i="9"/>
  <c r="AS167" i="9"/>
  <c r="AS168" i="9"/>
  <c r="AS170" i="9"/>
  <c r="AS171" i="9"/>
  <c r="AS172" i="9"/>
  <c r="AS173" i="9"/>
  <c r="AS175" i="9"/>
  <c r="AS176" i="9"/>
  <c r="AS177" i="9"/>
  <c r="AS178" i="9"/>
  <c r="AS179" i="9"/>
  <c r="AS180" i="9"/>
  <c r="AS183" i="9"/>
  <c r="AS201" i="9" s="1"/>
  <c r="AS184" i="9"/>
  <c r="AS186" i="9"/>
  <c r="AS187" i="9"/>
  <c r="AS138" i="9"/>
  <c r="AS139" i="9"/>
  <c r="AS140" i="9"/>
  <c r="AS141" i="9"/>
  <c r="AS142" i="9"/>
  <c r="AS148" i="9"/>
  <c r="AS149" i="9"/>
  <c r="AS151" i="9"/>
  <c r="AS152" i="9"/>
  <c r="AS155" i="9"/>
  <c r="AS156" i="9"/>
  <c r="AS157" i="9"/>
  <c r="AS158" i="9"/>
  <c r="AS159" i="9"/>
  <c r="AS7" i="9"/>
  <c r="AS182" i="9" s="1"/>
  <c r="AT7" i="9"/>
  <c r="AS4" i="9"/>
  <c r="AS143" i="9" s="1"/>
  <c r="AT4" i="9"/>
  <c r="AT181" i="9" l="1"/>
  <c r="AT143" i="9"/>
  <c r="AT182" i="9"/>
  <c r="AT144" i="9"/>
  <c r="AT146" i="9" s="1"/>
  <c r="AS154" i="9"/>
  <c r="AS153" i="9"/>
  <c r="AS169" i="9"/>
  <c r="AS185" i="9"/>
  <c r="AS144" i="9"/>
  <c r="AS146" i="9" s="1"/>
  <c r="AS181" i="9"/>
  <c r="AS188" i="9"/>
  <c r="AS163" i="9"/>
  <c r="AS162" i="9" s="1"/>
  <c r="AS174" i="9"/>
  <c r="AS150" i="9"/>
  <c r="F5" i="3" l="1"/>
  <c r="P38" i="2" s="1"/>
  <c r="F14" i="2" s="1"/>
  <c r="D31" i="3" l="1"/>
  <c r="D32" i="3" s="1"/>
  <c r="F59" i="2" l="1"/>
  <c r="F58" i="2" s="1"/>
  <c r="F12" i="2"/>
  <c r="H7" i="3" l="1"/>
  <c r="J15" i="3" l="1"/>
  <c r="L15" i="3" s="1"/>
  <c r="H24" i="3"/>
  <c r="H26" i="3" s="1"/>
  <c r="P20" i="2" s="1"/>
  <c r="V32" i="22"/>
  <c r="L23" i="6"/>
  <c r="I70" i="2" l="1"/>
  <c r="AC25" i="2" s="1"/>
  <c r="G70" i="2"/>
  <c r="AA25" i="2" s="1"/>
  <c r="AU54" i="27" l="1"/>
  <c r="AU33" i="27"/>
  <c r="AV37" i="27" s="1"/>
  <c r="D9" i="3"/>
  <c r="D10" i="3" s="1"/>
  <c r="D11" i="3" s="1"/>
  <c r="Q5" i="3" l="1"/>
  <c r="C63" i="20"/>
  <c r="I69" i="22" l="1"/>
  <c r="AC25" i="22" s="1"/>
  <c r="G69" i="22"/>
  <c r="AA25" i="22" s="1"/>
  <c r="D275" i="17" l="1"/>
  <c r="D274" i="17"/>
  <c r="BK50" i="38"/>
  <c r="J275" i="17" s="1"/>
  <c r="BK45" i="38"/>
  <c r="BK44" i="38"/>
  <c r="G274" i="17" s="1"/>
  <c r="G275" i="17" l="1"/>
  <c r="H275" i="17" s="1"/>
  <c r="J274" i="17"/>
  <c r="H274" i="17"/>
  <c r="CJ91" i="15"/>
  <c r="BD4" i="14"/>
  <c r="BD10" i="14"/>
  <c r="BW4" i="38"/>
  <c r="BV4" i="38"/>
  <c r="BU4" i="38"/>
  <c r="BT4" i="38"/>
  <c r="BS4" i="38"/>
  <c r="BR4" i="38"/>
  <c r="BQ4" i="38"/>
  <c r="BP4" i="38"/>
  <c r="BO4" i="38"/>
  <c r="BN4" i="38"/>
  <c r="BM4" i="38"/>
  <c r="BL4" i="38"/>
  <c r="BH4" i="38"/>
  <c r="BJ4" i="38"/>
  <c r="AN7" i="33"/>
  <c r="AT33" i="27" l="1"/>
  <c r="AU37" i="27" l="1"/>
  <c r="AV38" i="27"/>
  <c r="AG10" i="16"/>
  <c r="G28" i="12" l="1"/>
  <c r="G11" i="12"/>
  <c r="G21" i="12"/>
  <c r="AR9" i="10" l="1"/>
  <c r="AR10" i="10"/>
  <c r="AT47" i="31" l="1"/>
  <c r="CU103" i="15" l="1"/>
  <c r="CS103" i="15"/>
  <c r="CQ103" i="15"/>
  <c r="CO103" i="15"/>
  <c r="CM103" i="15"/>
  <c r="CK103" i="15"/>
  <c r="CJ99" i="15"/>
  <c r="AS21" i="33" l="1"/>
  <c r="AS20" i="33"/>
  <c r="AR20" i="33"/>
  <c r="AT18" i="31" l="1"/>
  <c r="AT3" i="31" l="1"/>
  <c r="C55" i="3" l="1"/>
  <c r="AG156" i="16"/>
  <c r="AG115" i="16" s="1"/>
  <c r="X35" i="22" l="1"/>
  <c r="Y35" i="22" s="1"/>
  <c r="X33" i="22"/>
  <c r="E253" i="17"/>
  <c r="D262" i="17"/>
  <c r="M246" i="17"/>
  <c r="J262" i="17" s="1"/>
  <c r="L246" i="17"/>
  <c r="H246" i="17"/>
  <c r="I246" i="17"/>
  <c r="E246" i="17"/>
  <c r="G262" i="17" l="1"/>
  <c r="H262" i="17" l="1"/>
  <c r="AF10" i="8" l="1"/>
  <c r="X34" i="22"/>
  <c r="AR199" i="9"/>
  <c r="CI103" i="15" s="1"/>
  <c r="AF18" i="8" l="1"/>
  <c r="BJ23" i="38" l="1"/>
  <c r="BK23" i="38"/>
  <c r="BL23" i="38"/>
  <c r="BM23" i="38"/>
  <c r="BN23" i="38"/>
  <c r="BO23" i="38"/>
  <c r="BP23" i="38"/>
  <c r="BQ23" i="38"/>
  <c r="BR23" i="38"/>
  <c r="BS23" i="38"/>
  <c r="BT23" i="38"/>
  <c r="BU23" i="38"/>
  <c r="BV23" i="38"/>
  <c r="BW23" i="38"/>
  <c r="BJ14" i="38"/>
  <c r="BK14" i="38"/>
  <c r="BL14" i="38"/>
  <c r="BM14" i="38"/>
  <c r="BN14" i="38"/>
  <c r="BO14" i="38"/>
  <c r="BP14" i="38"/>
  <c r="BQ14" i="38"/>
  <c r="BR14" i="38"/>
  <c r="BS14" i="38"/>
  <c r="BT14" i="38"/>
  <c r="BU14" i="38"/>
  <c r="BV14" i="38"/>
  <c r="BW14" i="38"/>
  <c r="D39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T39" i="38"/>
  <c r="U39" i="38"/>
  <c r="V39" i="38"/>
  <c r="W39" i="38"/>
  <c r="X39" i="38"/>
  <c r="Y39" i="38"/>
  <c r="Z39" i="38"/>
  <c r="AA39" i="38"/>
  <c r="AB39" i="38"/>
  <c r="AC39" i="38"/>
  <c r="AD39" i="38"/>
  <c r="AE39" i="38"/>
  <c r="AF39" i="38"/>
  <c r="AG39" i="38"/>
  <c r="AH39" i="38"/>
  <c r="AI39" i="38"/>
  <c r="AJ39" i="38"/>
  <c r="AK39" i="38"/>
  <c r="AL39" i="38"/>
  <c r="AM39" i="38"/>
  <c r="AN39" i="38"/>
  <c r="AO39" i="38"/>
  <c r="AP39" i="38"/>
  <c r="AQ39" i="38"/>
  <c r="AR39" i="38"/>
  <c r="AS39" i="38"/>
  <c r="AT39" i="38"/>
  <c r="AU39" i="38"/>
  <c r="AV39" i="38"/>
  <c r="AW39" i="38"/>
  <c r="AX39" i="38"/>
  <c r="AY39" i="38"/>
  <c r="AZ39" i="38"/>
  <c r="BA39" i="38"/>
  <c r="BB39" i="38"/>
  <c r="BC39" i="38"/>
  <c r="BD39" i="38"/>
  <c r="BE39" i="38"/>
  <c r="BF39" i="38"/>
  <c r="BG39" i="38"/>
  <c r="BH39" i="38"/>
  <c r="BI39" i="38"/>
  <c r="BJ39" i="38"/>
  <c r="BL39" i="38"/>
  <c r="BM39" i="38"/>
  <c r="BN39" i="38"/>
  <c r="BO39" i="38"/>
  <c r="BP39" i="38"/>
  <c r="BQ39" i="38"/>
  <c r="BR39" i="38"/>
  <c r="BS39" i="38"/>
  <c r="BT39" i="38"/>
  <c r="BU39" i="38"/>
  <c r="BV39" i="38"/>
  <c r="BW39" i="38"/>
  <c r="C39" i="38"/>
  <c r="BK4" i="38"/>
  <c r="BK39" i="38" l="1"/>
  <c r="G55" i="3" l="1"/>
  <c r="D55" i="3"/>
  <c r="G52" i="3"/>
  <c r="D52" i="3"/>
  <c r="E52" i="3"/>
  <c r="F52" i="3"/>
  <c r="C52" i="3"/>
  <c r="C56" i="3" s="1"/>
  <c r="AF71" i="16"/>
  <c r="AU21" i="31"/>
  <c r="AV21" i="31"/>
  <c r="AW21" i="31"/>
  <c r="AX21" i="31"/>
  <c r="AY21" i="31"/>
  <c r="AZ21" i="31"/>
  <c r="AT21" i="31"/>
  <c r="G49" i="3"/>
  <c r="G51" i="3" s="1"/>
  <c r="D49" i="3"/>
  <c r="D51" i="3" s="1"/>
  <c r="E49" i="3"/>
  <c r="E51" i="3" s="1"/>
  <c r="F49" i="3"/>
  <c r="F51" i="3" s="1"/>
  <c r="C49" i="3"/>
  <c r="C51" i="3" s="1"/>
  <c r="D56" i="3" l="1"/>
  <c r="G56" i="3"/>
  <c r="P22" i="41"/>
  <c r="AR198" i="9"/>
  <c r="AR7" i="9"/>
  <c r="AR4" i="9"/>
  <c r="AF21" i="8" l="1"/>
  <c r="AF16" i="8" l="1"/>
  <c r="AR164" i="9" l="1"/>
  <c r="AR165" i="9"/>
  <c r="AR166" i="9"/>
  <c r="AR167" i="9"/>
  <c r="AR168" i="9"/>
  <c r="AR170" i="9"/>
  <c r="AR171" i="9"/>
  <c r="AR172" i="9"/>
  <c r="AR173" i="9"/>
  <c r="AR175" i="9"/>
  <c r="AR176" i="9"/>
  <c r="AR177" i="9"/>
  <c r="AR178" i="9"/>
  <c r="AR179" i="9"/>
  <c r="AR180" i="9"/>
  <c r="AR181" i="9"/>
  <c r="AR182" i="9"/>
  <c r="AR183" i="9"/>
  <c r="AR201" i="9" s="1"/>
  <c r="AR184" i="9"/>
  <c r="AR186" i="9"/>
  <c r="AR187" i="9"/>
  <c r="AR138" i="9"/>
  <c r="AR139" i="9"/>
  <c r="AR140" i="9"/>
  <c r="AR141" i="9"/>
  <c r="AR142" i="9"/>
  <c r="AR143" i="9"/>
  <c r="AR144" i="9"/>
  <c r="AR146" i="9" s="1"/>
  <c r="AR148" i="9"/>
  <c r="AR149" i="9"/>
  <c r="AR151" i="9"/>
  <c r="AR152" i="9"/>
  <c r="AR155" i="9"/>
  <c r="AR156" i="9"/>
  <c r="AR157" i="9"/>
  <c r="AR158" i="9"/>
  <c r="AR159" i="9"/>
  <c r="AR150" i="9" l="1"/>
  <c r="AR185" i="9"/>
  <c r="AR174" i="9"/>
  <c r="AR188" i="9"/>
  <c r="AR153" i="9"/>
  <c r="AR154" i="9"/>
  <c r="AR163" i="9"/>
  <c r="AR162" i="9" s="1"/>
  <c r="AR169" i="9"/>
  <c r="AT80" i="27"/>
  <c r="AT81" i="27"/>
  <c r="AT82" i="27"/>
  <c r="AT83" i="27"/>
  <c r="AT84" i="27"/>
  <c r="G33" i="1"/>
  <c r="I163" i="1"/>
  <c r="AT79" i="27" l="1"/>
  <c r="G42" i="3" l="1"/>
  <c r="D42" i="3" s="1"/>
  <c r="E42" i="3" s="1"/>
  <c r="H42" i="3" l="1"/>
  <c r="G38" i="3" l="1"/>
  <c r="D38" i="3"/>
  <c r="D40" i="3" s="1"/>
  <c r="E40" i="3" l="1"/>
  <c r="I38" i="3"/>
  <c r="D39" i="3"/>
  <c r="E39" i="3" s="1"/>
  <c r="D41" i="3"/>
  <c r="E41" i="3" s="1"/>
  <c r="G41" i="3"/>
  <c r="G40" i="3"/>
  <c r="G39" i="3"/>
  <c r="I41" i="3" l="1"/>
  <c r="I40" i="3"/>
  <c r="G43" i="3"/>
  <c r="D43" i="3"/>
  <c r="H40" i="3"/>
  <c r="H41" i="3"/>
  <c r="I39" i="3"/>
  <c r="H39" i="3"/>
  <c r="I43" i="3" l="1"/>
  <c r="I122" i="1" l="1"/>
  <c r="H1" i="1" l="1"/>
  <c r="H2" i="1"/>
  <c r="C2" i="6" s="1"/>
  <c r="P5" i="3"/>
  <c r="CI29" i="15"/>
  <c r="CJ29" i="15"/>
  <c r="BC25" i="14"/>
  <c r="BC24" i="14"/>
  <c r="BB23" i="14"/>
  <c r="BC23" i="14"/>
  <c r="BF23" i="14"/>
  <c r="BB22" i="14"/>
  <c r="BC22" i="14"/>
  <c r="BF22" i="14"/>
  <c r="BA4" i="14"/>
  <c r="BF4" i="14" s="1"/>
  <c r="AB59" i="34"/>
  <c r="AF6" i="34"/>
  <c r="AT54" i="27"/>
  <c r="CH101" i="15"/>
  <c r="CJ101" i="15" s="1"/>
  <c r="CF103" i="15"/>
  <c r="CD103" i="15"/>
  <c r="CB103" i="15"/>
  <c r="BZ103" i="15"/>
  <c r="CV103" i="15"/>
  <c r="CT103" i="15"/>
  <c r="CR103" i="15"/>
  <c r="CP103" i="15"/>
  <c r="CN103" i="15"/>
  <c r="CL103" i="15"/>
  <c r="CJ103" i="15"/>
  <c r="CH103" i="15"/>
  <c r="AF51" i="16"/>
  <c r="AS47" i="31"/>
  <c r="AR44" i="34" s="1"/>
  <c r="AQ7" i="10"/>
  <c r="AQ10" i="10" s="1"/>
  <c r="AQ6" i="10"/>
  <c r="AL23" i="38"/>
  <c r="AM23" i="38"/>
  <c r="AN23" i="38"/>
  <c r="AO23" i="38"/>
  <c r="AP23" i="38"/>
  <c r="AQ23" i="38"/>
  <c r="AR23" i="38"/>
  <c r="AS23" i="38"/>
  <c r="AS14" i="38" s="1"/>
  <c r="AT23" i="38"/>
  <c r="AU23" i="38"/>
  <c r="AV23" i="38"/>
  <c r="AW23" i="38"/>
  <c r="AW14" i="38" s="1"/>
  <c r="AX23" i="38"/>
  <c r="AX14" i="38" s="1"/>
  <c r="AY23" i="38"/>
  <c r="AZ23" i="38"/>
  <c r="AZ14" i="38" s="1"/>
  <c r="BA23" i="38"/>
  <c r="BB23" i="38"/>
  <c r="BB14" i="38"/>
  <c r="BC23" i="38"/>
  <c r="BD23" i="38"/>
  <c r="BD14" i="38" s="1"/>
  <c r="BE23" i="38"/>
  <c r="BF23" i="38"/>
  <c r="BF14" i="38" s="1"/>
  <c r="BG23" i="38"/>
  <c r="BH23" i="38"/>
  <c r="BH14" i="38" s="1"/>
  <c r="BI23" i="38"/>
  <c r="BA14" i="38"/>
  <c r="BC14" i="38"/>
  <c r="BE14" i="38"/>
  <c r="BG14" i="38"/>
  <c r="BI14" i="38"/>
  <c r="AS3" i="31"/>
  <c r="AF115" i="16"/>
  <c r="AQ20" i="33"/>
  <c r="AQ21" i="33"/>
  <c r="AR21" i="33"/>
  <c r="AR3" i="31"/>
  <c r="AQ3" i="34" s="1"/>
  <c r="AS21" i="31"/>
  <c r="AS18" i="31"/>
  <c r="AR18" i="31"/>
  <c r="AF49" i="16"/>
  <c r="AF42" i="16"/>
  <c r="AE71" i="16"/>
  <c r="AE33" i="8"/>
  <c r="AF54" i="16" s="1"/>
  <c r="AF47" i="16"/>
  <c r="AG37" i="16"/>
  <c r="AH37" i="16"/>
  <c r="AI37" i="16"/>
  <c r="AJ37" i="16"/>
  <c r="AK37" i="16"/>
  <c r="AL37" i="16"/>
  <c r="AM37" i="16"/>
  <c r="AG47" i="16"/>
  <c r="AH47" i="16"/>
  <c r="AI47" i="16"/>
  <c r="AJ47" i="16"/>
  <c r="AK47" i="16"/>
  <c r="AL47" i="16"/>
  <c r="AM47" i="16"/>
  <c r="AF37" i="16"/>
  <c r="AQ199" i="9"/>
  <c r="G10" i="45"/>
  <c r="H10" i="45" s="1"/>
  <c r="AM115" i="16"/>
  <c r="AL115" i="16"/>
  <c r="AK115" i="16"/>
  <c r="AJ115" i="16"/>
  <c r="AI115" i="16"/>
  <c r="AH115" i="16"/>
  <c r="AE23" i="8"/>
  <c r="AE21" i="8" s="1"/>
  <c r="AE18" i="8"/>
  <c r="AE16" i="8" s="1"/>
  <c r="AS80" i="27"/>
  <c r="AS81" i="27"/>
  <c r="AS82" i="27"/>
  <c r="AS83" i="27"/>
  <c r="AS84" i="27"/>
  <c r="AQ198" i="9"/>
  <c r="AQ187" i="9"/>
  <c r="AQ186" i="9"/>
  <c r="AQ184" i="9"/>
  <c r="AQ183" i="9"/>
  <c r="AQ201" i="9" s="1"/>
  <c r="AQ180" i="9"/>
  <c r="AQ179" i="9"/>
  <c r="AQ178" i="9"/>
  <c r="AQ177" i="9"/>
  <c r="AQ176" i="9"/>
  <c r="AQ175" i="9"/>
  <c r="AQ173" i="9"/>
  <c r="AQ172" i="9"/>
  <c r="AQ171" i="9"/>
  <c r="AQ170" i="9"/>
  <c r="AQ168" i="9"/>
  <c r="AQ167" i="9"/>
  <c r="AQ166" i="9"/>
  <c r="AQ165" i="9"/>
  <c r="AQ164" i="9"/>
  <c r="AQ159" i="9"/>
  <c r="AQ158" i="9"/>
  <c r="AQ157" i="9"/>
  <c r="AQ156" i="9"/>
  <c r="AQ155" i="9"/>
  <c r="AQ152" i="9"/>
  <c r="AQ151" i="9"/>
  <c r="AQ149" i="9"/>
  <c r="AQ148" i="9"/>
  <c r="AQ142" i="9"/>
  <c r="AQ141" i="9"/>
  <c r="AQ140" i="9"/>
  <c r="AQ139" i="9"/>
  <c r="AQ138" i="9"/>
  <c r="Z34" i="22"/>
  <c r="Z35" i="22" s="1"/>
  <c r="S46" i="22"/>
  <c r="R46" i="22"/>
  <c r="AA36" i="22"/>
  <c r="AA34" i="22"/>
  <c r="AA35" i="22" s="1"/>
  <c r="AE35" i="22" s="1"/>
  <c r="AB33" i="22"/>
  <c r="K84" i="1"/>
  <c r="G75" i="1"/>
  <c r="D75" i="1"/>
  <c r="D186" i="1" s="1"/>
  <c r="L84" i="1"/>
  <c r="I80" i="1"/>
  <c r="G80" i="1"/>
  <c r="D80" i="1"/>
  <c r="D112" i="1" s="1"/>
  <c r="G67" i="1"/>
  <c r="G107" i="1" s="1"/>
  <c r="D67" i="1"/>
  <c r="D107" i="1" s="1"/>
  <c r="I67" i="1"/>
  <c r="I107" i="1" s="1"/>
  <c r="I62" i="1"/>
  <c r="I183" i="1" s="1"/>
  <c r="K71" i="1"/>
  <c r="L71" i="1"/>
  <c r="D72" i="1"/>
  <c r="L79" i="1"/>
  <c r="K79" i="1"/>
  <c r="I75" i="1"/>
  <c r="I186" i="1" s="1"/>
  <c r="D62" i="1"/>
  <c r="D183" i="1" s="1"/>
  <c r="K66" i="1"/>
  <c r="L66" i="1"/>
  <c r="C5" i="3"/>
  <c r="C31" i="3" s="1"/>
  <c r="C32" i="3" s="1"/>
  <c r="Q41" i="1"/>
  <c r="Q40" i="1"/>
  <c r="M40" i="1" s="1"/>
  <c r="L41" i="1"/>
  <c r="L40" i="1"/>
  <c r="F41" i="1"/>
  <c r="F40" i="1"/>
  <c r="E41" i="1"/>
  <c r="K41" i="1" s="1"/>
  <c r="V41" i="1" s="1"/>
  <c r="E40" i="1"/>
  <c r="D39" i="1"/>
  <c r="J26" i="3"/>
  <c r="O25" i="3"/>
  <c r="O24" i="3"/>
  <c r="AS54" i="27"/>
  <c r="AS33" i="27"/>
  <c r="AV39" i="27" s="1"/>
  <c r="M5" i="3"/>
  <c r="O7" i="3"/>
  <c r="N7" i="3"/>
  <c r="C24" i="3"/>
  <c r="O5" i="3"/>
  <c r="I121" i="20"/>
  <c r="H121" i="20" s="1"/>
  <c r="G121" i="20"/>
  <c r="F121" i="20" s="1"/>
  <c r="I120" i="20"/>
  <c r="H120" i="20" s="1"/>
  <c r="G120" i="20"/>
  <c r="F120" i="20" s="1"/>
  <c r="G115" i="20"/>
  <c r="G116" i="20"/>
  <c r="G114" i="20"/>
  <c r="E115" i="20"/>
  <c r="E116" i="20"/>
  <c r="E114" i="20"/>
  <c r="C113" i="20"/>
  <c r="D113" i="20"/>
  <c r="F109" i="20"/>
  <c r="E109" i="20" s="1"/>
  <c r="G109" i="20" s="1"/>
  <c r="F110" i="20"/>
  <c r="E110" i="20" s="1"/>
  <c r="G110" i="20" s="1"/>
  <c r="D108" i="20"/>
  <c r="C108" i="20"/>
  <c r="G26" i="20"/>
  <c r="O63" i="20"/>
  <c r="P63" i="20"/>
  <c r="S62" i="20"/>
  <c r="T62" i="20"/>
  <c r="C26" i="20"/>
  <c r="C79" i="20"/>
  <c r="B79" i="20"/>
  <c r="D351" i="17"/>
  <c r="H245" i="17"/>
  <c r="D261" i="17"/>
  <c r="E244" i="17"/>
  <c r="D244" i="17" s="1"/>
  <c r="E245" i="17"/>
  <c r="E263" i="17"/>
  <c r="AD7" i="10"/>
  <c r="D81" i="17"/>
  <c r="E377" i="17" s="1"/>
  <c r="E80" i="17"/>
  <c r="D80" i="17"/>
  <c r="E376" i="17" s="1"/>
  <c r="J168" i="17"/>
  <c r="M352" i="17" s="1"/>
  <c r="G168" i="17"/>
  <c r="F168" i="17"/>
  <c r="I352" i="17" s="1"/>
  <c r="Z36" i="22"/>
  <c r="U91" i="22"/>
  <c r="T91" i="22"/>
  <c r="AA42" i="22"/>
  <c r="AE42" i="22" s="1"/>
  <c r="Z42" i="22"/>
  <c r="AD42" i="22" s="1"/>
  <c r="AA40" i="22"/>
  <c r="AE40" i="22" s="1"/>
  <c r="Z40" i="22"/>
  <c r="AD40" i="22" s="1"/>
  <c r="Z38" i="22"/>
  <c r="AD38" i="22" s="1"/>
  <c r="AE41" i="22"/>
  <c r="AD41" i="22"/>
  <c r="AE39" i="22"/>
  <c r="AD39" i="22"/>
  <c r="AD37" i="22"/>
  <c r="AA38" i="22"/>
  <c r="AD33" i="22"/>
  <c r="AB41" i="22"/>
  <c r="AB39" i="22"/>
  <c r="AB37" i="22"/>
  <c r="AE33" i="22"/>
  <c r="AE37" i="22"/>
  <c r="X37" i="22"/>
  <c r="X39" i="22"/>
  <c r="X40" i="22"/>
  <c r="X41" i="22"/>
  <c r="X42" i="22"/>
  <c r="T35" i="22"/>
  <c r="U35" i="22" s="1"/>
  <c r="AR80" i="27"/>
  <c r="AR81" i="27"/>
  <c r="AR82" i="27"/>
  <c r="AR83" i="27"/>
  <c r="AR84" i="27"/>
  <c r="BG4" i="38"/>
  <c r="AR47" i="31"/>
  <c r="AE156" i="16"/>
  <c r="AE158" i="16" s="1"/>
  <c r="AD21" i="8"/>
  <c r="AP10" i="10"/>
  <c r="AP9" i="10"/>
  <c r="AR21" i="31"/>
  <c r="AQ3" i="31"/>
  <c r="AP3" i="34" s="1"/>
  <c r="AD16" i="8"/>
  <c r="AD71" i="16"/>
  <c r="AP199" i="9"/>
  <c r="AP198" i="9"/>
  <c r="C11" i="44"/>
  <c r="C8" i="44"/>
  <c r="AP164" i="9"/>
  <c r="AP165" i="9"/>
  <c r="AP166" i="9"/>
  <c r="AP167" i="9"/>
  <c r="AP168" i="9"/>
  <c r="AP170" i="9"/>
  <c r="AP171" i="9"/>
  <c r="AP172" i="9"/>
  <c r="AP173" i="9"/>
  <c r="AP175" i="9"/>
  <c r="AP176" i="9"/>
  <c r="AP177" i="9"/>
  <c r="AP178" i="9"/>
  <c r="AP179" i="9"/>
  <c r="AP180" i="9"/>
  <c r="AP183" i="9"/>
  <c r="AP201" i="9" s="1"/>
  <c r="AP184" i="9"/>
  <c r="AP186" i="9"/>
  <c r="AP187" i="9"/>
  <c r="AP138" i="9"/>
  <c r="AP139" i="9"/>
  <c r="AP140" i="9"/>
  <c r="AP141" i="9"/>
  <c r="AP142" i="9"/>
  <c r="AP148" i="9"/>
  <c r="AP149" i="9"/>
  <c r="AP151" i="9"/>
  <c r="AP152" i="9"/>
  <c r="AP155" i="9"/>
  <c r="AP156" i="9"/>
  <c r="AP157" i="9"/>
  <c r="AP158" i="9"/>
  <c r="AP159" i="9"/>
  <c r="J6" i="3"/>
  <c r="F31" i="3"/>
  <c r="F32" i="3" s="1"/>
  <c r="N5" i="3"/>
  <c r="O69" i="3"/>
  <c r="O68" i="3"/>
  <c r="O67" i="3"/>
  <c r="O66" i="3"/>
  <c r="Q64" i="3"/>
  <c r="F13" i="2"/>
  <c r="AR54" i="27"/>
  <c r="AR33" i="27"/>
  <c r="AV40" i="27" s="1"/>
  <c r="Q6" i="2"/>
  <c r="R6" i="2"/>
  <c r="Q7" i="2"/>
  <c r="R7" i="2"/>
  <c r="Q19" i="2"/>
  <c r="H16" i="3"/>
  <c r="H17" i="3" s="1"/>
  <c r="E24" i="3"/>
  <c r="D25" i="3"/>
  <c r="D26" i="3" s="1"/>
  <c r="E25" i="3"/>
  <c r="F25" i="3"/>
  <c r="C25" i="3"/>
  <c r="F24" i="3"/>
  <c r="F46" i="2"/>
  <c r="L122" i="1"/>
  <c r="R33" i="25"/>
  <c r="G37" i="25"/>
  <c r="H37" i="25"/>
  <c r="F37" i="25"/>
  <c r="R10" i="25"/>
  <c r="I35" i="25"/>
  <c r="J35" i="25"/>
  <c r="K35" i="25"/>
  <c r="L35" i="25"/>
  <c r="M35" i="25"/>
  <c r="N35" i="25"/>
  <c r="O35" i="25"/>
  <c r="P35" i="25"/>
  <c r="Q35" i="25"/>
  <c r="I9" i="25"/>
  <c r="J9" i="25"/>
  <c r="K9" i="25"/>
  <c r="L9" i="25"/>
  <c r="M9" i="25"/>
  <c r="N9" i="25"/>
  <c r="O9" i="25"/>
  <c r="P9" i="25"/>
  <c r="Q9" i="25"/>
  <c r="G28" i="25"/>
  <c r="G29" i="25" s="1"/>
  <c r="H28" i="25"/>
  <c r="H29" i="25" s="1"/>
  <c r="F28" i="25"/>
  <c r="F29" i="25" s="1"/>
  <c r="I21" i="25"/>
  <c r="I7" i="25" s="1"/>
  <c r="I5" i="25" s="1"/>
  <c r="J21" i="25"/>
  <c r="J7" i="25" s="1"/>
  <c r="J5" i="25" s="1"/>
  <c r="K21" i="25"/>
  <c r="K7" i="25" s="1"/>
  <c r="K5" i="25" s="1"/>
  <c r="L21" i="25"/>
  <c r="L7" i="25" s="1"/>
  <c r="L5" i="25" s="1"/>
  <c r="M21" i="25"/>
  <c r="M7" i="25" s="1"/>
  <c r="M5" i="25" s="1"/>
  <c r="N21" i="25"/>
  <c r="N7" i="25" s="1"/>
  <c r="N5" i="25" s="1"/>
  <c r="O21" i="25"/>
  <c r="O7" i="25" s="1"/>
  <c r="O5" i="25" s="1"/>
  <c r="P21" i="25"/>
  <c r="P7" i="25" s="1"/>
  <c r="P5" i="25" s="1"/>
  <c r="Q21" i="25"/>
  <c r="Q7" i="25" s="1"/>
  <c r="Q5" i="25" s="1"/>
  <c r="I22" i="25"/>
  <c r="J22" i="25"/>
  <c r="K22" i="25"/>
  <c r="L22" i="25"/>
  <c r="M22" i="25"/>
  <c r="N22" i="25"/>
  <c r="O22" i="25"/>
  <c r="P22" i="25"/>
  <c r="Q22" i="25"/>
  <c r="I23" i="25"/>
  <c r="J23" i="25"/>
  <c r="K23" i="25"/>
  <c r="L23" i="25"/>
  <c r="M23" i="25"/>
  <c r="N23" i="25"/>
  <c r="O23" i="25"/>
  <c r="P23" i="25"/>
  <c r="Q23" i="25"/>
  <c r="A2" i="25"/>
  <c r="A1" i="25"/>
  <c r="R25" i="25"/>
  <c r="R20" i="25"/>
  <c r="G9" i="25"/>
  <c r="G17" i="25" s="1"/>
  <c r="H9" i="25"/>
  <c r="H17" i="25" s="1"/>
  <c r="F9" i="25"/>
  <c r="F17" i="25" s="1"/>
  <c r="F23" i="25"/>
  <c r="G23" i="25"/>
  <c r="H23" i="25"/>
  <c r="G22" i="25"/>
  <c r="H22" i="25"/>
  <c r="F22" i="25"/>
  <c r="G21" i="25"/>
  <c r="G7" i="25" s="1"/>
  <c r="G15" i="25" s="1"/>
  <c r="H21" i="25"/>
  <c r="H7" i="25" s="1"/>
  <c r="F21" i="25"/>
  <c r="F7" i="25" s="1"/>
  <c r="F15" i="25" s="1"/>
  <c r="F8" i="2"/>
  <c r="Z8" i="2" s="1"/>
  <c r="F56" i="2"/>
  <c r="F55" i="2"/>
  <c r="F54" i="2"/>
  <c r="F53" i="2"/>
  <c r="F52" i="2"/>
  <c r="F49" i="2"/>
  <c r="F48" i="2"/>
  <c r="F47" i="2"/>
  <c r="F44" i="2"/>
  <c r="F43" i="2"/>
  <c r="F41" i="2"/>
  <c r="F40" i="2"/>
  <c r="F39" i="2"/>
  <c r="F38" i="2"/>
  <c r="F36" i="2"/>
  <c r="F35" i="2"/>
  <c r="F34" i="2"/>
  <c r="F33" i="2"/>
  <c r="F32" i="2"/>
  <c r="F30" i="2"/>
  <c r="F29" i="2"/>
  <c r="F28" i="2"/>
  <c r="F27" i="2"/>
  <c r="F26" i="2"/>
  <c r="F25" i="2"/>
  <c r="P39" i="2"/>
  <c r="F15" i="2" s="1"/>
  <c r="F22" i="2"/>
  <c r="Z13" i="2" s="1"/>
  <c r="F7" i="2"/>
  <c r="Z7" i="2" s="1"/>
  <c r="F6" i="2"/>
  <c r="F12" i="1"/>
  <c r="G83" i="2"/>
  <c r="G82" i="2"/>
  <c r="G81" i="2"/>
  <c r="G80" i="2"/>
  <c r="G79" i="2"/>
  <c r="G78" i="2"/>
  <c r="G77" i="2"/>
  <c r="G76" i="2"/>
  <c r="G75" i="2"/>
  <c r="G74" i="2"/>
  <c r="G73" i="2"/>
  <c r="O63" i="2"/>
  <c r="O64" i="2" s="1"/>
  <c r="O66" i="2" s="1"/>
  <c r="O67" i="2" s="1"/>
  <c r="H50" i="2"/>
  <c r="AB20" i="2" s="1"/>
  <c r="H45" i="2"/>
  <c r="AB19" i="2" s="1"/>
  <c r="H42" i="2"/>
  <c r="AB18" i="2" s="1"/>
  <c r="H37" i="2"/>
  <c r="AB17" i="2" s="1"/>
  <c r="H31" i="2"/>
  <c r="AB16" i="2" s="1"/>
  <c r="AB24" i="2"/>
  <c r="H24" i="2"/>
  <c r="AB15" i="2" s="1"/>
  <c r="AB23" i="2"/>
  <c r="AB22" i="2"/>
  <c r="X20" i="2"/>
  <c r="X19" i="2"/>
  <c r="X18" i="2"/>
  <c r="X17" i="2"/>
  <c r="X16" i="2"/>
  <c r="X15" i="2"/>
  <c r="AB13" i="2"/>
  <c r="D11" i="2"/>
  <c r="D9" i="2" s="1"/>
  <c r="AB8" i="2"/>
  <c r="AB7" i="2"/>
  <c r="D5" i="2"/>
  <c r="A2" i="2"/>
  <c r="A1" i="2"/>
  <c r="F28" i="20"/>
  <c r="F30" i="20"/>
  <c r="E28" i="20"/>
  <c r="E29" i="20"/>
  <c r="E30" i="20"/>
  <c r="F356" i="17"/>
  <c r="F27" i="20"/>
  <c r="D26" i="20"/>
  <c r="B29" i="20"/>
  <c r="B26" i="20" s="1"/>
  <c r="E346" i="17"/>
  <c r="F346" i="17"/>
  <c r="G346" i="17"/>
  <c r="D346" i="17"/>
  <c r="AQ80" i="27"/>
  <c r="AQ81" i="27"/>
  <c r="AQ82" i="27"/>
  <c r="AQ83" i="27"/>
  <c r="AQ84" i="27"/>
  <c r="AO14" i="39"/>
  <c r="AC14" i="39"/>
  <c r="AQ7" i="35"/>
  <c r="AV59" i="35" s="1"/>
  <c r="AV61" i="35" s="1"/>
  <c r="F128" i="17"/>
  <c r="E8" i="20" s="1"/>
  <c r="AO198" i="9"/>
  <c r="H131" i="17"/>
  <c r="I345" i="17" s="1"/>
  <c r="I527" i="17" s="1"/>
  <c r="AU4" i="14"/>
  <c r="AU10" i="14"/>
  <c r="AW10" i="14" s="1"/>
  <c r="AC63" i="8"/>
  <c r="AE50" i="16"/>
  <c r="J171" i="17"/>
  <c r="M359" i="17" s="1"/>
  <c r="O359" i="17" s="1"/>
  <c r="AQ47" i="31"/>
  <c r="AP44" i="34" s="1"/>
  <c r="AC5" i="8"/>
  <c r="F123" i="17"/>
  <c r="E7" i="20" s="1"/>
  <c r="AD156" i="16"/>
  <c r="AD115" i="16" s="1"/>
  <c r="AD145" i="16"/>
  <c r="X20" i="22"/>
  <c r="X19" i="22"/>
  <c r="X18" i="22"/>
  <c r="X17" i="22"/>
  <c r="X16" i="22"/>
  <c r="X15" i="22"/>
  <c r="H50" i="22"/>
  <c r="AB20" i="22" s="1"/>
  <c r="H45" i="22"/>
  <c r="AB19" i="22" s="1"/>
  <c r="H42" i="22"/>
  <c r="AB18" i="22" s="1"/>
  <c r="H37" i="22"/>
  <c r="H31" i="22"/>
  <c r="AB16" i="22" s="1"/>
  <c r="H24" i="22"/>
  <c r="AB15" i="22" s="1"/>
  <c r="AD154" i="16"/>
  <c r="AD144" i="16"/>
  <c r="AD157" i="16"/>
  <c r="AP20" i="33"/>
  <c r="AP21" i="33"/>
  <c r="AQ18" i="31"/>
  <c r="AP21" i="31"/>
  <c r="AQ21" i="31"/>
  <c r="AC10" i="8"/>
  <c r="AC8" i="8"/>
  <c r="AD21" i="16" s="1"/>
  <c r="AC71" i="16"/>
  <c r="C27" i="42"/>
  <c r="AC16" i="8"/>
  <c r="AO199" i="9"/>
  <c r="U30" i="41"/>
  <c r="U25" i="41" s="1"/>
  <c r="P30" i="41"/>
  <c r="P25" i="41" s="1"/>
  <c r="P29" i="41"/>
  <c r="P20" i="41"/>
  <c r="P15" i="41"/>
  <c r="P16" i="41" s="1"/>
  <c r="T30" i="41"/>
  <c r="S30" i="41"/>
  <c r="S25" i="41" s="1"/>
  <c r="O15" i="41"/>
  <c r="O16" i="41" s="1"/>
  <c r="H127" i="17"/>
  <c r="J127" i="17" s="1"/>
  <c r="H132" i="17"/>
  <c r="I132" i="17" s="1"/>
  <c r="N20" i="22"/>
  <c r="N17" i="22" s="1"/>
  <c r="N15" i="22"/>
  <c r="N5" i="22"/>
  <c r="AO164" i="9"/>
  <c r="AO165" i="9"/>
  <c r="AO166" i="9"/>
  <c r="AO167" i="9"/>
  <c r="AO168" i="9"/>
  <c r="AO170" i="9"/>
  <c r="AO171" i="9"/>
  <c r="AO172" i="9"/>
  <c r="AO173" i="9"/>
  <c r="AO175" i="9"/>
  <c r="AO176" i="9"/>
  <c r="AO177" i="9"/>
  <c r="AO178" i="9"/>
  <c r="AO179" i="9"/>
  <c r="AO180" i="9"/>
  <c r="AO183" i="9"/>
  <c r="AO201" i="9" s="1"/>
  <c r="AO184" i="9"/>
  <c r="AO186" i="9"/>
  <c r="AO187" i="9"/>
  <c r="AO138" i="9"/>
  <c r="AO139" i="9"/>
  <c r="AO140" i="9"/>
  <c r="AO141" i="9"/>
  <c r="AO142" i="9"/>
  <c r="AO148" i="9"/>
  <c r="AO149" i="9"/>
  <c r="AO151" i="9"/>
  <c r="AO152" i="9"/>
  <c r="AO155" i="9"/>
  <c r="AO156" i="9"/>
  <c r="AO157" i="9"/>
  <c r="AO158" i="9"/>
  <c r="AO159" i="9"/>
  <c r="AC153" i="16"/>
  <c r="AC155" i="16" s="1"/>
  <c r="AC146" i="16"/>
  <c r="AC110" i="16" s="1"/>
  <c r="C153" i="16"/>
  <c r="D153" i="16"/>
  <c r="E153" i="16"/>
  <c r="F153" i="16"/>
  <c r="G153" i="16"/>
  <c r="I153" i="16"/>
  <c r="J153" i="16"/>
  <c r="K153" i="16"/>
  <c r="L153" i="16"/>
  <c r="M153" i="16"/>
  <c r="AB153" i="16"/>
  <c r="AB155" i="16" s="1"/>
  <c r="AF153" i="16"/>
  <c r="AF155" i="16" s="1"/>
  <c r="AG153" i="16"/>
  <c r="AG155" i="16" s="1"/>
  <c r="AH153" i="16"/>
  <c r="AH155" i="16" s="1"/>
  <c r="AI153" i="16"/>
  <c r="AI155" i="16" s="1"/>
  <c r="AJ153" i="16"/>
  <c r="AJ155" i="16" s="1"/>
  <c r="AK153" i="16"/>
  <c r="AK155" i="16" s="1"/>
  <c r="AL153" i="16"/>
  <c r="AL155" i="16" s="1"/>
  <c r="AM153" i="16"/>
  <c r="AM155" i="16" s="1"/>
  <c r="AO153" i="16"/>
  <c r="AB146" i="16"/>
  <c r="AB110" i="16" s="1"/>
  <c r="AM152" i="16"/>
  <c r="AM113" i="16" s="1"/>
  <c r="AL152" i="16"/>
  <c r="AL113" i="16" s="1"/>
  <c r="AK152" i="16"/>
  <c r="AK113" i="16" s="1"/>
  <c r="AJ152" i="16"/>
  <c r="AJ113" i="16" s="1"/>
  <c r="AI152" i="16"/>
  <c r="AH152" i="16"/>
  <c r="AG152" i="16"/>
  <c r="AG113" i="16" s="1"/>
  <c r="AF152" i="16"/>
  <c r="AF113" i="16" s="1"/>
  <c r="AE152" i="16"/>
  <c r="AD152" i="16"/>
  <c r="AD113" i="16" s="1"/>
  <c r="AC152" i="16"/>
  <c r="AC113" i="16" s="1"/>
  <c r="AM149" i="16"/>
  <c r="AM112" i="16" s="1"/>
  <c r="AL149" i="16"/>
  <c r="AL112" i="16" s="1"/>
  <c r="AK149" i="16"/>
  <c r="AK112" i="16" s="1"/>
  <c r="AJ149" i="16"/>
  <c r="AJ112" i="16" s="1"/>
  <c r="AI149" i="16"/>
  <c r="AH149" i="16"/>
  <c r="AG149" i="16"/>
  <c r="AG112" i="16" s="1"/>
  <c r="AF149" i="16"/>
  <c r="AF112" i="16" s="1"/>
  <c r="AE149" i="16"/>
  <c r="AC149" i="16"/>
  <c r="AC112" i="16" s="1"/>
  <c r="AM146" i="16"/>
  <c r="AM110" i="16" s="1"/>
  <c r="AL146" i="16"/>
  <c r="AL110" i="16" s="1"/>
  <c r="AK146" i="16"/>
  <c r="AK110" i="16" s="1"/>
  <c r="AJ146" i="16"/>
  <c r="AJ110" i="16" s="1"/>
  <c r="AI146" i="16"/>
  <c r="AH146" i="16"/>
  <c r="AH110" i="16" s="1"/>
  <c r="AG146" i="16"/>
  <c r="AG110" i="16" s="1"/>
  <c r="AF146" i="16"/>
  <c r="AF110" i="16" s="1"/>
  <c r="AE146" i="16"/>
  <c r="AM158" i="16"/>
  <c r="AL158" i="16"/>
  <c r="AK158" i="16"/>
  <c r="AJ158" i="16"/>
  <c r="AI158" i="16"/>
  <c r="AH158" i="16"/>
  <c r="AG158" i="16"/>
  <c r="AF158" i="16"/>
  <c r="AC158" i="16"/>
  <c r="AB158" i="16"/>
  <c r="P156" i="16"/>
  <c r="P153" i="16" s="1"/>
  <c r="Q156" i="16"/>
  <c r="Q153" i="16" s="1"/>
  <c r="R156" i="16"/>
  <c r="R153" i="16" s="1"/>
  <c r="S156" i="16"/>
  <c r="S153" i="16" s="1"/>
  <c r="T156" i="16"/>
  <c r="T153" i="16" s="1"/>
  <c r="U156" i="16"/>
  <c r="U153" i="16" s="1"/>
  <c r="V156" i="16"/>
  <c r="V153" i="16" s="1"/>
  <c r="W156" i="16"/>
  <c r="W153" i="16" s="1"/>
  <c r="X156" i="16"/>
  <c r="X153" i="16" s="1"/>
  <c r="Y156" i="16"/>
  <c r="Z156" i="16"/>
  <c r="Z153" i="16" s="1"/>
  <c r="AA156" i="16"/>
  <c r="AB152" i="16"/>
  <c r="AB113" i="16" s="1"/>
  <c r="AB149" i="16"/>
  <c r="AB112" i="16" s="1"/>
  <c r="AD149" i="16"/>
  <c r="AD112" i="16" s="1"/>
  <c r="AO156" i="16"/>
  <c r="O156" i="16"/>
  <c r="N156" i="16"/>
  <c r="I156" i="16"/>
  <c r="C156" i="16"/>
  <c r="B156" i="16"/>
  <c r="AO150" i="16"/>
  <c r="AA150" i="16"/>
  <c r="O150" i="16"/>
  <c r="N150" i="16"/>
  <c r="N153" i="16" s="1"/>
  <c r="AO147" i="16"/>
  <c r="AA147" i="16"/>
  <c r="Y147" i="16"/>
  <c r="O147" i="16"/>
  <c r="H147" i="16"/>
  <c r="H153" i="16" s="1"/>
  <c r="AO144" i="16"/>
  <c r="AA144" i="16"/>
  <c r="Y144" i="16"/>
  <c r="O144" i="16"/>
  <c r="AC21" i="8"/>
  <c r="A1" i="22"/>
  <c r="G81" i="22"/>
  <c r="G80" i="22"/>
  <c r="G79" i="22"/>
  <c r="G78" i="22"/>
  <c r="G77" i="22"/>
  <c r="G76" i="22"/>
  <c r="G75" i="22"/>
  <c r="G74" i="22"/>
  <c r="G73" i="22"/>
  <c r="G72" i="22"/>
  <c r="G71" i="22"/>
  <c r="AB24" i="22"/>
  <c r="AB23" i="22"/>
  <c r="AB22" i="22"/>
  <c r="AB13" i="22"/>
  <c r="D11" i="22"/>
  <c r="D9" i="22" s="1"/>
  <c r="AB8" i="22"/>
  <c r="AB7" i="22"/>
  <c r="D5" i="22"/>
  <c r="C33" i="7"/>
  <c r="C32" i="7"/>
  <c r="C31" i="7"/>
  <c r="C29" i="7"/>
  <c r="H35" i="7"/>
  <c r="H38" i="7" s="1"/>
  <c r="Q62" i="5"/>
  <c r="Q61" i="5"/>
  <c r="Q60" i="5"/>
  <c r="P55" i="5"/>
  <c r="N56" i="5"/>
  <c r="O57" i="5" s="1"/>
  <c r="M40" i="6"/>
  <c r="F66" i="2" s="1"/>
  <c r="CC6" i="19"/>
  <c r="E12" i="4"/>
  <c r="AP10" i="34"/>
  <c r="AQ10" i="34"/>
  <c r="AR10" i="34"/>
  <c r="AS10" i="34"/>
  <c r="AT10" i="34"/>
  <c r="AU10" i="34"/>
  <c r="AV10" i="34"/>
  <c r="AW10" i="34"/>
  <c r="AX10" i="34"/>
  <c r="AY10" i="34"/>
  <c r="D360" i="17"/>
  <c r="D361" i="17"/>
  <c r="D359" i="17"/>
  <c r="D355" i="17"/>
  <c r="D356" i="17"/>
  <c r="D354" i="17"/>
  <c r="H78" i="20"/>
  <c r="I78" i="20"/>
  <c r="G80" i="20"/>
  <c r="H80" i="20"/>
  <c r="I80" i="20"/>
  <c r="G82" i="20"/>
  <c r="H82" i="20"/>
  <c r="I82" i="20"/>
  <c r="G83" i="20"/>
  <c r="H83" i="20"/>
  <c r="I83" i="20"/>
  <c r="G84" i="20"/>
  <c r="H84" i="20"/>
  <c r="I84" i="20"/>
  <c r="G85" i="20"/>
  <c r="H85" i="20"/>
  <c r="I85" i="20"/>
  <c r="G86" i="20"/>
  <c r="H86" i="20"/>
  <c r="I86" i="20"/>
  <c r="G87" i="20"/>
  <c r="H87" i="20"/>
  <c r="I87" i="20"/>
  <c r="G88" i="20"/>
  <c r="H88" i="20"/>
  <c r="I88" i="20"/>
  <c r="G89" i="20"/>
  <c r="H89" i="20"/>
  <c r="I89" i="20"/>
  <c r="G90" i="20"/>
  <c r="H90" i="20"/>
  <c r="I90" i="20"/>
  <c r="G91" i="20"/>
  <c r="H91" i="20"/>
  <c r="I91" i="20"/>
  <c r="G92" i="20"/>
  <c r="H92" i="20"/>
  <c r="I92" i="20"/>
  <c r="G93" i="20"/>
  <c r="H93" i="20"/>
  <c r="I93" i="20"/>
  <c r="I95" i="20"/>
  <c r="G95" i="20"/>
  <c r="F92" i="20"/>
  <c r="M92" i="20" s="1"/>
  <c r="L92" i="20" s="1"/>
  <c r="E92" i="20"/>
  <c r="K92" i="20" s="1"/>
  <c r="J92" i="20" s="1"/>
  <c r="F91" i="20"/>
  <c r="M91" i="20" s="1"/>
  <c r="L91" i="20" s="1"/>
  <c r="E91" i="20"/>
  <c r="K91" i="20" s="1"/>
  <c r="J91" i="20" s="1"/>
  <c r="F90" i="20"/>
  <c r="M90" i="20" s="1"/>
  <c r="L90" i="20" s="1"/>
  <c r="E90" i="20"/>
  <c r="K90" i="20" s="1"/>
  <c r="J90" i="20" s="1"/>
  <c r="F89" i="20"/>
  <c r="M89" i="20" s="1"/>
  <c r="L89" i="20" s="1"/>
  <c r="E89" i="20"/>
  <c r="K89" i="20" s="1"/>
  <c r="J89" i="20" s="1"/>
  <c r="F88" i="20"/>
  <c r="M88" i="20" s="1"/>
  <c r="L88" i="20" s="1"/>
  <c r="E88" i="20"/>
  <c r="K88" i="20" s="1"/>
  <c r="J88" i="20" s="1"/>
  <c r="F87" i="20"/>
  <c r="M87" i="20" s="1"/>
  <c r="L87" i="20" s="1"/>
  <c r="E87" i="20"/>
  <c r="K87" i="20" s="1"/>
  <c r="J87" i="20" s="1"/>
  <c r="F86" i="20"/>
  <c r="M86" i="20" s="1"/>
  <c r="L86" i="20" s="1"/>
  <c r="E86" i="20"/>
  <c r="K86" i="20" s="1"/>
  <c r="J86" i="20" s="1"/>
  <c r="F85" i="20"/>
  <c r="M85" i="20" s="1"/>
  <c r="L85" i="20" s="1"/>
  <c r="E85" i="20"/>
  <c r="K85" i="20" s="1"/>
  <c r="J85" i="20" s="1"/>
  <c r="F84" i="20"/>
  <c r="M84" i="20" s="1"/>
  <c r="L84" i="20" s="1"/>
  <c r="E84" i="20"/>
  <c r="K84" i="20" s="1"/>
  <c r="J84" i="20" s="1"/>
  <c r="F83" i="20"/>
  <c r="M83" i="20" s="1"/>
  <c r="L83" i="20" s="1"/>
  <c r="E83" i="20"/>
  <c r="K83" i="20" s="1"/>
  <c r="J83" i="20" s="1"/>
  <c r="F82" i="20"/>
  <c r="M82" i="20" s="1"/>
  <c r="L82" i="20" s="1"/>
  <c r="E82" i="20"/>
  <c r="K82" i="20" s="1"/>
  <c r="J82" i="20" s="1"/>
  <c r="D81" i="20"/>
  <c r="D79" i="20" s="1"/>
  <c r="F80" i="20"/>
  <c r="M80" i="20" s="1"/>
  <c r="L80" i="20" s="1"/>
  <c r="E80" i="20"/>
  <c r="K80" i="20" s="1"/>
  <c r="J80" i="20" s="1"/>
  <c r="F78" i="20"/>
  <c r="M78" i="20" s="1"/>
  <c r="L78" i="20" s="1"/>
  <c r="B67" i="20"/>
  <c r="E67" i="20" s="1"/>
  <c r="B63" i="20"/>
  <c r="E63" i="20" s="1"/>
  <c r="G43" i="20" s="1"/>
  <c r="B70" i="20"/>
  <c r="E70" i="20" s="1"/>
  <c r="G46" i="20" s="1"/>
  <c r="B68" i="20"/>
  <c r="E68" i="20" s="1"/>
  <c r="G44" i="20" s="1"/>
  <c r="B65" i="20"/>
  <c r="E65" i="20" s="1"/>
  <c r="B66" i="20"/>
  <c r="E66" i="20" s="1"/>
  <c r="B64" i="20"/>
  <c r="E64" i="20" s="1"/>
  <c r="E93" i="20"/>
  <c r="K93" i="20" s="1"/>
  <c r="J93" i="20" s="1"/>
  <c r="F93" i="20"/>
  <c r="M93" i="20" s="1"/>
  <c r="L93" i="20" s="1"/>
  <c r="B61" i="20"/>
  <c r="B60" i="20"/>
  <c r="E60" i="20" s="1"/>
  <c r="B59" i="20"/>
  <c r="E59" i="20" s="1"/>
  <c r="AC19" i="16"/>
  <c r="Z55" i="16"/>
  <c r="CE45" i="19"/>
  <c r="CE46" i="19"/>
  <c r="CE47" i="19"/>
  <c r="CE48" i="19"/>
  <c r="A2" i="20"/>
  <c r="L99" i="20" s="1"/>
  <c r="F70" i="1"/>
  <c r="E70" i="1"/>
  <c r="K70" i="1" s="1"/>
  <c r="V70" i="1" s="1"/>
  <c r="F69" i="1"/>
  <c r="E69" i="1"/>
  <c r="K69" i="1" s="1"/>
  <c r="V69" i="1" s="1"/>
  <c r="F65" i="1"/>
  <c r="E65" i="1"/>
  <c r="K65" i="1" s="1"/>
  <c r="V65" i="1" s="1"/>
  <c r="F64" i="1"/>
  <c r="E64" i="1"/>
  <c r="K64" i="1" s="1"/>
  <c r="V64" i="1" s="1"/>
  <c r="F61" i="1"/>
  <c r="E61" i="1"/>
  <c r="K61" i="1" s="1"/>
  <c r="V61" i="1" s="1"/>
  <c r="F58" i="1"/>
  <c r="E58" i="1"/>
  <c r="K58" i="1" s="1"/>
  <c r="V58" i="1" s="1"/>
  <c r="F55" i="1"/>
  <c r="E55" i="1"/>
  <c r="K55" i="1" s="1"/>
  <c r="V55" i="1" s="1"/>
  <c r="F87" i="1"/>
  <c r="F91" i="1" s="1"/>
  <c r="F88" i="1"/>
  <c r="F92" i="1" s="1"/>
  <c r="E87" i="1"/>
  <c r="E91" i="1" s="1"/>
  <c r="K91" i="1" s="1"/>
  <c r="V91" i="1" s="1"/>
  <c r="E88" i="1"/>
  <c r="E92" i="1" s="1"/>
  <c r="F83" i="1"/>
  <c r="F82" i="1"/>
  <c r="E83" i="1"/>
  <c r="K83" i="1" s="1"/>
  <c r="V83" i="1" s="1"/>
  <c r="E82" i="1"/>
  <c r="K82" i="1" s="1"/>
  <c r="V82" i="1" s="1"/>
  <c r="E78" i="1"/>
  <c r="K78" i="1" s="1"/>
  <c r="V78" i="1" s="1"/>
  <c r="E77" i="1"/>
  <c r="K77" i="1" s="1"/>
  <c r="V77" i="1" s="1"/>
  <c r="F360" i="17"/>
  <c r="F361" i="17"/>
  <c r="F359" i="17"/>
  <c r="E360" i="17"/>
  <c r="E361" i="17"/>
  <c r="E359" i="17"/>
  <c r="F355" i="17"/>
  <c r="E356" i="17"/>
  <c r="E355" i="17"/>
  <c r="E351" i="17"/>
  <c r="E350" i="17"/>
  <c r="D350" i="17"/>
  <c r="F371" i="17"/>
  <c r="E371" i="17"/>
  <c r="D379" i="17"/>
  <c r="D378" i="17"/>
  <c r="F378" i="17"/>
  <c r="G379" i="17"/>
  <c r="D370" i="17"/>
  <c r="G370" i="17"/>
  <c r="M356" i="17"/>
  <c r="M355" i="17"/>
  <c r="I355" i="17"/>
  <c r="I521" i="17" s="1"/>
  <c r="AO10" i="34"/>
  <c r="AQ54" i="27"/>
  <c r="AQ33" i="27"/>
  <c r="AV41" i="27" s="1"/>
  <c r="C12" i="17"/>
  <c r="D363" i="17" s="1"/>
  <c r="BW21" i="14"/>
  <c r="BT21" i="14"/>
  <c r="BQ21" i="14"/>
  <c r="BN21" i="14"/>
  <c r="BK21" i="14"/>
  <c r="BH21" i="14"/>
  <c r="BE21" i="14"/>
  <c r="BB21" i="14"/>
  <c r="AY21" i="14"/>
  <c r="BW20" i="14"/>
  <c r="BT20" i="14"/>
  <c r="BQ20" i="14"/>
  <c r="BN20" i="14"/>
  <c r="BK20" i="14"/>
  <c r="BH20" i="14"/>
  <c r="BE20" i="14"/>
  <c r="BB20" i="14"/>
  <c r="AY20" i="14"/>
  <c r="BW18" i="14"/>
  <c r="BT18" i="14"/>
  <c r="BQ18" i="14"/>
  <c r="BN18" i="14"/>
  <c r="BK18" i="14"/>
  <c r="BH18" i="14"/>
  <c r="BE18" i="14"/>
  <c r="BB18" i="14"/>
  <c r="AY18" i="14"/>
  <c r="BW17" i="14"/>
  <c r="BT17" i="14"/>
  <c r="BQ17" i="14"/>
  <c r="BN17" i="14"/>
  <c r="BK17" i="14"/>
  <c r="BH17" i="14"/>
  <c r="BE17" i="14"/>
  <c r="BB17" i="14"/>
  <c r="AY17" i="14"/>
  <c r="BW11" i="14"/>
  <c r="BT11" i="14"/>
  <c r="BQ11" i="14"/>
  <c r="BN11" i="14"/>
  <c r="BK11" i="14"/>
  <c r="BH11" i="14"/>
  <c r="BE11" i="14"/>
  <c r="BB11" i="14"/>
  <c r="AY11" i="14"/>
  <c r="BW6" i="14"/>
  <c r="BT6" i="14"/>
  <c r="BQ6" i="14"/>
  <c r="BN6" i="14"/>
  <c r="BK6" i="14"/>
  <c r="BH6" i="14"/>
  <c r="BE6" i="14"/>
  <c r="BB6" i="14"/>
  <c r="AY6" i="14"/>
  <c r="BW5" i="14"/>
  <c r="BT5" i="14"/>
  <c r="BQ5" i="14"/>
  <c r="BN5" i="14"/>
  <c r="BK5" i="14"/>
  <c r="BH5" i="14"/>
  <c r="BE5" i="14"/>
  <c r="BB5" i="14"/>
  <c r="AY5" i="14"/>
  <c r="AV21" i="14"/>
  <c r="AV20" i="14"/>
  <c r="AV18" i="14"/>
  <c r="AV17" i="14"/>
  <c r="AV11" i="14"/>
  <c r="AV6" i="14"/>
  <c r="AV5" i="14"/>
  <c r="AS21" i="14"/>
  <c r="AS20" i="14"/>
  <c r="AS18" i="14"/>
  <c r="AS17" i="14"/>
  <c r="AS11" i="14"/>
  <c r="AS6" i="14"/>
  <c r="AS5" i="14"/>
  <c r="A2" i="19"/>
  <c r="AP33" i="27"/>
  <c r="AN42" i="33"/>
  <c r="AS42" i="33"/>
  <c r="AT42" i="33"/>
  <c r="AU42" i="33"/>
  <c r="AV42" i="33"/>
  <c r="AW42" i="33"/>
  <c r="AX42" i="33"/>
  <c r="AY42" i="33"/>
  <c r="AP3" i="31"/>
  <c r="AO3" i="34" s="1"/>
  <c r="AO21" i="33"/>
  <c r="AO20" i="33"/>
  <c r="BC35" i="38"/>
  <c r="BB35" i="38"/>
  <c r="BI46" i="18"/>
  <c r="BI45" i="18"/>
  <c r="AP47" i="31"/>
  <c r="AO44" i="34" s="1"/>
  <c r="AG29" i="12"/>
  <c r="AF28" i="12"/>
  <c r="AE28" i="12"/>
  <c r="AB105" i="16"/>
  <c r="AB139" i="16" s="1"/>
  <c r="AB71" i="16"/>
  <c r="AB90" i="16"/>
  <c r="AB95" i="16"/>
  <c r="AP18" i="31"/>
  <c r="AO18" i="34" s="1"/>
  <c r="AO3" i="31"/>
  <c r="AN3" i="34" s="1"/>
  <c r="AP20" i="31"/>
  <c r="AQ20" i="31"/>
  <c r="AR20" i="31"/>
  <c r="AQ20" i="34" s="1"/>
  <c r="AS20" i="31"/>
  <c r="AT20" i="31"/>
  <c r="AT42" i="31" s="1"/>
  <c r="AU20" i="31"/>
  <c r="AV20" i="31"/>
  <c r="AV42" i="31" s="1"/>
  <c r="AW20" i="31"/>
  <c r="AW42" i="31" s="1"/>
  <c r="AX20" i="31"/>
  <c r="AX42" i="31" s="1"/>
  <c r="AY20" i="31"/>
  <c r="AZ20" i="31"/>
  <c r="AZ42" i="31" s="1"/>
  <c r="H116" i="17"/>
  <c r="I333" i="17" s="1"/>
  <c r="I516" i="17" s="1"/>
  <c r="AB21" i="8"/>
  <c r="AG57" i="18" s="1"/>
  <c r="J8" i="45"/>
  <c r="K27" i="41" s="1"/>
  <c r="BA70" i="18"/>
  <c r="AY70" i="18"/>
  <c r="AW70" i="18"/>
  <c r="AU70" i="18"/>
  <c r="AS70" i="18"/>
  <c r="AQ70" i="18"/>
  <c r="AO70" i="18"/>
  <c r="AM70" i="18"/>
  <c r="AK70" i="18"/>
  <c r="AI70" i="18"/>
  <c r="AG70" i="18"/>
  <c r="AZ45" i="18"/>
  <c r="BA45" i="18" s="1"/>
  <c r="AX45" i="18"/>
  <c r="AY45" i="18" s="1"/>
  <c r="AV45" i="18"/>
  <c r="AW45" i="18" s="1"/>
  <c r="AT45" i="18"/>
  <c r="AU45" i="18" s="1"/>
  <c r="AR45" i="18"/>
  <c r="AS45" i="18" s="1"/>
  <c r="AP45" i="18"/>
  <c r="AQ45" i="18" s="1"/>
  <c r="AN45" i="18"/>
  <c r="AO45" i="18" s="1"/>
  <c r="AL45" i="18"/>
  <c r="AM45" i="18" s="1"/>
  <c r="AJ45" i="18"/>
  <c r="AK45" i="18" s="1"/>
  <c r="AH45" i="18"/>
  <c r="AI45" i="18" s="1"/>
  <c r="BH45" i="18" s="1"/>
  <c r="AZ44" i="18"/>
  <c r="BA44" i="18" s="1"/>
  <c r="AX44" i="18"/>
  <c r="AY44" i="18" s="1"/>
  <c r="AV44" i="18"/>
  <c r="AW44" i="18" s="1"/>
  <c r="AT44" i="18"/>
  <c r="AU44" i="18" s="1"/>
  <c r="AR44" i="18"/>
  <c r="AS44" i="18" s="1"/>
  <c r="AP44" i="18"/>
  <c r="AQ44" i="18" s="1"/>
  <c r="AN44" i="18"/>
  <c r="AL44" i="18"/>
  <c r="AM44" i="18" s="1"/>
  <c r="AJ44" i="18"/>
  <c r="AK44" i="18" s="1"/>
  <c r="AH44" i="18"/>
  <c r="AI44" i="18" s="1"/>
  <c r="BH44" i="18" s="1"/>
  <c r="AF45" i="18"/>
  <c r="AG45" i="18" s="1"/>
  <c r="AF44" i="18"/>
  <c r="AB16" i="8"/>
  <c r="AG56" i="18" s="1"/>
  <c r="AM198" i="9"/>
  <c r="AN198" i="9"/>
  <c r="AN196" i="9"/>
  <c r="L130" i="17" s="1"/>
  <c r="AN199" i="9"/>
  <c r="AM199" i="9"/>
  <c r="G85" i="1"/>
  <c r="G113" i="1" s="1"/>
  <c r="C25" i="41"/>
  <c r="C26" i="41"/>
  <c r="C27" i="41"/>
  <c r="C28" i="41"/>
  <c r="C19" i="41"/>
  <c r="C21" i="41"/>
  <c r="C22" i="41"/>
  <c r="C23" i="41"/>
  <c r="C15" i="41"/>
  <c r="C17" i="41"/>
  <c r="C18" i="41"/>
  <c r="C14" i="41"/>
  <c r="M29" i="41"/>
  <c r="C29" i="41" s="1"/>
  <c r="M30" i="41"/>
  <c r="C30" i="41" s="1"/>
  <c r="R24" i="41"/>
  <c r="C24" i="41" s="1"/>
  <c r="M20" i="41"/>
  <c r="C20" i="41" s="1"/>
  <c r="M16" i="41"/>
  <c r="C16" i="41" s="1"/>
  <c r="K18" i="41"/>
  <c r="F18" i="41" s="1"/>
  <c r="J18" i="41"/>
  <c r="E18" i="41" s="1"/>
  <c r="I18" i="41"/>
  <c r="D18" i="41" s="1"/>
  <c r="K17" i="41"/>
  <c r="F17" i="41" s="1"/>
  <c r="J17" i="41"/>
  <c r="E17" i="41" s="1"/>
  <c r="I17" i="41"/>
  <c r="D17" i="41" s="1"/>
  <c r="I16" i="41"/>
  <c r="S29" i="41"/>
  <c r="S24" i="41" s="1"/>
  <c r="O29" i="41"/>
  <c r="N29" i="41"/>
  <c r="N24" i="41" s="1"/>
  <c r="O22" i="41"/>
  <c r="Q22" i="41" s="1"/>
  <c r="N22" i="41"/>
  <c r="O19" i="41"/>
  <c r="O20" i="41" s="1"/>
  <c r="N19" i="41"/>
  <c r="N20" i="41" s="1"/>
  <c r="N15" i="41"/>
  <c r="N16" i="41" s="1"/>
  <c r="O14" i="41"/>
  <c r="Q14" i="41" s="1"/>
  <c r="N14" i="41"/>
  <c r="V15" i="41"/>
  <c r="V16" i="41"/>
  <c r="V17" i="41"/>
  <c r="V18" i="41"/>
  <c r="V19" i="41"/>
  <c r="V20" i="41"/>
  <c r="V21" i="41"/>
  <c r="V22" i="41"/>
  <c r="V23" i="41"/>
  <c r="V26" i="41"/>
  <c r="V27" i="41"/>
  <c r="V28" i="41"/>
  <c r="V14" i="41"/>
  <c r="Q17" i="41"/>
  <c r="Q18" i="41"/>
  <c r="Q21" i="41"/>
  <c r="Q23" i="41"/>
  <c r="Q26" i="41"/>
  <c r="Q27" i="41"/>
  <c r="Q28" i="41"/>
  <c r="I5" i="41"/>
  <c r="V12" i="41"/>
  <c r="V11" i="41"/>
  <c r="V10" i="41"/>
  <c r="V9" i="41"/>
  <c r="AN7" i="9"/>
  <c r="AN144" i="9" s="1"/>
  <c r="AO7" i="9"/>
  <c r="AP7" i="9"/>
  <c r="AQ7" i="9"/>
  <c r="AN164" i="9"/>
  <c r="AN165" i="9"/>
  <c r="AN166" i="9"/>
  <c r="AN167" i="9"/>
  <c r="AN168" i="9"/>
  <c r="AN170" i="9"/>
  <c r="AN171" i="9"/>
  <c r="H98" i="17"/>
  <c r="J98" i="17" s="1"/>
  <c r="AN172" i="9"/>
  <c r="AN173" i="9"/>
  <c r="AN175" i="9"/>
  <c r="AN176" i="9"/>
  <c r="AN177" i="9"/>
  <c r="AN178" i="9"/>
  <c r="AN179" i="9"/>
  <c r="AN180" i="9"/>
  <c r="AN183" i="9"/>
  <c r="AN201" i="9" s="1"/>
  <c r="AN184" i="9"/>
  <c r="AN186" i="9"/>
  <c r="AN187" i="9"/>
  <c r="AN138" i="9"/>
  <c r="AN139" i="9"/>
  <c r="AN140" i="9"/>
  <c r="AN141" i="9"/>
  <c r="AN142" i="9"/>
  <c r="AN148" i="9"/>
  <c r="AN149" i="9"/>
  <c r="AN151" i="9"/>
  <c r="AN152" i="9"/>
  <c r="AN155" i="9"/>
  <c r="AN156" i="9"/>
  <c r="AN157" i="9"/>
  <c r="AN158" i="9"/>
  <c r="AN159" i="9"/>
  <c r="A1" i="34"/>
  <c r="B1" i="34"/>
  <c r="C1" i="34"/>
  <c r="D1" i="34"/>
  <c r="B2" i="34"/>
  <c r="C2" i="34"/>
  <c r="D5" i="15"/>
  <c r="D29" i="15"/>
  <c r="D2" i="34"/>
  <c r="F5" i="15"/>
  <c r="F29" i="15"/>
  <c r="E1" i="34"/>
  <c r="E2" i="34"/>
  <c r="H5" i="15"/>
  <c r="H29" i="15"/>
  <c r="F1" i="34"/>
  <c r="F2" i="34"/>
  <c r="J5" i="15"/>
  <c r="J29" i="15"/>
  <c r="J60" i="15"/>
  <c r="G1" i="34"/>
  <c r="G2" i="34"/>
  <c r="L5" i="15"/>
  <c r="L29" i="15"/>
  <c r="L60" i="15"/>
  <c r="H1" i="34"/>
  <c r="H2" i="34"/>
  <c r="N5" i="15"/>
  <c r="N56" i="15"/>
  <c r="N29" i="15" s="1"/>
  <c r="N60" i="15"/>
  <c r="I1" i="34"/>
  <c r="I2" i="34"/>
  <c r="P5" i="15"/>
  <c r="P29" i="15"/>
  <c r="P60" i="15"/>
  <c r="J1" i="34"/>
  <c r="J2" i="34"/>
  <c r="R5" i="15"/>
  <c r="R29" i="15"/>
  <c r="R60" i="15"/>
  <c r="K1" i="34"/>
  <c r="K2" i="34"/>
  <c r="T5" i="15"/>
  <c r="T29" i="15"/>
  <c r="T60" i="15"/>
  <c r="L1" i="34"/>
  <c r="L2" i="34"/>
  <c r="V5" i="15"/>
  <c r="V29" i="15"/>
  <c r="V60" i="15"/>
  <c r="M1" i="34"/>
  <c r="M2" i="34"/>
  <c r="X5" i="15"/>
  <c r="X29" i="15"/>
  <c r="N1" i="34"/>
  <c r="N2" i="34"/>
  <c r="Z5" i="15"/>
  <c r="Z29" i="15"/>
  <c r="O1" i="34"/>
  <c r="O2" i="34"/>
  <c r="AB5" i="15"/>
  <c r="AB29" i="15"/>
  <c r="AB60" i="15"/>
  <c r="AD5" i="15"/>
  <c r="AD29" i="15"/>
  <c r="AF5" i="15"/>
  <c r="AF29" i="15"/>
  <c r="AH5" i="15"/>
  <c r="AH29" i="15"/>
  <c r="AJ5" i="15"/>
  <c r="AJ29" i="15"/>
  <c r="AL5" i="15"/>
  <c r="AL29" i="15"/>
  <c r="AN79" i="15"/>
  <c r="AN82" i="15" s="1"/>
  <c r="U50" i="34" s="1"/>
  <c r="AP5" i="15"/>
  <c r="AP29" i="15"/>
  <c r="AR5" i="15"/>
  <c r="AR29" i="15"/>
  <c r="AR60" i="15"/>
  <c r="AT5" i="15"/>
  <c r="AT29" i="15"/>
  <c r="AV5" i="15"/>
  <c r="AV29" i="15"/>
  <c r="AX5" i="15"/>
  <c r="AX29" i="15"/>
  <c r="AZ5" i="15"/>
  <c r="AZ29" i="15"/>
  <c r="AZ60" i="15"/>
  <c r="BB5" i="15"/>
  <c r="BB29" i="15"/>
  <c r="BB60" i="15"/>
  <c r="BD5" i="15"/>
  <c r="BD29" i="15"/>
  <c r="BF5" i="15"/>
  <c r="BF29" i="15"/>
  <c r="BH5" i="15"/>
  <c r="BH29" i="15"/>
  <c r="BJ5" i="15"/>
  <c r="BJ29" i="15"/>
  <c r="BJ73" i="15"/>
  <c r="BL5" i="15"/>
  <c r="BL29" i="15"/>
  <c r="BN5" i="15"/>
  <c r="BN29" i="15"/>
  <c r="BP5" i="15"/>
  <c r="BP29" i="15"/>
  <c r="BR5" i="15"/>
  <c r="BR29" i="15"/>
  <c r="BT5" i="15"/>
  <c r="BT29" i="15"/>
  <c r="BV5" i="15"/>
  <c r="BV29" i="15"/>
  <c r="BX5" i="15"/>
  <c r="BX29" i="15"/>
  <c r="BZ5" i="15"/>
  <c r="BZ29" i="15"/>
  <c r="CB5" i="15"/>
  <c r="CB29" i="15"/>
  <c r="CD5" i="15"/>
  <c r="CD29" i="15"/>
  <c r="CF5" i="15"/>
  <c r="CF84" i="15" s="1"/>
  <c r="D55" i="24" s="1"/>
  <c r="CF29" i="15"/>
  <c r="CH5" i="15"/>
  <c r="CH84" i="15" s="1"/>
  <c r="D56" i="24" s="1"/>
  <c r="CH29" i="15"/>
  <c r="CJ5" i="15"/>
  <c r="CL5" i="15"/>
  <c r="CL84" i="15" s="1"/>
  <c r="CL29" i="15"/>
  <c r="CN5" i="15"/>
  <c r="CN84" i="15" s="1"/>
  <c r="CN29" i="15"/>
  <c r="CP5" i="15"/>
  <c r="CP29" i="15"/>
  <c r="CR5" i="15"/>
  <c r="CR29" i="15"/>
  <c r="CT5" i="15"/>
  <c r="CT29" i="15"/>
  <c r="CV5" i="15"/>
  <c r="CV29" i="15"/>
  <c r="A2" i="34"/>
  <c r="AB8" i="34"/>
  <c r="AC8" i="34"/>
  <c r="AB9" i="34"/>
  <c r="AC9" i="34"/>
  <c r="AC3" i="31"/>
  <c r="AB3" i="34" s="1"/>
  <c r="AB4" i="34"/>
  <c r="AB5" i="34"/>
  <c r="AB6" i="34"/>
  <c r="AC7" i="31"/>
  <c r="BA7" i="31" s="1"/>
  <c r="AB7" i="33"/>
  <c r="AB11" i="34"/>
  <c r="AB12" i="34"/>
  <c r="AB13" i="34"/>
  <c r="AB14" i="34"/>
  <c r="AB15" i="34"/>
  <c r="AB16" i="34"/>
  <c r="AB17" i="34"/>
  <c r="AC18" i="31"/>
  <c r="AB18" i="34" s="1"/>
  <c r="AB19" i="33"/>
  <c r="AB19" i="34" s="1"/>
  <c r="AC20" i="31"/>
  <c r="AB20" i="33"/>
  <c r="AC21" i="31"/>
  <c r="AB21" i="33"/>
  <c r="AB22" i="34"/>
  <c r="AB23" i="34"/>
  <c r="AB24" i="34"/>
  <c r="AB25" i="34"/>
  <c r="AB26" i="34"/>
  <c r="AB27" i="34"/>
  <c r="AB28" i="34"/>
  <c r="AB29" i="34"/>
  <c r="AB30" i="34"/>
  <c r="AB31" i="34"/>
  <c r="AB32" i="34"/>
  <c r="AB33" i="34"/>
  <c r="AB34" i="34"/>
  <c r="AB35" i="34"/>
  <c r="AB36" i="34"/>
  <c r="AB37" i="34"/>
  <c r="AB38" i="34"/>
  <c r="AB39" i="34"/>
  <c r="AB40" i="34"/>
  <c r="AB41" i="34"/>
  <c r="AC47" i="31"/>
  <c r="AB44" i="34" s="1"/>
  <c r="AB46" i="34"/>
  <c r="AD3" i="31"/>
  <c r="AC4" i="34"/>
  <c r="AC5" i="34"/>
  <c r="AC6" i="34"/>
  <c r="AC7" i="34"/>
  <c r="AC11" i="34"/>
  <c r="AC12" i="34"/>
  <c r="AC13" i="34"/>
  <c r="AC14" i="34"/>
  <c r="AC15" i="34"/>
  <c r="AC16" i="34"/>
  <c r="AC17" i="34"/>
  <c r="AD18" i="31"/>
  <c r="AC18" i="34" s="1"/>
  <c r="AC19" i="34"/>
  <c r="AD20" i="31"/>
  <c r="AC20" i="33"/>
  <c r="AD21" i="31"/>
  <c r="AC21" i="33"/>
  <c r="AC22" i="34"/>
  <c r="AC23" i="34"/>
  <c r="AC24" i="34"/>
  <c r="AC25" i="34"/>
  <c r="AC26" i="34"/>
  <c r="AC27" i="34"/>
  <c r="AC28" i="34"/>
  <c r="AC29" i="34"/>
  <c r="AC30" i="34"/>
  <c r="AC31" i="34"/>
  <c r="AC32" i="34"/>
  <c r="AC33" i="34"/>
  <c r="AC34" i="34"/>
  <c r="AC35" i="34"/>
  <c r="AC36" i="34"/>
  <c r="AC37" i="34"/>
  <c r="AC38" i="34"/>
  <c r="AC39" i="34"/>
  <c r="AC40" i="34"/>
  <c r="AC41" i="34"/>
  <c r="AD47" i="31"/>
  <c r="AC44" i="34" s="1"/>
  <c r="AC46" i="34"/>
  <c r="B173" i="1"/>
  <c r="I162" i="1"/>
  <c r="I195" i="1" s="1"/>
  <c r="F162" i="1"/>
  <c r="F195" i="1" s="1"/>
  <c r="D190" i="1"/>
  <c r="A1" i="19"/>
  <c r="BC1" i="19" s="1"/>
  <c r="O81" i="16"/>
  <c r="O3" i="16" s="1"/>
  <c r="O4" i="16"/>
  <c r="O5" i="16"/>
  <c r="O6" i="16"/>
  <c r="O85" i="16"/>
  <c r="O7" i="16" s="1"/>
  <c r="O90" i="16"/>
  <c r="O107" i="16"/>
  <c r="O62" i="16" s="1"/>
  <c r="O63" i="16"/>
  <c r="AA4" i="38"/>
  <c r="AA14" i="38"/>
  <c r="AA37" i="38"/>
  <c r="AA35" i="38" s="1"/>
  <c r="AB40" i="35"/>
  <c r="AB5" i="35"/>
  <c r="AB6" i="35"/>
  <c r="AB7" i="35"/>
  <c r="AB10" i="35"/>
  <c r="AB14" i="35"/>
  <c r="AB18" i="35"/>
  <c r="AB19" i="35"/>
  <c r="AB20" i="35"/>
  <c r="AB26" i="35"/>
  <c r="C7" i="19"/>
  <c r="C6" i="19" s="1"/>
  <c r="C5" i="19" s="1"/>
  <c r="P3" i="16"/>
  <c r="P4" i="16"/>
  <c r="P5" i="16"/>
  <c r="P6" i="16"/>
  <c r="P7" i="16"/>
  <c r="P70" i="16"/>
  <c r="P71" i="16"/>
  <c r="P62" i="16"/>
  <c r="P63" i="16"/>
  <c r="AC4" i="38"/>
  <c r="AC14" i="38"/>
  <c r="AC35" i="38"/>
  <c r="AC40" i="35"/>
  <c r="AC7" i="35"/>
  <c r="AC18" i="35"/>
  <c r="AC19" i="35"/>
  <c r="AC20" i="35"/>
  <c r="F7" i="19"/>
  <c r="F6" i="19" s="1"/>
  <c r="Q3" i="16"/>
  <c r="Q4" i="16"/>
  <c r="Q5" i="16"/>
  <c r="Q6" i="16"/>
  <c r="Q7" i="16"/>
  <c r="Q70" i="16"/>
  <c r="Q71" i="16"/>
  <c r="Q74" i="16"/>
  <c r="Q72" i="16" s="1"/>
  <c r="Q62" i="16"/>
  <c r="Q63" i="16"/>
  <c r="AE4" i="38"/>
  <c r="AE14" i="38"/>
  <c r="AE23" i="38"/>
  <c r="AE30" i="38"/>
  <c r="AE35" i="38"/>
  <c r="AD40" i="35"/>
  <c r="AD7" i="35"/>
  <c r="AD18" i="35"/>
  <c r="AD19" i="35"/>
  <c r="AD20" i="35"/>
  <c r="I8" i="19"/>
  <c r="I7" i="19" s="1"/>
  <c r="I6" i="19" s="1"/>
  <c r="R3" i="16"/>
  <c r="R4" i="16"/>
  <c r="R5" i="16"/>
  <c r="R6" i="16"/>
  <c r="R7" i="16"/>
  <c r="R71" i="16"/>
  <c r="R18" i="16" s="1"/>
  <c r="R74" i="16"/>
  <c r="R62" i="16"/>
  <c r="R63" i="16"/>
  <c r="AG4" i="38"/>
  <c r="AG14" i="38"/>
  <c r="AG23" i="38"/>
  <c r="AG35" i="38"/>
  <c r="AE40" i="35"/>
  <c r="AE7" i="35"/>
  <c r="AE18" i="35"/>
  <c r="AE19" i="35"/>
  <c r="AE20" i="35"/>
  <c r="L7" i="19"/>
  <c r="L6" i="19" s="1"/>
  <c r="S3" i="16"/>
  <c r="S4" i="16"/>
  <c r="S5" i="16"/>
  <c r="S6" i="16"/>
  <c r="S7" i="16"/>
  <c r="S71" i="16"/>
  <c r="S74" i="16"/>
  <c r="S72" i="16" s="1"/>
  <c r="S62" i="16"/>
  <c r="S63" i="16"/>
  <c r="AI4" i="38"/>
  <c r="AI14" i="38"/>
  <c r="AI23" i="38"/>
  <c r="AI35" i="38"/>
  <c r="AF40" i="35"/>
  <c r="AF7" i="35"/>
  <c r="AF19" i="35"/>
  <c r="AF20" i="35"/>
  <c r="O8" i="19"/>
  <c r="O7" i="19" s="1"/>
  <c r="O6" i="19" s="1"/>
  <c r="L5" i="28" s="1"/>
  <c r="T3" i="16"/>
  <c r="T4" i="16"/>
  <c r="T5" i="16"/>
  <c r="T6" i="16"/>
  <c r="T7" i="16"/>
  <c r="T71" i="16"/>
  <c r="T74" i="16"/>
  <c r="T72" i="16" s="1"/>
  <c r="T62" i="16"/>
  <c r="T63" i="16"/>
  <c r="AK4" i="38"/>
  <c r="AK14" i="38"/>
  <c r="AK23" i="38"/>
  <c r="AK35" i="38"/>
  <c r="AG40" i="35"/>
  <c r="AG7" i="35"/>
  <c r="AG19" i="35"/>
  <c r="AG20" i="35"/>
  <c r="R7" i="19"/>
  <c r="U81" i="16"/>
  <c r="U3" i="16" s="1"/>
  <c r="U4" i="16"/>
  <c r="U5" i="16"/>
  <c r="U6" i="16"/>
  <c r="U7" i="16"/>
  <c r="U71" i="16"/>
  <c r="U74" i="16"/>
  <c r="U62" i="16"/>
  <c r="U63" i="16"/>
  <c r="AM4" i="38"/>
  <c r="AM14" i="38"/>
  <c r="AM35" i="38"/>
  <c r="AH40" i="35"/>
  <c r="AH7" i="35"/>
  <c r="AH18" i="35"/>
  <c r="U8" i="19"/>
  <c r="U7" i="19" s="1"/>
  <c r="U15" i="19"/>
  <c r="V3" i="16"/>
  <c r="V4" i="16"/>
  <c r="V5" i="16"/>
  <c r="V6" i="16"/>
  <c r="V7" i="16"/>
  <c r="V71" i="16"/>
  <c r="V74" i="16"/>
  <c r="V72" i="16" s="1"/>
  <c r="V62" i="16"/>
  <c r="V63" i="16"/>
  <c r="AO4" i="38"/>
  <c r="AO14" i="38"/>
  <c r="AO35" i="38"/>
  <c r="AI40" i="35"/>
  <c r="AI7" i="35"/>
  <c r="AI19" i="35"/>
  <c r="AI20" i="35"/>
  <c r="X7" i="19"/>
  <c r="X6" i="19" s="1"/>
  <c r="X5" i="19" s="1"/>
  <c r="W3" i="16"/>
  <c r="W4" i="16"/>
  <c r="W5" i="16"/>
  <c r="W6" i="16"/>
  <c r="W7" i="16"/>
  <c r="W71" i="16"/>
  <c r="W18" i="16" s="1"/>
  <c r="W74" i="16"/>
  <c r="W72" i="16" s="1"/>
  <c r="W62" i="16"/>
  <c r="W63" i="16"/>
  <c r="AQ4" i="38"/>
  <c r="AQ14" i="38"/>
  <c r="AQ35" i="38"/>
  <c r="AJ40" i="35"/>
  <c r="AJ4" i="35"/>
  <c r="AJ7" i="35"/>
  <c r="AJ19" i="35"/>
  <c r="AJ20" i="35"/>
  <c r="AA7" i="19"/>
  <c r="X6" i="28" s="1"/>
  <c r="X3" i="16"/>
  <c r="X4" i="16"/>
  <c r="X5" i="16"/>
  <c r="X6" i="16"/>
  <c r="X7" i="16"/>
  <c r="X71" i="16"/>
  <c r="X74" i="16"/>
  <c r="X62" i="16"/>
  <c r="X63" i="16"/>
  <c r="AS4" i="38"/>
  <c r="AS35" i="38"/>
  <c r="AK7" i="35"/>
  <c r="AK19" i="35"/>
  <c r="AK20" i="35"/>
  <c r="AD7" i="19"/>
  <c r="AD6" i="19" s="1"/>
  <c r="Y3" i="16"/>
  <c r="Y4" i="16"/>
  <c r="Y5" i="16"/>
  <c r="Y6" i="16"/>
  <c r="Y7" i="16"/>
  <c r="Y71" i="16"/>
  <c r="Y74" i="16"/>
  <c r="Y72" i="16" s="1"/>
  <c r="Y62" i="16"/>
  <c r="Y63" i="16"/>
  <c r="AU4" i="38"/>
  <c r="AU14" i="38"/>
  <c r="AU35" i="38"/>
  <c r="AL7" i="35"/>
  <c r="AL19" i="35"/>
  <c r="AL20" i="35"/>
  <c r="AG7" i="19"/>
  <c r="AG6" i="19" s="1"/>
  <c r="AD5" i="28" s="1"/>
  <c r="Z3" i="16"/>
  <c r="Z4" i="16"/>
  <c r="Z5" i="16"/>
  <c r="Z6" i="16"/>
  <c r="Z7" i="16"/>
  <c r="Z71" i="16"/>
  <c r="Z74" i="16"/>
  <c r="Z72" i="16" s="1"/>
  <c r="Z62" i="16"/>
  <c r="Z63" i="16"/>
  <c r="AW4" i="38"/>
  <c r="AW35" i="38"/>
  <c r="AM7" i="35"/>
  <c r="AM19" i="35"/>
  <c r="AM20" i="35"/>
  <c r="AJ7" i="19"/>
  <c r="AJ6" i="19" s="1"/>
  <c r="AJ5" i="19" s="1"/>
  <c r="AY4" i="38"/>
  <c r="BX5" i="38" s="1"/>
  <c r="AY14" i="38"/>
  <c r="AY35" i="38"/>
  <c r="AN40" i="35"/>
  <c r="AM8" i="19"/>
  <c r="AM7" i="19" s="1"/>
  <c r="AM6" i="19" s="1"/>
  <c r="AM5" i="19" s="1"/>
  <c r="AB3" i="16"/>
  <c r="AB4" i="16"/>
  <c r="AB5" i="16"/>
  <c r="AB6" i="16"/>
  <c r="AB7" i="16"/>
  <c r="AB74" i="16"/>
  <c r="AB72" i="16" s="1"/>
  <c r="AB18" i="16" s="1"/>
  <c r="AB62" i="16"/>
  <c r="AB63" i="16"/>
  <c r="BA4" i="38"/>
  <c r="BA35" i="38"/>
  <c r="AO19" i="35"/>
  <c r="AD29" i="18" s="1"/>
  <c r="AE29" i="18" s="1"/>
  <c r="AO20" i="35"/>
  <c r="AD30" i="18" s="1"/>
  <c r="AE30" i="18" s="1"/>
  <c r="AO40" i="35"/>
  <c r="AP7" i="19"/>
  <c r="BC4" i="38"/>
  <c r="AC62" i="16"/>
  <c r="AP19" i="35"/>
  <c r="AP20" i="35"/>
  <c r="AP40" i="35"/>
  <c r="AG49" i="18" s="1"/>
  <c r="AS7" i="19"/>
  <c r="AS6" i="19" s="1"/>
  <c r="AS5" i="19" s="1"/>
  <c r="AQ19" i="35"/>
  <c r="AQ20" i="35"/>
  <c r="AQ40" i="35"/>
  <c r="AI49" i="18" s="1"/>
  <c r="AV7" i="19"/>
  <c r="AV6" i="19" s="1"/>
  <c r="AV5" i="19" s="1"/>
  <c r="AR19" i="35"/>
  <c r="AR20" i="35"/>
  <c r="AJ30" i="18" s="1"/>
  <c r="AK30" i="18" s="1"/>
  <c r="AR40" i="35"/>
  <c r="AJ49" i="18" s="1"/>
  <c r="AY7" i="19"/>
  <c r="AY6" i="19" s="1"/>
  <c r="AY5" i="19" s="1"/>
  <c r="AS19" i="35"/>
  <c r="AL29" i="18" s="1"/>
  <c r="AM29" i="18" s="1"/>
  <c r="AS20" i="35"/>
  <c r="AL30" i="18" s="1"/>
  <c r="AM30" i="18" s="1"/>
  <c r="AS40" i="35"/>
  <c r="AL49" i="18" s="1"/>
  <c r="BB7" i="19"/>
  <c r="BB6" i="19" s="1"/>
  <c r="BB5" i="19" s="1"/>
  <c r="AT19" i="35"/>
  <c r="AT20" i="35"/>
  <c r="AN30" i="18" s="1"/>
  <c r="AO30" i="18" s="1"/>
  <c r="AT40" i="35"/>
  <c r="AN49" i="18" s="1"/>
  <c r="BE7" i="19"/>
  <c r="AU19" i="35"/>
  <c r="AP29" i="18" s="1"/>
  <c r="AQ29" i="18" s="1"/>
  <c r="AU20" i="35"/>
  <c r="AP30" i="18" s="1"/>
  <c r="AQ30" i="18" s="1"/>
  <c r="AU40" i="35"/>
  <c r="BH7" i="19"/>
  <c r="BH6" i="19" s="1"/>
  <c r="BH5" i="19" s="1"/>
  <c r="AV19" i="35"/>
  <c r="AV20" i="35"/>
  <c r="AV40" i="35"/>
  <c r="BK7" i="19"/>
  <c r="BK6" i="19" s="1"/>
  <c r="BK5" i="19" s="1"/>
  <c r="AW19" i="35"/>
  <c r="AT29" i="18" s="1"/>
  <c r="AU29" i="18" s="1"/>
  <c r="AW20" i="35"/>
  <c r="AT30" i="18" s="1"/>
  <c r="AU30" i="18" s="1"/>
  <c r="AW40" i="35"/>
  <c r="AT49" i="18" s="1"/>
  <c r="BN7" i="19"/>
  <c r="BN6" i="19" s="1"/>
  <c r="BN5" i="19" s="1"/>
  <c r="AX19" i="35"/>
  <c r="AV29" i="18" s="1"/>
  <c r="AW29" i="18" s="1"/>
  <c r="AX20" i="35"/>
  <c r="AV30" i="18" s="1"/>
  <c r="AW30" i="18" s="1"/>
  <c r="AX40" i="35"/>
  <c r="AW49" i="18" s="1"/>
  <c r="BQ7" i="19"/>
  <c r="BQ6" i="19" s="1"/>
  <c r="BQ5" i="19" s="1"/>
  <c r="AY19" i="35"/>
  <c r="AX29" i="18" s="1"/>
  <c r="AY29" i="18" s="1"/>
  <c r="AY20" i="35"/>
  <c r="AX30" i="18" s="1"/>
  <c r="AY30" i="18" s="1"/>
  <c r="AY40" i="35"/>
  <c r="AX49" i="18" s="1"/>
  <c r="BT7" i="19"/>
  <c r="BT6" i="19" s="1"/>
  <c r="BT5" i="19" s="1"/>
  <c r="AZ19" i="35"/>
  <c r="AZ29" i="18" s="1"/>
  <c r="BA29" i="18" s="1"/>
  <c r="AZ20" i="35"/>
  <c r="AZ30" i="18" s="1"/>
  <c r="BA30" i="18" s="1"/>
  <c r="AZ40" i="35"/>
  <c r="AZ49" i="18" s="1"/>
  <c r="BW7" i="19"/>
  <c r="BW6" i="19" s="1"/>
  <c r="BW5" i="19" s="1"/>
  <c r="BZ13" i="19"/>
  <c r="BZ14" i="19"/>
  <c r="BZ15" i="19"/>
  <c r="AM7" i="28" s="1"/>
  <c r="BZ16" i="19"/>
  <c r="BZ17" i="19"/>
  <c r="BZ18" i="19"/>
  <c r="BZ19" i="19"/>
  <c r="BZ20" i="19"/>
  <c r="BZ21" i="19"/>
  <c r="BZ22" i="19"/>
  <c r="BZ23" i="19"/>
  <c r="BZ24" i="19"/>
  <c r="BZ25" i="19"/>
  <c r="BZ26" i="19"/>
  <c r="BZ27" i="19"/>
  <c r="BZ28" i="19"/>
  <c r="BZ29" i="19"/>
  <c r="BZ30" i="19"/>
  <c r="BZ31" i="19"/>
  <c r="BZ32" i="19"/>
  <c r="BZ33" i="19"/>
  <c r="BZ34" i="19"/>
  <c r="BZ35" i="19"/>
  <c r="BZ36" i="19"/>
  <c r="BZ37" i="19"/>
  <c r="BZ38" i="19"/>
  <c r="BZ39" i="19"/>
  <c r="BZ40" i="19"/>
  <c r="BZ41" i="19"/>
  <c r="BZ42" i="19"/>
  <c r="BZ44" i="19"/>
  <c r="B1" i="18"/>
  <c r="D1" i="18" s="1"/>
  <c r="D12" i="18" s="1"/>
  <c r="E12" i="18" s="1"/>
  <c r="N18" i="8"/>
  <c r="N16" i="8" s="1"/>
  <c r="E70" i="18"/>
  <c r="O18" i="8"/>
  <c r="O16" i="8" s="1"/>
  <c r="G70" i="18"/>
  <c r="P18" i="8"/>
  <c r="P16" i="8" s="1"/>
  <c r="I70" i="18"/>
  <c r="Q18" i="8"/>
  <c r="Q16" i="8" s="1"/>
  <c r="Q21" i="8"/>
  <c r="K70" i="18"/>
  <c r="R18" i="8"/>
  <c r="R16" i="8" s="1"/>
  <c r="R21" i="8"/>
  <c r="M70" i="18"/>
  <c r="S18" i="8"/>
  <c r="S16" i="8" s="1"/>
  <c r="S21" i="8"/>
  <c r="O70" i="18"/>
  <c r="T18" i="8"/>
  <c r="T16" i="8" s="1"/>
  <c r="Q58" i="18"/>
  <c r="T21" i="8"/>
  <c r="Q75" i="18"/>
  <c r="Q70" i="18" s="1"/>
  <c r="U18" i="8"/>
  <c r="U16" i="8" s="1"/>
  <c r="U21" i="8"/>
  <c r="S70" i="18"/>
  <c r="V16" i="8"/>
  <c r="V21" i="8"/>
  <c r="U70" i="18"/>
  <c r="W16" i="8"/>
  <c r="W21" i="8"/>
  <c r="W70" i="18"/>
  <c r="X16" i="8"/>
  <c r="X21" i="8"/>
  <c r="Y60" i="18"/>
  <c r="Y70" i="18"/>
  <c r="Y16" i="8"/>
  <c r="Y21" i="8"/>
  <c r="AA59" i="18"/>
  <c r="AA64" i="18"/>
  <c r="AA70" i="18"/>
  <c r="Z16" i="8"/>
  <c r="Z21" i="8"/>
  <c r="AC59" i="18"/>
  <c r="BB59" i="18" s="1"/>
  <c r="AC60" i="18"/>
  <c r="AC64" i="18"/>
  <c r="BB64" i="18" s="1"/>
  <c r="AC63" i="18"/>
  <c r="BB63" i="18" s="1"/>
  <c r="AC65" i="18"/>
  <c r="BB65" i="18" s="1"/>
  <c r="AC75" i="18"/>
  <c r="AC70" i="18" s="1"/>
  <c r="AD12" i="18"/>
  <c r="AD13" i="18"/>
  <c r="AD14" i="18"/>
  <c r="AE14" i="18" s="1"/>
  <c r="AD15" i="18"/>
  <c r="AD16" i="18"/>
  <c r="AE16" i="18" s="1"/>
  <c r="AD17" i="18"/>
  <c r="AE17" i="18" s="1"/>
  <c r="AD18" i="18"/>
  <c r="AE18" i="18" s="1"/>
  <c r="AD19" i="18"/>
  <c r="AE19" i="18" s="1"/>
  <c r="AD20" i="18"/>
  <c r="AD21" i="18"/>
  <c r="AE21" i="18" s="1"/>
  <c r="AD22" i="18"/>
  <c r="AD23" i="18"/>
  <c r="AE23" i="18" s="1"/>
  <c r="AD24" i="18"/>
  <c r="AE24" i="18" s="1"/>
  <c r="AD25" i="18"/>
  <c r="AE25" i="18" s="1"/>
  <c r="AD26" i="18"/>
  <c r="AE26" i="18" s="1"/>
  <c r="AD27" i="18"/>
  <c r="AE27" i="18" s="1"/>
  <c r="AD28" i="18"/>
  <c r="AD31" i="18"/>
  <c r="AE31" i="18" s="1"/>
  <c r="AD32" i="18"/>
  <c r="AE32" i="18" s="1"/>
  <c r="AD33" i="18"/>
  <c r="AE33" i="18" s="1"/>
  <c r="AD34" i="18"/>
  <c r="AE34" i="18" s="1"/>
  <c r="AD35" i="18"/>
  <c r="AE35" i="18" s="1"/>
  <c r="AD36" i="18"/>
  <c r="AE36" i="18" s="1"/>
  <c r="AD37" i="18"/>
  <c r="AE37" i="18" s="1"/>
  <c r="AD38" i="18"/>
  <c r="AD39" i="18"/>
  <c r="AE39" i="18" s="1"/>
  <c r="AD40" i="18"/>
  <c r="AE40" i="18" s="1"/>
  <c r="AD41" i="18"/>
  <c r="AE41" i="18" s="1"/>
  <c r="AD42" i="18"/>
  <c r="AE42" i="18" s="1"/>
  <c r="AD47" i="18"/>
  <c r="AD48" i="18"/>
  <c r="AD50" i="18"/>
  <c r="AD44" i="18"/>
  <c r="AE44" i="18" s="1"/>
  <c r="AD45" i="18"/>
  <c r="BB45" i="18" s="1"/>
  <c r="AA18" i="8"/>
  <c r="AA16" i="8" s="1"/>
  <c r="AE56" i="18" s="1"/>
  <c r="AA21" i="8"/>
  <c r="AE57" i="18" s="1"/>
  <c r="AD11" i="18"/>
  <c r="AE11" i="18" s="1"/>
  <c r="AE70" i="18"/>
  <c r="AF12" i="18"/>
  <c r="AF13" i="18"/>
  <c r="AF14" i="18"/>
  <c r="AG14" i="18" s="1"/>
  <c r="AF15" i="18"/>
  <c r="AF16" i="18"/>
  <c r="AG16" i="18" s="1"/>
  <c r="AF17" i="18"/>
  <c r="AG17" i="18" s="1"/>
  <c r="AF18" i="18"/>
  <c r="AF19" i="18"/>
  <c r="AG19" i="18" s="1"/>
  <c r="AF20" i="18"/>
  <c r="AG20" i="18" s="1"/>
  <c r="AF21" i="18"/>
  <c r="AG21" i="18" s="1"/>
  <c r="AF22" i="18"/>
  <c r="AG22" i="18" s="1"/>
  <c r="AF23" i="18"/>
  <c r="AG23" i="18" s="1"/>
  <c r="AF25" i="18"/>
  <c r="AG25" i="18" s="1"/>
  <c r="AF26" i="18"/>
  <c r="AG26" i="18" s="1"/>
  <c r="AF27" i="18"/>
  <c r="AF28" i="18"/>
  <c r="AG28" i="18" s="1"/>
  <c r="AF31" i="18"/>
  <c r="AG31" i="18" s="1"/>
  <c r="AF32" i="18"/>
  <c r="AG32" i="18" s="1"/>
  <c r="AF33" i="18"/>
  <c r="AG33" i="18" s="1"/>
  <c r="AF34" i="18"/>
  <c r="AG34" i="18" s="1"/>
  <c r="AF35" i="18"/>
  <c r="AF36" i="18"/>
  <c r="AG36" i="18" s="1"/>
  <c r="AF37" i="18"/>
  <c r="AG37" i="18" s="1"/>
  <c r="AF38" i="18"/>
  <c r="AG38" i="18" s="1"/>
  <c r="AF39" i="18"/>
  <c r="AG39" i="18" s="1"/>
  <c r="AF40" i="18"/>
  <c r="AG40" i="18" s="1"/>
  <c r="AF41" i="18"/>
  <c r="AG41" i="18" s="1"/>
  <c r="AF42" i="18"/>
  <c r="AG42" i="18" s="1"/>
  <c r="AF47" i="18"/>
  <c r="AF48" i="18"/>
  <c r="AF50" i="18"/>
  <c r="AF11" i="18"/>
  <c r="AH12" i="18"/>
  <c r="AI12" i="18" s="1"/>
  <c r="BH12" i="18" s="1"/>
  <c r="BI95" i="18" s="1"/>
  <c r="AH13" i="18"/>
  <c r="AI13" i="18" s="1"/>
  <c r="BH13" i="18" s="1"/>
  <c r="BI94" i="18" s="1"/>
  <c r="AH14" i="18"/>
  <c r="AI14" i="18" s="1"/>
  <c r="BH14" i="18" s="1"/>
  <c r="AH16" i="18"/>
  <c r="AI16" i="18" s="1"/>
  <c r="BH16" i="18" s="1"/>
  <c r="AH17" i="18"/>
  <c r="AH18" i="18"/>
  <c r="AI18" i="18" s="1"/>
  <c r="BH18" i="18" s="1"/>
  <c r="AH19" i="18"/>
  <c r="AI19" i="18" s="1"/>
  <c r="BH19" i="18" s="1"/>
  <c r="AH20" i="18"/>
  <c r="AI20" i="18" s="1"/>
  <c r="BH20" i="18" s="1"/>
  <c r="AH21" i="18"/>
  <c r="AI21" i="18" s="1"/>
  <c r="BH21" i="18" s="1"/>
  <c r="AH22" i="18"/>
  <c r="AI22" i="18" s="1"/>
  <c r="BH22" i="18" s="1"/>
  <c r="AH23" i="18"/>
  <c r="AI23" i="18" s="1"/>
  <c r="BH23" i="18" s="1"/>
  <c r="AH25" i="18"/>
  <c r="AI25" i="18" s="1"/>
  <c r="BH25" i="18" s="1"/>
  <c r="AH26" i="18"/>
  <c r="AH27" i="18"/>
  <c r="AI27" i="18" s="1"/>
  <c r="BH27" i="18" s="1"/>
  <c r="AH28" i="18"/>
  <c r="AI28" i="18" s="1"/>
  <c r="BH28" i="18" s="1"/>
  <c r="AH31" i="18"/>
  <c r="AI31" i="18" s="1"/>
  <c r="BH31" i="18" s="1"/>
  <c r="AH32" i="18"/>
  <c r="AI32" i="18" s="1"/>
  <c r="BH32" i="18" s="1"/>
  <c r="AH33" i="18"/>
  <c r="AI33" i="18" s="1"/>
  <c r="BH33" i="18" s="1"/>
  <c r="AH34" i="18"/>
  <c r="AI34" i="18" s="1"/>
  <c r="BH34" i="18" s="1"/>
  <c r="AH35" i="18"/>
  <c r="AI35" i="18" s="1"/>
  <c r="BH35" i="18" s="1"/>
  <c r="AH36" i="18"/>
  <c r="AH37" i="18"/>
  <c r="AI37" i="18" s="1"/>
  <c r="BH37" i="18" s="1"/>
  <c r="AH38" i="18"/>
  <c r="AI38" i="18" s="1"/>
  <c r="BH38" i="18" s="1"/>
  <c r="AH39" i="18"/>
  <c r="AI39" i="18" s="1"/>
  <c r="BH39" i="18" s="1"/>
  <c r="AH40" i="18"/>
  <c r="AI40" i="18" s="1"/>
  <c r="BH40" i="18" s="1"/>
  <c r="AH41" i="18"/>
  <c r="AI41" i="18" s="1"/>
  <c r="BH41" i="18" s="1"/>
  <c r="AH42" i="18"/>
  <c r="AI42" i="18" s="1"/>
  <c r="BH42" i="18" s="1"/>
  <c r="AH47" i="18"/>
  <c r="AH48" i="18"/>
  <c r="AH50" i="18"/>
  <c r="AH11" i="18"/>
  <c r="AI11" i="18" s="1"/>
  <c r="BH11" i="18" s="1"/>
  <c r="AJ12" i="18"/>
  <c r="AK12" i="18" s="1"/>
  <c r="AJ13" i="18"/>
  <c r="AK13" i="18" s="1"/>
  <c r="AJ14" i="18"/>
  <c r="AK14" i="18" s="1"/>
  <c r="AJ15" i="18"/>
  <c r="AK15" i="18" s="1"/>
  <c r="AJ16" i="18"/>
  <c r="AK16" i="18" s="1"/>
  <c r="AJ17" i="18"/>
  <c r="AK17" i="18" s="1"/>
  <c r="AJ18" i="18"/>
  <c r="AK18" i="18" s="1"/>
  <c r="AJ19" i="18"/>
  <c r="AJ20" i="18"/>
  <c r="AK20" i="18" s="1"/>
  <c r="AJ21" i="18"/>
  <c r="AK21" i="18" s="1"/>
  <c r="AJ22" i="18"/>
  <c r="AK22" i="18" s="1"/>
  <c r="AJ23" i="18"/>
  <c r="AK23" i="18" s="1"/>
  <c r="AJ25" i="18"/>
  <c r="AK25" i="18" s="1"/>
  <c r="AJ26" i="18"/>
  <c r="AK26" i="18" s="1"/>
  <c r="AJ27" i="18"/>
  <c r="AK27" i="18" s="1"/>
  <c r="AJ28" i="18"/>
  <c r="AJ31" i="18"/>
  <c r="AK31" i="18" s="1"/>
  <c r="AJ32" i="18"/>
  <c r="AK32" i="18" s="1"/>
  <c r="AJ33" i="18"/>
  <c r="AK33" i="18" s="1"/>
  <c r="AJ34" i="18"/>
  <c r="AJ35" i="18"/>
  <c r="AK35" i="18" s="1"/>
  <c r="AJ36" i="18"/>
  <c r="AK36" i="18" s="1"/>
  <c r="AJ37" i="18"/>
  <c r="AK37" i="18" s="1"/>
  <c r="AJ38" i="18"/>
  <c r="AK38" i="18" s="1"/>
  <c r="AJ39" i="18"/>
  <c r="AK39" i="18" s="1"/>
  <c r="AJ40" i="18"/>
  <c r="AK40" i="18" s="1"/>
  <c r="AJ41" i="18"/>
  <c r="AK41" i="18" s="1"/>
  <c r="AJ42" i="18"/>
  <c r="AK42" i="18" s="1"/>
  <c r="AJ47" i="18"/>
  <c r="AJ48" i="18"/>
  <c r="AJ50" i="18"/>
  <c r="AJ11" i="18"/>
  <c r="AK11" i="18" s="1"/>
  <c r="AL12" i="18"/>
  <c r="AM12" i="18" s="1"/>
  <c r="AL13" i="18"/>
  <c r="AL14" i="18"/>
  <c r="AM14" i="18" s="1"/>
  <c r="AL15" i="18"/>
  <c r="AL16" i="18"/>
  <c r="AM16" i="18" s="1"/>
  <c r="AL17" i="18"/>
  <c r="AM17" i="18" s="1"/>
  <c r="AL18" i="18"/>
  <c r="AM18" i="18" s="1"/>
  <c r="AL19" i="18"/>
  <c r="AM19" i="18" s="1"/>
  <c r="AL20" i="18"/>
  <c r="AM20" i="18" s="1"/>
  <c r="AL21" i="18"/>
  <c r="AL22" i="18"/>
  <c r="AM22" i="18" s="1"/>
  <c r="AL23" i="18"/>
  <c r="AM23" i="18" s="1"/>
  <c r="AL24" i="18"/>
  <c r="AM24" i="18" s="1"/>
  <c r="AL25" i="18"/>
  <c r="AL26" i="18"/>
  <c r="AM26" i="18" s="1"/>
  <c r="AL27" i="18"/>
  <c r="AM27" i="18" s="1"/>
  <c r="AL28" i="18"/>
  <c r="AM28" i="18" s="1"/>
  <c r="AL31" i="18"/>
  <c r="AL32" i="18"/>
  <c r="AM32" i="18" s="1"/>
  <c r="AL33" i="18"/>
  <c r="AM33" i="18" s="1"/>
  <c r="AL34" i="18"/>
  <c r="AM34" i="18" s="1"/>
  <c r="AL35" i="18"/>
  <c r="AM35" i="18" s="1"/>
  <c r="AL36" i="18"/>
  <c r="AM36" i="18" s="1"/>
  <c r="AL37" i="18"/>
  <c r="AM37" i="18" s="1"/>
  <c r="AL38" i="18"/>
  <c r="AM38" i="18" s="1"/>
  <c r="AL39" i="18"/>
  <c r="AL40" i="18"/>
  <c r="AM40" i="18" s="1"/>
  <c r="AL41" i="18"/>
  <c r="AM41" i="18" s="1"/>
  <c r="AL42" i="18"/>
  <c r="AM42" i="18" s="1"/>
  <c r="AL47" i="18"/>
  <c r="AL48" i="18"/>
  <c r="AL50" i="18"/>
  <c r="AL11" i="18"/>
  <c r="AM11" i="18" s="1"/>
  <c r="AN12" i="18"/>
  <c r="AO12" i="18" s="1"/>
  <c r="AN13" i="18"/>
  <c r="AO13" i="18" s="1"/>
  <c r="AN14" i="18"/>
  <c r="AO14" i="18" s="1"/>
  <c r="AN15" i="18"/>
  <c r="AN16" i="18"/>
  <c r="AO16" i="18" s="1"/>
  <c r="AN17" i="18"/>
  <c r="AO17" i="18" s="1"/>
  <c r="AN18" i="18"/>
  <c r="AO18" i="18" s="1"/>
  <c r="AN19" i="18"/>
  <c r="AO19" i="18" s="1"/>
  <c r="AN20" i="18"/>
  <c r="AO20" i="18" s="1"/>
  <c r="AN21" i="18"/>
  <c r="AO21" i="18" s="1"/>
  <c r="AN22" i="18"/>
  <c r="AO22" i="18" s="1"/>
  <c r="AN23" i="18"/>
  <c r="AO23" i="18" s="1"/>
  <c r="AN25" i="18"/>
  <c r="AO25" i="18" s="1"/>
  <c r="AN26" i="18"/>
  <c r="AO26" i="18" s="1"/>
  <c r="AN27" i="18"/>
  <c r="AO27" i="18" s="1"/>
  <c r="AN28" i="18"/>
  <c r="AO28" i="18" s="1"/>
  <c r="AN31" i="18"/>
  <c r="AO31" i="18" s="1"/>
  <c r="AN32" i="18"/>
  <c r="AO32" i="18" s="1"/>
  <c r="AN33" i="18"/>
  <c r="AO33" i="18" s="1"/>
  <c r="AN34" i="18"/>
  <c r="AO34" i="18" s="1"/>
  <c r="AN35" i="18"/>
  <c r="AO35" i="18" s="1"/>
  <c r="AN36" i="18"/>
  <c r="AO36" i="18" s="1"/>
  <c r="AN37" i="18"/>
  <c r="AO37" i="18" s="1"/>
  <c r="AN38" i="18"/>
  <c r="AO38" i="18" s="1"/>
  <c r="AN39" i="18"/>
  <c r="AO39" i="18" s="1"/>
  <c r="AN40" i="18"/>
  <c r="AO40" i="18" s="1"/>
  <c r="AN41" i="18"/>
  <c r="AO41" i="18" s="1"/>
  <c r="AN42" i="18"/>
  <c r="AO42" i="18" s="1"/>
  <c r="AN47" i="18"/>
  <c r="AN48" i="18"/>
  <c r="AN50" i="18"/>
  <c r="AN11" i="18"/>
  <c r="AO11" i="18" s="1"/>
  <c r="AP12" i="18"/>
  <c r="AQ12" i="18" s="1"/>
  <c r="AP13" i="18"/>
  <c r="AQ13" i="18" s="1"/>
  <c r="AP14" i="18"/>
  <c r="AQ14" i="18" s="1"/>
  <c r="AP15" i="18"/>
  <c r="AQ15" i="18" s="1"/>
  <c r="AP16" i="18"/>
  <c r="AQ16" i="18" s="1"/>
  <c r="AP17" i="18"/>
  <c r="AQ17" i="18" s="1"/>
  <c r="AP18" i="18"/>
  <c r="AQ18" i="18" s="1"/>
  <c r="AP19" i="18"/>
  <c r="AQ19" i="18" s="1"/>
  <c r="AP20" i="18"/>
  <c r="AQ20" i="18" s="1"/>
  <c r="AP21" i="18"/>
  <c r="AQ21" i="18" s="1"/>
  <c r="AP22" i="18"/>
  <c r="AQ22" i="18" s="1"/>
  <c r="AP23" i="18"/>
  <c r="AQ23" i="18" s="1"/>
  <c r="AP24" i="18"/>
  <c r="AQ24" i="18" s="1"/>
  <c r="AP25" i="18"/>
  <c r="AQ25" i="18" s="1"/>
  <c r="AP26" i="18"/>
  <c r="AQ26" i="18" s="1"/>
  <c r="AP27" i="18"/>
  <c r="AQ27" i="18" s="1"/>
  <c r="AP28" i="18"/>
  <c r="AQ28" i="18" s="1"/>
  <c r="AP31" i="18"/>
  <c r="AQ31" i="18" s="1"/>
  <c r="AP32" i="18"/>
  <c r="AQ32" i="18" s="1"/>
  <c r="AP33" i="18"/>
  <c r="AQ33" i="18" s="1"/>
  <c r="AP34" i="18"/>
  <c r="AQ34" i="18" s="1"/>
  <c r="AP35" i="18"/>
  <c r="AQ35" i="18" s="1"/>
  <c r="AP36" i="18"/>
  <c r="AQ36" i="18" s="1"/>
  <c r="AP37" i="18"/>
  <c r="AQ37" i="18" s="1"/>
  <c r="AP38" i="18"/>
  <c r="AQ38" i="18" s="1"/>
  <c r="AP39" i="18"/>
  <c r="AQ39" i="18" s="1"/>
  <c r="AP40" i="18"/>
  <c r="AQ40" i="18" s="1"/>
  <c r="AP41" i="18"/>
  <c r="AQ41" i="18" s="1"/>
  <c r="AP42" i="18"/>
  <c r="AQ42" i="18" s="1"/>
  <c r="AP47" i="18"/>
  <c r="AP48" i="18"/>
  <c r="AP50" i="18"/>
  <c r="AP11" i="18"/>
  <c r="AQ11" i="18" s="1"/>
  <c r="AR12" i="18"/>
  <c r="AS12" i="18" s="1"/>
  <c r="AR13" i="18"/>
  <c r="AS13" i="18" s="1"/>
  <c r="AR14" i="18"/>
  <c r="AS14" i="18" s="1"/>
  <c r="AR15" i="18"/>
  <c r="AR16" i="18"/>
  <c r="AS16" i="18" s="1"/>
  <c r="AR17" i="18"/>
  <c r="AS17" i="18" s="1"/>
  <c r="AR18" i="18"/>
  <c r="AS18" i="18" s="1"/>
  <c r="AR19" i="18"/>
  <c r="AS19" i="18" s="1"/>
  <c r="AR20" i="18"/>
  <c r="AS20" i="18" s="1"/>
  <c r="AR21" i="18"/>
  <c r="AS21" i="18" s="1"/>
  <c r="AR22" i="18"/>
  <c r="AS22" i="18" s="1"/>
  <c r="AR23" i="18"/>
  <c r="AS23" i="18" s="1"/>
  <c r="AR24" i="18"/>
  <c r="AS24" i="18" s="1"/>
  <c r="AR25" i="18"/>
  <c r="AS25" i="18" s="1"/>
  <c r="AR26" i="18"/>
  <c r="AS26" i="18" s="1"/>
  <c r="AR27" i="18"/>
  <c r="AS27" i="18" s="1"/>
  <c r="AR28" i="18"/>
  <c r="AS28" i="18" s="1"/>
  <c r="AR31" i="18"/>
  <c r="AS31" i="18" s="1"/>
  <c r="AR32" i="18"/>
  <c r="AS32" i="18" s="1"/>
  <c r="AR33" i="18"/>
  <c r="AS33" i="18" s="1"/>
  <c r="AR34" i="18"/>
  <c r="AS34" i="18" s="1"/>
  <c r="AR35" i="18"/>
  <c r="AS35" i="18" s="1"/>
  <c r="AR36" i="18"/>
  <c r="AS36" i="18" s="1"/>
  <c r="AR37" i="18"/>
  <c r="AS37" i="18" s="1"/>
  <c r="AR38" i="18"/>
  <c r="AS38" i="18" s="1"/>
  <c r="AR39" i="18"/>
  <c r="AS39" i="18" s="1"/>
  <c r="AR40" i="18"/>
  <c r="AS40" i="18" s="1"/>
  <c r="AR41" i="18"/>
  <c r="AS41" i="18" s="1"/>
  <c r="AR42" i="18"/>
  <c r="AS42" i="18" s="1"/>
  <c r="AR47" i="18"/>
  <c r="AR48" i="18"/>
  <c r="AR50" i="18"/>
  <c r="AR11" i="18"/>
  <c r="AS11" i="18" s="1"/>
  <c r="AT8" i="18"/>
  <c r="AU8" i="18" s="1"/>
  <c r="AT12" i="18"/>
  <c r="AU12" i="18" s="1"/>
  <c r="AT13" i="18"/>
  <c r="AU13" i="18" s="1"/>
  <c r="AT14" i="18"/>
  <c r="AU14" i="18" s="1"/>
  <c r="AT15" i="18"/>
  <c r="AT16" i="18"/>
  <c r="AU16" i="18" s="1"/>
  <c r="AT17" i="18"/>
  <c r="AU17" i="18" s="1"/>
  <c r="AT18" i="18"/>
  <c r="AU18" i="18" s="1"/>
  <c r="AT19" i="18"/>
  <c r="AU19" i="18" s="1"/>
  <c r="AT20" i="18"/>
  <c r="AU20" i="18" s="1"/>
  <c r="AT21" i="18"/>
  <c r="AU21" i="18" s="1"/>
  <c r="AT22" i="18"/>
  <c r="AU22" i="18" s="1"/>
  <c r="AT23" i="18"/>
  <c r="AU23" i="18" s="1"/>
  <c r="AT24" i="18"/>
  <c r="AU24" i="18" s="1"/>
  <c r="AT25" i="18"/>
  <c r="AU25" i="18" s="1"/>
  <c r="AT26" i="18"/>
  <c r="AU26" i="18" s="1"/>
  <c r="AT27" i="18"/>
  <c r="AU27" i="18" s="1"/>
  <c r="AT28" i="18"/>
  <c r="AU28" i="18" s="1"/>
  <c r="AT31" i="18"/>
  <c r="AU31" i="18" s="1"/>
  <c r="AT32" i="18"/>
  <c r="AU32" i="18" s="1"/>
  <c r="AT33" i="18"/>
  <c r="AU33" i="18" s="1"/>
  <c r="AT34" i="18"/>
  <c r="AU34" i="18" s="1"/>
  <c r="AT35" i="18"/>
  <c r="AU35" i="18" s="1"/>
  <c r="AT36" i="18"/>
  <c r="AU36" i="18" s="1"/>
  <c r="AT37" i="18"/>
  <c r="AU37" i="18" s="1"/>
  <c r="AT38" i="18"/>
  <c r="AU38" i="18" s="1"/>
  <c r="AT39" i="18"/>
  <c r="AU39" i="18" s="1"/>
  <c r="AT40" i="18"/>
  <c r="AU40" i="18" s="1"/>
  <c r="AT41" i="18"/>
  <c r="AU41" i="18" s="1"/>
  <c r="AT42" i="18"/>
  <c r="AU42" i="18" s="1"/>
  <c r="AT47" i="18"/>
  <c r="AT48" i="18"/>
  <c r="AT50" i="18"/>
  <c r="AT11" i="18"/>
  <c r="AU11" i="18" s="1"/>
  <c r="AV8" i="18"/>
  <c r="AW8" i="18" s="1"/>
  <c r="AV12" i="18"/>
  <c r="AW12" i="18" s="1"/>
  <c r="AV13" i="18"/>
  <c r="AW13" i="18" s="1"/>
  <c r="AV14" i="18"/>
  <c r="AW14" i="18" s="1"/>
  <c r="AV15" i="18"/>
  <c r="AV16" i="18"/>
  <c r="AW16" i="18" s="1"/>
  <c r="AV17" i="18"/>
  <c r="AW17" i="18" s="1"/>
  <c r="AV18" i="18"/>
  <c r="AW18" i="18" s="1"/>
  <c r="AV19" i="18"/>
  <c r="AW19" i="18" s="1"/>
  <c r="AV20" i="18"/>
  <c r="AW20" i="18" s="1"/>
  <c r="AV21" i="18"/>
  <c r="AW21" i="18" s="1"/>
  <c r="AV22" i="18"/>
  <c r="AW22" i="18" s="1"/>
  <c r="AV23" i="18"/>
  <c r="AW23" i="18" s="1"/>
  <c r="AV24" i="18"/>
  <c r="AW24" i="18" s="1"/>
  <c r="AV25" i="18"/>
  <c r="AW25" i="18" s="1"/>
  <c r="AV26" i="18"/>
  <c r="AW26" i="18" s="1"/>
  <c r="AV27" i="18"/>
  <c r="AW27" i="18" s="1"/>
  <c r="AV28" i="18"/>
  <c r="AW28" i="18" s="1"/>
  <c r="AV31" i="18"/>
  <c r="AW31" i="18" s="1"/>
  <c r="AV32" i="18"/>
  <c r="AW32" i="18" s="1"/>
  <c r="AV33" i="18"/>
  <c r="AW33" i="18" s="1"/>
  <c r="AV34" i="18"/>
  <c r="AW34" i="18" s="1"/>
  <c r="AV35" i="18"/>
  <c r="AW35" i="18" s="1"/>
  <c r="AV36" i="18"/>
  <c r="AW36" i="18" s="1"/>
  <c r="AV37" i="18"/>
  <c r="AW37" i="18" s="1"/>
  <c r="AV38" i="18"/>
  <c r="AW38" i="18" s="1"/>
  <c r="AV39" i="18"/>
  <c r="AW39" i="18" s="1"/>
  <c r="AV40" i="18"/>
  <c r="AW40" i="18" s="1"/>
  <c r="AV41" i="18"/>
  <c r="AW41" i="18" s="1"/>
  <c r="AV42" i="18"/>
  <c r="AW42" i="18" s="1"/>
  <c r="AV47" i="18"/>
  <c r="AV48" i="18"/>
  <c r="AV50" i="18"/>
  <c r="AV11" i="18"/>
  <c r="AW11" i="18" s="1"/>
  <c r="AX8" i="18"/>
  <c r="AY8" i="18" s="1"/>
  <c r="AX12" i="18"/>
  <c r="AY12" i="18" s="1"/>
  <c r="AX13" i="18"/>
  <c r="AY13" i="18" s="1"/>
  <c r="AX14" i="18"/>
  <c r="AY14" i="18" s="1"/>
  <c r="AX15" i="18"/>
  <c r="AX16" i="18"/>
  <c r="AY16" i="18" s="1"/>
  <c r="AX17" i="18"/>
  <c r="AY17" i="18" s="1"/>
  <c r="AX18" i="18"/>
  <c r="AY18" i="18" s="1"/>
  <c r="AX19" i="18"/>
  <c r="AY19" i="18" s="1"/>
  <c r="AX20" i="18"/>
  <c r="AY20" i="18" s="1"/>
  <c r="AX21" i="18"/>
  <c r="AY21" i="18" s="1"/>
  <c r="AX22" i="18"/>
  <c r="AY22" i="18" s="1"/>
  <c r="AX23" i="18"/>
  <c r="AY23" i="18" s="1"/>
  <c r="AX24" i="18"/>
  <c r="AY24" i="18" s="1"/>
  <c r="AX25" i="18"/>
  <c r="AY25" i="18" s="1"/>
  <c r="AX26" i="18"/>
  <c r="AY26" i="18" s="1"/>
  <c r="AX27" i="18"/>
  <c r="AY27" i="18" s="1"/>
  <c r="AX28" i="18"/>
  <c r="AY28" i="18" s="1"/>
  <c r="AX31" i="18"/>
  <c r="AY31" i="18" s="1"/>
  <c r="AX32" i="18"/>
  <c r="AY32" i="18" s="1"/>
  <c r="AX33" i="18"/>
  <c r="AY33" i="18" s="1"/>
  <c r="AX34" i="18"/>
  <c r="AY34" i="18" s="1"/>
  <c r="AX35" i="18"/>
  <c r="AY35" i="18" s="1"/>
  <c r="AX36" i="18"/>
  <c r="AY36" i="18" s="1"/>
  <c r="AX37" i="18"/>
  <c r="AY37" i="18" s="1"/>
  <c r="AX38" i="18"/>
  <c r="AY38" i="18" s="1"/>
  <c r="AX39" i="18"/>
  <c r="AY39" i="18" s="1"/>
  <c r="AX40" i="18"/>
  <c r="AY40" i="18" s="1"/>
  <c r="AX41" i="18"/>
  <c r="AY41" i="18" s="1"/>
  <c r="AX42" i="18"/>
  <c r="AY42" i="18" s="1"/>
  <c r="AX47" i="18"/>
  <c r="AX48" i="18"/>
  <c r="AX50" i="18"/>
  <c r="AX11" i="18"/>
  <c r="AY11" i="18" s="1"/>
  <c r="AZ8" i="18"/>
  <c r="BA8" i="18" s="1"/>
  <c r="AZ12" i="18"/>
  <c r="BA12" i="18" s="1"/>
  <c r="AZ13" i="18"/>
  <c r="BA13" i="18" s="1"/>
  <c r="AZ14" i="18"/>
  <c r="BA14" i="18" s="1"/>
  <c r="AZ15" i="18"/>
  <c r="BA15" i="18" s="1"/>
  <c r="AZ16" i="18"/>
  <c r="BA16" i="18" s="1"/>
  <c r="AZ17" i="18"/>
  <c r="BA17" i="18" s="1"/>
  <c r="AZ18" i="18"/>
  <c r="BA18" i="18" s="1"/>
  <c r="AZ19" i="18"/>
  <c r="BA19" i="18" s="1"/>
  <c r="AZ20" i="18"/>
  <c r="BA20" i="18" s="1"/>
  <c r="AZ21" i="18"/>
  <c r="BA21" i="18" s="1"/>
  <c r="AZ22" i="18"/>
  <c r="BA22" i="18" s="1"/>
  <c r="AZ23" i="18"/>
  <c r="BA23" i="18" s="1"/>
  <c r="AZ24" i="18"/>
  <c r="BA24" i="18" s="1"/>
  <c r="AZ25" i="18"/>
  <c r="BA25" i="18" s="1"/>
  <c r="AZ26" i="18"/>
  <c r="BA26" i="18" s="1"/>
  <c r="AZ27" i="18"/>
  <c r="BA27" i="18" s="1"/>
  <c r="AZ28" i="18"/>
  <c r="BA28" i="18" s="1"/>
  <c r="AZ31" i="18"/>
  <c r="BA31" i="18" s="1"/>
  <c r="AZ32" i="18"/>
  <c r="BA32" i="18" s="1"/>
  <c r="AZ33" i="18"/>
  <c r="BA33" i="18" s="1"/>
  <c r="AZ34" i="18"/>
  <c r="BA34" i="18" s="1"/>
  <c r="AZ35" i="18"/>
  <c r="BA35" i="18" s="1"/>
  <c r="AZ36" i="18"/>
  <c r="BA36" i="18" s="1"/>
  <c r="AZ37" i="18"/>
  <c r="BA37" i="18" s="1"/>
  <c r="AZ38" i="18"/>
  <c r="BA38" i="18" s="1"/>
  <c r="AZ39" i="18"/>
  <c r="BA39" i="18" s="1"/>
  <c r="AZ40" i="18"/>
  <c r="BA40" i="18" s="1"/>
  <c r="AZ41" i="18"/>
  <c r="BA41" i="18" s="1"/>
  <c r="AZ42" i="18"/>
  <c r="BA42" i="18" s="1"/>
  <c r="AZ47" i="18"/>
  <c r="AZ48" i="18"/>
  <c r="AZ50" i="18"/>
  <c r="AZ11" i="18"/>
  <c r="BA11" i="18" s="1"/>
  <c r="B7" i="18"/>
  <c r="C7" i="18" s="1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8" i="18"/>
  <c r="C39" i="18"/>
  <c r="C40" i="18"/>
  <c r="C41" i="18"/>
  <c r="C42" i="18"/>
  <c r="B2" i="18"/>
  <c r="I196" i="1"/>
  <c r="AB7" i="10"/>
  <c r="E162" i="1"/>
  <c r="E195" i="1" s="1"/>
  <c r="I194" i="1"/>
  <c r="I193" i="1"/>
  <c r="AB3" i="10"/>
  <c r="E9" i="4"/>
  <c r="G9" i="4" s="1"/>
  <c r="E14" i="4"/>
  <c r="G14" i="4" s="1"/>
  <c r="E15" i="4"/>
  <c r="G15" i="4" s="1"/>
  <c r="E16" i="4"/>
  <c r="G16" i="4" s="1"/>
  <c r="E17" i="4"/>
  <c r="G17" i="4" s="1"/>
  <c r="E18" i="4"/>
  <c r="G18" i="4" s="1"/>
  <c r="E19" i="4"/>
  <c r="G19" i="4" s="1"/>
  <c r="E20" i="4"/>
  <c r="G20" i="4" s="1"/>
  <c r="E21" i="4"/>
  <c r="G21" i="4" s="1"/>
  <c r="E22" i="4"/>
  <c r="G22" i="4" s="1"/>
  <c r="E23" i="4"/>
  <c r="G23" i="4" s="1"/>
  <c r="E24" i="4"/>
  <c r="E25" i="4"/>
  <c r="G25" i="4" s="1"/>
  <c r="E26" i="4"/>
  <c r="G26" i="4" s="1"/>
  <c r="E27" i="4"/>
  <c r="G27" i="4" s="1"/>
  <c r="E28" i="4"/>
  <c r="G28" i="4" s="1"/>
  <c r="E29" i="4"/>
  <c r="G29" i="4" s="1"/>
  <c r="E30" i="4"/>
  <c r="G30" i="4" s="1"/>
  <c r="E31" i="4"/>
  <c r="G31" i="4" s="1"/>
  <c r="E32" i="4"/>
  <c r="E33" i="4"/>
  <c r="G33" i="4" s="1"/>
  <c r="E34" i="4"/>
  <c r="G34" i="4" s="1"/>
  <c r="E35" i="4"/>
  <c r="G35" i="4" s="1"/>
  <c r="E36" i="4"/>
  <c r="G36" i="4" s="1"/>
  <c r="E37" i="4"/>
  <c r="G37" i="4" s="1"/>
  <c r="E38" i="4"/>
  <c r="G38" i="4" s="1"/>
  <c r="E39" i="4"/>
  <c r="G39" i="4" s="1"/>
  <c r="E40" i="4"/>
  <c r="E41" i="4"/>
  <c r="G41" i="4" s="1"/>
  <c r="E42" i="4"/>
  <c r="G42" i="4" s="1"/>
  <c r="E46" i="4"/>
  <c r="E47" i="4"/>
  <c r="E11" i="4" s="1"/>
  <c r="M46" i="6"/>
  <c r="E48" i="4" s="1"/>
  <c r="E49" i="5"/>
  <c r="I49" i="5" s="1"/>
  <c r="E50" i="5"/>
  <c r="E50" i="4" s="1"/>
  <c r="G50" i="4" s="1"/>
  <c r="E47" i="5"/>
  <c r="E11" i="5" s="1"/>
  <c r="F11" i="5" s="1"/>
  <c r="BI11" i="18" s="1"/>
  <c r="E13" i="5"/>
  <c r="E14" i="5"/>
  <c r="E15" i="5"/>
  <c r="F76" i="5"/>
  <c r="E16" i="5"/>
  <c r="F16" i="5" s="1"/>
  <c r="E17" i="5"/>
  <c r="F17" i="5" s="1"/>
  <c r="E18" i="5"/>
  <c r="F18" i="5" s="1"/>
  <c r="E19" i="5"/>
  <c r="F19" i="5" s="1"/>
  <c r="BI19" i="18" s="1"/>
  <c r="E20" i="5"/>
  <c r="F20" i="5" s="1"/>
  <c r="E21" i="5"/>
  <c r="F21" i="5" s="1"/>
  <c r="E22" i="5"/>
  <c r="F22" i="5" s="1"/>
  <c r="E23" i="5"/>
  <c r="F23" i="5" s="1"/>
  <c r="BI23" i="18" s="1"/>
  <c r="BJ96" i="18" s="1"/>
  <c r="E24" i="5"/>
  <c r="E25" i="5"/>
  <c r="F25" i="5" s="1"/>
  <c r="BI25" i="18" s="1"/>
  <c r="E26" i="5"/>
  <c r="BN26" i="18" s="1"/>
  <c r="E27" i="5"/>
  <c r="BN27" i="18" s="1"/>
  <c r="E28" i="5"/>
  <c r="E29" i="5"/>
  <c r="F29" i="5" s="1"/>
  <c r="BI29" i="18" s="1"/>
  <c r="E30" i="5"/>
  <c r="BN30" i="18" s="1"/>
  <c r="E31" i="5"/>
  <c r="E32" i="5"/>
  <c r="F32" i="5" s="1"/>
  <c r="BI32" i="18" s="1"/>
  <c r="E33" i="5"/>
  <c r="F33" i="5" s="1"/>
  <c r="BI33" i="18" s="1"/>
  <c r="E34" i="5"/>
  <c r="F34" i="5" s="1"/>
  <c r="E35" i="5"/>
  <c r="BN35" i="18" s="1"/>
  <c r="E36" i="5"/>
  <c r="F36" i="5" s="1"/>
  <c r="E37" i="5"/>
  <c r="BN37" i="18" s="1"/>
  <c r="E38" i="5"/>
  <c r="E39" i="5"/>
  <c r="BN39" i="18" s="1"/>
  <c r="E40" i="5"/>
  <c r="F40" i="5" s="1"/>
  <c r="E41" i="5"/>
  <c r="F41" i="5" s="1"/>
  <c r="E42" i="5"/>
  <c r="F42" i="5" s="1"/>
  <c r="E46" i="5"/>
  <c r="E48" i="5"/>
  <c r="AO18" i="31"/>
  <c r="AN18" i="34" s="1"/>
  <c r="AO20" i="31"/>
  <c r="AN20" i="34" s="1"/>
  <c r="AO21" i="31"/>
  <c r="AN21" i="34" s="1"/>
  <c r="AO47" i="31"/>
  <c r="AN44" i="34" s="1"/>
  <c r="AN5" i="34"/>
  <c r="AN6" i="34"/>
  <c r="AN30" i="34"/>
  <c r="AN46" i="34"/>
  <c r="AN19" i="34"/>
  <c r="L14" i="6"/>
  <c r="L15" i="6"/>
  <c r="P14" i="32" s="1"/>
  <c r="L16" i="6"/>
  <c r="P16" i="6" s="1"/>
  <c r="L17" i="6"/>
  <c r="P31" i="32" s="1"/>
  <c r="L18" i="6"/>
  <c r="P18" i="6" s="1"/>
  <c r="L19" i="6"/>
  <c r="P19" i="6" s="1"/>
  <c r="L20" i="6"/>
  <c r="L21" i="6"/>
  <c r="P28" i="32" s="1"/>
  <c r="L22" i="6"/>
  <c r="P22" i="6" s="1"/>
  <c r="P38" i="32"/>
  <c r="L24" i="6"/>
  <c r="P24" i="6" s="1"/>
  <c r="L25" i="6"/>
  <c r="P25" i="6" s="1"/>
  <c r="L26" i="6"/>
  <c r="P30" i="32" s="1"/>
  <c r="L27" i="6"/>
  <c r="P12" i="32" s="1"/>
  <c r="L28" i="6"/>
  <c r="L29" i="6"/>
  <c r="L30" i="6"/>
  <c r="L31" i="6"/>
  <c r="P31" i="6" s="1"/>
  <c r="L32" i="6"/>
  <c r="P32" i="6" s="1"/>
  <c r="L34" i="6"/>
  <c r="L35" i="6"/>
  <c r="P35" i="6" s="1"/>
  <c r="L36" i="6"/>
  <c r="P36" i="6" s="1"/>
  <c r="L37" i="6"/>
  <c r="L38" i="6"/>
  <c r="L12" i="6"/>
  <c r="L13" i="6"/>
  <c r="P13" i="6" s="1"/>
  <c r="L7" i="6"/>
  <c r="I125" i="1" s="1"/>
  <c r="E15" i="1" s="1"/>
  <c r="L8" i="6"/>
  <c r="I126" i="1" s="1"/>
  <c r="F15" i="1" s="1"/>
  <c r="AN8" i="34"/>
  <c r="AN9" i="34"/>
  <c r="E90" i="1"/>
  <c r="K90" i="1" s="1"/>
  <c r="V90" i="1" s="1"/>
  <c r="I89" i="1"/>
  <c r="I114" i="1" s="1"/>
  <c r="I85" i="1"/>
  <c r="I187" i="1" s="1"/>
  <c r="E86" i="1"/>
  <c r="K86" i="1" s="1"/>
  <c r="V86" i="1" s="1"/>
  <c r="BC5" i="15"/>
  <c r="BC29" i="15"/>
  <c r="BY5" i="15"/>
  <c r="BY84" i="15" s="1"/>
  <c r="C52" i="24" s="1"/>
  <c r="BY29" i="15"/>
  <c r="I112" i="1"/>
  <c r="E74" i="1"/>
  <c r="K74" i="1" s="1"/>
  <c r="K110" i="1" s="1"/>
  <c r="E73" i="1"/>
  <c r="E109" i="1" s="1"/>
  <c r="I185" i="1"/>
  <c r="AB187" i="9"/>
  <c r="AM187" i="9"/>
  <c r="AB186" i="9"/>
  <c r="AM186" i="9"/>
  <c r="AB184" i="9"/>
  <c r="AM32" i="9"/>
  <c r="AM184" i="9" s="1"/>
  <c r="I59" i="1"/>
  <c r="I105" i="1" s="1"/>
  <c r="AB183" i="9"/>
  <c r="AB201" i="9" s="1"/>
  <c r="AM11" i="9"/>
  <c r="G15" i="44" s="1"/>
  <c r="I56" i="1"/>
  <c r="I181" i="1" s="1"/>
  <c r="AB7" i="9"/>
  <c r="AB182" i="9" s="1"/>
  <c r="AM7" i="9"/>
  <c r="I103" i="1"/>
  <c r="AB179" i="9"/>
  <c r="AM179" i="9"/>
  <c r="AB178" i="9"/>
  <c r="AM178" i="9"/>
  <c r="AB177" i="9"/>
  <c r="AM177" i="9"/>
  <c r="AB176" i="9"/>
  <c r="AM176" i="9"/>
  <c r="AB175" i="9"/>
  <c r="AM175" i="9"/>
  <c r="I47" i="1"/>
  <c r="L47" i="1" s="1"/>
  <c r="AB173" i="9"/>
  <c r="AM173" i="9"/>
  <c r="K45" i="1"/>
  <c r="V45" i="1" s="1"/>
  <c r="AM172" i="9"/>
  <c r="AB170" i="9"/>
  <c r="AM171" i="9"/>
  <c r="AM170" i="9"/>
  <c r="I42" i="1"/>
  <c r="D7" i="1" s="1"/>
  <c r="G7" i="1" s="1"/>
  <c r="AB168" i="9"/>
  <c r="AM168" i="9"/>
  <c r="AB167" i="9"/>
  <c r="AM167" i="9"/>
  <c r="AB166" i="9"/>
  <c r="AM166" i="9"/>
  <c r="AB165" i="9"/>
  <c r="AM165" i="9"/>
  <c r="AB164" i="9"/>
  <c r="AM164" i="9"/>
  <c r="I34" i="1"/>
  <c r="I33" i="1" s="1"/>
  <c r="C1" i="21"/>
  <c r="C2" i="21"/>
  <c r="M70" i="21" s="1"/>
  <c r="AB21" i="16"/>
  <c r="AB31" i="16"/>
  <c r="AB120" i="16" s="1"/>
  <c r="AB33" i="16"/>
  <c r="AB121" i="16" s="1"/>
  <c r="N81" i="16"/>
  <c r="N3" i="16" s="1"/>
  <c r="N4" i="16"/>
  <c r="N5" i="16"/>
  <c r="N6" i="16"/>
  <c r="N7" i="16"/>
  <c r="N70" i="16"/>
  <c r="N71" i="16"/>
  <c r="N62" i="16"/>
  <c r="N63" i="16"/>
  <c r="AA7" i="35"/>
  <c r="AA18" i="35"/>
  <c r="AA19" i="35"/>
  <c r="AA20" i="35"/>
  <c r="Y4" i="38"/>
  <c r="Y14" i="38"/>
  <c r="Y35" i="38"/>
  <c r="BA3" i="35"/>
  <c r="BA4" i="35"/>
  <c r="BA5" i="35"/>
  <c r="BA6" i="35"/>
  <c r="BA7" i="35"/>
  <c r="BA10" i="35"/>
  <c r="BA11" i="35"/>
  <c r="M15" i="12" s="1"/>
  <c r="BA12" i="35"/>
  <c r="M20" i="12" s="1"/>
  <c r="BA13" i="35"/>
  <c r="M16" i="12" s="1"/>
  <c r="BA14" i="35"/>
  <c r="M18" i="12" s="1"/>
  <c r="BA15" i="35"/>
  <c r="M17" i="12" s="1"/>
  <c r="BA16" i="35"/>
  <c r="M24" i="12" s="1"/>
  <c r="BA17" i="35"/>
  <c r="BA18" i="35"/>
  <c r="BA19" i="35"/>
  <c r="M8" i="12" s="1"/>
  <c r="BA20" i="35"/>
  <c r="BA21" i="35"/>
  <c r="M31" i="12" s="1"/>
  <c r="BA22" i="35"/>
  <c r="M7" i="12" s="1"/>
  <c r="BA23" i="35"/>
  <c r="M10" i="12" s="1"/>
  <c r="BA24" i="35"/>
  <c r="M9" i="12" s="1"/>
  <c r="BA25" i="35"/>
  <c r="M29" i="12" s="1"/>
  <c r="BA26" i="35"/>
  <c r="M30" i="12" s="1"/>
  <c r="BA27" i="35"/>
  <c r="M32" i="12" s="1"/>
  <c r="BA28" i="35"/>
  <c r="M22" i="12" s="1"/>
  <c r="BA29" i="35"/>
  <c r="M25" i="12" s="1"/>
  <c r="BA30" i="35"/>
  <c r="M23" i="12" s="1"/>
  <c r="BA31" i="35"/>
  <c r="M27" i="12" s="1"/>
  <c r="BA32" i="35"/>
  <c r="M26" i="12" s="1"/>
  <c r="BA33" i="35"/>
  <c r="M12" i="12" s="1"/>
  <c r="BA34" i="35"/>
  <c r="BA35" i="35"/>
  <c r="BA36" i="35"/>
  <c r="H3" i="35"/>
  <c r="L3" i="35"/>
  <c r="O3" i="35"/>
  <c r="P3" i="35"/>
  <c r="D3" i="16"/>
  <c r="D4" i="16"/>
  <c r="D5" i="16"/>
  <c r="D6" i="16"/>
  <c r="D7" i="16"/>
  <c r="D70" i="16"/>
  <c r="D13" i="16" s="1"/>
  <c r="D62" i="16"/>
  <c r="D63" i="16"/>
  <c r="E3" i="16"/>
  <c r="E4" i="16"/>
  <c r="E5" i="16"/>
  <c r="E6" i="16"/>
  <c r="E7" i="16"/>
  <c r="E70" i="16"/>
  <c r="E13" i="16" s="1"/>
  <c r="E62" i="16"/>
  <c r="E63" i="16"/>
  <c r="F3" i="16"/>
  <c r="F4" i="16"/>
  <c r="F5" i="16"/>
  <c r="F6" i="16"/>
  <c r="F7" i="16"/>
  <c r="F70" i="16"/>
  <c r="F18" i="16" s="1"/>
  <c r="F62" i="16"/>
  <c r="F63" i="16"/>
  <c r="G3" i="16"/>
  <c r="G4" i="16"/>
  <c r="G5" i="16"/>
  <c r="G6" i="16"/>
  <c r="G7" i="16"/>
  <c r="G70" i="16"/>
  <c r="G13" i="16" s="1"/>
  <c r="G62" i="16"/>
  <c r="G63" i="16"/>
  <c r="H3" i="16"/>
  <c r="H4" i="16"/>
  <c r="H5" i="16"/>
  <c r="H6" i="16"/>
  <c r="H7" i="16"/>
  <c r="H70" i="16"/>
  <c r="H13" i="16" s="1"/>
  <c r="H62" i="16"/>
  <c r="H63" i="16"/>
  <c r="I3" i="16"/>
  <c r="I4" i="16"/>
  <c r="I5" i="16"/>
  <c r="I6" i="16"/>
  <c r="I7" i="16"/>
  <c r="I90" i="16"/>
  <c r="I70" i="16"/>
  <c r="I62" i="16"/>
  <c r="I63" i="16"/>
  <c r="J3" i="16"/>
  <c r="J4" i="16"/>
  <c r="J5" i="16"/>
  <c r="J6" i="16"/>
  <c r="J7" i="16"/>
  <c r="J70" i="16"/>
  <c r="J71" i="16"/>
  <c r="J61" i="16" s="1"/>
  <c r="J62" i="16"/>
  <c r="J63" i="16"/>
  <c r="K3" i="16"/>
  <c r="K4" i="16"/>
  <c r="K5" i="16"/>
  <c r="K6" i="16"/>
  <c r="K7" i="16"/>
  <c r="K70" i="16"/>
  <c r="J14" i="8"/>
  <c r="K71" i="16" s="1"/>
  <c r="K62" i="16"/>
  <c r="K63" i="16"/>
  <c r="L3" i="16"/>
  <c r="L4" i="16"/>
  <c r="L5" i="16"/>
  <c r="L6" i="16"/>
  <c r="L7" i="16"/>
  <c r="L70" i="16"/>
  <c r="L71" i="16"/>
  <c r="L61" i="16" s="1"/>
  <c r="L62" i="16"/>
  <c r="L63" i="16"/>
  <c r="M3" i="16"/>
  <c r="M4" i="16"/>
  <c r="M5" i="16"/>
  <c r="M6" i="16"/>
  <c r="M7" i="16"/>
  <c r="M70" i="16"/>
  <c r="M71" i="16"/>
  <c r="M61" i="16" s="1"/>
  <c r="M62" i="16"/>
  <c r="M63" i="16"/>
  <c r="Z5" i="35"/>
  <c r="E7" i="35"/>
  <c r="H7" i="35"/>
  <c r="J7" i="35"/>
  <c r="K7" i="35"/>
  <c r="L7" i="35"/>
  <c r="N7" i="35"/>
  <c r="O7" i="35"/>
  <c r="P7" i="35"/>
  <c r="Q7" i="35"/>
  <c r="R7" i="35"/>
  <c r="S7" i="35"/>
  <c r="T7" i="35"/>
  <c r="U7" i="35"/>
  <c r="V7" i="35"/>
  <c r="W7" i="35"/>
  <c r="X7" i="35"/>
  <c r="Y7" i="35"/>
  <c r="Z7" i="35"/>
  <c r="Q17" i="35"/>
  <c r="R17" i="35"/>
  <c r="S17" i="35"/>
  <c r="E18" i="35"/>
  <c r="F18" i="35"/>
  <c r="Q18" i="35"/>
  <c r="R18" i="35"/>
  <c r="S18" i="35"/>
  <c r="T18" i="35"/>
  <c r="U18" i="35"/>
  <c r="V18" i="35"/>
  <c r="W18" i="35"/>
  <c r="X18" i="35"/>
  <c r="Y18" i="35"/>
  <c r="Z18" i="35"/>
  <c r="Q19" i="35"/>
  <c r="R19" i="35"/>
  <c r="S19" i="35"/>
  <c r="T19" i="35"/>
  <c r="U19" i="35"/>
  <c r="V19" i="35"/>
  <c r="W19" i="35"/>
  <c r="X19" i="35"/>
  <c r="Y19" i="35"/>
  <c r="Z19" i="35"/>
  <c r="Q20" i="35"/>
  <c r="R20" i="35"/>
  <c r="S20" i="35"/>
  <c r="T20" i="35"/>
  <c r="U20" i="35"/>
  <c r="V20" i="35"/>
  <c r="W20" i="35"/>
  <c r="X20" i="35"/>
  <c r="Y20" i="35"/>
  <c r="Z20" i="35"/>
  <c r="G22" i="35"/>
  <c r="G38" i="35" s="1"/>
  <c r="I22" i="35"/>
  <c r="Q26" i="35"/>
  <c r="E4" i="38"/>
  <c r="E14" i="38"/>
  <c r="E23" i="38"/>
  <c r="E35" i="38"/>
  <c r="Q40" i="35"/>
  <c r="G4" i="38"/>
  <c r="G14" i="38"/>
  <c r="G23" i="38"/>
  <c r="G35" i="38"/>
  <c r="R40" i="35"/>
  <c r="I4" i="38"/>
  <c r="I14" i="38"/>
  <c r="I23" i="38"/>
  <c r="I35" i="38"/>
  <c r="S40" i="35"/>
  <c r="K4" i="38"/>
  <c r="K14" i="38"/>
  <c r="K23" i="38"/>
  <c r="K35" i="38"/>
  <c r="T40" i="35"/>
  <c r="M4" i="38"/>
  <c r="M14" i="38"/>
  <c r="M23" i="38"/>
  <c r="M35" i="38"/>
  <c r="U40" i="35"/>
  <c r="O4" i="38"/>
  <c r="O14" i="38"/>
  <c r="O35" i="38"/>
  <c r="Q4" i="38"/>
  <c r="Q14" i="38"/>
  <c r="Q35" i="38"/>
  <c r="S4" i="38"/>
  <c r="S14" i="38"/>
  <c r="S35" i="38"/>
  <c r="X40" i="35"/>
  <c r="U4" i="38"/>
  <c r="U14" i="38"/>
  <c r="U35" i="38"/>
  <c r="W4" i="38"/>
  <c r="W14" i="38"/>
  <c r="W35" i="38"/>
  <c r="BA37" i="35"/>
  <c r="BB37" i="35"/>
  <c r="BC37" i="35"/>
  <c r="E38" i="35"/>
  <c r="F38" i="35"/>
  <c r="H38" i="35"/>
  <c r="I38" i="35"/>
  <c r="J38" i="35"/>
  <c r="K38" i="35"/>
  <c r="L38" i="35"/>
  <c r="M38" i="35"/>
  <c r="N38" i="35"/>
  <c r="O38" i="35"/>
  <c r="Q38" i="35"/>
  <c r="C46" i="35"/>
  <c r="C41" i="35" s="1"/>
  <c r="D46" i="35"/>
  <c r="D41" i="35" s="1"/>
  <c r="E46" i="35"/>
  <c r="E41" i="35" s="1"/>
  <c r="F46" i="35"/>
  <c r="F41" i="35" s="1"/>
  <c r="G46" i="35"/>
  <c r="G41" i="35" s="1"/>
  <c r="H46" i="35"/>
  <c r="H41" i="35" s="1"/>
  <c r="I46" i="35"/>
  <c r="I41" i="35" s="1"/>
  <c r="J46" i="35"/>
  <c r="J41" i="35" s="1"/>
  <c r="K46" i="35"/>
  <c r="K41" i="35" s="1"/>
  <c r="L46" i="35"/>
  <c r="L41" i="35" s="1"/>
  <c r="M46" i="35"/>
  <c r="M41" i="35" s="1"/>
  <c r="N46" i="35"/>
  <c r="N41" i="35" s="1"/>
  <c r="O46" i="35"/>
  <c r="O41" i="35" s="1"/>
  <c r="P46" i="35"/>
  <c r="P41" i="35" s="1"/>
  <c r="Q46" i="35"/>
  <c r="Q41" i="35" s="1"/>
  <c r="R46" i="35"/>
  <c r="S46" i="35"/>
  <c r="T46" i="35"/>
  <c r="U46" i="35"/>
  <c r="V46" i="35"/>
  <c r="W46" i="35"/>
  <c r="X46" i="35"/>
  <c r="B3" i="35"/>
  <c r="B5" i="35"/>
  <c r="B6" i="35"/>
  <c r="B7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2" i="35"/>
  <c r="B33" i="35"/>
  <c r="B34" i="35"/>
  <c r="B35" i="35"/>
  <c r="B36" i="35"/>
  <c r="B37" i="35"/>
  <c r="B38" i="35"/>
  <c r="B39" i="35"/>
  <c r="B41" i="35"/>
  <c r="AB15" i="16"/>
  <c r="AB19" i="16"/>
  <c r="AB30" i="16"/>
  <c r="R158" i="1"/>
  <c r="N158" i="1" s="1"/>
  <c r="M193" i="1" s="1"/>
  <c r="AA3" i="10"/>
  <c r="R159" i="1"/>
  <c r="N159" i="1" s="1"/>
  <c r="M194" i="1" s="1"/>
  <c r="B44" i="34"/>
  <c r="B5" i="34"/>
  <c r="B6" i="34"/>
  <c r="B30" i="34"/>
  <c r="C44" i="34"/>
  <c r="C5" i="34"/>
  <c r="C6" i="34"/>
  <c r="C30" i="34"/>
  <c r="D44" i="34"/>
  <c r="D5" i="34"/>
  <c r="D6" i="34"/>
  <c r="D30" i="34"/>
  <c r="C5" i="15"/>
  <c r="C29" i="15"/>
  <c r="E5" i="15"/>
  <c r="E29" i="15"/>
  <c r="G5" i="15"/>
  <c r="G29" i="15"/>
  <c r="I5" i="15"/>
  <c r="I29" i="15"/>
  <c r="K5" i="15"/>
  <c r="K29" i="15"/>
  <c r="M5" i="15"/>
  <c r="M29" i="15"/>
  <c r="O5" i="15"/>
  <c r="O29" i="15"/>
  <c r="Q5" i="15"/>
  <c r="Q29" i="15"/>
  <c r="S5" i="15"/>
  <c r="S29" i="15"/>
  <c r="U5" i="15"/>
  <c r="U29" i="15"/>
  <c r="W5" i="15"/>
  <c r="W29" i="15"/>
  <c r="Y5" i="15"/>
  <c r="Y29" i="15"/>
  <c r="AA5" i="15"/>
  <c r="AA29" i="15"/>
  <c r="AC5" i="15"/>
  <c r="AC29" i="15"/>
  <c r="AE5" i="15"/>
  <c r="AE29" i="15"/>
  <c r="AG5" i="15"/>
  <c r="AG29" i="15"/>
  <c r="AI5" i="15"/>
  <c r="AI29" i="15"/>
  <c r="AK5" i="15"/>
  <c r="AK29" i="15"/>
  <c r="AO5" i="15"/>
  <c r="AO29" i="15"/>
  <c r="AQ5" i="15"/>
  <c r="AQ29" i="15"/>
  <c r="AS5" i="15"/>
  <c r="AS29" i="15"/>
  <c r="AU5" i="15"/>
  <c r="AU29" i="15"/>
  <c r="AW5" i="15"/>
  <c r="AW29" i="15"/>
  <c r="AY5" i="15"/>
  <c r="AY29" i="15"/>
  <c r="BA5" i="15"/>
  <c r="BA29" i="15"/>
  <c r="BE5" i="15"/>
  <c r="BE84" i="15" s="1"/>
  <c r="C42" i="24" s="1"/>
  <c r="BE29" i="15"/>
  <c r="BG5" i="15"/>
  <c r="BG84" i="15" s="1"/>
  <c r="C43" i="24" s="1"/>
  <c r="BG29" i="15"/>
  <c r="BI5" i="15"/>
  <c r="BI84" i="15" s="1"/>
  <c r="C44" i="24" s="1"/>
  <c r="BI29" i="15"/>
  <c r="BK5" i="15"/>
  <c r="BK29" i="15"/>
  <c r="BM5" i="15"/>
  <c r="BM84" i="15" s="1"/>
  <c r="C46" i="24" s="1"/>
  <c r="BM29" i="15"/>
  <c r="BO5" i="15"/>
  <c r="BO29" i="15"/>
  <c r="BQ5" i="15"/>
  <c r="BQ29" i="15"/>
  <c r="BS5" i="15"/>
  <c r="BS29" i="15"/>
  <c r="BU5" i="15"/>
  <c r="BU29" i="15"/>
  <c r="BW5" i="15"/>
  <c r="BW84" i="15" s="1"/>
  <c r="C51" i="24" s="1"/>
  <c r="BW29" i="15"/>
  <c r="CA5" i="15"/>
  <c r="CA84" i="15" s="1"/>
  <c r="CA29" i="15"/>
  <c r="CC5" i="15"/>
  <c r="CC29" i="15"/>
  <c r="CE5" i="15"/>
  <c r="CE84" i="15" s="1"/>
  <c r="C55" i="24" s="1"/>
  <c r="CE29" i="15"/>
  <c r="CG5" i="15"/>
  <c r="CG84" i="15" s="1"/>
  <c r="C56" i="24" s="1"/>
  <c r="CG29" i="15"/>
  <c r="CI5" i="15"/>
  <c r="CI4" i="15" s="1"/>
  <c r="CI79" i="15" s="1"/>
  <c r="CI82" i="15" s="1"/>
  <c r="CK5" i="15"/>
  <c r="CK84" i="15" s="1"/>
  <c r="C58" i="24" s="1"/>
  <c r="CK29" i="15"/>
  <c r="CM5" i="15"/>
  <c r="CM84" i="15" s="1"/>
  <c r="C59" i="24" s="1"/>
  <c r="CM29" i="15"/>
  <c r="CO5" i="15"/>
  <c r="CO29" i="15"/>
  <c r="CQ5" i="15"/>
  <c r="CQ29" i="15"/>
  <c r="CS5" i="15"/>
  <c r="CS84" i="15" s="1"/>
  <c r="C62" i="24" s="1"/>
  <c r="CS29" i="15"/>
  <c r="CU5" i="15"/>
  <c r="CU29" i="15"/>
  <c r="I60" i="15"/>
  <c r="K60" i="15"/>
  <c r="M60" i="15"/>
  <c r="O60" i="15"/>
  <c r="Q60" i="15"/>
  <c r="S60" i="15"/>
  <c r="U60" i="15"/>
  <c r="AA60" i="15"/>
  <c r="AQ60" i="15"/>
  <c r="AY60" i="15"/>
  <c r="BA60" i="15"/>
  <c r="AS62" i="15"/>
  <c r="AT62" i="15"/>
  <c r="AT65" i="15"/>
  <c r="BI73" i="15"/>
  <c r="AM79" i="15"/>
  <c r="AM82" i="15" s="1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D96" i="15"/>
  <c r="AE96" i="15"/>
  <c r="AF96" i="15"/>
  <c r="AG96" i="15"/>
  <c r="AH96" i="15"/>
  <c r="D111" i="15"/>
  <c r="E44" i="34"/>
  <c r="E5" i="34"/>
  <c r="E6" i="34"/>
  <c r="E30" i="34"/>
  <c r="F44" i="34"/>
  <c r="F5" i="34"/>
  <c r="F6" i="34"/>
  <c r="F30" i="34"/>
  <c r="G44" i="34"/>
  <c r="G5" i="34"/>
  <c r="G6" i="34"/>
  <c r="G30" i="34"/>
  <c r="H44" i="34"/>
  <c r="H5" i="34"/>
  <c r="H6" i="34"/>
  <c r="H30" i="34"/>
  <c r="I44" i="34"/>
  <c r="I5" i="34"/>
  <c r="I6" i="34"/>
  <c r="I30" i="34"/>
  <c r="J44" i="34"/>
  <c r="J5" i="34"/>
  <c r="J6" i="34"/>
  <c r="J30" i="34"/>
  <c r="K44" i="34"/>
  <c r="K5" i="34"/>
  <c r="K6" i="34"/>
  <c r="K30" i="34"/>
  <c r="L44" i="34"/>
  <c r="L5" i="34"/>
  <c r="L6" i="34"/>
  <c r="L30" i="34"/>
  <c r="M44" i="34"/>
  <c r="M5" i="34"/>
  <c r="M6" i="34"/>
  <c r="M30" i="34"/>
  <c r="N44" i="34"/>
  <c r="N5" i="34"/>
  <c r="N6" i="34"/>
  <c r="N30" i="34"/>
  <c r="O44" i="34"/>
  <c r="O5" i="34"/>
  <c r="O6" i="34"/>
  <c r="O30" i="34"/>
  <c r="P44" i="34"/>
  <c r="P5" i="34"/>
  <c r="P6" i="34"/>
  <c r="P30" i="34"/>
  <c r="P46" i="34"/>
  <c r="Q44" i="34"/>
  <c r="Q5" i="34"/>
  <c r="Q6" i="34"/>
  <c r="Q30" i="34"/>
  <c r="Q46" i="34"/>
  <c r="S47" i="31"/>
  <c r="R44" i="34" s="1"/>
  <c r="R5" i="34"/>
  <c r="R6" i="34"/>
  <c r="R30" i="34"/>
  <c r="R46" i="34"/>
  <c r="T47" i="31"/>
  <c r="S44" i="34" s="1"/>
  <c r="S5" i="34"/>
  <c r="S6" i="34"/>
  <c r="S30" i="34"/>
  <c r="S46" i="34"/>
  <c r="U47" i="31"/>
  <c r="T44" i="34" s="1"/>
  <c r="T5" i="34"/>
  <c r="T6" i="34"/>
  <c r="T30" i="34"/>
  <c r="T46" i="34"/>
  <c r="V47" i="31"/>
  <c r="U44" i="34" s="1"/>
  <c r="U5" i="34"/>
  <c r="U6" i="34"/>
  <c r="U30" i="34"/>
  <c r="U46" i="34"/>
  <c r="U47" i="34"/>
  <c r="W47" i="31"/>
  <c r="V44" i="34" s="1"/>
  <c r="V5" i="34"/>
  <c r="V6" i="34"/>
  <c r="V30" i="34"/>
  <c r="V46" i="34"/>
  <c r="X47" i="31"/>
  <c r="W44" i="34" s="1"/>
  <c r="W5" i="34"/>
  <c r="W6" i="34"/>
  <c r="W30" i="34"/>
  <c r="W46" i="34"/>
  <c r="Y47" i="31"/>
  <c r="X44" i="34" s="1"/>
  <c r="X5" i="34"/>
  <c r="X6" i="34"/>
  <c r="X30" i="34"/>
  <c r="X46" i="34"/>
  <c r="Z47" i="31"/>
  <c r="Y44" i="34" s="1"/>
  <c r="Y5" i="34"/>
  <c r="Y6" i="34"/>
  <c r="Y30" i="34"/>
  <c r="Y46" i="34"/>
  <c r="AA47" i="31"/>
  <c r="Z44" i="34" s="1"/>
  <c r="Z5" i="34"/>
  <c r="Z6" i="34"/>
  <c r="Z30" i="34"/>
  <c r="Z46" i="34"/>
  <c r="AB47" i="31"/>
  <c r="AA44" i="34" s="1"/>
  <c r="AA5" i="34"/>
  <c r="AA6" i="34"/>
  <c r="AA30" i="34"/>
  <c r="AA46" i="34"/>
  <c r="AE47" i="31"/>
  <c r="AD44" i="34" s="1"/>
  <c r="AD5" i="34"/>
  <c r="AD6" i="34"/>
  <c r="AD30" i="34"/>
  <c r="AD46" i="34"/>
  <c r="AF47" i="31"/>
  <c r="AE44" i="34" s="1"/>
  <c r="AE5" i="34"/>
  <c r="AE6" i="34"/>
  <c r="AE30" i="34"/>
  <c r="AE46" i="34"/>
  <c r="AG47" i="31"/>
  <c r="AF44" i="34" s="1"/>
  <c r="AF5" i="34"/>
  <c r="AF30" i="34"/>
  <c r="AF46" i="34"/>
  <c r="AH47" i="31"/>
  <c r="AG44" i="34" s="1"/>
  <c r="AG5" i="34"/>
  <c r="AG6" i="34"/>
  <c r="AG30" i="34"/>
  <c r="AG46" i="34"/>
  <c r="AI47" i="31"/>
  <c r="AH44" i="34" s="1"/>
  <c r="AH5" i="34"/>
  <c r="AH6" i="34"/>
  <c r="AH30" i="34"/>
  <c r="AH46" i="34"/>
  <c r="AJ47" i="31"/>
  <c r="AI44" i="34" s="1"/>
  <c r="AI5" i="34"/>
  <c r="AI6" i="34"/>
  <c r="AI30" i="34"/>
  <c r="AI46" i="34"/>
  <c r="AK47" i="31"/>
  <c r="AJ44" i="34" s="1"/>
  <c r="AJ5" i="34"/>
  <c r="AJ6" i="34"/>
  <c r="AJ30" i="34"/>
  <c r="AJ46" i="34"/>
  <c r="AL47" i="31"/>
  <c r="AK44" i="34" s="1"/>
  <c r="AK5" i="34"/>
  <c r="AK6" i="34"/>
  <c r="AK30" i="34"/>
  <c r="AK46" i="34"/>
  <c r="AM47" i="31"/>
  <c r="AL44" i="34" s="1"/>
  <c r="AL5" i="34"/>
  <c r="AL6" i="34"/>
  <c r="AL30" i="34"/>
  <c r="AL46" i="34"/>
  <c r="AN47" i="31"/>
  <c r="AM44" i="34" s="1"/>
  <c r="AM5" i="34"/>
  <c r="AM6" i="34"/>
  <c r="AM30" i="34"/>
  <c r="AM46" i="34"/>
  <c r="AO5" i="34"/>
  <c r="AO6" i="34"/>
  <c r="AO30" i="34"/>
  <c r="AO46" i="34"/>
  <c r="AP5" i="34"/>
  <c r="AP6" i="34"/>
  <c r="AP30" i="34"/>
  <c r="AP46" i="34"/>
  <c r="AQ44" i="34"/>
  <c r="AQ5" i="34"/>
  <c r="AQ6" i="34"/>
  <c r="AQ30" i="34"/>
  <c r="AQ46" i="34"/>
  <c r="AR5" i="34"/>
  <c r="AR6" i="34"/>
  <c r="AR30" i="34"/>
  <c r="AR46" i="34"/>
  <c r="AS44" i="34"/>
  <c r="AS5" i="34"/>
  <c r="AS6" i="34"/>
  <c r="AS30" i="34"/>
  <c r="AS46" i="34"/>
  <c r="AT44" i="34"/>
  <c r="AT5" i="34"/>
  <c r="AT6" i="34"/>
  <c r="AT30" i="34"/>
  <c r="AT46" i="34"/>
  <c r="AU44" i="34"/>
  <c r="AU5" i="34"/>
  <c r="AU6" i="34"/>
  <c r="AU30" i="34"/>
  <c r="AU46" i="34"/>
  <c r="AV44" i="34"/>
  <c r="AV5" i="34"/>
  <c r="AV6" i="34"/>
  <c r="AV30" i="34"/>
  <c r="AV46" i="34"/>
  <c r="AW44" i="34"/>
  <c r="AW49" i="34" s="1"/>
  <c r="AW62" i="34" s="1"/>
  <c r="AW5" i="34"/>
  <c r="AW6" i="34"/>
  <c r="AW30" i="34"/>
  <c r="AW46" i="34"/>
  <c r="AX44" i="34"/>
  <c r="AX5" i="34"/>
  <c r="AX6" i="34"/>
  <c r="AX30" i="34"/>
  <c r="AX46" i="34"/>
  <c r="AY44" i="34"/>
  <c r="AY5" i="34"/>
  <c r="AY6" i="34"/>
  <c r="AY30" i="34"/>
  <c r="AY46" i="34"/>
  <c r="I133" i="1"/>
  <c r="I132" i="1"/>
  <c r="B1" i="4"/>
  <c r="B2" i="4"/>
  <c r="L3" i="4" s="1"/>
  <c r="B1" i="5"/>
  <c r="B2" i="5"/>
  <c r="E3" i="5" s="1"/>
  <c r="Q4" i="5" s="1"/>
  <c r="L6" i="6"/>
  <c r="P6" i="6" s="1"/>
  <c r="L10" i="6"/>
  <c r="P10" i="6" s="1"/>
  <c r="L11" i="6"/>
  <c r="P11" i="6" s="1"/>
  <c r="AD9" i="34"/>
  <c r="AE9" i="34"/>
  <c r="AF9" i="34"/>
  <c r="AG9" i="34"/>
  <c r="AH9" i="34"/>
  <c r="AI9" i="34"/>
  <c r="AJ9" i="34"/>
  <c r="AK9" i="34"/>
  <c r="AL9" i="34"/>
  <c r="AM9" i="34"/>
  <c r="AO9" i="34"/>
  <c r="AP9" i="34"/>
  <c r="AQ9" i="34"/>
  <c r="AR9" i="34"/>
  <c r="AS9" i="34"/>
  <c r="AT9" i="34"/>
  <c r="AU9" i="34"/>
  <c r="AV9" i="34"/>
  <c r="AW9" i="34"/>
  <c r="AX9" i="34"/>
  <c r="AY9" i="34"/>
  <c r="AA187" i="9"/>
  <c r="Q61" i="1"/>
  <c r="M61" i="1" s="1"/>
  <c r="O61" i="1" s="1"/>
  <c r="Q92" i="1"/>
  <c r="M92" i="1" s="1"/>
  <c r="O92" i="1" s="1"/>
  <c r="Q73" i="1"/>
  <c r="Q74" i="1"/>
  <c r="M74" i="1" s="1"/>
  <c r="Q77" i="1"/>
  <c r="M77" i="1" s="1"/>
  <c r="O77" i="1" s="1"/>
  <c r="Q78" i="1"/>
  <c r="M78" i="1" s="1"/>
  <c r="O78" i="1" s="1"/>
  <c r="Q82" i="1"/>
  <c r="M82" i="1" s="1"/>
  <c r="E27" i="1" s="1"/>
  <c r="Q83" i="1"/>
  <c r="M83" i="1" s="1"/>
  <c r="O83" i="1" s="1"/>
  <c r="Q87" i="1"/>
  <c r="M87" i="1" s="1"/>
  <c r="O87" i="1" s="1"/>
  <c r="Q88" i="1"/>
  <c r="M88" i="1" s="1"/>
  <c r="Q90" i="1"/>
  <c r="M90" i="1" s="1"/>
  <c r="Q91" i="1"/>
  <c r="M91" i="1" s="1"/>
  <c r="Q55" i="1"/>
  <c r="M55" i="1" s="1"/>
  <c r="Q58" i="1"/>
  <c r="M58" i="1" s="1"/>
  <c r="O58" i="1" s="1"/>
  <c r="Q64" i="1"/>
  <c r="M64" i="1" s="1"/>
  <c r="Q65" i="1"/>
  <c r="M65" i="1" s="1"/>
  <c r="O65" i="1" s="1"/>
  <c r="F12" i="17"/>
  <c r="F21" i="17" s="1"/>
  <c r="G366" i="17"/>
  <c r="AN9" i="39"/>
  <c r="AO9" i="39"/>
  <c r="AP9" i="39"/>
  <c r="AQ9" i="39"/>
  <c r="AR9" i="39"/>
  <c r="AS9" i="39"/>
  <c r="AT9" i="39"/>
  <c r="AU9" i="39"/>
  <c r="AV9" i="39"/>
  <c r="AW9" i="39"/>
  <c r="AX9" i="39"/>
  <c r="AY9" i="39"/>
  <c r="G364" i="17"/>
  <c r="G365" i="17"/>
  <c r="G354" i="17"/>
  <c r="G355" i="17"/>
  <c r="L355" i="17" s="1"/>
  <c r="G356" i="17"/>
  <c r="G349" i="17"/>
  <c r="G350" i="17"/>
  <c r="G351" i="17"/>
  <c r="G343" i="17"/>
  <c r="G344" i="17"/>
  <c r="G345" i="17"/>
  <c r="G338" i="17"/>
  <c r="G339" i="17"/>
  <c r="G340" i="17"/>
  <c r="G335" i="17"/>
  <c r="G336" i="17"/>
  <c r="G332" i="17"/>
  <c r="G333" i="17"/>
  <c r="G329" i="17"/>
  <c r="G330" i="17"/>
  <c r="D336" i="17"/>
  <c r="D335" i="17"/>
  <c r="D344" i="17"/>
  <c r="D345" i="17"/>
  <c r="D343" i="17"/>
  <c r="D349" i="17"/>
  <c r="D338" i="17"/>
  <c r="D339" i="17"/>
  <c r="D340" i="17"/>
  <c r="D365" i="17"/>
  <c r="D364" i="17"/>
  <c r="D333" i="17"/>
  <c r="D332" i="17"/>
  <c r="D329" i="17"/>
  <c r="D330" i="17"/>
  <c r="D5" i="21"/>
  <c r="R5" i="21" s="1"/>
  <c r="C5" i="21"/>
  <c r="Q5" i="21" s="1"/>
  <c r="D11" i="21"/>
  <c r="E11" i="21" s="1"/>
  <c r="T12" i="13"/>
  <c r="T8" i="13"/>
  <c r="C80" i="17"/>
  <c r="D376" i="17" s="1"/>
  <c r="F164" i="17"/>
  <c r="G164" i="17"/>
  <c r="J164" i="17"/>
  <c r="K164" i="17"/>
  <c r="AP5" i="14"/>
  <c r="AP6" i="14"/>
  <c r="AP11" i="14"/>
  <c r="AP17" i="14"/>
  <c r="AP18" i="14"/>
  <c r="AP20" i="14"/>
  <c r="AP21" i="14"/>
  <c r="K25" i="32"/>
  <c r="K285" i="17"/>
  <c r="R16" i="13"/>
  <c r="R15" i="13"/>
  <c r="R14" i="13"/>
  <c r="R12" i="13"/>
  <c r="R11" i="13"/>
  <c r="R10" i="13"/>
  <c r="R7" i="13"/>
  <c r="M77" i="17"/>
  <c r="M375" i="17" s="1"/>
  <c r="M76" i="17"/>
  <c r="M374" i="17" s="1"/>
  <c r="G176" i="17"/>
  <c r="G177" i="17"/>
  <c r="G172" i="17"/>
  <c r="G173" i="17"/>
  <c r="J176" i="17"/>
  <c r="K176" i="17"/>
  <c r="J177" i="17"/>
  <c r="K177" i="17"/>
  <c r="F176" i="17"/>
  <c r="I523" i="17" s="1"/>
  <c r="F177" i="17"/>
  <c r="I531" i="17" s="1"/>
  <c r="J172" i="17"/>
  <c r="M360" i="17" s="1"/>
  <c r="O360" i="17" s="1"/>
  <c r="K172" i="17"/>
  <c r="J173" i="17"/>
  <c r="M361" i="17" s="1"/>
  <c r="K173" i="17"/>
  <c r="F172" i="17"/>
  <c r="I360" i="17" s="1"/>
  <c r="I522" i="17" s="1"/>
  <c r="F173" i="17"/>
  <c r="I361" i="17" s="1"/>
  <c r="I530" i="17" s="1"/>
  <c r="AO33" i="27"/>
  <c r="E229" i="17"/>
  <c r="E231" i="17" s="1"/>
  <c r="E210" i="17"/>
  <c r="E213" i="17" s="1"/>
  <c r="AW15" i="11"/>
  <c r="AW17" i="11" s="1"/>
  <c r="K167" i="17"/>
  <c r="K166" i="17"/>
  <c r="J167" i="17"/>
  <c r="M351" i="17" s="1"/>
  <c r="O351" i="17" s="1"/>
  <c r="J166" i="17"/>
  <c r="G167" i="17"/>
  <c r="G166" i="17"/>
  <c r="F167" i="17"/>
  <c r="I356" i="17" s="1"/>
  <c r="I529" i="17" s="1"/>
  <c r="F166" i="17"/>
  <c r="I350" i="17" s="1"/>
  <c r="I520" i="17" s="1"/>
  <c r="F136" i="17"/>
  <c r="F135" i="17"/>
  <c r="F134" i="17"/>
  <c r="F121" i="17"/>
  <c r="F122" i="17"/>
  <c r="E110" i="17"/>
  <c r="D110" i="17"/>
  <c r="L110" i="17"/>
  <c r="M110" i="17" s="1"/>
  <c r="H110" i="17"/>
  <c r="J110" i="17" s="1"/>
  <c r="F108" i="17"/>
  <c r="E131" i="17"/>
  <c r="F345" i="17" s="1"/>
  <c r="E130" i="17"/>
  <c r="F344" i="17" s="1"/>
  <c r="E126" i="17"/>
  <c r="F340" i="17" s="1"/>
  <c r="E125" i="17"/>
  <c r="F339" i="17" s="1"/>
  <c r="E119" i="17"/>
  <c r="F336" i="17" s="1"/>
  <c r="E116" i="17"/>
  <c r="F333" i="17" s="1"/>
  <c r="E113" i="17"/>
  <c r="D131" i="17"/>
  <c r="E345" i="17" s="1"/>
  <c r="D130" i="17"/>
  <c r="E344" i="17" s="1"/>
  <c r="D126" i="17"/>
  <c r="E340" i="17" s="1"/>
  <c r="D125" i="17"/>
  <c r="E339" i="17" s="1"/>
  <c r="D119" i="17"/>
  <c r="E336" i="17" s="1"/>
  <c r="D116" i="17"/>
  <c r="E333" i="17" s="1"/>
  <c r="D113" i="17"/>
  <c r="E330" i="17" s="1"/>
  <c r="L126" i="17"/>
  <c r="M340" i="17" s="1"/>
  <c r="L125" i="17"/>
  <c r="M125" i="17" s="1"/>
  <c r="L119" i="17"/>
  <c r="M119" i="17" s="1"/>
  <c r="L116" i="17"/>
  <c r="M116" i="17" s="1"/>
  <c r="L113" i="17"/>
  <c r="M113" i="17" s="1"/>
  <c r="H126" i="17"/>
  <c r="I340" i="17" s="1"/>
  <c r="I526" i="17" s="1"/>
  <c r="H125" i="17"/>
  <c r="I339" i="17" s="1"/>
  <c r="I518" i="17" s="1"/>
  <c r="H119" i="17"/>
  <c r="I336" i="17" s="1"/>
  <c r="I517" i="17" s="1"/>
  <c r="H113" i="17"/>
  <c r="J113" i="17" s="1"/>
  <c r="F117" i="17"/>
  <c r="E6" i="20" s="1"/>
  <c r="F114" i="17"/>
  <c r="E5" i="20" s="1"/>
  <c r="F111" i="17"/>
  <c r="B46" i="18"/>
  <c r="B10" i="18"/>
  <c r="Y13" i="21"/>
  <c r="Y19" i="21"/>
  <c r="Q18" i="21"/>
  <c r="R6" i="21"/>
  <c r="R7" i="21"/>
  <c r="R8" i="21"/>
  <c r="Q7" i="21"/>
  <c r="Q8" i="21"/>
  <c r="Q6" i="21"/>
  <c r="E39" i="21"/>
  <c r="E40" i="21"/>
  <c r="E41" i="21"/>
  <c r="E42" i="21"/>
  <c r="E44" i="21"/>
  <c r="E45" i="21"/>
  <c r="E46" i="21"/>
  <c r="E47" i="21"/>
  <c r="E48" i="21"/>
  <c r="E49" i="21"/>
  <c r="E50" i="21"/>
  <c r="D43" i="21"/>
  <c r="E43" i="21" s="1"/>
  <c r="S15" i="21" s="1"/>
  <c r="D38" i="21"/>
  <c r="E38" i="21" s="1"/>
  <c r="S14" i="21" s="1"/>
  <c r="D35" i="21"/>
  <c r="E35" i="21" s="1"/>
  <c r="S13" i="21" s="1"/>
  <c r="D30" i="21"/>
  <c r="E30" i="21" s="1"/>
  <c r="S12" i="21" s="1"/>
  <c r="D17" i="21"/>
  <c r="E17" i="21" s="1"/>
  <c r="S10" i="21" s="1"/>
  <c r="AN10" i="34"/>
  <c r="AI29" i="13"/>
  <c r="AJ29" i="13" s="1"/>
  <c r="AL26" i="13"/>
  <c r="P9" i="21"/>
  <c r="S4" i="21"/>
  <c r="AC9" i="21"/>
  <c r="AD70" i="21"/>
  <c r="AD71" i="21"/>
  <c r="AD72" i="21"/>
  <c r="AE114" i="21"/>
  <c r="P8" i="21"/>
  <c r="P7" i="21"/>
  <c r="P6" i="21"/>
  <c r="D57" i="21"/>
  <c r="D62" i="21"/>
  <c r="E62" i="21" s="1"/>
  <c r="D75" i="21"/>
  <c r="R18" i="21" s="1"/>
  <c r="D78" i="21"/>
  <c r="R19" i="21" s="1"/>
  <c r="E8" i="21"/>
  <c r="E7" i="21"/>
  <c r="M14" i="12"/>
  <c r="M19" i="12"/>
  <c r="M28" i="12"/>
  <c r="C45" i="18"/>
  <c r="C44" i="18"/>
  <c r="AD8" i="34"/>
  <c r="AE8" i="34"/>
  <c r="AF8" i="34"/>
  <c r="AG8" i="34"/>
  <c r="AH8" i="34"/>
  <c r="AI8" i="34"/>
  <c r="AJ8" i="34"/>
  <c r="AK8" i="34"/>
  <c r="AL8" i="34"/>
  <c r="AM8" i="34"/>
  <c r="AO8" i="34"/>
  <c r="AP8" i="34"/>
  <c r="AQ8" i="34"/>
  <c r="AR8" i="34"/>
  <c r="AS8" i="34"/>
  <c r="AT8" i="34"/>
  <c r="AU8" i="34"/>
  <c r="AV8" i="34"/>
  <c r="AW8" i="34"/>
  <c r="AX8" i="34"/>
  <c r="AY8" i="34"/>
  <c r="AU34" i="14"/>
  <c r="AX34" i="14"/>
  <c r="BA34" i="14"/>
  <c r="BD34" i="14"/>
  <c r="BG34" i="14"/>
  <c r="BJ34" i="14"/>
  <c r="BM34" i="14"/>
  <c r="BP34" i="14"/>
  <c r="BS34" i="14"/>
  <c r="AU38" i="14"/>
  <c r="AX38" i="14"/>
  <c r="BA38" i="14"/>
  <c r="BD38" i="14"/>
  <c r="BG38" i="14"/>
  <c r="BJ38" i="14"/>
  <c r="BM38" i="14"/>
  <c r="BP38" i="14"/>
  <c r="BS38" i="14"/>
  <c r="AR34" i="14"/>
  <c r="AR38" i="14"/>
  <c r="AO29" i="14"/>
  <c r="AO28" i="14"/>
  <c r="AQ26" i="14"/>
  <c r="AQ25" i="14"/>
  <c r="AQ24" i="14"/>
  <c r="AQ23" i="14"/>
  <c r="AQ22" i="14"/>
  <c r="BX21" i="14"/>
  <c r="BU21" i="14"/>
  <c r="BR21" i="14"/>
  <c r="BO21" i="14"/>
  <c r="BL21" i="14"/>
  <c r="BI21" i="14"/>
  <c r="BF21" i="14"/>
  <c r="BC21" i="14"/>
  <c r="BX20" i="14"/>
  <c r="BU20" i="14"/>
  <c r="BR20" i="14"/>
  <c r="BO20" i="14"/>
  <c r="BL20" i="14"/>
  <c r="BI20" i="14"/>
  <c r="BF20" i="14"/>
  <c r="BC20" i="14"/>
  <c r="BX18" i="14"/>
  <c r="BU18" i="14"/>
  <c r="BR18" i="14"/>
  <c r="BO18" i="14"/>
  <c r="BL18" i="14"/>
  <c r="BI18" i="14"/>
  <c r="BF18" i="14"/>
  <c r="BC18" i="14"/>
  <c r="BX17" i="14"/>
  <c r="BU17" i="14"/>
  <c r="BR17" i="14"/>
  <c r="BO17" i="14"/>
  <c r="BL17" i="14"/>
  <c r="BI17" i="14"/>
  <c r="BF17" i="14"/>
  <c r="BC17" i="14"/>
  <c r="BD16" i="14"/>
  <c r="BA16" i="14"/>
  <c r="BD15" i="14"/>
  <c r="BA15" i="14"/>
  <c r="BD14" i="14"/>
  <c r="BA14" i="14"/>
  <c r="BD12" i="14"/>
  <c r="BD7" i="14" s="1"/>
  <c r="BA12" i="14"/>
  <c r="BA7" i="14" s="1"/>
  <c r="BX11" i="14"/>
  <c r="BU11" i="14"/>
  <c r="BS40" i="14" s="1"/>
  <c r="BR11" i="14"/>
  <c r="BP40" i="14" s="1"/>
  <c r="BO11" i="14"/>
  <c r="BL11" i="14"/>
  <c r="BI11" i="14"/>
  <c r="BF11" i="14"/>
  <c r="BC11" i="14"/>
  <c r="BA40" i="14" s="1"/>
  <c r="BX10" i="14"/>
  <c r="BU10" i="14"/>
  <c r="BR10" i="14"/>
  <c r="BO10" i="14"/>
  <c r="BL10" i="14"/>
  <c r="BI10" i="14"/>
  <c r="BF10" i="14"/>
  <c r="BC10" i="14"/>
  <c r="BD9" i="14"/>
  <c r="BA9" i="14"/>
  <c r="BX6" i="14"/>
  <c r="BU6" i="14"/>
  <c r="BR6" i="14"/>
  <c r="BO6" i="14"/>
  <c r="BL6" i="14"/>
  <c r="BI6" i="14"/>
  <c r="BF6" i="14"/>
  <c r="BC6" i="14"/>
  <c r="BX5" i="14"/>
  <c r="BU5" i="14"/>
  <c r="BR5" i="14"/>
  <c r="BO5" i="14"/>
  <c r="BL5" i="14"/>
  <c r="BI5" i="14"/>
  <c r="BG39" i="14" s="1"/>
  <c r="BF5" i="14"/>
  <c r="BD39" i="14" s="1"/>
  <c r="BC5" i="14"/>
  <c r="BA39" i="14" s="1"/>
  <c r="BX4" i="14"/>
  <c r="BU4" i="14"/>
  <c r="BR4" i="14"/>
  <c r="BO4" i="14"/>
  <c r="BL4" i="14"/>
  <c r="BI4" i="14"/>
  <c r="BD3" i="14"/>
  <c r="AZ21" i="14"/>
  <c r="AZ20" i="14"/>
  <c r="AZ18" i="14"/>
  <c r="AZ17" i="14"/>
  <c r="AX16" i="14"/>
  <c r="AX15" i="14"/>
  <c r="AX14" i="14"/>
  <c r="AX12" i="14"/>
  <c r="AX7" i="14" s="1"/>
  <c r="AZ11" i="14"/>
  <c r="AX9" i="14"/>
  <c r="AZ6" i="14"/>
  <c r="AZ5" i="14"/>
  <c r="AZ4" i="14"/>
  <c r="AX3" i="14"/>
  <c r="AW21" i="14"/>
  <c r="AW20" i="14"/>
  <c r="AW18" i="14"/>
  <c r="AW17" i="14"/>
  <c r="AU16" i="14"/>
  <c r="AU15" i="14"/>
  <c r="AU14" i="14"/>
  <c r="AU12" i="14"/>
  <c r="AU7" i="14" s="1"/>
  <c r="AW11" i="14"/>
  <c r="AU40" i="14" s="1"/>
  <c r="AW6" i="14"/>
  <c r="AW5" i="14"/>
  <c r="AW4" i="14"/>
  <c r="AU3" i="14"/>
  <c r="AT21" i="14"/>
  <c r="AT20" i="14"/>
  <c r="AT18" i="14"/>
  <c r="AT17" i="14"/>
  <c r="AR16" i="14"/>
  <c r="AR15" i="14"/>
  <c r="AR14" i="14"/>
  <c r="AR12" i="14"/>
  <c r="AR7" i="14" s="1"/>
  <c r="AT11" i="14"/>
  <c r="AT10" i="14"/>
  <c r="AR9" i="14"/>
  <c r="AT6" i="14"/>
  <c r="AT5" i="14"/>
  <c r="AT4" i="14"/>
  <c r="AR3" i="14"/>
  <c r="AQ5" i="14"/>
  <c r="AQ6" i="14"/>
  <c r="AQ11" i="14"/>
  <c r="AQ17" i="14"/>
  <c r="AQ18" i="14"/>
  <c r="AQ20" i="14"/>
  <c r="AQ21" i="14"/>
  <c r="AM5" i="14"/>
  <c r="AO3" i="14"/>
  <c r="AO16" i="14"/>
  <c r="AO15" i="14"/>
  <c r="AO14" i="14"/>
  <c r="AO12" i="14"/>
  <c r="AO9" i="14"/>
  <c r="AN3" i="31"/>
  <c r="AM3" i="34" s="1"/>
  <c r="BD35" i="38"/>
  <c r="BE35" i="38"/>
  <c r="BF35" i="38"/>
  <c r="BG35" i="38"/>
  <c r="BH35" i="38"/>
  <c r="BI35" i="38"/>
  <c r="BJ35" i="38"/>
  <c r="BJ52" i="38" s="1"/>
  <c r="BJ53" i="38" s="1"/>
  <c r="BK35" i="38"/>
  <c r="BL35" i="38"/>
  <c r="BL52" i="38" s="1"/>
  <c r="BL53" i="38" s="1"/>
  <c r="BM35" i="38"/>
  <c r="BM52" i="38" s="1"/>
  <c r="BM53" i="38" s="1"/>
  <c r="AU37" i="35" s="1"/>
  <c r="AP9" i="18" s="1"/>
  <c r="BN35" i="38"/>
  <c r="BN52" i="38" s="1"/>
  <c r="BN53" i="38" s="1"/>
  <c r="BO35" i="38"/>
  <c r="BO52" i="38" s="1"/>
  <c r="BP35" i="38"/>
  <c r="BP52" i="38" s="1"/>
  <c r="BP53" i="38" s="1"/>
  <c r="BQ35" i="38"/>
  <c r="BQ52" i="38" s="1"/>
  <c r="BQ53" i="38" s="1"/>
  <c r="AW37" i="35" s="1"/>
  <c r="BR35" i="38"/>
  <c r="BR52" i="38" s="1"/>
  <c r="BR53" i="38" s="1"/>
  <c r="BS35" i="38"/>
  <c r="BS52" i="38" s="1"/>
  <c r="BS53" i="38" s="1"/>
  <c r="AX37" i="35" s="1"/>
  <c r="BT35" i="38"/>
  <c r="BT52" i="38" s="1"/>
  <c r="BT53" i="38" s="1"/>
  <c r="BU35" i="38"/>
  <c r="BU52" i="38" s="1"/>
  <c r="BU53" i="38" s="1"/>
  <c r="AY37" i="35" s="1"/>
  <c r="BV35" i="38"/>
  <c r="BV52" i="38" s="1"/>
  <c r="BV53" i="38" s="1"/>
  <c r="BW35" i="38"/>
  <c r="BW52" i="38" s="1"/>
  <c r="BW53" i="38" s="1"/>
  <c r="AZ37" i="35" s="1"/>
  <c r="AZ35" i="38"/>
  <c r="AZ4" i="38"/>
  <c r="BI4" i="38"/>
  <c r="BF4" i="38"/>
  <c r="BE4" i="38"/>
  <c r="BD4" i="38"/>
  <c r="AM10" i="10"/>
  <c r="AM9" i="10"/>
  <c r="J7" i="44"/>
  <c r="H7" i="44"/>
  <c r="F28" i="43"/>
  <c r="F24" i="42"/>
  <c r="C24" i="42"/>
  <c r="H124" i="17"/>
  <c r="J124" i="17" s="1"/>
  <c r="AM180" i="9"/>
  <c r="L107" i="17" s="1"/>
  <c r="M107" i="17" s="1"/>
  <c r="AA74" i="16"/>
  <c r="AA13" i="16" s="1"/>
  <c r="AM138" i="9"/>
  <c r="AM139" i="9"/>
  <c r="AM140" i="9"/>
  <c r="AM141" i="9"/>
  <c r="E12" i="41" s="1"/>
  <c r="J12" i="41" s="1"/>
  <c r="AM142" i="9"/>
  <c r="AM149" i="9"/>
  <c r="AM152" i="9"/>
  <c r="AM155" i="9"/>
  <c r="J26" i="41" s="1"/>
  <c r="E26" i="41" s="1"/>
  <c r="AM156" i="9"/>
  <c r="I27" i="41"/>
  <c r="D27" i="41" s="1"/>
  <c r="AM157" i="9"/>
  <c r="AM158" i="9"/>
  <c r="AM159" i="9"/>
  <c r="J30" i="41" s="1"/>
  <c r="I18" i="12"/>
  <c r="E8" i="12"/>
  <c r="I8" i="12" s="1"/>
  <c r="E7" i="12"/>
  <c r="I7" i="12" s="1"/>
  <c r="G4" i="12"/>
  <c r="AL11" i="9"/>
  <c r="AL183" i="9" s="1"/>
  <c r="AL201" i="9" s="1"/>
  <c r="BA50" i="18"/>
  <c r="AY50" i="18"/>
  <c r="AW50" i="18"/>
  <c r="AU50" i="18"/>
  <c r="AS50" i="18"/>
  <c r="AQ50" i="18"/>
  <c r="AO50" i="18"/>
  <c r="AM50" i="18"/>
  <c r="AK50" i="18"/>
  <c r="AI50" i="18"/>
  <c r="BA48" i="18"/>
  <c r="AY48" i="18"/>
  <c r="AW48" i="18"/>
  <c r="AU48" i="18"/>
  <c r="AS48" i="18"/>
  <c r="AQ48" i="18"/>
  <c r="AO48" i="18"/>
  <c r="AM48" i="18"/>
  <c r="AK48" i="18"/>
  <c r="AI48" i="18"/>
  <c r="BA47" i="18"/>
  <c r="AY47" i="18"/>
  <c r="AW47" i="18"/>
  <c r="AU47" i="18"/>
  <c r="AS47" i="18"/>
  <c r="AQ47" i="18"/>
  <c r="AO47" i="18"/>
  <c r="AM47" i="18"/>
  <c r="AK47" i="18"/>
  <c r="AI47" i="18"/>
  <c r="BH47" i="18" s="1"/>
  <c r="AG50" i="18"/>
  <c r="AG48" i="18"/>
  <c r="AG47" i="18"/>
  <c r="AE50" i="18"/>
  <c r="AE48" i="18"/>
  <c r="AE47" i="18"/>
  <c r="C8" i="18"/>
  <c r="C9" i="18"/>
  <c r="C11" i="18"/>
  <c r="C12" i="18"/>
  <c r="C37" i="18"/>
  <c r="AN5" i="39"/>
  <c r="AO5" i="39"/>
  <c r="AP5" i="39"/>
  <c r="AQ5" i="39"/>
  <c r="AR5" i="39"/>
  <c r="AS5" i="39"/>
  <c r="AT5" i="39"/>
  <c r="AU5" i="39"/>
  <c r="AV5" i="39"/>
  <c r="AW5" i="39"/>
  <c r="AX5" i="39"/>
  <c r="AY5" i="39"/>
  <c r="AR3" i="34"/>
  <c r="AS3" i="34"/>
  <c r="AT3" i="34"/>
  <c r="AU3" i="34"/>
  <c r="AV3" i="34"/>
  <c r="AW3" i="34"/>
  <c r="AX3" i="34"/>
  <c r="AY3" i="34"/>
  <c r="AN4" i="34"/>
  <c r="AO4" i="34"/>
  <c r="AP4" i="34"/>
  <c r="AQ4" i="34"/>
  <c r="AR4" i="34"/>
  <c r="AS4" i="34"/>
  <c r="AT4" i="34"/>
  <c r="AU4" i="34"/>
  <c r="AV4" i="34"/>
  <c r="AW4" i="34"/>
  <c r="AX4" i="34"/>
  <c r="AY4" i="34"/>
  <c r="AN7" i="34"/>
  <c r="AO7" i="34"/>
  <c r="AP7" i="34"/>
  <c r="AQ7" i="34"/>
  <c r="AR7" i="34"/>
  <c r="AS7" i="34"/>
  <c r="AT7" i="34"/>
  <c r="AU7" i="34"/>
  <c r="AV7" i="34"/>
  <c r="AW7" i="34"/>
  <c r="AX7" i="34"/>
  <c r="AY7" i="34"/>
  <c r="AN11" i="34"/>
  <c r="AO11" i="34"/>
  <c r="AP11" i="34"/>
  <c r="AQ11" i="34"/>
  <c r="AR11" i="34"/>
  <c r="AS11" i="34"/>
  <c r="AT11" i="34"/>
  <c r="AT23" i="34"/>
  <c r="AT24" i="34"/>
  <c r="AT25" i="34"/>
  <c r="AT26" i="34"/>
  <c r="AT27" i="34"/>
  <c r="AT28" i="34"/>
  <c r="AT29" i="34"/>
  <c r="AT31" i="34"/>
  <c r="AT32" i="34"/>
  <c r="AT33" i="34"/>
  <c r="AT34" i="34"/>
  <c r="AT35" i="34"/>
  <c r="AT36" i="34"/>
  <c r="AT37" i="34"/>
  <c r="AU11" i="34"/>
  <c r="AV11" i="34"/>
  <c r="AW11" i="34"/>
  <c r="AX11" i="34"/>
  <c r="AY11" i="34"/>
  <c r="AN12" i="34"/>
  <c r="AO12" i="34"/>
  <c r="AP12" i="34"/>
  <c r="AQ12" i="34"/>
  <c r="AR12" i="34"/>
  <c r="AS12" i="34"/>
  <c r="AT12" i="34"/>
  <c r="AU12" i="34"/>
  <c r="AV12" i="34"/>
  <c r="AW12" i="34"/>
  <c r="AX12" i="34"/>
  <c r="AY12" i="34"/>
  <c r="AN13" i="34"/>
  <c r="AO13" i="34"/>
  <c r="AP13" i="34"/>
  <c r="AQ13" i="34"/>
  <c r="AR13" i="34"/>
  <c r="AS13" i="34"/>
  <c r="AT13" i="34"/>
  <c r="AU13" i="34"/>
  <c r="AV13" i="34"/>
  <c r="AW13" i="34"/>
  <c r="AX13" i="34"/>
  <c r="AY13" i="34"/>
  <c r="AN14" i="34"/>
  <c r="AO14" i="34"/>
  <c r="AP14" i="34"/>
  <c r="AQ14" i="34"/>
  <c r="AR14" i="34"/>
  <c r="AS14" i="34"/>
  <c r="AT14" i="34"/>
  <c r="AU14" i="34"/>
  <c r="AV14" i="34"/>
  <c r="AW14" i="34"/>
  <c r="AX14" i="34"/>
  <c r="AY14" i="34"/>
  <c r="AN15" i="34"/>
  <c r="AO15" i="34"/>
  <c r="AP15" i="34"/>
  <c r="AQ15" i="34"/>
  <c r="AR15" i="34"/>
  <c r="AS15" i="34"/>
  <c r="AT15" i="34"/>
  <c r="AU15" i="34"/>
  <c r="AV15" i="34"/>
  <c r="AW15" i="34"/>
  <c r="AX15" i="34"/>
  <c r="AY15" i="34"/>
  <c r="AN16" i="34"/>
  <c r="AO16" i="34"/>
  <c r="AP16" i="34"/>
  <c r="AQ16" i="34"/>
  <c r="AR16" i="34"/>
  <c r="AS16" i="34"/>
  <c r="AT16" i="34"/>
  <c r="AU16" i="34"/>
  <c r="AV16" i="34"/>
  <c r="AW16" i="34"/>
  <c r="AX16" i="34"/>
  <c r="AY16" i="34"/>
  <c r="AN17" i="34"/>
  <c r="AO17" i="34"/>
  <c r="AP17" i="34"/>
  <c r="AQ17" i="34"/>
  <c r="AR17" i="34"/>
  <c r="AS17" i="34"/>
  <c r="AT17" i="34"/>
  <c r="AU17" i="34"/>
  <c r="AV17" i="34"/>
  <c r="AW17" i="34"/>
  <c r="AX17" i="34"/>
  <c r="AY17" i="34"/>
  <c r="AP18" i="34"/>
  <c r="AQ18" i="34"/>
  <c r="AR18" i="34"/>
  <c r="AR19" i="34"/>
  <c r="AS18" i="34"/>
  <c r="AT18" i="34"/>
  <c r="AU18" i="34"/>
  <c r="AV18" i="34"/>
  <c r="AW18" i="34"/>
  <c r="AX18" i="34"/>
  <c r="AY18" i="34"/>
  <c r="AO19" i="34"/>
  <c r="AP19" i="34"/>
  <c r="AQ19" i="34"/>
  <c r="AS19" i="34"/>
  <c r="AT19" i="34"/>
  <c r="AU19" i="34"/>
  <c r="AV19" i="34"/>
  <c r="AW19" i="34"/>
  <c r="AX19" i="34"/>
  <c r="AY19" i="34"/>
  <c r="AQ21" i="34"/>
  <c r="AS21" i="34"/>
  <c r="AT21" i="34"/>
  <c r="AU21" i="34"/>
  <c r="AV21" i="34"/>
  <c r="AW21" i="34"/>
  <c r="AX21" i="34"/>
  <c r="AY21" i="34"/>
  <c r="AN22" i="34"/>
  <c r="AO22" i="34"/>
  <c r="AP22" i="34"/>
  <c r="AQ22" i="34"/>
  <c r="AR22" i="34"/>
  <c r="AS22" i="34"/>
  <c r="AT22" i="34"/>
  <c r="AU22" i="34"/>
  <c r="AV22" i="34"/>
  <c r="AW22" i="34"/>
  <c r="AX22" i="34"/>
  <c r="AY22" i="34"/>
  <c r="AN23" i="34"/>
  <c r="AO23" i="34"/>
  <c r="AP23" i="34"/>
  <c r="AQ23" i="34"/>
  <c r="AR23" i="34"/>
  <c r="AS23" i="34"/>
  <c r="AU23" i="34"/>
  <c r="AV23" i="34"/>
  <c r="AW23" i="34"/>
  <c r="AX23" i="34"/>
  <c r="AY23" i="34"/>
  <c r="AN24" i="34"/>
  <c r="AO24" i="34"/>
  <c r="AP24" i="34"/>
  <c r="AQ24" i="34"/>
  <c r="AR24" i="34"/>
  <c r="AS24" i="34"/>
  <c r="AU24" i="34"/>
  <c r="AV24" i="34"/>
  <c r="AW24" i="34"/>
  <c r="AX24" i="34"/>
  <c r="AY24" i="34"/>
  <c r="AN25" i="34"/>
  <c r="AO25" i="34"/>
  <c r="AP25" i="34"/>
  <c r="AQ25" i="34"/>
  <c r="AR25" i="34"/>
  <c r="AS25" i="34"/>
  <c r="AU25" i="34"/>
  <c r="AV25" i="34"/>
  <c r="AW25" i="34"/>
  <c r="AX25" i="34"/>
  <c r="AY25" i="34"/>
  <c r="AN26" i="34"/>
  <c r="AO26" i="34"/>
  <c r="AP26" i="34"/>
  <c r="AQ26" i="34"/>
  <c r="AR26" i="34"/>
  <c r="AS26" i="34"/>
  <c r="AU26" i="34"/>
  <c r="AV26" i="34"/>
  <c r="AW26" i="34"/>
  <c r="AX26" i="34"/>
  <c r="AY26" i="34"/>
  <c r="AN27" i="34"/>
  <c r="AO27" i="34"/>
  <c r="AP27" i="34"/>
  <c r="AQ27" i="34"/>
  <c r="AR27" i="34"/>
  <c r="AS27" i="34"/>
  <c r="AU27" i="34"/>
  <c r="AV27" i="34"/>
  <c r="AW27" i="34"/>
  <c r="AX27" i="34"/>
  <c r="AY27" i="34"/>
  <c r="AN28" i="34"/>
  <c r="AO28" i="34"/>
  <c r="AP28" i="34"/>
  <c r="AQ28" i="34"/>
  <c r="AR28" i="34"/>
  <c r="AS28" i="34"/>
  <c r="AU28" i="34"/>
  <c r="AV28" i="34"/>
  <c r="AW28" i="34"/>
  <c r="AX28" i="34"/>
  <c r="AY28" i="34"/>
  <c r="AN29" i="34"/>
  <c r="BA29" i="34" s="1"/>
  <c r="AO29" i="34"/>
  <c r="AP29" i="34"/>
  <c r="AQ29" i="34"/>
  <c r="AR29" i="34"/>
  <c r="AS29" i="34"/>
  <c r="AU29" i="34"/>
  <c r="AV29" i="34"/>
  <c r="AW29" i="34"/>
  <c r="AX29" i="34"/>
  <c r="AY29" i="34"/>
  <c r="AN31" i="34"/>
  <c r="AO31" i="34"/>
  <c r="AP31" i="34"/>
  <c r="AQ31" i="34"/>
  <c r="AR31" i="34"/>
  <c r="AS31" i="34"/>
  <c r="AU31" i="34"/>
  <c r="AV31" i="34"/>
  <c r="AW31" i="34"/>
  <c r="AX31" i="34"/>
  <c r="AY31" i="34"/>
  <c r="AN32" i="34"/>
  <c r="AO32" i="34"/>
  <c r="AP32" i="34"/>
  <c r="AQ32" i="34"/>
  <c r="AR32" i="34"/>
  <c r="AS32" i="34"/>
  <c r="AU32" i="34"/>
  <c r="AV32" i="34"/>
  <c r="AW32" i="34"/>
  <c r="AX32" i="34"/>
  <c r="AY32" i="34"/>
  <c r="AN33" i="34"/>
  <c r="AO33" i="34"/>
  <c r="AP33" i="34"/>
  <c r="AQ33" i="34"/>
  <c r="AR33" i="34"/>
  <c r="AS33" i="34"/>
  <c r="AU33" i="34"/>
  <c r="AV33" i="34"/>
  <c r="AW33" i="34"/>
  <c r="AX33" i="34"/>
  <c r="AY33" i="34"/>
  <c r="AN34" i="34"/>
  <c r="AO34" i="34"/>
  <c r="AP34" i="34"/>
  <c r="AQ34" i="34"/>
  <c r="AR34" i="34"/>
  <c r="AS34" i="34"/>
  <c r="AU34" i="34"/>
  <c r="AV34" i="34"/>
  <c r="AW34" i="34"/>
  <c r="AX34" i="34"/>
  <c r="AY34" i="34"/>
  <c r="AN35" i="34"/>
  <c r="AO35" i="34"/>
  <c r="AP35" i="34"/>
  <c r="AQ35" i="34"/>
  <c r="AR35" i="34"/>
  <c r="AS35" i="34"/>
  <c r="AU35" i="34"/>
  <c r="AV35" i="34"/>
  <c r="AW35" i="34"/>
  <c r="AX35" i="34"/>
  <c r="AY35" i="34"/>
  <c r="AN36" i="34"/>
  <c r="AO36" i="34"/>
  <c r="AP36" i="34"/>
  <c r="AQ36" i="34"/>
  <c r="AR36" i="34"/>
  <c r="AS36" i="34"/>
  <c r="AU36" i="34"/>
  <c r="AV36" i="34"/>
  <c r="AW36" i="34"/>
  <c r="AX36" i="34"/>
  <c r="AY36" i="34"/>
  <c r="AN37" i="34"/>
  <c r="AO37" i="34"/>
  <c r="AP37" i="34"/>
  <c r="AQ37" i="34"/>
  <c r="AR37" i="34"/>
  <c r="AS37" i="34"/>
  <c r="AU37" i="34"/>
  <c r="AV37" i="34"/>
  <c r="AW37" i="34"/>
  <c r="AX37" i="34"/>
  <c r="AY37" i="34"/>
  <c r="AN38" i="34"/>
  <c r="AO38" i="34"/>
  <c r="AP38" i="34"/>
  <c r="AQ38" i="34"/>
  <c r="AR38" i="34"/>
  <c r="AS38" i="34"/>
  <c r="AT38" i="34"/>
  <c r="AU38" i="34"/>
  <c r="AV38" i="34"/>
  <c r="AW38" i="34"/>
  <c r="AX38" i="34"/>
  <c r="AY38" i="34"/>
  <c r="AN39" i="34"/>
  <c r="AO39" i="34"/>
  <c r="AP39" i="34"/>
  <c r="AQ39" i="34"/>
  <c r="AR39" i="34"/>
  <c r="AS39" i="34"/>
  <c r="AT39" i="34"/>
  <c r="AU39" i="34"/>
  <c r="AV39" i="34"/>
  <c r="AW39" i="34"/>
  <c r="AX39" i="34"/>
  <c r="AY39" i="34"/>
  <c r="AN40" i="34"/>
  <c r="AO40" i="34"/>
  <c r="AP40" i="34"/>
  <c r="AQ40" i="34"/>
  <c r="AR40" i="34"/>
  <c r="AS40" i="34"/>
  <c r="AT40" i="34"/>
  <c r="AU40" i="34"/>
  <c r="AV40" i="34"/>
  <c r="AW40" i="34"/>
  <c r="AX40" i="34"/>
  <c r="AY40" i="34"/>
  <c r="AN41" i="34"/>
  <c r="AO41" i="34"/>
  <c r="AP41" i="34"/>
  <c r="AQ41" i="34"/>
  <c r="AR41" i="34"/>
  <c r="AS41" i="34"/>
  <c r="AT41" i="34"/>
  <c r="AU41" i="34"/>
  <c r="AV41" i="34"/>
  <c r="AW41" i="34"/>
  <c r="AX41" i="34"/>
  <c r="AY41" i="34"/>
  <c r="AN18" i="31"/>
  <c r="AM18" i="34" s="1"/>
  <c r="H11" i="23"/>
  <c r="A1" i="13"/>
  <c r="A2" i="13"/>
  <c r="AM15" i="13" s="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AX15" i="11"/>
  <c r="AX17" i="11" s="1"/>
  <c r="AY15" i="11"/>
  <c r="AY17" i="11" s="1"/>
  <c r="AZ15" i="11"/>
  <c r="AZ17" i="11" s="1"/>
  <c r="BA15" i="11"/>
  <c r="BA17" i="11" s="1"/>
  <c r="BB15" i="11"/>
  <c r="BB17" i="11" s="1"/>
  <c r="BC15" i="11"/>
  <c r="BC17" i="11" s="1"/>
  <c r="BD15" i="11"/>
  <c r="BD17" i="11" s="1"/>
  <c r="BE15" i="11"/>
  <c r="BE17" i="11" s="1"/>
  <c r="BF15" i="11"/>
  <c r="BF17" i="11" s="1"/>
  <c r="BG15" i="11"/>
  <c r="BG17" i="11" s="1"/>
  <c r="BH15" i="11"/>
  <c r="BH17" i="11" s="1"/>
  <c r="BI15" i="11"/>
  <c r="BI17" i="11" s="1"/>
  <c r="H8" i="23"/>
  <c r="AC139" i="16"/>
  <c r="AD139" i="16"/>
  <c r="AE139" i="16"/>
  <c r="AF139" i="16"/>
  <c r="AG139" i="16"/>
  <c r="AH139" i="16"/>
  <c r="AI139" i="16"/>
  <c r="AJ139" i="16"/>
  <c r="AK139" i="16"/>
  <c r="AL139" i="16"/>
  <c r="AM139" i="16"/>
  <c r="AC74" i="16"/>
  <c r="AC72" i="16" s="1"/>
  <c r="AD74" i="16"/>
  <c r="AE74" i="16"/>
  <c r="AE13" i="16" s="1"/>
  <c r="AF74" i="16"/>
  <c r="AF13" i="16" s="1"/>
  <c r="AG74" i="16"/>
  <c r="AH74" i="16"/>
  <c r="AH13" i="16" s="1"/>
  <c r="AI74" i="16"/>
  <c r="AI13" i="16" s="1"/>
  <c r="AJ74" i="16"/>
  <c r="AK74" i="16"/>
  <c r="AK13" i="16" s="1"/>
  <c r="AL74" i="16"/>
  <c r="AM74" i="16"/>
  <c r="AM13" i="16" s="1"/>
  <c r="AB50" i="16"/>
  <c r="AC50" i="16"/>
  <c r="AD50" i="16"/>
  <c r="AF50" i="16"/>
  <c r="AG50" i="16"/>
  <c r="AH50" i="16"/>
  <c r="AI50" i="16"/>
  <c r="AJ50" i="16"/>
  <c r="AK50" i="16"/>
  <c r="AL50" i="16"/>
  <c r="AM50" i="16"/>
  <c r="AB51" i="16"/>
  <c r="AC51" i="16"/>
  <c r="AD51" i="16"/>
  <c r="AE51" i="16"/>
  <c r="AG51" i="16"/>
  <c r="AH51" i="16"/>
  <c r="AI51" i="16"/>
  <c r="AJ51" i="16"/>
  <c r="AK51" i="16"/>
  <c r="AL51" i="16"/>
  <c r="AM51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B54" i="16"/>
  <c r="AC54" i="16"/>
  <c r="AD54" i="16"/>
  <c r="AE54" i="16"/>
  <c r="AG54" i="16"/>
  <c r="AH54" i="16"/>
  <c r="AI54" i="16"/>
  <c r="AJ54" i="16"/>
  <c r="AK54" i="16"/>
  <c r="AL54" i="16"/>
  <c r="AM54" i="16"/>
  <c r="AB55" i="16"/>
  <c r="AC55" i="16"/>
  <c r="AD55" i="16"/>
  <c r="AE55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B60" i="16"/>
  <c r="AC60" i="16"/>
  <c r="AD60" i="16"/>
  <c r="AE60" i="16"/>
  <c r="AF60" i="16"/>
  <c r="AG60" i="16"/>
  <c r="AH60" i="16"/>
  <c r="AI60" i="16"/>
  <c r="AJ60" i="16"/>
  <c r="AJ28" i="16"/>
  <c r="AJ61" i="16"/>
  <c r="AJ64" i="16"/>
  <c r="AJ65" i="16"/>
  <c r="AK60" i="16"/>
  <c r="AL60" i="16"/>
  <c r="AM60" i="16"/>
  <c r="AB61" i="16"/>
  <c r="AC61" i="16"/>
  <c r="AD61" i="16"/>
  <c r="AE61" i="16"/>
  <c r="AF61" i="16"/>
  <c r="AG61" i="16"/>
  <c r="AH61" i="16"/>
  <c r="AI61" i="16"/>
  <c r="AK61" i="16"/>
  <c r="AL61" i="16"/>
  <c r="AM61" i="16"/>
  <c r="AD62" i="16"/>
  <c r="AE62" i="16"/>
  <c r="AF62" i="16"/>
  <c r="AG62" i="16"/>
  <c r="AI62" i="16"/>
  <c r="AJ62" i="16"/>
  <c r="AK62" i="16"/>
  <c r="AL62" i="16"/>
  <c r="AM62" i="16"/>
  <c r="AC63" i="16"/>
  <c r="AC140" i="16" s="1"/>
  <c r="AC138" i="16" s="1"/>
  <c r="AD63" i="16"/>
  <c r="AE63" i="16"/>
  <c r="AF63" i="16"/>
  <c r="AG63" i="16"/>
  <c r="AH63" i="16"/>
  <c r="AI63" i="16"/>
  <c r="AJ63" i="16"/>
  <c r="AK63" i="16"/>
  <c r="AL63" i="16"/>
  <c r="AM63" i="16"/>
  <c r="AB64" i="16"/>
  <c r="AC64" i="16"/>
  <c r="AD64" i="16"/>
  <c r="AE64" i="16"/>
  <c r="AF64" i="16"/>
  <c r="AG64" i="16"/>
  <c r="AH64" i="16"/>
  <c r="AI64" i="16"/>
  <c r="AK64" i="16"/>
  <c r="AL64" i="16"/>
  <c r="AM64" i="16"/>
  <c r="AB65" i="16"/>
  <c r="AC65" i="16"/>
  <c r="AD65" i="16"/>
  <c r="AE65" i="16"/>
  <c r="AF65" i="16"/>
  <c r="AG65" i="16"/>
  <c r="AH65" i="16"/>
  <c r="AI65" i="16"/>
  <c r="AK65" i="16"/>
  <c r="AL65" i="16"/>
  <c r="AM65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C49" i="16"/>
  <c r="AD49" i="16"/>
  <c r="AE49" i="16"/>
  <c r="AG49" i="16"/>
  <c r="AH49" i="16"/>
  <c r="AI49" i="16"/>
  <c r="AJ49" i="16"/>
  <c r="AK49" i="16"/>
  <c r="AL49" i="16"/>
  <c r="AM49" i="16"/>
  <c r="AC3" i="16"/>
  <c r="AD3" i="16"/>
  <c r="AD117" i="16" s="1"/>
  <c r="AD116" i="16" s="1"/>
  <c r="AD132" i="16" s="1"/>
  <c r="AE3" i="16"/>
  <c r="AF3" i="16"/>
  <c r="AG3" i="16"/>
  <c r="AH3" i="16"/>
  <c r="AI3" i="16"/>
  <c r="AJ3" i="16"/>
  <c r="AK3" i="16"/>
  <c r="AL3" i="16"/>
  <c r="AM3" i="16"/>
  <c r="AC4" i="16"/>
  <c r="AD4" i="16"/>
  <c r="AE4" i="16"/>
  <c r="AF4" i="16"/>
  <c r="AG4" i="16"/>
  <c r="AH4" i="16"/>
  <c r="AI4" i="16"/>
  <c r="AJ4" i="16"/>
  <c r="AK4" i="16"/>
  <c r="AL4" i="16"/>
  <c r="AM4" i="16"/>
  <c r="AC5" i="16"/>
  <c r="AD5" i="16"/>
  <c r="AE5" i="16"/>
  <c r="AF5" i="16"/>
  <c r="AG5" i="16"/>
  <c r="AH5" i="16"/>
  <c r="AI5" i="16"/>
  <c r="AJ5" i="16"/>
  <c r="AK5" i="16"/>
  <c r="AL5" i="16"/>
  <c r="AM5" i="16"/>
  <c r="AC6" i="16"/>
  <c r="AD6" i="16"/>
  <c r="AE6" i="16"/>
  <c r="AF6" i="16"/>
  <c r="AG6" i="16"/>
  <c r="AH6" i="16"/>
  <c r="AI6" i="16"/>
  <c r="AJ6" i="16"/>
  <c r="AK6" i="16"/>
  <c r="AL6" i="16"/>
  <c r="AM6" i="16"/>
  <c r="AC7" i="16"/>
  <c r="AD7" i="16"/>
  <c r="AE7" i="16"/>
  <c r="AF7" i="16"/>
  <c r="AG7" i="16"/>
  <c r="AH7" i="16"/>
  <c r="AI7" i="16"/>
  <c r="AJ7" i="16"/>
  <c r="AK7" i="16"/>
  <c r="AL7" i="16"/>
  <c r="AM7" i="16"/>
  <c r="AC8" i="16"/>
  <c r="AD8" i="16"/>
  <c r="AE8" i="16"/>
  <c r="AF8" i="16"/>
  <c r="AG8" i="16"/>
  <c r="AH8" i="16"/>
  <c r="AI8" i="16"/>
  <c r="AJ8" i="16"/>
  <c r="AK8" i="16"/>
  <c r="AL8" i="16"/>
  <c r="AM8" i="16"/>
  <c r="AC9" i="16"/>
  <c r="AD9" i="16"/>
  <c r="AE9" i="16"/>
  <c r="AF9" i="16"/>
  <c r="AG9" i="16"/>
  <c r="AH9" i="16"/>
  <c r="AI9" i="16"/>
  <c r="AJ9" i="16"/>
  <c r="AK9" i="16"/>
  <c r="AL9" i="16"/>
  <c r="AM9" i="16"/>
  <c r="AC10" i="16"/>
  <c r="AD10" i="16"/>
  <c r="AE10" i="16"/>
  <c r="AF10" i="16"/>
  <c r="AH10" i="16"/>
  <c r="AI10" i="16"/>
  <c r="AJ10" i="16"/>
  <c r="AK10" i="16"/>
  <c r="AL10" i="16"/>
  <c r="AM10" i="16"/>
  <c r="AC11" i="16"/>
  <c r="AD11" i="16"/>
  <c r="AE11" i="16"/>
  <c r="AF11" i="16"/>
  <c r="AG11" i="16"/>
  <c r="AH11" i="16"/>
  <c r="AI11" i="16"/>
  <c r="AJ11" i="16"/>
  <c r="AK11" i="16"/>
  <c r="AL11" i="16"/>
  <c r="AM11" i="16"/>
  <c r="AC14" i="16"/>
  <c r="AD14" i="16"/>
  <c r="AE14" i="16"/>
  <c r="AF14" i="16"/>
  <c r="AG14" i="16"/>
  <c r="AH14" i="16"/>
  <c r="AI14" i="16"/>
  <c r="AJ14" i="16"/>
  <c r="AK14" i="16"/>
  <c r="AL14" i="16"/>
  <c r="AM14" i="16"/>
  <c r="AC15" i="16"/>
  <c r="AD15" i="16"/>
  <c r="AE15" i="16"/>
  <c r="AF15" i="16"/>
  <c r="AG15" i="16"/>
  <c r="AH15" i="16"/>
  <c r="AI15" i="16"/>
  <c r="AJ15" i="16"/>
  <c r="AK15" i="16"/>
  <c r="AL15" i="16"/>
  <c r="AM15" i="16"/>
  <c r="AC16" i="16"/>
  <c r="AD16" i="16"/>
  <c r="AE16" i="16"/>
  <c r="AF16" i="16"/>
  <c r="AG16" i="16"/>
  <c r="AH16" i="16"/>
  <c r="AI16" i="16"/>
  <c r="AJ16" i="16"/>
  <c r="AK16" i="16"/>
  <c r="AL16" i="16"/>
  <c r="AM16" i="16"/>
  <c r="AD19" i="16"/>
  <c r="AE19" i="16"/>
  <c r="AF19" i="16"/>
  <c r="AG19" i="16"/>
  <c r="AH19" i="16"/>
  <c r="AI19" i="16"/>
  <c r="AJ19" i="16"/>
  <c r="AK19" i="16"/>
  <c r="AL19" i="16"/>
  <c r="AM19" i="16"/>
  <c r="AC20" i="16"/>
  <c r="AD20" i="16"/>
  <c r="AE20" i="16"/>
  <c r="AF20" i="16"/>
  <c r="AG20" i="16"/>
  <c r="AH20" i="16"/>
  <c r="AI20" i="16"/>
  <c r="AJ20" i="16"/>
  <c r="AK20" i="16"/>
  <c r="AL20" i="16"/>
  <c r="AM20" i="16"/>
  <c r="AC21" i="16"/>
  <c r="AE21" i="16"/>
  <c r="AF21" i="16"/>
  <c r="AG21" i="16"/>
  <c r="AH21" i="16"/>
  <c r="AI21" i="16"/>
  <c r="AJ21" i="16"/>
  <c r="AK21" i="16"/>
  <c r="AL21" i="16"/>
  <c r="AM21" i="16"/>
  <c r="AC23" i="16"/>
  <c r="AD23" i="16"/>
  <c r="AE23" i="16"/>
  <c r="AF23" i="16"/>
  <c r="AG23" i="16"/>
  <c r="AH23" i="16"/>
  <c r="AI23" i="16"/>
  <c r="AJ23" i="16"/>
  <c r="AK23" i="16"/>
  <c r="AL23" i="16"/>
  <c r="AM23" i="16"/>
  <c r="AC24" i="16"/>
  <c r="AD24" i="16"/>
  <c r="AE24" i="16"/>
  <c r="AC25" i="16"/>
  <c r="AD25" i="16"/>
  <c r="AE25" i="16"/>
  <c r="AF25" i="16"/>
  <c r="AG25" i="16"/>
  <c r="AH25" i="16"/>
  <c r="AI25" i="16"/>
  <c r="AJ25" i="16"/>
  <c r="AK25" i="16"/>
  <c r="AL25" i="16"/>
  <c r="AM25" i="16"/>
  <c r="AC26" i="16"/>
  <c r="AD26" i="16"/>
  <c r="AE26" i="16"/>
  <c r="AF26" i="16"/>
  <c r="AG26" i="16"/>
  <c r="AH26" i="16"/>
  <c r="AI26" i="16"/>
  <c r="AJ26" i="16"/>
  <c r="AK26" i="16"/>
  <c r="AL26" i="16"/>
  <c r="AM26" i="16"/>
  <c r="AC28" i="16"/>
  <c r="AD28" i="16"/>
  <c r="AE28" i="16"/>
  <c r="AF28" i="16"/>
  <c r="AG28" i="16"/>
  <c r="AH28" i="16"/>
  <c r="AI28" i="16"/>
  <c r="AK28" i="16"/>
  <c r="AL28" i="16"/>
  <c r="AM28" i="16"/>
  <c r="AC29" i="16"/>
  <c r="AD29" i="16"/>
  <c r="AE29" i="16"/>
  <c r="AF29" i="16"/>
  <c r="AG29" i="16"/>
  <c r="AH29" i="16"/>
  <c r="AI29" i="16"/>
  <c r="AJ29" i="16"/>
  <c r="AK29" i="16"/>
  <c r="AL29" i="16"/>
  <c r="AM29" i="16"/>
  <c r="AC30" i="16"/>
  <c r="AD30" i="16"/>
  <c r="AE30" i="16"/>
  <c r="AF30" i="16"/>
  <c r="AG30" i="16"/>
  <c r="AH30" i="16"/>
  <c r="AI30" i="16"/>
  <c r="AJ30" i="16"/>
  <c r="AK30" i="16"/>
  <c r="AL30" i="16"/>
  <c r="AM30" i="16"/>
  <c r="AC31" i="16"/>
  <c r="AC120" i="16" s="1"/>
  <c r="AD31" i="16"/>
  <c r="AD120" i="16" s="1"/>
  <c r="AE31" i="16"/>
  <c r="AE120" i="16" s="1"/>
  <c r="AF31" i="16"/>
  <c r="AF120" i="16" s="1"/>
  <c r="AG31" i="16"/>
  <c r="AG120" i="16" s="1"/>
  <c r="AH31" i="16"/>
  <c r="AH120" i="16" s="1"/>
  <c r="AI31" i="16"/>
  <c r="AI120" i="16" s="1"/>
  <c r="AJ31" i="16"/>
  <c r="AJ120" i="16" s="1"/>
  <c r="AK31" i="16"/>
  <c r="AK120" i="16" s="1"/>
  <c r="AL31" i="16"/>
  <c r="AL120" i="16" s="1"/>
  <c r="AM31" i="16"/>
  <c r="AM120" i="16" s="1"/>
  <c r="AJ32" i="16"/>
  <c r="AK32" i="16"/>
  <c r="AL32" i="16"/>
  <c r="AM32" i="16"/>
  <c r="AC33" i="16"/>
  <c r="AC121" i="16" s="1"/>
  <c r="AD33" i="16"/>
  <c r="AD121" i="16" s="1"/>
  <c r="AE33" i="16"/>
  <c r="AE121" i="16" s="1"/>
  <c r="AG33" i="16"/>
  <c r="AG121" i="16" s="1"/>
  <c r="AH33" i="16"/>
  <c r="AH121" i="16" s="1"/>
  <c r="AI33" i="16"/>
  <c r="AI121" i="16" s="1"/>
  <c r="AJ33" i="16"/>
  <c r="AJ121" i="16" s="1"/>
  <c r="AK33" i="16"/>
  <c r="AK121" i="16" s="1"/>
  <c r="AL33" i="16"/>
  <c r="AL121" i="16" s="1"/>
  <c r="AM33" i="16"/>
  <c r="AM121" i="16" s="1"/>
  <c r="AC34" i="16"/>
  <c r="AD34" i="16"/>
  <c r="AE34" i="16"/>
  <c r="AF34" i="16"/>
  <c r="AG34" i="16"/>
  <c r="AH34" i="16"/>
  <c r="AI34" i="16"/>
  <c r="AJ34" i="16"/>
  <c r="AK34" i="16"/>
  <c r="AL34" i="16"/>
  <c r="AM34" i="16"/>
  <c r="AC35" i="16"/>
  <c r="AD35" i="16"/>
  <c r="AE35" i="16"/>
  <c r="AF35" i="16"/>
  <c r="AG35" i="16"/>
  <c r="AH35" i="16"/>
  <c r="AI35" i="16"/>
  <c r="AJ35" i="16"/>
  <c r="AK35" i="16"/>
  <c r="AL35" i="16"/>
  <c r="AM35" i="16"/>
  <c r="AC36" i="16"/>
  <c r="AD36" i="16"/>
  <c r="AE36" i="16"/>
  <c r="AF36" i="16"/>
  <c r="AG36" i="16"/>
  <c r="AH36" i="16"/>
  <c r="AI36" i="16"/>
  <c r="AJ36" i="16"/>
  <c r="AK36" i="16"/>
  <c r="AL36" i="16"/>
  <c r="AM36" i="16"/>
  <c r="AC38" i="16"/>
  <c r="AD38" i="16"/>
  <c r="AE38" i="16"/>
  <c r="AF38" i="16"/>
  <c r="AG38" i="16"/>
  <c r="AH38" i="16"/>
  <c r="AI38" i="16"/>
  <c r="AJ38" i="16"/>
  <c r="AK38" i="16"/>
  <c r="AL38" i="16"/>
  <c r="AM38" i="16"/>
  <c r="AJ39" i="16"/>
  <c r="AK39" i="16"/>
  <c r="AL39" i="16"/>
  <c r="AM39" i="16"/>
  <c r="AC40" i="16"/>
  <c r="AD40" i="16"/>
  <c r="AE40" i="16"/>
  <c r="AF40" i="16"/>
  <c r="AG40" i="16"/>
  <c r="AH40" i="16"/>
  <c r="AI40" i="16"/>
  <c r="AJ40" i="16"/>
  <c r="AK40" i="16"/>
  <c r="AL40" i="16"/>
  <c r="AM40" i="16"/>
  <c r="AC42" i="16"/>
  <c r="AD42" i="16"/>
  <c r="AE42" i="16"/>
  <c r="AI42" i="16"/>
  <c r="AJ42" i="16"/>
  <c r="AK42" i="16"/>
  <c r="AL42" i="16"/>
  <c r="AM42" i="16"/>
  <c r="AB8" i="16"/>
  <c r="AB9" i="16"/>
  <c r="AB10" i="16"/>
  <c r="AB11" i="16"/>
  <c r="AB14" i="16"/>
  <c r="AB16" i="16"/>
  <c r="AB20" i="16"/>
  <c r="AB23" i="16"/>
  <c r="AB24" i="16"/>
  <c r="AB25" i="16"/>
  <c r="AB26" i="16"/>
  <c r="AB28" i="16"/>
  <c r="AB29" i="16"/>
  <c r="AB34" i="16"/>
  <c r="AB35" i="16"/>
  <c r="AB36" i="16"/>
  <c r="AB38" i="16"/>
  <c r="AB40" i="16"/>
  <c r="AB42" i="16"/>
  <c r="BZ43" i="19"/>
  <c r="BZ9" i="19"/>
  <c r="BV3" i="19"/>
  <c r="BS3" i="19"/>
  <c r="BP3" i="19"/>
  <c r="BM3" i="19"/>
  <c r="BJ3" i="19"/>
  <c r="BG3" i="19"/>
  <c r="BD3" i="19"/>
  <c r="BA3" i="19"/>
  <c r="AX3" i="19"/>
  <c r="AU3" i="19"/>
  <c r="AR3" i="19"/>
  <c r="AO3" i="19"/>
  <c r="BZ8" i="19"/>
  <c r="BZ10" i="19"/>
  <c r="BZ11" i="19"/>
  <c r="BZ12" i="19"/>
  <c r="I184" i="1"/>
  <c r="G184" i="1"/>
  <c r="I182" i="1"/>
  <c r="G182" i="1"/>
  <c r="I180" i="1"/>
  <c r="G180" i="1"/>
  <c r="D184" i="1"/>
  <c r="D182" i="1"/>
  <c r="D180" i="1"/>
  <c r="D192" i="1"/>
  <c r="D191" i="1"/>
  <c r="G193" i="1"/>
  <c r="G195" i="1" s="1"/>
  <c r="F14" i="1"/>
  <c r="E14" i="1"/>
  <c r="D14" i="1"/>
  <c r="F13" i="1"/>
  <c r="E13" i="1"/>
  <c r="D13" i="1"/>
  <c r="E12" i="1"/>
  <c r="D12" i="1"/>
  <c r="F11" i="1"/>
  <c r="E11" i="1"/>
  <c r="D11" i="1"/>
  <c r="E10" i="1"/>
  <c r="D10" i="1"/>
  <c r="E9" i="1"/>
  <c r="D9" i="1"/>
  <c r="E8" i="1"/>
  <c r="D8" i="1"/>
  <c r="G13" i="43"/>
  <c r="H13" i="43" s="1"/>
  <c r="AN4" i="9"/>
  <c r="AN143" i="9" s="1"/>
  <c r="AO4" i="9"/>
  <c r="AO143" i="9" s="1"/>
  <c r="AP4" i="9"/>
  <c r="AP181" i="9" s="1"/>
  <c r="AQ4" i="9"/>
  <c r="D8" i="44" s="1"/>
  <c r="AM4" i="9"/>
  <c r="AM143" i="9" s="1"/>
  <c r="AL4" i="9"/>
  <c r="AL143" i="9" s="1"/>
  <c r="L58" i="1"/>
  <c r="L60" i="1"/>
  <c r="L55" i="1"/>
  <c r="G177" i="1"/>
  <c r="Q7" i="6"/>
  <c r="Q8" i="6"/>
  <c r="AC3" i="10"/>
  <c r="L35" i="1"/>
  <c r="L36" i="1"/>
  <c r="L37" i="1"/>
  <c r="L38" i="1"/>
  <c r="L39" i="1"/>
  <c r="L43" i="1"/>
  <c r="L101" i="1" s="1"/>
  <c r="L44" i="1"/>
  <c r="L45" i="1"/>
  <c r="L46" i="1"/>
  <c r="L48" i="1"/>
  <c r="L49" i="1"/>
  <c r="L50" i="1"/>
  <c r="L54" i="1"/>
  <c r="L57" i="1"/>
  <c r="L61" i="1"/>
  <c r="L63" i="1"/>
  <c r="L64" i="1"/>
  <c r="L65" i="1"/>
  <c r="L68" i="1"/>
  <c r="L69" i="1"/>
  <c r="L70" i="1"/>
  <c r="L73" i="1"/>
  <c r="L109" i="1" s="1"/>
  <c r="L74" i="1"/>
  <c r="L110" i="1" s="1"/>
  <c r="L76" i="1"/>
  <c r="L77" i="1"/>
  <c r="L78" i="1"/>
  <c r="L81" i="1"/>
  <c r="L82" i="1"/>
  <c r="L83" i="1"/>
  <c r="L87" i="1"/>
  <c r="L88" i="1"/>
  <c r="L90" i="1"/>
  <c r="L91" i="1"/>
  <c r="L92" i="1"/>
  <c r="G96" i="1"/>
  <c r="AJ3" i="10"/>
  <c r="AJ9" i="10" s="1"/>
  <c r="AI3" i="10"/>
  <c r="AH3" i="10"/>
  <c r="AH9" i="10" s="1"/>
  <c r="AF3" i="10"/>
  <c r="AF9" i="10" s="1"/>
  <c r="AE4" i="10"/>
  <c r="AE3" i="10"/>
  <c r="AD3" i="10"/>
  <c r="I101" i="1"/>
  <c r="I102" i="1"/>
  <c r="I109" i="1"/>
  <c r="I110" i="1"/>
  <c r="G99" i="1"/>
  <c r="G101" i="1"/>
  <c r="G109" i="1"/>
  <c r="G110" i="1"/>
  <c r="D85" i="1"/>
  <c r="D113" i="1" s="1"/>
  <c r="D89" i="1"/>
  <c r="D114" i="1" s="1"/>
  <c r="D185" i="1"/>
  <c r="D347" i="17" s="1"/>
  <c r="G42" i="1"/>
  <c r="G178" i="1" s="1"/>
  <c r="G112" i="1"/>
  <c r="G56" i="1"/>
  <c r="G181" i="1" s="1"/>
  <c r="G53" i="1"/>
  <c r="G103" i="1" s="1"/>
  <c r="G89" i="1"/>
  <c r="G114" i="1" s="1"/>
  <c r="G59" i="1"/>
  <c r="G105" i="1" s="1"/>
  <c r="D59" i="1"/>
  <c r="D105" i="1" s="1"/>
  <c r="D56" i="1"/>
  <c r="D104" i="1" s="1"/>
  <c r="D53" i="1"/>
  <c r="D103" i="1" s="1"/>
  <c r="F73" i="1"/>
  <c r="F109" i="1" s="1"/>
  <c r="F74" i="1"/>
  <c r="F110" i="1" s="1"/>
  <c r="F86" i="1"/>
  <c r="F90" i="1"/>
  <c r="D31" i="1"/>
  <c r="D175" i="1" s="1"/>
  <c r="G31" i="1"/>
  <c r="G175" i="1" s="1"/>
  <c r="AA13" i="10"/>
  <c r="AA12" i="10"/>
  <c r="Z13" i="10"/>
  <c r="Z12" i="10"/>
  <c r="K289" i="17"/>
  <c r="M289" i="17" s="1"/>
  <c r="K39" i="32"/>
  <c r="K32" i="32"/>
  <c r="K24" i="32"/>
  <c r="BA34" i="31"/>
  <c r="K17" i="32" s="1"/>
  <c r="K16" i="32" s="1"/>
  <c r="BA33" i="31"/>
  <c r="BA32" i="31"/>
  <c r="BA31" i="31"/>
  <c r="K29" i="32" s="1"/>
  <c r="BA30" i="31"/>
  <c r="K31" i="32" s="1"/>
  <c r="BA29" i="31"/>
  <c r="K28" i="32" s="1"/>
  <c r="BA28" i="31"/>
  <c r="K38" i="32" s="1"/>
  <c r="BA27" i="31"/>
  <c r="K36" i="32" s="1"/>
  <c r="BA26" i="31"/>
  <c r="K35" i="32" s="1"/>
  <c r="BA25" i="31"/>
  <c r="K12" i="32" s="1"/>
  <c r="BA24" i="31"/>
  <c r="K15" i="32" s="1"/>
  <c r="BA23" i="31"/>
  <c r="K11" i="32" s="1"/>
  <c r="BA22" i="31"/>
  <c r="K37" i="32" s="1"/>
  <c r="BA17" i="31"/>
  <c r="K30" i="32" s="1"/>
  <c r="BA16" i="31"/>
  <c r="K22" i="32" s="1"/>
  <c r="BA15" i="31"/>
  <c r="K23" i="32" s="1"/>
  <c r="BA14" i="31"/>
  <c r="K21" i="32" s="1"/>
  <c r="BA13" i="31"/>
  <c r="K26" i="32" s="1"/>
  <c r="BA12" i="31"/>
  <c r="K20" i="32" s="1"/>
  <c r="BA8" i="31"/>
  <c r="K19" i="32" s="1"/>
  <c r="BA44" i="31"/>
  <c r="BA19" i="31"/>
  <c r="AP91" i="16"/>
  <c r="BA5" i="31"/>
  <c r="BA6" i="31"/>
  <c r="BA4" i="31"/>
  <c r="AM7" i="34"/>
  <c r="AL3" i="10"/>
  <c r="AL4" i="10"/>
  <c r="X8" i="8"/>
  <c r="Y21" i="16" s="1"/>
  <c r="U46" i="16"/>
  <c r="BC58" i="18"/>
  <c r="AA113" i="16"/>
  <c r="AA112" i="16"/>
  <c r="AA110" i="16"/>
  <c r="BZ11" i="38"/>
  <c r="BZ10" i="38"/>
  <c r="BZ9" i="38"/>
  <c r="BZ8" i="38"/>
  <c r="BZ7" i="38"/>
  <c r="BZ6" i="38"/>
  <c r="BZ5" i="38"/>
  <c r="BB60" i="18"/>
  <c r="BB71" i="18"/>
  <c r="AP90" i="16"/>
  <c r="BJ64" i="18"/>
  <c r="BD57" i="18"/>
  <c r="BE57" i="18"/>
  <c r="AQ15" i="10"/>
  <c r="AQ14" i="10"/>
  <c r="AK3" i="10"/>
  <c r="AK9" i="10" s="1"/>
  <c r="AR14" i="10"/>
  <c r="AS14" i="10" s="1"/>
  <c r="AR15" i="10"/>
  <c r="AS15" i="10" s="1"/>
  <c r="AA62" i="16"/>
  <c r="AR88" i="16"/>
  <c r="AK26" i="14"/>
  <c r="AN26" i="14"/>
  <c r="AN25" i="14"/>
  <c r="AN24" i="14"/>
  <c r="AN23" i="14"/>
  <c r="AN22" i="14"/>
  <c r="AL10" i="14"/>
  <c r="AL4" i="14"/>
  <c r="BW4" i="14" s="1"/>
  <c r="J270" i="17"/>
  <c r="G270" i="17"/>
  <c r="D270" i="17"/>
  <c r="AY123" i="16"/>
  <c r="AY128" i="16" s="1"/>
  <c r="AU132" i="16"/>
  <c r="AU133" i="16"/>
  <c r="AU134" i="16"/>
  <c r="AU131" i="16"/>
  <c r="AY131" i="16" s="1"/>
  <c r="AU124" i="16"/>
  <c r="AU127" i="16"/>
  <c r="AT128" i="16"/>
  <c r="AS126" i="16"/>
  <c r="AU126" i="16" s="1"/>
  <c r="AV126" i="16" s="1"/>
  <c r="AS125" i="16"/>
  <c r="AU125" i="16" s="1"/>
  <c r="AV125" i="16" s="1"/>
  <c r="AS123" i="16"/>
  <c r="AU123" i="16" s="1"/>
  <c r="Z132" i="16"/>
  <c r="AA3" i="16"/>
  <c r="M245" i="17"/>
  <c r="J261" i="17" s="1"/>
  <c r="L245" i="17"/>
  <c r="I245" i="17"/>
  <c r="G261" i="17" s="1"/>
  <c r="B4" i="38"/>
  <c r="D4" i="38"/>
  <c r="C4" i="38"/>
  <c r="AX4" i="38"/>
  <c r="BB4" i="38"/>
  <c r="AM20" i="33"/>
  <c r="AM21" i="33"/>
  <c r="AA49" i="16"/>
  <c r="Z49" i="16"/>
  <c r="AA19" i="16"/>
  <c r="AW34" i="11"/>
  <c r="AA57" i="16"/>
  <c r="AE30" i="12"/>
  <c r="Z33" i="8"/>
  <c r="AA54" i="16" s="1"/>
  <c r="Z10" i="8"/>
  <c r="AL7" i="9"/>
  <c r="AL144" i="9" s="1"/>
  <c r="B164" i="1"/>
  <c r="R161" i="1"/>
  <c r="I131" i="1"/>
  <c r="G120" i="1"/>
  <c r="G119" i="1" s="1"/>
  <c r="G188" i="1" s="1"/>
  <c r="G189" i="1" s="1"/>
  <c r="D120" i="1"/>
  <c r="D119" i="1" s="1"/>
  <c r="D188" i="1" s="1"/>
  <c r="AL9" i="28"/>
  <c r="AL10" i="28"/>
  <c r="U41" i="5"/>
  <c r="U39" i="5"/>
  <c r="Y26" i="5"/>
  <c r="Y34" i="5"/>
  <c r="U31" i="5"/>
  <c r="U28" i="5"/>
  <c r="U25" i="5"/>
  <c r="U24" i="5"/>
  <c r="U26" i="5"/>
  <c r="E101" i="4"/>
  <c r="E91" i="4" s="1"/>
  <c r="O65" i="5"/>
  <c r="C2" i="7"/>
  <c r="E4" i="7"/>
  <c r="AJ111" i="19"/>
  <c r="Q3" i="34"/>
  <c r="AM18" i="31"/>
  <c r="AL18" i="34" s="1"/>
  <c r="BB72" i="18"/>
  <c r="AK25" i="14"/>
  <c r="AF4" i="14"/>
  <c r="AF3" i="14" s="1"/>
  <c r="AG3" i="14" s="1"/>
  <c r="AO43" i="16"/>
  <c r="AO46" i="16"/>
  <c r="AO70" i="16"/>
  <c r="AO71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102" i="16"/>
  <c r="AO103" i="16"/>
  <c r="AO104" i="16"/>
  <c r="AO105" i="16"/>
  <c r="AO106" i="16"/>
  <c r="AO107" i="16"/>
  <c r="AO108" i="16"/>
  <c r="AO109" i="16"/>
  <c r="AO110" i="16"/>
  <c r="AO111" i="16"/>
  <c r="AO112" i="16"/>
  <c r="AO113" i="16"/>
  <c r="AO122" i="16"/>
  <c r="AO123" i="16"/>
  <c r="AO127" i="16"/>
  <c r="AO128" i="16"/>
  <c r="AO129" i="16"/>
  <c r="AO130" i="16"/>
  <c r="AO131" i="16"/>
  <c r="AO133" i="16"/>
  <c r="AO134" i="16"/>
  <c r="AO135" i="16"/>
  <c r="AO142" i="16"/>
  <c r="Y110" i="16"/>
  <c r="Y115" i="16"/>
  <c r="AK4" i="10"/>
  <c r="AK10" i="10" s="1"/>
  <c r="AM3" i="31"/>
  <c r="AL3" i="34" s="1"/>
  <c r="Y9" i="8"/>
  <c r="Z23" i="16" s="1"/>
  <c r="X9" i="8"/>
  <c r="Y23" i="16" s="1"/>
  <c r="Z114" i="16"/>
  <c r="AK4" i="9"/>
  <c r="AK143" i="9" s="1"/>
  <c r="G143" i="4"/>
  <c r="G146" i="4" s="1"/>
  <c r="G148" i="4" s="1"/>
  <c r="D114" i="4"/>
  <c r="E90" i="4"/>
  <c r="F7" i="4"/>
  <c r="F6" i="4" s="1"/>
  <c r="K288" i="17"/>
  <c r="M288" i="17" s="1"/>
  <c r="K286" i="17"/>
  <c r="M286" i="17" s="1"/>
  <c r="K287" i="17"/>
  <c r="K290" i="17"/>
  <c r="M379" i="17" s="1"/>
  <c r="AG79" i="19"/>
  <c r="AG80" i="19"/>
  <c r="AG82" i="19"/>
  <c r="AG81" i="19"/>
  <c r="AF99" i="19"/>
  <c r="AF98" i="19"/>
  <c r="AF97" i="19"/>
  <c r="AF96" i="19"/>
  <c r="AK24" i="14"/>
  <c r="AG23" i="14"/>
  <c r="AK23" i="14"/>
  <c r="Y42" i="16"/>
  <c r="AG22" i="14"/>
  <c r="AK22" i="14"/>
  <c r="AJ4" i="10"/>
  <c r="AJ10" i="10" s="1"/>
  <c r="H209" i="17"/>
  <c r="K209" i="17" s="1"/>
  <c r="H198" i="17"/>
  <c r="K198" i="17" s="1"/>
  <c r="H199" i="17"/>
  <c r="K199" i="17" s="1"/>
  <c r="H200" i="17"/>
  <c r="K200" i="17" s="1"/>
  <c r="H201" i="17"/>
  <c r="K201" i="17" s="1"/>
  <c r="H202" i="17"/>
  <c r="K202" i="17" s="1"/>
  <c r="H203" i="17"/>
  <c r="K203" i="17" s="1"/>
  <c r="H204" i="17"/>
  <c r="K204" i="17" s="1"/>
  <c r="H205" i="17"/>
  <c r="K205" i="17" s="1"/>
  <c r="H206" i="17"/>
  <c r="K206" i="17" s="1"/>
  <c r="H207" i="17"/>
  <c r="K207" i="17" s="1"/>
  <c r="H208" i="17"/>
  <c r="K208" i="17" s="1"/>
  <c r="H197" i="17"/>
  <c r="K197" i="17" s="1"/>
  <c r="AL18" i="31"/>
  <c r="AL3" i="31"/>
  <c r="AK3" i="34" s="1"/>
  <c r="Y112" i="16"/>
  <c r="AJ7" i="9"/>
  <c r="AJ182" i="9" s="1"/>
  <c r="AK7" i="9"/>
  <c r="AK182" i="9" s="1"/>
  <c r="AL80" i="27"/>
  <c r="AL82" i="27"/>
  <c r="AL96" i="27" s="1"/>
  <c r="AL83" i="27"/>
  <c r="AL84" i="27"/>
  <c r="G27" i="7"/>
  <c r="G28" i="7" s="1"/>
  <c r="H27" i="7"/>
  <c r="H28" i="7" s="1"/>
  <c r="I27" i="7"/>
  <c r="I28" i="7" s="1"/>
  <c r="J27" i="7"/>
  <c r="J28" i="7" s="1"/>
  <c r="F27" i="7"/>
  <c r="F28" i="7" s="1"/>
  <c r="K20" i="7"/>
  <c r="AT16" i="11"/>
  <c r="AT34" i="11"/>
  <c r="AB29" i="39"/>
  <c r="P27" i="39"/>
  <c r="AC10" i="14"/>
  <c r="AD10" i="14" s="1"/>
  <c r="AC4" i="14"/>
  <c r="AD4" i="14" s="1"/>
  <c r="X114" i="16"/>
  <c r="AK3" i="31"/>
  <c r="AJ3" i="34" s="1"/>
  <c r="AK18" i="31"/>
  <c r="AI18" i="31"/>
  <c r="AH18" i="34" s="1"/>
  <c r="AJ18" i="31"/>
  <c r="AI18" i="34" s="1"/>
  <c r="AI4" i="10"/>
  <c r="W9" i="8"/>
  <c r="X23" i="16" s="1"/>
  <c r="W10" i="8"/>
  <c r="X24" i="16" s="1"/>
  <c r="AJ172" i="9"/>
  <c r="AK172" i="9"/>
  <c r="AL172" i="9"/>
  <c r="AI172" i="9"/>
  <c r="AH172" i="9"/>
  <c r="AI171" i="9"/>
  <c r="AJ171" i="9"/>
  <c r="AK171" i="9"/>
  <c r="AL171" i="9"/>
  <c r="AH171" i="9"/>
  <c r="AI7" i="9"/>
  <c r="AI182" i="9" s="1"/>
  <c r="I10" i="7"/>
  <c r="J10" i="7" s="1"/>
  <c r="B322" i="17"/>
  <c r="W4" i="39"/>
  <c r="AA23" i="14"/>
  <c r="AE23" i="14"/>
  <c r="AA22" i="14"/>
  <c r="AC22" i="14" s="1"/>
  <c r="AB22" i="14"/>
  <c r="W5" i="39"/>
  <c r="F178" i="17"/>
  <c r="C1" i="23"/>
  <c r="F30" i="23" s="1"/>
  <c r="C2" i="23"/>
  <c r="F13" i="23"/>
  <c r="L59" i="23"/>
  <c r="Y58" i="23"/>
  <c r="L58" i="23"/>
  <c r="G12" i="23"/>
  <c r="R26" i="17" s="1"/>
  <c r="F12" i="23"/>
  <c r="G10" i="23"/>
  <c r="F10" i="23"/>
  <c r="H9" i="23"/>
  <c r="H99" i="17"/>
  <c r="J99" i="17" s="1"/>
  <c r="D169" i="9"/>
  <c r="E169" i="9"/>
  <c r="F169" i="9"/>
  <c r="G169" i="9"/>
  <c r="H169" i="9"/>
  <c r="I169" i="9"/>
  <c r="J169" i="9"/>
  <c r="K169" i="9"/>
  <c r="L169" i="9"/>
  <c r="M169" i="9"/>
  <c r="C169" i="9"/>
  <c r="AI19" i="34"/>
  <c r="AJ20" i="31"/>
  <c r="AI20" i="33"/>
  <c r="AJ21" i="31"/>
  <c r="AI21" i="33"/>
  <c r="AJ3" i="31"/>
  <c r="AI3" i="34" s="1"/>
  <c r="K75" i="36"/>
  <c r="K70" i="36"/>
  <c r="K66" i="36"/>
  <c r="K59" i="36"/>
  <c r="K53" i="36"/>
  <c r="K47" i="36"/>
  <c r="W139" i="16"/>
  <c r="W8" i="16"/>
  <c r="W9" i="16"/>
  <c r="W10" i="16"/>
  <c r="W11" i="16"/>
  <c r="W14" i="16"/>
  <c r="W15" i="16"/>
  <c r="W16" i="16"/>
  <c r="W19" i="16"/>
  <c r="W20" i="16"/>
  <c r="W21" i="16"/>
  <c r="W24" i="16"/>
  <c r="W25" i="16"/>
  <c r="W26" i="16"/>
  <c r="W28" i="16"/>
  <c r="W29" i="16"/>
  <c r="W30" i="16"/>
  <c r="W31" i="16"/>
  <c r="W120" i="16" s="1"/>
  <c r="W33" i="16"/>
  <c r="W126" i="16" s="1"/>
  <c r="W34" i="16"/>
  <c r="W36" i="16"/>
  <c r="W42" i="16"/>
  <c r="W49" i="16"/>
  <c r="W50" i="16"/>
  <c r="W51" i="16"/>
  <c r="W52" i="16"/>
  <c r="W53" i="16"/>
  <c r="W54" i="16"/>
  <c r="W55" i="16"/>
  <c r="W57" i="16"/>
  <c r="W58" i="16"/>
  <c r="W59" i="16"/>
  <c r="W60" i="16"/>
  <c r="W61" i="16"/>
  <c r="W64" i="16"/>
  <c r="W65" i="16"/>
  <c r="W66" i="16"/>
  <c r="G8" i="45"/>
  <c r="K8" i="45" s="1"/>
  <c r="J13" i="44"/>
  <c r="C31" i="42"/>
  <c r="C30" i="42" s="1"/>
  <c r="AH4" i="9"/>
  <c r="AH181" i="9" s="1"/>
  <c r="AI4" i="9"/>
  <c r="AJ4" i="9"/>
  <c r="AJ143" i="9" s="1"/>
  <c r="V9" i="8"/>
  <c r="W23" i="16" s="1"/>
  <c r="V27" i="8"/>
  <c r="W114" i="16"/>
  <c r="R20" i="8"/>
  <c r="S20" i="8" s="1"/>
  <c r="S22" i="8"/>
  <c r="T39" i="16" s="1"/>
  <c r="Q13" i="5"/>
  <c r="Q17" i="5"/>
  <c r="Q16" i="5"/>
  <c r="Q15" i="5"/>
  <c r="Q14" i="5"/>
  <c r="Q8" i="5"/>
  <c r="Q7" i="5"/>
  <c r="AH10" i="10"/>
  <c r="AA122" i="9"/>
  <c r="AA171" i="9" s="1"/>
  <c r="AB122" i="9"/>
  <c r="AB171" i="9" s="1"/>
  <c r="AC122" i="9"/>
  <c r="AC171" i="9" s="1"/>
  <c r="AD122" i="9"/>
  <c r="AD171" i="9" s="1"/>
  <c r="O122" i="9"/>
  <c r="O171" i="9" s="1"/>
  <c r="P122" i="9"/>
  <c r="P171" i="9" s="1"/>
  <c r="Q122" i="9"/>
  <c r="Q171" i="9" s="1"/>
  <c r="R122" i="9"/>
  <c r="R171" i="9" s="1"/>
  <c r="S122" i="9"/>
  <c r="S171" i="9" s="1"/>
  <c r="T122" i="9"/>
  <c r="T171" i="9" s="1"/>
  <c r="U122" i="9"/>
  <c r="U171" i="9" s="1"/>
  <c r="V122" i="9"/>
  <c r="V171" i="9" s="1"/>
  <c r="W122" i="9"/>
  <c r="W171" i="9" s="1"/>
  <c r="X122" i="9"/>
  <c r="X171" i="9" s="1"/>
  <c r="Y122" i="9"/>
  <c r="Y171" i="9" s="1"/>
  <c r="Z122" i="9"/>
  <c r="Z171" i="9" s="1"/>
  <c r="AE122" i="9"/>
  <c r="AE171" i="9" s="1"/>
  <c r="AF122" i="9"/>
  <c r="AF171" i="9" s="1"/>
  <c r="G33" i="42"/>
  <c r="D33" i="42"/>
  <c r="AA172" i="9"/>
  <c r="AB172" i="9"/>
  <c r="AC172" i="9"/>
  <c r="AD172" i="9"/>
  <c r="U172" i="9"/>
  <c r="V172" i="9"/>
  <c r="W172" i="9"/>
  <c r="X172" i="9"/>
  <c r="Y172" i="9"/>
  <c r="Z172" i="9"/>
  <c r="AE172" i="9"/>
  <c r="AF172" i="9"/>
  <c r="AG172" i="9"/>
  <c r="D1" i="41"/>
  <c r="C2" i="41" s="1"/>
  <c r="Q165" i="9"/>
  <c r="R165" i="9"/>
  <c r="S165" i="9"/>
  <c r="T165" i="9"/>
  <c r="U165" i="9"/>
  <c r="V165" i="9"/>
  <c r="W165" i="9"/>
  <c r="X165" i="9"/>
  <c r="Y165" i="9"/>
  <c r="Z165" i="9"/>
  <c r="AA165" i="9"/>
  <c r="AC165" i="9"/>
  <c r="AD165" i="9"/>
  <c r="AE165" i="9"/>
  <c r="AF165" i="9"/>
  <c r="AG165" i="9"/>
  <c r="AH165" i="9"/>
  <c r="AI165" i="9"/>
  <c r="AJ165" i="9"/>
  <c r="AK165" i="9"/>
  <c r="AL165" i="9"/>
  <c r="H92" i="17"/>
  <c r="J92" i="17" s="1"/>
  <c r="O166" i="9"/>
  <c r="P166" i="9"/>
  <c r="Q166" i="9"/>
  <c r="R166" i="9"/>
  <c r="S166" i="9"/>
  <c r="T166" i="9"/>
  <c r="U166" i="9"/>
  <c r="V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W166" i="9"/>
  <c r="X166" i="9"/>
  <c r="Y166" i="9"/>
  <c r="Z166" i="9"/>
  <c r="AA166" i="9"/>
  <c r="AC166" i="9"/>
  <c r="AD166" i="9"/>
  <c r="AE166" i="9"/>
  <c r="AF166" i="9"/>
  <c r="AG166" i="9"/>
  <c r="AH166" i="9"/>
  <c r="AI166" i="9"/>
  <c r="AJ166" i="9"/>
  <c r="AK166" i="9"/>
  <c r="AL166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C164" i="9"/>
  <c r="AD164" i="9"/>
  <c r="AE164" i="9"/>
  <c r="AF164" i="9"/>
  <c r="AG164" i="9"/>
  <c r="AH164" i="9"/>
  <c r="E35" i="1" s="1"/>
  <c r="K35" i="1" s="1"/>
  <c r="V35" i="1" s="1"/>
  <c r="AI164" i="9"/>
  <c r="AJ164" i="9"/>
  <c r="AK164" i="9"/>
  <c r="AL164" i="9"/>
  <c r="H91" i="17"/>
  <c r="J91" i="17" s="1"/>
  <c r="V167" i="9"/>
  <c r="V168" i="9"/>
  <c r="AJ54" i="27"/>
  <c r="G11" i="7"/>
  <c r="H11" i="7"/>
  <c r="I11" i="7"/>
  <c r="J11" i="7"/>
  <c r="AB33" i="27"/>
  <c r="AH42" i="27" s="1"/>
  <c r="AA33" i="27"/>
  <c r="AG42" i="27" s="1"/>
  <c r="Z33" i="27"/>
  <c r="AF42" i="27" s="1"/>
  <c r="Y33" i="27"/>
  <c r="AC40" i="27" s="1"/>
  <c r="X33" i="27"/>
  <c r="AC41" i="27" s="1"/>
  <c r="W33" i="27"/>
  <c r="X37" i="27" s="1"/>
  <c r="AC54" i="27"/>
  <c r="AC80" i="27"/>
  <c r="AC81" i="27"/>
  <c r="AC82" i="27"/>
  <c r="AC96" i="27" s="1"/>
  <c r="AC83" i="27"/>
  <c r="AC84" i="27"/>
  <c r="AC33" i="27"/>
  <c r="AI42" i="27" s="1"/>
  <c r="AD54" i="27"/>
  <c r="AD80" i="27"/>
  <c r="AD81" i="27"/>
  <c r="AD82" i="27"/>
  <c r="AD96" i="27" s="1"/>
  <c r="AD83" i="27"/>
  <c r="AD84" i="27"/>
  <c r="AD33" i="27"/>
  <c r="AE37" i="27" s="1"/>
  <c r="AE54" i="27"/>
  <c r="AE80" i="27"/>
  <c r="AE82" i="27"/>
  <c r="AE96" i="27" s="1"/>
  <c r="AE81" i="27"/>
  <c r="AE83" i="27"/>
  <c r="AE84" i="27"/>
  <c r="AE33" i="27"/>
  <c r="AF37" i="27" s="1"/>
  <c r="AF54" i="27"/>
  <c r="AF80" i="27"/>
  <c r="AF82" i="27"/>
  <c r="AF96" i="27" s="1"/>
  <c r="AF81" i="27"/>
  <c r="AF83" i="27"/>
  <c r="AF84" i="27"/>
  <c r="AF33" i="27"/>
  <c r="AJ40" i="27" s="1"/>
  <c r="AG54" i="27"/>
  <c r="AG80" i="27"/>
  <c r="AG81" i="27"/>
  <c r="AG82" i="27"/>
  <c r="AG96" i="27" s="1"/>
  <c r="AG83" i="27"/>
  <c r="AG84" i="27"/>
  <c r="AG33" i="27"/>
  <c r="AJ39" i="27" s="1"/>
  <c r="AH54" i="27"/>
  <c r="AH80" i="27"/>
  <c r="AH81" i="27"/>
  <c r="AH82" i="27"/>
  <c r="AH96" i="27" s="1"/>
  <c r="AH83" i="27"/>
  <c r="AH84" i="27"/>
  <c r="AH33" i="27"/>
  <c r="AK39" i="27" s="1"/>
  <c r="AI54" i="27"/>
  <c r="AI80" i="27"/>
  <c r="AI82" i="27"/>
  <c r="AI96" i="27" s="1"/>
  <c r="AI81" i="27"/>
  <c r="AI83" i="27"/>
  <c r="AI84" i="27"/>
  <c r="U16" i="16"/>
  <c r="U20" i="16"/>
  <c r="S18" i="16"/>
  <c r="U92" i="16"/>
  <c r="U14" i="16"/>
  <c r="U28" i="16"/>
  <c r="U42" i="16"/>
  <c r="U49" i="16"/>
  <c r="U57" i="16"/>
  <c r="U58" i="16"/>
  <c r="U59" i="16"/>
  <c r="U60" i="16"/>
  <c r="U61" i="16"/>
  <c r="U64" i="16"/>
  <c r="U65" i="16"/>
  <c r="U66" i="16"/>
  <c r="AG9" i="39"/>
  <c r="T8" i="8"/>
  <c r="R19" i="16"/>
  <c r="R21" i="16"/>
  <c r="R117" i="16" s="1"/>
  <c r="R116" i="16" s="1"/>
  <c r="R23" i="16"/>
  <c r="R24" i="16"/>
  <c r="R25" i="16"/>
  <c r="R26" i="16"/>
  <c r="R20" i="16"/>
  <c r="U19" i="16"/>
  <c r="T9" i="8"/>
  <c r="U23" i="16" s="1"/>
  <c r="T10" i="8"/>
  <c r="U24" i="16" s="1"/>
  <c r="U25" i="16"/>
  <c r="U26" i="16"/>
  <c r="K6" i="40"/>
  <c r="K7" i="40"/>
  <c r="K8" i="40"/>
  <c r="U3" i="40"/>
  <c r="V3" i="40"/>
  <c r="V23" i="16"/>
  <c r="V24" i="16"/>
  <c r="U11" i="8"/>
  <c r="V25" i="16" s="1"/>
  <c r="U12" i="8"/>
  <c r="V26" i="16" s="1"/>
  <c r="S9" i="8"/>
  <c r="T23" i="16" s="1"/>
  <c r="T24" i="16"/>
  <c r="T25" i="16"/>
  <c r="T26" i="16"/>
  <c r="S23" i="16"/>
  <c r="S24" i="16"/>
  <c r="S25" i="16"/>
  <c r="S26" i="16"/>
  <c r="V19" i="16"/>
  <c r="V21" i="16"/>
  <c r="V117" i="16" s="1"/>
  <c r="V116" i="16" s="1"/>
  <c r="V20" i="16"/>
  <c r="S19" i="16"/>
  <c r="S21" i="16"/>
  <c r="S20" i="16"/>
  <c r="AA21" i="16"/>
  <c r="AA25" i="16"/>
  <c r="AA26" i="16"/>
  <c r="AA20" i="16"/>
  <c r="Z19" i="16"/>
  <c r="Z21" i="16"/>
  <c r="Z117" i="16" s="1"/>
  <c r="AR117" i="16" s="1"/>
  <c r="Z24" i="16"/>
  <c r="Z25" i="16"/>
  <c r="Z26" i="16"/>
  <c r="Z20" i="16"/>
  <c r="Y19" i="16"/>
  <c r="Y24" i="16"/>
  <c r="Y25" i="16"/>
  <c r="Y26" i="16"/>
  <c r="Y20" i="16"/>
  <c r="X14" i="16"/>
  <c r="X28" i="16"/>
  <c r="X42" i="16"/>
  <c r="X49" i="16"/>
  <c r="X57" i="16"/>
  <c r="X58" i="16"/>
  <c r="X59" i="16"/>
  <c r="X60" i="16"/>
  <c r="X61" i="16"/>
  <c r="X64" i="16"/>
  <c r="X65" i="16"/>
  <c r="X66" i="16"/>
  <c r="X19" i="16"/>
  <c r="X21" i="16"/>
  <c r="X117" i="16" s="1"/>
  <c r="X116" i="16" s="1"/>
  <c r="X25" i="16"/>
  <c r="X26" i="16"/>
  <c r="X20" i="16"/>
  <c r="T19" i="16"/>
  <c r="T21" i="16"/>
  <c r="T20" i="16"/>
  <c r="V14" i="16"/>
  <c r="V28" i="16"/>
  <c r="V42" i="16"/>
  <c r="V49" i="16"/>
  <c r="V57" i="16"/>
  <c r="V58" i="16"/>
  <c r="V59" i="16"/>
  <c r="V60" i="16"/>
  <c r="V61" i="16"/>
  <c r="V64" i="16"/>
  <c r="V65" i="16"/>
  <c r="V66" i="16"/>
  <c r="U115" i="16"/>
  <c r="U114" i="16" s="1"/>
  <c r="R14" i="16"/>
  <c r="R28" i="16"/>
  <c r="R42" i="16"/>
  <c r="R49" i="16"/>
  <c r="R57" i="16"/>
  <c r="R58" i="16"/>
  <c r="R59" i="16"/>
  <c r="R60" i="16"/>
  <c r="R61" i="16"/>
  <c r="R64" i="16"/>
  <c r="R65" i="16"/>
  <c r="R66" i="16"/>
  <c r="S14" i="16"/>
  <c r="S28" i="16"/>
  <c r="S42" i="16"/>
  <c r="S49" i="16"/>
  <c r="S57" i="16"/>
  <c r="S58" i="16"/>
  <c r="S59" i="16"/>
  <c r="S60" i="16"/>
  <c r="S61" i="16"/>
  <c r="S64" i="16"/>
  <c r="S65" i="16"/>
  <c r="S66" i="16"/>
  <c r="T14" i="16"/>
  <c r="T28" i="16"/>
  <c r="T42" i="16"/>
  <c r="T49" i="16"/>
  <c r="T57" i="16"/>
  <c r="T58" i="16"/>
  <c r="T59" i="16"/>
  <c r="T60" i="16"/>
  <c r="T61" i="16"/>
  <c r="T64" i="16"/>
  <c r="T65" i="16"/>
  <c r="T66" i="16"/>
  <c r="J75" i="36"/>
  <c r="J70" i="36"/>
  <c r="J66" i="36"/>
  <c r="J59" i="36"/>
  <c r="J53" i="36"/>
  <c r="J47" i="36"/>
  <c r="J40" i="36"/>
  <c r="J34" i="36"/>
  <c r="S4" i="40"/>
  <c r="S3" i="40"/>
  <c r="R4" i="40"/>
  <c r="R3" i="40"/>
  <c r="Q4" i="40"/>
  <c r="Q3" i="40"/>
  <c r="V5" i="39"/>
  <c r="V11" i="39" s="1"/>
  <c r="AR15" i="11"/>
  <c r="AR17" i="11" s="1"/>
  <c r="Q46" i="24"/>
  <c r="R46" i="24"/>
  <c r="S46" i="24"/>
  <c r="T46" i="24"/>
  <c r="V139" i="16"/>
  <c r="D28" i="8"/>
  <c r="E28" i="8" s="1"/>
  <c r="F28" i="8" s="1"/>
  <c r="G28" i="8" s="1"/>
  <c r="H28" i="8" s="1"/>
  <c r="E25" i="8"/>
  <c r="F25" i="8" s="1"/>
  <c r="AG21" i="33"/>
  <c r="AG21" i="34" s="1"/>
  <c r="AG20" i="33"/>
  <c r="AG20" i="34" s="1"/>
  <c r="AI3" i="31"/>
  <c r="AH3" i="34" s="1"/>
  <c r="AG4" i="10"/>
  <c r="AG3" i="10"/>
  <c r="V114" i="16"/>
  <c r="AG7" i="9"/>
  <c r="AG182" i="9" s="1"/>
  <c r="AH7" i="9"/>
  <c r="AH144" i="9" s="1"/>
  <c r="AF4" i="10"/>
  <c r="AF10" i="10" s="1"/>
  <c r="H54" i="46"/>
  <c r="G54" i="46"/>
  <c r="F54" i="46"/>
  <c r="E54" i="46"/>
  <c r="H53" i="46"/>
  <c r="G53" i="46"/>
  <c r="F53" i="46"/>
  <c r="E53" i="46"/>
  <c r="H51" i="46"/>
  <c r="G51" i="46"/>
  <c r="F51" i="46"/>
  <c r="E51" i="46"/>
  <c r="H28" i="46"/>
  <c r="P26" i="46"/>
  <c r="J35" i="45"/>
  <c r="G35" i="45"/>
  <c r="D35" i="45"/>
  <c r="C27" i="45"/>
  <c r="C35" i="45" s="1"/>
  <c r="J34" i="45"/>
  <c r="G34" i="45"/>
  <c r="H34" i="45" s="1"/>
  <c r="D34" i="45"/>
  <c r="E34" i="45" s="1"/>
  <c r="J33" i="45"/>
  <c r="G33" i="45"/>
  <c r="H33" i="45" s="1"/>
  <c r="D33" i="45"/>
  <c r="E33" i="45" s="1"/>
  <c r="J32" i="45"/>
  <c r="G32" i="45"/>
  <c r="F32" i="45"/>
  <c r="D32" i="45"/>
  <c r="C32" i="45"/>
  <c r="J31" i="45"/>
  <c r="G31" i="45"/>
  <c r="F31" i="45"/>
  <c r="D31" i="45"/>
  <c r="C31" i="45"/>
  <c r="J30" i="45"/>
  <c r="G30" i="45"/>
  <c r="F30" i="45"/>
  <c r="D30" i="45"/>
  <c r="C30" i="45"/>
  <c r="J29" i="45"/>
  <c r="G29" i="45"/>
  <c r="F29" i="45"/>
  <c r="D29" i="45"/>
  <c r="C29" i="45"/>
  <c r="J28" i="45"/>
  <c r="G28" i="45"/>
  <c r="D28" i="45"/>
  <c r="J27" i="45"/>
  <c r="G27" i="45"/>
  <c r="F27" i="45"/>
  <c r="F35" i="45" s="1"/>
  <c r="D27" i="45"/>
  <c r="J26" i="45"/>
  <c r="G26" i="45"/>
  <c r="F26" i="45"/>
  <c r="D26" i="45"/>
  <c r="C26" i="45"/>
  <c r="J25" i="45"/>
  <c r="G25" i="45"/>
  <c r="F25" i="45"/>
  <c r="G24" i="45"/>
  <c r="J24" i="45"/>
  <c r="D25" i="45"/>
  <c r="C25" i="45"/>
  <c r="D24" i="45"/>
  <c r="J23" i="45"/>
  <c r="G23" i="45"/>
  <c r="H23" i="45" s="1"/>
  <c r="D23" i="45"/>
  <c r="E23" i="45" s="1"/>
  <c r="J22" i="45"/>
  <c r="G22" i="45"/>
  <c r="H22" i="45" s="1"/>
  <c r="D22" i="45"/>
  <c r="E22" i="45" s="1"/>
  <c r="J21" i="45"/>
  <c r="G21" i="45"/>
  <c r="F21" i="45"/>
  <c r="D21" i="45"/>
  <c r="C21" i="45"/>
  <c r="J20" i="45"/>
  <c r="G20" i="45"/>
  <c r="H20" i="45" s="1"/>
  <c r="D20" i="45"/>
  <c r="E20" i="45" s="1"/>
  <c r="J19" i="45"/>
  <c r="G19" i="45"/>
  <c r="H19" i="45" s="1"/>
  <c r="D19" i="45"/>
  <c r="E19" i="45" s="1"/>
  <c r="J18" i="45"/>
  <c r="G18" i="45"/>
  <c r="F18" i="45"/>
  <c r="D18" i="45"/>
  <c r="C18" i="45"/>
  <c r="J17" i="45"/>
  <c r="G17" i="45"/>
  <c r="H17" i="45" s="1"/>
  <c r="D17" i="45"/>
  <c r="E17" i="45" s="1"/>
  <c r="J16" i="45"/>
  <c r="G16" i="45"/>
  <c r="H16" i="45" s="1"/>
  <c r="D16" i="45"/>
  <c r="E16" i="45" s="1"/>
  <c r="J15" i="45"/>
  <c r="G15" i="45"/>
  <c r="H15" i="45" s="1"/>
  <c r="D15" i="45"/>
  <c r="E15" i="45" s="1"/>
  <c r="J14" i="45"/>
  <c r="G14" i="45"/>
  <c r="D14" i="45"/>
  <c r="E14" i="45" s="1"/>
  <c r="J13" i="45"/>
  <c r="G13" i="45"/>
  <c r="D13" i="45"/>
  <c r="E13" i="45" s="1"/>
  <c r="J12" i="45"/>
  <c r="G12" i="45"/>
  <c r="F12" i="45"/>
  <c r="D12" i="45"/>
  <c r="C12" i="45"/>
  <c r="J11" i="45"/>
  <c r="K29" i="41" s="1"/>
  <c r="K24" i="41" s="1"/>
  <c r="G11" i="45"/>
  <c r="D11" i="45"/>
  <c r="D10" i="45"/>
  <c r="E10" i="45" s="1"/>
  <c r="J9" i="45"/>
  <c r="G9" i="45"/>
  <c r="H9" i="45" s="1"/>
  <c r="D9" i="45"/>
  <c r="E9" i="45" s="1"/>
  <c r="F8" i="45"/>
  <c r="D8" i="45"/>
  <c r="C8" i="45"/>
  <c r="J7" i="45"/>
  <c r="D7" i="45"/>
  <c r="C5" i="45"/>
  <c r="E4" i="45"/>
  <c r="J35" i="44"/>
  <c r="G35" i="44"/>
  <c r="H35" i="44" s="1"/>
  <c r="D35" i="44"/>
  <c r="C35" i="44"/>
  <c r="J34" i="44"/>
  <c r="G34" i="44"/>
  <c r="H34" i="44" s="1"/>
  <c r="D34" i="44"/>
  <c r="C34" i="44"/>
  <c r="J33" i="44"/>
  <c r="K33" i="44" s="1"/>
  <c r="G33" i="44"/>
  <c r="F33" i="44"/>
  <c r="C33" i="44" s="1"/>
  <c r="D33" i="44"/>
  <c r="G32" i="44"/>
  <c r="F32" i="44"/>
  <c r="D32" i="44"/>
  <c r="C32" i="44"/>
  <c r="G31" i="44"/>
  <c r="H31" i="44" s="1"/>
  <c r="D31" i="44"/>
  <c r="E31" i="44" s="1"/>
  <c r="J30" i="44"/>
  <c r="G30" i="44"/>
  <c r="F30" i="44"/>
  <c r="D30" i="44"/>
  <c r="C30" i="44"/>
  <c r="J29" i="44"/>
  <c r="G29" i="44"/>
  <c r="H29" i="44" s="1"/>
  <c r="D29" i="44"/>
  <c r="E29" i="44" s="1"/>
  <c r="G28" i="44"/>
  <c r="F28" i="44"/>
  <c r="D28" i="44"/>
  <c r="C28" i="44"/>
  <c r="G27" i="44"/>
  <c r="F27" i="44"/>
  <c r="D27" i="44"/>
  <c r="E27" i="44" s="1"/>
  <c r="C27" i="44"/>
  <c r="G26" i="44"/>
  <c r="H26" i="44" s="1"/>
  <c r="D26" i="44"/>
  <c r="E26" i="44" s="1"/>
  <c r="J25" i="44"/>
  <c r="G25" i="44"/>
  <c r="H25" i="44" s="1"/>
  <c r="D25" i="44"/>
  <c r="E25" i="44" s="1"/>
  <c r="J24" i="44"/>
  <c r="G24" i="44"/>
  <c r="H24" i="44" s="1"/>
  <c r="D24" i="44"/>
  <c r="E24" i="44" s="1"/>
  <c r="G23" i="44"/>
  <c r="F23" i="44"/>
  <c r="D23" i="44"/>
  <c r="C23" i="44"/>
  <c r="G22" i="44"/>
  <c r="D22" i="44"/>
  <c r="J21" i="44"/>
  <c r="G21" i="44"/>
  <c r="H21" i="44" s="1"/>
  <c r="D21" i="44"/>
  <c r="E21" i="44" s="1"/>
  <c r="J20" i="44"/>
  <c r="G20" i="44"/>
  <c r="D20" i="44"/>
  <c r="E20" i="44" s="1"/>
  <c r="J19" i="44"/>
  <c r="G19" i="44"/>
  <c r="H19" i="44" s="1"/>
  <c r="D19" i="44"/>
  <c r="E19" i="44" s="1"/>
  <c r="J18" i="44"/>
  <c r="G18" i="44"/>
  <c r="H18" i="44" s="1"/>
  <c r="D18" i="44"/>
  <c r="E18" i="44" s="1"/>
  <c r="J17" i="44"/>
  <c r="G17" i="44"/>
  <c r="F17" i="44"/>
  <c r="D17" i="44"/>
  <c r="C17" i="44"/>
  <c r="G16" i="44"/>
  <c r="D16" i="44"/>
  <c r="D15" i="44"/>
  <c r="J14" i="44"/>
  <c r="G14" i="44"/>
  <c r="H14" i="44" s="1"/>
  <c r="D14" i="44"/>
  <c r="E14" i="44" s="1"/>
  <c r="G13" i="44"/>
  <c r="H13" i="44" s="1"/>
  <c r="D13" i="44"/>
  <c r="E13" i="44" s="1"/>
  <c r="J12" i="44"/>
  <c r="G12" i="44"/>
  <c r="H12" i="44" s="1"/>
  <c r="D12" i="44"/>
  <c r="E12" i="44" s="1"/>
  <c r="F11" i="44"/>
  <c r="J10" i="44"/>
  <c r="G10" i="44"/>
  <c r="H10" i="44" s="1"/>
  <c r="D10" i="44"/>
  <c r="E10" i="44" s="1"/>
  <c r="J9" i="44"/>
  <c r="G9" i="44"/>
  <c r="H9" i="44" s="1"/>
  <c r="D9" i="44"/>
  <c r="E9" i="44" s="1"/>
  <c r="F8" i="44"/>
  <c r="D7" i="44"/>
  <c r="E7" i="44" s="1"/>
  <c r="C5" i="44"/>
  <c r="E4" i="44"/>
  <c r="J42" i="43"/>
  <c r="G42" i="43"/>
  <c r="F42" i="43"/>
  <c r="D42" i="43"/>
  <c r="C42" i="43"/>
  <c r="J41" i="43"/>
  <c r="G41" i="43"/>
  <c r="H41" i="43" s="1"/>
  <c r="D41" i="43"/>
  <c r="E41" i="43" s="1"/>
  <c r="J40" i="43"/>
  <c r="G40" i="43"/>
  <c r="H40" i="43" s="1"/>
  <c r="D40" i="43"/>
  <c r="E40" i="43" s="1"/>
  <c r="J39" i="43"/>
  <c r="G39" i="43"/>
  <c r="H39" i="43" s="1"/>
  <c r="D39" i="43"/>
  <c r="E39" i="43" s="1"/>
  <c r="J38" i="43"/>
  <c r="G38" i="43"/>
  <c r="H38" i="43" s="1"/>
  <c r="D38" i="43"/>
  <c r="E38" i="43" s="1"/>
  <c r="J37" i="43"/>
  <c r="G37" i="43"/>
  <c r="H37" i="43" s="1"/>
  <c r="D37" i="43"/>
  <c r="J36" i="43"/>
  <c r="G36" i="43"/>
  <c r="H36" i="43" s="1"/>
  <c r="D36" i="43"/>
  <c r="E36" i="43" s="1"/>
  <c r="J35" i="43"/>
  <c r="G35" i="43"/>
  <c r="F35" i="43"/>
  <c r="F28" i="45" s="1"/>
  <c r="F22" i="43"/>
  <c r="F31" i="43"/>
  <c r="F17" i="43"/>
  <c r="D35" i="43"/>
  <c r="C35" i="43"/>
  <c r="C28" i="45" s="1"/>
  <c r="J34" i="43"/>
  <c r="G34" i="43"/>
  <c r="H34" i="43" s="1"/>
  <c r="D34" i="43"/>
  <c r="E34" i="43" s="1"/>
  <c r="J33" i="43"/>
  <c r="G33" i="43"/>
  <c r="H33" i="43" s="1"/>
  <c r="D33" i="43"/>
  <c r="E33" i="43" s="1"/>
  <c r="J32" i="43"/>
  <c r="G32" i="43"/>
  <c r="H32" i="43" s="1"/>
  <c r="D32" i="43"/>
  <c r="E32" i="43" s="1"/>
  <c r="J31" i="43"/>
  <c r="G31" i="43"/>
  <c r="D31" i="43"/>
  <c r="C31" i="43"/>
  <c r="C24" i="45" s="1"/>
  <c r="J30" i="43"/>
  <c r="G30" i="43"/>
  <c r="H30" i="43" s="1"/>
  <c r="D30" i="43"/>
  <c r="E30" i="43" s="1"/>
  <c r="J29" i="43"/>
  <c r="G29" i="43"/>
  <c r="H29" i="43" s="1"/>
  <c r="D29" i="43"/>
  <c r="E29" i="43" s="1"/>
  <c r="J28" i="43"/>
  <c r="G28" i="43"/>
  <c r="D28" i="43"/>
  <c r="C28" i="43"/>
  <c r="J27" i="43"/>
  <c r="G27" i="43"/>
  <c r="H27" i="43" s="1"/>
  <c r="D27" i="43"/>
  <c r="E27" i="43" s="1"/>
  <c r="J26" i="43"/>
  <c r="G26" i="43"/>
  <c r="H26" i="43" s="1"/>
  <c r="D26" i="43"/>
  <c r="E26" i="43" s="1"/>
  <c r="J25" i="43"/>
  <c r="G25" i="43"/>
  <c r="H25" i="43" s="1"/>
  <c r="D25" i="43"/>
  <c r="E25" i="43" s="1"/>
  <c r="J24" i="43"/>
  <c r="G24" i="43"/>
  <c r="H24" i="43" s="1"/>
  <c r="D24" i="43"/>
  <c r="E24" i="43" s="1"/>
  <c r="J23" i="43"/>
  <c r="G23" i="43"/>
  <c r="H23" i="43" s="1"/>
  <c r="D23" i="43"/>
  <c r="E23" i="43" s="1"/>
  <c r="J22" i="43"/>
  <c r="G22" i="43"/>
  <c r="D22" i="43"/>
  <c r="C22" i="43"/>
  <c r="J21" i="43"/>
  <c r="K30" i="41" s="1"/>
  <c r="AA159" i="9"/>
  <c r="AB159" i="9"/>
  <c r="AC159" i="9"/>
  <c r="AD159" i="9"/>
  <c r="N154" i="9"/>
  <c r="N159" i="9" s="1"/>
  <c r="O159" i="9"/>
  <c r="P159" i="9"/>
  <c r="Q159" i="9"/>
  <c r="R159" i="9"/>
  <c r="S159" i="9"/>
  <c r="T159" i="9"/>
  <c r="U159" i="9"/>
  <c r="V159" i="9"/>
  <c r="W159" i="9"/>
  <c r="X159" i="9"/>
  <c r="Y159" i="9"/>
  <c r="Z159" i="9"/>
  <c r="AE159" i="9"/>
  <c r="AF159" i="9"/>
  <c r="AG159" i="9"/>
  <c r="AH159" i="9"/>
  <c r="AI159" i="9"/>
  <c r="AJ159" i="9"/>
  <c r="AK159" i="9"/>
  <c r="AL159" i="9"/>
  <c r="G21" i="43"/>
  <c r="D21" i="43"/>
  <c r="G20" i="43"/>
  <c r="H20" i="43" s="1"/>
  <c r="D20" i="43"/>
  <c r="E20" i="43" s="1"/>
  <c r="J19" i="43"/>
  <c r="G19" i="43"/>
  <c r="H19" i="43" s="1"/>
  <c r="D19" i="43"/>
  <c r="E19" i="43" s="1"/>
  <c r="J18" i="43"/>
  <c r="G18" i="43"/>
  <c r="H18" i="43" s="1"/>
  <c r="D18" i="43"/>
  <c r="E18" i="43" s="1"/>
  <c r="J17" i="43"/>
  <c r="K28" i="41" s="1"/>
  <c r="F28" i="41" s="1"/>
  <c r="G17" i="43"/>
  <c r="D17" i="43"/>
  <c r="E17" i="43" s="1"/>
  <c r="D16" i="43"/>
  <c r="J15" i="43"/>
  <c r="K26" i="41" s="1"/>
  <c r="F26" i="41" s="1"/>
  <c r="G15" i="43"/>
  <c r="H15" i="43" s="1"/>
  <c r="D15" i="43"/>
  <c r="E15" i="43" s="1"/>
  <c r="J14" i="43"/>
  <c r="G14" i="43"/>
  <c r="D14" i="43"/>
  <c r="J13" i="43"/>
  <c r="D13" i="43"/>
  <c r="C13" i="43"/>
  <c r="J12" i="43"/>
  <c r="G12" i="43"/>
  <c r="H12" i="43" s="1"/>
  <c r="D12" i="43"/>
  <c r="C12" i="43"/>
  <c r="J11" i="43"/>
  <c r="G11" i="43"/>
  <c r="F11" i="43"/>
  <c r="D11" i="43"/>
  <c r="J10" i="43"/>
  <c r="G10" i="43"/>
  <c r="H10" i="43" s="1"/>
  <c r="D10" i="43"/>
  <c r="C10" i="43"/>
  <c r="F9" i="43"/>
  <c r="C9" i="43"/>
  <c r="J8" i="43"/>
  <c r="K23" i="41" s="1"/>
  <c r="F23" i="41" s="1"/>
  <c r="G8" i="43"/>
  <c r="H8" i="43" s="1"/>
  <c r="D8" i="43"/>
  <c r="E8" i="43" s="1"/>
  <c r="J7" i="43"/>
  <c r="K22" i="41" s="1"/>
  <c r="F22" i="41" s="1"/>
  <c r="D7" i="43"/>
  <c r="E7" i="43" s="1"/>
  <c r="C5" i="43"/>
  <c r="E4" i="43"/>
  <c r="J46" i="42"/>
  <c r="G46" i="42"/>
  <c r="H46" i="42" s="1"/>
  <c r="D46" i="42"/>
  <c r="E46" i="42" s="1"/>
  <c r="J45" i="42"/>
  <c r="G45" i="42"/>
  <c r="H45" i="42" s="1"/>
  <c r="D45" i="42"/>
  <c r="E45" i="42" s="1"/>
  <c r="J44" i="42"/>
  <c r="G44" i="42"/>
  <c r="F44" i="42"/>
  <c r="D44" i="42"/>
  <c r="C44" i="42"/>
  <c r="J43" i="42"/>
  <c r="G43" i="42"/>
  <c r="H43" i="42" s="1"/>
  <c r="D43" i="42"/>
  <c r="E43" i="42" s="1"/>
  <c r="J42" i="42"/>
  <c r="G42" i="42"/>
  <c r="H42" i="42" s="1"/>
  <c r="D42" i="42"/>
  <c r="E42" i="42" s="1"/>
  <c r="J41" i="42"/>
  <c r="G41" i="42"/>
  <c r="F41" i="42"/>
  <c r="D41" i="42"/>
  <c r="C41" i="42"/>
  <c r="J40" i="42"/>
  <c r="G40" i="42"/>
  <c r="H40" i="42" s="1"/>
  <c r="D40" i="42"/>
  <c r="E40" i="42" s="1"/>
  <c r="J39" i="42"/>
  <c r="G39" i="42"/>
  <c r="H39" i="42" s="1"/>
  <c r="D39" i="42"/>
  <c r="E39" i="42" s="1"/>
  <c r="J38" i="42"/>
  <c r="G38" i="42"/>
  <c r="F38" i="42"/>
  <c r="D38" i="42"/>
  <c r="C38" i="42"/>
  <c r="J37" i="42"/>
  <c r="G37" i="42"/>
  <c r="H37" i="42" s="1"/>
  <c r="D37" i="42"/>
  <c r="E37" i="42" s="1"/>
  <c r="J36" i="42"/>
  <c r="G36" i="42"/>
  <c r="H36" i="42" s="1"/>
  <c r="D36" i="42"/>
  <c r="E36" i="42" s="1"/>
  <c r="J35" i="42"/>
  <c r="G35" i="42"/>
  <c r="H35" i="42" s="1"/>
  <c r="D35" i="42"/>
  <c r="E35" i="42" s="1"/>
  <c r="J34" i="42"/>
  <c r="G34" i="42"/>
  <c r="H34" i="42" s="1"/>
  <c r="D34" i="42"/>
  <c r="J31" i="42"/>
  <c r="J30" i="42"/>
  <c r="G30" i="42"/>
  <c r="F30" i="42"/>
  <c r="D30" i="42"/>
  <c r="J29" i="42"/>
  <c r="G29" i="42"/>
  <c r="H29" i="42" s="1"/>
  <c r="D29" i="42"/>
  <c r="E29" i="42" s="1"/>
  <c r="J28" i="42"/>
  <c r="G28" i="42"/>
  <c r="H28" i="42" s="1"/>
  <c r="D28" i="42"/>
  <c r="E28" i="42" s="1"/>
  <c r="J27" i="42"/>
  <c r="G27" i="42"/>
  <c r="F27" i="42"/>
  <c r="D27" i="42"/>
  <c r="E27" i="42" s="1"/>
  <c r="J26" i="42"/>
  <c r="G26" i="42"/>
  <c r="H26" i="42" s="1"/>
  <c r="D26" i="42"/>
  <c r="E26" i="42" s="1"/>
  <c r="J25" i="42"/>
  <c r="G25" i="42"/>
  <c r="H25" i="42" s="1"/>
  <c r="D25" i="42"/>
  <c r="E25" i="42" s="1"/>
  <c r="J24" i="42"/>
  <c r="G24" i="42"/>
  <c r="D24" i="42"/>
  <c r="J23" i="42"/>
  <c r="G23" i="42"/>
  <c r="H23" i="42" s="1"/>
  <c r="D23" i="42"/>
  <c r="E23" i="42" s="1"/>
  <c r="J22" i="42"/>
  <c r="G22" i="42"/>
  <c r="H22" i="42" s="1"/>
  <c r="D22" i="42"/>
  <c r="E22" i="42" s="1"/>
  <c r="J21" i="42"/>
  <c r="G21" i="42"/>
  <c r="H21" i="42" s="1"/>
  <c r="D21" i="42"/>
  <c r="E21" i="42" s="1"/>
  <c r="J20" i="42"/>
  <c r="G20" i="42"/>
  <c r="F20" i="42"/>
  <c r="G19" i="42"/>
  <c r="D20" i="42"/>
  <c r="C20" i="42"/>
  <c r="D19" i="42"/>
  <c r="J19" i="42"/>
  <c r="J18" i="42"/>
  <c r="G18" i="42"/>
  <c r="H18" i="42" s="1"/>
  <c r="D18" i="42"/>
  <c r="E18" i="42" s="1"/>
  <c r="J17" i="42"/>
  <c r="G17" i="42"/>
  <c r="H17" i="42" s="1"/>
  <c r="D17" i="42"/>
  <c r="E17" i="42" s="1"/>
  <c r="J16" i="42"/>
  <c r="G16" i="42"/>
  <c r="H16" i="42" s="1"/>
  <c r="D16" i="42"/>
  <c r="E16" i="42" s="1"/>
  <c r="J15" i="42"/>
  <c r="G15" i="42"/>
  <c r="D15" i="42"/>
  <c r="E15" i="42" s="1"/>
  <c r="J14" i="42"/>
  <c r="G14" i="42"/>
  <c r="H14" i="42" s="1"/>
  <c r="D14" i="42"/>
  <c r="E14" i="42" s="1"/>
  <c r="J13" i="42"/>
  <c r="G13" i="42"/>
  <c r="H13" i="42" s="1"/>
  <c r="D13" i="42"/>
  <c r="E13" i="42" s="1"/>
  <c r="J12" i="42"/>
  <c r="G12" i="42"/>
  <c r="H12" i="42" s="1"/>
  <c r="D12" i="42"/>
  <c r="E12" i="42" s="1"/>
  <c r="J11" i="42"/>
  <c r="G11" i="42"/>
  <c r="H11" i="42" s="1"/>
  <c r="D11" i="42"/>
  <c r="J10" i="42"/>
  <c r="G10" i="42"/>
  <c r="H10" i="42" s="1"/>
  <c r="D10" i="42"/>
  <c r="E10" i="42" s="1"/>
  <c r="J9" i="42"/>
  <c r="G9" i="42"/>
  <c r="H9" i="42" s="1"/>
  <c r="D9" i="42"/>
  <c r="E9" i="42" s="1"/>
  <c r="J8" i="42"/>
  <c r="G8" i="42"/>
  <c r="H8" i="42" s="1"/>
  <c r="D8" i="42"/>
  <c r="E8" i="42" s="1"/>
  <c r="J7" i="42"/>
  <c r="G7" i="42"/>
  <c r="F7" i="42"/>
  <c r="D7" i="42"/>
  <c r="C7" i="42"/>
  <c r="C5" i="42"/>
  <c r="E4" i="42"/>
  <c r="B2" i="42"/>
  <c r="B2" i="43" s="1"/>
  <c r="B2" i="44" s="1"/>
  <c r="B2" i="45" s="1"/>
  <c r="A2" i="42"/>
  <c r="A2" i="43" s="1"/>
  <c r="A2" i="44" s="1"/>
  <c r="A2" i="45" s="1"/>
  <c r="C1" i="42"/>
  <c r="C1" i="43" s="1"/>
  <c r="C1" i="44" s="1"/>
  <c r="C1" i="45" s="1"/>
  <c r="B1" i="42"/>
  <c r="B1" i="43" s="1"/>
  <c r="B1" i="44" s="1"/>
  <c r="B1" i="45" s="1"/>
  <c r="A1" i="42"/>
  <c r="A1" i="43" s="1"/>
  <c r="A1" i="44" s="1"/>
  <c r="A1" i="45" s="1"/>
  <c r="H13" i="41"/>
  <c r="E34" i="32"/>
  <c r="P33" i="32"/>
  <c r="E27" i="32"/>
  <c r="P25" i="32"/>
  <c r="E18" i="32"/>
  <c r="E16" i="32"/>
  <c r="E10" i="32"/>
  <c r="E5" i="32"/>
  <c r="B2" i="32"/>
  <c r="G3" i="32" s="1"/>
  <c r="B1" i="32"/>
  <c r="S8" i="32" s="1"/>
  <c r="Q25" i="40"/>
  <c r="P24" i="40"/>
  <c r="O24" i="40"/>
  <c r="N24" i="40"/>
  <c r="M24" i="40"/>
  <c r="L24" i="40"/>
  <c r="K24" i="40"/>
  <c r="J24" i="40"/>
  <c r="I24" i="40"/>
  <c r="H24" i="40"/>
  <c r="G24" i="40"/>
  <c r="F24" i="40"/>
  <c r="E24" i="40"/>
  <c r="Q20" i="40"/>
  <c r="P19" i="40"/>
  <c r="O19" i="40"/>
  <c r="N19" i="40"/>
  <c r="M19" i="40"/>
  <c r="L19" i="40"/>
  <c r="K19" i="40"/>
  <c r="J19" i="40"/>
  <c r="I19" i="40"/>
  <c r="H19" i="40"/>
  <c r="G19" i="40"/>
  <c r="F19" i="40"/>
  <c r="E19" i="40"/>
  <c r="P11" i="40"/>
  <c r="O11" i="40"/>
  <c r="N11" i="40"/>
  <c r="M11" i="40"/>
  <c r="L11" i="40"/>
  <c r="K11" i="40"/>
  <c r="J11" i="40"/>
  <c r="I11" i="40"/>
  <c r="H11" i="40"/>
  <c r="G11" i="40"/>
  <c r="F11" i="40"/>
  <c r="E11" i="40"/>
  <c r="P10" i="40"/>
  <c r="O10" i="40"/>
  <c r="N10" i="40"/>
  <c r="M10" i="40"/>
  <c r="L10" i="40"/>
  <c r="K10" i="40"/>
  <c r="J10" i="40"/>
  <c r="I10" i="40"/>
  <c r="H10" i="40"/>
  <c r="G10" i="40"/>
  <c r="F10" i="40"/>
  <c r="E10" i="40"/>
  <c r="P9" i="40"/>
  <c r="O9" i="40"/>
  <c r="N9" i="40"/>
  <c r="M9" i="40"/>
  <c r="L9" i="40"/>
  <c r="K9" i="40"/>
  <c r="J9" i="40"/>
  <c r="I9" i="40"/>
  <c r="H9" i="40"/>
  <c r="G9" i="40"/>
  <c r="F9" i="40"/>
  <c r="E9" i="40"/>
  <c r="P8" i="40"/>
  <c r="O8" i="40"/>
  <c r="N8" i="40"/>
  <c r="M8" i="40"/>
  <c r="L8" i="40"/>
  <c r="J8" i="40"/>
  <c r="I8" i="40"/>
  <c r="H8" i="40"/>
  <c r="G8" i="40"/>
  <c r="F8" i="40"/>
  <c r="E8" i="40"/>
  <c r="P7" i="40"/>
  <c r="O7" i="40"/>
  <c r="N7" i="40"/>
  <c r="M7" i="40"/>
  <c r="L7" i="40"/>
  <c r="J7" i="40"/>
  <c r="I7" i="40"/>
  <c r="H7" i="40"/>
  <c r="G7" i="40"/>
  <c r="F7" i="40"/>
  <c r="E7" i="40"/>
  <c r="P6" i="40"/>
  <c r="O6" i="40"/>
  <c r="N6" i="40"/>
  <c r="M6" i="40"/>
  <c r="L6" i="40"/>
  <c r="J6" i="40"/>
  <c r="I6" i="40"/>
  <c r="H6" i="40"/>
  <c r="G6" i="40"/>
  <c r="F6" i="40"/>
  <c r="E6" i="40"/>
  <c r="V4" i="40"/>
  <c r="U4" i="40"/>
  <c r="G176" i="39"/>
  <c r="D121" i="39"/>
  <c r="AG23" i="39"/>
  <c r="AF23" i="39"/>
  <c r="AE23" i="39"/>
  <c r="AD23" i="39"/>
  <c r="AC23" i="39"/>
  <c r="AB23" i="39"/>
  <c r="V23" i="39"/>
  <c r="U23" i="39"/>
  <c r="T23" i="39"/>
  <c r="S23" i="39"/>
  <c r="R23" i="39"/>
  <c r="Q23" i="39"/>
  <c r="P23" i="39"/>
  <c r="AA21" i="39"/>
  <c r="AA23" i="39" s="1"/>
  <c r="Z21" i="39"/>
  <c r="Z23" i="39" s="1"/>
  <c r="Y21" i="39"/>
  <c r="Y23" i="39" s="1"/>
  <c r="X21" i="39"/>
  <c r="S18" i="39"/>
  <c r="R18" i="39"/>
  <c r="Q18" i="39"/>
  <c r="P18" i="39"/>
  <c r="S17" i="39"/>
  <c r="R17" i="39"/>
  <c r="Q17" i="39"/>
  <c r="P17" i="39"/>
  <c r="S16" i="39"/>
  <c r="R16" i="39"/>
  <c r="Q16" i="39"/>
  <c r="P16" i="39"/>
  <c r="O16" i="39"/>
  <c r="S15" i="39"/>
  <c r="R15" i="39"/>
  <c r="Q15" i="39"/>
  <c r="P15" i="39"/>
  <c r="O15" i="39"/>
  <c r="S14" i="39"/>
  <c r="R14" i="39"/>
  <c r="Q14" i="39"/>
  <c r="P14" i="39"/>
  <c r="S13" i="39"/>
  <c r="R13" i="39"/>
  <c r="Q13" i="39"/>
  <c r="P13" i="39"/>
  <c r="U11" i="39"/>
  <c r="T11" i="39"/>
  <c r="S11" i="39"/>
  <c r="R11" i="39"/>
  <c r="Q11" i="39"/>
  <c r="P11" i="39"/>
  <c r="O11" i="39"/>
  <c r="N11" i="39"/>
  <c r="M11" i="39"/>
  <c r="L11" i="39"/>
  <c r="K11" i="39"/>
  <c r="J11" i="39"/>
  <c r="I11" i="39"/>
  <c r="H11" i="39"/>
  <c r="G11" i="39"/>
  <c r="F11" i="39"/>
  <c r="E11" i="39"/>
  <c r="D11" i="39"/>
  <c r="AM9" i="39"/>
  <c r="AL9" i="39"/>
  <c r="AK9" i="39"/>
  <c r="AJ9" i="39"/>
  <c r="AI9" i="39"/>
  <c r="E347" i="17" s="1"/>
  <c r="AH9" i="39"/>
  <c r="AF9" i="39"/>
  <c r="AE9" i="39"/>
  <c r="AD9" i="39"/>
  <c r="AC9" i="39"/>
  <c r="AB9" i="39"/>
  <c r="Z9" i="39"/>
  <c r="Y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M5" i="39"/>
  <c r="AL5" i="39"/>
  <c r="AK5" i="39"/>
  <c r="AJ5" i="39"/>
  <c r="AI5" i="39"/>
  <c r="AH5" i="39"/>
  <c r="AG5" i="39"/>
  <c r="AF5" i="39"/>
  <c r="AE5" i="39"/>
  <c r="AD5" i="39"/>
  <c r="AC5" i="39"/>
  <c r="AB5" i="39"/>
  <c r="U4" i="39"/>
  <c r="T4" i="39"/>
  <c r="S4" i="39"/>
  <c r="R4" i="39"/>
  <c r="Q4" i="39"/>
  <c r="P4" i="39"/>
  <c r="O4" i="39"/>
  <c r="N4" i="39"/>
  <c r="M4" i="39"/>
  <c r="L4" i="39"/>
  <c r="K4" i="39"/>
  <c r="J4" i="39"/>
  <c r="I4" i="39"/>
  <c r="H4" i="39"/>
  <c r="G4" i="39"/>
  <c r="F4" i="39"/>
  <c r="E4" i="39"/>
  <c r="D4" i="39"/>
  <c r="X3" i="39"/>
  <c r="X9" i="39" s="1"/>
  <c r="W3" i="39"/>
  <c r="W23" i="39" s="1"/>
  <c r="E85" i="38"/>
  <c r="B53" i="38"/>
  <c r="AX35" i="38"/>
  <c r="AV35" i="38"/>
  <c r="AT35" i="38"/>
  <c r="AR35" i="38"/>
  <c r="AP35" i="38"/>
  <c r="AN35" i="38"/>
  <c r="AL35" i="38"/>
  <c r="AJ35" i="38"/>
  <c r="AH35" i="38"/>
  <c r="AF35" i="38"/>
  <c r="AD35" i="38"/>
  <c r="AB35" i="38"/>
  <c r="Z35" i="38"/>
  <c r="X35" i="38"/>
  <c r="V35" i="38"/>
  <c r="T35" i="38"/>
  <c r="R35" i="38"/>
  <c r="P35" i="38"/>
  <c r="N35" i="38"/>
  <c r="L35" i="38"/>
  <c r="J35" i="38"/>
  <c r="H35" i="38"/>
  <c r="F35" i="38"/>
  <c r="D35" i="38"/>
  <c r="C35" i="38"/>
  <c r="D276" i="17"/>
  <c r="AJ23" i="38"/>
  <c r="AH23" i="38"/>
  <c r="AF23" i="38"/>
  <c r="N23" i="38"/>
  <c r="L23" i="38"/>
  <c r="J23" i="38"/>
  <c r="H23" i="38"/>
  <c r="F23" i="38"/>
  <c r="D23" i="38"/>
  <c r="C23" i="38"/>
  <c r="B23" i="38"/>
  <c r="AV14" i="38"/>
  <c r="AT14" i="38"/>
  <c r="AR14" i="38"/>
  <c r="AP14" i="38"/>
  <c r="B14" i="38"/>
  <c r="C14" i="38"/>
  <c r="D14" i="38"/>
  <c r="F14" i="38"/>
  <c r="H14" i="38"/>
  <c r="J14" i="38"/>
  <c r="L14" i="38"/>
  <c r="N14" i="38"/>
  <c r="P14" i="38"/>
  <c r="R14" i="38"/>
  <c r="T14" i="38"/>
  <c r="V14" i="38"/>
  <c r="X14" i="38"/>
  <c r="Z14" i="38"/>
  <c r="AB14" i="38"/>
  <c r="AD14" i="38"/>
  <c r="AF14" i="38"/>
  <c r="AH14" i="38"/>
  <c r="AJ14" i="38"/>
  <c r="AL14" i="38"/>
  <c r="AN14" i="38"/>
  <c r="AV4" i="38"/>
  <c r="AT4" i="38"/>
  <c r="AR4" i="38"/>
  <c r="AP4" i="38"/>
  <c r="AN4" i="38"/>
  <c r="AL4" i="38"/>
  <c r="AJ4" i="38"/>
  <c r="AH4" i="38"/>
  <c r="AF4" i="38"/>
  <c r="AD4" i="38"/>
  <c r="AB4" i="38"/>
  <c r="Z4" i="38"/>
  <c r="X4" i="38"/>
  <c r="V4" i="38"/>
  <c r="T4" i="38"/>
  <c r="R4" i="38"/>
  <c r="P4" i="38"/>
  <c r="N4" i="38"/>
  <c r="L4" i="38"/>
  <c r="J4" i="38"/>
  <c r="H4" i="38"/>
  <c r="F4" i="38"/>
  <c r="O8" i="37"/>
  <c r="O7" i="37"/>
  <c r="E287" i="17"/>
  <c r="O4" i="37"/>
  <c r="E285" i="17"/>
  <c r="O3" i="37"/>
  <c r="D76" i="36"/>
  <c r="E76" i="36" s="1"/>
  <c r="F76" i="36" s="1"/>
  <c r="G76" i="36" s="1"/>
  <c r="H76" i="36" s="1"/>
  <c r="I76" i="36" s="1"/>
  <c r="J76" i="36" s="1"/>
  <c r="K76" i="36" s="1"/>
  <c r="L76" i="36" s="1"/>
  <c r="M76" i="36" s="1"/>
  <c r="N76" i="36" s="1"/>
  <c r="O76" i="36" s="1"/>
  <c r="P76" i="36" s="1"/>
  <c r="I75" i="36"/>
  <c r="H75" i="36"/>
  <c r="G75" i="36"/>
  <c r="F75" i="36"/>
  <c r="E75" i="36"/>
  <c r="D75" i="36"/>
  <c r="D71" i="36"/>
  <c r="E71" i="36" s="1"/>
  <c r="F71" i="36" s="1"/>
  <c r="G71" i="36" s="1"/>
  <c r="H71" i="36" s="1"/>
  <c r="I71" i="36" s="1"/>
  <c r="J71" i="36" s="1"/>
  <c r="K71" i="36" s="1"/>
  <c r="L71" i="36" s="1"/>
  <c r="M71" i="36" s="1"/>
  <c r="N71" i="36" s="1"/>
  <c r="O71" i="36" s="1"/>
  <c r="P71" i="36" s="1"/>
  <c r="I70" i="36"/>
  <c r="H70" i="36"/>
  <c r="G70" i="36"/>
  <c r="F70" i="36"/>
  <c r="E70" i="36"/>
  <c r="D70" i="36"/>
  <c r="C70" i="36"/>
  <c r="F67" i="36"/>
  <c r="G67" i="36" s="1"/>
  <c r="H67" i="36" s="1"/>
  <c r="I67" i="36" s="1"/>
  <c r="J67" i="36" s="1"/>
  <c r="K67" i="36" s="1"/>
  <c r="L67" i="36" s="1"/>
  <c r="M67" i="36" s="1"/>
  <c r="N67" i="36" s="1"/>
  <c r="O67" i="36" s="1"/>
  <c r="P67" i="36" s="1"/>
  <c r="D67" i="36"/>
  <c r="E67" i="36" s="1"/>
  <c r="I66" i="36"/>
  <c r="H66" i="36"/>
  <c r="G66" i="36"/>
  <c r="D66" i="36"/>
  <c r="E66" i="36"/>
  <c r="F66" i="36"/>
  <c r="C66" i="36"/>
  <c r="D60" i="36"/>
  <c r="E60" i="36" s="1"/>
  <c r="F60" i="36" s="1"/>
  <c r="G60" i="36" s="1"/>
  <c r="H60" i="36" s="1"/>
  <c r="I60" i="36" s="1"/>
  <c r="J60" i="36" s="1"/>
  <c r="K60" i="36" s="1"/>
  <c r="L60" i="36" s="1"/>
  <c r="M60" i="36" s="1"/>
  <c r="N60" i="36" s="1"/>
  <c r="O60" i="36" s="1"/>
  <c r="P60" i="36" s="1"/>
  <c r="I59" i="36"/>
  <c r="H59" i="36"/>
  <c r="G59" i="36"/>
  <c r="D59" i="36"/>
  <c r="E59" i="36"/>
  <c r="F59" i="36"/>
  <c r="C59" i="36"/>
  <c r="D54" i="36"/>
  <c r="E54" i="36" s="1"/>
  <c r="F54" i="36" s="1"/>
  <c r="G54" i="36" s="1"/>
  <c r="H54" i="36" s="1"/>
  <c r="I54" i="36" s="1"/>
  <c r="J54" i="36" s="1"/>
  <c r="K54" i="36" s="1"/>
  <c r="L54" i="36" s="1"/>
  <c r="M54" i="36" s="1"/>
  <c r="N54" i="36" s="1"/>
  <c r="O54" i="36" s="1"/>
  <c r="P54" i="36" s="1"/>
  <c r="I53" i="36"/>
  <c r="D53" i="36"/>
  <c r="E53" i="36"/>
  <c r="F53" i="36"/>
  <c r="G53" i="36"/>
  <c r="H53" i="36"/>
  <c r="C53" i="36"/>
  <c r="F48" i="36"/>
  <c r="G48" i="36" s="1"/>
  <c r="H48" i="36" s="1"/>
  <c r="I48" i="36" s="1"/>
  <c r="J48" i="36" s="1"/>
  <c r="K48" i="36" s="1"/>
  <c r="L48" i="36" s="1"/>
  <c r="M48" i="36" s="1"/>
  <c r="N48" i="36" s="1"/>
  <c r="O48" i="36" s="1"/>
  <c r="P48" i="36" s="1"/>
  <c r="D48" i="36"/>
  <c r="E48" i="36" s="1"/>
  <c r="I47" i="36"/>
  <c r="H47" i="36"/>
  <c r="G47" i="36"/>
  <c r="F47" i="36"/>
  <c r="E47" i="36"/>
  <c r="D47" i="36"/>
  <c r="E41" i="36"/>
  <c r="F41" i="36" s="1"/>
  <c r="G41" i="36" s="1"/>
  <c r="H41" i="36" s="1"/>
  <c r="I41" i="36" s="1"/>
  <c r="J41" i="36" s="1"/>
  <c r="K41" i="36" s="1"/>
  <c r="L41" i="36" s="1"/>
  <c r="M41" i="36" s="1"/>
  <c r="N41" i="36" s="1"/>
  <c r="O41" i="36" s="1"/>
  <c r="P41" i="36" s="1"/>
  <c r="I40" i="36"/>
  <c r="H40" i="36"/>
  <c r="G40" i="36"/>
  <c r="F40" i="36"/>
  <c r="D40" i="36"/>
  <c r="E40" i="36"/>
  <c r="C40" i="36"/>
  <c r="G35" i="36"/>
  <c r="H35" i="36" s="1"/>
  <c r="I35" i="36" s="1"/>
  <c r="J35" i="36" s="1"/>
  <c r="K35" i="36" s="1"/>
  <c r="L35" i="36" s="1"/>
  <c r="M35" i="36" s="1"/>
  <c r="N35" i="36" s="1"/>
  <c r="O35" i="36" s="1"/>
  <c r="E35" i="36"/>
  <c r="I34" i="36"/>
  <c r="H34" i="36"/>
  <c r="G34" i="36"/>
  <c r="D34" i="36"/>
  <c r="E34" i="36"/>
  <c r="F34" i="36"/>
  <c r="C34" i="36"/>
  <c r="P33" i="36"/>
  <c r="P39" i="36" s="1"/>
  <c r="P46" i="36" s="1"/>
  <c r="P52" i="36" s="1"/>
  <c r="P58" i="36" s="1"/>
  <c r="P65" i="36" s="1"/>
  <c r="P69" i="36" s="1"/>
  <c r="P74" i="36" s="1"/>
  <c r="O33" i="36"/>
  <c r="O39" i="36" s="1"/>
  <c r="O46" i="36" s="1"/>
  <c r="O52" i="36" s="1"/>
  <c r="O58" i="36" s="1"/>
  <c r="O65" i="36" s="1"/>
  <c r="O69" i="36" s="1"/>
  <c r="O74" i="36" s="1"/>
  <c r="N33" i="36"/>
  <c r="N39" i="36" s="1"/>
  <c r="N46" i="36" s="1"/>
  <c r="N52" i="36" s="1"/>
  <c r="N58" i="36" s="1"/>
  <c r="N65" i="36" s="1"/>
  <c r="N69" i="36" s="1"/>
  <c r="N74" i="36" s="1"/>
  <c r="M33" i="36"/>
  <c r="M39" i="36" s="1"/>
  <c r="M46" i="36" s="1"/>
  <c r="M52" i="36" s="1"/>
  <c r="M58" i="36" s="1"/>
  <c r="M65" i="36" s="1"/>
  <c r="M69" i="36" s="1"/>
  <c r="M74" i="36" s="1"/>
  <c r="L33" i="36"/>
  <c r="L39" i="36" s="1"/>
  <c r="L46" i="36" s="1"/>
  <c r="L52" i="36" s="1"/>
  <c r="L58" i="36" s="1"/>
  <c r="L65" i="36" s="1"/>
  <c r="L69" i="36" s="1"/>
  <c r="L74" i="36" s="1"/>
  <c r="K33" i="36"/>
  <c r="K39" i="36" s="1"/>
  <c r="K46" i="36" s="1"/>
  <c r="K52" i="36" s="1"/>
  <c r="K58" i="36" s="1"/>
  <c r="K65" i="36" s="1"/>
  <c r="K69" i="36" s="1"/>
  <c r="K74" i="36" s="1"/>
  <c r="J33" i="36"/>
  <c r="J39" i="36" s="1"/>
  <c r="J46" i="36" s="1"/>
  <c r="J52" i="36" s="1"/>
  <c r="J58" i="36" s="1"/>
  <c r="J65" i="36" s="1"/>
  <c r="J69" i="36" s="1"/>
  <c r="J74" i="36" s="1"/>
  <c r="I33" i="36"/>
  <c r="I39" i="36" s="1"/>
  <c r="I46" i="36" s="1"/>
  <c r="I52" i="36" s="1"/>
  <c r="I58" i="36" s="1"/>
  <c r="I65" i="36" s="1"/>
  <c r="I69" i="36" s="1"/>
  <c r="I74" i="36" s="1"/>
  <c r="H33" i="36"/>
  <c r="H39" i="36" s="1"/>
  <c r="H46" i="36" s="1"/>
  <c r="H52" i="36" s="1"/>
  <c r="H58" i="36" s="1"/>
  <c r="H65" i="36" s="1"/>
  <c r="H69" i="36" s="1"/>
  <c r="H74" i="36" s="1"/>
  <c r="G33" i="36"/>
  <c r="G39" i="36" s="1"/>
  <c r="G46" i="36" s="1"/>
  <c r="G52" i="36" s="1"/>
  <c r="G58" i="36" s="1"/>
  <c r="G65" i="36" s="1"/>
  <c r="G69" i="36" s="1"/>
  <c r="G74" i="36" s="1"/>
  <c r="F33" i="36"/>
  <c r="F39" i="36" s="1"/>
  <c r="F46" i="36" s="1"/>
  <c r="F52" i="36" s="1"/>
  <c r="F58" i="36" s="1"/>
  <c r="F65" i="36" s="1"/>
  <c r="F69" i="36" s="1"/>
  <c r="F74" i="36" s="1"/>
  <c r="E33" i="36"/>
  <c r="E39" i="36" s="1"/>
  <c r="E46" i="36" s="1"/>
  <c r="E52" i="36" s="1"/>
  <c r="E58" i="36" s="1"/>
  <c r="E65" i="36" s="1"/>
  <c r="E69" i="36" s="1"/>
  <c r="E74" i="36" s="1"/>
  <c r="D33" i="36"/>
  <c r="D39" i="36" s="1"/>
  <c r="D46" i="36" s="1"/>
  <c r="D52" i="36" s="1"/>
  <c r="D58" i="36" s="1"/>
  <c r="D65" i="36" s="1"/>
  <c r="D69" i="36" s="1"/>
  <c r="D74" i="36" s="1"/>
  <c r="C33" i="36"/>
  <c r="C39" i="36" s="1"/>
  <c r="C46" i="36" s="1"/>
  <c r="C52" i="36" s="1"/>
  <c r="C58" i="36" s="1"/>
  <c r="C65" i="36" s="1"/>
  <c r="C69" i="36" s="1"/>
  <c r="C74" i="36" s="1"/>
  <c r="O28" i="36"/>
  <c r="P28" i="36" s="1"/>
  <c r="M28" i="36"/>
  <c r="N28" i="36" s="1"/>
  <c r="K28" i="36"/>
  <c r="L28" i="36" s="1"/>
  <c r="I28" i="36"/>
  <c r="J28" i="36" s="1"/>
  <c r="G28" i="36"/>
  <c r="H28" i="36" s="1"/>
  <c r="E28" i="36"/>
  <c r="F28" i="36" s="1"/>
  <c r="C28" i="36"/>
  <c r="D28" i="36" s="1"/>
  <c r="C27" i="36"/>
  <c r="N24" i="36"/>
  <c r="M24" i="36"/>
  <c r="L24" i="36"/>
  <c r="K24" i="36"/>
  <c r="J24" i="36"/>
  <c r="I24" i="36"/>
  <c r="H24" i="36"/>
  <c r="G24" i="36"/>
  <c r="F24" i="36"/>
  <c r="E24" i="36"/>
  <c r="D24" i="36"/>
  <c r="C24" i="36"/>
  <c r="C23" i="36"/>
  <c r="E19" i="36"/>
  <c r="F19" i="36" s="1"/>
  <c r="G19" i="36" s="1"/>
  <c r="H19" i="36" s="1"/>
  <c r="I19" i="36" s="1"/>
  <c r="J19" i="36" s="1"/>
  <c r="K19" i="36" s="1"/>
  <c r="L19" i="36" s="1"/>
  <c r="M19" i="36" s="1"/>
  <c r="N19" i="36" s="1"/>
  <c r="O19" i="36" s="1"/>
  <c r="P19" i="36" s="1"/>
  <c r="C18" i="36"/>
  <c r="D14" i="36"/>
  <c r="E14" i="36" s="1"/>
  <c r="F14" i="36" s="1"/>
  <c r="G14" i="36" s="1"/>
  <c r="H14" i="36" s="1"/>
  <c r="I14" i="36" s="1"/>
  <c r="J14" i="36" s="1"/>
  <c r="K14" i="36" s="1"/>
  <c r="L14" i="36" s="1"/>
  <c r="M14" i="36" s="1"/>
  <c r="N14" i="36" s="1"/>
  <c r="O14" i="36" s="1"/>
  <c r="P14" i="36" s="1"/>
  <c r="C13" i="36"/>
  <c r="C8" i="36"/>
  <c r="U58" i="34"/>
  <c r="S58" i="34"/>
  <c r="A42" i="34"/>
  <c r="AM41" i="34"/>
  <c r="AL41" i="34"/>
  <c r="AK41" i="34"/>
  <c r="AJ41" i="34"/>
  <c r="AI41" i="34"/>
  <c r="AH41" i="34"/>
  <c r="AG41" i="34"/>
  <c r="AF41" i="34"/>
  <c r="AE41" i="34"/>
  <c r="AD41" i="34"/>
  <c r="AA41" i="34"/>
  <c r="Z41" i="34"/>
  <c r="Y41" i="34"/>
  <c r="X41" i="34"/>
  <c r="W41" i="34"/>
  <c r="V41" i="34"/>
  <c r="U41" i="34"/>
  <c r="T41" i="34"/>
  <c r="S41" i="34"/>
  <c r="R41" i="34"/>
  <c r="Q41" i="34"/>
  <c r="P41" i="34"/>
  <c r="A41" i="34"/>
  <c r="AM40" i="34"/>
  <c r="AL40" i="34"/>
  <c r="AK40" i="34"/>
  <c r="AJ40" i="34"/>
  <c r="AI40" i="34"/>
  <c r="AH40" i="34"/>
  <c r="AG40" i="34"/>
  <c r="AF40" i="34"/>
  <c r="AE40" i="34"/>
  <c r="AD40" i="34"/>
  <c r="AA40" i="34"/>
  <c r="Z40" i="34"/>
  <c r="Y40" i="34"/>
  <c r="X40" i="34"/>
  <c r="W40" i="34"/>
  <c r="V40" i="34"/>
  <c r="U40" i="34"/>
  <c r="T40" i="34"/>
  <c r="S40" i="34"/>
  <c r="R40" i="34"/>
  <c r="Q40" i="34"/>
  <c r="P40" i="34"/>
  <c r="O40" i="34"/>
  <c r="N40" i="34"/>
  <c r="M40" i="34"/>
  <c r="L40" i="34"/>
  <c r="K40" i="34"/>
  <c r="J40" i="34"/>
  <c r="I40" i="34"/>
  <c r="H40" i="34"/>
  <c r="G40" i="34"/>
  <c r="F40" i="34"/>
  <c r="E40" i="34"/>
  <c r="D40" i="34"/>
  <c r="C40" i="34"/>
  <c r="B40" i="34"/>
  <c r="A40" i="34"/>
  <c r="AM39" i="34"/>
  <c r="AL39" i="34"/>
  <c r="AK39" i="34"/>
  <c r="AJ39" i="34"/>
  <c r="AI39" i="34"/>
  <c r="AH39" i="34"/>
  <c r="AG39" i="34"/>
  <c r="AF39" i="34"/>
  <c r="AE39" i="34"/>
  <c r="AD39" i="34"/>
  <c r="AA39" i="34"/>
  <c r="Z39" i="34"/>
  <c r="Y39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D39" i="34"/>
  <c r="C39" i="34"/>
  <c r="B39" i="34"/>
  <c r="A39" i="34"/>
  <c r="AM38" i="34"/>
  <c r="AL38" i="34"/>
  <c r="AK38" i="34"/>
  <c r="AJ38" i="34"/>
  <c r="AI38" i="34"/>
  <c r="AH38" i="34"/>
  <c r="AG38" i="34"/>
  <c r="AF38" i="34"/>
  <c r="AE38" i="34"/>
  <c r="AD38" i="34"/>
  <c r="AA38" i="34"/>
  <c r="Z38" i="34"/>
  <c r="Y38" i="34"/>
  <c r="X38" i="34"/>
  <c r="W38" i="34"/>
  <c r="V38" i="34"/>
  <c r="U38" i="34"/>
  <c r="T38" i="34"/>
  <c r="S38" i="34"/>
  <c r="R38" i="34"/>
  <c r="Q38" i="34"/>
  <c r="P38" i="34"/>
  <c r="O38" i="34"/>
  <c r="N38" i="34"/>
  <c r="M38" i="34"/>
  <c r="L38" i="34"/>
  <c r="K38" i="34"/>
  <c r="J38" i="34"/>
  <c r="I38" i="34"/>
  <c r="H38" i="34"/>
  <c r="G38" i="34"/>
  <c r="F38" i="34"/>
  <c r="E38" i="34"/>
  <c r="D38" i="34"/>
  <c r="C38" i="34"/>
  <c r="B38" i="34"/>
  <c r="A38" i="34"/>
  <c r="AM37" i="34"/>
  <c r="AL37" i="34"/>
  <c r="AK37" i="34"/>
  <c r="AJ37" i="34"/>
  <c r="AI37" i="34"/>
  <c r="AH37" i="34"/>
  <c r="AG37" i="34"/>
  <c r="AF37" i="34"/>
  <c r="AE37" i="34"/>
  <c r="AD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I37" i="34"/>
  <c r="H37" i="34"/>
  <c r="G37" i="34"/>
  <c r="F37" i="34"/>
  <c r="E37" i="34"/>
  <c r="D37" i="34"/>
  <c r="C37" i="34"/>
  <c r="B37" i="34"/>
  <c r="A37" i="34"/>
  <c r="AM36" i="34"/>
  <c r="AL36" i="34"/>
  <c r="AK36" i="34"/>
  <c r="AJ36" i="34"/>
  <c r="AI36" i="34"/>
  <c r="AH36" i="34"/>
  <c r="AG36" i="34"/>
  <c r="AF36" i="34"/>
  <c r="AE36" i="34"/>
  <c r="AD36" i="34"/>
  <c r="AA36" i="34"/>
  <c r="Z36" i="34"/>
  <c r="Y36" i="34"/>
  <c r="X36" i="34"/>
  <c r="W36" i="34"/>
  <c r="V36" i="34"/>
  <c r="U36" i="34"/>
  <c r="T36" i="34"/>
  <c r="S36" i="34"/>
  <c r="R36" i="34"/>
  <c r="Q36" i="34"/>
  <c r="P36" i="34"/>
  <c r="O36" i="34"/>
  <c r="N36" i="34"/>
  <c r="M36" i="34"/>
  <c r="L36" i="34"/>
  <c r="K36" i="34"/>
  <c r="J36" i="34"/>
  <c r="I36" i="34"/>
  <c r="H36" i="34"/>
  <c r="G36" i="34"/>
  <c r="F36" i="34"/>
  <c r="E36" i="34"/>
  <c r="D36" i="34"/>
  <c r="C36" i="34"/>
  <c r="B36" i="34"/>
  <c r="A36" i="34"/>
  <c r="AM35" i="34"/>
  <c r="AL35" i="34"/>
  <c r="AK35" i="34"/>
  <c r="AJ35" i="34"/>
  <c r="AI35" i="34"/>
  <c r="AH35" i="34"/>
  <c r="AG35" i="34"/>
  <c r="AF35" i="34"/>
  <c r="AE35" i="34"/>
  <c r="AD35" i="34"/>
  <c r="AA35" i="34"/>
  <c r="Z35" i="34"/>
  <c r="Y35" i="34"/>
  <c r="X35" i="34"/>
  <c r="W35" i="34"/>
  <c r="V35" i="34"/>
  <c r="U35" i="34"/>
  <c r="T35" i="34"/>
  <c r="S35" i="34"/>
  <c r="R35" i="34"/>
  <c r="Q35" i="34"/>
  <c r="P35" i="34"/>
  <c r="O35" i="34"/>
  <c r="N35" i="34"/>
  <c r="M35" i="34"/>
  <c r="L35" i="34"/>
  <c r="K35" i="34"/>
  <c r="J35" i="34"/>
  <c r="I35" i="34"/>
  <c r="H35" i="34"/>
  <c r="G35" i="34"/>
  <c r="F35" i="34"/>
  <c r="E35" i="34"/>
  <c r="D35" i="34"/>
  <c r="C35" i="34"/>
  <c r="B35" i="34"/>
  <c r="A35" i="34"/>
  <c r="AM34" i="34"/>
  <c r="AL34" i="34"/>
  <c r="AK34" i="34"/>
  <c r="AJ34" i="34"/>
  <c r="AI34" i="34"/>
  <c r="AH34" i="34"/>
  <c r="AG34" i="34"/>
  <c r="AF34" i="34"/>
  <c r="AE34" i="34"/>
  <c r="AD34" i="34"/>
  <c r="AA34" i="34"/>
  <c r="Z34" i="34"/>
  <c r="Y34" i="34"/>
  <c r="X34" i="34"/>
  <c r="W34" i="34"/>
  <c r="V34" i="34"/>
  <c r="U34" i="34"/>
  <c r="T34" i="34"/>
  <c r="S34" i="34"/>
  <c r="R34" i="34"/>
  <c r="Q34" i="34"/>
  <c r="P34" i="34"/>
  <c r="O34" i="34"/>
  <c r="N34" i="34"/>
  <c r="M34" i="34"/>
  <c r="L34" i="34"/>
  <c r="K34" i="34"/>
  <c r="J34" i="34"/>
  <c r="I34" i="34"/>
  <c r="H34" i="34"/>
  <c r="G34" i="34"/>
  <c r="F34" i="34"/>
  <c r="E34" i="34"/>
  <c r="D34" i="34"/>
  <c r="C34" i="34"/>
  <c r="B34" i="34"/>
  <c r="A34" i="34"/>
  <c r="AM33" i="34"/>
  <c r="AL33" i="34"/>
  <c r="AK33" i="34"/>
  <c r="AJ33" i="34"/>
  <c r="AI33" i="34"/>
  <c r="AH33" i="34"/>
  <c r="AG33" i="34"/>
  <c r="AF33" i="34"/>
  <c r="AE33" i="34"/>
  <c r="AD33" i="34"/>
  <c r="AA33" i="34"/>
  <c r="Z33" i="34"/>
  <c r="Y33" i="34"/>
  <c r="X33" i="34"/>
  <c r="W33" i="34"/>
  <c r="V33" i="34"/>
  <c r="U33" i="34"/>
  <c r="T33" i="34"/>
  <c r="S33" i="34"/>
  <c r="R33" i="34"/>
  <c r="Q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D33" i="34"/>
  <c r="C33" i="34"/>
  <c r="B33" i="34"/>
  <c r="A33" i="34"/>
  <c r="AM32" i="34"/>
  <c r="AL32" i="34"/>
  <c r="AK32" i="34"/>
  <c r="AJ32" i="34"/>
  <c r="AI32" i="34"/>
  <c r="AH32" i="34"/>
  <c r="AG32" i="34"/>
  <c r="AF32" i="34"/>
  <c r="AE32" i="34"/>
  <c r="AD32" i="34"/>
  <c r="AA32" i="34"/>
  <c r="Z32" i="34"/>
  <c r="Y32" i="34"/>
  <c r="X32" i="34"/>
  <c r="W32" i="34"/>
  <c r="V32" i="34"/>
  <c r="U32" i="34"/>
  <c r="T32" i="34"/>
  <c r="S32" i="34"/>
  <c r="R32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D32" i="34"/>
  <c r="C32" i="34"/>
  <c r="AM31" i="34"/>
  <c r="AL31" i="34"/>
  <c r="AK31" i="34"/>
  <c r="AJ31" i="34"/>
  <c r="AI31" i="34"/>
  <c r="AH31" i="34"/>
  <c r="AG31" i="34"/>
  <c r="AF31" i="34"/>
  <c r="AE31" i="34"/>
  <c r="AD31" i="34"/>
  <c r="AA31" i="34"/>
  <c r="Z31" i="34"/>
  <c r="Y31" i="34"/>
  <c r="X31" i="34"/>
  <c r="W31" i="34"/>
  <c r="V31" i="34"/>
  <c r="U31" i="34"/>
  <c r="T31" i="34"/>
  <c r="S31" i="34"/>
  <c r="R31" i="34"/>
  <c r="Q31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D31" i="34"/>
  <c r="C31" i="34"/>
  <c r="A31" i="34"/>
  <c r="A30" i="34"/>
  <c r="AM29" i="34"/>
  <c r="AL29" i="34"/>
  <c r="AK29" i="34"/>
  <c r="AJ29" i="34"/>
  <c r="AI29" i="34"/>
  <c r="AH29" i="34"/>
  <c r="AG29" i="34"/>
  <c r="AF29" i="34"/>
  <c r="AE29" i="34"/>
  <c r="AD29" i="34"/>
  <c r="AA29" i="34"/>
  <c r="Z29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A29" i="34"/>
  <c r="AM28" i="34"/>
  <c r="AL28" i="34"/>
  <c r="AK28" i="34"/>
  <c r="AJ28" i="34"/>
  <c r="AI28" i="34"/>
  <c r="AH28" i="34"/>
  <c r="AG28" i="34"/>
  <c r="AF28" i="34"/>
  <c r="AE28" i="34"/>
  <c r="AD28" i="34"/>
  <c r="AA28" i="34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A28" i="34"/>
  <c r="AM27" i="34"/>
  <c r="AL27" i="34"/>
  <c r="AK27" i="34"/>
  <c r="AJ27" i="34"/>
  <c r="AI27" i="34"/>
  <c r="AH27" i="34"/>
  <c r="AG27" i="34"/>
  <c r="AF27" i="34"/>
  <c r="AE27" i="34"/>
  <c r="AD27" i="34"/>
  <c r="AA27" i="34"/>
  <c r="Z27" i="34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D27" i="34"/>
  <c r="C27" i="34"/>
  <c r="B27" i="34"/>
  <c r="A27" i="34"/>
  <c r="AM26" i="34"/>
  <c r="AL26" i="34"/>
  <c r="AK26" i="34"/>
  <c r="AJ26" i="34"/>
  <c r="AI26" i="34"/>
  <c r="AH26" i="34"/>
  <c r="AG26" i="34"/>
  <c r="AF26" i="34"/>
  <c r="AE26" i="34"/>
  <c r="AD26" i="34"/>
  <c r="AA26" i="34"/>
  <c r="Z26" i="34"/>
  <c r="Y26" i="34"/>
  <c r="X26" i="34"/>
  <c r="W26" i="34"/>
  <c r="V26" i="34"/>
  <c r="U26" i="34"/>
  <c r="T26" i="34"/>
  <c r="S26" i="34"/>
  <c r="R26" i="34"/>
  <c r="Q26" i="34"/>
  <c r="O26" i="34"/>
  <c r="N26" i="34"/>
  <c r="M26" i="34"/>
  <c r="L26" i="34"/>
  <c r="K26" i="34"/>
  <c r="J26" i="34"/>
  <c r="I26" i="34"/>
  <c r="H26" i="34"/>
  <c r="G26" i="34"/>
  <c r="F26" i="34"/>
  <c r="E26" i="34"/>
  <c r="D26" i="34"/>
  <c r="C26" i="34"/>
  <c r="B26" i="34"/>
  <c r="A26" i="34"/>
  <c r="AM25" i="34"/>
  <c r="AL25" i="34"/>
  <c r="AK25" i="34"/>
  <c r="AJ25" i="34"/>
  <c r="AI25" i="34"/>
  <c r="AH25" i="34"/>
  <c r="AG25" i="34"/>
  <c r="AF25" i="34"/>
  <c r="AE25" i="34"/>
  <c r="AD25" i="34"/>
  <c r="AA25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D25" i="34"/>
  <c r="C25" i="34"/>
  <c r="B25" i="34"/>
  <c r="A25" i="34"/>
  <c r="AM24" i="34"/>
  <c r="AL24" i="34"/>
  <c r="AK24" i="34"/>
  <c r="AJ24" i="34"/>
  <c r="AI24" i="34"/>
  <c r="AH24" i="34"/>
  <c r="AG24" i="34"/>
  <c r="AF24" i="34"/>
  <c r="AE24" i="34"/>
  <c r="AD24" i="34"/>
  <c r="AA24" i="34"/>
  <c r="Z24" i="34"/>
  <c r="Y24" i="34"/>
  <c r="X24" i="34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A24" i="34"/>
  <c r="AM23" i="34"/>
  <c r="AL23" i="34"/>
  <c r="AK23" i="34"/>
  <c r="AJ23" i="34"/>
  <c r="AI23" i="34"/>
  <c r="AH23" i="34"/>
  <c r="AG23" i="34"/>
  <c r="AF23" i="34"/>
  <c r="AE23" i="34"/>
  <c r="AD23" i="34"/>
  <c r="AA23" i="34"/>
  <c r="Z23" i="34"/>
  <c r="Y23" i="34"/>
  <c r="X23" i="34"/>
  <c r="W23" i="34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D23" i="34"/>
  <c r="C23" i="34"/>
  <c r="B23" i="34"/>
  <c r="A23" i="34"/>
  <c r="AM22" i="34"/>
  <c r="AL22" i="34"/>
  <c r="AK22" i="34"/>
  <c r="AJ22" i="34"/>
  <c r="AI22" i="34"/>
  <c r="AH22" i="34"/>
  <c r="AG22" i="34"/>
  <c r="AF22" i="34"/>
  <c r="AE22" i="34"/>
  <c r="AD22" i="34"/>
  <c r="AA22" i="34"/>
  <c r="Z22" i="34"/>
  <c r="Y22" i="34"/>
  <c r="X22" i="34"/>
  <c r="W22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D22" i="34"/>
  <c r="C22" i="34"/>
  <c r="B22" i="34"/>
  <c r="A22" i="34"/>
  <c r="O21" i="34"/>
  <c r="N21" i="34"/>
  <c r="M21" i="34"/>
  <c r="L21" i="34"/>
  <c r="K21" i="34"/>
  <c r="J21" i="34"/>
  <c r="I21" i="34"/>
  <c r="H21" i="34"/>
  <c r="G21" i="34"/>
  <c r="F21" i="34"/>
  <c r="E21" i="34"/>
  <c r="D21" i="34"/>
  <c r="C21" i="34"/>
  <c r="B21" i="34"/>
  <c r="A21" i="34"/>
  <c r="O20" i="34"/>
  <c r="N20" i="34"/>
  <c r="M20" i="34"/>
  <c r="L20" i="34"/>
  <c r="K20" i="34"/>
  <c r="J20" i="34"/>
  <c r="I20" i="34"/>
  <c r="H20" i="34"/>
  <c r="G20" i="34"/>
  <c r="F20" i="34"/>
  <c r="E20" i="34"/>
  <c r="D20" i="34"/>
  <c r="C20" i="34"/>
  <c r="B20" i="34"/>
  <c r="A20" i="34"/>
  <c r="AM19" i="34"/>
  <c r="AL19" i="34"/>
  <c r="AK19" i="34"/>
  <c r="AJ19" i="34"/>
  <c r="AH19" i="34"/>
  <c r="AG19" i="34"/>
  <c r="AF19" i="34"/>
  <c r="AE19" i="34"/>
  <c r="AD19" i="34"/>
  <c r="AA19" i="34"/>
  <c r="Z19" i="34"/>
  <c r="Y19" i="34"/>
  <c r="X19" i="34"/>
  <c r="W19" i="34"/>
  <c r="V19" i="34"/>
  <c r="U19" i="34"/>
  <c r="T19" i="34"/>
  <c r="S19" i="34"/>
  <c r="R19" i="34"/>
  <c r="Q19" i="34"/>
  <c r="P19" i="34"/>
  <c r="O19" i="34"/>
  <c r="N19" i="34"/>
  <c r="M19" i="34"/>
  <c r="L19" i="34"/>
  <c r="K19" i="34"/>
  <c r="J19" i="34"/>
  <c r="I19" i="34"/>
  <c r="H19" i="34"/>
  <c r="G19" i="34"/>
  <c r="F19" i="34"/>
  <c r="C19" i="34"/>
  <c r="B19" i="34"/>
  <c r="A19" i="34"/>
  <c r="Q18" i="34"/>
  <c r="P18" i="34"/>
  <c r="O18" i="34"/>
  <c r="N18" i="34"/>
  <c r="M18" i="34"/>
  <c r="L18" i="34"/>
  <c r="K18" i="34"/>
  <c r="J18" i="34"/>
  <c r="I18" i="34"/>
  <c r="H18" i="34"/>
  <c r="G18" i="34"/>
  <c r="F18" i="34"/>
  <c r="E18" i="34"/>
  <c r="D18" i="34"/>
  <c r="C18" i="34"/>
  <c r="B18" i="34"/>
  <c r="A18" i="34"/>
  <c r="AM17" i="34"/>
  <c r="AL17" i="34"/>
  <c r="AK17" i="34"/>
  <c r="AJ17" i="34"/>
  <c r="AI17" i="34"/>
  <c r="AH17" i="34"/>
  <c r="AG17" i="34"/>
  <c r="AF17" i="34"/>
  <c r="AE17" i="34"/>
  <c r="AD17" i="34"/>
  <c r="AA17" i="34"/>
  <c r="Z17" i="34"/>
  <c r="Y17" i="34"/>
  <c r="X17" i="34"/>
  <c r="W17" i="34"/>
  <c r="V17" i="34"/>
  <c r="U17" i="34"/>
  <c r="T17" i="34"/>
  <c r="S17" i="34"/>
  <c r="R17" i="34"/>
  <c r="Q17" i="34"/>
  <c r="P17" i="34"/>
  <c r="O17" i="34"/>
  <c r="N17" i="34"/>
  <c r="M17" i="34"/>
  <c r="L17" i="34"/>
  <c r="K17" i="34"/>
  <c r="J17" i="34"/>
  <c r="I17" i="34"/>
  <c r="H17" i="34"/>
  <c r="G17" i="34"/>
  <c r="F17" i="34"/>
  <c r="E17" i="34"/>
  <c r="D17" i="34"/>
  <c r="C17" i="34"/>
  <c r="B17" i="34"/>
  <c r="A17" i="34"/>
  <c r="AM16" i="34"/>
  <c r="AL16" i="34"/>
  <c r="AK16" i="34"/>
  <c r="AJ16" i="34"/>
  <c r="AI16" i="34"/>
  <c r="AH16" i="34"/>
  <c r="AG16" i="34"/>
  <c r="AF16" i="34"/>
  <c r="AE16" i="34"/>
  <c r="AD16" i="34"/>
  <c r="AA16" i="34"/>
  <c r="Z16" i="34"/>
  <c r="Y16" i="34"/>
  <c r="X16" i="34"/>
  <c r="W16" i="34"/>
  <c r="V16" i="34"/>
  <c r="U16" i="34"/>
  <c r="T16" i="34"/>
  <c r="S16" i="34"/>
  <c r="R16" i="34"/>
  <c r="Q16" i="34"/>
  <c r="P16" i="34"/>
  <c r="O16" i="34"/>
  <c r="N16" i="34"/>
  <c r="M16" i="34"/>
  <c r="L16" i="34"/>
  <c r="K16" i="34"/>
  <c r="J16" i="34"/>
  <c r="I16" i="34"/>
  <c r="H16" i="34"/>
  <c r="G16" i="34"/>
  <c r="F16" i="34"/>
  <c r="E16" i="34"/>
  <c r="D16" i="34"/>
  <c r="C16" i="34"/>
  <c r="B16" i="34"/>
  <c r="A16" i="34"/>
  <c r="AM15" i="34"/>
  <c r="AL15" i="34"/>
  <c r="AK15" i="34"/>
  <c r="AJ15" i="34"/>
  <c r="AI15" i="34"/>
  <c r="AH15" i="34"/>
  <c r="AG15" i="34"/>
  <c r="AF15" i="34"/>
  <c r="AE15" i="34"/>
  <c r="AD15" i="34"/>
  <c r="AA15" i="34"/>
  <c r="Z15" i="34"/>
  <c r="Y15" i="34"/>
  <c r="X15" i="34"/>
  <c r="W15" i="34"/>
  <c r="V15" i="34"/>
  <c r="U15" i="34"/>
  <c r="T15" i="34"/>
  <c r="S15" i="34"/>
  <c r="R15" i="34"/>
  <c r="Q15" i="34"/>
  <c r="P15" i="34"/>
  <c r="O15" i="34"/>
  <c r="N15" i="34"/>
  <c r="M15" i="34"/>
  <c r="L15" i="34"/>
  <c r="K15" i="34"/>
  <c r="J15" i="34"/>
  <c r="I15" i="34"/>
  <c r="H15" i="34"/>
  <c r="G15" i="34"/>
  <c r="F15" i="34"/>
  <c r="E15" i="34"/>
  <c r="D15" i="34"/>
  <c r="C15" i="34"/>
  <c r="B15" i="34"/>
  <c r="A15" i="34"/>
  <c r="AM14" i="34"/>
  <c r="AL14" i="34"/>
  <c r="AK14" i="34"/>
  <c r="AJ14" i="34"/>
  <c r="AI14" i="34"/>
  <c r="AH14" i="34"/>
  <c r="AG14" i="34"/>
  <c r="AF14" i="34"/>
  <c r="AE14" i="34"/>
  <c r="AD14" i="34"/>
  <c r="AA14" i="34"/>
  <c r="Z14" i="34"/>
  <c r="Y14" i="34"/>
  <c r="X14" i="34"/>
  <c r="W14" i="34"/>
  <c r="V14" i="34"/>
  <c r="U14" i="34"/>
  <c r="T14" i="34"/>
  <c r="S14" i="34"/>
  <c r="R14" i="34"/>
  <c r="Q14" i="34"/>
  <c r="P14" i="34"/>
  <c r="O14" i="34"/>
  <c r="N14" i="34"/>
  <c r="M14" i="34"/>
  <c r="L14" i="34"/>
  <c r="K14" i="34"/>
  <c r="J14" i="34"/>
  <c r="I14" i="34"/>
  <c r="H14" i="34"/>
  <c r="G14" i="34"/>
  <c r="F14" i="34"/>
  <c r="E14" i="34"/>
  <c r="D14" i="34"/>
  <c r="C14" i="34"/>
  <c r="B14" i="34"/>
  <c r="A14" i="34"/>
  <c r="AM13" i="34"/>
  <c r="AL13" i="34"/>
  <c r="AK13" i="34"/>
  <c r="AJ13" i="34"/>
  <c r="AI13" i="34"/>
  <c r="AH13" i="34"/>
  <c r="AG13" i="34"/>
  <c r="AF13" i="34"/>
  <c r="AE13" i="34"/>
  <c r="AD13" i="34"/>
  <c r="AA13" i="34"/>
  <c r="Z13" i="34"/>
  <c r="Y13" i="34"/>
  <c r="X13" i="34"/>
  <c r="W13" i="34"/>
  <c r="V13" i="34"/>
  <c r="U13" i="34"/>
  <c r="T13" i="34"/>
  <c r="S13" i="34"/>
  <c r="R13" i="34"/>
  <c r="Q13" i="34"/>
  <c r="P13" i="34"/>
  <c r="O13" i="34"/>
  <c r="N13" i="34"/>
  <c r="M13" i="34"/>
  <c r="L13" i="34"/>
  <c r="K13" i="34"/>
  <c r="J13" i="34"/>
  <c r="I13" i="34"/>
  <c r="H13" i="34"/>
  <c r="G13" i="34"/>
  <c r="F13" i="34"/>
  <c r="E13" i="34"/>
  <c r="D13" i="34"/>
  <c r="C13" i="34"/>
  <c r="B13" i="34"/>
  <c r="A13" i="34"/>
  <c r="AM12" i="34"/>
  <c r="AL12" i="34"/>
  <c r="AK12" i="34"/>
  <c r="AJ12" i="34"/>
  <c r="AI12" i="34"/>
  <c r="AH12" i="34"/>
  <c r="AG12" i="34"/>
  <c r="AF12" i="34"/>
  <c r="AE12" i="34"/>
  <c r="AD12" i="34"/>
  <c r="AA12" i="34"/>
  <c r="Z12" i="34"/>
  <c r="Y12" i="34"/>
  <c r="X12" i="34"/>
  <c r="W12" i="34"/>
  <c r="V12" i="34"/>
  <c r="U12" i="34"/>
  <c r="T12" i="34"/>
  <c r="S12" i="34"/>
  <c r="R12" i="34"/>
  <c r="Q12" i="34"/>
  <c r="P12" i="34"/>
  <c r="O12" i="34"/>
  <c r="N12" i="34"/>
  <c r="M12" i="34"/>
  <c r="L12" i="34"/>
  <c r="K12" i="34"/>
  <c r="J12" i="34"/>
  <c r="I12" i="34"/>
  <c r="H12" i="34"/>
  <c r="G12" i="34"/>
  <c r="F12" i="34"/>
  <c r="E12" i="34"/>
  <c r="D12" i="34"/>
  <c r="C12" i="34"/>
  <c r="B12" i="34"/>
  <c r="A12" i="34"/>
  <c r="AM11" i="34"/>
  <c r="AL11" i="34"/>
  <c r="AK11" i="34"/>
  <c r="AJ11" i="34"/>
  <c r="AI11" i="34"/>
  <c r="AH11" i="34"/>
  <c r="AG11" i="34"/>
  <c r="AF11" i="34"/>
  <c r="AE11" i="34"/>
  <c r="AD11" i="34"/>
  <c r="AA11" i="34"/>
  <c r="Z11" i="34"/>
  <c r="Y11" i="34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I11" i="34"/>
  <c r="H11" i="34"/>
  <c r="G11" i="34"/>
  <c r="F11" i="34"/>
  <c r="E11" i="34"/>
  <c r="D11" i="34"/>
  <c r="C11" i="34"/>
  <c r="B11" i="34"/>
  <c r="A11" i="34"/>
  <c r="AL7" i="34"/>
  <c r="AK7" i="34"/>
  <c r="AJ7" i="34"/>
  <c r="AI7" i="34"/>
  <c r="AH7" i="34"/>
  <c r="AG7" i="34"/>
  <c r="AF7" i="34"/>
  <c r="AE7" i="34"/>
  <c r="AD7" i="34"/>
  <c r="AA7" i="34"/>
  <c r="Z7" i="34"/>
  <c r="Y7" i="34"/>
  <c r="X7" i="34"/>
  <c r="W7" i="34"/>
  <c r="U7" i="34"/>
  <c r="U53" i="34" s="1"/>
  <c r="T7" i="34"/>
  <c r="R7" i="34"/>
  <c r="Q7" i="34"/>
  <c r="O7" i="34"/>
  <c r="N7" i="34"/>
  <c r="M7" i="34"/>
  <c r="L7" i="34"/>
  <c r="K7" i="34"/>
  <c r="J7" i="34"/>
  <c r="I7" i="34"/>
  <c r="G7" i="34"/>
  <c r="F7" i="34"/>
  <c r="E7" i="34"/>
  <c r="D7" i="34"/>
  <c r="C7" i="34"/>
  <c r="B7" i="34"/>
  <c r="A7" i="34"/>
  <c r="A6" i="34"/>
  <c r="A5" i="34"/>
  <c r="AM4" i="34"/>
  <c r="AL4" i="34"/>
  <c r="AK4" i="34"/>
  <c r="AJ4" i="34"/>
  <c r="AI4" i="34"/>
  <c r="AH4" i="34"/>
  <c r="AG4" i="34"/>
  <c r="AF4" i="34"/>
  <c r="AE4" i="34"/>
  <c r="AD4" i="34"/>
  <c r="O3" i="34"/>
  <c r="N3" i="34"/>
  <c r="M3" i="34"/>
  <c r="L3" i="34"/>
  <c r="K3" i="34"/>
  <c r="J3" i="34"/>
  <c r="I3" i="34"/>
  <c r="H3" i="34"/>
  <c r="G3" i="34"/>
  <c r="F3" i="34"/>
  <c r="E3" i="34"/>
  <c r="D3" i="34"/>
  <c r="C3" i="34"/>
  <c r="B3" i="34"/>
  <c r="A3" i="34"/>
  <c r="O46" i="33"/>
  <c r="O41" i="33" s="1"/>
  <c r="N46" i="33"/>
  <c r="N41" i="33" s="1"/>
  <c r="N42" i="33" s="1"/>
  <c r="M46" i="33"/>
  <c r="M41" i="33" s="1"/>
  <c r="M42" i="33" s="1"/>
  <c r="L46" i="33"/>
  <c r="L41" i="33" s="1"/>
  <c r="L42" i="33" s="1"/>
  <c r="K46" i="33"/>
  <c r="K41" i="33" s="1"/>
  <c r="K42" i="33" s="1"/>
  <c r="J46" i="33"/>
  <c r="J41" i="33" s="1"/>
  <c r="J42" i="33" s="1"/>
  <c r="I46" i="33"/>
  <c r="I41" i="33" s="1"/>
  <c r="H46" i="33"/>
  <c r="H41" i="33" s="1"/>
  <c r="G46" i="33"/>
  <c r="G41" i="33" s="1"/>
  <c r="G42" i="33" s="1"/>
  <c r="F46" i="33"/>
  <c r="F41" i="33" s="1"/>
  <c r="E46" i="33"/>
  <c r="E41" i="33" s="1"/>
  <c r="D46" i="33"/>
  <c r="D41" i="33" s="1"/>
  <c r="C46" i="33"/>
  <c r="C41" i="33" s="1"/>
  <c r="C42" i="33" s="1"/>
  <c r="B46" i="33"/>
  <c r="B41" i="33" s="1"/>
  <c r="B42" i="33" s="1"/>
  <c r="A41" i="33"/>
  <c r="A40" i="33"/>
  <c r="A39" i="33"/>
  <c r="A38" i="33"/>
  <c r="A37" i="33"/>
  <c r="A36" i="33"/>
  <c r="A35" i="33"/>
  <c r="A34" i="33"/>
  <c r="A33" i="33"/>
  <c r="A31" i="33"/>
  <c r="A30" i="33"/>
  <c r="A29" i="33"/>
  <c r="A28" i="33"/>
  <c r="A27" i="33"/>
  <c r="A26" i="33"/>
  <c r="A25" i="33"/>
  <c r="A24" i="33"/>
  <c r="A23" i="33"/>
  <c r="A22" i="33"/>
  <c r="AL21" i="33"/>
  <c r="AK21" i="33"/>
  <c r="AJ21" i="33"/>
  <c r="AH21" i="33"/>
  <c r="AF21" i="33"/>
  <c r="AE21" i="33"/>
  <c r="AD21" i="33"/>
  <c r="AA21" i="33"/>
  <c r="Z21" i="33"/>
  <c r="Y21" i="33"/>
  <c r="X21" i="33"/>
  <c r="W21" i="33"/>
  <c r="V21" i="33"/>
  <c r="U21" i="33"/>
  <c r="T21" i="33"/>
  <c r="S21" i="33"/>
  <c r="R21" i="33"/>
  <c r="Q21" i="33"/>
  <c r="P21" i="33"/>
  <c r="A21" i="33"/>
  <c r="AL20" i="33"/>
  <c r="AK20" i="33"/>
  <c r="AJ20" i="33"/>
  <c r="AH20" i="33"/>
  <c r="AF20" i="33"/>
  <c r="AF20" i="34" s="1"/>
  <c r="AE20" i="33"/>
  <c r="AD20" i="33"/>
  <c r="AA20" i="33"/>
  <c r="Z20" i="33"/>
  <c r="Y20" i="33"/>
  <c r="X20" i="33"/>
  <c r="W20" i="33"/>
  <c r="V20" i="33"/>
  <c r="U20" i="33"/>
  <c r="T20" i="33"/>
  <c r="S20" i="33"/>
  <c r="R20" i="33"/>
  <c r="Q20" i="33"/>
  <c r="P20" i="33"/>
  <c r="A20" i="33"/>
  <c r="E19" i="33"/>
  <c r="D19" i="33"/>
  <c r="A19" i="33"/>
  <c r="A18" i="33"/>
  <c r="A17" i="33"/>
  <c r="A16" i="33"/>
  <c r="A15" i="33"/>
  <c r="A14" i="33"/>
  <c r="A13" i="33"/>
  <c r="A12" i="33"/>
  <c r="A11" i="33"/>
  <c r="P7" i="33"/>
  <c r="H7" i="33"/>
  <c r="H7" i="34" s="1"/>
  <c r="A7" i="33"/>
  <c r="A6" i="33"/>
  <c r="A5" i="33"/>
  <c r="AA4" i="33"/>
  <c r="A3" i="33"/>
  <c r="R55" i="31"/>
  <c r="P49" i="31"/>
  <c r="P41" i="31" s="1"/>
  <c r="P42" i="31" s="1"/>
  <c r="O49" i="31"/>
  <c r="O41" i="31" s="1"/>
  <c r="O42" i="31" s="1"/>
  <c r="N49" i="31"/>
  <c r="N41" i="31" s="1"/>
  <c r="M49" i="31"/>
  <c r="M41" i="31" s="1"/>
  <c r="M42" i="31" s="1"/>
  <c r="L49" i="31"/>
  <c r="L41" i="31" s="1"/>
  <c r="K49" i="31"/>
  <c r="K41" i="31" s="1"/>
  <c r="K42" i="31" s="1"/>
  <c r="J49" i="31"/>
  <c r="J41" i="31" s="1"/>
  <c r="J42" i="31" s="1"/>
  <c r="I49" i="31"/>
  <c r="I41" i="31" s="1"/>
  <c r="H49" i="31"/>
  <c r="H41" i="31" s="1"/>
  <c r="H42" i="31" s="1"/>
  <c r="G49" i="31"/>
  <c r="G41" i="31" s="1"/>
  <c r="G42" i="31" s="1"/>
  <c r="F49" i="31"/>
  <c r="F41" i="31" s="1"/>
  <c r="E49" i="31"/>
  <c r="E41" i="31" s="1"/>
  <c r="D49" i="31"/>
  <c r="D41" i="31" s="1"/>
  <c r="D42" i="31" s="1"/>
  <c r="C49" i="31"/>
  <c r="C41" i="31" s="1"/>
  <c r="X45" i="31"/>
  <c r="W45" i="31"/>
  <c r="Q26" i="31"/>
  <c r="P26" i="34" s="1"/>
  <c r="AN21" i="31"/>
  <c r="AM21" i="31"/>
  <c r="AL21" i="31"/>
  <c r="AK21" i="31"/>
  <c r="AI21" i="31"/>
  <c r="AG21" i="31"/>
  <c r="AF21" i="31"/>
  <c r="AE21" i="31"/>
  <c r="AB21" i="31"/>
  <c r="AA21" i="31"/>
  <c r="Z21" i="31"/>
  <c r="Y21" i="31"/>
  <c r="X21" i="31"/>
  <c r="W21" i="31"/>
  <c r="V21" i="31"/>
  <c r="U21" i="31"/>
  <c r="T21" i="31"/>
  <c r="S21" i="31"/>
  <c r="R21" i="31"/>
  <c r="Q21" i="31"/>
  <c r="AN20" i="31"/>
  <c r="AM20" i="31"/>
  <c r="AL20" i="31"/>
  <c r="AK20" i="31"/>
  <c r="AI20" i="31"/>
  <c r="AG20" i="31"/>
  <c r="AF20" i="31"/>
  <c r="AE20" i="31"/>
  <c r="AB20" i="31"/>
  <c r="AA20" i="31"/>
  <c r="Z20" i="31"/>
  <c r="Y20" i="31"/>
  <c r="X20" i="31"/>
  <c r="W20" i="31"/>
  <c r="V20" i="31"/>
  <c r="U20" i="31"/>
  <c r="T20" i="31"/>
  <c r="S20" i="31"/>
  <c r="R20" i="31"/>
  <c r="Q20" i="31"/>
  <c r="F19" i="31"/>
  <c r="E19" i="31"/>
  <c r="AH18" i="31"/>
  <c r="AG18" i="34" s="1"/>
  <c r="AG18" i="31"/>
  <c r="AF18" i="34" s="1"/>
  <c r="AF18" i="31"/>
  <c r="AE18" i="34" s="1"/>
  <c r="AE18" i="31"/>
  <c r="AB18" i="31"/>
  <c r="AA18" i="34" s="1"/>
  <c r="AA18" i="31"/>
  <c r="Z18" i="34" s="1"/>
  <c r="Z18" i="31"/>
  <c r="Y18" i="34" s="1"/>
  <c r="Y18" i="31"/>
  <c r="X18" i="34" s="1"/>
  <c r="X18" i="31"/>
  <c r="W18" i="34" s="1"/>
  <c r="W18" i="31"/>
  <c r="V18" i="34" s="1"/>
  <c r="V18" i="31"/>
  <c r="U18" i="34" s="1"/>
  <c r="U18" i="31"/>
  <c r="T18" i="34" s="1"/>
  <c r="T18" i="31"/>
  <c r="S18" i="31"/>
  <c r="R18" i="34" s="1"/>
  <c r="W7" i="31"/>
  <c r="V7" i="34" s="1"/>
  <c r="T7" i="31"/>
  <c r="S7" i="34" s="1"/>
  <c r="Q7" i="31"/>
  <c r="AB4" i="31"/>
  <c r="AH3" i="31"/>
  <c r="AG3" i="34" s="1"/>
  <c r="AG3" i="31"/>
  <c r="AF3" i="34" s="1"/>
  <c r="AF3" i="31"/>
  <c r="AE3" i="31"/>
  <c r="AB3" i="31"/>
  <c r="AA3" i="34" s="1"/>
  <c r="AA3" i="31"/>
  <c r="Z3" i="34" s="1"/>
  <c r="Z3" i="31"/>
  <c r="Y3" i="34" s="1"/>
  <c r="Y3" i="31"/>
  <c r="X3" i="34" s="1"/>
  <c r="X3" i="31"/>
  <c r="W3" i="34" s="1"/>
  <c r="W3" i="31"/>
  <c r="V3" i="34" s="1"/>
  <c r="V3" i="31"/>
  <c r="U3" i="34" s="1"/>
  <c r="U3" i="31"/>
  <c r="T3" i="34" s="1"/>
  <c r="T3" i="31"/>
  <c r="S3" i="34" s="1"/>
  <c r="S3" i="31"/>
  <c r="S55" i="31" s="1"/>
  <c r="Q3" i="31"/>
  <c r="Q55" i="31" s="1"/>
  <c r="AJ7" i="28"/>
  <c r="AG7" i="28"/>
  <c r="AD7" i="28"/>
  <c r="AA7" i="28"/>
  <c r="X7" i="28"/>
  <c r="U7" i="28"/>
  <c r="O7" i="28"/>
  <c r="L7" i="28"/>
  <c r="I7" i="28"/>
  <c r="F7" i="28"/>
  <c r="C7" i="28"/>
  <c r="Q99" i="19"/>
  <c r="Q98" i="19"/>
  <c r="CF44" i="19"/>
  <c r="B181" i="21"/>
  <c r="B180" i="21"/>
  <c r="B177" i="21"/>
  <c r="B176" i="21"/>
  <c r="B175" i="21"/>
  <c r="H171" i="21"/>
  <c r="D170" i="21"/>
  <c r="D157" i="21"/>
  <c r="D154" i="21"/>
  <c r="C146" i="21"/>
  <c r="C138" i="21"/>
  <c r="C137" i="21"/>
  <c r="C136" i="21"/>
  <c r="C135" i="21"/>
  <c r="C134" i="21"/>
  <c r="C133" i="21"/>
  <c r="D132" i="21"/>
  <c r="D139" i="21" s="1"/>
  <c r="C129" i="21"/>
  <c r="C128" i="21"/>
  <c r="C127" i="21"/>
  <c r="C126" i="21"/>
  <c r="C123" i="21"/>
  <c r="C121" i="21"/>
  <c r="C119" i="21"/>
  <c r="C118" i="21"/>
  <c r="C117" i="21"/>
  <c r="C114" i="21"/>
  <c r="C113" i="21"/>
  <c r="C112" i="21"/>
  <c r="C109" i="21"/>
  <c r="C108" i="21"/>
  <c r="C107" i="21"/>
  <c r="C106" i="21"/>
  <c r="C105" i="21"/>
  <c r="D104" i="21"/>
  <c r="C103" i="21"/>
  <c r="C101" i="21"/>
  <c r="C97" i="21"/>
  <c r="D89" i="21"/>
  <c r="E81" i="21"/>
  <c r="C81" i="21"/>
  <c r="C78" i="21" s="1"/>
  <c r="Q19" i="21" s="1"/>
  <c r="E80" i="21"/>
  <c r="E79" i="21"/>
  <c r="E77" i="21"/>
  <c r="E76" i="21"/>
  <c r="E74" i="21"/>
  <c r="E73" i="21"/>
  <c r="J72" i="21"/>
  <c r="I72" i="21"/>
  <c r="H72" i="21"/>
  <c r="E72" i="21"/>
  <c r="J71" i="21"/>
  <c r="I71" i="21"/>
  <c r="H71" i="21"/>
  <c r="E71" i="21"/>
  <c r="K71" i="21" s="1"/>
  <c r="J70" i="21"/>
  <c r="I70" i="21"/>
  <c r="H70" i="21"/>
  <c r="E70" i="21"/>
  <c r="E69" i="21"/>
  <c r="E68" i="21"/>
  <c r="E67" i="21"/>
  <c r="E66" i="21"/>
  <c r="E65" i="21"/>
  <c r="E64" i="21"/>
  <c r="E63" i="21"/>
  <c r="E61" i="21"/>
  <c r="E60" i="21"/>
  <c r="E59" i="21"/>
  <c r="E58" i="21"/>
  <c r="C56" i="21"/>
  <c r="C52" i="21" s="1"/>
  <c r="E55" i="21"/>
  <c r="E54" i="21"/>
  <c r="E53" i="21"/>
  <c r="E22" i="21"/>
  <c r="E34" i="21"/>
  <c r="E33" i="21"/>
  <c r="E31" i="21"/>
  <c r="E23" i="21"/>
  <c r="E32" i="21"/>
  <c r="E21" i="21"/>
  <c r="E37" i="21"/>
  <c r="E36" i="21"/>
  <c r="A36" i="21"/>
  <c r="E20" i="21"/>
  <c r="E29" i="21"/>
  <c r="E28" i="21"/>
  <c r="E27" i="21"/>
  <c r="E26" i="21"/>
  <c r="E25" i="21"/>
  <c r="D24" i="21"/>
  <c r="R11" i="21" s="1"/>
  <c r="E19" i="21"/>
  <c r="E18" i="21"/>
  <c r="E16" i="21"/>
  <c r="E15" i="21"/>
  <c r="E14" i="21"/>
  <c r="E13" i="21"/>
  <c r="C13" i="21"/>
  <c r="E12" i="21"/>
  <c r="E10" i="21"/>
  <c r="C10" i="21"/>
  <c r="E6" i="21"/>
  <c r="S6" i="21" s="1"/>
  <c r="R4" i="21"/>
  <c r="P61" i="16"/>
  <c r="Q61" i="16"/>
  <c r="AP84" i="27"/>
  <c r="AO84" i="27"/>
  <c r="AN84" i="27"/>
  <c r="AM84" i="27"/>
  <c r="AK84" i="27"/>
  <c r="AJ84" i="27"/>
  <c r="AB84" i="27"/>
  <c r="AA84" i="27"/>
  <c r="Z84" i="27"/>
  <c r="Y84" i="27"/>
  <c r="X84" i="27"/>
  <c r="W84" i="27"/>
  <c r="V84" i="27"/>
  <c r="U84" i="27"/>
  <c r="T84" i="27"/>
  <c r="S84" i="27"/>
  <c r="R84" i="27"/>
  <c r="Q84" i="27"/>
  <c r="AP83" i="27"/>
  <c r="AO83" i="27"/>
  <c r="AN83" i="27"/>
  <c r="AM83" i="27"/>
  <c r="AK83" i="27"/>
  <c r="AJ83" i="27"/>
  <c r="AJ80" i="27"/>
  <c r="AJ81" i="27"/>
  <c r="AJ82" i="27"/>
  <c r="AJ96" i="27" s="1"/>
  <c r="AB83" i="27"/>
  <c r="AA83" i="27"/>
  <c r="Z83" i="27"/>
  <c r="Y83" i="27"/>
  <c r="X83" i="27"/>
  <c r="W83" i="27"/>
  <c r="V83" i="27"/>
  <c r="U83" i="27"/>
  <c r="T83" i="27"/>
  <c r="S83" i="27"/>
  <c r="R83" i="27"/>
  <c r="Q83" i="27"/>
  <c r="AP82" i="27"/>
  <c r="AO82" i="27"/>
  <c r="AN82" i="27"/>
  <c r="AN96" i="27" s="1"/>
  <c r="AM82" i="27"/>
  <c r="AM96" i="27" s="1"/>
  <c r="AK82" i="27"/>
  <c r="AK96" i="27" s="1"/>
  <c r="AB82" i="27"/>
  <c r="AA82" i="27"/>
  <c r="Z82" i="27"/>
  <c r="Y82" i="27"/>
  <c r="X82" i="27"/>
  <c r="W82" i="27"/>
  <c r="V82" i="27"/>
  <c r="U82" i="27"/>
  <c r="T82" i="27"/>
  <c r="S82" i="27"/>
  <c r="R82" i="27"/>
  <c r="Q82" i="27"/>
  <c r="AP81" i="27"/>
  <c r="AO81" i="27"/>
  <c r="AN81" i="27"/>
  <c r="AM81" i="27"/>
  <c r="AL81" i="27"/>
  <c r="AK81" i="27"/>
  <c r="AB81" i="27"/>
  <c r="AA81" i="27"/>
  <c r="Z81" i="27"/>
  <c r="Y81" i="27"/>
  <c r="X81" i="27"/>
  <c r="W81" i="27"/>
  <c r="V81" i="27"/>
  <c r="U81" i="27"/>
  <c r="T81" i="27"/>
  <c r="S81" i="27"/>
  <c r="R81" i="27"/>
  <c r="Q81" i="27"/>
  <c r="AP80" i="27"/>
  <c r="AO80" i="27"/>
  <c r="AN80" i="27"/>
  <c r="AM80" i="27"/>
  <c r="AK80" i="27"/>
  <c r="AB80" i="27"/>
  <c r="AA80" i="27"/>
  <c r="Z80" i="27"/>
  <c r="Y80" i="27"/>
  <c r="X80" i="27"/>
  <c r="W80" i="27"/>
  <c r="V80" i="27"/>
  <c r="U80" i="27"/>
  <c r="T80" i="27"/>
  <c r="S80" i="27"/>
  <c r="R80" i="27"/>
  <c r="Q80" i="27"/>
  <c r="AP54" i="27"/>
  <c r="AO54" i="27"/>
  <c r="AN54" i="27"/>
  <c r="AM54" i="27"/>
  <c r="AL54" i="27"/>
  <c r="AK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AN33" i="27"/>
  <c r="AT42" i="27" s="1"/>
  <c r="AM33" i="27"/>
  <c r="AP39" i="27" s="1"/>
  <c r="AL33" i="27"/>
  <c r="AQ41" i="27" s="1"/>
  <c r="AK33" i="27"/>
  <c r="AL37" i="27" s="1"/>
  <c r="AJ33" i="27"/>
  <c r="AP42" i="27" s="1"/>
  <c r="AI33" i="27"/>
  <c r="AN41" i="27" s="1"/>
  <c r="V33" i="27"/>
  <c r="Z40" i="27" s="1"/>
  <c r="U33" i="27"/>
  <c r="Y40" i="27" s="1"/>
  <c r="T33" i="27"/>
  <c r="V38" i="27" s="1"/>
  <c r="S33" i="27"/>
  <c r="Y42" i="27" s="1"/>
  <c r="R33" i="27"/>
  <c r="W41" i="27" s="1"/>
  <c r="Q33" i="27"/>
  <c r="R37" i="27" s="1"/>
  <c r="P33" i="27"/>
  <c r="T40" i="27" s="1"/>
  <c r="O33" i="27"/>
  <c r="Q38" i="27" s="1"/>
  <c r="N33" i="27"/>
  <c r="T42" i="27" s="1"/>
  <c r="M33" i="27"/>
  <c r="L33" i="27"/>
  <c r="K33" i="27"/>
  <c r="J33" i="27"/>
  <c r="I33" i="27"/>
  <c r="H33" i="27"/>
  <c r="G33" i="27"/>
  <c r="F33" i="27"/>
  <c r="E33" i="27"/>
  <c r="D33" i="27"/>
  <c r="J56" i="26"/>
  <c r="J45" i="26" s="1"/>
  <c r="J54" i="26"/>
  <c r="J53" i="26"/>
  <c r="J52" i="26"/>
  <c r="E52" i="26"/>
  <c r="J50" i="26"/>
  <c r="D50" i="26"/>
  <c r="J49" i="26"/>
  <c r="B49" i="26"/>
  <c r="D49" i="26" s="1"/>
  <c r="J48" i="26"/>
  <c r="D48" i="26"/>
  <c r="E48" i="26" s="1"/>
  <c r="D47" i="26"/>
  <c r="D46" i="26"/>
  <c r="G45" i="26"/>
  <c r="I45" i="26" s="1"/>
  <c r="D45" i="26"/>
  <c r="G44" i="26"/>
  <c r="I44" i="26" s="1"/>
  <c r="D44" i="26"/>
  <c r="G43" i="26"/>
  <c r="I43" i="26" s="1"/>
  <c r="D43" i="26"/>
  <c r="H42" i="26"/>
  <c r="D42" i="26"/>
  <c r="C41" i="26"/>
  <c r="B41" i="26"/>
  <c r="B40" i="26"/>
  <c r="D40" i="26" s="1"/>
  <c r="D39" i="26"/>
  <c r="B38" i="26"/>
  <c r="D38" i="26" s="1"/>
  <c r="B36" i="26"/>
  <c r="D36" i="26" s="1"/>
  <c r="D37" i="26"/>
  <c r="I35" i="26"/>
  <c r="P34" i="26" s="1"/>
  <c r="C35" i="26"/>
  <c r="C33" i="26" s="1"/>
  <c r="I34" i="26"/>
  <c r="P33" i="26" s="1"/>
  <c r="B34" i="26"/>
  <c r="D34" i="26" s="1"/>
  <c r="I33" i="26"/>
  <c r="P32" i="26" s="1"/>
  <c r="I32" i="26"/>
  <c r="P31" i="26" s="1"/>
  <c r="I31" i="26"/>
  <c r="C29" i="26"/>
  <c r="A28" i="26"/>
  <c r="E25" i="26"/>
  <c r="D23" i="26"/>
  <c r="B22" i="26"/>
  <c r="D22" i="26" s="1"/>
  <c r="D21" i="26"/>
  <c r="E21" i="26" s="1"/>
  <c r="D20" i="26"/>
  <c r="D19" i="26"/>
  <c r="D18" i="26"/>
  <c r="I17" i="26"/>
  <c r="K17" i="26" s="1"/>
  <c r="D17" i="26"/>
  <c r="J16" i="26"/>
  <c r="I16" i="26"/>
  <c r="D16" i="26"/>
  <c r="J15" i="26"/>
  <c r="I15" i="26"/>
  <c r="D15" i="26"/>
  <c r="H14" i="26"/>
  <c r="C14" i="26"/>
  <c r="B14" i="26"/>
  <c r="B13" i="26"/>
  <c r="D13" i="26" s="1"/>
  <c r="B12" i="26"/>
  <c r="D12" i="26" s="1"/>
  <c r="P25" i="26" s="1"/>
  <c r="B11" i="26"/>
  <c r="D11" i="26" s="1"/>
  <c r="J10" i="26"/>
  <c r="L10" i="26" s="1"/>
  <c r="D10" i="26"/>
  <c r="B9" i="26"/>
  <c r="D9" i="26" s="1"/>
  <c r="C8" i="26"/>
  <c r="C6" i="26" s="1"/>
  <c r="I7" i="26"/>
  <c r="H7" i="26"/>
  <c r="B7" i="26"/>
  <c r="D7" i="26" s="1"/>
  <c r="I6" i="26"/>
  <c r="H6" i="26"/>
  <c r="H34" i="26" s="1"/>
  <c r="O5" i="26"/>
  <c r="I5" i="26"/>
  <c r="H5" i="26"/>
  <c r="O4" i="26"/>
  <c r="I4" i="26"/>
  <c r="H4" i="26"/>
  <c r="H32" i="26" s="1"/>
  <c r="O3" i="26"/>
  <c r="I3" i="26"/>
  <c r="C2" i="26"/>
  <c r="A1" i="26"/>
  <c r="AA139" i="16"/>
  <c r="Z139" i="16"/>
  <c r="Y139" i="16"/>
  <c r="X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G132" i="16"/>
  <c r="K128" i="16"/>
  <c r="C128" i="16"/>
  <c r="Q121" i="16"/>
  <c r="C120" i="16"/>
  <c r="C125" i="16" s="1"/>
  <c r="C118" i="16"/>
  <c r="B118" i="16"/>
  <c r="O115" i="16"/>
  <c r="N115" i="16"/>
  <c r="I115" i="16"/>
  <c r="I114" i="16" s="1"/>
  <c r="C115" i="16"/>
  <c r="C114" i="16" s="1"/>
  <c r="B115" i="16"/>
  <c r="T114" i="16"/>
  <c r="S114" i="16"/>
  <c r="R114" i="16"/>
  <c r="Q114" i="16"/>
  <c r="P114" i="16"/>
  <c r="M114" i="16"/>
  <c r="L114" i="16"/>
  <c r="K114" i="16"/>
  <c r="J114" i="16"/>
  <c r="G114" i="16"/>
  <c r="F114" i="16"/>
  <c r="E114" i="16"/>
  <c r="D114" i="16"/>
  <c r="O113" i="16"/>
  <c r="N113" i="16"/>
  <c r="O112" i="16"/>
  <c r="H112" i="16"/>
  <c r="H114" i="16" s="1"/>
  <c r="O111" i="16"/>
  <c r="N111" i="16"/>
  <c r="O110" i="16"/>
  <c r="O99" i="16"/>
  <c r="O60" i="16" s="1"/>
  <c r="O96" i="16"/>
  <c r="O57" i="16" s="1"/>
  <c r="Y14" i="16"/>
  <c r="Y28" i="16"/>
  <c r="Y49" i="16"/>
  <c r="Y57" i="16"/>
  <c r="Y58" i="16"/>
  <c r="Y59" i="16"/>
  <c r="Y60" i="16"/>
  <c r="Y61" i="16"/>
  <c r="Y64" i="16"/>
  <c r="Y65" i="16"/>
  <c r="Y66" i="16"/>
  <c r="K72" i="16"/>
  <c r="K18" i="16" s="1"/>
  <c r="I72" i="16"/>
  <c r="AA66" i="16"/>
  <c r="Z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B66" i="16"/>
  <c r="C149" i="21" s="1"/>
  <c r="AA65" i="16"/>
  <c r="Z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B65" i="16"/>
  <c r="C148" i="21" s="1"/>
  <c r="AA64" i="16"/>
  <c r="Z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B64" i="16"/>
  <c r="C147" i="21" s="1"/>
  <c r="AA63" i="16"/>
  <c r="C62" i="16"/>
  <c r="B62" i="16"/>
  <c r="C145" i="21" s="1"/>
  <c r="AA61" i="16"/>
  <c r="Z61" i="16"/>
  <c r="O61" i="16"/>
  <c r="N61" i="16"/>
  <c r="I61" i="16"/>
  <c r="H61" i="16"/>
  <c r="G61" i="16"/>
  <c r="F61" i="16"/>
  <c r="E61" i="16"/>
  <c r="D61" i="16"/>
  <c r="C61" i="16"/>
  <c r="B61" i="16"/>
  <c r="C144" i="21" s="1"/>
  <c r="AA60" i="16"/>
  <c r="Z60" i="16"/>
  <c r="Q60" i="16"/>
  <c r="P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C143" i="21" s="1"/>
  <c r="AA59" i="16"/>
  <c r="Z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B59" i="16"/>
  <c r="C142" i="21" s="1"/>
  <c r="AA58" i="16"/>
  <c r="Z58" i="16"/>
  <c r="P58" i="16"/>
  <c r="Q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B58" i="16"/>
  <c r="C141" i="21" s="1"/>
  <c r="Z57" i="16"/>
  <c r="Q57" i="16"/>
  <c r="P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B57" i="16"/>
  <c r="C140" i="21" s="1"/>
  <c r="AA55" i="16"/>
  <c r="Y55" i="16"/>
  <c r="X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Z54" i="16"/>
  <c r="Y54" i="16"/>
  <c r="X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AA53" i="16"/>
  <c r="Z53" i="16"/>
  <c r="Y53" i="16"/>
  <c r="X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AA52" i="16"/>
  <c r="Z52" i="16"/>
  <c r="Y52" i="16"/>
  <c r="X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AA51" i="16"/>
  <c r="Z51" i="16"/>
  <c r="Y51" i="16"/>
  <c r="X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AA50" i="16"/>
  <c r="Z50" i="16"/>
  <c r="Y50" i="16"/>
  <c r="X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C56" i="16" s="1"/>
  <c r="B49" i="16"/>
  <c r="B56" i="16" s="1"/>
  <c r="C139" i="21" s="1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D45" i="16"/>
  <c r="E45" i="16" s="1"/>
  <c r="F45" i="16" s="1"/>
  <c r="G45" i="16" s="1"/>
  <c r="H45" i="16" s="1"/>
  <c r="I45" i="16" s="1"/>
  <c r="J45" i="16" s="1"/>
  <c r="K45" i="16" s="1"/>
  <c r="L45" i="16" s="1"/>
  <c r="M45" i="16" s="1"/>
  <c r="N45" i="16" s="1"/>
  <c r="O45" i="16" s="1"/>
  <c r="P45" i="16" s="1"/>
  <c r="Q45" i="16" s="1"/>
  <c r="R45" i="16" s="1"/>
  <c r="S45" i="16" s="1"/>
  <c r="T45" i="16" s="1"/>
  <c r="U45" i="16" s="1"/>
  <c r="V45" i="16" s="1"/>
  <c r="D44" i="16"/>
  <c r="E44" i="16" s="1"/>
  <c r="F44" i="16" s="1"/>
  <c r="G44" i="16" s="1"/>
  <c r="H44" i="16" s="1"/>
  <c r="I44" i="16" s="1"/>
  <c r="J44" i="16" s="1"/>
  <c r="K44" i="16" s="1"/>
  <c r="L44" i="16" s="1"/>
  <c r="M44" i="16" s="1"/>
  <c r="N44" i="16" s="1"/>
  <c r="O44" i="16" s="1"/>
  <c r="P44" i="16" s="1"/>
  <c r="D43" i="16"/>
  <c r="E43" i="16" s="1"/>
  <c r="F43" i="16" s="1"/>
  <c r="G43" i="16" s="1"/>
  <c r="AA42" i="16"/>
  <c r="Z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C48" i="16" s="1"/>
  <c r="B42" i="16"/>
  <c r="B48" i="16" s="1"/>
  <c r="C131" i="21" s="1"/>
  <c r="D40" i="16"/>
  <c r="S39" i="16"/>
  <c r="Q39" i="16"/>
  <c r="P39" i="16"/>
  <c r="AA38" i="16"/>
  <c r="V38" i="16"/>
  <c r="F38" i="16"/>
  <c r="E38" i="16"/>
  <c r="D38" i="16"/>
  <c r="C38" i="16"/>
  <c r="AA36" i="16"/>
  <c r="Z36" i="16"/>
  <c r="Y36" i="16"/>
  <c r="X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E35" i="16"/>
  <c r="D35" i="16"/>
  <c r="AA34" i="16"/>
  <c r="Z34" i="16"/>
  <c r="Y34" i="16"/>
  <c r="X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AA33" i="16"/>
  <c r="AA121" i="16" s="1"/>
  <c r="Z33" i="16"/>
  <c r="Z121" i="16" s="1"/>
  <c r="Y33" i="16"/>
  <c r="Y126" i="16" s="1"/>
  <c r="X33" i="16"/>
  <c r="X126" i="16" s="1"/>
  <c r="V33" i="16"/>
  <c r="V121" i="16" s="1"/>
  <c r="U33" i="16"/>
  <c r="T33" i="16"/>
  <c r="T126" i="16" s="1"/>
  <c r="S33" i="16"/>
  <c r="S121" i="16" s="1"/>
  <c r="R33" i="16"/>
  <c r="R121" i="16" s="1"/>
  <c r="AA31" i="16"/>
  <c r="AA120" i="16" s="1"/>
  <c r="Z31" i="16"/>
  <c r="Z120" i="16" s="1"/>
  <c r="Y31" i="16"/>
  <c r="Y120" i="16" s="1"/>
  <c r="X31" i="16"/>
  <c r="X120" i="16" s="1"/>
  <c r="V31" i="16"/>
  <c r="V120" i="16" s="1"/>
  <c r="U31" i="16"/>
  <c r="U120" i="16" s="1"/>
  <c r="T31" i="16"/>
  <c r="T120" i="16" s="1"/>
  <c r="S31" i="16"/>
  <c r="R31" i="16"/>
  <c r="R120" i="16" s="1"/>
  <c r="Q31" i="16"/>
  <c r="Q120" i="16" s="1"/>
  <c r="P31" i="16"/>
  <c r="P120" i="16" s="1"/>
  <c r="O31" i="16"/>
  <c r="N31" i="16"/>
  <c r="N120" i="16" s="1"/>
  <c r="M31" i="16"/>
  <c r="M120" i="16" s="1"/>
  <c r="L31" i="16"/>
  <c r="L120" i="16" s="1"/>
  <c r="K31" i="16"/>
  <c r="K120" i="16" s="1"/>
  <c r="J31" i="16"/>
  <c r="J120" i="16" s="1"/>
  <c r="I31" i="16"/>
  <c r="I120" i="16" s="1"/>
  <c r="H31" i="16"/>
  <c r="H120" i="16" s="1"/>
  <c r="G31" i="16"/>
  <c r="G120" i="16" s="1"/>
  <c r="F31" i="16"/>
  <c r="F120" i="16" s="1"/>
  <c r="E31" i="16"/>
  <c r="E120" i="16" s="1"/>
  <c r="D31" i="16"/>
  <c r="D120" i="16" s="1"/>
  <c r="AA30" i="16"/>
  <c r="Z30" i="16"/>
  <c r="Y30" i="16"/>
  <c r="X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AA29" i="16"/>
  <c r="Z29" i="16"/>
  <c r="Y29" i="16"/>
  <c r="X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E29" i="16"/>
  <c r="D29" i="16"/>
  <c r="AA28" i="16"/>
  <c r="Z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C111" i="21" s="1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2" i="16"/>
  <c r="B22" i="16"/>
  <c r="C104" i="21" s="1"/>
  <c r="Q21" i="16"/>
  <c r="Q117" i="16" s="1"/>
  <c r="P21" i="16"/>
  <c r="O21" i="16"/>
  <c r="M21" i="16"/>
  <c r="M117" i="16" s="1"/>
  <c r="L21" i="16"/>
  <c r="J21" i="16"/>
  <c r="H21" i="16"/>
  <c r="G21" i="16"/>
  <c r="F21" i="16"/>
  <c r="E21" i="16"/>
  <c r="D21" i="16"/>
  <c r="Q20" i="16"/>
  <c r="P20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O18" i="16"/>
  <c r="M18" i="16"/>
  <c r="L18" i="16"/>
  <c r="C18" i="16"/>
  <c r="B18" i="16"/>
  <c r="C100" i="21" s="1"/>
  <c r="AA16" i="16"/>
  <c r="Z16" i="16"/>
  <c r="Y16" i="16"/>
  <c r="Y119" i="16" s="1"/>
  <c r="X16" i="16"/>
  <c r="X119" i="16" s="1"/>
  <c r="V16" i="16"/>
  <c r="T16" i="16"/>
  <c r="S16" i="16"/>
  <c r="S119" i="16" s="1"/>
  <c r="R16" i="16"/>
  <c r="Q16" i="16"/>
  <c r="P16" i="16"/>
  <c r="AA15" i="16"/>
  <c r="Z15" i="16"/>
  <c r="Y15" i="16"/>
  <c r="X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H14" i="16"/>
  <c r="G15" i="16"/>
  <c r="F15" i="16"/>
  <c r="E15" i="16"/>
  <c r="D15" i="16"/>
  <c r="AA14" i="16"/>
  <c r="Z14" i="16"/>
  <c r="Q14" i="16"/>
  <c r="P14" i="16"/>
  <c r="O14" i="16"/>
  <c r="N14" i="16"/>
  <c r="M14" i="16"/>
  <c r="L14" i="16"/>
  <c r="K14" i="16"/>
  <c r="J14" i="16"/>
  <c r="I14" i="16"/>
  <c r="G14" i="16"/>
  <c r="F14" i="16"/>
  <c r="E14" i="16"/>
  <c r="D14" i="16"/>
  <c r="C14" i="16"/>
  <c r="B14" i="16"/>
  <c r="C96" i="21" s="1"/>
  <c r="C13" i="16"/>
  <c r="B13" i="16"/>
  <c r="C95" i="21" s="1"/>
  <c r="AA11" i="16"/>
  <c r="Z11" i="16"/>
  <c r="Y11" i="16"/>
  <c r="X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B11" i="16"/>
  <c r="C93" i="21" s="1"/>
  <c r="AA10" i="16"/>
  <c r="Z10" i="16"/>
  <c r="Y10" i="16"/>
  <c r="X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B10" i="16"/>
  <c r="C92" i="21" s="1"/>
  <c r="AA9" i="16"/>
  <c r="Z9" i="16"/>
  <c r="Y9" i="16"/>
  <c r="X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C91" i="21" s="1"/>
  <c r="AA8" i="16"/>
  <c r="Z8" i="16"/>
  <c r="Y8" i="16"/>
  <c r="X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AA7" i="16"/>
  <c r="C7" i="16"/>
  <c r="B7" i="16"/>
  <c r="C89" i="21" s="1"/>
  <c r="AA6" i="16"/>
  <c r="C6" i="16"/>
  <c r="B6" i="16"/>
  <c r="C88" i="21" s="1"/>
  <c r="AA5" i="16"/>
  <c r="C5" i="16"/>
  <c r="B5" i="16"/>
  <c r="C87" i="21" s="1"/>
  <c r="AA4" i="16"/>
  <c r="C4" i="16"/>
  <c r="B4" i="16"/>
  <c r="C86" i="21" s="1"/>
  <c r="C3" i="16"/>
  <c r="B3" i="16"/>
  <c r="C85" i="21" s="1"/>
  <c r="T45" i="24"/>
  <c r="S45" i="24"/>
  <c r="R45" i="24"/>
  <c r="Q45" i="24"/>
  <c r="T44" i="24"/>
  <c r="S44" i="24"/>
  <c r="R44" i="24"/>
  <c r="Q44" i="24"/>
  <c r="T43" i="24"/>
  <c r="S43" i="24"/>
  <c r="R43" i="24"/>
  <c r="Q43" i="24"/>
  <c r="T42" i="24"/>
  <c r="S42" i="24"/>
  <c r="R42" i="24"/>
  <c r="Q42" i="24"/>
  <c r="T41" i="24"/>
  <c r="S41" i="24"/>
  <c r="R41" i="24"/>
  <c r="Q41" i="24"/>
  <c r="T40" i="24"/>
  <c r="Q40" i="24"/>
  <c r="R40" i="24"/>
  <c r="S40" i="24"/>
  <c r="T39" i="24"/>
  <c r="S39" i="24"/>
  <c r="R39" i="24"/>
  <c r="Q39" i="24"/>
  <c r="T38" i="24"/>
  <c r="S38" i="24"/>
  <c r="R38" i="24"/>
  <c r="Q38" i="24"/>
  <c r="T37" i="24"/>
  <c r="S37" i="24"/>
  <c r="R37" i="24"/>
  <c r="Q37" i="24"/>
  <c r="T36" i="24"/>
  <c r="S36" i="24"/>
  <c r="R36" i="24"/>
  <c r="Q36" i="24"/>
  <c r="T35" i="24"/>
  <c r="S35" i="24"/>
  <c r="R35" i="24"/>
  <c r="Q35" i="24"/>
  <c r="T34" i="24"/>
  <c r="S34" i="24"/>
  <c r="R34" i="24"/>
  <c r="Q34" i="24"/>
  <c r="T33" i="24"/>
  <c r="S33" i="24"/>
  <c r="R33" i="24"/>
  <c r="Q33" i="24"/>
  <c r="T32" i="24"/>
  <c r="S32" i="24"/>
  <c r="R32" i="24"/>
  <c r="Q32" i="24"/>
  <c r="T31" i="24"/>
  <c r="S31" i="24"/>
  <c r="R31" i="24"/>
  <c r="Q31" i="24"/>
  <c r="T30" i="24"/>
  <c r="S30" i="24"/>
  <c r="R30" i="24"/>
  <c r="Q30" i="24"/>
  <c r="T29" i="24"/>
  <c r="S29" i="24"/>
  <c r="R29" i="24"/>
  <c r="Q29" i="24"/>
  <c r="T28" i="24"/>
  <c r="S28" i="24"/>
  <c r="R28" i="24"/>
  <c r="Q28" i="24"/>
  <c r="T27" i="24"/>
  <c r="S27" i="24"/>
  <c r="R27" i="24"/>
  <c r="Q27" i="24"/>
  <c r="T26" i="24"/>
  <c r="S26" i="24"/>
  <c r="R26" i="24"/>
  <c r="Q26" i="24"/>
  <c r="T25" i="24"/>
  <c r="S25" i="24"/>
  <c r="R25" i="24"/>
  <c r="Q25" i="24"/>
  <c r="T24" i="24"/>
  <c r="S24" i="24"/>
  <c r="R24" i="24"/>
  <c r="Q24" i="24"/>
  <c r="T23" i="24"/>
  <c r="S23" i="24"/>
  <c r="R23" i="24"/>
  <c r="Q23" i="24"/>
  <c r="T22" i="24"/>
  <c r="S22" i="24"/>
  <c r="R22" i="24"/>
  <c r="Q22" i="24"/>
  <c r="T21" i="24"/>
  <c r="S21" i="24"/>
  <c r="R21" i="24"/>
  <c r="Q21" i="24"/>
  <c r="T20" i="24"/>
  <c r="S20" i="24"/>
  <c r="R20" i="24"/>
  <c r="Q20" i="24"/>
  <c r="T19" i="24"/>
  <c r="S19" i="24"/>
  <c r="R19" i="24"/>
  <c r="Q19" i="24"/>
  <c r="T18" i="24"/>
  <c r="S18" i="24"/>
  <c r="R18" i="24"/>
  <c r="Q18" i="24"/>
  <c r="T17" i="24"/>
  <c r="S17" i="24"/>
  <c r="R17" i="24"/>
  <c r="Q17" i="24"/>
  <c r="T16" i="24"/>
  <c r="S16" i="24"/>
  <c r="R16" i="24"/>
  <c r="Q16" i="24"/>
  <c r="R15" i="24"/>
  <c r="Q15" i="24"/>
  <c r="O15" i="24"/>
  <c r="R14" i="24"/>
  <c r="Q14" i="24"/>
  <c r="O14" i="24"/>
  <c r="R13" i="24"/>
  <c r="Q13" i="24"/>
  <c r="O13" i="24"/>
  <c r="R12" i="24"/>
  <c r="Q12" i="24"/>
  <c r="O12" i="24"/>
  <c r="R11" i="24"/>
  <c r="Q11" i="24"/>
  <c r="O11" i="24"/>
  <c r="R10" i="24"/>
  <c r="Q10" i="24"/>
  <c r="O10" i="24"/>
  <c r="R9" i="24"/>
  <c r="Q9" i="24"/>
  <c r="O9" i="24"/>
  <c r="R8" i="24"/>
  <c r="Q8" i="24"/>
  <c r="O8" i="24"/>
  <c r="I385" i="17"/>
  <c r="N382" i="17"/>
  <c r="I401" i="17" s="1"/>
  <c r="N381" i="17"/>
  <c r="I400" i="17" s="1"/>
  <c r="H379" i="17"/>
  <c r="H378" i="17"/>
  <c r="G378" i="17"/>
  <c r="B324" i="17"/>
  <c r="F312" i="17"/>
  <c r="G312" i="17" s="1"/>
  <c r="D311" i="17"/>
  <c r="D313" i="17" s="1"/>
  <c r="D309" i="17"/>
  <c r="D310" i="17" s="1"/>
  <c r="J308" i="17"/>
  <c r="F308" i="17"/>
  <c r="G308" i="17" s="1"/>
  <c r="D307" i="17"/>
  <c r="F306" i="17"/>
  <c r="G306" i="17" s="1"/>
  <c r="F305" i="17"/>
  <c r="G305" i="17" s="1"/>
  <c r="H305" i="17" s="1"/>
  <c r="J305" i="17"/>
  <c r="F297" i="17"/>
  <c r="F299" i="17" s="1"/>
  <c r="F296" i="17"/>
  <c r="F298" i="17" s="1"/>
  <c r="F295" i="17"/>
  <c r="F294" i="17"/>
  <c r="F293" i="17"/>
  <c r="I290" i="17"/>
  <c r="I379" i="17" s="1"/>
  <c r="I289" i="17"/>
  <c r="I378" i="17" s="1"/>
  <c r="I288" i="17"/>
  <c r="E288" i="17"/>
  <c r="I287" i="17"/>
  <c r="I286" i="17"/>
  <c r="I285" i="17"/>
  <c r="E283" i="17"/>
  <c r="G276" i="17"/>
  <c r="J273" i="17"/>
  <c r="G273" i="17"/>
  <c r="D273" i="17"/>
  <c r="J272" i="17"/>
  <c r="G272" i="17"/>
  <c r="D272" i="17"/>
  <c r="J269" i="17"/>
  <c r="G269" i="17"/>
  <c r="D269" i="17"/>
  <c r="J268" i="17"/>
  <c r="G268" i="17"/>
  <c r="D268" i="17"/>
  <c r="J267" i="17"/>
  <c r="G267" i="17"/>
  <c r="D267" i="17"/>
  <c r="J266" i="17"/>
  <c r="G266" i="17"/>
  <c r="D266" i="17"/>
  <c r="J265" i="17"/>
  <c r="G265" i="17"/>
  <c r="D265" i="17"/>
  <c r="J264" i="17"/>
  <c r="G264" i="17"/>
  <c r="D264" i="17"/>
  <c r="E278" i="17"/>
  <c r="L249" i="17"/>
  <c r="I249" i="17"/>
  <c r="H249" i="17"/>
  <c r="M248" i="17"/>
  <c r="J277" i="17" s="1"/>
  <c r="L248" i="17"/>
  <c r="I248" i="17"/>
  <c r="G277" i="17" s="1"/>
  <c r="H248" i="17"/>
  <c r="M244" i="17"/>
  <c r="L244" i="17"/>
  <c r="I244" i="17"/>
  <c r="G260" i="17" s="1"/>
  <c r="H244" i="17"/>
  <c r="M243" i="17"/>
  <c r="J259" i="17" s="1"/>
  <c r="I243" i="17"/>
  <c r="G259" i="17" s="1"/>
  <c r="L243" i="17"/>
  <c r="H243" i="17"/>
  <c r="E243" i="17"/>
  <c r="D259" i="17" s="1"/>
  <c r="M242" i="17"/>
  <c r="J258" i="17" s="1"/>
  <c r="L242" i="17"/>
  <c r="I242" i="17"/>
  <c r="G258" i="17" s="1"/>
  <c r="H242" i="17"/>
  <c r="E242" i="17"/>
  <c r="M241" i="17"/>
  <c r="J257" i="17" s="1"/>
  <c r="L241" i="17"/>
  <c r="I241" i="17"/>
  <c r="G257" i="17" s="1"/>
  <c r="E241" i="17"/>
  <c r="D257" i="17" s="1"/>
  <c r="H241" i="17"/>
  <c r="M240" i="17"/>
  <c r="J256" i="17" s="1"/>
  <c r="L240" i="17"/>
  <c r="I240" i="17"/>
  <c r="G256" i="17" s="1"/>
  <c r="H240" i="17"/>
  <c r="E240" i="17"/>
  <c r="M239" i="17"/>
  <c r="J255" i="17" s="1"/>
  <c r="L239" i="17"/>
  <c r="I239" i="17"/>
  <c r="G255" i="17" s="1"/>
  <c r="H239" i="17"/>
  <c r="E239" i="17"/>
  <c r="D255" i="17" s="1"/>
  <c r="M238" i="17"/>
  <c r="J254" i="17" s="1"/>
  <c r="I238" i="17"/>
  <c r="G254" i="17" s="1"/>
  <c r="L238" i="17"/>
  <c r="H238" i="17"/>
  <c r="E238" i="17"/>
  <c r="D254" i="17" s="1"/>
  <c r="M230" i="17"/>
  <c r="H230" i="17"/>
  <c r="F230" i="17"/>
  <c r="N230" i="17" s="1"/>
  <c r="D230" i="17"/>
  <c r="L229" i="17"/>
  <c r="M228" i="17"/>
  <c r="H228" i="17"/>
  <c r="F228" i="17"/>
  <c r="N228" i="17" s="1"/>
  <c r="D228" i="17"/>
  <c r="M227" i="17"/>
  <c r="H227" i="17"/>
  <c r="F227" i="17"/>
  <c r="N227" i="17" s="1"/>
  <c r="D227" i="17"/>
  <c r="M226" i="17"/>
  <c r="H226" i="17"/>
  <c r="F226" i="17"/>
  <c r="N226" i="17" s="1"/>
  <c r="D226" i="17"/>
  <c r="M225" i="17"/>
  <c r="H225" i="17"/>
  <c r="F225" i="17"/>
  <c r="N225" i="17" s="1"/>
  <c r="D225" i="17"/>
  <c r="M224" i="17"/>
  <c r="H224" i="17"/>
  <c r="F224" i="17"/>
  <c r="N224" i="17" s="1"/>
  <c r="D224" i="17"/>
  <c r="M223" i="17"/>
  <c r="H223" i="17"/>
  <c r="D223" i="17"/>
  <c r="F223" i="17"/>
  <c r="N223" i="17" s="1"/>
  <c r="M222" i="17"/>
  <c r="H222" i="17"/>
  <c r="F222" i="17"/>
  <c r="D222" i="17"/>
  <c r="M221" i="17"/>
  <c r="H221" i="17"/>
  <c r="F221" i="17"/>
  <c r="D221" i="17"/>
  <c r="M220" i="17"/>
  <c r="H220" i="17"/>
  <c r="F220" i="17"/>
  <c r="N220" i="17" s="1"/>
  <c r="D220" i="17"/>
  <c r="M219" i="17"/>
  <c r="H219" i="17"/>
  <c r="F219" i="17"/>
  <c r="D219" i="17"/>
  <c r="M218" i="17"/>
  <c r="H218" i="17"/>
  <c r="F218" i="17"/>
  <c r="N218" i="17" s="1"/>
  <c r="D218" i="17"/>
  <c r="M217" i="17"/>
  <c r="H217" i="17"/>
  <c r="F217" i="17"/>
  <c r="D217" i="17"/>
  <c r="F211" i="17"/>
  <c r="F210" i="17"/>
  <c r="F213" i="17" s="1"/>
  <c r="L210" i="17"/>
  <c r="L213" i="17" s="1"/>
  <c r="N209" i="17"/>
  <c r="M209" i="17"/>
  <c r="N208" i="17"/>
  <c r="M208" i="17"/>
  <c r="D208" i="17"/>
  <c r="N207" i="17"/>
  <c r="M207" i="17"/>
  <c r="D207" i="17"/>
  <c r="N206" i="17"/>
  <c r="M206" i="17"/>
  <c r="D206" i="17"/>
  <c r="N205" i="17"/>
  <c r="M205" i="17"/>
  <c r="D205" i="17"/>
  <c r="N204" i="17"/>
  <c r="M204" i="17"/>
  <c r="D204" i="17"/>
  <c r="N203" i="17"/>
  <c r="M203" i="17"/>
  <c r="D203" i="17"/>
  <c r="N202" i="17"/>
  <c r="M202" i="17"/>
  <c r="D202" i="17"/>
  <c r="N201" i="17"/>
  <c r="M201" i="17"/>
  <c r="D201" i="17"/>
  <c r="N200" i="17"/>
  <c r="M200" i="17"/>
  <c r="D200" i="17"/>
  <c r="N199" i="17"/>
  <c r="M199" i="17"/>
  <c r="D199" i="17"/>
  <c r="N198" i="17"/>
  <c r="M198" i="17"/>
  <c r="D198" i="17"/>
  <c r="N197" i="17"/>
  <c r="M197" i="17"/>
  <c r="D197" i="17"/>
  <c r="N196" i="17"/>
  <c r="M196" i="17"/>
  <c r="L196" i="17"/>
  <c r="K196" i="17"/>
  <c r="J196" i="17"/>
  <c r="I196" i="17"/>
  <c r="E196" i="17"/>
  <c r="K178" i="17"/>
  <c r="K180" i="17" s="1"/>
  <c r="J178" i="17"/>
  <c r="J180" i="17" s="1"/>
  <c r="G178" i="17"/>
  <c r="G180" i="17" s="1"/>
  <c r="K175" i="17"/>
  <c r="J175" i="17"/>
  <c r="G175" i="17"/>
  <c r="F175" i="17"/>
  <c r="I511" i="17" s="1"/>
  <c r="K171" i="17"/>
  <c r="G171" i="17"/>
  <c r="F171" i="17"/>
  <c r="I359" i="17" s="1"/>
  <c r="I510" i="17" s="1"/>
  <c r="K162" i="17"/>
  <c r="J162" i="17"/>
  <c r="G162" i="17"/>
  <c r="F162" i="17"/>
  <c r="K161" i="17"/>
  <c r="J161" i="17"/>
  <c r="G161" i="17"/>
  <c r="F161" i="17"/>
  <c r="K160" i="17"/>
  <c r="J160" i="17"/>
  <c r="G160" i="17"/>
  <c r="F160" i="17"/>
  <c r="K159" i="17"/>
  <c r="J159" i="17"/>
  <c r="G159" i="17"/>
  <c r="F159" i="17"/>
  <c r="K158" i="17"/>
  <c r="J158" i="17"/>
  <c r="G158" i="17"/>
  <c r="F158" i="17"/>
  <c r="K157" i="17"/>
  <c r="J157" i="17"/>
  <c r="G157" i="17"/>
  <c r="F157" i="17"/>
  <c r="G156" i="17"/>
  <c r="F156" i="17"/>
  <c r="K155" i="17"/>
  <c r="J155" i="17"/>
  <c r="G155" i="17"/>
  <c r="F155" i="17"/>
  <c r="K154" i="17"/>
  <c r="J154" i="17"/>
  <c r="G154" i="17"/>
  <c r="F154" i="17"/>
  <c r="K153" i="17"/>
  <c r="J153" i="17"/>
  <c r="G153" i="17"/>
  <c r="F153" i="17"/>
  <c r="K152" i="17"/>
  <c r="J152" i="17"/>
  <c r="G152" i="17"/>
  <c r="F152" i="17"/>
  <c r="K151" i="17"/>
  <c r="J151" i="17"/>
  <c r="G151" i="17"/>
  <c r="F151" i="17"/>
  <c r="K150" i="17"/>
  <c r="J150" i="17"/>
  <c r="G150" i="17"/>
  <c r="F150" i="17"/>
  <c r="K148" i="17"/>
  <c r="J148" i="17"/>
  <c r="G148" i="17"/>
  <c r="F148" i="17"/>
  <c r="J147" i="17"/>
  <c r="G147" i="17"/>
  <c r="F147" i="17"/>
  <c r="J146" i="17"/>
  <c r="G146" i="17"/>
  <c r="F146" i="17"/>
  <c r="J145" i="17"/>
  <c r="G145" i="17"/>
  <c r="F145" i="17"/>
  <c r="J144" i="17"/>
  <c r="G144" i="17"/>
  <c r="F144" i="17"/>
  <c r="J143" i="17"/>
  <c r="G143" i="17"/>
  <c r="F143" i="17"/>
  <c r="F139" i="17"/>
  <c r="F101" i="17"/>
  <c r="F96" i="17"/>
  <c r="G327" i="17" s="1"/>
  <c r="F90" i="17"/>
  <c r="F89" i="17" s="1"/>
  <c r="H88" i="17"/>
  <c r="E184" i="17" s="1"/>
  <c r="H81" i="17"/>
  <c r="H77" i="17"/>
  <c r="D74" i="17"/>
  <c r="C73" i="17"/>
  <c r="D235" i="17" s="1"/>
  <c r="AG57" i="17"/>
  <c r="AH57" i="17" s="1"/>
  <c r="AC55" i="17" s="1"/>
  <c r="G57" i="17"/>
  <c r="D57" i="17"/>
  <c r="F57" i="17"/>
  <c r="C57" i="17"/>
  <c r="AG56" i="17"/>
  <c r="AH56" i="17" s="1"/>
  <c r="AG55" i="17"/>
  <c r="AH55" i="17" s="1"/>
  <c r="AG54" i="17"/>
  <c r="AH54" i="17" s="1"/>
  <c r="F54" i="17"/>
  <c r="C54" i="17"/>
  <c r="AG53" i="17"/>
  <c r="AH53" i="17" s="1"/>
  <c r="AG52" i="17"/>
  <c r="AH52" i="17" s="1"/>
  <c r="AA52" i="17"/>
  <c r="AG51" i="17"/>
  <c r="AH51" i="17" s="1"/>
  <c r="AG50" i="17"/>
  <c r="AS39" i="17"/>
  <c r="AR39" i="17"/>
  <c r="AO37" i="17"/>
  <c r="AN37" i="17"/>
  <c r="AG37" i="17"/>
  <c r="AH37" i="17" s="1"/>
  <c r="AC35" i="17" s="1"/>
  <c r="AA35" i="17"/>
  <c r="AB35" i="17" s="1"/>
  <c r="S37" i="17"/>
  <c r="G37" i="17"/>
  <c r="F37" i="17"/>
  <c r="AG36" i="17"/>
  <c r="AH36" i="17" s="1"/>
  <c r="AG34" i="17"/>
  <c r="AH34" i="17" s="1"/>
  <c r="AG35" i="17"/>
  <c r="AH35" i="17" s="1"/>
  <c r="S36" i="17"/>
  <c r="AN34" i="17"/>
  <c r="AA34" i="17"/>
  <c r="AB34" i="17" s="1"/>
  <c r="S34" i="17"/>
  <c r="G34" i="17"/>
  <c r="F34" i="17"/>
  <c r="AG33" i="17"/>
  <c r="AH33" i="17" s="1"/>
  <c r="AA33" i="17"/>
  <c r="AB33" i="17" s="1"/>
  <c r="S33" i="17"/>
  <c r="AG32" i="17"/>
  <c r="AH32" i="17" s="1"/>
  <c r="AA32" i="17"/>
  <c r="S32" i="17"/>
  <c r="AN31" i="17"/>
  <c r="AG31" i="17"/>
  <c r="AH31" i="17" s="1"/>
  <c r="F31" i="17"/>
  <c r="AG30" i="17"/>
  <c r="R23" i="17"/>
  <c r="R21" i="17" s="1"/>
  <c r="Q23" i="17"/>
  <c r="Q22" i="17" s="1"/>
  <c r="Q21" i="17" s="1"/>
  <c r="R20" i="17"/>
  <c r="R15" i="17" s="1"/>
  <c r="Q20" i="17"/>
  <c r="Q15" i="17" s="1"/>
  <c r="S16" i="17"/>
  <c r="Q13" i="17"/>
  <c r="H10" i="17"/>
  <c r="H196" i="17" s="1"/>
  <c r="H216" i="17" s="1"/>
  <c r="D10" i="17"/>
  <c r="E325" i="17" s="1"/>
  <c r="F9" i="17"/>
  <c r="F195" i="17" s="1"/>
  <c r="F215" i="17" s="1"/>
  <c r="G282" i="17" s="1"/>
  <c r="C9" i="17"/>
  <c r="D195" i="17" s="1"/>
  <c r="D215" i="17" s="1"/>
  <c r="D282" i="17" s="1"/>
  <c r="BE32" i="17"/>
  <c r="AZ32" i="17"/>
  <c r="E2" i="17"/>
  <c r="E1" i="17"/>
  <c r="F1" i="32" s="1"/>
  <c r="K156" i="17"/>
  <c r="J156" i="17"/>
  <c r="E33" i="12"/>
  <c r="I32" i="12"/>
  <c r="I31" i="12"/>
  <c r="AF30" i="12"/>
  <c r="I30" i="12"/>
  <c r="I29" i="12"/>
  <c r="E28" i="12"/>
  <c r="I27" i="12"/>
  <c r="I26" i="12"/>
  <c r="I25" i="12"/>
  <c r="I24" i="12"/>
  <c r="I23" i="12"/>
  <c r="I22" i="12"/>
  <c r="E21" i="12"/>
  <c r="I20" i="12"/>
  <c r="I19" i="12"/>
  <c r="I17" i="12"/>
  <c r="I16" i="12"/>
  <c r="I15" i="12"/>
  <c r="B15" i="12"/>
  <c r="I14" i="12"/>
  <c r="G13" i="12"/>
  <c r="E13" i="12"/>
  <c r="I12" i="12"/>
  <c r="I11" i="12" s="1"/>
  <c r="E11" i="12"/>
  <c r="I10" i="12"/>
  <c r="I9" i="12"/>
  <c r="G6" i="12"/>
  <c r="I5" i="12"/>
  <c r="I4" i="12" s="1"/>
  <c r="E4" i="12"/>
  <c r="D4" i="12"/>
  <c r="D2" i="12"/>
  <c r="K38" i="12" s="1"/>
  <c r="D1" i="12"/>
  <c r="AL29" i="14"/>
  <c r="AI29" i="14"/>
  <c r="AF29" i="14"/>
  <c r="AC29" i="14"/>
  <c r="Z29" i="14"/>
  <c r="W29" i="14"/>
  <c r="T29" i="14"/>
  <c r="Q29" i="14"/>
  <c r="N29" i="14"/>
  <c r="K29" i="14"/>
  <c r="H29" i="14"/>
  <c r="E29" i="14"/>
  <c r="AI28" i="14"/>
  <c r="Z28" i="14"/>
  <c r="W28" i="14"/>
  <c r="T28" i="14"/>
  <c r="Q28" i="14"/>
  <c r="N28" i="14"/>
  <c r="K28" i="14"/>
  <c r="H28" i="14"/>
  <c r="E28" i="14"/>
  <c r="V22" i="14"/>
  <c r="S22" i="14"/>
  <c r="R22" i="14"/>
  <c r="P22" i="14"/>
  <c r="O22" i="14"/>
  <c r="AN21" i="14"/>
  <c r="AM21" i="14"/>
  <c r="AK21" i="14"/>
  <c r="AJ21" i="14"/>
  <c r="AH21" i="14"/>
  <c r="AG21" i="14"/>
  <c r="AE21" i="14"/>
  <c r="AD21" i="14"/>
  <c r="AB21" i="14"/>
  <c r="AA21" i="14"/>
  <c r="Y21" i="14"/>
  <c r="X21" i="14"/>
  <c r="V21" i="14"/>
  <c r="U21" i="14"/>
  <c r="S21" i="14"/>
  <c r="R21" i="14"/>
  <c r="P21" i="14"/>
  <c r="O21" i="14"/>
  <c r="M21" i="14"/>
  <c r="L21" i="14"/>
  <c r="J21" i="14"/>
  <c r="I21" i="14"/>
  <c r="F21" i="14"/>
  <c r="AN20" i="14"/>
  <c r="AM20" i="14"/>
  <c r="AK20" i="14"/>
  <c r="AJ20" i="14"/>
  <c r="AH20" i="14"/>
  <c r="AG20" i="14"/>
  <c r="AE20" i="14"/>
  <c r="AD20" i="14"/>
  <c r="AB20" i="14"/>
  <c r="AA20" i="14"/>
  <c r="Y20" i="14"/>
  <c r="X20" i="14"/>
  <c r="V20" i="14"/>
  <c r="U20" i="14"/>
  <c r="S20" i="14"/>
  <c r="R20" i="14"/>
  <c r="P20" i="14"/>
  <c r="O20" i="14"/>
  <c r="M20" i="14"/>
  <c r="L20" i="14"/>
  <c r="J20" i="14"/>
  <c r="I20" i="14"/>
  <c r="F20" i="14"/>
  <c r="AN18" i="14"/>
  <c r="AM18" i="14"/>
  <c r="AK18" i="14"/>
  <c r="AJ18" i="14"/>
  <c r="AH18" i="14"/>
  <c r="AG18" i="14"/>
  <c r="AE18" i="14"/>
  <c r="AD18" i="14"/>
  <c r="AB18" i="14"/>
  <c r="AA18" i="14"/>
  <c r="Z16" i="14"/>
  <c r="D16" i="14"/>
  <c r="W16" i="14"/>
  <c r="X18" i="14"/>
  <c r="X17" i="14"/>
  <c r="T16" i="14"/>
  <c r="Y18" i="14"/>
  <c r="Y17" i="14"/>
  <c r="AA17" i="14"/>
  <c r="AB17" i="14"/>
  <c r="V18" i="14"/>
  <c r="U18" i="14"/>
  <c r="S18" i="14"/>
  <c r="R18" i="14"/>
  <c r="P18" i="14"/>
  <c r="O18" i="14"/>
  <c r="M18" i="14"/>
  <c r="L18" i="14"/>
  <c r="J18" i="14"/>
  <c r="I18" i="14"/>
  <c r="F18" i="14"/>
  <c r="AN17" i="14"/>
  <c r="AM17" i="14"/>
  <c r="AK17" i="14"/>
  <c r="AJ17" i="14"/>
  <c r="AH17" i="14"/>
  <c r="AG17" i="14"/>
  <c r="AE17" i="14"/>
  <c r="AD17" i="14"/>
  <c r="V17" i="14"/>
  <c r="U17" i="14"/>
  <c r="S17" i="14"/>
  <c r="R17" i="14"/>
  <c r="P17" i="14"/>
  <c r="O17" i="14"/>
  <c r="M17" i="14"/>
  <c r="L17" i="14"/>
  <c r="J17" i="14"/>
  <c r="I17" i="14"/>
  <c r="F17" i="14"/>
  <c r="AL16" i="14"/>
  <c r="BW16" i="14" s="1"/>
  <c r="AI16" i="14"/>
  <c r="AF16" i="14"/>
  <c r="AC16" i="14"/>
  <c r="Q16" i="14"/>
  <c r="Q15" i="14"/>
  <c r="Q14" i="14"/>
  <c r="N16" i="14"/>
  <c r="K16" i="14"/>
  <c r="H16" i="14"/>
  <c r="I16" i="14" s="1"/>
  <c r="E16" i="14"/>
  <c r="AL15" i="14"/>
  <c r="AL14" i="14"/>
  <c r="AY14" i="14" s="1"/>
  <c r="AI15" i="14"/>
  <c r="AF15" i="14"/>
  <c r="AC15" i="14"/>
  <c r="Z15" i="14"/>
  <c r="Z14" i="14"/>
  <c r="W15" i="14"/>
  <c r="T15" i="14"/>
  <c r="T14" i="14"/>
  <c r="N15" i="14"/>
  <c r="D15" i="14"/>
  <c r="K15" i="14"/>
  <c r="H15" i="14"/>
  <c r="E15" i="14"/>
  <c r="E14" i="14"/>
  <c r="AI14" i="14"/>
  <c r="AF14" i="14"/>
  <c r="AC14" i="14"/>
  <c r="D14" i="14"/>
  <c r="N14" i="14"/>
  <c r="K14" i="14"/>
  <c r="H14" i="14"/>
  <c r="AL12" i="14"/>
  <c r="AI12" i="14"/>
  <c r="AI7" i="14" s="1"/>
  <c r="AF12" i="14"/>
  <c r="AC12" i="14"/>
  <c r="AD12" i="14" s="1"/>
  <c r="Z12" i="14"/>
  <c r="Z7" i="14" s="1"/>
  <c r="W12" i="14"/>
  <c r="X12" i="14" s="1"/>
  <c r="T12" i="14"/>
  <c r="T7" i="14" s="1"/>
  <c r="Q12" i="14"/>
  <c r="R12" i="14" s="1"/>
  <c r="N12" i="14"/>
  <c r="N7" i="14" s="1"/>
  <c r="K12" i="14"/>
  <c r="L12" i="14" s="1"/>
  <c r="H12" i="14"/>
  <c r="E12" i="14"/>
  <c r="F12" i="14" s="1"/>
  <c r="AN11" i="14"/>
  <c r="AM11" i="14"/>
  <c r="AK11" i="14"/>
  <c r="AJ11" i="14"/>
  <c r="AH11" i="14"/>
  <c r="AH5" i="14"/>
  <c r="AG11" i="14"/>
  <c r="AE11" i="14"/>
  <c r="AD11" i="14"/>
  <c r="AB11" i="14"/>
  <c r="AA11" i="14"/>
  <c r="Y11" i="14"/>
  <c r="X11" i="14"/>
  <c r="X5" i="14"/>
  <c r="V11" i="14"/>
  <c r="V5" i="14"/>
  <c r="U11" i="14"/>
  <c r="S11" i="14"/>
  <c r="S5" i="14"/>
  <c r="R11" i="14"/>
  <c r="P11" i="14"/>
  <c r="O11" i="14"/>
  <c r="M11" i="14"/>
  <c r="L11" i="14"/>
  <c r="J11" i="14"/>
  <c r="I11" i="14"/>
  <c r="F11" i="14"/>
  <c r="E40" i="14" s="1"/>
  <c r="AK10" i="14"/>
  <c r="AJ10" i="14"/>
  <c r="AG10" i="14"/>
  <c r="AB10" i="14"/>
  <c r="AB4" i="14"/>
  <c r="AA4" i="14"/>
  <c r="AA10" i="14"/>
  <c r="Y10" i="14"/>
  <c r="X10" i="14"/>
  <c r="V10" i="14"/>
  <c r="U10" i="14"/>
  <c r="S10" i="14"/>
  <c r="R10" i="14"/>
  <c r="P10" i="14"/>
  <c r="P4" i="14"/>
  <c r="O10" i="14"/>
  <c r="M10" i="14"/>
  <c r="L10" i="14"/>
  <c r="L4" i="14"/>
  <c r="M4" i="14"/>
  <c r="J10" i="14"/>
  <c r="I10" i="14"/>
  <c r="F10" i="14"/>
  <c r="E36" i="14" s="1"/>
  <c r="AI9" i="14"/>
  <c r="AJ9" i="14" s="1"/>
  <c r="AF9" i="14"/>
  <c r="Z9" i="14"/>
  <c r="W9" i="14"/>
  <c r="X9" i="14" s="1"/>
  <c r="T9" i="14"/>
  <c r="Q9" i="14"/>
  <c r="N9" i="14"/>
  <c r="O9" i="14" s="1"/>
  <c r="K9" i="14"/>
  <c r="H9" i="14"/>
  <c r="I9" i="14" s="1"/>
  <c r="E9" i="14"/>
  <c r="F9" i="14" s="1"/>
  <c r="V6" i="14"/>
  <c r="U6" i="14"/>
  <c r="S6" i="14"/>
  <c r="R6" i="14"/>
  <c r="F6" i="14"/>
  <c r="AN5" i="14"/>
  <c r="AK5" i="14"/>
  <c r="AJ5" i="14"/>
  <c r="AG5" i="14"/>
  <c r="AE5" i="14"/>
  <c r="AD5" i="14"/>
  <c r="AB5" i="14"/>
  <c r="AA5" i="14"/>
  <c r="Y5" i="14"/>
  <c r="U5" i="14"/>
  <c r="R5" i="14"/>
  <c r="P5" i="14"/>
  <c r="O5" i="14"/>
  <c r="M5" i="14"/>
  <c r="L5" i="14"/>
  <c r="J5" i="14"/>
  <c r="I5" i="14"/>
  <c r="I29" i="14" s="1"/>
  <c r="F5" i="14"/>
  <c r="E39" i="14" s="1"/>
  <c r="AJ4" i="14"/>
  <c r="Y4" i="14"/>
  <c r="X4" i="14"/>
  <c r="V4" i="14"/>
  <c r="U4" i="14"/>
  <c r="S4" i="14"/>
  <c r="R4" i="14"/>
  <c r="O4" i="14"/>
  <c r="O28" i="14" s="1"/>
  <c r="J4" i="14"/>
  <c r="I4" i="14"/>
  <c r="F4" i="14"/>
  <c r="E35" i="14" s="1"/>
  <c r="AI3" i="14"/>
  <c r="AJ3" i="14" s="1"/>
  <c r="Z3" i="14"/>
  <c r="AA3" i="14" s="1"/>
  <c r="W3" i="14"/>
  <c r="X3" i="14" s="1"/>
  <c r="T3" i="14"/>
  <c r="U3" i="14" s="1"/>
  <c r="Q3" i="14"/>
  <c r="N3" i="14"/>
  <c r="O3" i="14" s="1"/>
  <c r="K3" i="14"/>
  <c r="H3" i="14"/>
  <c r="I3" i="14" s="1"/>
  <c r="E3" i="14"/>
  <c r="F3" i="14" s="1"/>
  <c r="F17" i="13"/>
  <c r="R17" i="13" s="1"/>
  <c r="F8" i="13"/>
  <c r="R8" i="13" s="1"/>
  <c r="F6" i="13"/>
  <c r="R6" i="13" s="1"/>
  <c r="AV34" i="11"/>
  <c r="AU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N16" i="11"/>
  <c r="D209" i="17"/>
  <c r="AV15" i="11"/>
  <c r="AV17" i="11" s="1"/>
  <c r="AU15" i="11"/>
  <c r="AU17" i="11" s="1"/>
  <c r="AT15" i="11"/>
  <c r="AS15" i="11"/>
  <c r="AS17" i="11" s="1"/>
  <c r="AQ15" i="11"/>
  <c r="AQ17" i="11" s="1"/>
  <c r="AP15" i="11"/>
  <c r="AP17" i="11" s="1"/>
  <c r="AO15" i="11"/>
  <c r="AO17" i="11" s="1"/>
  <c r="AN15" i="11"/>
  <c r="AM15" i="11"/>
  <c r="AM17" i="11" s="1"/>
  <c r="AL15" i="11"/>
  <c r="AL17" i="11" s="1"/>
  <c r="AK15" i="11"/>
  <c r="AK17" i="11" s="1"/>
  <c r="AJ15" i="11"/>
  <c r="AJ17" i="11" s="1"/>
  <c r="AI15" i="11"/>
  <c r="AI17" i="11" s="1"/>
  <c r="AH15" i="11"/>
  <c r="AH17" i="11" s="1"/>
  <c r="AG15" i="11"/>
  <c r="AG17" i="11" s="1"/>
  <c r="AF15" i="11"/>
  <c r="AF17" i="11" s="1"/>
  <c r="AE15" i="11"/>
  <c r="AE17" i="11" s="1"/>
  <c r="AD15" i="11"/>
  <c r="AD17" i="11" s="1"/>
  <c r="AC15" i="11"/>
  <c r="AC17" i="11" s="1"/>
  <c r="AB15" i="11"/>
  <c r="AB17" i="11" s="1"/>
  <c r="AA15" i="11"/>
  <c r="AA17" i="11" s="1"/>
  <c r="Z15" i="11"/>
  <c r="Z17" i="11" s="1"/>
  <c r="Y15" i="11"/>
  <c r="Y17" i="11" s="1"/>
  <c r="X15" i="11"/>
  <c r="X17" i="11" s="1"/>
  <c r="W15" i="11"/>
  <c r="W17" i="11" s="1"/>
  <c r="V15" i="11"/>
  <c r="V17" i="11" s="1"/>
  <c r="U15" i="11"/>
  <c r="U17" i="11" s="1"/>
  <c r="T15" i="11"/>
  <c r="T17" i="11" s="1"/>
  <c r="S15" i="11"/>
  <c r="S17" i="11" s="1"/>
  <c r="R15" i="11"/>
  <c r="R17" i="11" s="1"/>
  <c r="Q15" i="11"/>
  <c r="Q17" i="11" s="1"/>
  <c r="P15" i="11"/>
  <c r="P17" i="11" s="1"/>
  <c r="O15" i="11"/>
  <c r="O17" i="11" s="1"/>
  <c r="N15" i="11"/>
  <c r="N17" i="11" s="1"/>
  <c r="M15" i="11"/>
  <c r="M17" i="11" s="1"/>
  <c r="L15" i="11"/>
  <c r="L17" i="11" s="1"/>
  <c r="K15" i="11"/>
  <c r="K17" i="11" s="1"/>
  <c r="J15" i="11"/>
  <c r="J17" i="11" s="1"/>
  <c r="I15" i="11"/>
  <c r="I17" i="11" s="1"/>
  <c r="H15" i="11"/>
  <c r="H17" i="11" s="1"/>
  <c r="G15" i="11"/>
  <c r="F15" i="11"/>
  <c r="E15" i="11"/>
  <c r="D15" i="11"/>
  <c r="C15" i="11"/>
  <c r="B15" i="11"/>
  <c r="V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V9" i="10"/>
  <c r="I9" i="10"/>
  <c r="G9" i="10"/>
  <c r="E9" i="10"/>
  <c r="C9" i="10"/>
  <c r="B9" i="10"/>
  <c r="E163" i="1"/>
  <c r="E196" i="1" s="1"/>
  <c r="AC7" i="10"/>
  <c r="AA7" i="10"/>
  <c r="X7" i="10"/>
  <c r="W7" i="10"/>
  <c r="U7" i="10"/>
  <c r="U10" i="10" s="1"/>
  <c r="T7" i="10"/>
  <c r="T10" i="10" s="1"/>
  <c r="R7" i="10"/>
  <c r="R10" i="10" s="1"/>
  <c r="Q7" i="10"/>
  <c r="O7" i="10"/>
  <c r="O10" i="10" s="1"/>
  <c r="X6" i="10"/>
  <c r="W6" i="10"/>
  <c r="U6" i="10"/>
  <c r="U9" i="10" s="1"/>
  <c r="T6" i="10"/>
  <c r="T9" i="10" s="1"/>
  <c r="Q6" i="10"/>
  <c r="O6" i="10"/>
  <c r="O9" i="10" s="1"/>
  <c r="N6" i="10"/>
  <c r="N9" i="10" s="1"/>
  <c r="M6" i="10"/>
  <c r="M9" i="10" s="1"/>
  <c r="L6" i="10"/>
  <c r="L9" i="10" s="1"/>
  <c r="K6" i="10"/>
  <c r="K9" i="10" s="1"/>
  <c r="J6" i="10"/>
  <c r="J9" i="10" s="1"/>
  <c r="H6" i="10"/>
  <c r="H9" i="10" s="1"/>
  <c r="F6" i="10"/>
  <c r="F9" i="10" s="1"/>
  <c r="D6" i="10"/>
  <c r="D9" i="10" s="1"/>
  <c r="Z4" i="10"/>
  <c r="Y4" i="10"/>
  <c r="S4" i="10"/>
  <c r="S10" i="10" s="1"/>
  <c r="Q4" i="10"/>
  <c r="P4" i="10"/>
  <c r="P7" i="10" s="1"/>
  <c r="P10" i="10" s="1"/>
  <c r="Z3" i="10"/>
  <c r="Y3" i="10"/>
  <c r="S3" i="10"/>
  <c r="S9" i="10" s="1"/>
  <c r="R3" i="10"/>
  <c r="R6" i="10" s="1"/>
  <c r="R9" i="10" s="1"/>
  <c r="Q3" i="10"/>
  <c r="P3" i="10"/>
  <c r="P6" i="10" s="1"/>
  <c r="AL187" i="9"/>
  <c r="AK187" i="9"/>
  <c r="AJ187" i="9"/>
  <c r="AI187" i="9"/>
  <c r="AH187" i="9"/>
  <c r="D129" i="17" s="1"/>
  <c r="AG187" i="9"/>
  <c r="AF187" i="9"/>
  <c r="AE187" i="9"/>
  <c r="AD187" i="9"/>
  <c r="AC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AL186" i="9"/>
  <c r="AK186" i="9"/>
  <c r="AJ186" i="9"/>
  <c r="AI186" i="9"/>
  <c r="AH186" i="9"/>
  <c r="D124" i="17" s="1"/>
  <c r="AG186" i="9"/>
  <c r="AF186" i="9"/>
  <c r="AE186" i="9"/>
  <c r="AD186" i="9"/>
  <c r="AC186" i="9"/>
  <c r="AA186" i="9"/>
  <c r="Z186" i="9"/>
  <c r="Y186" i="9"/>
  <c r="Y188" i="9" s="1"/>
  <c r="X186" i="9"/>
  <c r="W186" i="9"/>
  <c r="W188" i="9" s="1"/>
  <c r="V186" i="9"/>
  <c r="U186" i="9"/>
  <c r="T186" i="9"/>
  <c r="S186" i="9"/>
  <c r="R186" i="9"/>
  <c r="R188" i="9" s="1"/>
  <c r="Q186" i="9"/>
  <c r="P186" i="9"/>
  <c r="O186" i="9"/>
  <c r="O188" i="9" s="1"/>
  <c r="N186" i="9"/>
  <c r="N188" i="9" s="1"/>
  <c r="AL184" i="9"/>
  <c r="AL185" i="9" s="1"/>
  <c r="AK184" i="9"/>
  <c r="AJ184" i="9"/>
  <c r="AI184" i="9"/>
  <c r="AH184" i="9"/>
  <c r="D118" i="17" s="1"/>
  <c r="E335" i="17" s="1"/>
  <c r="AG184" i="9"/>
  <c r="AF184" i="9"/>
  <c r="AE184" i="9"/>
  <c r="AD184" i="9"/>
  <c r="AC184" i="9"/>
  <c r="AC183" i="9"/>
  <c r="AC201" i="9" s="1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O183" i="9"/>
  <c r="N184" i="9"/>
  <c r="AK183" i="9"/>
  <c r="AK201" i="9" s="1"/>
  <c r="AJ183" i="9"/>
  <c r="AJ201" i="9" s="1"/>
  <c r="AI183" i="9"/>
  <c r="AI201" i="9" s="1"/>
  <c r="AH183" i="9"/>
  <c r="AH201" i="9" s="1"/>
  <c r="AG183" i="9"/>
  <c r="AF183" i="9"/>
  <c r="AF201" i="9" s="1"/>
  <c r="AE183" i="9"/>
  <c r="AE201" i="9" s="1"/>
  <c r="AD183" i="9"/>
  <c r="AD201" i="9" s="1"/>
  <c r="AA183" i="9"/>
  <c r="AA201" i="9" s="1"/>
  <c r="AB202" i="9" s="1"/>
  <c r="AC202" i="9" s="1"/>
  <c r="Z183" i="9"/>
  <c r="Y183" i="9"/>
  <c r="X183" i="9"/>
  <c r="W183" i="9"/>
  <c r="V183" i="9"/>
  <c r="U183" i="9"/>
  <c r="T183" i="9"/>
  <c r="S183" i="9"/>
  <c r="Q183" i="9"/>
  <c r="P183" i="9"/>
  <c r="N183" i="9"/>
  <c r="N182" i="9"/>
  <c r="N181" i="9"/>
  <c r="AL180" i="9"/>
  <c r="AK180" i="9"/>
  <c r="AJ180" i="9"/>
  <c r="AI180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AL179" i="9"/>
  <c r="AK179" i="9"/>
  <c r="AJ179" i="9"/>
  <c r="AI179" i="9"/>
  <c r="AH179" i="9"/>
  <c r="AG179" i="9"/>
  <c r="AF179" i="9"/>
  <c r="AE179" i="9"/>
  <c r="AD179" i="9"/>
  <c r="AC179" i="9"/>
  <c r="AA179" i="9"/>
  <c r="Z179" i="9"/>
  <c r="Y179" i="9"/>
  <c r="X179" i="9"/>
  <c r="W179" i="9"/>
  <c r="V179" i="9"/>
  <c r="U179" i="9"/>
  <c r="O179" i="9"/>
  <c r="P179" i="9"/>
  <c r="Q179" i="9"/>
  <c r="R179" i="9"/>
  <c r="N179" i="9"/>
  <c r="S179" i="9"/>
  <c r="T179" i="9"/>
  <c r="AL178" i="9"/>
  <c r="AK178" i="9"/>
  <c r="AJ178" i="9"/>
  <c r="AI178" i="9"/>
  <c r="AH178" i="9"/>
  <c r="D105" i="17" s="1"/>
  <c r="AG178" i="9"/>
  <c r="AF178" i="9"/>
  <c r="AE178" i="9"/>
  <c r="AD178" i="9"/>
  <c r="AC178" i="9"/>
  <c r="AA178" i="9"/>
  <c r="Z178" i="9"/>
  <c r="Y178" i="9"/>
  <c r="X178" i="9"/>
  <c r="W178" i="9"/>
  <c r="V178" i="9"/>
  <c r="U178" i="9"/>
  <c r="T178" i="9"/>
  <c r="S178" i="9"/>
  <c r="R178" i="9"/>
  <c r="Q178" i="9"/>
  <c r="O178" i="9"/>
  <c r="P178" i="9"/>
  <c r="N178" i="9"/>
  <c r="AL177" i="9"/>
  <c r="AK177" i="9"/>
  <c r="AJ177" i="9"/>
  <c r="AI177" i="9"/>
  <c r="AH177" i="9"/>
  <c r="AG177" i="9"/>
  <c r="AF177" i="9"/>
  <c r="AE177" i="9"/>
  <c r="AD177" i="9"/>
  <c r="AC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AL176" i="9"/>
  <c r="AK176" i="9"/>
  <c r="AJ176" i="9"/>
  <c r="AI176" i="9"/>
  <c r="AH176" i="9"/>
  <c r="AG176" i="9"/>
  <c r="AF176" i="9"/>
  <c r="AE176" i="9"/>
  <c r="AD176" i="9"/>
  <c r="AC176" i="9"/>
  <c r="AA176" i="9"/>
  <c r="AA175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AL175" i="9"/>
  <c r="AK175" i="9"/>
  <c r="AJ175" i="9"/>
  <c r="AI175" i="9"/>
  <c r="AH175" i="9"/>
  <c r="AG175" i="9"/>
  <c r="AF175" i="9"/>
  <c r="AE175" i="9"/>
  <c r="AD175" i="9"/>
  <c r="AC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4" i="9"/>
  <c r="L174" i="9"/>
  <c r="K174" i="9"/>
  <c r="J174" i="9"/>
  <c r="I174" i="9"/>
  <c r="H174" i="9"/>
  <c r="G174" i="9"/>
  <c r="F174" i="9"/>
  <c r="E174" i="9"/>
  <c r="D174" i="9"/>
  <c r="C174" i="9"/>
  <c r="AL173" i="9"/>
  <c r="AK173" i="9"/>
  <c r="AJ173" i="9"/>
  <c r="AI173" i="9"/>
  <c r="AH173" i="9"/>
  <c r="AG173" i="9"/>
  <c r="AF173" i="9"/>
  <c r="AE173" i="9"/>
  <c r="AD173" i="9"/>
  <c r="AC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AL170" i="9"/>
  <c r="AL169" i="9" s="1"/>
  <c r="AK170" i="9"/>
  <c r="AJ170" i="9"/>
  <c r="AI170" i="9"/>
  <c r="AH170" i="9"/>
  <c r="AG170" i="9"/>
  <c r="AF170" i="9"/>
  <c r="AF169" i="9" s="1"/>
  <c r="AE170" i="9"/>
  <c r="AD170" i="9"/>
  <c r="AC170" i="9"/>
  <c r="AA170" i="9"/>
  <c r="Z170" i="9"/>
  <c r="Y170" i="9"/>
  <c r="X170" i="9"/>
  <c r="W170" i="9"/>
  <c r="W169" i="9" s="1"/>
  <c r="V170" i="9"/>
  <c r="U170" i="9"/>
  <c r="T170" i="9"/>
  <c r="T169" i="9" s="1"/>
  <c r="S170" i="9"/>
  <c r="R170" i="9"/>
  <c r="R169" i="9" s="1"/>
  <c r="Q170" i="9"/>
  <c r="P170" i="9"/>
  <c r="O170" i="9"/>
  <c r="N170" i="9"/>
  <c r="AL168" i="9"/>
  <c r="AK168" i="9"/>
  <c r="AJ168" i="9"/>
  <c r="AI168" i="9"/>
  <c r="AH168" i="9"/>
  <c r="AG168" i="9"/>
  <c r="AF168" i="9"/>
  <c r="AE168" i="9"/>
  <c r="AD168" i="9"/>
  <c r="AC168" i="9"/>
  <c r="AA168" i="9"/>
  <c r="Z168" i="9"/>
  <c r="Y168" i="9"/>
  <c r="X168" i="9"/>
  <c r="W168" i="9"/>
  <c r="U168" i="9"/>
  <c r="T168" i="9"/>
  <c r="S168" i="9"/>
  <c r="R168" i="9"/>
  <c r="Q168" i="9"/>
  <c r="P168" i="9"/>
  <c r="O168" i="9"/>
  <c r="N168" i="9"/>
  <c r="M168" i="9"/>
  <c r="M162" i="9" s="1"/>
  <c r="L168" i="9"/>
  <c r="L162" i="9" s="1"/>
  <c r="K168" i="9"/>
  <c r="K162" i="9" s="1"/>
  <c r="J168" i="9"/>
  <c r="J162" i="9" s="1"/>
  <c r="I168" i="9"/>
  <c r="I162" i="9" s="1"/>
  <c r="H168" i="9"/>
  <c r="H162" i="9" s="1"/>
  <c r="G168" i="9"/>
  <c r="G162" i="9" s="1"/>
  <c r="F168" i="9"/>
  <c r="F162" i="9" s="1"/>
  <c r="E168" i="9"/>
  <c r="E162" i="9" s="1"/>
  <c r="D168" i="9"/>
  <c r="D162" i="9" s="1"/>
  <c r="C168" i="9"/>
  <c r="C162" i="9" s="1"/>
  <c r="AL167" i="9"/>
  <c r="AK167" i="9"/>
  <c r="AJ167" i="9"/>
  <c r="AI167" i="9"/>
  <c r="AH167" i="9"/>
  <c r="AG167" i="9"/>
  <c r="AF167" i="9"/>
  <c r="AE167" i="9"/>
  <c r="AD167" i="9"/>
  <c r="AC167" i="9"/>
  <c r="AA167" i="9"/>
  <c r="Z167" i="9"/>
  <c r="Y167" i="9"/>
  <c r="X167" i="9"/>
  <c r="W167" i="9"/>
  <c r="U167" i="9"/>
  <c r="T167" i="9"/>
  <c r="S167" i="9"/>
  <c r="R167" i="9"/>
  <c r="Q167" i="9"/>
  <c r="P167" i="9"/>
  <c r="O167" i="9"/>
  <c r="N167" i="9"/>
  <c r="T163" i="9"/>
  <c r="S163" i="9"/>
  <c r="R163" i="9"/>
  <c r="Q163" i="9"/>
  <c r="P163" i="9"/>
  <c r="O163" i="9"/>
  <c r="N163" i="9"/>
  <c r="AL158" i="9"/>
  <c r="AK158" i="9"/>
  <c r="AJ158" i="9"/>
  <c r="AI158" i="9"/>
  <c r="AH158" i="9"/>
  <c r="AH156" i="9"/>
  <c r="AA156" i="9"/>
  <c r="AA158" i="9"/>
  <c r="AB156" i="9"/>
  <c r="AB158" i="9"/>
  <c r="AC156" i="9"/>
  <c r="AC158" i="9"/>
  <c r="AD156" i="9"/>
  <c r="AD158" i="9"/>
  <c r="N153" i="9"/>
  <c r="N156" i="9"/>
  <c r="O156" i="9"/>
  <c r="O158" i="9"/>
  <c r="P156" i="9"/>
  <c r="P158" i="9"/>
  <c r="Q156" i="9"/>
  <c r="Q158" i="9"/>
  <c r="R156" i="9"/>
  <c r="R158" i="9"/>
  <c r="S156" i="9"/>
  <c r="S158" i="9"/>
  <c r="T156" i="9"/>
  <c r="T158" i="9"/>
  <c r="U156" i="9"/>
  <c r="U158" i="9"/>
  <c r="V156" i="9"/>
  <c r="V158" i="9"/>
  <c r="W156" i="9"/>
  <c r="W158" i="9"/>
  <c r="X156" i="9"/>
  <c r="X158" i="9"/>
  <c r="Y156" i="9"/>
  <c r="Y158" i="9"/>
  <c r="Z156" i="9"/>
  <c r="Z158" i="9"/>
  <c r="AE156" i="9"/>
  <c r="AE158" i="9"/>
  <c r="AF156" i="9"/>
  <c r="AF158" i="9"/>
  <c r="AG156" i="9"/>
  <c r="AG158" i="9"/>
  <c r="AI156" i="9"/>
  <c r="AJ156" i="9"/>
  <c r="AK156" i="9"/>
  <c r="AL156" i="9"/>
  <c r="AL157" i="9"/>
  <c r="AK157" i="9"/>
  <c r="AJ157" i="9"/>
  <c r="AI157" i="9"/>
  <c r="AH157" i="9"/>
  <c r="AG157" i="9"/>
  <c r="AF157" i="9"/>
  <c r="AE157" i="9"/>
  <c r="AD157" i="9"/>
  <c r="AC157" i="9"/>
  <c r="AB157" i="9"/>
  <c r="AA157" i="9"/>
  <c r="Z157" i="9"/>
  <c r="Y157" i="9"/>
  <c r="X157" i="9"/>
  <c r="W157" i="9"/>
  <c r="V157" i="9"/>
  <c r="U157" i="9"/>
  <c r="T157" i="9"/>
  <c r="T154" i="9" s="1"/>
  <c r="S157" i="9"/>
  <c r="R157" i="9"/>
  <c r="Q157" i="9"/>
  <c r="P157" i="9"/>
  <c r="O157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AL152" i="9"/>
  <c r="AK152" i="9"/>
  <c r="AJ152" i="9"/>
  <c r="AI152" i="9"/>
  <c r="AH152" i="9"/>
  <c r="AG152" i="9"/>
  <c r="AF152" i="9"/>
  <c r="AE152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AL151" i="9"/>
  <c r="AK151" i="9"/>
  <c r="AJ151" i="9"/>
  <c r="AI151" i="9"/>
  <c r="AH151" i="9"/>
  <c r="AG151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AL149" i="9"/>
  <c r="AK149" i="9"/>
  <c r="AJ149" i="9"/>
  <c r="AI149" i="9"/>
  <c r="AH149" i="9"/>
  <c r="AG149" i="9"/>
  <c r="AF149" i="9"/>
  <c r="AE149" i="9"/>
  <c r="AD149" i="9"/>
  <c r="AC149" i="9"/>
  <c r="AA149" i="9"/>
  <c r="AB149" i="9"/>
  <c r="Z149" i="9"/>
  <c r="Y149" i="9"/>
  <c r="X149" i="9"/>
  <c r="W149" i="9"/>
  <c r="V149" i="9"/>
  <c r="U149" i="9"/>
  <c r="T149" i="9"/>
  <c r="S149" i="9"/>
  <c r="Q149" i="9"/>
  <c r="P149" i="9"/>
  <c r="O149" i="9"/>
  <c r="N149" i="9"/>
  <c r="AK148" i="9"/>
  <c r="AJ148" i="9"/>
  <c r="AI148" i="9"/>
  <c r="AH148" i="9"/>
  <c r="AG148" i="9"/>
  <c r="AF148" i="9"/>
  <c r="AE148" i="9"/>
  <c r="AD148" i="9"/>
  <c r="AC148" i="9"/>
  <c r="AB148" i="9"/>
  <c r="AA148" i="9"/>
  <c r="AA150" i="9" s="1"/>
  <c r="Z148" i="9"/>
  <c r="Y148" i="9"/>
  <c r="X148" i="9"/>
  <c r="W148" i="9"/>
  <c r="V148" i="9"/>
  <c r="U148" i="9"/>
  <c r="T148" i="9"/>
  <c r="S148" i="9"/>
  <c r="Q148" i="9"/>
  <c r="P148" i="9"/>
  <c r="O148" i="9"/>
  <c r="N148" i="9"/>
  <c r="N144" i="9"/>
  <c r="AL142" i="9"/>
  <c r="AK142" i="9"/>
  <c r="AJ142" i="9"/>
  <c r="AI142" i="9"/>
  <c r="AH142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AL141" i="9"/>
  <c r="AK141" i="9"/>
  <c r="AJ141" i="9"/>
  <c r="AI141" i="9"/>
  <c r="AH141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N96" i="9"/>
  <c r="M96" i="9"/>
  <c r="L96" i="9"/>
  <c r="K96" i="9"/>
  <c r="J96" i="9"/>
  <c r="I96" i="9"/>
  <c r="R74" i="9"/>
  <c r="J20" i="43"/>
  <c r="T70" i="9"/>
  <c r="S70" i="9"/>
  <c r="R70" i="9"/>
  <c r="Q70" i="9"/>
  <c r="T42" i="9"/>
  <c r="S42" i="9"/>
  <c r="R42" i="9"/>
  <c r="Q42" i="9"/>
  <c r="R28" i="9"/>
  <c r="J32" i="44"/>
  <c r="R27" i="9"/>
  <c r="J31" i="44"/>
  <c r="R24" i="9"/>
  <c r="J28" i="44"/>
  <c r="R23" i="9"/>
  <c r="J27" i="44"/>
  <c r="R22" i="9"/>
  <c r="J26" i="44"/>
  <c r="R19" i="9"/>
  <c r="J23" i="44"/>
  <c r="R18" i="9"/>
  <c r="J22" i="44"/>
  <c r="R12" i="9"/>
  <c r="R149" i="9" s="1"/>
  <c r="R11" i="9"/>
  <c r="J15" i="44"/>
  <c r="AF7" i="9"/>
  <c r="AF144" i="9" s="1"/>
  <c r="AE7" i="9"/>
  <c r="AD7" i="9"/>
  <c r="AC7" i="9"/>
  <c r="AA7" i="9"/>
  <c r="AA144" i="9" s="1"/>
  <c r="Z7" i="9"/>
  <c r="Z182" i="9" s="1"/>
  <c r="Y7" i="9"/>
  <c r="X7" i="9"/>
  <c r="X144" i="9" s="1"/>
  <c r="W7" i="9"/>
  <c r="V7" i="9"/>
  <c r="U7" i="9"/>
  <c r="U144" i="9" s="1"/>
  <c r="T7" i="9"/>
  <c r="T182" i="9" s="1"/>
  <c r="S7" i="9"/>
  <c r="S144" i="9" s="1"/>
  <c r="R7" i="9"/>
  <c r="R144" i="9" s="1"/>
  <c r="Q7" i="9"/>
  <c r="P7" i="9"/>
  <c r="P182" i="9" s="1"/>
  <c r="O7" i="9"/>
  <c r="O144" i="9" s="1"/>
  <c r="AG4" i="9"/>
  <c r="AG143" i="9" s="1"/>
  <c r="AF4" i="9"/>
  <c r="AE4" i="9"/>
  <c r="AE181" i="9" s="1"/>
  <c r="AD4" i="9"/>
  <c r="AD143" i="9" s="1"/>
  <c r="AC4" i="9"/>
  <c r="AB4" i="9"/>
  <c r="AA4" i="9"/>
  <c r="Z4" i="9"/>
  <c r="Z143" i="9" s="1"/>
  <c r="Y4" i="9"/>
  <c r="Y181" i="9" s="1"/>
  <c r="X4" i="9"/>
  <c r="X143" i="9" s="1"/>
  <c r="W4" i="9"/>
  <c r="W143" i="9" s="1"/>
  <c r="V4" i="9"/>
  <c r="V143" i="9" s="1"/>
  <c r="U4" i="9"/>
  <c r="T4" i="9"/>
  <c r="S4" i="9"/>
  <c r="R4" i="9"/>
  <c r="R143" i="9" s="1"/>
  <c r="Q4" i="9"/>
  <c r="Q143" i="9" s="1"/>
  <c r="P4" i="9"/>
  <c r="O4" i="9"/>
  <c r="O181" i="9" s="1"/>
  <c r="C58" i="8"/>
  <c r="J57" i="8"/>
  <c r="I57" i="8"/>
  <c r="H57" i="8"/>
  <c r="G57" i="8"/>
  <c r="T33" i="8"/>
  <c r="U54" i="16" s="1"/>
  <c r="F27" i="8"/>
  <c r="Q22" i="8"/>
  <c r="R39" i="16" s="1"/>
  <c r="Q20" i="8"/>
  <c r="R32" i="16" s="1"/>
  <c r="M18" i="8"/>
  <c r="M16" i="8" s="1"/>
  <c r="L18" i="8"/>
  <c r="L16" i="8" s="1"/>
  <c r="K18" i="8"/>
  <c r="K16" i="8" s="1"/>
  <c r="J18" i="8"/>
  <c r="J16" i="8" s="1"/>
  <c r="I18" i="8"/>
  <c r="I16" i="8" s="1"/>
  <c r="H18" i="8"/>
  <c r="H16" i="8" s="1"/>
  <c r="G18" i="8"/>
  <c r="G16" i="8" s="1"/>
  <c r="F18" i="8"/>
  <c r="F16" i="8" s="1"/>
  <c r="E18" i="8"/>
  <c r="E16" i="8" s="1"/>
  <c r="D18" i="8"/>
  <c r="D16" i="8" s="1"/>
  <c r="C16" i="8"/>
  <c r="B16" i="8"/>
  <c r="M8" i="8"/>
  <c r="N21" i="16" s="1"/>
  <c r="N117" i="16" s="1"/>
  <c r="J8" i="8"/>
  <c r="K21" i="16" s="1"/>
  <c r="H8" i="8"/>
  <c r="I21" i="16" s="1"/>
  <c r="F13" i="7"/>
  <c r="I12" i="7"/>
  <c r="J12" i="7" s="1"/>
  <c r="B12" i="7"/>
  <c r="B11" i="7"/>
  <c r="G10" i="7"/>
  <c r="H10" i="7" s="1"/>
  <c r="B10" i="7"/>
  <c r="J9" i="7"/>
  <c r="J37" i="7" s="1"/>
  <c r="D33" i="7" s="1"/>
  <c r="I9" i="7"/>
  <c r="I37" i="7" s="1"/>
  <c r="D32" i="7" s="1"/>
  <c r="H9" i="7"/>
  <c r="H37" i="7" s="1"/>
  <c r="D31" i="7" s="1"/>
  <c r="G9" i="7"/>
  <c r="F9" i="7"/>
  <c r="B9" i="7"/>
  <c r="F8" i="7"/>
  <c r="G8" i="7" s="1"/>
  <c r="B8" i="7"/>
  <c r="B7" i="7"/>
  <c r="C1" i="7"/>
  <c r="X61" i="6"/>
  <c r="Q43" i="6"/>
  <c r="P43" i="6"/>
  <c r="P42" i="6"/>
  <c r="E42" i="6"/>
  <c r="Q41" i="6"/>
  <c r="P41" i="6"/>
  <c r="P40" i="6"/>
  <c r="E40" i="6"/>
  <c r="P39" i="6"/>
  <c r="E39" i="6"/>
  <c r="Q39" i="6" s="1"/>
  <c r="P38" i="6"/>
  <c r="E38" i="6"/>
  <c r="Q38" i="6" s="1"/>
  <c r="E37" i="6"/>
  <c r="Q37" i="6" s="1"/>
  <c r="E36" i="6"/>
  <c r="Q36" i="6" s="1"/>
  <c r="E35" i="6"/>
  <c r="Q35" i="6" s="1"/>
  <c r="P34" i="6"/>
  <c r="E34" i="6"/>
  <c r="Q34" i="6" s="1"/>
  <c r="P33" i="6"/>
  <c r="E33" i="6"/>
  <c r="Q33" i="6" s="1"/>
  <c r="E32" i="6"/>
  <c r="Q32" i="6" s="1"/>
  <c r="E31" i="6"/>
  <c r="Q31" i="6" s="1"/>
  <c r="E30" i="6"/>
  <c r="Q30" i="6" s="1"/>
  <c r="E29" i="6"/>
  <c r="Q29" i="6" s="1"/>
  <c r="E28" i="6"/>
  <c r="Q28" i="6" s="1"/>
  <c r="E27" i="6"/>
  <c r="Q27" i="6" s="1"/>
  <c r="E26" i="6"/>
  <c r="Q26" i="6" s="1"/>
  <c r="P24" i="32"/>
  <c r="E25" i="6"/>
  <c r="Q25" i="6" s="1"/>
  <c r="E24" i="6"/>
  <c r="Q24" i="6" s="1"/>
  <c r="E23" i="6"/>
  <c r="Q23" i="6" s="1"/>
  <c r="E22" i="6"/>
  <c r="Q22" i="6" s="1"/>
  <c r="E21" i="6"/>
  <c r="Q21" i="6" s="1"/>
  <c r="E20" i="6"/>
  <c r="Q20" i="6" s="1"/>
  <c r="E19" i="6"/>
  <c r="Q19" i="6" s="1"/>
  <c r="E18" i="6"/>
  <c r="Q18" i="6" s="1"/>
  <c r="E17" i="6"/>
  <c r="Q17" i="6" s="1"/>
  <c r="E16" i="6"/>
  <c r="Q16" i="6" s="1"/>
  <c r="E15" i="6"/>
  <c r="Q15" i="6" s="1"/>
  <c r="E14" i="6"/>
  <c r="Q14" i="6" s="1"/>
  <c r="E13" i="6"/>
  <c r="Q13" i="6" s="1"/>
  <c r="E12" i="6"/>
  <c r="Q12" i="6" s="1"/>
  <c r="E11" i="6"/>
  <c r="Q11" i="6" s="1"/>
  <c r="E9" i="6"/>
  <c r="E6" i="6"/>
  <c r="Q6" i="6" s="1"/>
  <c r="E5" i="6"/>
  <c r="B2" i="6"/>
  <c r="Z3" i="6" s="1"/>
  <c r="B1" i="6"/>
  <c r="C37" i="6" s="1"/>
  <c r="B48" i="5"/>
  <c r="B47" i="5"/>
  <c r="B46" i="5"/>
  <c r="B45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2" i="5"/>
  <c r="B11" i="5"/>
  <c r="B9" i="5"/>
  <c r="B8" i="5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I209" i="1"/>
  <c r="J201" i="1"/>
  <c r="J209" i="1" s="1"/>
  <c r="C186" i="1"/>
  <c r="C185" i="1"/>
  <c r="C183" i="1"/>
  <c r="C181" i="1"/>
  <c r="C179" i="1"/>
  <c r="C178" i="1"/>
  <c r="C177" i="1"/>
  <c r="O176" i="1"/>
  <c r="N176" i="1"/>
  <c r="M176" i="1"/>
  <c r="L176" i="1"/>
  <c r="K176" i="1"/>
  <c r="J176" i="1"/>
  <c r="G176" i="1"/>
  <c r="F176" i="1"/>
  <c r="D176" i="1"/>
  <c r="B175" i="1"/>
  <c r="G194" i="1"/>
  <c r="G196" i="1" s="1"/>
  <c r="D102" i="1"/>
  <c r="D101" i="1"/>
  <c r="D99" i="1"/>
  <c r="G72" i="1"/>
  <c r="L72" i="1" s="1"/>
  <c r="L108" i="1" s="1"/>
  <c r="G62" i="1"/>
  <c r="G93" i="1" s="1"/>
  <c r="G52" i="1"/>
  <c r="L52" i="1" s="1"/>
  <c r="L102" i="1" s="1"/>
  <c r="G51" i="1"/>
  <c r="Q32" i="1"/>
  <c r="Q118" i="1" s="1"/>
  <c r="I32" i="1"/>
  <c r="I176" i="1" s="1"/>
  <c r="E32" i="1"/>
  <c r="E97" i="1" s="1"/>
  <c r="E118" i="1" s="1"/>
  <c r="E156" i="1" s="1"/>
  <c r="H76" i="17"/>
  <c r="D98" i="1"/>
  <c r="D177" i="1" s="1"/>
  <c r="D326" i="17" s="1"/>
  <c r="G142" i="17"/>
  <c r="K144" i="17"/>
  <c r="G54" i="17"/>
  <c r="K147" i="17"/>
  <c r="K146" i="17"/>
  <c r="K145" i="17"/>
  <c r="K143" i="17"/>
  <c r="W14" i="14"/>
  <c r="D32" i="42"/>
  <c r="AG171" i="9"/>
  <c r="P18" i="26"/>
  <c r="P19" i="26"/>
  <c r="BJ34" i="17" a="1"/>
  <c r="BL38" i="17" s="1"/>
  <c r="AZ34" i="17" a="1"/>
  <c r="BA38" i="17" s="1"/>
  <c r="G358" i="17"/>
  <c r="E249" i="17"/>
  <c r="E286" i="17"/>
  <c r="E290" i="17"/>
  <c r="E379" i="17" s="1"/>
  <c r="AB42" i="33"/>
  <c r="E289" i="17"/>
  <c r="E378" i="17" s="1"/>
  <c r="P26" i="32"/>
  <c r="L4" i="30" a="1"/>
  <c r="L28" i="30" s="1"/>
  <c r="H4" i="30" a="1"/>
  <c r="H8" i="30" s="1"/>
  <c r="E10" i="6"/>
  <c r="Q10" i="6" s="1"/>
  <c r="R7" i="28"/>
  <c r="D110" i="1"/>
  <c r="I4" i="30" a="1"/>
  <c r="I17" i="30" s="1"/>
  <c r="AO65" i="16"/>
  <c r="D9" i="41"/>
  <c r="I9" i="41" s="1"/>
  <c r="AO63" i="16"/>
  <c r="AO7" i="16"/>
  <c r="AO11" i="16"/>
  <c r="AO15" i="16"/>
  <c r="AO29" i="16"/>
  <c r="AO49" i="16"/>
  <c r="AO53" i="16"/>
  <c r="AO55" i="16"/>
  <c r="AO3" i="16"/>
  <c r="AO8" i="16"/>
  <c r="AO36" i="16"/>
  <c r="AO139" i="16"/>
  <c r="H100" i="17"/>
  <c r="AO5" i="16"/>
  <c r="AO58" i="16"/>
  <c r="AO6" i="16"/>
  <c r="AO50" i="16"/>
  <c r="AO62" i="16"/>
  <c r="R163" i="1"/>
  <c r="N163" i="1" s="1"/>
  <c r="M196" i="1" s="1"/>
  <c r="N4" i="30" a="1"/>
  <c r="N33" i="30" s="1"/>
  <c r="R76" i="17"/>
  <c r="AO25" i="16"/>
  <c r="AO74" i="16"/>
  <c r="AO19" i="16"/>
  <c r="AO4" i="16"/>
  <c r="AO9" i="16"/>
  <c r="AO16" i="16"/>
  <c r="AO28" i="16"/>
  <c r="AO120" i="16"/>
  <c r="AO31" i="16"/>
  <c r="AO126" i="16"/>
  <c r="AO34" i="16"/>
  <c r="AO42" i="16"/>
  <c r="AO52" i="16"/>
  <c r="AO54" i="16"/>
  <c r="AO57" i="16"/>
  <c r="AO59" i="16"/>
  <c r="AO24" i="16"/>
  <c r="H104" i="17"/>
  <c r="J104" i="17" s="1"/>
  <c r="AO10" i="16"/>
  <c r="AO14" i="16"/>
  <c r="AO30" i="16"/>
  <c r="AO33" i="16"/>
  <c r="AO51" i="16"/>
  <c r="AO60" i="16"/>
  <c r="AO61" i="16"/>
  <c r="AO64" i="16"/>
  <c r="AO66" i="16"/>
  <c r="AO20" i="16"/>
  <c r="AO23" i="16"/>
  <c r="AO26" i="16"/>
  <c r="AO21" i="16"/>
  <c r="H95" i="17"/>
  <c r="J16" i="44"/>
  <c r="H105" i="17"/>
  <c r="J105" i="17" s="1"/>
  <c r="L104" i="17"/>
  <c r="M104" i="17" s="1"/>
  <c r="H247" i="17"/>
  <c r="H103" i="17"/>
  <c r="J103" i="17" s="1"/>
  <c r="H129" i="17"/>
  <c r="D13" i="41"/>
  <c r="I13" i="41" s="1"/>
  <c r="F11" i="7"/>
  <c r="AF40" i="27"/>
  <c r="J271" i="17"/>
  <c r="R80" i="17"/>
  <c r="D54" i="17"/>
  <c r="AO34" i="17"/>
  <c r="D100" i="1"/>
  <c r="D178" i="1"/>
  <c r="D327" i="17" s="1"/>
  <c r="G32" i="42"/>
  <c r="P15" i="6"/>
  <c r="P29" i="6"/>
  <c r="D12" i="41"/>
  <c r="I12" i="41" s="1"/>
  <c r="AO13" i="16"/>
  <c r="AD53" i="31"/>
  <c r="H93" i="17"/>
  <c r="J93" i="17" s="1"/>
  <c r="G271" i="17"/>
  <c r="D10" i="41"/>
  <c r="I10" i="41" s="1"/>
  <c r="H97" i="17"/>
  <c r="J97" i="17" s="1"/>
  <c r="D11" i="41"/>
  <c r="I11" i="41" s="1"/>
  <c r="H94" i="17"/>
  <c r="J94" i="17" s="1"/>
  <c r="H102" i="17"/>
  <c r="J102" i="17" s="1"/>
  <c r="H106" i="17"/>
  <c r="H107" i="17"/>
  <c r="J107" i="17" s="1"/>
  <c r="P17" i="32"/>
  <c r="P20" i="32"/>
  <c r="P23" i="6"/>
  <c r="P23" i="32"/>
  <c r="B13" i="5"/>
  <c r="I247" i="17"/>
  <c r="AB144" i="9"/>
  <c r="R77" i="17"/>
  <c r="P21" i="6"/>
  <c r="R81" i="17"/>
  <c r="P17" i="6"/>
  <c r="L106" i="17"/>
  <c r="M106" i="17" s="1"/>
  <c r="J10" i="45"/>
  <c r="D11" i="44"/>
  <c r="E248" i="17"/>
  <c r="D277" i="17" s="1"/>
  <c r="J276" i="17"/>
  <c r="M249" i="17"/>
  <c r="P29" i="32"/>
  <c r="O305" i="17"/>
  <c r="P27" i="6"/>
  <c r="D4" i="30" a="1"/>
  <c r="D14" i="30" s="1"/>
  <c r="O308" i="17"/>
  <c r="AO12" i="16"/>
  <c r="AO17" i="16"/>
  <c r="AO121" i="16"/>
  <c r="AO22" i="16"/>
  <c r="AO140" i="16"/>
  <c r="AO56" i="16"/>
  <c r="AO119" i="16"/>
  <c r="AO72" i="16"/>
  <c r="AO141" i="16"/>
  <c r="AO117" i="16"/>
  <c r="D109" i="1"/>
  <c r="AO115" i="16"/>
  <c r="AO118" i="16"/>
  <c r="AO138" i="16"/>
  <c r="AO18" i="16"/>
  <c r="AO67" i="16"/>
  <c r="AO125" i="16"/>
  <c r="AO143" i="16"/>
  <c r="AO68" i="16"/>
  <c r="AO73" i="16"/>
  <c r="AO114" i="16"/>
  <c r="AO116" i="16"/>
  <c r="AO27" i="16"/>
  <c r="AO38" i="16"/>
  <c r="AO40" i="16"/>
  <c r="AO69" i="16"/>
  <c r="AO39" i="16"/>
  <c r="AO35" i="16"/>
  <c r="AO32" i="16"/>
  <c r="AO132" i="16"/>
  <c r="AO124" i="16"/>
  <c r="AO137" i="16"/>
  <c r="AO41" i="16"/>
  <c r="AO136" i="16"/>
  <c r="AO45" i="16"/>
  <c r="W44" i="16"/>
  <c r="X44" i="16" s="1"/>
  <c r="Y44" i="16" s="1"/>
  <c r="Z44" i="16" s="1"/>
  <c r="AA44" i="16" s="1"/>
  <c r="AB44" i="16" s="1"/>
  <c r="AO44" i="16"/>
  <c r="AO48" i="16"/>
  <c r="U38" i="5"/>
  <c r="F379" i="17"/>
  <c r="CC84" i="15"/>
  <c r="C54" i="24" s="1"/>
  <c r="BS84" i="15"/>
  <c r="C49" i="24" s="1"/>
  <c r="BO84" i="15"/>
  <c r="C47" i="24" s="1"/>
  <c r="BK84" i="15"/>
  <c r="C45" i="24" s="1"/>
  <c r="BA84" i="15"/>
  <c r="C40" i="24" s="1"/>
  <c r="AC20" i="34"/>
  <c r="F77" i="1"/>
  <c r="F350" i="17"/>
  <c r="F78" i="1"/>
  <c r="F351" i="17"/>
  <c r="AN83" i="15"/>
  <c r="G33" i="24" s="1"/>
  <c r="AP37" i="27"/>
  <c r="AQ38" i="27"/>
  <c r="E45" i="5"/>
  <c r="AB49" i="34"/>
  <c r="AB62" i="34" s="1"/>
  <c r="AF29" i="18"/>
  <c r="AP18" i="35"/>
  <c r="AF24" i="18" s="1"/>
  <c r="AG24" i="18" s="1"/>
  <c r="AM182" i="9"/>
  <c r="Q43" i="1"/>
  <c r="M43" i="1" s="1"/>
  <c r="AE10" i="10"/>
  <c r="AM183" i="9"/>
  <c r="AM201" i="9" s="1"/>
  <c r="AM202" i="9" s="1"/>
  <c r="H115" i="17"/>
  <c r="H114" i="17" s="1"/>
  <c r="G5" i="20" s="1"/>
  <c r="AM148" i="9"/>
  <c r="H118" i="17"/>
  <c r="G7" i="43"/>
  <c r="H7" i="43" s="1"/>
  <c r="AM151" i="9"/>
  <c r="E9" i="5"/>
  <c r="L86" i="1"/>
  <c r="AW1" i="19"/>
  <c r="BK1" i="19"/>
  <c r="W13" i="16"/>
  <c r="AB20" i="34"/>
  <c r="CF4" i="15"/>
  <c r="CF79" i="15" s="1"/>
  <c r="CF82" i="15" s="1"/>
  <c r="BX4" i="15"/>
  <c r="BX79" i="15" s="1"/>
  <c r="BX82" i="15" s="1"/>
  <c r="BX105" i="15" s="1"/>
  <c r="BL4" i="15"/>
  <c r="BL79" i="15" s="1"/>
  <c r="BL82" i="15" s="1"/>
  <c r="AH4" i="15"/>
  <c r="AH79" i="15" s="1"/>
  <c r="AH82" i="15" s="1"/>
  <c r="R50" i="34" s="1"/>
  <c r="V4" i="15"/>
  <c r="V79" i="15" s="1"/>
  <c r="V82" i="15" s="1"/>
  <c r="L50" i="34" s="1"/>
  <c r="AW4" i="15"/>
  <c r="AW79" i="15" s="1"/>
  <c r="AW82" i="15" s="1"/>
  <c r="AW83" i="15" s="1"/>
  <c r="AN153" i="9"/>
  <c r="AN188" i="9"/>
  <c r="AN174" i="9"/>
  <c r="BJ4" i="15"/>
  <c r="BJ79" i="15" s="1"/>
  <c r="BJ82" i="15" s="1"/>
  <c r="BF4" i="15"/>
  <c r="BF79" i="15" s="1"/>
  <c r="BF82" i="15" s="1"/>
  <c r="AZ4" i="15"/>
  <c r="AZ79" i="15" s="1"/>
  <c r="AZ82" i="15" s="1"/>
  <c r="AZ83" i="15" s="1"/>
  <c r="CT4" i="15"/>
  <c r="CT79" i="15" s="1"/>
  <c r="CT82" i="15" s="1"/>
  <c r="CL4" i="15"/>
  <c r="CL79" i="15" s="1"/>
  <c r="CL82" i="15" s="1"/>
  <c r="CD4" i="15"/>
  <c r="BD4" i="15"/>
  <c r="BD79" i="15" s="1"/>
  <c r="BD82" i="15" s="1"/>
  <c r="Z4" i="15"/>
  <c r="Z79" i="15" s="1"/>
  <c r="Z82" i="15" s="1"/>
  <c r="N4" i="15"/>
  <c r="N79" i="15" s="1"/>
  <c r="N82" i="15" s="1"/>
  <c r="B50" i="34"/>
  <c r="BW4" i="15"/>
  <c r="BW79" i="15" s="1"/>
  <c r="BW82" i="15" s="1"/>
  <c r="AO4" i="15"/>
  <c r="AO79" i="15" s="1"/>
  <c r="AO82" i="15" s="1"/>
  <c r="AO83" i="15" s="1"/>
  <c r="F34" i="24" s="1"/>
  <c r="CH4" i="15"/>
  <c r="CH79" i="15" s="1"/>
  <c r="CH82" i="15" s="1"/>
  <c r="AR50" i="34" s="1"/>
  <c r="BT4" i="15"/>
  <c r="BT79" i="15" s="1"/>
  <c r="BT82" i="15" s="1"/>
  <c r="BB4" i="15"/>
  <c r="AR4" i="15"/>
  <c r="AR79" i="15" s="1"/>
  <c r="AR82" i="15" s="1"/>
  <c r="W50" i="34" s="1"/>
  <c r="AN150" i="9"/>
  <c r="CR4" i="15"/>
  <c r="CR79" i="15" s="1"/>
  <c r="CR82" i="15" s="1"/>
  <c r="CR105" i="15" s="1"/>
  <c r="CR107" i="15" s="1"/>
  <c r="AC49" i="34"/>
  <c r="AX4" i="15"/>
  <c r="AX79" i="15" s="1"/>
  <c r="AX82" i="15" s="1"/>
  <c r="Z50" i="34" s="1"/>
  <c r="AJ4" i="15"/>
  <c r="AJ79" i="15" s="1"/>
  <c r="AJ82" i="15" s="1"/>
  <c r="AB4" i="15"/>
  <c r="AB79" i="15" s="1"/>
  <c r="AB82" i="15" s="1"/>
  <c r="AN163" i="9"/>
  <c r="AN162" i="9" s="1"/>
  <c r="T24" i="41"/>
  <c r="BA52" i="38"/>
  <c r="BA53" i="38" s="1"/>
  <c r="AO37" i="35" s="1"/>
  <c r="AD9" i="18" s="1"/>
  <c r="BP4" i="15"/>
  <c r="BP79" i="15" s="1"/>
  <c r="BP82" i="15" s="1"/>
  <c r="BP105" i="15" s="1"/>
  <c r="BH4" i="15"/>
  <c r="BH79" i="15" s="1"/>
  <c r="BH82" i="15" s="1"/>
  <c r="AE50" i="34" s="1"/>
  <c r="G13" i="36" s="1"/>
  <c r="AH72" i="16"/>
  <c r="AH18" i="16" s="1"/>
  <c r="I28" i="41"/>
  <c r="D28" i="41" s="1"/>
  <c r="I20" i="41"/>
  <c r="I22" i="41"/>
  <c r="AM83" i="15"/>
  <c r="F33" i="24" s="1"/>
  <c r="I30" i="41"/>
  <c r="I26" i="41"/>
  <c r="D26" i="41" s="1"/>
  <c r="I19" i="41"/>
  <c r="I29" i="41"/>
  <c r="D29" i="41" s="1"/>
  <c r="I23" i="41"/>
  <c r="D23" i="41" s="1"/>
  <c r="AO42" i="31"/>
  <c r="AL40" i="35"/>
  <c r="O24" i="41"/>
  <c r="P4" i="15"/>
  <c r="P79" i="15" s="1"/>
  <c r="P82" i="15" s="1"/>
  <c r="C4" i="32"/>
  <c r="AF92" i="19"/>
  <c r="AF93" i="19"/>
  <c r="Q70" i="1"/>
  <c r="M70" i="1" s="1"/>
  <c r="O70" i="1" s="1"/>
  <c r="S32" i="16"/>
  <c r="AS49" i="18"/>
  <c r="BA49" i="18"/>
  <c r="AR20" i="34"/>
  <c r="AK49" i="18"/>
  <c r="Q38" i="1"/>
  <c r="M38" i="1" s="1"/>
  <c r="F27" i="41"/>
  <c r="AB49" i="16"/>
  <c r="AU20" i="34"/>
  <c r="AY49" i="18"/>
  <c r="L131" i="17"/>
  <c r="L93" i="17"/>
  <c r="M93" i="17" s="1"/>
  <c r="J116" i="17"/>
  <c r="BH4" i="14"/>
  <c r="AS4" i="14"/>
  <c r="BT4" i="14"/>
  <c r="AV4" i="14"/>
  <c r="AJ18" i="34"/>
  <c r="AG144" i="9"/>
  <c r="AG38" i="27"/>
  <c r="CN5" i="19"/>
  <c r="G4" i="30" a="1"/>
  <c r="G26" i="30" s="1"/>
  <c r="AC42" i="33"/>
  <c r="M55" i="38"/>
  <c r="AH49" i="18"/>
  <c r="AF49" i="18"/>
  <c r="AL42" i="27"/>
  <c r="P26" i="6"/>
  <c r="AC55" i="31"/>
  <c r="AS20" i="34"/>
  <c r="AW20" i="34"/>
  <c r="AM49" i="18"/>
  <c r="AU49" i="18"/>
  <c r="L127" i="17"/>
  <c r="Y13" i="16"/>
  <c r="V13" i="16"/>
  <c r="D9" i="36"/>
  <c r="E9" i="36" s="1"/>
  <c r="F9" i="36" s="1"/>
  <c r="G9" i="36" s="1"/>
  <c r="H9" i="36" s="1"/>
  <c r="I9" i="36" s="1"/>
  <c r="J9" i="36" s="1"/>
  <c r="K9" i="36" s="1"/>
  <c r="L9" i="36" s="1"/>
  <c r="M9" i="36" s="1"/>
  <c r="N9" i="36" s="1"/>
  <c r="AL148" i="9"/>
  <c r="AM4" i="14"/>
  <c r="D9" i="21"/>
  <c r="R9" i="21" s="1"/>
  <c r="AO182" i="9"/>
  <c r="AO144" i="9"/>
  <c r="Q52" i="1"/>
  <c r="M52" i="1" s="1"/>
  <c r="M102" i="1" s="1"/>
  <c r="I81" i="20"/>
  <c r="P18" i="16"/>
  <c r="AF30" i="18"/>
  <c r="AG30" i="18" s="1"/>
  <c r="U18" i="16"/>
  <c r="Y117" i="16"/>
  <c r="AJ13" i="16"/>
  <c r="AJ72" i="16"/>
  <c r="AJ18" i="16" s="1"/>
  <c r="AF72" i="16"/>
  <c r="AF18" i="16" s="1"/>
  <c r="AK119" i="16"/>
  <c r="U72" i="16"/>
  <c r="U13" i="16"/>
  <c r="R72" i="16"/>
  <c r="P13" i="16"/>
  <c r="P68" i="16" s="1"/>
  <c r="P73" i="16" s="1"/>
  <c r="V18" i="16"/>
  <c r="AC118" i="16"/>
  <c r="AB17" i="16"/>
  <c r="N18" i="16"/>
  <c r="N13" i="16"/>
  <c r="AB117" i="16"/>
  <c r="AB115" i="16" s="1"/>
  <c r="AB116" i="16" s="1"/>
  <c r="AB132" i="16" s="1"/>
  <c r="AH30" i="18"/>
  <c r="AI30" i="18" s="1"/>
  <c r="BH30" i="18" s="1"/>
  <c r="AG55" i="18"/>
  <c r="AH29" i="18"/>
  <c r="AI29" i="18" s="1"/>
  <c r="BH29" i="18" s="1"/>
  <c r="F149" i="17"/>
  <c r="F376" i="17"/>
  <c r="G78" i="20"/>
  <c r="O92" i="20"/>
  <c r="AY42" i="31"/>
  <c r="AX20" i="34"/>
  <c r="AU42" i="31"/>
  <c r="AT20" i="34"/>
  <c r="Q69" i="1"/>
  <c r="M69" i="1" s="1"/>
  <c r="N30" i="41"/>
  <c r="N25" i="41" s="1"/>
  <c r="H130" i="17"/>
  <c r="J130" i="17" s="1"/>
  <c r="AR29" i="18"/>
  <c r="AS29" i="18" s="1"/>
  <c r="AQ49" i="18"/>
  <c r="AP49" i="18"/>
  <c r="AB13" i="16"/>
  <c r="Q37" i="1"/>
  <c r="M37" i="1" s="1"/>
  <c r="AB125" i="16"/>
  <c r="I79" i="20"/>
  <c r="D77" i="20"/>
  <c r="D94" i="20" s="1"/>
  <c r="I94" i="20" s="1"/>
  <c r="P19" i="41"/>
  <c r="Q19" i="41" s="1"/>
  <c r="Q68" i="1"/>
  <c r="M68" i="1" s="1"/>
  <c r="C11" i="17"/>
  <c r="O84" i="20"/>
  <c r="AP6" i="19"/>
  <c r="AP5" i="19" s="1"/>
  <c r="AG44" i="18"/>
  <c r="AE28" i="18"/>
  <c r="AE20" i="18"/>
  <c r="Q44" i="1"/>
  <c r="M44" i="1" s="1"/>
  <c r="O44" i="1" s="1"/>
  <c r="F81" i="20"/>
  <c r="M81" i="20" s="1"/>
  <c r="L81" i="20" s="1"/>
  <c r="G81" i="20"/>
  <c r="E81" i="20"/>
  <c r="K81" i="20" s="1"/>
  <c r="J81" i="20" s="1"/>
  <c r="C77" i="20"/>
  <c r="C96" i="20" s="1"/>
  <c r="H96" i="20" s="1"/>
  <c r="H79" i="20"/>
  <c r="E95" i="20"/>
  <c r="K95" i="20" s="1"/>
  <c r="J95" i="20" s="1"/>
  <c r="H95" i="20"/>
  <c r="H81" i="20"/>
  <c r="E78" i="20"/>
  <c r="K78" i="20" s="1"/>
  <c r="J78" i="20" s="1"/>
  <c r="F313" i="17"/>
  <c r="F79" i="20"/>
  <c r="M79" i="20" s="1"/>
  <c r="L79" i="20" s="1"/>
  <c r="E79" i="20"/>
  <c r="K79" i="20" s="1"/>
  <c r="J79" i="20" s="1"/>
  <c r="B77" i="20"/>
  <c r="B96" i="20" s="1"/>
  <c r="G96" i="20" s="1"/>
  <c r="G79" i="20"/>
  <c r="H94" i="20"/>
  <c r="T25" i="41"/>
  <c r="F309" i="17"/>
  <c r="E27" i="20"/>
  <c r="F310" i="17"/>
  <c r="P14" i="6"/>
  <c r="H28" i="20"/>
  <c r="BB36" i="18"/>
  <c r="P13" i="32"/>
  <c r="AA37" i="27"/>
  <c r="AI144" i="9"/>
  <c r="AB37" i="27"/>
  <c r="Q86" i="1"/>
  <c r="M86" i="1" s="1"/>
  <c r="AC38" i="27"/>
  <c r="AL3" i="14"/>
  <c r="BH3" i="14" s="1"/>
  <c r="AH38" i="27"/>
  <c r="AI40" i="27"/>
  <c r="BQ4" i="14"/>
  <c r="CB4" i="15"/>
  <c r="CB79" i="15" s="1"/>
  <c r="CB82" i="15" s="1"/>
  <c r="AO50" i="34" s="1"/>
  <c r="AO53" i="34" s="1"/>
  <c r="AH39" i="27"/>
  <c r="AP4" i="14"/>
  <c r="AO49" i="18"/>
  <c r="L129" i="17"/>
  <c r="I41" i="23" s="1"/>
  <c r="R4" i="15"/>
  <c r="R79" i="15" s="1"/>
  <c r="R82" i="15" s="1"/>
  <c r="H42" i="35"/>
  <c r="H55" i="35" s="1"/>
  <c r="M4" i="30" a="1"/>
  <c r="M34" i="30" s="1"/>
  <c r="X4" i="15"/>
  <c r="X79" i="15" s="1"/>
  <c r="X82" i="15" s="1"/>
  <c r="U52" i="38"/>
  <c r="U53" i="38" s="1"/>
  <c r="Y37" i="35" s="1"/>
  <c r="Z13" i="16"/>
  <c r="Y18" i="16"/>
  <c r="K4" i="30" a="1"/>
  <c r="K17" i="30" s="1"/>
  <c r="AQ52" i="38"/>
  <c r="AQ53" i="38" s="1"/>
  <c r="AJ37" i="35" s="1"/>
  <c r="F4" i="30" a="1"/>
  <c r="F30" i="30" s="1"/>
  <c r="M333" i="17"/>
  <c r="CJ4" i="15"/>
  <c r="CJ79" i="15" s="1"/>
  <c r="F120" i="17"/>
  <c r="H4" i="15"/>
  <c r="H79" i="15" s="1"/>
  <c r="H82" i="15" s="1"/>
  <c r="H83" i="15" s="1"/>
  <c r="G17" i="24" s="1"/>
  <c r="CT84" i="15"/>
  <c r="D62" i="24" s="1"/>
  <c r="D58" i="24"/>
  <c r="AE140" i="16"/>
  <c r="AE138" i="16" s="1"/>
  <c r="CR84" i="15"/>
  <c r="D61" i="24" s="1"/>
  <c r="CQ84" i="15"/>
  <c r="C61" i="24" s="1"/>
  <c r="CP84" i="15"/>
  <c r="D60" i="24" s="1"/>
  <c r="AS39" i="27"/>
  <c r="AT40" i="27"/>
  <c r="L100" i="17"/>
  <c r="M100" i="17" s="1"/>
  <c r="AE42" i="33"/>
  <c r="C85" i="22"/>
  <c r="Y37" i="27"/>
  <c r="Z38" i="27"/>
  <c r="R41" i="27"/>
  <c r="AC52" i="38"/>
  <c r="AC53" i="38" s="1"/>
  <c r="AC37" i="35" s="1"/>
  <c r="AM163" i="9"/>
  <c r="AM162" i="9" s="1"/>
  <c r="BI52" i="38"/>
  <c r="BI53" i="38" s="1"/>
  <c r="AS37" i="35" s="1"/>
  <c r="AL9" i="18" s="1"/>
  <c r="AL10" i="18" s="1"/>
  <c r="AM10" i="18" s="1"/>
  <c r="AM9" i="18" s="1"/>
  <c r="Z4" i="22"/>
  <c r="L132" i="17"/>
  <c r="M132" i="17" s="1"/>
  <c r="AM114" i="16"/>
  <c r="B41" i="16"/>
  <c r="C124" i="21" s="1"/>
  <c r="AF114" i="16"/>
  <c r="AQ182" i="9"/>
  <c r="H112" i="17" s="1"/>
  <c r="H293" i="17" s="1"/>
  <c r="AQ144" i="9"/>
  <c r="D77" i="17"/>
  <c r="E375" i="17" s="1"/>
  <c r="AX39" i="14"/>
  <c r="AP42" i="31"/>
  <c r="BB26" i="18"/>
  <c r="BB20" i="18"/>
  <c r="AV20" i="34"/>
  <c r="BY4" i="15"/>
  <c r="BY79" i="15" s="1"/>
  <c r="BY82" i="15" s="1"/>
  <c r="BY83" i="15" s="1"/>
  <c r="BT1" i="19"/>
  <c r="T18" i="16"/>
  <c r="BF1" i="19"/>
  <c r="Q66" i="1"/>
  <c r="M66" i="1" s="1"/>
  <c r="N66" i="1" s="1"/>
  <c r="BR1" i="19"/>
  <c r="J28" i="41"/>
  <c r="E28" i="41" s="1"/>
  <c r="H136" i="17"/>
  <c r="AJ6" i="28"/>
  <c r="BM1" i="19"/>
  <c r="BM20" i="19" s="1"/>
  <c r="BO20" i="19" s="1"/>
  <c r="J142" i="17"/>
  <c r="AO21" i="34"/>
  <c r="D1" i="4"/>
  <c r="AR39" i="27"/>
  <c r="C9" i="7" s="1"/>
  <c r="AS40" i="27"/>
  <c r="AR37" i="27"/>
  <c r="C7" i="7" s="1"/>
  <c r="AS38" i="27"/>
  <c r="Z41" i="27"/>
  <c r="BB52" i="38"/>
  <c r="BB53" i="38" s="1"/>
  <c r="L91" i="17"/>
  <c r="M91" i="17" s="1"/>
  <c r="E45" i="4"/>
  <c r="D10" i="39"/>
  <c r="L10" i="39"/>
  <c r="T10" i="39"/>
  <c r="AL118" i="16"/>
  <c r="AD118" i="16"/>
  <c r="AF163" i="9"/>
  <c r="AG37" i="27"/>
  <c r="AK41" i="27"/>
  <c r="T121" i="16"/>
  <c r="AF41" i="27"/>
  <c r="AE40" i="27"/>
  <c r="AD39" i="27"/>
  <c r="AH10" i="14"/>
  <c r="BK10" i="14"/>
  <c r="BE10" i="14"/>
  <c r="BD36" i="14" s="1"/>
  <c r="BT10" i="14"/>
  <c r="H12" i="23"/>
  <c r="P37" i="32"/>
  <c r="P35" i="32"/>
  <c r="E159" i="1"/>
  <c r="E194" i="1" s="1"/>
  <c r="AH99" i="15"/>
  <c r="O86" i="20"/>
  <c r="R10" i="39"/>
  <c r="M4" i="15"/>
  <c r="M79" i="15" s="1"/>
  <c r="M82" i="15" s="1"/>
  <c r="M83" i="15" s="1"/>
  <c r="F20" i="24" s="1"/>
  <c r="M42" i="35"/>
  <c r="M51" i="35" s="1"/>
  <c r="M52" i="38"/>
  <c r="M53" i="38" s="1"/>
  <c r="U37" i="35" s="1"/>
  <c r="M13" i="16"/>
  <c r="Y52" i="38"/>
  <c r="Y53" i="38" s="1"/>
  <c r="AA37" i="35" s="1"/>
  <c r="AO37" i="27"/>
  <c r="AO181" i="9"/>
  <c r="H13" i="45"/>
  <c r="AC39" i="27"/>
  <c r="BK4" i="14"/>
  <c r="F142" i="17"/>
  <c r="H35" i="26"/>
  <c r="O34" i="26" s="1"/>
  <c r="W39" i="27"/>
  <c r="W9" i="39"/>
  <c r="AJ41" i="27"/>
  <c r="AK42" i="27"/>
  <c r="W38" i="16"/>
  <c r="W27" i="8"/>
  <c r="X38" i="16" s="1"/>
  <c r="AE4" i="14"/>
  <c r="AK18" i="34"/>
  <c r="AQ4" i="14"/>
  <c r="AY4" i="14"/>
  <c r="BB4" i="14"/>
  <c r="AN4" i="14"/>
  <c r="AL72" i="16"/>
  <c r="AL18" i="16" s="1"/>
  <c r="AL13" i="16"/>
  <c r="AM154" i="9"/>
  <c r="BU84" i="15"/>
  <c r="C50" i="24" s="1"/>
  <c r="BU4" i="15"/>
  <c r="BU79" i="15" s="1"/>
  <c r="BU82" i="15" s="1"/>
  <c r="BU105" i="15" s="1"/>
  <c r="BQ84" i="15"/>
  <c r="C48" i="24" s="1"/>
  <c r="F13" i="16"/>
  <c r="L97" i="17"/>
  <c r="M97" i="17" s="1"/>
  <c r="E119" i="20"/>
  <c r="F95" i="20"/>
  <c r="M95" i="20" s="1"/>
  <c r="L95" i="20" s="1"/>
  <c r="D39" i="20"/>
  <c r="C112" i="20"/>
  <c r="F26" i="20"/>
  <c r="O89" i="20"/>
  <c r="AG140" i="16"/>
  <c r="N118" i="16"/>
  <c r="O85" i="20"/>
  <c r="AL28" i="14"/>
  <c r="BH10" i="14"/>
  <c r="BQ10" i="14"/>
  <c r="AS10" i="14"/>
  <c r="AN10" i="14"/>
  <c r="BN10" i="14"/>
  <c r="BW10" i="14"/>
  <c r="AY10" i="14"/>
  <c r="AP10" i="14"/>
  <c r="AM10" i="14"/>
  <c r="AL9" i="14"/>
  <c r="AV10" i="14"/>
  <c r="BB10" i="14"/>
  <c r="G111" i="1"/>
  <c r="G186" i="1"/>
  <c r="AM181" i="9"/>
  <c r="AQ10" i="14"/>
  <c r="C90" i="21"/>
  <c r="AM37" i="27"/>
  <c r="AD18" i="34"/>
  <c r="N42" i="31"/>
  <c r="M42" i="34" s="1"/>
  <c r="M59" i="34" s="1"/>
  <c r="AF39" i="27"/>
  <c r="AE38" i="27"/>
  <c r="AD37" i="27"/>
  <c r="AG40" i="27"/>
  <c r="AE39" i="27"/>
  <c r="AJ181" i="9"/>
  <c r="AI10" i="10"/>
  <c r="M287" i="17"/>
  <c r="L287" i="17"/>
  <c r="Z9" i="8"/>
  <c r="AA23" i="16" s="1"/>
  <c r="AA24" i="16"/>
  <c r="S117" i="16"/>
  <c r="S116" i="16" s="1"/>
  <c r="G348" i="17"/>
  <c r="E10" i="20" s="1"/>
  <c r="AV49" i="18"/>
  <c r="Q20" i="41"/>
  <c r="BB75" i="18"/>
  <c r="M350" i="17"/>
  <c r="I6" i="28"/>
  <c r="M10" i="39"/>
  <c r="S182" i="9"/>
  <c r="AO7" i="14"/>
  <c r="BH84" i="15"/>
  <c r="D43" i="24" s="1"/>
  <c r="BD84" i="15"/>
  <c r="D41" i="24" s="1"/>
  <c r="CD84" i="15"/>
  <c r="D54" i="24" s="1"/>
  <c r="BV84" i="15"/>
  <c r="D50" i="24" s="1"/>
  <c r="BR84" i="15"/>
  <c r="D48" i="24" s="1"/>
  <c r="BN84" i="15"/>
  <c r="D46" i="24" s="1"/>
  <c r="BJ84" i="15"/>
  <c r="D44" i="24" s="1"/>
  <c r="E44" i="24" s="1"/>
  <c r="BF84" i="15"/>
  <c r="D42" i="24" s="1"/>
  <c r="E42" i="24" s="1"/>
  <c r="CB84" i="15"/>
  <c r="BX84" i="15"/>
  <c r="D51" i="24" s="1"/>
  <c r="BT84" i="15"/>
  <c r="D49" i="24" s="1"/>
  <c r="BP84" i="15"/>
  <c r="D47" i="24" s="1"/>
  <c r="BL84" i="15"/>
  <c r="D45" i="24" s="1"/>
  <c r="BB84" i="15"/>
  <c r="D40" i="24" s="1"/>
  <c r="AD32" i="22"/>
  <c r="Z32" i="22"/>
  <c r="BO12" i="14"/>
  <c r="BO9" i="14"/>
  <c r="BO16" i="14"/>
  <c r="N3" i="5"/>
  <c r="D108" i="1"/>
  <c r="E10" i="39"/>
  <c r="C6" i="28"/>
  <c r="B2" i="22"/>
  <c r="R32" i="22"/>
  <c r="D111" i="1"/>
  <c r="D1" i="5"/>
  <c r="AJ29" i="18"/>
  <c r="AK29" i="18" s="1"/>
  <c r="AR18" i="35"/>
  <c r="AJ24" i="18" s="1"/>
  <c r="AK24" i="18" s="1"/>
  <c r="F307" i="17"/>
  <c r="AE110" i="16"/>
  <c r="AF118" i="16"/>
  <c r="AE113" i="16"/>
  <c r="AE160" i="16"/>
  <c r="AE112" i="16"/>
  <c r="L98" i="17"/>
  <c r="M98" i="17" s="1"/>
  <c r="D106" i="1"/>
  <c r="I108" i="1"/>
  <c r="I130" i="1" s="1"/>
  <c r="I94" i="1"/>
  <c r="L80" i="1"/>
  <c r="L112" i="1" s="1"/>
  <c r="I126" i="17"/>
  <c r="AP182" i="9"/>
  <c r="AP144" i="9"/>
  <c r="Q29" i="41"/>
  <c r="P24" i="41"/>
  <c r="D91" i="17"/>
  <c r="G334" i="17"/>
  <c r="BM4" i="15"/>
  <c r="BM79" i="15" s="1"/>
  <c r="BM82" i="15" s="1"/>
  <c r="AC4" i="15"/>
  <c r="AC79" i="15" s="1"/>
  <c r="AC82" i="15" s="1"/>
  <c r="AC83" i="15" s="1"/>
  <c r="F28" i="24" s="1"/>
  <c r="P42" i="35"/>
  <c r="P55" i="35" s="1"/>
  <c r="G149" i="17"/>
  <c r="F4" i="22"/>
  <c r="AM169" i="9"/>
  <c r="H24" i="25"/>
  <c r="H8" i="25" s="1"/>
  <c r="N24" i="25"/>
  <c r="N8" i="25" s="1"/>
  <c r="N6" i="25" s="1"/>
  <c r="E136" i="17"/>
  <c r="O24" i="25"/>
  <c r="O8" i="25" s="1"/>
  <c r="O6" i="25" s="1"/>
  <c r="H33" i="26"/>
  <c r="T38" i="27"/>
  <c r="Y39" i="27"/>
  <c r="AP40" i="27"/>
  <c r="M4" i="29" a="1"/>
  <c r="M30" i="29" s="1"/>
  <c r="BN4" i="14"/>
  <c r="BM35" i="14" s="1"/>
  <c r="BE4" i="14"/>
  <c r="AE41" i="27"/>
  <c r="AD40" i="27"/>
  <c r="Q26" i="17"/>
  <c r="M285" i="17"/>
  <c r="L285" i="17"/>
  <c r="AQ49" i="34"/>
  <c r="V40" i="35"/>
  <c r="BC84" i="15"/>
  <c r="C41" i="24" s="1"/>
  <c r="P21" i="32"/>
  <c r="P30" i="6"/>
  <c r="AB38" i="27"/>
  <c r="F50" i="2"/>
  <c r="F29" i="20"/>
  <c r="H40" i="16"/>
  <c r="AO169" i="9"/>
  <c r="F42" i="2"/>
  <c r="K17" i="7"/>
  <c r="AO163" i="9"/>
  <c r="AO162" i="9" s="1"/>
  <c r="R17" i="25"/>
  <c r="Q24" i="25"/>
  <c r="Q8" i="25" s="1"/>
  <c r="Q6" i="25" s="1"/>
  <c r="AD153" i="16"/>
  <c r="AD155" i="16" s="1"/>
  <c r="G4" i="15"/>
  <c r="G79" i="15" s="1"/>
  <c r="G82" i="15" s="1"/>
  <c r="G83" i="15" s="1"/>
  <c r="F17" i="24" s="1"/>
  <c r="AO154" i="9"/>
  <c r="P24" i="25"/>
  <c r="P8" i="25" s="1"/>
  <c r="P6" i="25" s="1"/>
  <c r="AQ39" i="27"/>
  <c r="L55" i="6"/>
  <c r="AO185" i="9"/>
  <c r="J132" i="17"/>
  <c r="I341" i="17"/>
  <c r="I533" i="17" s="1"/>
  <c r="AR42" i="27"/>
  <c r="C12" i="7" s="1"/>
  <c r="W4" i="15"/>
  <c r="W79" i="15" s="1"/>
  <c r="W82" i="15" s="1"/>
  <c r="W83" i="15" s="1"/>
  <c r="F25" i="24" s="1"/>
  <c r="AQ79" i="27"/>
  <c r="H32" i="25" s="1"/>
  <c r="I24" i="25"/>
  <c r="I8" i="25" s="1"/>
  <c r="I6" i="25" s="1"/>
  <c r="AQ37" i="27"/>
  <c r="AR38" i="27"/>
  <c r="C8" i="7" s="1"/>
  <c r="AD158" i="16"/>
  <c r="I127" i="17"/>
  <c r="AO153" i="9"/>
  <c r="F9" i="3"/>
  <c r="F10" i="3" s="1"/>
  <c r="F11" i="3" s="1"/>
  <c r="E5" i="3"/>
  <c r="H9" i="3"/>
  <c r="J17" i="3" s="1"/>
  <c r="L17" i="3" s="1"/>
  <c r="F33" i="22"/>
  <c r="K33" i="22" s="1"/>
  <c r="N57" i="5"/>
  <c r="Z6" i="2"/>
  <c r="H15" i="25"/>
  <c r="I14" i="41"/>
  <c r="D14" i="41" s="1"/>
  <c r="H109" i="17"/>
  <c r="C10" i="3"/>
  <c r="C11" i="3" s="1"/>
  <c r="H30" i="25"/>
  <c r="H31" i="25" s="1"/>
  <c r="C15" i="3"/>
  <c r="L9" i="6"/>
  <c r="AE45" i="18" l="1"/>
  <c r="L360" i="17"/>
  <c r="M336" i="17"/>
  <c r="L122" i="17"/>
  <c r="M122" i="17" s="1"/>
  <c r="I338" i="17"/>
  <c r="I506" i="17" s="1"/>
  <c r="D135" i="17"/>
  <c r="I124" i="17"/>
  <c r="O356" i="17"/>
  <c r="L289" i="17"/>
  <c r="F180" i="17"/>
  <c r="I502" i="17"/>
  <c r="BA19" i="34"/>
  <c r="AU15" i="18"/>
  <c r="BA26" i="34"/>
  <c r="BA18" i="34"/>
  <c r="L22" i="17"/>
  <c r="BA32" i="34"/>
  <c r="BA23" i="34"/>
  <c r="Z188" i="9"/>
  <c r="BA28" i="34"/>
  <c r="BA16" i="34"/>
  <c r="BA14" i="34"/>
  <c r="BA12" i="34"/>
  <c r="AT42" i="34"/>
  <c r="AT59" i="34" s="1"/>
  <c r="BA10" i="34"/>
  <c r="BA30" i="34"/>
  <c r="BA3" i="34"/>
  <c r="AA117" i="16"/>
  <c r="AA115" i="16" s="1"/>
  <c r="AA116" i="16" s="1"/>
  <c r="AA132" i="16" s="1"/>
  <c r="BA34" i="34"/>
  <c r="BA25" i="34"/>
  <c r="BA6" i="34"/>
  <c r="BA31" i="34"/>
  <c r="BA11" i="34"/>
  <c r="BA4" i="34"/>
  <c r="Q35" i="1"/>
  <c r="M35" i="1" s="1"/>
  <c r="O35" i="1" s="1"/>
  <c r="BA5" i="34"/>
  <c r="AM140" i="16"/>
  <c r="AM138" i="16" s="1"/>
  <c r="BA27" i="34"/>
  <c r="BA22" i="34"/>
  <c r="BA33" i="34"/>
  <c r="BA24" i="34"/>
  <c r="BA17" i="34"/>
  <c r="BA15" i="34"/>
  <c r="BA13" i="34"/>
  <c r="D13" i="18"/>
  <c r="B6" i="18"/>
  <c r="AW15" i="18"/>
  <c r="BB21" i="18"/>
  <c r="BC26" i="18"/>
  <c r="BD13" i="14"/>
  <c r="BA8" i="34"/>
  <c r="BA9" i="34"/>
  <c r="E46" i="24"/>
  <c r="BA7" i="34"/>
  <c r="AW64" i="34"/>
  <c r="L23" i="17"/>
  <c r="B29" i="17" s="1"/>
  <c r="J29" i="22"/>
  <c r="J29" i="2" s="1"/>
  <c r="F65" i="22"/>
  <c r="AR49" i="18"/>
  <c r="BO53" i="38"/>
  <c r="AV37" i="35" s="1"/>
  <c r="AR9" i="18" s="1"/>
  <c r="AR10" i="18" s="1"/>
  <c r="AS10" i="18" s="1"/>
  <c r="AS9" i="18" s="1"/>
  <c r="F57" i="22"/>
  <c r="H118" i="16"/>
  <c r="H137" i="16" s="1"/>
  <c r="AY9" i="14"/>
  <c r="F51" i="22"/>
  <c r="K51" i="22" s="1"/>
  <c r="J7" i="22"/>
  <c r="J7" i="2" s="1"/>
  <c r="J29" i="14"/>
  <c r="AU39" i="14"/>
  <c r="BM40" i="14"/>
  <c r="M24" i="25"/>
  <c r="M8" i="25" s="1"/>
  <c r="M6" i="25" s="1"/>
  <c r="F21" i="22"/>
  <c r="R15" i="21"/>
  <c r="L6" i="28"/>
  <c r="O10" i="39"/>
  <c r="J10" i="39"/>
  <c r="AM40" i="27"/>
  <c r="I11" i="5"/>
  <c r="G140" i="16"/>
  <c r="G138" i="16" s="1"/>
  <c r="M140" i="16"/>
  <c r="M138" i="16" s="1"/>
  <c r="O350" i="17"/>
  <c r="D107" i="20"/>
  <c r="G108" i="20" s="1"/>
  <c r="D16" i="20"/>
  <c r="D119" i="20"/>
  <c r="BN1" i="19"/>
  <c r="BB1" i="19"/>
  <c r="BW1" i="19"/>
  <c r="AV1" i="19"/>
  <c r="BO1" i="19"/>
  <c r="CK7" i="19"/>
  <c r="BQ1" i="19"/>
  <c r="BI1" i="19"/>
  <c r="BL1" i="19"/>
  <c r="B1" i="20"/>
  <c r="H76" i="20"/>
  <c r="G3" i="20"/>
  <c r="CK8" i="19"/>
  <c r="BE1" i="19"/>
  <c r="AQ1" i="19"/>
  <c r="AO1" i="19"/>
  <c r="AO36" i="19" s="1"/>
  <c r="AQ36" i="19" s="1"/>
  <c r="AR1" i="19"/>
  <c r="AR40" i="19" s="1"/>
  <c r="CR6" i="19"/>
  <c r="CR9" i="19" s="1"/>
  <c r="BV1" i="19"/>
  <c r="BV46" i="19" s="1"/>
  <c r="BA1" i="19"/>
  <c r="BA18" i="19" s="1"/>
  <c r="BC18" i="19" s="1"/>
  <c r="B1" i="19"/>
  <c r="B22" i="19" s="1"/>
  <c r="D22" i="19" s="1"/>
  <c r="H26" i="20"/>
  <c r="A15" i="20" s="1"/>
  <c r="B76" i="20"/>
  <c r="C76" i="20"/>
  <c r="CR8" i="19"/>
  <c r="BP1" i="19"/>
  <c r="BP8" i="19" s="1"/>
  <c r="BR8" i="19" s="1"/>
  <c r="AS1" i="19"/>
  <c r="BG1" i="19"/>
  <c r="BG16" i="19" s="1"/>
  <c r="BI16" i="19" s="1"/>
  <c r="CK6" i="19"/>
  <c r="CK9" i="19" s="1"/>
  <c r="H27" i="20"/>
  <c r="H30" i="20"/>
  <c r="J131" i="17"/>
  <c r="AP1" i="19"/>
  <c r="AU1" i="19"/>
  <c r="AU26" i="19" s="1"/>
  <c r="AW26" i="19" s="1"/>
  <c r="E1" i="19"/>
  <c r="E24" i="19" s="1"/>
  <c r="G24" i="19" s="1"/>
  <c r="AY1" i="19"/>
  <c r="AZ1" i="19"/>
  <c r="CR7" i="19"/>
  <c r="AX1" i="19"/>
  <c r="AX46" i="19" s="1"/>
  <c r="B2" i="20"/>
  <c r="C39" i="20" s="1"/>
  <c r="H29" i="20"/>
  <c r="BU1" i="19"/>
  <c r="BD1" i="19"/>
  <c r="BD40" i="19" s="1"/>
  <c r="BF40" i="19" s="1"/>
  <c r="BX1" i="19"/>
  <c r="AT1" i="19"/>
  <c r="N359" i="17"/>
  <c r="BB41" i="18"/>
  <c r="BH1" i="19"/>
  <c r="BS1" i="19"/>
  <c r="BS50" i="19" s="1"/>
  <c r="BU50" i="19" s="1"/>
  <c r="BJ1" i="19"/>
  <c r="BJ18" i="19" s="1"/>
  <c r="BL18" i="19" s="1"/>
  <c r="AK140" i="16"/>
  <c r="AK138" i="16" s="1"/>
  <c r="AO39" i="27"/>
  <c r="Z126" i="16"/>
  <c r="AN38" i="27"/>
  <c r="U154" i="9"/>
  <c r="L340" i="17"/>
  <c r="P144" i="9"/>
  <c r="AN35" i="17"/>
  <c r="AN33" i="17" s="1"/>
  <c r="K18" i="45"/>
  <c r="Q18" i="16"/>
  <c r="D93" i="17"/>
  <c r="I93" i="17" s="1"/>
  <c r="D107" i="17"/>
  <c r="I107" i="17" s="1"/>
  <c r="AO8" i="14"/>
  <c r="AT16" i="14"/>
  <c r="P150" i="9"/>
  <c r="AK42" i="33"/>
  <c r="H51" i="34"/>
  <c r="N10" i="39"/>
  <c r="K24" i="42"/>
  <c r="H41" i="42"/>
  <c r="F21" i="43"/>
  <c r="F14" i="43" s="1"/>
  <c r="F16" i="43" s="1"/>
  <c r="T49" i="34"/>
  <c r="CQ4" i="15"/>
  <c r="CQ79" i="15" s="1"/>
  <c r="CQ82" i="15" s="1"/>
  <c r="AB118" i="16"/>
  <c r="W52" i="38"/>
  <c r="W53" i="38" s="1"/>
  <c r="Z37" i="35" s="1"/>
  <c r="S52" i="38"/>
  <c r="S53" i="38" s="1"/>
  <c r="X37" i="35" s="1"/>
  <c r="G55" i="38"/>
  <c r="BC4" i="15"/>
  <c r="BC79" i="15" s="1"/>
  <c r="BC82" i="15" s="1"/>
  <c r="AI68" i="16"/>
  <c r="AI69" i="16" s="1"/>
  <c r="AV3" i="35" s="1"/>
  <c r="AR8" i="18" s="1"/>
  <c r="AS8" i="18" s="1"/>
  <c r="G363" i="17"/>
  <c r="G362" i="17" s="1"/>
  <c r="F11" i="17"/>
  <c r="F20" i="17"/>
  <c r="AX8" i="14"/>
  <c r="BP39" i="14"/>
  <c r="BD19" i="14"/>
  <c r="BI19" i="14" s="1"/>
  <c r="AG30" i="12"/>
  <c r="K10" i="43"/>
  <c r="K33" i="43"/>
  <c r="H18" i="45"/>
  <c r="K28" i="44"/>
  <c r="AI112" i="16"/>
  <c r="R13" i="22"/>
  <c r="AI113" i="16"/>
  <c r="R14" i="22"/>
  <c r="AI110" i="16"/>
  <c r="AT46" i="18"/>
  <c r="AU46" i="18" s="1"/>
  <c r="Y174" i="9"/>
  <c r="D104" i="17"/>
  <c r="I104" i="17" s="1"/>
  <c r="D106" i="17"/>
  <c r="I106" i="17" s="1"/>
  <c r="BE12" i="14"/>
  <c r="I91" i="17"/>
  <c r="AP143" i="9"/>
  <c r="M378" i="17"/>
  <c r="N378" i="17" s="1"/>
  <c r="R378" i="17" s="1"/>
  <c r="AE10" i="14"/>
  <c r="AE28" i="14" s="1"/>
  <c r="E18" i="16"/>
  <c r="Q17" i="16"/>
  <c r="V125" i="16"/>
  <c r="V124" i="16" s="1"/>
  <c r="Z140" i="16"/>
  <c r="Z138" i="16" s="1"/>
  <c r="Q51" i="34"/>
  <c r="H31" i="43"/>
  <c r="H42" i="43"/>
  <c r="K9" i="44"/>
  <c r="E36" i="1"/>
  <c r="K36" i="1" s="1"/>
  <c r="V36" i="1" s="1"/>
  <c r="AU41" i="27"/>
  <c r="AV42" i="27"/>
  <c r="AV43" i="27" s="1"/>
  <c r="H22" i="43"/>
  <c r="C125" i="21"/>
  <c r="D18" i="16"/>
  <c r="AG41" i="27"/>
  <c r="R118" i="16"/>
  <c r="AI125" i="16"/>
  <c r="X182" i="9"/>
  <c r="H18" i="16"/>
  <c r="E135" i="17"/>
  <c r="AH37" i="27"/>
  <c r="G18" i="16"/>
  <c r="CI84" i="15"/>
  <c r="C57" i="24" s="1"/>
  <c r="G19" i="7"/>
  <c r="AA154" i="9"/>
  <c r="BJ35" i="14"/>
  <c r="AA41" i="27"/>
  <c r="AC37" i="27"/>
  <c r="X38" i="27"/>
  <c r="AL41" i="27"/>
  <c r="AL125" i="16"/>
  <c r="AE118" i="16"/>
  <c r="AG15" i="18"/>
  <c r="AG68" i="18" s="1"/>
  <c r="BB33" i="18"/>
  <c r="H30" i="44"/>
  <c r="AQ16" i="14"/>
  <c r="BE16" i="14"/>
  <c r="Q154" i="9"/>
  <c r="Y154" i="9"/>
  <c r="AV16" i="14"/>
  <c r="AS16" i="14"/>
  <c r="Q9" i="10"/>
  <c r="F174" i="17"/>
  <c r="E334" i="17"/>
  <c r="AM14" i="13"/>
  <c r="M213" i="17"/>
  <c r="O213" i="17" s="1"/>
  <c r="B192" i="17" s="1"/>
  <c r="D260" i="17"/>
  <c r="H260" i="17" s="1"/>
  <c r="P36" i="2"/>
  <c r="F63" i="5" s="1"/>
  <c r="F13" i="5" s="1"/>
  <c r="C86" i="2"/>
  <c r="V21" i="34"/>
  <c r="F50" i="5"/>
  <c r="I50" i="5"/>
  <c r="N51" i="34"/>
  <c r="K26" i="45"/>
  <c r="X13" i="16"/>
  <c r="AK52" i="38"/>
  <c r="AK53" i="38" s="1"/>
  <c r="AG37" i="35" s="1"/>
  <c r="V20" i="34"/>
  <c r="Z163" i="9"/>
  <c r="Z162" i="9" s="1"/>
  <c r="K14" i="44"/>
  <c r="Y163" i="9"/>
  <c r="Y162" i="9" s="1"/>
  <c r="AM42" i="33"/>
  <c r="AI140" i="16"/>
  <c r="AI138" i="16" s="1"/>
  <c r="AR13" i="14"/>
  <c r="AR19" i="14" s="1"/>
  <c r="AM52" i="38"/>
  <c r="AM53" i="38" s="1"/>
  <c r="AH37" i="35" s="1"/>
  <c r="E4" i="30" a="1"/>
  <c r="E21" i="30" s="1"/>
  <c r="C4" i="30" a="1"/>
  <c r="C25" i="30" s="1"/>
  <c r="F6" i="28"/>
  <c r="W22" i="16"/>
  <c r="AG125" i="16"/>
  <c r="AE22" i="16"/>
  <c r="AK141" i="16"/>
  <c r="CC4" i="15"/>
  <c r="CC79" i="15" s="1"/>
  <c r="CC82" i="15" s="1"/>
  <c r="CC83" i="15" s="1"/>
  <c r="CC104" i="15" s="1"/>
  <c r="CC106" i="15" s="1"/>
  <c r="E55" i="38"/>
  <c r="AJ46" i="18"/>
  <c r="AK46" i="18" s="1"/>
  <c r="CP4" i="15"/>
  <c r="CP79" i="15" s="1"/>
  <c r="CP82" i="15" s="1"/>
  <c r="AF4" i="15"/>
  <c r="AF79" i="15" s="1"/>
  <c r="AF82" i="15" s="1"/>
  <c r="J4" i="15"/>
  <c r="F4" i="15"/>
  <c r="F79" i="15" s="1"/>
  <c r="F82" i="15" s="1"/>
  <c r="D50" i="34" s="1"/>
  <c r="D53" i="34" s="1"/>
  <c r="E28" i="45"/>
  <c r="AK118" i="16"/>
  <c r="C16" i="3"/>
  <c r="C17" i="3" s="1"/>
  <c r="P16" i="2" s="1"/>
  <c r="C27" i="3"/>
  <c r="K117" i="16"/>
  <c r="AM141" i="16"/>
  <c r="AX40" i="14"/>
  <c r="H18" i="17"/>
  <c r="D25" i="20" s="1"/>
  <c r="F25" i="20" s="1"/>
  <c r="BX6" i="38"/>
  <c r="AV4" i="15"/>
  <c r="AV79" i="15" s="1"/>
  <c r="AV82" i="15" s="1"/>
  <c r="AV83" i="15" s="1"/>
  <c r="G37" i="24" s="1"/>
  <c r="AO150" i="9"/>
  <c r="L94" i="17"/>
  <c r="M94" i="17" s="1"/>
  <c r="AO15" i="18"/>
  <c r="K356" i="17"/>
  <c r="AH182" i="9"/>
  <c r="N351" i="17"/>
  <c r="K17" i="42"/>
  <c r="K33" i="45"/>
  <c r="H296" i="17"/>
  <c r="L290" i="17"/>
  <c r="D16" i="3"/>
  <c r="D27" i="3"/>
  <c r="BJ45" i="18"/>
  <c r="E68" i="1"/>
  <c r="K68" i="1" s="1"/>
  <c r="V68" i="1" s="1"/>
  <c r="E43" i="1"/>
  <c r="E44" i="1" s="1"/>
  <c r="E46" i="1"/>
  <c r="K46" i="1" s="1"/>
  <c r="V46" i="1" s="1"/>
  <c r="D19" i="18"/>
  <c r="E19" i="18" s="1"/>
  <c r="AK12" i="16"/>
  <c r="E53" i="4"/>
  <c r="E56" i="4" s="1"/>
  <c r="J38" i="22"/>
  <c r="J38" i="2" s="1"/>
  <c r="J16" i="22"/>
  <c r="J36" i="22"/>
  <c r="J36" i="2" s="1"/>
  <c r="L36" i="2" s="1"/>
  <c r="D348" i="17"/>
  <c r="F38" i="22"/>
  <c r="K38" i="22" s="1"/>
  <c r="F19" i="22"/>
  <c r="F43" i="22"/>
  <c r="K43" i="22" s="1"/>
  <c r="F34" i="22"/>
  <c r="K34" i="22" s="1"/>
  <c r="B1" i="22"/>
  <c r="E65" i="22" s="1"/>
  <c r="F27" i="22"/>
  <c r="K27" i="22" s="1"/>
  <c r="J28" i="22"/>
  <c r="J28" i="2" s="1"/>
  <c r="L28" i="2" s="1"/>
  <c r="R39" i="22"/>
  <c r="Y39" i="22" s="1"/>
  <c r="R29" i="22" s="1"/>
  <c r="H18" i="22" s="1"/>
  <c r="J13" i="22"/>
  <c r="J13" i="2" s="1"/>
  <c r="L13" i="2" s="1"/>
  <c r="J52" i="22"/>
  <c r="J53" i="2" s="1"/>
  <c r="L53" i="2" s="1"/>
  <c r="R36" i="22"/>
  <c r="J21" i="22"/>
  <c r="D181" i="1"/>
  <c r="J30" i="22"/>
  <c r="J30" i="2" s="1"/>
  <c r="L30" i="2" s="1"/>
  <c r="J14" i="22"/>
  <c r="J14" i="2" s="1"/>
  <c r="L14" i="2" s="1"/>
  <c r="F53" i="22"/>
  <c r="K53" i="22" s="1"/>
  <c r="J25" i="22"/>
  <c r="J25" i="2" s="1"/>
  <c r="L25" i="2" s="1"/>
  <c r="F47" i="22"/>
  <c r="K47" i="22" s="1"/>
  <c r="J27" i="22"/>
  <c r="J27" i="2" s="1"/>
  <c r="L27" i="2" s="1"/>
  <c r="K20" i="45"/>
  <c r="AO38" i="27"/>
  <c r="AD125" i="16"/>
  <c r="V39" i="27"/>
  <c r="AE42" i="27"/>
  <c r="AB39" i="27"/>
  <c r="AI72" i="16"/>
  <c r="AI18" i="16" s="1"/>
  <c r="AI67" i="16" s="1"/>
  <c r="D12" i="16"/>
  <c r="W40" i="27"/>
  <c r="AD41" i="27"/>
  <c r="AN181" i="9"/>
  <c r="Z37" i="27"/>
  <c r="H210" i="17"/>
  <c r="H213" i="17" s="1"/>
  <c r="K213" i="17" s="1"/>
  <c r="AF38" i="27"/>
  <c r="AF43" i="27" s="1"/>
  <c r="AF68" i="27" s="1"/>
  <c r="L286" i="17"/>
  <c r="E117" i="16"/>
  <c r="P117" i="16"/>
  <c r="L33" i="26"/>
  <c r="M33" i="26" s="1"/>
  <c r="AG39" i="27"/>
  <c r="P11" i="32"/>
  <c r="P19" i="32"/>
  <c r="Q42" i="27"/>
  <c r="M38" i="27"/>
  <c r="O40" i="27"/>
  <c r="P41" i="27"/>
  <c r="L37" i="27"/>
  <c r="N39" i="27"/>
  <c r="Q41" i="27"/>
  <c r="N38" i="27"/>
  <c r="O39" i="27"/>
  <c r="P40" i="27"/>
  <c r="M37" i="27"/>
  <c r="F37" i="27"/>
  <c r="F43" i="27" s="1"/>
  <c r="G38" i="27"/>
  <c r="K42" i="27"/>
  <c r="H39" i="27"/>
  <c r="I40" i="27"/>
  <c r="J41" i="27"/>
  <c r="N37" i="27"/>
  <c r="O38" i="27"/>
  <c r="P39" i="27"/>
  <c r="G37" i="27"/>
  <c r="G43" i="27" s="1"/>
  <c r="H38" i="27"/>
  <c r="I39" i="27"/>
  <c r="L42" i="27"/>
  <c r="J40" i="27"/>
  <c r="K41" i="27"/>
  <c r="R40" i="27"/>
  <c r="O37" i="27"/>
  <c r="P38" i="27"/>
  <c r="K40" i="27"/>
  <c r="L41" i="27"/>
  <c r="H37" i="27"/>
  <c r="I38" i="27"/>
  <c r="M42" i="27"/>
  <c r="J39" i="27"/>
  <c r="U42" i="27"/>
  <c r="P37" i="27"/>
  <c r="N15" i="40"/>
  <c r="K39" i="27"/>
  <c r="N42" i="27"/>
  <c r="L40" i="27"/>
  <c r="M41" i="27"/>
  <c r="I37" i="27"/>
  <c r="J38" i="27"/>
  <c r="L39" i="27"/>
  <c r="O42" i="27"/>
  <c r="M40" i="27"/>
  <c r="N41" i="27"/>
  <c r="J37" i="27"/>
  <c r="K38" i="27"/>
  <c r="L38" i="27"/>
  <c r="M39" i="27"/>
  <c r="P42" i="27"/>
  <c r="N40" i="27"/>
  <c r="K37" i="27"/>
  <c r="O41" i="27"/>
  <c r="AG6" i="28"/>
  <c r="U6" i="28"/>
  <c r="L17" i="23"/>
  <c r="K10" i="39"/>
  <c r="AO42" i="27"/>
  <c r="Q34" i="26"/>
  <c r="R34" i="26" s="1"/>
  <c r="S40" i="27"/>
  <c r="T41" i="27"/>
  <c r="AJ37" i="27"/>
  <c r="AH15" i="18"/>
  <c r="BF15" i="18" s="1"/>
  <c r="AD154" i="9"/>
  <c r="Y143" i="9"/>
  <c r="AG181" i="9"/>
  <c r="I325" i="17"/>
  <c r="I514" i="17" s="1"/>
  <c r="F304" i="17"/>
  <c r="AW15" i="14"/>
  <c r="AJ12" i="14"/>
  <c r="BN11" i="18"/>
  <c r="BO11" i="18" s="1"/>
  <c r="P57" i="5"/>
  <c r="P58" i="5" s="1"/>
  <c r="N137" i="16"/>
  <c r="R38" i="27"/>
  <c r="V181" i="9"/>
  <c r="I283" i="17"/>
  <c r="X53" i="31"/>
  <c r="T118" i="16"/>
  <c r="AB163" i="9"/>
  <c r="AB162" i="9" s="1"/>
  <c r="AB185" i="9"/>
  <c r="G17" i="7"/>
  <c r="G35" i="7" s="1"/>
  <c r="V126" i="16"/>
  <c r="H74" i="17"/>
  <c r="H235" i="17" s="1"/>
  <c r="G252" i="17" s="1"/>
  <c r="R39" i="27"/>
  <c r="AA72" i="16"/>
  <c r="AA18" i="16" s="1"/>
  <c r="AA67" i="16" s="1"/>
  <c r="K31" i="44"/>
  <c r="K4" i="15"/>
  <c r="K79" i="15" s="1"/>
  <c r="K82" i="15" s="1"/>
  <c r="K83" i="15" s="1"/>
  <c r="AT14" i="14"/>
  <c r="AI153" i="9"/>
  <c r="Z153" i="9"/>
  <c r="V153" i="9"/>
  <c r="AD202" i="9"/>
  <c r="AE202" i="9" s="1"/>
  <c r="AF202" i="9" s="1"/>
  <c r="E99" i="17"/>
  <c r="AB119" i="16"/>
  <c r="AG141" i="16"/>
  <c r="AM117" i="16"/>
  <c r="AM116" i="16" s="1"/>
  <c r="AM132" i="16" s="1"/>
  <c r="AE117" i="16"/>
  <c r="BR4" i="15"/>
  <c r="BR79" i="15" s="1"/>
  <c r="BR82" i="15" s="1"/>
  <c r="BR105" i="15" s="1"/>
  <c r="AP4" i="15"/>
  <c r="AP79" i="15" s="1"/>
  <c r="AP82" i="15" s="1"/>
  <c r="AP83" i="15" s="1"/>
  <c r="G34" i="24" s="1"/>
  <c r="T4" i="15"/>
  <c r="T79" i="15" s="1"/>
  <c r="T82" i="15" s="1"/>
  <c r="J79" i="15"/>
  <c r="J82" i="15" s="1"/>
  <c r="F50" i="34" s="1"/>
  <c r="F53" i="34" s="1"/>
  <c r="O91" i="20"/>
  <c r="O153" i="16"/>
  <c r="D115" i="17"/>
  <c r="D211" i="17" s="1"/>
  <c r="AG201" i="9"/>
  <c r="AM203" i="9"/>
  <c r="AN202" i="9"/>
  <c r="H117" i="16"/>
  <c r="E126" i="1"/>
  <c r="K126" i="1" s="1"/>
  <c r="V126" i="1" s="1"/>
  <c r="Q50" i="1"/>
  <c r="M50" i="1" s="1"/>
  <c r="O50" i="1" s="1"/>
  <c r="BC52" i="38"/>
  <c r="BC53" i="38" s="1"/>
  <c r="AP37" i="35" s="1"/>
  <c r="AF9" i="18" s="1"/>
  <c r="AF10" i="18" s="1"/>
  <c r="AG10" i="18" s="1"/>
  <c r="L92" i="17"/>
  <c r="M92" i="17" s="1"/>
  <c r="E140" i="16"/>
  <c r="E138" i="16" s="1"/>
  <c r="AB169" i="9"/>
  <c r="AE52" i="38"/>
  <c r="AE53" i="38" s="1"/>
  <c r="AD37" i="35" s="1"/>
  <c r="K142" i="17"/>
  <c r="O87" i="20"/>
  <c r="O82" i="20"/>
  <c r="Q63" i="1"/>
  <c r="M63" i="1" s="1"/>
  <c r="D24" i="1" s="1"/>
  <c r="F31" i="2"/>
  <c r="Z16" i="2" s="1"/>
  <c r="G24" i="25"/>
  <c r="G8" i="25" s="1"/>
  <c r="C27" i="16"/>
  <c r="F22" i="44"/>
  <c r="AM22" i="16"/>
  <c r="AG56" i="16"/>
  <c r="AJ49" i="34"/>
  <c r="AJ62" i="34" s="1"/>
  <c r="AJ64" i="34" s="1"/>
  <c r="D15" i="18"/>
  <c r="E15" i="18" s="1"/>
  <c r="E68" i="18" s="1"/>
  <c r="AO52" i="38"/>
  <c r="AO53" i="38" s="1"/>
  <c r="AI37" i="35" s="1"/>
  <c r="AG52" i="38"/>
  <c r="AG53" i="38" s="1"/>
  <c r="AE37" i="35" s="1"/>
  <c r="Y153" i="16"/>
  <c r="Q48" i="1"/>
  <c r="M48" i="1" s="1"/>
  <c r="O48" i="1" s="1"/>
  <c r="E13" i="41"/>
  <c r="J13" i="41" s="1"/>
  <c r="H140" i="16"/>
  <c r="H138" i="16" s="1"/>
  <c r="I99" i="1"/>
  <c r="L34" i="1"/>
  <c r="L99" i="1" s="1"/>
  <c r="G180" i="21"/>
  <c r="AH143" i="9"/>
  <c r="D18" i="17"/>
  <c r="E365" i="17" s="1"/>
  <c r="M50" i="34"/>
  <c r="M53" i="34" s="1"/>
  <c r="D30" i="18"/>
  <c r="E30" i="18" s="1"/>
  <c r="D26" i="18"/>
  <c r="E26" i="18" s="1"/>
  <c r="D29" i="18"/>
  <c r="E29" i="18" s="1"/>
  <c r="AB68" i="16"/>
  <c r="AB73" i="16" s="1"/>
  <c r="O30" i="41"/>
  <c r="E30" i="41" s="1"/>
  <c r="E25" i="41" s="1"/>
  <c r="Q13" i="16"/>
  <c r="AK144" i="9"/>
  <c r="AC42" i="31"/>
  <c r="D3" i="18"/>
  <c r="AY20" i="34"/>
  <c r="AY51" i="34" s="1"/>
  <c r="AN182" i="9"/>
  <c r="L112" i="17" s="1"/>
  <c r="M329" i="17" s="1"/>
  <c r="O50" i="34"/>
  <c r="O13" i="16"/>
  <c r="O67" i="16" s="1"/>
  <c r="D213" i="17"/>
  <c r="AA119" i="16"/>
  <c r="D19" i="34"/>
  <c r="D51" i="34" s="1"/>
  <c r="W53" i="31"/>
  <c r="M41" i="34"/>
  <c r="Q42" i="33"/>
  <c r="G92" i="21"/>
  <c r="I92" i="21" s="1"/>
  <c r="BB13" i="18"/>
  <c r="BZ84" i="15"/>
  <c r="D52" i="24" s="1"/>
  <c r="E52" i="24" s="1"/>
  <c r="E19" i="17"/>
  <c r="D35" i="18"/>
  <c r="E35" i="18" s="1"/>
  <c r="D32" i="18"/>
  <c r="E32" i="18" s="1"/>
  <c r="D33" i="18"/>
  <c r="E33" i="18" s="1"/>
  <c r="V68" i="16"/>
  <c r="V73" i="16" s="1"/>
  <c r="F1" i="18"/>
  <c r="F19" i="18" s="1"/>
  <c r="G19" i="18" s="1"/>
  <c r="AO174" i="9"/>
  <c r="L160" i="21"/>
  <c r="E113" i="20"/>
  <c r="E18" i="17"/>
  <c r="F365" i="17" s="1"/>
  <c r="L17" i="17"/>
  <c r="N17" i="17" s="1"/>
  <c r="F144" i="1"/>
  <c r="D23" i="17"/>
  <c r="E77" i="17"/>
  <c r="N77" i="17" s="1"/>
  <c r="O77" i="17" s="1"/>
  <c r="G112" i="21"/>
  <c r="I112" i="21" s="1"/>
  <c r="D18" i="18"/>
  <c r="E18" i="18" s="1"/>
  <c r="D14" i="18"/>
  <c r="E14" i="18" s="1"/>
  <c r="D17" i="18"/>
  <c r="E17" i="18" s="1"/>
  <c r="D22" i="18"/>
  <c r="E22" i="18" s="1"/>
  <c r="D49" i="18"/>
  <c r="D48" i="18"/>
  <c r="X72" i="16"/>
  <c r="X18" i="16" s="1"/>
  <c r="D11" i="18"/>
  <c r="E11" i="18" s="1"/>
  <c r="E24" i="45"/>
  <c r="Q36" i="1"/>
  <c r="M36" i="1" s="1"/>
  <c r="O36" i="1" s="1"/>
  <c r="D34" i="18"/>
  <c r="E34" i="18" s="1"/>
  <c r="U68" i="16"/>
  <c r="U69" i="16" s="1"/>
  <c r="AH3" i="35" s="1"/>
  <c r="S13" i="16"/>
  <c r="S68" i="16" s="1"/>
  <c r="D158" i="1"/>
  <c r="D193" i="1" s="1"/>
  <c r="D31" i="18"/>
  <c r="E31" i="18" s="1"/>
  <c r="D23" i="18"/>
  <c r="E23" i="18" s="1"/>
  <c r="BZ4" i="15"/>
  <c r="BZ79" i="15" s="1"/>
  <c r="BZ82" i="15" s="1"/>
  <c r="BZ105" i="15" s="1"/>
  <c r="BZ107" i="15" s="1"/>
  <c r="W68" i="16"/>
  <c r="W73" i="16" s="1"/>
  <c r="L102" i="17"/>
  <c r="M102" i="17" s="1"/>
  <c r="D21" i="18"/>
  <c r="E21" i="18" s="1"/>
  <c r="D37" i="18"/>
  <c r="E37" i="18" s="1"/>
  <c r="D39" i="18"/>
  <c r="E39" i="18" s="1"/>
  <c r="D24" i="18"/>
  <c r="E24" i="18" s="1"/>
  <c r="D25" i="18"/>
  <c r="E25" i="18" s="1"/>
  <c r="G143" i="21"/>
  <c r="I143" i="21" s="1"/>
  <c r="AE161" i="16"/>
  <c r="D16" i="18"/>
  <c r="E16" i="18" s="1"/>
  <c r="D20" i="18"/>
  <c r="E20" i="18" s="1"/>
  <c r="AO188" i="9"/>
  <c r="AC3" i="14"/>
  <c r="AD3" i="14" s="1"/>
  <c r="E23" i="17"/>
  <c r="F159" i="1"/>
  <c r="F194" i="1" s="1"/>
  <c r="N194" i="1" s="1"/>
  <c r="D41" i="18"/>
  <c r="E41" i="18" s="1"/>
  <c r="D38" i="18"/>
  <c r="E38" i="18" s="1"/>
  <c r="D28" i="18"/>
  <c r="E28" i="18" s="1"/>
  <c r="E1" i="18"/>
  <c r="E50" i="18" s="1"/>
  <c r="D40" i="18"/>
  <c r="E40" i="18" s="1"/>
  <c r="J20" i="41"/>
  <c r="E20" i="41" s="1"/>
  <c r="BB79" i="15"/>
  <c r="BB82" i="15" s="1"/>
  <c r="B3" i="18"/>
  <c r="G90" i="21"/>
  <c r="I90" i="21" s="1"/>
  <c r="J15" i="22"/>
  <c r="J15" i="2" s="1"/>
  <c r="L15" i="2" s="1"/>
  <c r="E125" i="1"/>
  <c r="K125" i="1" s="1"/>
  <c r="V125" i="1" s="1"/>
  <c r="H22" i="17"/>
  <c r="Q144" i="1"/>
  <c r="M144" i="1" s="1"/>
  <c r="B150" i="1" s="1"/>
  <c r="D27" i="18"/>
  <c r="E27" i="18" s="1"/>
  <c r="D36" i="18"/>
  <c r="E36" i="18" s="1"/>
  <c r="D93" i="1"/>
  <c r="AQ181" i="9"/>
  <c r="D42" i="18"/>
  <c r="E42" i="18" s="1"/>
  <c r="D47" i="18"/>
  <c r="D50" i="18"/>
  <c r="AH46" i="18"/>
  <c r="AI46" i="18" s="1"/>
  <c r="BH46" i="18" s="1"/>
  <c r="BJ46" i="18" s="1"/>
  <c r="AB7" i="34"/>
  <c r="B6" i="6" s="1"/>
  <c r="H50" i="34"/>
  <c r="H53" i="34" s="1"/>
  <c r="J22" i="41"/>
  <c r="L22" i="41" s="1"/>
  <c r="Q40" i="6"/>
  <c r="J198" i="17"/>
  <c r="AZ9" i="18"/>
  <c r="AZ10" i="18" s="1"/>
  <c r="BA10" i="18" s="1"/>
  <c r="BA9" i="18" s="1"/>
  <c r="BA7" i="18" s="1"/>
  <c r="AZ42" i="35"/>
  <c r="AX9" i="18"/>
  <c r="AX10" i="18" s="1"/>
  <c r="AY10" i="18" s="1"/>
  <c r="AY9" i="18" s="1"/>
  <c r="AY7" i="18" s="1"/>
  <c r="AY42" i="35"/>
  <c r="AV9" i="18"/>
  <c r="AV7" i="18" s="1"/>
  <c r="AX42" i="35"/>
  <c r="AT9" i="18"/>
  <c r="AT7" i="18" s="1"/>
  <c r="AW42" i="35"/>
  <c r="AG72" i="16"/>
  <c r="AG18" i="16" s="1"/>
  <c r="AG13" i="16"/>
  <c r="AE15" i="18"/>
  <c r="AH112" i="16"/>
  <c r="G168" i="21" s="1"/>
  <c r="AH113" i="16"/>
  <c r="G169" i="21" s="1"/>
  <c r="G15" i="21" s="1"/>
  <c r="I15" i="21" s="1"/>
  <c r="I375" i="17"/>
  <c r="K375" i="17" s="1"/>
  <c r="T375" i="17" s="1"/>
  <c r="I358" i="17"/>
  <c r="L358" i="17" s="1"/>
  <c r="J65" i="22"/>
  <c r="J66" i="2" s="1"/>
  <c r="L66" i="2" s="1"/>
  <c r="Q119" i="16"/>
  <c r="J43" i="26"/>
  <c r="K43" i="26" s="1"/>
  <c r="R21" i="34"/>
  <c r="AL21" i="34"/>
  <c r="AT9" i="14"/>
  <c r="AZ7" i="14"/>
  <c r="AX2" i="14"/>
  <c r="BQ16" i="14"/>
  <c r="AP21" i="34"/>
  <c r="L60" i="23"/>
  <c r="X125" i="16"/>
  <c r="X124" i="16" s="1"/>
  <c r="X154" i="9"/>
  <c r="BP35" i="14"/>
  <c r="BR12" i="14"/>
  <c r="BR16" i="14"/>
  <c r="BP36" i="14"/>
  <c r="AZ12" i="14"/>
  <c r="R14" i="14"/>
  <c r="N58" i="1"/>
  <c r="E22" i="1"/>
  <c r="G187" i="1"/>
  <c r="L187" i="1" s="1"/>
  <c r="AM119" i="16"/>
  <c r="V154" i="9"/>
  <c r="AA182" i="9"/>
  <c r="AD181" i="9"/>
  <c r="D87" i="17"/>
  <c r="B8" i="26"/>
  <c r="D8" i="26" s="1"/>
  <c r="X42" i="27"/>
  <c r="U51" i="34"/>
  <c r="AJ150" i="9"/>
  <c r="AJ188" i="9"/>
  <c r="P9" i="14"/>
  <c r="P28" i="14"/>
  <c r="N34" i="14" s="1"/>
  <c r="I17" i="16"/>
  <c r="J140" i="16"/>
  <c r="J138" i="16" s="1"/>
  <c r="R3" i="34"/>
  <c r="S37" i="27"/>
  <c r="AD6" i="28"/>
  <c r="AM12" i="13"/>
  <c r="I22" i="5"/>
  <c r="J218" i="17"/>
  <c r="BC16" i="18"/>
  <c r="F42" i="31"/>
  <c r="BR3" i="14"/>
  <c r="BX9" i="14"/>
  <c r="BS4" i="15"/>
  <c r="BS79" i="15" s="1"/>
  <c r="BS82" i="15" s="1"/>
  <c r="BS105" i="15" s="1"/>
  <c r="BA4" i="15"/>
  <c r="AS4" i="15"/>
  <c r="AS79" i="15" s="1"/>
  <c r="AS82" i="15" s="1"/>
  <c r="AS83" i="15" s="1"/>
  <c r="F36" i="24" s="1"/>
  <c r="AA4" i="15"/>
  <c r="AA79" i="15" s="1"/>
  <c r="AA82" i="15" s="1"/>
  <c r="AA83" i="15" s="1"/>
  <c r="F27" i="24" s="1"/>
  <c r="S4" i="15"/>
  <c r="S79" i="15" s="1"/>
  <c r="S82" i="15" s="1"/>
  <c r="S83" i="15" s="1"/>
  <c r="F23" i="24" s="1"/>
  <c r="C4" i="15"/>
  <c r="C79" i="15" s="1"/>
  <c r="C82" i="15" s="1"/>
  <c r="C83" i="15" s="1"/>
  <c r="Y20" i="34"/>
  <c r="I347" i="17"/>
  <c r="K347" i="17" s="1"/>
  <c r="T347" i="17" s="1"/>
  <c r="AJ21" i="34"/>
  <c r="J51" i="34"/>
  <c r="G13" i="40"/>
  <c r="K9" i="42"/>
  <c r="H27" i="42"/>
  <c r="K41" i="42"/>
  <c r="K24" i="44"/>
  <c r="G309" i="17"/>
  <c r="H309" i="17" s="1"/>
  <c r="BF37" i="18"/>
  <c r="BB37" i="18"/>
  <c r="AM7" i="13"/>
  <c r="I131" i="17"/>
  <c r="AM8" i="13"/>
  <c r="BF41" i="18"/>
  <c r="N125" i="17"/>
  <c r="E57" i="17"/>
  <c r="BC24" i="18"/>
  <c r="D136" i="17"/>
  <c r="I136" i="17" s="1"/>
  <c r="AM11" i="13"/>
  <c r="BB16" i="18"/>
  <c r="M339" i="17"/>
  <c r="N339" i="17" s="1"/>
  <c r="B2" i="13"/>
  <c r="E55" i="4"/>
  <c r="D99" i="17"/>
  <c r="I99" i="17" s="1"/>
  <c r="M59" i="23"/>
  <c r="G17" i="41"/>
  <c r="Q118" i="16"/>
  <c r="X51" i="34"/>
  <c r="Z52" i="38"/>
  <c r="Z53" i="38" s="1"/>
  <c r="C41" i="16"/>
  <c r="F125" i="16"/>
  <c r="F124" i="16" s="1"/>
  <c r="L5" i="26"/>
  <c r="M5" i="26" s="1"/>
  <c r="S53" i="31"/>
  <c r="AA53" i="31"/>
  <c r="AM42" i="31"/>
  <c r="W42" i="31"/>
  <c r="E41" i="34"/>
  <c r="I51" i="34"/>
  <c r="F10" i="39"/>
  <c r="Z154" i="9"/>
  <c r="T150" i="9"/>
  <c r="R153" i="9"/>
  <c r="AA153" i="9"/>
  <c r="AK174" i="9"/>
  <c r="AA185" i="9"/>
  <c r="AA28" i="14"/>
  <c r="H40" i="14"/>
  <c r="S14" i="14"/>
  <c r="AK185" i="9"/>
  <c r="H36" i="14"/>
  <c r="P15" i="14"/>
  <c r="K225" i="17"/>
  <c r="L89" i="1"/>
  <c r="L114" i="1" s="1"/>
  <c r="G4" i="29" a="1"/>
  <c r="G33" i="29" s="1"/>
  <c r="C41" i="34"/>
  <c r="H19" i="7"/>
  <c r="P14" i="14"/>
  <c r="N125" i="16"/>
  <c r="N124" i="16" s="1"/>
  <c r="S42" i="31"/>
  <c r="W7" i="14"/>
  <c r="X7" i="14" s="1"/>
  <c r="AI39" i="27"/>
  <c r="D31" i="42"/>
  <c r="I31" i="42" s="1"/>
  <c r="R154" i="9"/>
  <c r="Q35" i="14"/>
  <c r="Z39" i="14"/>
  <c r="AD15" i="14"/>
  <c r="W117" i="16"/>
  <c r="W116" i="16" s="1"/>
  <c r="G26" i="41"/>
  <c r="L13" i="16"/>
  <c r="L68" i="16" s="1"/>
  <c r="AM125" i="16"/>
  <c r="G11" i="44"/>
  <c r="H11" i="44" s="1"/>
  <c r="E42" i="33"/>
  <c r="K8" i="43"/>
  <c r="E48" i="1"/>
  <c r="K48" i="1" s="1"/>
  <c r="V48" i="1" s="1"/>
  <c r="D229" i="17"/>
  <c r="D231" i="17" s="1"/>
  <c r="AY15" i="14"/>
  <c r="C22" i="44"/>
  <c r="E22" i="44" s="1"/>
  <c r="AL154" i="9"/>
  <c r="AT17" i="11"/>
  <c r="Y51" i="34"/>
  <c r="AH119" i="16"/>
  <c r="AB42" i="27"/>
  <c r="S41" i="27"/>
  <c r="AE143" i="9"/>
  <c r="Q39" i="27"/>
  <c r="AM39" i="27"/>
  <c r="K34" i="42"/>
  <c r="L53" i="34"/>
  <c r="O140" i="16"/>
  <c r="O138" i="16" s="1"/>
  <c r="K14" i="43"/>
  <c r="W181" i="9"/>
  <c r="D92" i="17"/>
  <c r="I92" i="17" s="1"/>
  <c r="W37" i="27"/>
  <c r="S29" i="14"/>
  <c r="J117" i="16"/>
  <c r="E29" i="45"/>
  <c r="K30" i="45"/>
  <c r="BL3" i="14"/>
  <c r="BR15" i="14"/>
  <c r="F85" i="1"/>
  <c r="F187" i="1" s="1"/>
  <c r="AH17" i="16"/>
  <c r="E23" i="44"/>
  <c r="E35" i="43"/>
  <c r="E26" i="45"/>
  <c r="E31" i="43"/>
  <c r="U29" i="41"/>
  <c r="U24" i="41" s="1"/>
  <c r="K32" i="43"/>
  <c r="V30" i="41"/>
  <c r="D19" i="41"/>
  <c r="M330" i="17"/>
  <c r="O330" i="17" s="1"/>
  <c r="L17" i="41"/>
  <c r="L26" i="41"/>
  <c r="K10" i="42"/>
  <c r="K15" i="43"/>
  <c r="K37" i="43"/>
  <c r="K19" i="45"/>
  <c r="H30" i="45"/>
  <c r="K21" i="45"/>
  <c r="K10" i="45"/>
  <c r="D9" i="43"/>
  <c r="E9" i="43" s="1"/>
  <c r="K16" i="44"/>
  <c r="N36" i="14"/>
  <c r="X17" i="16"/>
  <c r="I118" i="16"/>
  <c r="I137" i="16" s="1"/>
  <c r="BK4" i="15"/>
  <c r="BK79" i="15" s="1"/>
  <c r="BK82" i="15" s="1"/>
  <c r="BK105" i="15" s="1"/>
  <c r="AI4" i="15"/>
  <c r="AI79" i="15" s="1"/>
  <c r="AI82" i="15" s="1"/>
  <c r="K13" i="16"/>
  <c r="K68" i="16" s="1"/>
  <c r="AM174" i="9"/>
  <c r="AR39" i="14"/>
  <c r="F17" i="7"/>
  <c r="F35" i="7" s="1"/>
  <c r="L14" i="14"/>
  <c r="F14" i="14"/>
  <c r="D103" i="17"/>
  <c r="I103" i="17" s="1"/>
  <c r="AJ16" i="14"/>
  <c r="D98" i="17"/>
  <c r="I98" i="17" s="1"/>
  <c r="J228" i="17"/>
  <c r="BO15" i="14"/>
  <c r="AB12" i="14"/>
  <c r="D13" i="14"/>
  <c r="AG15" i="14"/>
  <c r="L15" i="14"/>
  <c r="BL9" i="14"/>
  <c r="U29" i="14"/>
  <c r="BC9" i="14"/>
  <c r="I15" i="14"/>
  <c r="U12" i="14"/>
  <c r="AB3" i="14"/>
  <c r="Y12" i="14"/>
  <c r="L29" i="14"/>
  <c r="N336" i="17"/>
  <c r="BB39" i="18"/>
  <c r="BF12" i="18"/>
  <c r="BB23" i="18"/>
  <c r="BB34" i="18"/>
  <c r="BB42" i="18"/>
  <c r="H39" i="14"/>
  <c r="AL40" i="14"/>
  <c r="K13" i="14"/>
  <c r="K19" i="14" s="1"/>
  <c r="AK17" i="16"/>
  <c r="AC17" i="16"/>
  <c r="AI12" i="16"/>
  <c r="X15" i="14"/>
  <c r="BF15" i="14"/>
  <c r="BC16" i="14"/>
  <c r="BJ40" i="14"/>
  <c r="P140" i="16"/>
  <c r="P138" i="16" s="1"/>
  <c r="S150" i="9"/>
  <c r="E38" i="1"/>
  <c r="K38" i="1" s="1"/>
  <c r="V38" i="1" s="1"/>
  <c r="V3" i="14"/>
  <c r="Z40" i="14"/>
  <c r="M15" i="14"/>
  <c r="AE15" i="14"/>
  <c r="P16" i="14"/>
  <c r="C137" i="16"/>
  <c r="H17" i="16"/>
  <c r="D14" i="26"/>
  <c r="D42" i="33"/>
  <c r="P51" i="34"/>
  <c r="N13" i="40"/>
  <c r="E8" i="45"/>
  <c r="K24" i="45"/>
  <c r="E32" i="45"/>
  <c r="AK22" i="16"/>
  <c r="AC22" i="16"/>
  <c r="AL117" i="16"/>
  <c r="AL116" i="16" s="1"/>
  <c r="AL132" i="16" s="1"/>
  <c r="AL124" i="16" s="1"/>
  <c r="AF119" i="16"/>
  <c r="AI118" i="16"/>
  <c r="AF17" i="16"/>
  <c r="AD56" i="16"/>
  <c r="J307" i="17"/>
  <c r="K307" i="17" s="1"/>
  <c r="AO13" i="14"/>
  <c r="AO19" i="14" s="1"/>
  <c r="BU15" i="14"/>
  <c r="F125" i="1"/>
  <c r="AS49" i="34"/>
  <c r="AS62" i="34" s="1"/>
  <c r="AS64" i="34" s="1"/>
  <c r="AP49" i="34"/>
  <c r="AP62" i="34" s="1"/>
  <c r="AP64" i="34" s="1"/>
  <c r="AE49" i="34"/>
  <c r="AE62" i="34" s="1"/>
  <c r="AE64" i="34" s="1"/>
  <c r="AA49" i="34"/>
  <c r="R49" i="34"/>
  <c r="CU4" i="15"/>
  <c r="CU79" i="15" s="1"/>
  <c r="CU82" i="15" s="1"/>
  <c r="CU105" i="15" s="1"/>
  <c r="CU107" i="15" s="1"/>
  <c r="O52" i="38"/>
  <c r="O53" i="38" s="1"/>
  <c r="V37" i="35" s="1"/>
  <c r="K52" i="38"/>
  <c r="K53" i="38" s="1"/>
  <c r="T37" i="35" s="1"/>
  <c r="BA8" i="14"/>
  <c r="AB15" i="14"/>
  <c r="BF16" i="14"/>
  <c r="AL7" i="14"/>
  <c r="AM7" i="14" s="1"/>
  <c r="N8" i="14"/>
  <c r="O8" i="14" s="1"/>
  <c r="BS39" i="14"/>
  <c r="AJ117" i="16"/>
  <c r="AJ116" i="16" s="1"/>
  <c r="AJ132" i="16" s="1"/>
  <c r="K195" i="1"/>
  <c r="V195" i="1" s="1"/>
  <c r="G229" i="17"/>
  <c r="K22" i="16"/>
  <c r="K27" i="16" s="1"/>
  <c r="G22" i="16"/>
  <c r="G27" i="16" s="1"/>
  <c r="AE42" i="31"/>
  <c r="AK42" i="31"/>
  <c r="W118" i="16"/>
  <c r="BC41" i="18"/>
  <c r="AV49" i="34"/>
  <c r="AV62" i="34" s="1"/>
  <c r="AV64" i="34" s="1"/>
  <c r="AR49" i="34"/>
  <c r="AR62" i="34" s="1"/>
  <c r="AR64" i="34" s="1"/>
  <c r="Z49" i="34"/>
  <c r="BA79" i="15"/>
  <c r="BA82" i="15" s="1"/>
  <c r="BA105" i="15" s="1"/>
  <c r="F42" i="35"/>
  <c r="F51" i="35" s="1"/>
  <c r="AN49" i="34"/>
  <c r="AN62" i="34" s="1"/>
  <c r="AN64" i="34" s="1"/>
  <c r="BX14" i="14"/>
  <c r="BU16" i="14"/>
  <c r="E9" i="3"/>
  <c r="E10" i="3" s="1"/>
  <c r="E11" i="3" s="1"/>
  <c r="E31" i="3"/>
  <c r="E32" i="3" s="1"/>
  <c r="Z4" i="2"/>
  <c r="L126" i="1"/>
  <c r="F49" i="5"/>
  <c r="E16" i="1"/>
  <c r="E49" i="4"/>
  <c r="G49" i="4" s="1"/>
  <c r="L62" i="1"/>
  <c r="L106" i="1" s="1"/>
  <c r="I104" i="1"/>
  <c r="L181" i="1"/>
  <c r="Q8" i="26"/>
  <c r="AM79" i="27"/>
  <c r="AL11" i="39" s="1"/>
  <c r="R51" i="34"/>
  <c r="Z51" i="34"/>
  <c r="S20" i="34"/>
  <c r="AA20" i="34"/>
  <c r="W21" i="34"/>
  <c r="L55" i="38"/>
  <c r="T52" i="38"/>
  <c r="T53" i="38" s="1"/>
  <c r="J15" i="40"/>
  <c r="E12" i="43"/>
  <c r="E42" i="43"/>
  <c r="H28" i="44"/>
  <c r="E18" i="45"/>
  <c r="H26" i="45"/>
  <c r="K13" i="40"/>
  <c r="AI20" i="34"/>
  <c r="H10" i="23"/>
  <c r="C77" i="17"/>
  <c r="D375" i="17" s="1"/>
  <c r="Z22" i="16"/>
  <c r="AH83" i="15"/>
  <c r="G30" i="24" s="1"/>
  <c r="K272" i="17"/>
  <c r="H308" i="17"/>
  <c r="I308" i="17" s="1"/>
  <c r="AM56" i="16"/>
  <c r="AR45" i="34"/>
  <c r="AN42" i="34"/>
  <c r="I140" i="16"/>
  <c r="I138" i="16" s="1"/>
  <c r="F117" i="16"/>
  <c r="R12" i="21"/>
  <c r="G25" i="32"/>
  <c r="I25" i="32" s="1"/>
  <c r="F170" i="17"/>
  <c r="J126" i="17"/>
  <c r="E310" i="17"/>
  <c r="L359" i="17"/>
  <c r="Q359" i="17" s="1"/>
  <c r="G241" i="17"/>
  <c r="F257" i="17" s="1"/>
  <c r="I257" i="17" s="1"/>
  <c r="G98" i="17"/>
  <c r="K98" i="17" s="1"/>
  <c r="D171" i="17"/>
  <c r="H359" i="17" s="1"/>
  <c r="G328" i="17"/>
  <c r="BX12" i="14"/>
  <c r="L129" i="21"/>
  <c r="L65" i="21" s="1"/>
  <c r="M65" i="21" s="1"/>
  <c r="G117" i="21"/>
  <c r="I117" i="21" s="1"/>
  <c r="E6" i="12"/>
  <c r="E37" i="12" s="1"/>
  <c r="L79" i="21"/>
  <c r="M79" i="21" s="1"/>
  <c r="AT37" i="27"/>
  <c r="AU38" i="27"/>
  <c r="G88" i="21"/>
  <c r="I88" i="21" s="1"/>
  <c r="G121" i="21"/>
  <c r="I121" i="21" s="1"/>
  <c r="L103" i="17"/>
  <c r="M103" i="17" s="1"/>
  <c r="O70" i="21"/>
  <c r="G114" i="21"/>
  <c r="G157" i="21" s="1"/>
  <c r="G108" i="21"/>
  <c r="I108" i="21" s="1"/>
  <c r="CU84" i="15"/>
  <c r="C63" i="24" s="1"/>
  <c r="M71" i="21"/>
  <c r="N71" i="21"/>
  <c r="J170" i="17"/>
  <c r="G89" i="21"/>
  <c r="G53" i="21" s="1"/>
  <c r="I53" i="21" s="1"/>
  <c r="G160" i="21"/>
  <c r="G7" i="21"/>
  <c r="U7" i="21" s="1"/>
  <c r="AF154" i="9"/>
  <c r="AL153" i="9"/>
  <c r="Z174" i="9"/>
  <c r="M12" i="16"/>
  <c r="L12" i="16"/>
  <c r="G17" i="16"/>
  <c r="D125" i="16"/>
  <c r="D124" i="16" s="1"/>
  <c r="T125" i="16"/>
  <c r="T124" i="16" s="1"/>
  <c r="C141" i="16"/>
  <c r="Y141" i="16"/>
  <c r="L7" i="26"/>
  <c r="M7" i="26" s="1"/>
  <c r="K16" i="26"/>
  <c r="G51" i="34"/>
  <c r="O51" i="34"/>
  <c r="U10" i="39"/>
  <c r="K38" i="42"/>
  <c r="AE154" i="9"/>
  <c r="K39" i="43"/>
  <c r="E33" i="44"/>
  <c r="E35" i="44"/>
  <c r="K15" i="45"/>
  <c r="T17" i="16"/>
  <c r="S140" i="16"/>
  <c r="S138" i="16" s="1"/>
  <c r="U141" i="16"/>
  <c r="W140" i="16"/>
  <c r="W138" i="16" s="1"/>
  <c r="AH117" i="16"/>
  <c r="AH116" i="16" s="1"/>
  <c r="AH132" i="16" s="1"/>
  <c r="AJ140" i="16"/>
  <c r="AJ138" i="16" s="1"/>
  <c r="AT41" i="27"/>
  <c r="AU42" i="27"/>
  <c r="AT39" i="27"/>
  <c r="AU40" i="27"/>
  <c r="G45" i="21"/>
  <c r="I45" i="21" s="1"/>
  <c r="O71" i="21"/>
  <c r="N68" i="16"/>
  <c r="N73" i="16" s="1"/>
  <c r="G81" i="21"/>
  <c r="L81" i="21" s="1"/>
  <c r="M81" i="21" s="1"/>
  <c r="AS41" i="27"/>
  <c r="Q49" i="1"/>
  <c r="M49" i="1" s="1"/>
  <c r="O49" i="1" s="1"/>
  <c r="L7" i="21"/>
  <c r="Z7" i="21" s="1"/>
  <c r="E40" i="16"/>
  <c r="E41" i="16" s="1"/>
  <c r="BX16" i="14"/>
  <c r="D159" i="1"/>
  <c r="D194" i="1" s="1"/>
  <c r="CM4" i="15"/>
  <c r="CM79" i="15" s="1"/>
  <c r="CM82" i="15" s="1"/>
  <c r="CM105" i="15" s="1"/>
  <c r="CM107" i="15" s="1"/>
  <c r="S126" i="16"/>
  <c r="H28" i="45"/>
  <c r="I15" i="40"/>
  <c r="AI42" i="33"/>
  <c r="C3" i="32"/>
  <c r="AR40" i="27"/>
  <c r="C10" i="7" s="1"/>
  <c r="G142" i="21"/>
  <c r="I142" i="21" s="1"/>
  <c r="L161" i="21"/>
  <c r="G86" i="21"/>
  <c r="I86" i="21" s="1"/>
  <c r="O72" i="21"/>
  <c r="U37" i="27"/>
  <c r="R42" i="27"/>
  <c r="X40" i="27"/>
  <c r="AT38" i="27"/>
  <c r="AU39" i="27"/>
  <c r="L107" i="21"/>
  <c r="M107" i="21" s="1"/>
  <c r="G145" i="21"/>
  <c r="I145" i="21" s="1"/>
  <c r="BX15" i="14"/>
  <c r="AE125" i="16"/>
  <c r="BU14" i="14"/>
  <c r="AC13" i="16"/>
  <c r="AA42" i="31"/>
  <c r="G138" i="21"/>
  <c r="I138" i="21" s="1"/>
  <c r="G85" i="21"/>
  <c r="I85" i="21" s="1"/>
  <c r="G8" i="21"/>
  <c r="J8" i="21" s="1"/>
  <c r="X8" i="21" s="1"/>
  <c r="L126" i="21"/>
  <c r="M126" i="21" s="1"/>
  <c r="AD42" i="27"/>
  <c r="AR36" i="14"/>
  <c r="Z42" i="27"/>
  <c r="AO96" i="27"/>
  <c r="G119" i="21"/>
  <c r="I119" i="21" s="1"/>
  <c r="G149" i="21"/>
  <c r="I149" i="21" s="1"/>
  <c r="G120" i="21"/>
  <c r="I120" i="21" s="1"/>
  <c r="F40" i="16"/>
  <c r="G4" i="21"/>
  <c r="U4" i="21" s="1"/>
  <c r="I330" i="17"/>
  <c r="AK72" i="16"/>
  <c r="AK18" i="16" s="1"/>
  <c r="AJ125" i="16"/>
  <c r="G87" i="21"/>
  <c r="I87" i="21" s="1"/>
  <c r="G136" i="21"/>
  <c r="I136" i="21" s="1"/>
  <c r="G134" i="21"/>
  <c r="I134" i="21" s="1"/>
  <c r="G144" i="21"/>
  <c r="I144" i="21" s="1"/>
  <c r="G146" i="21"/>
  <c r="I146" i="21" s="1"/>
  <c r="L80" i="21"/>
  <c r="AD80" i="21" s="1"/>
  <c r="L117" i="21"/>
  <c r="M117" i="21" s="1"/>
  <c r="G111" i="21"/>
  <c r="I111" i="21" s="1"/>
  <c r="AT15" i="14"/>
  <c r="L123" i="21"/>
  <c r="M123" i="21" s="1"/>
  <c r="G137" i="21"/>
  <c r="I137" i="21" s="1"/>
  <c r="G93" i="21"/>
  <c r="I93" i="21" s="1"/>
  <c r="G109" i="21"/>
  <c r="I109" i="21" s="1"/>
  <c r="G141" i="21"/>
  <c r="I141" i="21" s="1"/>
  <c r="BU9" i="14"/>
  <c r="G77" i="21"/>
  <c r="J77" i="21" s="1"/>
  <c r="G125" i="21"/>
  <c r="AB40" i="27"/>
  <c r="Y41" i="27"/>
  <c r="AP38" i="27"/>
  <c r="G107" i="21"/>
  <c r="I107" i="21" s="1"/>
  <c r="G113" i="21"/>
  <c r="AA39" i="27"/>
  <c r="AH41" i="27"/>
  <c r="M72" i="21"/>
  <c r="G40" i="16"/>
  <c r="K61" i="16"/>
  <c r="K141" i="16" s="1"/>
  <c r="I117" i="16"/>
  <c r="AB29" i="14"/>
  <c r="D117" i="16"/>
  <c r="N70" i="21"/>
  <c r="N72" i="21"/>
  <c r="AC154" i="9"/>
  <c r="E51" i="1"/>
  <c r="K51" i="1" s="1"/>
  <c r="V51" i="1" s="1"/>
  <c r="E52" i="1"/>
  <c r="E102" i="1" s="1"/>
  <c r="E57" i="1"/>
  <c r="E182" i="1" s="1"/>
  <c r="K182" i="1" s="1"/>
  <c r="G117" i="16"/>
  <c r="K45" i="26"/>
  <c r="AA163" i="9"/>
  <c r="AA162" i="9" s="1"/>
  <c r="G105" i="21"/>
  <c r="I105" i="21" s="1"/>
  <c r="G96" i="21"/>
  <c r="I96" i="21" s="1"/>
  <c r="G135" i="21"/>
  <c r="I135" i="21" s="1"/>
  <c r="C26" i="3"/>
  <c r="E44" i="5"/>
  <c r="F44" i="5" s="1"/>
  <c r="BI44" i="18" s="1"/>
  <c r="BJ44" i="18" s="1"/>
  <c r="K26" i="44"/>
  <c r="O150" i="9"/>
  <c r="X150" i="9"/>
  <c r="AH174" i="9"/>
  <c r="Q174" i="9"/>
  <c r="AG185" i="9"/>
  <c r="X185" i="9"/>
  <c r="E60" i="1"/>
  <c r="K60" i="1" s="1"/>
  <c r="V60" i="1" s="1"/>
  <c r="AG188" i="9"/>
  <c r="H268" i="17"/>
  <c r="M17" i="16"/>
  <c r="N140" i="16"/>
  <c r="N138" i="16" s="1"/>
  <c r="R20" i="34"/>
  <c r="AF21" i="34"/>
  <c r="AF42" i="34" s="1"/>
  <c r="H8" i="36" s="1"/>
  <c r="F51" i="34"/>
  <c r="AB14" i="39"/>
  <c r="AC15" i="39" s="1"/>
  <c r="M15" i="40"/>
  <c r="K18" i="42"/>
  <c r="H38" i="42"/>
  <c r="K12" i="45"/>
  <c r="K31" i="45"/>
  <c r="AI117" i="16"/>
  <c r="AI116" i="16" s="1"/>
  <c r="AI132" i="16" s="1"/>
  <c r="V83" i="15"/>
  <c r="V84" i="15" s="1"/>
  <c r="D24" i="24" s="1"/>
  <c r="K23" i="43"/>
  <c r="U125" i="16"/>
  <c r="U124" i="16" s="1"/>
  <c r="AA38" i="27"/>
  <c r="AA42" i="27"/>
  <c r="B53" i="34"/>
  <c r="D94" i="17"/>
  <c r="I94" i="17" s="1"/>
  <c r="AA15" i="14"/>
  <c r="K11" i="42"/>
  <c r="F6" i="23"/>
  <c r="E37" i="1"/>
  <c r="K37" i="1" s="1"/>
  <c r="V37" i="1" s="1"/>
  <c r="F23" i="7"/>
  <c r="K18" i="43"/>
  <c r="AP16" i="14"/>
  <c r="H33" i="44"/>
  <c r="AH40" i="27"/>
  <c r="K18" i="44"/>
  <c r="X39" i="27"/>
  <c r="E125" i="16"/>
  <c r="E124" i="16" s="1"/>
  <c r="AM20" i="34"/>
  <c r="F37" i="7"/>
  <c r="D29" i="7" s="1"/>
  <c r="K12" i="44"/>
  <c r="F29" i="14"/>
  <c r="E38" i="14" s="1"/>
  <c r="AY16" i="14"/>
  <c r="M125" i="16"/>
  <c r="M124" i="16" s="1"/>
  <c r="AI41" i="27"/>
  <c r="AJ42" i="27"/>
  <c r="G174" i="17"/>
  <c r="R3" i="14"/>
  <c r="AA29" i="14"/>
  <c r="BK16" i="14"/>
  <c r="AB154" i="9"/>
  <c r="AC13" i="14"/>
  <c r="AC19" i="14" s="1"/>
  <c r="AD19" i="14" s="1"/>
  <c r="N13" i="14"/>
  <c r="J163" i="1"/>
  <c r="K163" i="1" s="1"/>
  <c r="AG150" i="9"/>
  <c r="AF153" i="9"/>
  <c r="X153" i="9"/>
  <c r="P174" i="9"/>
  <c r="P56" i="5"/>
  <c r="N185" i="9"/>
  <c r="E42" i="31"/>
  <c r="U79" i="27"/>
  <c r="AI42" i="31"/>
  <c r="T53" i="31"/>
  <c r="AB53" i="31"/>
  <c r="AN42" i="31"/>
  <c r="AL42" i="33"/>
  <c r="V42" i="33"/>
  <c r="V42" i="34" s="1"/>
  <c r="V59" i="34" s="1"/>
  <c r="C11" i="43"/>
  <c r="AI163" i="9"/>
  <c r="AI162" i="9" s="1"/>
  <c r="AC141" i="16"/>
  <c r="AF22" i="16"/>
  <c r="AF27" i="16" s="1"/>
  <c r="AI119" i="16"/>
  <c r="AG12" i="16"/>
  <c r="AH68" i="16"/>
  <c r="AH73" i="16" s="1"/>
  <c r="AN14" i="39"/>
  <c r="AO15" i="39" s="1"/>
  <c r="AW16" i="14"/>
  <c r="BU3" i="14"/>
  <c r="BQ4" i="15"/>
  <c r="BQ79" i="15" s="1"/>
  <c r="BQ82" i="15" s="1"/>
  <c r="BQ105" i="15" s="1"/>
  <c r="BI4" i="15"/>
  <c r="BI79" i="15" s="1"/>
  <c r="BI82" i="15" s="1"/>
  <c r="AY4" i="15"/>
  <c r="AY79" i="15" s="1"/>
  <c r="AY82" i="15" s="1"/>
  <c r="AQ4" i="15"/>
  <c r="AQ79" i="15" s="1"/>
  <c r="AQ82" i="15" s="1"/>
  <c r="AG4" i="15"/>
  <c r="AG79" i="15" s="1"/>
  <c r="AG82" i="15" s="1"/>
  <c r="AG83" i="15" s="1"/>
  <c r="F30" i="24" s="1"/>
  <c r="Q4" i="15"/>
  <c r="Q79" i="15" s="1"/>
  <c r="Q82" i="15" s="1"/>
  <c r="I4" i="15"/>
  <c r="I79" i="15" s="1"/>
  <c r="I82" i="15" s="1"/>
  <c r="I83" i="15" s="1"/>
  <c r="F18" i="24" s="1"/>
  <c r="C62" i="20"/>
  <c r="B62" i="20" s="1"/>
  <c r="X14" i="14"/>
  <c r="F272" i="17"/>
  <c r="I272" i="17" s="1"/>
  <c r="D122" i="17"/>
  <c r="G331" i="17"/>
  <c r="G342" i="17"/>
  <c r="BF14" i="14"/>
  <c r="F9" i="41"/>
  <c r="K9" i="41" s="1"/>
  <c r="E95" i="17"/>
  <c r="P185" i="9"/>
  <c r="AK79" i="27"/>
  <c r="AJ11" i="39" s="1"/>
  <c r="T79" i="27"/>
  <c r="S10" i="39"/>
  <c r="E13" i="40"/>
  <c r="F15" i="40"/>
  <c r="AG154" i="9"/>
  <c r="AI79" i="27"/>
  <c r="AH11" i="39" s="1"/>
  <c r="AH79" i="27"/>
  <c r="AG11" i="39" s="1"/>
  <c r="F36" i="1"/>
  <c r="E30" i="42"/>
  <c r="J4" i="29" a="1"/>
  <c r="J25" i="29" s="1"/>
  <c r="U30" i="5"/>
  <c r="K8" i="32"/>
  <c r="K18" i="32"/>
  <c r="L113" i="21"/>
  <c r="M113" i="21" s="1"/>
  <c r="L92" i="21"/>
  <c r="M92" i="21" s="1"/>
  <c r="AJ12" i="16"/>
  <c r="L89" i="21"/>
  <c r="L53" i="21" s="1"/>
  <c r="AD53" i="21" s="1"/>
  <c r="AI141" i="16"/>
  <c r="L147" i="21"/>
  <c r="M147" i="21" s="1"/>
  <c r="L144" i="21"/>
  <c r="M144" i="21" s="1"/>
  <c r="L143" i="21"/>
  <c r="M143" i="21" s="1"/>
  <c r="L141" i="21"/>
  <c r="M141" i="21" s="1"/>
  <c r="L138" i="21"/>
  <c r="M138" i="21" s="1"/>
  <c r="AV45" i="34"/>
  <c r="AY45" i="34"/>
  <c r="AW45" i="34"/>
  <c r="L30" i="41"/>
  <c r="E24" i="42"/>
  <c r="K339" i="17"/>
  <c r="AA188" i="9"/>
  <c r="Q126" i="1"/>
  <c r="M126" i="1" s="1"/>
  <c r="F28" i="1" s="1"/>
  <c r="AX49" i="34"/>
  <c r="AX62" i="34" s="1"/>
  <c r="AX64" i="34" s="1"/>
  <c r="AT49" i="34"/>
  <c r="G13" i="17" s="1"/>
  <c r="AQ45" i="34"/>
  <c r="AO49" i="34"/>
  <c r="AO62" i="34" s="1"/>
  <c r="AO64" i="34" s="1"/>
  <c r="AM49" i="34"/>
  <c r="AM62" i="34" s="1"/>
  <c r="AM64" i="34" s="1"/>
  <c r="AK49" i="34"/>
  <c r="AK62" i="34" s="1"/>
  <c r="AK64" i="34" s="1"/>
  <c r="AI49" i="34"/>
  <c r="AI62" i="34" s="1"/>
  <c r="AI64" i="34" s="1"/>
  <c r="AH49" i="34"/>
  <c r="AH62" i="34" s="1"/>
  <c r="AH64" i="34" s="1"/>
  <c r="AF49" i="34"/>
  <c r="AF62" i="34" s="1"/>
  <c r="AF64" i="34" s="1"/>
  <c r="Y49" i="34"/>
  <c r="V49" i="34"/>
  <c r="U49" i="34"/>
  <c r="P49" i="34"/>
  <c r="J149" i="17"/>
  <c r="B49" i="34"/>
  <c r="L101" i="21"/>
  <c r="M101" i="21" s="1"/>
  <c r="L42" i="35"/>
  <c r="L55" i="35" s="1"/>
  <c r="E52" i="38"/>
  <c r="E53" i="38" s="1"/>
  <c r="Q37" i="35" s="1"/>
  <c r="E42" i="35"/>
  <c r="E51" i="35" s="1"/>
  <c r="AE17" i="16"/>
  <c r="AC12" i="16"/>
  <c r="L180" i="1"/>
  <c r="D175" i="17"/>
  <c r="H175" i="17" s="1"/>
  <c r="G224" i="17"/>
  <c r="I224" i="17" s="1"/>
  <c r="BA13" i="14"/>
  <c r="BA19" i="14" s="1"/>
  <c r="BB16" i="14"/>
  <c r="K50" i="4"/>
  <c r="F16" i="1"/>
  <c r="E172" i="17"/>
  <c r="I172" i="17" s="1"/>
  <c r="G227" i="17"/>
  <c r="I227" i="17" s="1"/>
  <c r="AD141" i="16"/>
  <c r="I8" i="7"/>
  <c r="J8" i="7" s="1"/>
  <c r="AL20" i="34"/>
  <c r="BC14" i="14"/>
  <c r="AI21" i="34"/>
  <c r="CA4" i="15"/>
  <c r="CA79" i="15" s="1"/>
  <c r="CA82" i="15" s="1"/>
  <c r="G19" i="25" s="1"/>
  <c r="G13" i="25" s="1"/>
  <c r="AK181" i="9"/>
  <c r="H31" i="45"/>
  <c r="D76" i="17"/>
  <c r="E374" i="17" s="1"/>
  <c r="L96" i="21"/>
  <c r="M96" i="21" s="1"/>
  <c r="M290" i="17"/>
  <c r="BJ25" i="18"/>
  <c r="G91" i="17"/>
  <c r="K91" i="17" s="1"/>
  <c r="E177" i="17"/>
  <c r="AY12" i="14"/>
  <c r="K13" i="42"/>
  <c r="X41" i="27"/>
  <c r="C19" i="42"/>
  <c r="E19" i="42" s="1"/>
  <c r="F158" i="1"/>
  <c r="F193" i="1" s="1"/>
  <c r="N193" i="1" s="1"/>
  <c r="AC9" i="14"/>
  <c r="AD9" i="14" s="1"/>
  <c r="G170" i="17"/>
  <c r="I4" i="29" a="1"/>
  <c r="I15" i="29" s="1"/>
  <c r="E92" i="17"/>
  <c r="E19" i="34"/>
  <c r="E51" i="34" s="1"/>
  <c r="F1" i="21"/>
  <c r="K228" i="17"/>
  <c r="E158" i="17"/>
  <c r="I158" i="17" s="1"/>
  <c r="K25" i="41"/>
  <c r="F25" i="41" s="1"/>
  <c r="K30" i="43"/>
  <c r="AD12" i="16"/>
  <c r="F242" i="17"/>
  <c r="J242" i="17" s="1"/>
  <c r="E154" i="17"/>
  <c r="I154" i="17" s="1"/>
  <c r="AR41" i="27"/>
  <c r="C11" i="7" s="1"/>
  <c r="L18" i="17"/>
  <c r="G25" i="20" s="1"/>
  <c r="H25" i="20" s="1"/>
  <c r="AM21" i="34"/>
  <c r="L108" i="21"/>
  <c r="M108" i="21" s="1"/>
  <c r="T37" i="27"/>
  <c r="AL182" i="9"/>
  <c r="T22" i="8"/>
  <c r="U22" i="8" s="1"/>
  <c r="V39" i="16" s="1"/>
  <c r="CK4" i="15"/>
  <c r="J41" i="34"/>
  <c r="K17" i="43"/>
  <c r="F35" i="16"/>
  <c r="F240" i="17"/>
  <c r="J240" i="17" s="1"/>
  <c r="G203" i="17"/>
  <c r="I203" i="17" s="1"/>
  <c r="I351" i="17"/>
  <c r="K226" i="17"/>
  <c r="G126" i="17"/>
  <c r="K126" i="17" s="1"/>
  <c r="AO2" i="14"/>
  <c r="Z181" i="9"/>
  <c r="R126" i="16"/>
  <c r="N4" i="29" a="1"/>
  <c r="N24" i="29" s="1"/>
  <c r="BA36" i="14"/>
  <c r="T55" i="31"/>
  <c r="AC28" i="14"/>
  <c r="M68" i="16"/>
  <c r="M73" i="16" s="1"/>
  <c r="U38" i="27"/>
  <c r="I116" i="17"/>
  <c r="E158" i="1"/>
  <c r="E193" i="1" s="1"/>
  <c r="K193" i="1" s="1"/>
  <c r="V193" i="1" s="1"/>
  <c r="K360" i="17"/>
  <c r="F27" i="1"/>
  <c r="G18" i="17"/>
  <c r="H365" i="17" s="1"/>
  <c r="BC12" i="14"/>
  <c r="D34" i="17"/>
  <c r="J34" i="17" s="1"/>
  <c r="F244" i="17"/>
  <c r="J244" i="17" s="1"/>
  <c r="AC125" i="16"/>
  <c r="E156" i="17"/>
  <c r="I156" i="17" s="1"/>
  <c r="BB12" i="14"/>
  <c r="G8" i="44"/>
  <c r="H8" i="44" s="1"/>
  <c r="AN37" i="27"/>
  <c r="N41" i="34"/>
  <c r="AB41" i="27"/>
  <c r="AJ144" i="9"/>
  <c r="AC42" i="27"/>
  <c r="K28" i="42"/>
  <c r="K25" i="43"/>
  <c r="AS42" i="27"/>
  <c r="H123" i="17"/>
  <c r="G7" i="20" s="1"/>
  <c r="N119" i="17"/>
  <c r="CS4" i="15"/>
  <c r="CS79" i="15" s="1"/>
  <c r="CS82" i="15" s="1"/>
  <c r="CS105" i="15" s="1"/>
  <c r="CS107" i="15" s="1"/>
  <c r="J125" i="17"/>
  <c r="AQ40" i="27"/>
  <c r="G116" i="17"/>
  <c r="K116" i="17" s="1"/>
  <c r="G218" i="17"/>
  <c r="I218" i="17" s="1"/>
  <c r="P27" i="26"/>
  <c r="K224" i="17"/>
  <c r="N65" i="1"/>
  <c r="P65" i="1" s="1"/>
  <c r="AK125" i="16"/>
  <c r="BF12" i="14"/>
  <c r="L4" i="26"/>
  <c r="M4" i="26" s="1"/>
  <c r="C76" i="17"/>
  <c r="D374" i="17" s="1"/>
  <c r="AA40" i="27"/>
  <c r="AQ143" i="9"/>
  <c r="J14" i="41" s="1"/>
  <c r="E14" i="41" s="1"/>
  <c r="E76" i="17"/>
  <c r="F374" i="17" s="1"/>
  <c r="N374" i="17" s="1"/>
  <c r="I125" i="17"/>
  <c r="I123" i="17" s="1"/>
  <c r="T8" i="14"/>
  <c r="U8" i="14" s="1"/>
  <c r="AB188" i="9"/>
  <c r="AY49" i="34"/>
  <c r="AY62" i="34" s="1"/>
  <c r="AY64" i="34" s="1"/>
  <c r="AD49" i="34"/>
  <c r="AD62" i="34" s="1"/>
  <c r="AD64" i="34" s="1"/>
  <c r="Q49" i="34"/>
  <c r="Q10" i="10"/>
  <c r="V51" i="34"/>
  <c r="J13" i="40"/>
  <c r="AD119" i="16"/>
  <c r="AD137" i="16" s="1"/>
  <c r="AG118" i="16"/>
  <c r="R28" i="14"/>
  <c r="AM153" i="9"/>
  <c r="E247" i="17"/>
  <c r="AG117" i="16"/>
  <c r="AG116" i="16" s="1"/>
  <c r="AG132" i="16" s="1"/>
  <c r="AG124" i="16" s="1"/>
  <c r="AI17" i="16"/>
  <c r="AL12" i="16"/>
  <c r="AF117" i="16"/>
  <c r="AF116" i="16" s="1"/>
  <c r="AF132" i="16" s="1"/>
  <c r="AI56" i="16"/>
  <c r="AF68" i="16"/>
  <c r="AF73" i="16" s="1"/>
  <c r="AU45" i="34"/>
  <c r="AX45" i="34"/>
  <c r="AP45" i="34"/>
  <c r="BO4" i="15"/>
  <c r="BO79" i="15" s="1"/>
  <c r="BO82" i="15" s="1"/>
  <c r="BO105" i="15" s="1"/>
  <c r="AE4" i="15"/>
  <c r="AE79" i="15" s="1"/>
  <c r="AE82" i="15" s="1"/>
  <c r="AE83" i="15" s="1"/>
  <c r="F29" i="24" s="1"/>
  <c r="O4" i="15"/>
  <c r="O79" i="15" s="1"/>
  <c r="O82" i="15" s="1"/>
  <c r="O83" i="15" s="1"/>
  <c r="F21" i="24" s="1"/>
  <c r="F10" i="41"/>
  <c r="K10" i="41" s="1"/>
  <c r="U150" i="9"/>
  <c r="AC150" i="9"/>
  <c r="AK150" i="9"/>
  <c r="U174" i="9"/>
  <c r="AD174" i="9"/>
  <c r="AL174" i="9"/>
  <c r="T185" i="9"/>
  <c r="AC185" i="9"/>
  <c r="AC188" i="9"/>
  <c r="AK188" i="9"/>
  <c r="S9" i="14"/>
  <c r="Z35" i="14"/>
  <c r="AC40" i="14"/>
  <c r="AJ15" i="14"/>
  <c r="Q13" i="14"/>
  <c r="Q19" i="14" s="1"/>
  <c r="R19" i="14" s="1"/>
  <c r="C68" i="16"/>
  <c r="C69" i="16" s="1"/>
  <c r="E12" i="16"/>
  <c r="U12" i="16"/>
  <c r="J118" i="16"/>
  <c r="J137" i="16" s="1"/>
  <c r="L118" i="16"/>
  <c r="L137" i="16" s="1"/>
  <c r="E22" i="16"/>
  <c r="E141" i="16"/>
  <c r="S56" i="16"/>
  <c r="AA140" i="16"/>
  <c r="AA138" i="16" s="1"/>
  <c r="O114" i="16"/>
  <c r="Q79" i="27"/>
  <c r="Y79" i="27"/>
  <c r="AB42" i="31"/>
  <c r="T20" i="34"/>
  <c r="AE53" i="31"/>
  <c r="P21" i="34"/>
  <c r="X21" i="34"/>
  <c r="S21" i="34"/>
  <c r="AA42" i="33"/>
  <c r="V52" i="38"/>
  <c r="V53" i="38" s="1"/>
  <c r="H10" i="39"/>
  <c r="P10" i="39"/>
  <c r="X23" i="39"/>
  <c r="G15" i="40"/>
  <c r="O13" i="40"/>
  <c r="K15" i="40"/>
  <c r="E13" i="43"/>
  <c r="C21" i="43"/>
  <c r="E21" i="43" s="1"/>
  <c r="K31" i="43"/>
  <c r="H35" i="43"/>
  <c r="K42" i="43"/>
  <c r="E17" i="44"/>
  <c r="F16" i="44"/>
  <c r="H16" i="44" s="1"/>
  <c r="K29" i="44"/>
  <c r="K16" i="45"/>
  <c r="X141" i="16"/>
  <c r="U22" i="16"/>
  <c r="AE163" i="9"/>
  <c r="AE162" i="9" s="1"/>
  <c r="V163" i="9"/>
  <c r="V162" i="9" s="1"/>
  <c r="AH163" i="9"/>
  <c r="AH162" i="9" s="1"/>
  <c r="AZ3" i="14"/>
  <c r="J223" i="17"/>
  <c r="K227" i="17"/>
  <c r="AM29" i="14"/>
  <c r="I19" i="7"/>
  <c r="W13" i="14"/>
  <c r="F73" i="17"/>
  <c r="AD38" i="27"/>
  <c r="AM42" i="27"/>
  <c r="S39" i="27"/>
  <c r="AG42" i="31"/>
  <c r="AA21" i="34"/>
  <c r="S15" i="14"/>
  <c r="L103" i="21"/>
  <c r="M103" i="21" s="1"/>
  <c r="AG4" i="13"/>
  <c r="W121" i="16"/>
  <c r="AI38" i="27"/>
  <c r="G31" i="42"/>
  <c r="H31" i="42" s="1"/>
  <c r="AJ154" i="9"/>
  <c r="S118" i="16"/>
  <c r="K13" i="43"/>
  <c r="U21" i="16"/>
  <c r="U117" i="16" s="1"/>
  <c r="U116" i="16" s="1"/>
  <c r="AF33" i="16"/>
  <c r="AF121" i="16" s="1"/>
  <c r="AC18" i="16"/>
  <c r="E9" i="41"/>
  <c r="J9" i="41" s="1"/>
  <c r="AU9" i="14"/>
  <c r="AV9" i="14" s="1"/>
  <c r="AZ10" i="14"/>
  <c r="AX36" i="14" s="1"/>
  <c r="BD35" i="14"/>
  <c r="AE12" i="14"/>
  <c r="E251" i="17"/>
  <c r="R9" i="14"/>
  <c r="E45" i="24"/>
  <c r="AD14" i="14"/>
  <c r="O143" i="9"/>
  <c r="E4" i="29" a="1"/>
  <c r="E10" i="29" s="1"/>
  <c r="AN40" i="27"/>
  <c r="B17" i="16"/>
  <c r="C99" i="21" s="1"/>
  <c r="D239" i="17"/>
  <c r="J17" i="16"/>
  <c r="O15" i="40"/>
  <c r="BJ36" i="14"/>
  <c r="M58" i="23"/>
  <c r="AH125" i="16"/>
  <c r="AL150" i="9"/>
  <c r="AF4" i="13"/>
  <c r="AM6" i="13"/>
  <c r="BG4" i="15"/>
  <c r="BG79" i="15" s="1"/>
  <c r="BG82" i="15" s="1"/>
  <c r="BG105" i="15" s="1"/>
  <c r="T117" i="16"/>
  <c r="T116" i="16" s="1"/>
  <c r="K350" i="17"/>
  <c r="I17" i="7"/>
  <c r="I35" i="7" s="1"/>
  <c r="J19" i="7"/>
  <c r="S21" i="17"/>
  <c r="V36" i="17" s="1"/>
  <c r="U42" i="31"/>
  <c r="U53" i="31"/>
  <c r="E7" i="14"/>
  <c r="F7" i="14" s="1"/>
  <c r="AL38" i="27"/>
  <c r="AD20" i="34"/>
  <c r="R14" i="21"/>
  <c r="AM10" i="13"/>
  <c r="AM16" i="13"/>
  <c r="AK40" i="27"/>
  <c r="CG4" i="15"/>
  <c r="CG79" i="15" s="1"/>
  <c r="CG82" i="15" s="1"/>
  <c r="CG105" i="15" s="1"/>
  <c r="CG107" i="15" s="1"/>
  <c r="P154" i="9"/>
  <c r="J23" i="41"/>
  <c r="BA3" i="14"/>
  <c r="BC3" i="14" s="1"/>
  <c r="BC4" i="14"/>
  <c r="BA35" i="14" s="1"/>
  <c r="O15" i="14"/>
  <c r="AK15" i="14"/>
  <c r="F19" i="7"/>
  <c r="Y42" i="31"/>
  <c r="AO41" i="27"/>
  <c r="X121" i="16"/>
  <c r="P22" i="32"/>
  <c r="AM17" i="13"/>
  <c r="AU35" i="14"/>
  <c r="AL39" i="14"/>
  <c r="J200" i="17"/>
  <c r="J208" i="17"/>
  <c r="G324" i="17"/>
  <c r="AU36" i="14"/>
  <c r="J9" i="43"/>
  <c r="AK37" i="27"/>
  <c r="Q146" i="1"/>
  <c r="G42" i="34"/>
  <c r="G59" i="34" s="1"/>
  <c r="V28" i="14"/>
  <c r="K29" i="43"/>
  <c r="L88" i="21"/>
  <c r="M88" i="21" s="1"/>
  <c r="AH56" i="16"/>
  <c r="L149" i="21"/>
  <c r="M149" i="21" s="1"/>
  <c r="AE141" i="16"/>
  <c r="B1" i="13"/>
  <c r="AL11" i="13" s="1"/>
  <c r="AZ16" i="14"/>
  <c r="AF150" i="9"/>
  <c r="T153" i="9"/>
  <c r="X174" i="9"/>
  <c r="Y42" i="33"/>
  <c r="U42" i="33"/>
  <c r="G12" i="1"/>
  <c r="G126" i="21"/>
  <c r="I126" i="21" s="1"/>
  <c r="AR42" i="31"/>
  <c r="E26" i="20"/>
  <c r="A14" i="20" s="1"/>
  <c r="G76" i="20"/>
  <c r="O185" i="9"/>
  <c r="S79" i="27"/>
  <c r="AP79" i="27"/>
  <c r="AO11" i="39" s="1"/>
  <c r="AE29" i="14"/>
  <c r="AJ14" i="14"/>
  <c r="V15" i="14"/>
  <c r="J224" i="17"/>
  <c r="Q22" i="16"/>
  <c r="Y56" i="16"/>
  <c r="AA141" i="16"/>
  <c r="E8" i="26"/>
  <c r="Z21" i="34"/>
  <c r="AE21" i="34"/>
  <c r="O307" i="17"/>
  <c r="AH154" i="9"/>
  <c r="H35" i="45"/>
  <c r="V17" i="16"/>
  <c r="W163" i="9"/>
  <c r="W162" i="9" s="1"/>
  <c r="W56" i="16"/>
  <c r="F248" i="17"/>
  <c r="J248" i="17" s="1"/>
  <c r="AF185" i="9"/>
  <c r="K276" i="17"/>
  <c r="H24" i="42"/>
  <c r="AY15" i="18"/>
  <c r="V40" i="27"/>
  <c r="AF182" i="9"/>
  <c r="E54" i="1" s="1"/>
  <c r="E180" i="1" s="1"/>
  <c r="K180" i="1" s="1"/>
  <c r="H8" i="7"/>
  <c r="Q181" i="9"/>
  <c r="U39" i="27"/>
  <c r="AL181" i="9"/>
  <c r="R53" i="34"/>
  <c r="J206" i="17"/>
  <c r="K140" i="16"/>
  <c r="K138" i="16" s="1"/>
  <c r="AO39" i="14"/>
  <c r="H68" i="16"/>
  <c r="H73" i="16" s="1"/>
  <c r="E68" i="16"/>
  <c r="E73" i="16" s="1"/>
  <c r="J35" i="22"/>
  <c r="J35" i="2" s="1"/>
  <c r="L35" i="2" s="1"/>
  <c r="U17" i="16"/>
  <c r="R119" i="16"/>
  <c r="N361" i="17"/>
  <c r="K20" i="43"/>
  <c r="AT3" i="14"/>
  <c r="AR2" i="14"/>
  <c r="AZ15" i="14"/>
  <c r="BL14" i="14"/>
  <c r="N17" i="16"/>
  <c r="G118" i="16"/>
  <c r="G137" i="16" s="1"/>
  <c r="T141" i="16"/>
  <c r="R22" i="16"/>
  <c r="R27" i="16" s="1"/>
  <c r="W17" i="16"/>
  <c r="L121" i="21"/>
  <c r="M121" i="21" s="1"/>
  <c r="AI22" i="16"/>
  <c r="AL17" i="16"/>
  <c r="F274" i="17"/>
  <c r="I274" i="17" s="1"/>
  <c r="F275" i="17"/>
  <c r="I275" i="17" s="1"/>
  <c r="F87" i="17"/>
  <c r="H79" i="17"/>
  <c r="J201" i="17"/>
  <c r="J203" i="17"/>
  <c r="BK52" i="38"/>
  <c r="BK53" i="38" s="1"/>
  <c r="AT37" i="35" s="1"/>
  <c r="R12" i="16"/>
  <c r="E17" i="16"/>
  <c r="F118" i="16"/>
  <c r="F137" i="16" s="1"/>
  <c r="O118" i="16"/>
  <c r="J125" i="16"/>
  <c r="J124" i="16" s="1"/>
  <c r="AA125" i="16"/>
  <c r="AA124" i="16" s="1"/>
  <c r="L141" i="16"/>
  <c r="I141" i="16"/>
  <c r="C124" i="16"/>
  <c r="X22" i="16"/>
  <c r="AB22" i="16"/>
  <c r="AB27" i="16" s="1"/>
  <c r="L90" i="21"/>
  <c r="M90" i="21" s="1"/>
  <c r="L125" i="21"/>
  <c r="M125" i="21" s="1"/>
  <c r="AK41" i="16"/>
  <c r="L119" i="21"/>
  <c r="M119" i="21" s="1"/>
  <c r="L118" i="21"/>
  <c r="M118" i="21" s="1"/>
  <c r="AJ41" i="16"/>
  <c r="AL22" i="16"/>
  <c r="AL27" i="16" s="1"/>
  <c r="AD22" i="16"/>
  <c r="L102" i="21"/>
  <c r="AJ118" i="16"/>
  <c r="AM12" i="16"/>
  <c r="L93" i="21"/>
  <c r="M93" i="21" s="1"/>
  <c r="AH12" i="16"/>
  <c r="CJ84" i="15"/>
  <c r="D57" i="24" s="1"/>
  <c r="Y169" i="9"/>
  <c r="Q39" i="14"/>
  <c r="CJ82" i="15"/>
  <c r="CJ105" i="15" s="1"/>
  <c r="CJ107" i="15" s="1"/>
  <c r="CJ92" i="15"/>
  <c r="BT14" i="14"/>
  <c r="R13" i="21"/>
  <c r="E24" i="21"/>
  <c r="S11" i="21" s="1"/>
  <c r="V29" i="14"/>
  <c r="BI16" i="14"/>
  <c r="E78" i="21"/>
  <c r="S19" i="21" s="1"/>
  <c r="AE20" i="34"/>
  <c r="L4" i="29" a="1"/>
  <c r="L18" i="29" s="1"/>
  <c r="T21" i="34"/>
  <c r="AH52" i="38"/>
  <c r="AH53" i="38" s="1"/>
  <c r="L15" i="40"/>
  <c r="H17" i="44"/>
  <c r="AH29" i="14"/>
  <c r="L85" i="21"/>
  <c r="M85" i="21" s="1"/>
  <c r="L145" i="21"/>
  <c r="M145" i="21" s="1"/>
  <c r="AH141" i="16"/>
  <c r="AL141" i="16"/>
  <c r="AH140" i="16"/>
  <c r="AH138" i="16" s="1"/>
  <c r="L140" i="21"/>
  <c r="M140" i="21" s="1"/>
  <c r="AL56" i="16"/>
  <c r="AK56" i="16"/>
  <c r="L135" i="21"/>
  <c r="M135" i="21" s="1"/>
  <c r="AJ56" i="16"/>
  <c r="C12" i="16"/>
  <c r="K12" i="16"/>
  <c r="S12" i="16"/>
  <c r="Q56" i="16"/>
  <c r="Y118" i="16"/>
  <c r="V118" i="16"/>
  <c r="AL41" i="16"/>
  <c r="F60" i="22"/>
  <c r="K60" i="22" s="1"/>
  <c r="AJ28" i="14"/>
  <c r="AE68" i="16"/>
  <c r="AE69" i="16" s="1"/>
  <c r="AR3" i="35" s="1"/>
  <c r="B12" i="16"/>
  <c r="C94" i="21" s="1"/>
  <c r="G97" i="21"/>
  <c r="I97" i="21" s="1"/>
  <c r="L114" i="21"/>
  <c r="O114" i="21" s="1"/>
  <c r="L148" i="21"/>
  <c r="M148" i="21" s="1"/>
  <c r="AE12" i="16"/>
  <c r="B27" i="16"/>
  <c r="C110" i="21" s="1"/>
  <c r="K125" i="16"/>
  <c r="K124" i="16" s="1"/>
  <c r="F17" i="16"/>
  <c r="X118" i="16"/>
  <c r="T119" i="16"/>
  <c r="AD17" i="16"/>
  <c r="AL119" i="16"/>
  <c r="AL68" i="16"/>
  <c r="AL73" i="16" s="1"/>
  <c r="L97" i="21"/>
  <c r="M97" i="21" s="1"/>
  <c r="AE72" i="16"/>
  <c r="AE18" i="16" s="1"/>
  <c r="AE27" i="16" s="1"/>
  <c r="AM72" i="16"/>
  <c r="AM18" i="16" s="1"/>
  <c r="AM67" i="16" s="1"/>
  <c r="L117" i="16"/>
  <c r="AF125" i="16"/>
  <c r="F68" i="16"/>
  <c r="F73" i="16" s="1"/>
  <c r="AC56" i="16"/>
  <c r="R17" i="16"/>
  <c r="Z119" i="16"/>
  <c r="L56" i="16"/>
  <c r="BG35" i="14"/>
  <c r="AO40" i="14"/>
  <c r="BG40" i="14"/>
  <c r="H32" i="42"/>
  <c r="U188" i="9"/>
  <c r="AN39" i="27"/>
  <c r="D210" i="17"/>
  <c r="AL40" i="27"/>
  <c r="AP84" i="15"/>
  <c r="D34" i="24" s="1"/>
  <c r="J34" i="24" s="1"/>
  <c r="T40" i="14"/>
  <c r="L41" i="34"/>
  <c r="X181" i="9"/>
  <c r="M247" i="17"/>
  <c r="M237" i="17" s="1"/>
  <c r="AU2" i="14"/>
  <c r="AZ2" i="14" s="1"/>
  <c r="BL15" i="14"/>
  <c r="AW12" i="14"/>
  <c r="AQ29" i="14"/>
  <c r="AP29" i="14"/>
  <c r="BI15" i="14"/>
  <c r="BM39" i="14"/>
  <c r="F28" i="14"/>
  <c r="E34" i="14" s="1"/>
  <c r="BC15" i="14"/>
  <c r="AQ15" i="14"/>
  <c r="AS12" i="14"/>
  <c r="AN15" i="14"/>
  <c r="BH16" i="14"/>
  <c r="AX35" i="14"/>
  <c r="S16" i="14"/>
  <c r="AI8" i="14"/>
  <c r="AJ8" i="14" s="1"/>
  <c r="BL16" i="14"/>
  <c r="AW7" i="14"/>
  <c r="AP15" i="14"/>
  <c r="BI12" i="14"/>
  <c r="AT12" i="14"/>
  <c r="BW15" i="14"/>
  <c r="O162" i="9"/>
  <c r="F6" i="22"/>
  <c r="F7" i="22"/>
  <c r="BI14" i="14"/>
  <c r="AI36" i="14"/>
  <c r="H13" i="14"/>
  <c r="H19" i="14" s="1"/>
  <c r="I19" i="14" s="1"/>
  <c r="J15" i="14"/>
  <c r="AA16" i="14"/>
  <c r="BB15" i="18"/>
  <c r="BB85" i="18" s="1"/>
  <c r="BF45" i="18"/>
  <c r="M369" i="17" s="1"/>
  <c r="O369" i="17" s="1"/>
  <c r="BB44" i="18"/>
  <c r="U15" i="14"/>
  <c r="D145" i="17"/>
  <c r="H145" i="17" s="1"/>
  <c r="J57" i="17"/>
  <c r="BM24" i="19"/>
  <c r="BO24" i="19" s="1"/>
  <c r="Z144" i="9"/>
  <c r="W53" i="34"/>
  <c r="E10" i="41"/>
  <c r="J10" i="41" s="1"/>
  <c r="BM36" i="19"/>
  <c r="BO36" i="19" s="1"/>
  <c r="E54" i="24"/>
  <c r="BB19" i="18"/>
  <c r="R162" i="1"/>
  <c r="N162" i="1" s="1"/>
  <c r="M195" i="1" s="1"/>
  <c r="AQ9" i="10"/>
  <c r="BM32" i="19"/>
  <c r="BO32" i="19" s="1"/>
  <c r="Z17" i="16"/>
  <c r="H22" i="16"/>
  <c r="H27" i="16" s="1"/>
  <c r="K174" i="17"/>
  <c r="F268" i="17"/>
  <c r="I268" i="17" s="1"/>
  <c r="F238" i="17"/>
  <c r="J238" i="17" s="1"/>
  <c r="G124" i="17"/>
  <c r="K124" i="17" s="1"/>
  <c r="E157" i="17"/>
  <c r="I157" i="17" s="1"/>
  <c r="G247" i="17"/>
  <c r="K247" i="17" s="1"/>
  <c r="E164" i="17"/>
  <c r="I164" i="17" s="1"/>
  <c r="G228" i="17"/>
  <c r="I228" i="17" s="1"/>
  <c r="E171" i="17"/>
  <c r="I171" i="17" s="1"/>
  <c r="G119" i="17"/>
  <c r="H336" i="17" s="1"/>
  <c r="F276" i="17"/>
  <c r="I276" i="17" s="1"/>
  <c r="D155" i="17"/>
  <c r="H155" i="17" s="1"/>
  <c r="N210" i="17"/>
  <c r="E148" i="17"/>
  <c r="I148" i="17" s="1"/>
  <c r="G230" i="17"/>
  <c r="G107" i="17"/>
  <c r="K107" i="17" s="1"/>
  <c r="H288" i="17"/>
  <c r="J288" i="17" s="1"/>
  <c r="G19" i="17"/>
  <c r="E150" i="17"/>
  <c r="I150" i="17" s="1"/>
  <c r="E146" i="17"/>
  <c r="I146" i="17" s="1"/>
  <c r="E143" i="17"/>
  <c r="I143" i="17" s="1"/>
  <c r="G208" i="17"/>
  <c r="I208" i="17" s="1"/>
  <c r="E152" i="17"/>
  <c r="I152" i="17" s="1"/>
  <c r="E166" i="17"/>
  <c r="I166" i="17" s="1"/>
  <c r="G201" i="17"/>
  <c r="I201" i="17" s="1"/>
  <c r="J205" i="17"/>
  <c r="E309" i="17"/>
  <c r="D162" i="17"/>
  <c r="H162" i="17" s="1"/>
  <c r="D154" i="17"/>
  <c r="H154" i="17" s="1"/>
  <c r="G110" i="17"/>
  <c r="K110" i="17" s="1"/>
  <c r="D172" i="17"/>
  <c r="H360" i="17" s="1"/>
  <c r="G225" i="17"/>
  <c r="I225" i="17" s="1"/>
  <c r="G81" i="17"/>
  <c r="H377" i="17" s="1"/>
  <c r="E144" i="17"/>
  <c r="I144" i="17" s="1"/>
  <c r="F267" i="17"/>
  <c r="I267" i="17" s="1"/>
  <c r="G127" i="17"/>
  <c r="K127" i="17" s="1"/>
  <c r="J209" i="17"/>
  <c r="E151" i="17"/>
  <c r="I151" i="17" s="1"/>
  <c r="D149" i="17"/>
  <c r="H149" i="17" s="1"/>
  <c r="E160" i="17"/>
  <c r="I160" i="17" s="1"/>
  <c r="F271" i="17"/>
  <c r="I271" i="17" s="1"/>
  <c r="E145" i="17"/>
  <c r="I145" i="17" s="1"/>
  <c r="G94" i="17"/>
  <c r="K94" i="17" s="1"/>
  <c r="E167" i="17"/>
  <c r="I167" i="17" s="1"/>
  <c r="H371" i="17"/>
  <c r="F273" i="17"/>
  <c r="I273" i="17" s="1"/>
  <c r="F239" i="17"/>
  <c r="J239" i="17" s="1"/>
  <c r="F241" i="17"/>
  <c r="J241" i="17" s="1"/>
  <c r="E176" i="17"/>
  <c r="G243" i="17"/>
  <c r="F259" i="17" s="1"/>
  <c r="I259" i="17" s="1"/>
  <c r="K218" i="17"/>
  <c r="D238" i="17"/>
  <c r="H287" i="17"/>
  <c r="J287" i="17" s="1"/>
  <c r="G113" i="17"/>
  <c r="K113" i="17" s="1"/>
  <c r="G97" i="17"/>
  <c r="K97" i="17" s="1"/>
  <c r="E159" i="17"/>
  <c r="I159" i="17" s="1"/>
  <c r="D144" i="17"/>
  <c r="H144" i="17" s="1"/>
  <c r="E312" i="17"/>
  <c r="G129" i="17"/>
  <c r="H343" i="17" s="1"/>
  <c r="G130" i="17"/>
  <c r="H344" i="17" s="1"/>
  <c r="H519" i="17" s="1"/>
  <c r="H290" i="17"/>
  <c r="J290" i="17" s="1"/>
  <c r="E161" i="17"/>
  <c r="I161" i="17" s="1"/>
  <c r="AW3" i="14"/>
  <c r="AW14" i="14"/>
  <c r="AX13" i="14"/>
  <c r="AX19" i="14" s="1"/>
  <c r="AK9" i="14"/>
  <c r="J162" i="1"/>
  <c r="K162" i="1" s="1"/>
  <c r="AH153" i="9"/>
  <c r="J22" i="16"/>
  <c r="F140" i="16"/>
  <c r="F138" i="16" s="1"/>
  <c r="N114" i="16"/>
  <c r="AQ18" i="35"/>
  <c r="AH24" i="18" s="1"/>
  <c r="AI24" i="18" s="1"/>
  <c r="BH24" i="18" s="1"/>
  <c r="AN84" i="15"/>
  <c r="D33" i="24" s="1"/>
  <c r="J33" i="24" s="1"/>
  <c r="J28" i="14"/>
  <c r="W35" i="14"/>
  <c r="AJ29" i="14"/>
  <c r="X29" i="14"/>
  <c r="BR14" i="14"/>
  <c r="O340" i="17"/>
  <c r="F133" i="17"/>
  <c r="O93" i="20"/>
  <c r="P22" i="16"/>
  <c r="E43" i="24"/>
  <c r="D96" i="20"/>
  <c r="I96" i="20" s="1"/>
  <c r="O29" i="14"/>
  <c r="BR9" i="14"/>
  <c r="S28" i="14"/>
  <c r="K36" i="14"/>
  <c r="AB14" i="14"/>
  <c r="M29" i="14"/>
  <c r="Y29" i="14"/>
  <c r="AH16" i="14"/>
  <c r="BO3" i="14"/>
  <c r="E48" i="24"/>
  <c r="H33" i="24"/>
  <c r="E61" i="24"/>
  <c r="F11" i="41"/>
  <c r="K11" i="41" s="1"/>
  <c r="K19" i="41"/>
  <c r="F19" i="41" s="1"/>
  <c r="Q162" i="9"/>
  <c r="R162" i="9"/>
  <c r="F38" i="1"/>
  <c r="N38" i="1" s="1"/>
  <c r="P162" i="9"/>
  <c r="N174" i="9"/>
  <c r="V174" i="9"/>
  <c r="E102" i="17"/>
  <c r="O174" i="9"/>
  <c r="W174" i="9"/>
  <c r="AI13" i="14"/>
  <c r="G253" i="17"/>
  <c r="F5" i="2"/>
  <c r="Z5" i="2" s="1"/>
  <c r="AB174" i="9"/>
  <c r="E103" i="17"/>
  <c r="U185" i="9"/>
  <c r="E115" i="17"/>
  <c r="E114" i="17" s="1"/>
  <c r="D5" i="20" s="1"/>
  <c r="AD185" i="9"/>
  <c r="AD188" i="9"/>
  <c r="AL188" i="9"/>
  <c r="E129" i="17"/>
  <c r="E128" i="17" s="1"/>
  <c r="D8" i="20" s="1"/>
  <c r="E81" i="17"/>
  <c r="F377" i="17" s="1"/>
  <c r="T35" i="14"/>
  <c r="Z36" i="14"/>
  <c r="K40" i="14"/>
  <c r="AG29" i="14"/>
  <c r="AA12" i="16"/>
  <c r="I12" i="16"/>
  <c r="Q12" i="16"/>
  <c r="P12" i="16"/>
  <c r="G12" i="16"/>
  <c r="X12" i="16"/>
  <c r="F12" i="16"/>
  <c r="N12" i="16"/>
  <c r="L17" i="16"/>
  <c r="D118" i="16"/>
  <c r="D137" i="16" s="1"/>
  <c r="K17" i="16"/>
  <c r="P119" i="16"/>
  <c r="E118" i="16"/>
  <c r="E137" i="16" s="1"/>
  <c r="F141" i="16"/>
  <c r="N141" i="16"/>
  <c r="Y125" i="16"/>
  <c r="Y124" i="16" s="1"/>
  <c r="E48" i="16"/>
  <c r="E56" i="16"/>
  <c r="M56" i="16"/>
  <c r="U56" i="16"/>
  <c r="P56" i="16"/>
  <c r="H141" i="16"/>
  <c r="G141" i="16"/>
  <c r="P141" i="16"/>
  <c r="Y140" i="16"/>
  <c r="Y138" i="16" s="1"/>
  <c r="K15" i="26"/>
  <c r="K18" i="26" s="1"/>
  <c r="R79" i="27"/>
  <c r="X79" i="27"/>
  <c r="AJ79" i="27"/>
  <c r="AI11" i="39" s="1"/>
  <c r="C9" i="21"/>
  <c r="Q9" i="21" s="1"/>
  <c r="P7" i="34"/>
  <c r="W51" i="34"/>
  <c r="V53" i="31"/>
  <c r="AF42" i="31"/>
  <c r="R53" i="31"/>
  <c r="Z53" i="31"/>
  <c r="BA21" i="31"/>
  <c r="K14" i="32" s="1"/>
  <c r="D41" i="34"/>
  <c r="L42" i="34"/>
  <c r="L59" i="34" s="1"/>
  <c r="P42" i="33"/>
  <c r="X42" i="33"/>
  <c r="AJ20" i="34"/>
  <c r="T42" i="33"/>
  <c r="AD21" i="34"/>
  <c r="H42" i="33"/>
  <c r="V45" i="34"/>
  <c r="AF45" i="34"/>
  <c r="K51" i="34"/>
  <c r="L51" i="34"/>
  <c r="U45" i="34"/>
  <c r="AE45" i="34"/>
  <c r="AM45" i="34"/>
  <c r="H45" i="34"/>
  <c r="X45" i="34"/>
  <c r="K45" i="34"/>
  <c r="S45" i="34"/>
  <c r="N45" i="34"/>
  <c r="AG45" i="34"/>
  <c r="B45" i="34"/>
  <c r="I45" i="34"/>
  <c r="Y45" i="34"/>
  <c r="AI45" i="34"/>
  <c r="D45" i="34"/>
  <c r="AD45" i="34"/>
  <c r="AL45" i="34"/>
  <c r="G45" i="34"/>
  <c r="P24" i="36"/>
  <c r="H55" i="38"/>
  <c r="AN52" i="38"/>
  <c r="AN53" i="38" s="1"/>
  <c r="C52" i="38"/>
  <c r="C53" i="38" s="1"/>
  <c r="F14" i="40"/>
  <c r="W154" i="9"/>
  <c r="I29" i="44"/>
  <c r="F16" i="22"/>
  <c r="G246" i="17"/>
  <c r="F246" i="17"/>
  <c r="J246" i="17" s="1"/>
  <c r="BK15" i="14"/>
  <c r="BB15" i="14"/>
  <c r="AE16" i="14"/>
  <c r="M16" i="14"/>
  <c r="M14" i="14"/>
  <c r="J3" i="14"/>
  <c r="K7" i="14"/>
  <c r="L7" i="14" s="1"/>
  <c r="AK12" i="14"/>
  <c r="BH15" i="14"/>
  <c r="W39" i="14"/>
  <c r="BQ15" i="14"/>
  <c r="BN15" i="14"/>
  <c r="AZ14" i="14"/>
  <c r="BE15" i="14"/>
  <c r="BL12" i="14"/>
  <c r="W8" i="14"/>
  <c r="X8" i="14" s="1"/>
  <c r="E8" i="14"/>
  <c r="F8" i="14" s="1"/>
  <c r="BT15" i="14"/>
  <c r="AU13" i="14"/>
  <c r="AM15" i="14"/>
  <c r="AB9" i="14"/>
  <c r="BG36" i="14"/>
  <c r="AV15" i="14"/>
  <c r="K8" i="14"/>
  <c r="L8" i="14" s="1"/>
  <c r="R29" i="14"/>
  <c r="Q38" i="14" s="1"/>
  <c r="E13" i="14"/>
  <c r="E19" i="14" s="1"/>
  <c r="AR8" i="14"/>
  <c r="AC39" i="14"/>
  <c r="Y9" i="14"/>
  <c r="M12" i="14"/>
  <c r="T13" i="14"/>
  <c r="T19" i="14" s="1"/>
  <c r="U19" i="14" s="1"/>
  <c r="N356" i="17"/>
  <c r="N355" i="17"/>
  <c r="AS51" i="34"/>
  <c r="N7" i="30"/>
  <c r="N34" i="30"/>
  <c r="M81" i="17"/>
  <c r="M79" i="17" s="1"/>
  <c r="B85" i="17" s="1"/>
  <c r="P66" i="36"/>
  <c r="L339" i="17"/>
  <c r="L336" i="17"/>
  <c r="BB35" i="18"/>
  <c r="O379" i="17"/>
  <c r="H277" i="17"/>
  <c r="F182" i="17"/>
  <c r="BB25" i="18"/>
  <c r="BB17" i="18"/>
  <c r="J202" i="17"/>
  <c r="H57" i="17"/>
  <c r="AJ57" i="17" s="1"/>
  <c r="J230" i="17"/>
  <c r="K267" i="17"/>
  <c r="J60" i="22"/>
  <c r="J61" i="2" s="1"/>
  <c r="BN22" i="18"/>
  <c r="I110" i="17"/>
  <c r="N126" i="17"/>
  <c r="L136" i="17"/>
  <c r="M136" i="17" s="1"/>
  <c r="G102" i="1"/>
  <c r="M126" i="17"/>
  <c r="I113" i="17"/>
  <c r="L288" i="17"/>
  <c r="E35" i="26"/>
  <c r="BM33" i="19"/>
  <c r="BO33" i="19" s="1"/>
  <c r="BM18" i="19"/>
  <c r="BO18" i="19" s="1"/>
  <c r="AH42" i="31"/>
  <c r="AB28" i="14"/>
  <c r="U40" i="27"/>
  <c r="Y21" i="34"/>
  <c r="AJ42" i="33"/>
  <c r="Z53" i="34"/>
  <c r="BM12" i="19"/>
  <c r="BO12" i="19" s="1"/>
  <c r="F48" i="16"/>
  <c r="E38" i="26"/>
  <c r="AE174" i="9"/>
  <c r="B94" i="20"/>
  <c r="E94" i="20" s="1"/>
  <c r="K94" i="20" s="1"/>
  <c r="J94" i="20" s="1"/>
  <c r="H52" i="38"/>
  <c r="H53" i="38" s="1"/>
  <c r="U182" i="9"/>
  <c r="K118" i="16"/>
  <c r="D48" i="16"/>
  <c r="AD42" i="33"/>
  <c r="Z125" i="16"/>
  <c r="Z124" i="16" s="1"/>
  <c r="AM38" i="27"/>
  <c r="I20" i="43"/>
  <c r="I77" i="20"/>
  <c r="I21" i="44"/>
  <c r="Z42" i="31"/>
  <c r="Q36" i="14"/>
  <c r="C55" i="38"/>
  <c r="AL42" i="31"/>
  <c r="L6" i="26"/>
  <c r="M6" i="26" s="1"/>
  <c r="F68" i="1"/>
  <c r="N68" i="1" s="1"/>
  <c r="P68" i="1" s="1"/>
  <c r="B35" i="26"/>
  <c r="B33" i="26" s="1"/>
  <c r="P20" i="34"/>
  <c r="AP41" i="27"/>
  <c r="AJ50" i="34"/>
  <c r="AJ53" i="34" s="1"/>
  <c r="BM9" i="19"/>
  <c r="BO9" i="19" s="1"/>
  <c r="BM26" i="19"/>
  <c r="BO26" i="19" s="1"/>
  <c r="AE188" i="9"/>
  <c r="F77" i="20"/>
  <c r="M77" i="20" s="1"/>
  <c r="L77" i="20" s="1"/>
  <c r="D102" i="17"/>
  <c r="I102" i="17" s="1"/>
  <c r="BM30" i="19"/>
  <c r="BO30" i="19" s="1"/>
  <c r="K230" i="17"/>
  <c r="AE185" i="9"/>
  <c r="AS14" i="14"/>
  <c r="K39" i="14"/>
  <c r="B68" i="16"/>
  <c r="B69" i="16" s="1"/>
  <c r="C152" i="21" s="1"/>
  <c r="R42" i="31"/>
  <c r="AK21" i="34"/>
  <c r="Y121" i="16"/>
  <c r="O53" i="34"/>
  <c r="L77" i="21"/>
  <c r="O77" i="21" s="1"/>
  <c r="O90" i="20"/>
  <c r="AD146" i="16"/>
  <c r="AD110" i="16" s="1"/>
  <c r="AD114" i="16" s="1"/>
  <c r="F37" i="2"/>
  <c r="Z17" i="2" s="1"/>
  <c r="AF40" i="14"/>
  <c r="M118" i="16"/>
  <c r="M137" i="16" s="1"/>
  <c r="R125" i="16"/>
  <c r="W20" i="34"/>
  <c r="AH20" i="34"/>
  <c r="BV4" i="15"/>
  <c r="BV79" i="15" s="1"/>
  <c r="BV82" i="15" s="1"/>
  <c r="BN4" i="15"/>
  <c r="BN79" i="15" s="1"/>
  <c r="BN82" i="15" s="1"/>
  <c r="BN105" i="15" s="1"/>
  <c r="L4" i="15"/>
  <c r="L79" i="15" s="1"/>
  <c r="L82" i="15" s="1"/>
  <c r="L83" i="15" s="1"/>
  <c r="G19" i="24" s="1"/>
  <c r="D4" i="15"/>
  <c r="D79" i="15" s="1"/>
  <c r="D82" i="15" s="1"/>
  <c r="D83" i="15" s="1"/>
  <c r="D84" i="15" s="1"/>
  <c r="BM41" i="19"/>
  <c r="BO41" i="19" s="1"/>
  <c r="BM39" i="19"/>
  <c r="BO39" i="19" s="1"/>
  <c r="AF53" i="31"/>
  <c r="T51" i="34"/>
  <c r="E118" i="17"/>
  <c r="F335" i="17" s="1"/>
  <c r="F334" i="17" s="1"/>
  <c r="E124" i="17"/>
  <c r="F338" i="17" s="1"/>
  <c r="F337" i="17" s="1"/>
  <c r="J12" i="14"/>
  <c r="B67" i="16"/>
  <c r="C150" i="21" s="1"/>
  <c r="M67" i="16"/>
  <c r="W42" i="27"/>
  <c r="P3" i="34"/>
  <c r="S38" i="27"/>
  <c r="H4" i="29" a="1"/>
  <c r="H29" i="29" s="1"/>
  <c r="Q21" i="34"/>
  <c r="E58" i="24"/>
  <c r="AO45" i="34"/>
  <c r="AS15" i="14"/>
  <c r="BN12" i="14"/>
  <c r="BR19" i="14"/>
  <c r="BN16" i="14"/>
  <c r="BM32" i="14" s="1"/>
  <c r="I12" i="45"/>
  <c r="I35" i="45"/>
  <c r="I57" i="17"/>
  <c r="AQ42" i="27"/>
  <c r="BA18" i="31"/>
  <c r="BM11" i="19"/>
  <c r="BO11" i="19" s="1"/>
  <c r="G48" i="16"/>
  <c r="BA20" i="31"/>
  <c r="K13" i="32" s="1"/>
  <c r="U20" i="34"/>
  <c r="I125" i="16"/>
  <c r="I124" i="16" s="1"/>
  <c r="AB114" i="16"/>
  <c r="X42" i="31"/>
  <c r="J17" i="7"/>
  <c r="J35" i="7" s="1"/>
  <c r="J38" i="7" s="1"/>
  <c r="V41" i="27"/>
  <c r="C132" i="21"/>
  <c r="AO40" i="27"/>
  <c r="H54" i="17"/>
  <c r="AJ54" i="17" s="1"/>
  <c r="AK54" i="17" s="1"/>
  <c r="AL54" i="17" s="1"/>
  <c r="Z150" i="9"/>
  <c r="AK153" i="9"/>
  <c r="S153" i="9"/>
  <c r="AI174" i="9"/>
  <c r="Y185" i="9"/>
  <c r="Q20" i="34"/>
  <c r="AK20" i="34"/>
  <c r="I31" i="45"/>
  <c r="AA68" i="16"/>
  <c r="AA73" i="16" s="1"/>
  <c r="AA79" i="16" s="1"/>
  <c r="BM50" i="19"/>
  <c r="BO50" i="19" s="1"/>
  <c r="G77" i="20"/>
  <c r="E77" i="20"/>
  <c r="K77" i="20" s="1"/>
  <c r="J77" i="20" s="1"/>
  <c r="H7" i="14"/>
  <c r="H2" i="14" s="1"/>
  <c r="I105" i="17"/>
  <c r="P35" i="36"/>
  <c r="T39" i="27"/>
  <c r="Q125" i="16"/>
  <c r="Q124" i="16" s="1"/>
  <c r="V12" i="14"/>
  <c r="BN14" i="14"/>
  <c r="H35" i="14"/>
  <c r="AG16" i="14"/>
  <c r="AD16" i="14"/>
  <c r="L16" i="14"/>
  <c r="AM16" i="14"/>
  <c r="I14" i="14"/>
  <c r="S3" i="14"/>
  <c r="BO14" i="14"/>
  <c r="M28" i="14"/>
  <c r="J9" i="14"/>
  <c r="BM36" i="14"/>
  <c r="Q8" i="14"/>
  <c r="R8" i="14" s="1"/>
  <c r="AN16" i="14"/>
  <c r="P29" i="14"/>
  <c r="AR35" i="14"/>
  <c r="AI39" i="14"/>
  <c r="C12" i="6"/>
  <c r="D96" i="1"/>
  <c r="D117" i="1" s="1"/>
  <c r="D155" i="1" s="1"/>
  <c r="L85" i="1"/>
  <c r="L113" i="1" s="1"/>
  <c r="F12" i="22"/>
  <c r="K12" i="22" s="1"/>
  <c r="F13" i="22"/>
  <c r="F14" i="22"/>
  <c r="F15" i="22"/>
  <c r="K15" i="22" s="1"/>
  <c r="CI83" i="15"/>
  <c r="CI104" i="15" s="1"/>
  <c r="H11" i="43"/>
  <c r="Q24" i="17"/>
  <c r="CI105" i="15"/>
  <c r="CI107" i="15" s="1"/>
  <c r="AB150" i="9"/>
  <c r="N35" i="14"/>
  <c r="O88" i="20"/>
  <c r="O80" i="20"/>
  <c r="AA153" i="16"/>
  <c r="AL114" i="16"/>
  <c r="AJ114" i="16"/>
  <c r="J24" i="25"/>
  <c r="J8" i="25" s="1"/>
  <c r="J6" i="25" s="1"/>
  <c r="D95" i="17"/>
  <c r="AC174" i="9"/>
  <c r="T174" i="9"/>
  <c r="AJ185" i="9"/>
  <c r="S185" i="9"/>
  <c r="AI40" i="14"/>
  <c r="AB52" i="38"/>
  <c r="AB53" i="38" s="1"/>
  <c r="L52" i="38"/>
  <c r="L53" i="38" s="1"/>
  <c r="AR52" i="38"/>
  <c r="AR53" i="38" s="1"/>
  <c r="D52" i="38"/>
  <c r="D53" i="38" s="1"/>
  <c r="AJ52" i="38"/>
  <c r="AJ53" i="38" s="1"/>
  <c r="R52" i="38"/>
  <c r="R53" i="38" s="1"/>
  <c r="K21" i="43"/>
  <c r="AG22" i="16"/>
  <c r="AJ17" i="16"/>
  <c r="AU49" i="34"/>
  <c r="AU62" i="34" s="1"/>
  <c r="AU64" i="34" s="1"/>
  <c r="AG49" i="34"/>
  <c r="AG62" i="34" s="1"/>
  <c r="AG64" i="34" s="1"/>
  <c r="W49" i="34"/>
  <c r="AG99" i="15"/>
  <c r="AH100" i="15" s="1"/>
  <c r="CE4" i="15"/>
  <c r="CE79" i="15" s="1"/>
  <c r="BE4" i="15"/>
  <c r="BE79" i="15" s="1"/>
  <c r="BE82" i="15" s="1"/>
  <c r="BE105" i="15" s="1"/>
  <c r="AU4" i="15"/>
  <c r="AU79" i="15" s="1"/>
  <c r="AU82" i="15" s="1"/>
  <c r="AU83" i="15" s="1"/>
  <c r="F37" i="24" s="1"/>
  <c r="AK4" i="15"/>
  <c r="AK79" i="15" s="1"/>
  <c r="AK82" i="15" s="1"/>
  <c r="U4" i="15"/>
  <c r="U79" i="15" s="1"/>
  <c r="U82" i="15" s="1"/>
  <c r="U83" i="15" s="1"/>
  <c r="F24" i="24" s="1"/>
  <c r="E4" i="15"/>
  <c r="E79" i="15" s="1"/>
  <c r="E82" i="15" s="1"/>
  <c r="E83" i="15" s="1"/>
  <c r="F16" i="24" s="1"/>
  <c r="AD50" i="34"/>
  <c r="AD53" i="34" s="1"/>
  <c r="BF105" i="15"/>
  <c r="N55" i="38"/>
  <c r="H17" i="43"/>
  <c r="E12" i="17"/>
  <c r="E24" i="17" s="1"/>
  <c r="AP9" i="14"/>
  <c r="BN9" i="14"/>
  <c r="AR83" i="15"/>
  <c r="G35" i="24" s="1"/>
  <c r="K270" i="17"/>
  <c r="AD140" i="16"/>
  <c r="AD138" i="16" s="1"/>
  <c r="AN45" i="34"/>
  <c r="BH52" i="38"/>
  <c r="BH53" i="38" s="1"/>
  <c r="K359" i="17"/>
  <c r="J29" i="41"/>
  <c r="L29" i="41" s="1"/>
  <c r="L99" i="17"/>
  <c r="M99" i="17" s="1"/>
  <c r="Q16" i="41"/>
  <c r="E16" i="41"/>
  <c r="E15" i="41" s="1"/>
  <c r="AP42" i="33"/>
  <c r="F24" i="2"/>
  <c r="Z15" i="2" s="1"/>
  <c r="F45" i="2"/>
  <c r="Z19" i="2" s="1"/>
  <c r="R15" i="25"/>
  <c r="R23" i="25"/>
  <c r="K24" i="25"/>
  <c r="K8" i="25" s="1"/>
  <c r="K6" i="25" s="1"/>
  <c r="R9" i="25"/>
  <c r="E8" i="44"/>
  <c r="J27" i="41"/>
  <c r="E27" i="41" s="1"/>
  <c r="G27" i="41" s="1"/>
  <c r="L95" i="17"/>
  <c r="M95" i="17" s="1"/>
  <c r="Q51" i="1"/>
  <c r="M51" i="1" s="1"/>
  <c r="O51" i="1" s="1"/>
  <c r="AM41" i="16"/>
  <c r="AS9" i="14"/>
  <c r="BU13" i="14"/>
  <c r="G112" i="17"/>
  <c r="H329" i="17" s="1"/>
  <c r="H503" i="17" s="1"/>
  <c r="AA50" i="34"/>
  <c r="AA53" i="34" s="1"/>
  <c r="O5" i="19"/>
  <c r="J4" i="30" a="1"/>
  <c r="J35" i="30" s="1"/>
  <c r="R13" i="16"/>
  <c r="K149" i="17"/>
  <c r="AT4" i="15"/>
  <c r="AT79" i="15" s="1"/>
  <c r="AT82" i="15" s="1"/>
  <c r="X50" i="34" s="1"/>
  <c r="X53" i="34" s="1"/>
  <c r="AL4" i="15"/>
  <c r="AL79" i="15" s="1"/>
  <c r="AL82" i="15" s="1"/>
  <c r="T50" i="34" s="1"/>
  <c r="T53" i="34" s="1"/>
  <c r="AD4" i="15"/>
  <c r="AD79" i="15" s="1"/>
  <c r="AD82" i="15" s="1"/>
  <c r="P50" i="34" s="1"/>
  <c r="AN154" i="9"/>
  <c r="AQ28" i="14"/>
  <c r="AJ22" i="16"/>
  <c r="AJ27" i="16" s="1"/>
  <c r="AH22" i="16"/>
  <c r="AH27" i="16" s="1"/>
  <c r="AE119" i="16"/>
  <c r="AH118" i="16"/>
  <c r="AF12" i="16"/>
  <c r="AC117" i="16"/>
  <c r="AC115" i="16" s="1"/>
  <c r="AC116" i="16" s="1"/>
  <c r="AC132" i="16" s="1"/>
  <c r="AE56" i="16"/>
  <c r="AB141" i="16"/>
  <c r="N42" i="35"/>
  <c r="N51" i="35" s="1"/>
  <c r="BX3" i="14"/>
  <c r="BT16" i="14"/>
  <c r="G337" i="17"/>
  <c r="O55" i="38"/>
  <c r="I55" i="38"/>
  <c r="AB12" i="16"/>
  <c r="AL8" i="14"/>
  <c r="BW8" i="14" s="1"/>
  <c r="F12" i="41"/>
  <c r="K12" i="41" s="1"/>
  <c r="L12" i="41" s="1"/>
  <c r="AI150" i="9"/>
  <c r="W36" i="14"/>
  <c r="AN12" i="14"/>
  <c r="Y15" i="14"/>
  <c r="J16" i="14"/>
  <c r="H32" i="14" s="1"/>
  <c r="AK16" i="14"/>
  <c r="Y16" i="14"/>
  <c r="E147" i="17"/>
  <c r="I147" i="17" s="1"/>
  <c r="I54" i="17"/>
  <c r="D22" i="16"/>
  <c r="D27" i="16" s="1"/>
  <c r="X56" i="16"/>
  <c r="H56" i="16"/>
  <c r="R56" i="16"/>
  <c r="D141" i="16"/>
  <c r="Z141" i="16"/>
  <c r="Z79" i="27"/>
  <c r="J42" i="34"/>
  <c r="J59" i="34" s="1"/>
  <c r="AA45" i="34"/>
  <c r="F347" i="17"/>
  <c r="I10" i="39"/>
  <c r="Q10" i="39"/>
  <c r="I13" i="40"/>
  <c r="L13" i="40"/>
  <c r="H15" i="40"/>
  <c r="Q19" i="40"/>
  <c r="K7" i="42"/>
  <c r="K12" i="42"/>
  <c r="F19" i="42"/>
  <c r="H19" i="42" s="1"/>
  <c r="H30" i="42"/>
  <c r="O154" i="9"/>
  <c r="E22" i="43"/>
  <c r="K24" i="43"/>
  <c r="K35" i="43"/>
  <c r="F15" i="44"/>
  <c r="H15" i="44" s="1"/>
  <c r="H22" i="44"/>
  <c r="C16" i="44"/>
  <c r="E16" i="44" s="1"/>
  <c r="E32" i="44"/>
  <c r="K23" i="45"/>
  <c r="H29" i="45"/>
  <c r="P75" i="36"/>
  <c r="T140" i="16"/>
  <c r="T138" i="16" s="1"/>
  <c r="S141" i="16"/>
  <c r="AN14" i="16"/>
  <c r="X140" i="16"/>
  <c r="X138" i="16" s="1"/>
  <c r="Y22" i="16"/>
  <c r="Y27" i="16" s="1"/>
  <c r="Z118" i="16"/>
  <c r="V119" i="16"/>
  <c r="T22" i="16"/>
  <c r="T27" i="16" s="1"/>
  <c r="N14" i="40"/>
  <c r="U119" i="16"/>
  <c r="AG79" i="27"/>
  <c r="AF11" i="39" s="1"/>
  <c r="AF79" i="27"/>
  <c r="AE11" i="39" s="1"/>
  <c r="AE79" i="27"/>
  <c r="AD11" i="39" s="1"/>
  <c r="AC79" i="27"/>
  <c r="AB11" i="39" s="1"/>
  <c r="AL163" i="9"/>
  <c r="E91" i="17"/>
  <c r="N91" i="17" s="1"/>
  <c r="U163" i="9"/>
  <c r="U162" i="9" s="1"/>
  <c r="AK163" i="9"/>
  <c r="AK162" i="9" s="1"/>
  <c r="E93" i="17"/>
  <c r="N93" i="17" s="1"/>
  <c r="X163" i="9"/>
  <c r="X162" i="9" s="1"/>
  <c r="I30" i="43"/>
  <c r="W67" i="16"/>
  <c r="W119" i="16"/>
  <c r="W12" i="16"/>
  <c r="K28" i="7"/>
  <c r="AL79" i="27"/>
  <c r="AK11" i="39" s="1"/>
  <c r="Y114" i="16"/>
  <c r="K27" i="32"/>
  <c r="I13" i="16"/>
  <c r="I68" i="16" s="1"/>
  <c r="H257" i="17"/>
  <c r="K268" i="17"/>
  <c r="AL140" i="16"/>
  <c r="AL138" i="16" s="1"/>
  <c r="L146" i="21"/>
  <c r="M146" i="21" s="1"/>
  <c r="I52" i="38"/>
  <c r="I53" i="38" s="1"/>
  <c r="S37" i="35" s="1"/>
  <c r="F52" i="38"/>
  <c r="F53" i="38" s="1"/>
  <c r="AV52" i="38"/>
  <c r="AV53" i="38" s="1"/>
  <c r="AD52" i="38"/>
  <c r="AD53" i="38" s="1"/>
  <c r="D55" i="38"/>
  <c r="H255" i="17"/>
  <c r="D243" i="17"/>
  <c r="H265" i="17"/>
  <c r="H261" i="17"/>
  <c r="BE52" i="38"/>
  <c r="BE56" i="38" s="1"/>
  <c r="AX52" i="38"/>
  <c r="AX53" i="38" s="1"/>
  <c r="AP52" i="38"/>
  <c r="AP53" i="38" s="1"/>
  <c r="P52" i="38"/>
  <c r="P53" i="38" s="1"/>
  <c r="AF52" i="38"/>
  <c r="AF53" i="38" s="1"/>
  <c r="AY52" i="38"/>
  <c r="AW52" i="38"/>
  <c r="AW53" i="38" s="1"/>
  <c r="AM37" i="35" s="1"/>
  <c r="AU52" i="38"/>
  <c r="AU53" i="38" s="1"/>
  <c r="AL37" i="35" s="1"/>
  <c r="AI52" i="38"/>
  <c r="AI53" i="38" s="1"/>
  <c r="AF37" i="35" s="1"/>
  <c r="K55" i="38"/>
  <c r="G52" i="38"/>
  <c r="G53" i="38" s="1"/>
  <c r="R37" i="35" s="1"/>
  <c r="AF140" i="16"/>
  <c r="AF138" i="16" s="1"/>
  <c r="AG51" i="34"/>
  <c r="AG42" i="34"/>
  <c r="I8" i="36" s="1"/>
  <c r="W125" i="16"/>
  <c r="W124" i="16" s="1"/>
  <c r="L67" i="1"/>
  <c r="L107" i="1" s="1"/>
  <c r="W141" i="16"/>
  <c r="T181" i="9"/>
  <c r="T143" i="9"/>
  <c r="Q182" i="9"/>
  <c r="Q144" i="9"/>
  <c r="S120" i="16"/>
  <c r="S125" i="16" s="1"/>
  <c r="S124" i="16" s="1"/>
  <c r="AG27" i="18"/>
  <c r="BC27" i="18" s="1"/>
  <c r="BB27" i="18"/>
  <c r="AR30" i="18"/>
  <c r="AS30" i="18" s="1"/>
  <c r="BG30" i="18" s="1"/>
  <c r="AE49" i="18"/>
  <c r="BG49" i="18" s="1"/>
  <c r="AD49" i="18"/>
  <c r="AD46" i="18" s="1"/>
  <c r="AE46" i="18" s="1"/>
  <c r="AK40" i="35"/>
  <c r="C42" i="6" s="1"/>
  <c r="AS52" i="38"/>
  <c r="AS53" i="38" s="1"/>
  <c r="AK37" i="35" s="1"/>
  <c r="D271" i="17"/>
  <c r="H271" i="17" s="1"/>
  <c r="R6" i="19"/>
  <c r="R5" i="19" s="1"/>
  <c r="O6" i="28"/>
  <c r="AC45" i="34"/>
  <c r="D4" i="29" a="1"/>
  <c r="D6" i="29" s="1"/>
  <c r="AD42" i="31"/>
  <c r="AC21" i="34"/>
  <c r="AC51" i="34" s="1"/>
  <c r="E18" i="36" s="1"/>
  <c r="AC3" i="34"/>
  <c r="AD55" i="31"/>
  <c r="AB45" i="34"/>
  <c r="AB21" i="34"/>
  <c r="AB51" i="34" s="1"/>
  <c r="D18" i="36" s="1"/>
  <c r="C4" i="29" a="1"/>
  <c r="C19" i="29" s="1"/>
  <c r="AC53" i="31"/>
  <c r="CV4" i="15"/>
  <c r="CV79" i="15" s="1"/>
  <c r="CV82" i="15" s="1"/>
  <c r="AY50" i="34" s="1"/>
  <c r="CV84" i="15"/>
  <c r="D63" i="24" s="1"/>
  <c r="CN4" i="15"/>
  <c r="CN79" i="15" s="1"/>
  <c r="D59" i="24"/>
  <c r="E59" i="24" s="1"/>
  <c r="H17" i="17"/>
  <c r="K17" i="17" s="1"/>
  <c r="H23" i="17"/>
  <c r="Q125" i="1"/>
  <c r="D17" i="17"/>
  <c r="E364" i="17" s="1"/>
  <c r="F126" i="1"/>
  <c r="E17" i="17"/>
  <c r="F364" i="17" s="1"/>
  <c r="D19" i="17"/>
  <c r="C19" i="17"/>
  <c r="E144" i="1"/>
  <c r="K144" i="1" s="1"/>
  <c r="L118" i="17"/>
  <c r="M118" i="17" s="1"/>
  <c r="M117" i="17" s="1"/>
  <c r="AN185" i="9"/>
  <c r="Q46" i="1"/>
  <c r="M46" i="1" s="1"/>
  <c r="AN169" i="9"/>
  <c r="AO20" i="34"/>
  <c r="AO51" i="34" s="1"/>
  <c r="AO42" i="33"/>
  <c r="AI181" i="9"/>
  <c r="AI143" i="9"/>
  <c r="AF56" i="16"/>
  <c r="I33" i="44"/>
  <c r="H7" i="42"/>
  <c r="G84" i="15"/>
  <c r="C17" i="24" s="1"/>
  <c r="I17" i="24" s="1"/>
  <c r="I7" i="42"/>
  <c r="R22" i="25"/>
  <c r="F16" i="41"/>
  <c r="F15" i="41" s="1"/>
  <c r="K14" i="40"/>
  <c r="I18" i="42"/>
  <c r="I15" i="45"/>
  <c r="I10" i="44"/>
  <c r="I28" i="45"/>
  <c r="I22" i="44"/>
  <c r="I26" i="42"/>
  <c r="I28" i="43"/>
  <c r="S12" i="14"/>
  <c r="I40" i="43"/>
  <c r="D178" i="17"/>
  <c r="H178" i="17" s="1"/>
  <c r="BF52" i="38"/>
  <c r="BF53" i="38" s="1"/>
  <c r="P12" i="14"/>
  <c r="F55" i="38"/>
  <c r="I20" i="44"/>
  <c r="I11" i="45"/>
  <c r="L105" i="17"/>
  <c r="M105" i="17" s="1"/>
  <c r="CO84" i="15"/>
  <c r="C60" i="24" s="1"/>
  <c r="E60" i="24" s="1"/>
  <c r="CO4" i="15"/>
  <c r="CO79" i="15" s="1"/>
  <c r="CO82" i="15" s="1"/>
  <c r="CO105" i="15" s="1"/>
  <c r="CO107" i="15" s="1"/>
  <c r="C49" i="34"/>
  <c r="C45" i="34"/>
  <c r="W40" i="35"/>
  <c r="Q52" i="38"/>
  <c r="Q53" i="38" s="1"/>
  <c r="W37" i="35" s="1"/>
  <c r="J18" i="16"/>
  <c r="J13" i="16"/>
  <c r="J68" i="16" s="1"/>
  <c r="J73" i="16" s="1"/>
  <c r="C4" i="21"/>
  <c r="Q4" i="21" s="1"/>
  <c r="G106" i="21"/>
  <c r="I106" i="21" s="1"/>
  <c r="G129" i="21"/>
  <c r="I129" i="21" s="1"/>
  <c r="G147" i="21"/>
  <c r="I147" i="21" s="1"/>
  <c r="G118" i="21"/>
  <c r="I118" i="21" s="1"/>
  <c r="L86" i="21"/>
  <c r="L54" i="21" s="1"/>
  <c r="M54" i="21" s="1"/>
  <c r="L8" i="21"/>
  <c r="N8" i="21" s="1"/>
  <c r="AB8" i="21" s="1"/>
  <c r="G79" i="21"/>
  <c r="J79" i="21" s="1"/>
  <c r="G161" i="21"/>
  <c r="L87" i="21"/>
  <c r="M87" i="21" s="1"/>
  <c r="L109" i="21"/>
  <c r="M109" i="21" s="1"/>
  <c r="G133" i="21"/>
  <c r="I133" i="21" s="1"/>
  <c r="L142" i="21"/>
  <c r="M142" i="21" s="1"/>
  <c r="L106" i="21"/>
  <c r="M106" i="21" s="1"/>
  <c r="G116" i="21"/>
  <c r="I116" i="21" s="1"/>
  <c r="G80" i="21"/>
  <c r="J80" i="21" s="1"/>
  <c r="G101" i="21"/>
  <c r="I101" i="21" s="1"/>
  <c r="G102" i="21"/>
  <c r="I102" i="21" s="1"/>
  <c r="G148" i="21"/>
  <c r="I148" i="21" s="1"/>
  <c r="L112" i="21"/>
  <c r="M112" i="21" s="1"/>
  <c r="G103" i="21"/>
  <c r="I103" i="21" s="1"/>
  <c r="L133" i="21"/>
  <c r="M133" i="21" s="1"/>
  <c r="G140" i="21"/>
  <c r="I140" i="21" s="1"/>
  <c r="L111" i="21"/>
  <c r="M111" i="21" s="1"/>
  <c r="L91" i="21"/>
  <c r="M91" i="21" s="1"/>
  <c r="G130" i="21"/>
  <c r="I130" i="21" s="1"/>
  <c r="G132" i="21"/>
  <c r="L136" i="21"/>
  <c r="M136" i="21" s="1"/>
  <c r="G91" i="21"/>
  <c r="I91" i="21" s="1"/>
  <c r="L45" i="21"/>
  <c r="M45" i="21" s="1"/>
  <c r="G123" i="21"/>
  <c r="I123" i="21" s="1"/>
  <c r="L105" i="21"/>
  <c r="M105" i="21" s="1"/>
  <c r="L137" i="21"/>
  <c r="M137" i="21" s="1"/>
  <c r="L134" i="21"/>
  <c r="M134" i="21" s="1"/>
  <c r="Q45" i="1"/>
  <c r="M45" i="1" s="1"/>
  <c r="O45" i="1" s="1"/>
  <c r="AM144" i="9"/>
  <c r="L124" i="17"/>
  <c r="L123" i="17" s="1"/>
  <c r="AM188" i="9"/>
  <c r="P37" i="6"/>
  <c r="P32" i="32"/>
  <c r="P28" i="6"/>
  <c r="P15" i="32"/>
  <c r="P36" i="32"/>
  <c r="P20" i="6"/>
  <c r="P13" i="40"/>
  <c r="P15" i="40"/>
  <c r="I38" i="43"/>
  <c r="BH105" i="15"/>
  <c r="I35" i="44"/>
  <c r="I33" i="43"/>
  <c r="AB83" i="15"/>
  <c r="I18" i="43"/>
  <c r="M14" i="40"/>
  <c r="K9" i="45"/>
  <c r="I27" i="44"/>
  <c r="I23" i="44"/>
  <c r="I21" i="43"/>
  <c r="H286" i="17"/>
  <c r="J286" i="17" s="1"/>
  <c r="G115" i="17"/>
  <c r="G211" i="17" s="1"/>
  <c r="G202" i="17"/>
  <c r="I202" i="17" s="1"/>
  <c r="I15" i="43"/>
  <c r="F266" i="17"/>
  <c r="I266" i="17" s="1"/>
  <c r="H347" i="17"/>
  <c r="E40" i="24"/>
  <c r="AQ12" i="14"/>
  <c r="BH12" i="14"/>
  <c r="AP12" i="14"/>
  <c r="I30" i="44"/>
  <c r="BT12" i="14"/>
  <c r="G99" i="17"/>
  <c r="K99" i="17" s="1"/>
  <c r="AB16" i="14"/>
  <c r="E358" i="17"/>
  <c r="I17" i="44"/>
  <c r="F16" i="14"/>
  <c r="E32" i="14" s="1"/>
  <c r="BQ12" i="14"/>
  <c r="M210" i="17"/>
  <c r="I46" i="42"/>
  <c r="I22" i="43"/>
  <c r="D241" i="17"/>
  <c r="J14" i="40"/>
  <c r="Y116" i="16"/>
  <c r="E11" i="41"/>
  <c r="J11" i="41" s="1"/>
  <c r="BU7" i="14"/>
  <c r="BU12" i="14"/>
  <c r="F330" i="17"/>
  <c r="N113" i="17"/>
  <c r="O361" i="17"/>
  <c r="M358" i="17"/>
  <c r="O358" i="17" s="1"/>
  <c r="M73" i="1"/>
  <c r="M109" i="1" s="1"/>
  <c r="Q72" i="1"/>
  <c r="M72" i="1" s="1"/>
  <c r="M185" i="1" s="1"/>
  <c r="V4" i="39"/>
  <c r="AA6" i="39" s="1"/>
  <c r="AA9" i="39" s="1"/>
  <c r="H14" i="45"/>
  <c r="K14" i="45"/>
  <c r="AG4" i="14"/>
  <c r="AG28" i="14" s="1"/>
  <c r="AK4" i="14"/>
  <c r="AI35" i="14" s="1"/>
  <c r="AF28" i="14"/>
  <c r="K25" i="42"/>
  <c r="M55" i="35"/>
  <c r="I41" i="43"/>
  <c r="AH4" i="14"/>
  <c r="I13" i="45"/>
  <c r="I10" i="43"/>
  <c r="G92" i="17"/>
  <c r="K92" i="17" s="1"/>
  <c r="F1" i="12"/>
  <c r="D19" i="12" s="1"/>
  <c r="G207" i="17"/>
  <c r="I207" i="17" s="1"/>
  <c r="G244" i="17"/>
  <c r="F260" i="17" s="1"/>
  <c r="I260" i="17" s="1"/>
  <c r="G242" i="17"/>
  <c r="F258" i="17" s="1"/>
  <c r="I258" i="17" s="1"/>
  <c r="G239" i="17"/>
  <c r="K239" i="17" s="1"/>
  <c r="E31" i="45"/>
  <c r="BW12" i="14"/>
  <c r="I24" i="45"/>
  <c r="G76" i="17"/>
  <c r="H374" i="17" s="1"/>
  <c r="I16" i="45"/>
  <c r="AS128" i="16"/>
  <c r="AU128" i="16" s="1"/>
  <c r="AV136" i="16" s="1"/>
  <c r="AD163" i="9"/>
  <c r="AD162" i="9" s="1"/>
  <c r="AM41" i="27"/>
  <c r="BG52" i="38"/>
  <c r="BG53" i="38" s="1"/>
  <c r="AR37" i="35" s="1"/>
  <c r="AJ9" i="18" s="1"/>
  <c r="AJ10" i="18" s="1"/>
  <c r="AK10" i="18" s="1"/>
  <c r="AK9" i="18" s="1"/>
  <c r="AD13" i="16"/>
  <c r="AD68" i="16" s="1"/>
  <c r="AD72" i="16"/>
  <c r="AD18" i="16" s="1"/>
  <c r="I30" i="45"/>
  <c r="I45" i="42"/>
  <c r="I23" i="45"/>
  <c r="AY132" i="16"/>
  <c r="BA137" i="16"/>
  <c r="AR42" i="33"/>
  <c r="AR21" i="34"/>
  <c r="AR51" i="34" s="1"/>
  <c r="R7" i="25"/>
  <c r="J159" i="1"/>
  <c r="K159" i="1" s="1"/>
  <c r="H10" i="3"/>
  <c r="H11" i="3" s="1"/>
  <c r="K17" i="3" s="1"/>
  <c r="L24" i="25"/>
  <c r="L8" i="25" s="1"/>
  <c r="L6" i="25" s="1"/>
  <c r="AJ42" i="31"/>
  <c r="I13" i="43"/>
  <c r="G109" i="17"/>
  <c r="K109" i="17" s="1"/>
  <c r="G94" i="1"/>
  <c r="K11" i="43"/>
  <c r="AV12" i="14"/>
  <c r="O12" i="14"/>
  <c r="I25" i="42"/>
  <c r="E305" i="17"/>
  <c r="AI37" i="27"/>
  <c r="G131" i="17"/>
  <c r="G198" i="17"/>
  <c r="I198" i="17" s="1"/>
  <c r="I8" i="43"/>
  <c r="E30" i="44"/>
  <c r="I27" i="42"/>
  <c r="J59" i="22"/>
  <c r="J60" i="2" s="1"/>
  <c r="Q15" i="41"/>
  <c r="AP20" i="34"/>
  <c r="BA20" i="34" s="1"/>
  <c r="AM118" i="16"/>
  <c r="AM17" i="16"/>
  <c r="AK117" i="16"/>
  <c r="AK116" i="16" s="1"/>
  <c r="AK132" i="16" s="1"/>
  <c r="AK68" i="16"/>
  <c r="AK69" i="16" s="1"/>
  <c r="AF141" i="16"/>
  <c r="I39" i="43"/>
  <c r="R21" i="25"/>
  <c r="I24" i="42"/>
  <c r="F24" i="25"/>
  <c r="F8" i="25" s="1"/>
  <c r="F6" i="25" s="1"/>
  <c r="J207" i="17"/>
  <c r="X16" i="14"/>
  <c r="I33" i="45"/>
  <c r="G100" i="17"/>
  <c r="K100" i="17" s="1"/>
  <c r="N40" i="14"/>
  <c r="E35" i="45"/>
  <c r="H15" i="42"/>
  <c r="K15" i="42"/>
  <c r="H14" i="40"/>
  <c r="G14" i="40"/>
  <c r="I15" i="44"/>
  <c r="I33" i="42"/>
  <c r="BZ83" i="15"/>
  <c r="BZ104" i="15" s="1"/>
  <c r="BZ106" i="15" s="1"/>
  <c r="I35" i="42"/>
  <c r="V50" i="34"/>
  <c r="V53" i="34" s="1"/>
  <c r="I17" i="45"/>
  <c r="G95" i="17"/>
  <c r="K95" i="17" s="1"/>
  <c r="P14" i="40"/>
  <c r="K27" i="43"/>
  <c r="I36" i="43"/>
  <c r="J32" i="42"/>
  <c r="K32" i="42" s="1"/>
  <c r="I12" i="44"/>
  <c r="AG138" i="16"/>
  <c r="G177" i="21" s="1"/>
  <c r="BS36" i="14"/>
  <c r="BT3" i="14"/>
  <c r="AB56" i="16"/>
  <c r="H229" i="17"/>
  <c r="J136" i="17"/>
  <c r="Z68" i="16"/>
  <c r="Z73" i="16" s="1"/>
  <c r="AQ51" i="34"/>
  <c r="X68" i="16"/>
  <c r="X73" i="16" s="1"/>
  <c r="E98" i="17"/>
  <c r="N98" i="17" s="1"/>
  <c r="J19" i="41"/>
  <c r="E19" i="41" s="1"/>
  <c r="K22" i="44"/>
  <c r="G95" i="21"/>
  <c r="I95" i="21" s="1"/>
  <c r="W27" i="16"/>
  <c r="AT51" i="34"/>
  <c r="AF46" i="18"/>
  <c r="AG46" i="18" s="1"/>
  <c r="BS35" i="14"/>
  <c r="I50" i="34"/>
  <c r="I53" i="34" s="1"/>
  <c r="AD10" i="18"/>
  <c r="AE10" i="18" s="1"/>
  <c r="AE9" i="18" s="1"/>
  <c r="AI154" i="9"/>
  <c r="AG17" i="16"/>
  <c r="AR40" i="14"/>
  <c r="BI3" i="14"/>
  <c r="BF9" i="14"/>
  <c r="BD40" i="14"/>
  <c r="AN29" i="18"/>
  <c r="AO29" i="18" s="1"/>
  <c r="AN24" i="18"/>
  <c r="AO24" i="18" s="1"/>
  <c r="AH67" i="16"/>
  <c r="H28" i="43"/>
  <c r="K261" i="17"/>
  <c r="AA118" i="16"/>
  <c r="BJ39" i="14"/>
  <c r="J174" i="17"/>
  <c r="I18" i="16"/>
  <c r="Q60" i="1"/>
  <c r="M60" i="1" s="1"/>
  <c r="D23" i="1" s="1"/>
  <c r="BC42" i="18"/>
  <c r="AE34" i="22"/>
  <c r="P70" i="36"/>
  <c r="BB28" i="18"/>
  <c r="F21" i="30"/>
  <c r="F9" i="30"/>
  <c r="D22" i="30"/>
  <c r="AS45" i="34"/>
  <c r="D32" i="30"/>
  <c r="F311" i="17"/>
  <c r="H312" i="17" s="1"/>
  <c r="M347" i="17"/>
  <c r="G98" i="21"/>
  <c r="I98" i="21" s="1"/>
  <c r="AG119" i="16"/>
  <c r="L98" i="21"/>
  <c r="BI9" i="14"/>
  <c r="BD2" i="14"/>
  <c r="F28" i="30"/>
  <c r="F20" i="30"/>
  <c r="F15" i="30"/>
  <c r="D11" i="30"/>
  <c r="F35" i="30"/>
  <c r="F31" i="30"/>
  <c r="F16" i="30"/>
  <c r="F18" i="30"/>
  <c r="D27" i="30"/>
  <c r="F27" i="30"/>
  <c r="F5" i="30"/>
  <c r="D34" i="30"/>
  <c r="F10" i="30"/>
  <c r="F17" i="30"/>
  <c r="D15" i="30"/>
  <c r="G7" i="30"/>
  <c r="D29" i="30"/>
  <c r="F4" i="30"/>
  <c r="F8" i="30"/>
  <c r="F12" i="30"/>
  <c r="D28" i="30"/>
  <c r="D17" i="16"/>
  <c r="E44" i="42"/>
  <c r="K26" i="43"/>
  <c r="K21" i="44"/>
  <c r="K35" i="44"/>
  <c r="K13" i="45"/>
  <c r="E27" i="45"/>
  <c r="K19" i="44"/>
  <c r="E34" i="44"/>
  <c r="K25" i="45"/>
  <c r="F35" i="1"/>
  <c r="N35" i="1" s="1"/>
  <c r="E50" i="24"/>
  <c r="H84" i="15"/>
  <c r="D17" i="24" s="1"/>
  <c r="J17" i="24" s="1"/>
  <c r="BF83" i="15"/>
  <c r="G42" i="24" s="1"/>
  <c r="J42" i="24" s="1"/>
  <c r="D41" i="26"/>
  <c r="E30" i="45"/>
  <c r="C11" i="23"/>
  <c r="G8" i="1"/>
  <c r="G18" i="41"/>
  <c r="BU83" i="15"/>
  <c r="BU104" i="15" s="1"/>
  <c r="O32" i="26"/>
  <c r="Q32" i="26" s="1"/>
  <c r="R32" i="26" s="1"/>
  <c r="F15" i="14"/>
  <c r="Z13" i="14"/>
  <c r="Z19" i="14" s="1"/>
  <c r="AA19" i="14" s="1"/>
  <c r="Y42" i="5"/>
  <c r="Y43" i="5" s="1"/>
  <c r="H57" i="2"/>
  <c r="AB21" i="2" s="1"/>
  <c r="G104" i="1"/>
  <c r="L56" i="1"/>
  <c r="L104" i="1" s="1"/>
  <c r="J3" i="6"/>
  <c r="N83" i="1"/>
  <c r="P83" i="1" s="1"/>
  <c r="F24" i="1"/>
  <c r="AB50" i="34"/>
  <c r="BB105" i="15"/>
  <c r="BB83" i="15"/>
  <c r="G40" i="24" s="1"/>
  <c r="J40" i="24" s="1"/>
  <c r="AG50" i="34"/>
  <c r="BL83" i="15"/>
  <c r="G45" i="24" s="1"/>
  <c r="J45" i="24" s="1"/>
  <c r="BL105" i="15"/>
  <c r="AO35" i="17"/>
  <c r="AO33" i="17" s="1"/>
  <c r="F67" i="16"/>
  <c r="H17" i="24"/>
  <c r="AM28" i="14"/>
  <c r="K27" i="44"/>
  <c r="BX13" i="14"/>
  <c r="CB83" i="15"/>
  <c r="CB104" i="15" s="1"/>
  <c r="CB106" i="15" s="1"/>
  <c r="N67" i="16"/>
  <c r="S174" i="9"/>
  <c r="AJ174" i="9"/>
  <c r="Z185" i="9"/>
  <c r="AI185" i="9"/>
  <c r="W40" i="14"/>
  <c r="J14" i="14"/>
  <c r="E50" i="34"/>
  <c r="E53" i="34" s="1"/>
  <c r="G9" i="43"/>
  <c r="H9" i="43" s="1"/>
  <c r="X83" i="15"/>
  <c r="G25" i="24" s="1"/>
  <c r="H25" i="24" s="1"/>
  <c r="BG83" i="15"/>
  <c r="BG104" i="15" s="1"/>
  <c r="AQ42" i="34"/>
  <c r="P67" i="16"/>
  <c r="H67" i="16"/>
  <c r="K30" i="42"/>
  <c r="K40" i="42"/>
  <c r="G16" i="43"/>
  <c r="K22" i="43"/>
  <c r="K17" i="44"/>
  <c r="K25" i="44"/>
  <c r="H32" i="44"/>
  <c r="K17" i="45"/>
  <c r="K35" i="45"/>
  <c r="AJ119" i="16"/>
  <c r="AE115" i="16"/>
  <c r="AE116" i="16" s="1"/>
  <c r="AE132" i="16" s="1"/>
  <c r="AV3" i="14"/>
  <c r="G181" i="21"/>
  <c r="H276" i="17"/>
  <c r="I11" i="42"/>
  <c r="I25" i="45"/>
  <c r="E55" i="24"/>
  <c r="AG84" i="15"/>
  <c r="C30" i="24" s="1"/>
  <c r="I30" i="24" s="1"/>
  <c r="E11" i="26"/>
  <c r="I42" i="43"/>
  <c r="H23" i="44"/>
  <c r="K30" i="44"/>
  <c r="K28" i="45"/>
  <c r="H270" i="17"/>
  <c r="K7" i="44"/>
  <c r="J44" i="26"/>
  <c r="K44" i="26" s="1"/>
  <c r="E7" i="42"/>
  <c r="K29" i="42"/>
  <c r="I8" i="45"/>
  <c r="K15" i="44"/>
  <c r="K265" i="17"/>
  <c r="Z12" i="16"/>
  <c r="Y12" i="16"/>
  <c r="V12" i="16"/>
  <c r="I20" i="42"/>
  <c r="I11" i="43"/>
  <c r="I15" i="41"/>
  <c r="X67" i="16"/>
  <c r="Y150" i="9"/>
  <c r="AE153" i="9"/>
  <c r="W153" i="9"/>
  <c r="O153" i="9"/>
  <c r="AB153" i="9"/>
  <c r="T162" i="9"/>
  <c r="K27" i="42"/>
  <c r="K39" i="42"/>
  <c r="I44" i="42"/>
  <c r="E21" i="45"/>
  <c r="L16" i="41"/>
  <c r="AS37" i="27"/>
  <c r="AP169" i="9"/>
  <c r="E38" i="42"/>
  <c r="I14" i="42"/>
  <c r="I7" i="44"/>
  <c r="K28" i="43"/>
  <c r="I27" i="45"/>
  <c r="I32" i="42"/>
  <c r="V25" i="41"/>
  <c r="I31" i="44"/>
  <c r="K34" i="43"/>
  <c r="L28" i="41"/>
  <c r="I29" i="42"/>
  <c r="K21" i="42"/>
  <c r="I18" i="44"/>
  <c r="I10" i="45"/>
  <c r="E25" i="45"/>
  <c r="H27" i="44"/>
  <c r="K8" i="42"/>
  <c r="D22" i="41"/>
  <c r="K15" i="41"/>
  <c r="K32" i="45"/>
  <c r="E11" i="43"/>
  <c r="F29" i="41"/>
  <c r="V29" i="41"/>
  <c r="K45" i="42"/>
  <c r="I12" i="42"/>
  <c r="K38" i="43"/>
  <c r="K12" i="43"/>
  <c r="I32" i="43"/>
  <c r="K13" i="41"/>
  <c r="F13" i="41" s="1"/>
  <c r="H8" i="45"/>
  <c r="I19" i="43"/>
  <c r="D24" i="41"/>
  <c r="K14" i="42"/>
  <c r="I34" i="45"/>
  <c r="K34" i="45"/>
  <c r="K34" i="44"/>
  <c r="K19" i="42"/>
  <c r="K20" i="42"/>
  <c r="K44" i="42"/>
  <c r="I42" i="42"/>
  <c r="K35" i="42"/>
  <c r="E12" i="45"/>
  <c r="D16" i="41"/>
  <c r="D15" i="41" s="1"/>
  <c r="I24" i="44"/>
  <c r="I23" i="43"/>
  <c r="K22" i="45"/>
  <c r="E20" i="42"/>
  <c r="K23" i="42"/>
  <c r="I10" i="42"/>
  <c r="K36" i="43"/>
  <c r="I17" i="43"/>
  <c r="J15" i="41"/>
  <c r="K37" i="42"/>
  <c r="K32" i="44"/>
  <c r="K10" i="44"/>
  <c r="I7" i="43"/>
  <c r="K13" i="44"/>
  <c r="K42" i="42"/>
  <c r="K23" i="44"/>
  <c r="K7" i="43"/>
  <c r="I8" i="42"/>
  <c r="I16" i="42"/>
  <c r="K40" i="43"/>
  <c r="I34" i="43"/>
  <c r="I13" i="44"/>
  <c r="F30" i="41"/>
  <c r="K19" i="43"/>
  <c r="L18" i="41"/>
  <c r="K7" i="45"/>
  <c r="O52" i="1"/>
  <c r="O102" i="1" s="1"/>
  <c r="E11" i="42"/>
  <c r="I43" i="42"/>
  <c r="I17" i="42"/>
  <c r="I15" i="42"/>
  <c r="H44" i="42"/>
  <c r="I9" i="42"/>
  <c r="H20" i="42"/>
  <c r="I13" i="42"/>
  <c r="K22" i="42"/>
  <c r="K16" i="42"/>
  <c r="I28" i="42"/>
  <c r="K46" i="42"/>
  <c r="CQ83" i="15"/>
  <c r="CQ105" i="15"/>
  <c r="CQ107" i="15" s="1"/>
  <c r="L42" i="31"/>
  <c r="K42" i="34" s="1"/>
  <c r="K59" i="34" s="1"/>
  <c r="K41" i="34"/>
  <c r="CH83" i="15"/>
  <c r="CH104" i="15" s="1"/>
  <c r="CH106" i="15" s="1"/>
  <c r="M35" i="29"/>
  <c r="M16" i="29"/>
  <c r="CH105" i="15"/>
  <c r="CH107" i="15" s="1"/>
  <c r="CR83" i="15"/>
  <c r="BH9" i="14"/>
  <c r="AY3" i="14"/>
  <c r="Z116" i="16"/>
  <c r="L109" i="17"/>
  <c r="L108" i="17" s="1"/>
  <c r="E104" i="17"/>
  <c r="N104" i="17" s="1"/>
  <c r="E105" i="17"/>
  <c r="E107" i="17"/>
  <c r="N107" i="17" s="1"/>
  <c r="K264" i="17"/>
  <c r="W79" i="27"/>
  <c r="K29" i="45"/>
  <c r="AG42" i="33"/>
  <c r="AC119" i="16"/>
  <c r="AC84" i="15"/>
  <c r="C28" i="24" s="1"/>
  <c r="I28" i="24" s="1"/>
  <c r="H43" i="16"/>
  <c r="H48" i="16" s="1"/>
  <c r="AI50" i="34"/>
  <c r="K13" i="36" s="1"/>
  <c r="AN9" i="14"/>
  <c r="BI13" i="14"/>
  <c r="H51" i="35"/>
  <c r="AQ3" i="14"/>
  <c r="AU84" i="15"/>
  <c r="C37" i="24" s="1"/>
  <c r="Y153" i="9"/>
  <c r="AQ37" i="17"/>
  <c r="D358" i="17"/>
  <c r="AW50" i="34"/>
  <c r="AW53" i="34" s="1"/>
  <c r="BB9" i="14"/>
  <c r="W84" i="15"/>
  <c r="C25" i="24" s="1"/>
  <c r="I25" i="24" s="1"/>
  <c r="H34" i="24"/>
  <c r="D53" i="24"/>
  <c r="M84" i="15"/>
  <c r="C20" i="24" s="1"/>
  <c r="I20" i="24" s="1"/>
  <c r="BK9" i="14"/>
  <c r="AQ9" i="14"/>
  <c r="BT9" i="14"/>
  <c r="V67" i="16"/>
  <c r="P83" i="15"/>
  <c r="G21" i="24" s="1"/>
  <c r="H77" i="20"/>
  <c r="E9" i="21"/>
  <c r="S9" i="21" s="1"/>
  <c r="AA79" i="27"/>
  <c r="S42" i="33"/>
  <c r="R140" i="16"/>
  <c r="R138" i="16" s="1"/>
  <c r="U140" i="16"/>
  <c r="U138" i="16" s="1"/>
  <c r="AD79" i="27"/>
  <c r="AC11" i="39" s="1"/>
  <c r="N83" i="15"/>
  <c r="N84" i="15" s="1"/>
  <c r="D20" i="24" s="1"/>
  <c r="H38" i="14"/>
  <c r="J112" i="17"/>
  <c r="J111" i="17" s="1"/>
  <c r="AM9" i="14"/>
  <c r="BE9" i="14"/>
  <c r="BQ9" i="14"/>
  <c r="BL13" i="14"/>
  <c r="BW9" i="14"/>
  <c r="X27" i="8"/>
  <c r="H21" i="43"/>
  <c r="AM84" i="15"/>
  <c r="C33" i="24" s="1"/>
  <c r="I33" i="24" s="1"/>
  <c r="AA22" i="16"/>
  <c r="V16" i="14"/>
  <c r="H12" i="16"/>
  <c r="D140" i="16"/>
  <c r="D138" i="16" s="1"/>
  <c r="Q140" i="16"/>
  <c r="Q138" i="16" s="1"/>
  <c r="N42" i="34"/>
  <c r="N59" i="34" s="1"/>
  <c r="P40" i="36"/>
  <c r="Q185" i="9"/>
  <c r="AB79" i="27"/>
  <c r="U118" i="16"/>
  <c r="I34" i="44"/>
  <c r="I28" i="14"/>
  <c r="O12" i="16"/>
  <c r="L140" i="16"/>
  <c r="L138" i="16" s="1"/>
  <c r="K26" i="42"/>
  <c r="K36" i="42"/>
  <c r="O83" i="20"/>
  <c r="I329" i="17"/>
  <c r="I503" i="17" s="1"/>
  <c r="P34" i="36"/>
  <c r="P53" i="36"/>
  <c r="H111" i="17"/>
  <c r="P59" i="36"/>
  <c r="H34" i="17"/>
  <c r="AJ34" i="17" s="1"/>
  <c r="AK34" i="17" s="1"/>
  <c r="AL34" i="17" s="1"/>
  <c r="P47" i="36"/>
  <c r="Q40" i="14"/>
  <c r="N39" i="14"/>
  <c r="AL36" i="14"/>
  <c r="AN28" i="14"/>
  <c r="K47" i="4"/>
  <c r="F25" i="22"/>
  <c r="K25" i="22" s="1"/>
  <c r="J48" i="22"/>
  <c r="J48" i="2" s="1"/>
  <c r="L48" i="2" s="1"/>
  <c r="F30" i="22"/>
  <c r="K30" i="22" s="1"/>
  <c r="F41" i="22"/>
  <c r="K41" i="22" s="1"/>
  <c r="J33" i="22"/>
  <c r="J33" i="2" s="1"/>
  <c r="J55" i="22"/>
  <c r="J56" i="2" s="1"/>
  <c r="L56" i="2" s="1"/>
  <c r="F44" i="22"/>
  <c r="J39" i="22"/>
  <c r="J39" i="2" s="1"/>
  <c r="L39" i="2" s="1"/>
  <c r="O193" i="1"/>
  <c r="R42" i="22"/>
  <c r="R41" i="22" s="1"/>
  <c r="AC41" i="22" s="1"/>
  <c r="E176" i="1"/>
  <c r="K194" i="1"/>
  <c r="V194" i="1" s="1"/>
  <c r="F89" i="1"/>
  <c r="F114" i="1" s="1"/>
  <c r="F26" i="22"/>
  <c r="K26" i="22" s="1"/>
  <c r="J40" i="22"/>
  <c r="J40" i="2" s="1"/>
  <c r="L40" i="2" s="1"/>
  <c r="F48" i="22"/>
  <c r="K48" i="22" s="1"/>
  <c r="F22" i="22"/>
  <c r="J44" i="22"/>
  <c r="J44" i="2" s="1"/>
  <c r="L44" i="2" s="1"/>
  <c r="F36" i="22"/>
  <c r="K36" i="22" s="1"/>
  <c r="J12" i="22"/>
  <c r="J12" i="2" s="1"/>
  <c r="L12" i="2" s="1"/>
  <c r="J47" i="22"/>
  <c r="J47" i="2" s="1"/>
  <c r="L47" i="2" s="1"/>
  <c r="B2" i="2"/>
  <c r="F54" i="22"/>
  <c r="K54" i="22" s="1"/>
  <c r="J19" i="22"/>
  <c r="J20" i="22" s="1"/>
  <c r="C13" i="6"/>
  <c r="G374" i="17"/>
  <c r="O374" i="17" s="1"/>
  <c r="V36" i="22"/>
  <c r="AD36" i="22" s="1"/>
  <c r="F58" i="22"/>
  <c r="R34" i="22"/>
  <c r="J34" i="22"/>
  <c r="J34" i="2" s="1"/>
  <c r="L34" i="2" s="1"/>
  <c r="F29" i="22"/>
  <c r="K29" i="22" s="1"/>
  <c r="J43" i="22"/>
  <c r="J43" i="2" s="1"/>
  <c r="L43" i="2" s="1"/>
  <c r="F55" i="22"/>
  <c r="K55" i="22" s="1"/>
  <c r="J53" i="22"/>
  <c r="J54" i="2" s="1"/>
  <c r="L54" i="2" s="1"/>
  <c r="F52" i="22"/>
  <c r="K52" i="22" s="1"/>
  <c r="F40" i="22"/>
  <c r="K40" i="22" s="1"/>
  <c r="F32" i="22"/>
  <c r="J46" i="22"/>
  <c r="J46" i="2" s="1"/>
  <c r="J18" i="22"/>
  <c r="B1" i="2"/>
  <c r="F49" i="22"/>
  <c r="K49" i="22" s="1"/>
  <c r="J41" i="22"/>
  <c r="J41" i="2" s="1"/>
  <c r="L41" i="2" s="1"/>
  <c r="J49" i="22"/>
  <c r="J49" i="2" s="1"/>
  <c r="L49" i="2" s="1"/>
  <c r="L193" i="1"/>
  <c r="B35" i="6"/>
  <c r="J58" i="22"/>
  <c r="F35" i="22"/>
  <c r="K35" i="22" s="1"/>
  <c r="J22" i="22"/>
  <c r="J22" i="2" s="1"/>
  <c r="AD13" i="2" s="1"/>
  <c r="F46" i="22"/>
  <c r="K46" i="22" s="1"/>
  <c r="F39" i="22"/>
  <c r="K39" i="22" s="1"/>
  <c r="J6" i="22"/>
  <c r="J6" i="2" s="1"/>
  <c r="AD6" i="2" s="1"/>
  <c r="J51" i="22"/>
  <c r="J52" i="2" s="1"/>
  <c r="L52" i="2" s="1"/>
  <c r="F18" i="22"/>
  <c r="F28" i="22"/>
  <c r="K28" i="22" s="1"/>
  <c r="J32" i="22"/>
  <c r="J32" i="2" s="1"/>
  <c r="L32" i="2" s="1"/>
  <c r="J54" i="22"/>
  <c r="J55" i="2" s="1"/>
  <c r="L55" i="2" s="1"/>
  <c r="B24" i="6"/>
  <c r="J61" i="22"/>
  <c r="R37" i="22"/>
  <c r="R38" i="22" s="1"/>
  <c r="Y38" i="22" s="1"/>
  <c r="G100" i="1"/>
  <c r="F59" i="22"/>
  <c r="K59" i="22" s="1"/>
  <c r="H37" i="17"/>
  <c r="AJ37" i="17" s="1"/>
  <c r="K170" i="17"/>
  <c r="C6" i="23"/>
  <c r="D32" i="23"/>
  <c r="D55" i="17" s="1"/>
  <c r="D53" i="17" s="1"/>
  <c r="J204" i="17"/>
  <c r="J35" i="23"/>
  <c r="P35" i="23" s="1"/>
  <c r="I30" i="23"/>
  <c r="F51" i="17" s="1"/>
  <c r="S52" i="17" s="1"/>
  <c r="I119" i="17"/>
  <c r="M4" i="30"/>
  <c r="C8" i="23"/>
  <c r="D35" i="23"/>
  <c r="D11" i="23"/>
  <c r="N116" i="17"/>
  <c r="U61" i="23"/>
  <c r="D8" i="23"/>
  <c r="N110" i="17"/>
  <c r="BF33" i="18"/>
  <c r="C16" i="23"/>
  <c r="I2" i="23"/>
  <c r="I35" i="23"/>
  <c r="O35" i="23" s="1"/>
  <c r="U60" i="23"/>
  <c r="J119" i="17"/>
  <c r="U59" i="23"/>
  <c r="M11" i="23"/>
  <c r="J182" i="17"/>
  <c r="L11" i="23"/>
  <c r="C30" i="23"/>
  <c r="C51" i="17" s="1"/>
  <c r="R52" i="17" s="1"/>
  <c r="L6" i="23"/>
  <c r="H122" i="17"/>
  <c r="J122" i="17" s="1"/>
  <c r="BF27" i="18"/>
  <c r="C35" i="23"/>
  <c r="J199" i="17"/>
  <c r="E122" i="17"/>
  <c r="N122" i="17" s="1"/>
  <c r="I1" i="23"/>
  <c r="AR34" i="17"/>
  <c r="CL83" i="15"/>
  <c r="CL104" i="15" s="1"/>
  <c r="AT50" i="34"/>
  <c r="AT53" i="34" s="1"/>
  <c r="CL105" i="15"/>
  <c r="CL107" i="15" s="1"/>
  <c r="CF105" i="15"/>
  <c r="CF107" i="15" s="1"/>
  <c r="AQ50" i="34"/>
  <c r="O31" i="26"/>
  <c r="Q31" i="26" s="1"/>
  <c r="R31" i="26" s="1"/>
  <c r="L32" i="26"/>
  <c r="M32" i="26" s="1"/>
  <c r="M17" i="29"/>
  <c r="M20" i="29"/>
  <c r="AJ67" i="16"/>
  <c r="M22" i="29"/>
  <c r="AH69" i="16"/>
  <c r="AU3" i="35" s="1"/>
  <c r="M25" i="29"/>
  <c r="BX83" i="15"/>
  <c r="BX104" i="15" s="1"/>
  <c r="AS117" i="16"/>
  <c r="AS118" i="16" s="1"/>
  <c r="E163" i="17"/>
  <c r="K28" i="30"/>
  <c r="G5" i="25"/>
  <c r="M35" i="30"/>
  <c r="AH188" i="9"/>
  <c r="Y17" i="16"/>
  <c r="O22" i="16"/>
  <c r="O27" i="16" s="1"/>
  <c r="I22" i="16"/>
  <c r="M22" i="16"/>
  <c r="M27" i="16" s="1"/>
  <c r="M141" i="16"/>
  <c r="G125" i="16"/>
  <c r="G124" i="16" s="1"/>
  <c r="D56" i="16"/>
  <c r="T56" i="16"/>
  <c r="F56" i="16"/>
  <c r="N56" i="16"/>
  <c r="Q141" i="16"/>
  <c r="O141" i="16"/>
  <c r="AE153" i="16"/>
  <c r="AE155" i="16" s="1"/>
  <c r="AM50" i="34"/>
  <c r="AM53" i="34" s="1"/>
  <c r="AM150" i="9"/>
  <c r="AJ141" i="16"/>
  <c r="AA114" i="16"/>
  <c r="O66" i="1"/>
  <c r="M33" i="29"/>
  <c r="M26" i="29"/>
  <c r="D30" i="41"/>
  <c r="D25" i="41" s="1"/>
  <c r="N158" i="9"/>
  <c r="E28" i="44"/>
  <c r="AG28" i="12"/>
  <c r="M11" i="29"/>
  <c r="M27" i="29"/>
  <c r="CB105" i="15"/>
  <c r="CB107" i="15" s="1"/>
  <c r="M19" i="30"/>
  <c r="S22" i="17"/>
  <c r="M12" i="29"/>
  <c r="E96" i="20"/>
  <c r="K96" i="20" s="1"/>
  <c r="J96" i="20" s="1"/>
  <c r="M14" i="29"/>
  <c r="P69" i="16"/>
  <c r="AC3" i="35" s="1"/>
  <c r="AQ7" i="14"/>
  <c r="J16" i="43"/>
  <c r="Z18" i="16"/>
  <c r="M29" i="30"/>
  <c r="AO36" i="14"/>
  <c r="M15" i="29"/>
  <c r="P51" i="35"/>
  <c r="L35" i="26"/>
  <c r="M35" i="26" s="1"/>
  <c r="AX83" i="15"/>
  <c r="G38" i="24" s="1"/>
  <c r="F83" i="15"/>
  <c r="G16" i="24" s="1"/>
  <c r="C11" i="45"/>
  <c r="AJ68" i="16"/>
  <c r="AL52" i="38"/>
  <c r="AL53" i="38" s="1"/>
  <c r="J52" i="38"/>
  <c r="J53" i="38" s="1"/>
  <c r="X52" i="38"/>
  <c r="X53" i="38" s="1"/>
  <c r="P24" i="39"/>
  <c r="F13" i="40"/>
  <c r="O14" i="40"/>
  <c r="L14" i="40"/>
  <c r="M13" i="40"/>
  <c r="S49" i="34"/>
  <c r="W45" i="34"/>
  <c r="C51" i="34"/>
  <c r="M51" i="34"/>
  <c r="Q45" i="34"/>
  <c r="L45" i="34"/>
  <c r="T45" i="34"/>
  <c r="AH45" i="34"/>
  <c r="AK45" i="34"/>
  <c r="J45" i="34"/>
  <c r="R45" i="34"/>
  <c r="E45" i="34"/>
  <c r="AF39" i="14"/>
  <c r="M19" i="29"/>
  <c r="F55" i="35"/>
  <c r="M34" i="29"/>
  <c r="V79" i="27"/>
  <c r="F4" i="29" a="1"/>
  <c r="F15" i="29" s="1"/>
  <c r="AH21" i="34"/>
  <c r="I77" i="17"/>
  <c r="J77" i="17" s="1"/>
  <c r="M13" i="30"/>
  <c r="G19" i="30"/>
  <c r="M20" i="30"/>
  <c r="M23" i="30"/>
  <c r="M27" i="30"/>
  <c r="G10" i="30"/>
  <c r="G29" i="30"/>
  <c r="H272" i="17"/>
  <c r="M31" i="30"/>
  <c r="M24" i="30"/>
  <c r="N31" i="30"/>
  <c r="M16" i="30"/>
  <c r="G35" i="30"/>
  <c r="M18" i="30"/>
  <c r="G13" i="30"/>
  <c r="J222" i="17"/>
  <c r="J221" i="17"/>
  <c r="J225" i="17"/>
  <c r="J227" i="17"/>
  <c r="K266" i="17"/>
  <c r="L378" i="17"/>
  <c r="AG14" i="14"/>
  <c r="I13" i="12"/>
  <c r="B38" i="6"/>
  <c r="G6" i="25"/>
  <c r="G16" i="25"/>
  <c r="G35" i="25" s="1"/>
  <c r="AR53" i="34"/>
  <c r="BC105" i="15"/>
  <c r="BC83" i="15"/>
  <c r="AK3" i="14"/>
  <c r="U7" i="14"/>
  <c r="T2" i="14"/>
  <c r="U2" i="14" s="1"/>
  <c r="AI83" i="15"/>
  <c r="F31" i="24" s="1"/>
  <c r="M5" i="29"/>
  <c r="M32" i="29"/>
  <c r="D123" i="17"/>
  <c r="C7" i="20" s="1"/>
  <c r="M28" i="29"/>
  <c r="M4" i="29"/>
  <c r="AA14" i="14"/>
  <c r="O81" i="20"/>
  <c r="Y182" i="9"/>
  <c r="Y144" i="9"/>
  <c r="AC181" i="9"/>
  <c r="AC143" i="9"/>
  <c r="N169" i="9"/>
  <c r="E106" i="17"/>
  <c r="N106" i="17" s="1"/>
  <c r="F52" i="1"/>
  <c r="F102" i="1" s="1"/>
  <c r="L9" i="14"/>
  <c r="M9" i="14"/>
  <c r="U16" i="14"/>
  <c r="O16" i="14"/>
  <c r="K308" i="17"/>
  <c r="L308" i="17" s="1"/>
  <c r="R308" i="17"/>
  <c r="C17" i="16"/>
  <c r="C67" i="16"/>
  <c r="H27" i="45"/>
  <c r="K27" i="45"/>
  <c r="AN28" i="16"/>
  <c r="V141" i="16"/>
  <c r="I14" i="40"/>
  <c r="E14" i="40"/>
  <c r="AJ38" i="27"/>
  <c r="AN42" i="27"/>
  <c r="M18" i="29"/>
  <c r="M29" i="29"/>
  <c r="M24" i="29"/>
  <c r="M6" i="29"/>
  <c r="M13" i="29"/>
  <c r="AP7" i="14"/>
  <c r="D196" i="17"/>
  <c r="D216" i="17" s="1"/>
  <c r="H20" i="44"/>
  <c r="K20" i="44"/>
  <c r="M23" i="29"/>
  <c r="M7" i="29"/>
  <c r="M9" i="29"/>
  <c r="M31" i="29"/>
  <c r="AO84" i="15"/>
  <c r="C34" i="24" s="1"/>
  <c r="I34" i="24" s="1"/>
  <c r="M8" i="29"/>
  <c r="M10" i="29"/>
  <c r="M21" i="29"/>
  <c r="BK7" i="14"/>
  <c r="AT7" i="14"/>
  <c r="Q7" i="14"/>
  <c r="R7" i="14" s="1"/>
  <c r="R181" i="9"/>
  <c r="AG43" i="27"/>
  <c r="AG70" i="27" s="1"/>
  <c r="G27" i="8"/>
  <c r="H38" i="16" s="1"/>
  <c r="G38" i="16"/>
  <c r="P181" i="9"/>
  <c r="P143" i="9"/>
  <c r="E34" i="42"/>
  <c r="I34" i="42"/>
  <c r="E37" i="43"/>
  <c r="I37" i="43"/>
  <c r="I42" i="33"/>
  <c r="I42" i="34" s="1"/>
  <c r="I59" i="34" s="1"/>
  <c r="I41" i="34"/>
  <c r="O45" i="34"/>
  <c r="E63" i="1"/>
  <c r="F63" i="1"/>
  <c r="AF188" i="9"/>
  <c r="Y28" i="14"/>
  <c r="K35" i="14"/>
  <c r="L28" i="14"/>
  <c r="BE14" i="14"/>
  <c r="AM14" i="14"/>
  <c r="AQ14" i="14"/>
  <c r="Q40" i="27"/>
  <c r="S42" i="27"/>
  <c r="V37" i="27"/>
  <c r="W38" i="27"/>
  <c r="AF55" i="31"/>
  <c r="AE3" i="34"/>
  <c r="S18" i="34"/>
  <c r="S51" i="34" s="1"/>
  <c r="T42" i="31"/>
  <c r="U21" i="34"/>
  <c r="V42" i="31"/>
  <c r="I22" i="42"/>
  <c r="I14" i="43"/>
  <c r="I38" i="42"/>
  <c r="I29" i="43"/>
  <c r="I20" i="45"/>
  <c r="I40" i="42"/>
  <c r="I16" i="44"/>
  <c r="I23" i="42"/>
  <c r="N150" i="9"/>
  <c r="W150" i="9"/>
  <c r="E94" i="17"/>
  <c r="J55" i="38"/>
  <c r="N52" i="38"/>
  <c r="N53" i="38" s="1"/>
  <c r="AT52" i="38"/>
  <c r="AT53" i="38" s="1"/>
  <c r="AL49" i="34"/>
  <c r="AL62" i="34" s="1"/>
  <c r="AL64" i="34" s="1"/>
  <c r="I42" i="35"/>
  <c r="I14" i="45"/>
  <c r="AP28" i="14"/>
  <c r="I12" i="43"/>
  <c r="I39" i="42"/>
  <c r="I7" i="45"/>
  <c r="I31" i="43"/>
  <c r="T144" i="9"/>
  <c r="AE14" i="14"/>
  <c r="J12" i="16"/>
  <c r="P17" i="16"/>
  <c r="O17" i="16"/>
  <c r="S17" i="16"/>
  <c r="P118" i="16"/>
  <c r="P137" i="16" s="1"/>
  <c r="L125" i="16"/>
  <c r="L124" i="16" s="1"/>
  <c r="W42" i="33"/>
  <c r="O42" i="35"/>
  <c r="BE34" i="17" a="1"/>
  <c r="BF38" i="17" s="1"/>
  <c r="K34" i="32"/>
  <c r="X49" i="34"/>
  <c r="B51" i="34"/>
  <c r="E28" i="43"/>
  <c r="I35" i="43"/>
  <c r="AI188" i="9"/>
  <c r="K4" i="29" a="1"/>
  <c r="R42" i="33"/>
  <c r="R42" i="34" s="1"/>
  <c r="AF42" i="33"/>
  <c r="AA56" i="16"/>
  <c r="AL67" i="16"/>
  <c r="I29" i="45"/>
  <c r="I26" i="44"/>
  <c r="I21" i="45"/>
  <c r="S154" i="9"/>
  <c r="N162" i="9"/>
  <c r="H125" i="16"/>
  <c r="H124" i="16" s="1"/>
  <c r="AY137" i="16"/>
  <c r="AZ52" i="38"/>
  <c r="AZ53" i="38" s="1"/>
  <c r="J42" i="35"/>
  <c r="J51" i="35" s="1"/>
  <c r="F37" i="5"/>
  <c r="BI37" i="18" s="1"/>
  <c r="BJ37" i="18" s="1"/>
  <c r="BN21" i="18"/>
  <c r="BN29" i="18"/>
  <c r="I21" i="5"/>
  <c r="AA6" i="28"/>
  <c r="D117" i="17"/>
  <c r="C6" i="20" s="1"/>
  <c r="N350" i="17"/>
  <c r="M28" i="30"/>
  <c r="M9" i="30"/>
  <c r="M17" i="30"/>
  <c r="G5" i="30"/>
  <c r="G9" i="30"/>
  <c r="H135" i="17"/>
  <c r="J135" i="17" s="1"/>
  <c r="BC30" i="18"/>
  <c r="M33" i="30"/>
  <c r="M30" i="30"/>
  <c r="G11" i="30"/>
  <c r="L34" i="30"/>
  <c r="G33" i="30"/>
  <c r="H11" i="30"/>
  <c r="M10" i="30"/>
  <c r="M12" i="30"/>
  <c r="M6" i="30"/>
  <c r="N22" i="30"/>
  <c r="G22" i="30"/>
  <c r="I21" i="12"/>
  <c r="C1" i="6"/>
  <c r="G28" i="6" s="1"/>
  <c r="H35" i="1"/>
  <c r="J109" i="17"/>
  <c r="J108" i="17" s="1"/>
  <c r="H108" i="17"/>
  <c r="G39" i="24"/>
  <c r="AZ84" i="15"/>
  <c r="D39" i="24" s="1"/>
  <c r="J50" i="34"/>
  <c r="J53" i="34" s="1"/>
  <c r="R83" i="15"/>
  <c r="AU51" i="34"/>
  <c r="AU42" i="34"/>
  <c r="AU59" i="34" s="1"/>
  <c r="N50" i="34"/>
  <c r="N53" i="34" s="1"/>
  <c r="Z83" i="15"/>
  <c r="G26" i="24" s="1"/>
  <c r="AE182" i="9"/>
  <c r="AE144" i="9"/>
  <c r="J11" i="44"/>
  <c r="AE150" i="9"/>
  <c r="K20" i="41"/>
  <c r="L20" i="41" s="1"/>
  <c r="E15" i="3"/>
  <c r="AE53" i="34"/>
  <c r="BH83" i="15"/>
  <c r="F7" i="30"/>
  <c r="F14" i="30"/>
  <c r="F32" i="30"/>
  <c r="F25" i="30"/>
  <c r="F13" i="30"/>
  <c r="F33" i="30"/>
  <c r="F19" i="30"/>
  <c r="F26" i="30"/>
  <c r="F34" i="30"/>
  <c r="F6" i="30"/>
  <c r="F29" i="30"/>
  <c r="F24" i="30"/>
  <c r="F23" i="30"/>
  <c r="N86" i="1"/>
  <c r="O86" i="1"/>
  <c r="U143" i="9"/>
  <c r="U181" i="9"/>
  <c r="I40" i="16"/>
  <c r="I28" i="8"/>
  <c r="BP83" i="15"/>
  <c r="G47" i="24" s="1"/>
  <c r="J47" i="24" s="1"/>
  <c r="R16" i="14"/>
  <c r="H9" i="30"/>
  <c r="H29" i="30"/>
  <c r="H4" i="30"/>
  <c r="I374" i="17"/>
  <c r="B82" i="17"/>
  <c r="L3" i="14"/>
  <c r="P3" i="14"/>
  <c r="M3" i="14"/>
  <c r="AA9" i="14"/>
  <c r="U28" i="14"/>
  <c r="T36" i="14"/>
  <c r="I12" i="14"/>
  <c r="H8" i="14"/>
  <c r="AG12" i="14"/>
  <c r="AF7" i="14"/>
  <c r="AK7" i="14" s="1"/>
  <c r="AH12" i="14"/>
  <c r="AF13" i="14"/>
  <c r="AK14" i="14"/>
  <c r="AH14" i="14"/>
  <c r="V14" i="14"/>
  <c r="U14" i="14"/>
  <c r="Y14" i="14"/>
  <c r="BW14" i="14"/>
  <c r="AV14" i="14"/>
  <c r="BQ14" i="14"/>
  <c r="BK14" i="14"/>
  <c r="BH14" i="14"/>
  <c r="AN14" i="14"/>
  <c r="AP14" i="14"/>
  <c r="BB14" i="14"/>
  <c r="AL13" i="14"/>
  <c r="P6" i="12"/>
  <c r="N19" i="12"/>
  <c r="J19" i="12" s="1"/>
  <c r="K19" i="12" s="1"/>
  <c r="J379" i="17"/>
  <c r="S379" i="17" s="1"/>
  <c r="L379" i="17"/>
  <c r="CF83" i="15"/>
  <c r="E165" i="17"/>
  <c r="BW83" i="15"/>
  <c r="BW105" i="15"/>
  <c r="D12" i="30"/>
  <c r="D26" i="30"/>
  <c r="D21" i="30"/>
  <c r="D13" i="30"/>
  <c r="D6" i="30"/>
  <c r="D10" i="30"/>
  <c r="D35" i="30"/>
  <c r="D20" i="30"/>
  <c r="D24" i="30"/>
  <c r="D33" i="30"/>
  <c r="D16" i="30"/>
  <c r="D8" i="30"/>
  <c r="D18" i="30"/>
  <c r="D9" i="30"/>
  <c r="D7" i="30"/>
  <c r="D30" i="30"/>
  <c r="D23" i="30"/>
  <c r="D19" i="30"/>
  <c r="D31" i="30"/>
  <c r="D4" i="30"/>
  <c r="D25" i="30"/>
  <c r="D5" i="30"/>
  <c r="D17" i="30"/>
  <c r="AF162" i="9"/>
  <c r="Q68" i="16"/>
  <c r="D97" i="17"/>
  <c r="I97" i="17" s="1"/>
  <c r="F43" i="1"/>
  <c r="N43" i="1" s="1"/>
  <c r="N101" i="1" s="1"/>
  <c r="AE169" i="9"/>
  <c r="E97" i="17"/>
  <c r="N97" i="17" s="1"/>
  <c r="E100" i="17"/>
  <c r="N100" i="17" s="1"/>
  <c r="D100" i="17"/>
  <c r="I100" i="17" s="1"/>
  <c r="F46" i="1"/>
  <c r="AA174" i="9"/>
  <c r="F49" i="1"/>
  <c r="AM68" i="16"/>
  <c r="R68" i="16"/>
  <c r="R67" i="16"/>
  <c r="AG114" i="16"/>
  <c r="P153" i="9"/>
  <c r="AC153" i="9"/>
  <c r="AJ153" i="9"/>
  <c r="S162" i="9"/>
  <c r="AO79" i="27"/>
  <c r="F32" i="25" s="1"/>
  <c r="AN79" i="27"/>
  <c r="AM11" i="39" s="1"/>
  <c r="K43" i="42"/>
  <c r="K11" i="45"/>
  <c r="AC163" i="9"/>
  <c r="AC162" i="9" s="1"/>
  <c r="AJ163" i="9"/>
  <c r="AJ162" i="9" s="1"/>
  <c r="F37" i="1"/>
  <c r="N37" i="1" s="1"/>
  <c r="AG163" i="9"/>
  <c r="AG162" i="9" s="1"/>
  <c r="I19" i="42"/>
  <c r="E51" i="24"/>
  <c r="AH150" i="9"/>
  <c r="J141" i="16"/>
  <c r="V185" i="9"/>
  <c r="D41" i="16"/>
  <c r="G56" i="16"/>
  <c r="O56" i="16"/>
  <c r="I56" i="16"/>
  <c r="Z56" i="16"/>
  <c r="J56" i="16"/>
  <c r="K56" i="16"/>
  <c r="R141" i="16"/>
  <c r="V140" i="16"/>
  <c r="V138" i="16" s="1"/>
  <c r="S22" i="16"/>
  <c r="S27" i="16" s="1"/>
  <c r="V22" i="16"/>
  <c r="V27" i="16" s="1"/>
  <c r="G9" i="1"/>
  <c r="Y4" i="15"/>
  <c r="Y79" i="15" s="1"/>
  <c r="Y82" i="15" s="1"/>
  <c r="AB40" i="22"/>
  <c r="Q24" i="41"/>
  <c r="U67" i="16"/>
  <c r="AA169" i="9"/>
  <c r="AB24" i="39"/>
  <c r="H13" i="40"/>
  <c r="E15" i="40"/>
  <c r="Q24" i="40"/>
  <c r="H25" i="45"/>
  <c r="H32" i="45"/>
  <c r="AQ185" i="9"/>
  <c r="H121" i="17" s="1"/>
  <c r="J121" i="17" s="1"/>
  <c r="P188" i="9"/>
  <c r="L22" i="16"/>
  <c r="L27" i="16" s="1"/>
  <c r="F22" i="16"/>
  <c r="F27" i="16" s="1"/>
  <c r="N22" i="16"/>
  <c r="N27" i="16" s="1"/>
  <c r="P125" i="16"/>
  <c r="P124" i="16" s="1"/>
  <c r="H12" i="45"/>
  <c r="H21" i="45"/>
  <c r="AF36" i="14"/>
  <c r="O79" i="20"/>
  <c r="V150" i="9"/>
  <c r="AG153" i="9"/>
  <c r="U153" i="9"/>
  <c r="Q153" i="9"/>
  <c r="AD153" i="9"/>
  <c r="V169" i="9"/>
  <c r="Q188" i="9"/>
  <c r="O117" i="16"/>
  <c r="AQ188" i="9"/>
  <c r="T12" i="16"/>
  <c r="K41" i="43"/>
  <c r="L247" i="17"/>
  <c r="L237" i="17" s="1"/>
  <c r="P45" i="34"/>
  <c r="G41" i="34"/>
  <c r="Z45" i="34"/>
  <c r="AJ45" i="34"/>
  <c r="F45" i="34"/>
  <c r="E10" i="43"/>
  <c r="G42" i="35"/>
  <c r="AQ153" i="9"/>
  <c r="I24" i="41" s="1"/>
  <c r="R40" i="22"/>
  <c r="Y40" i="22" s="1"/>
  <c r="R28" i="22" s="1"/>
  <c r="H21" i="22" s="1"/>
  <c r="BM8" i="19"/>
  <c r="BO8" i="19" s="1"/>
  <c r="BM13" i="19"/>
  <c r="BO13" i="19" s="1"/>
  <c r="BM17" i="19"/>
  <c r="BO17" i="19" s="1"/>
  <c r="BM49" i="19"/>
  <c r="BO49" i="19" s="1"/>
  <c r="BM46" i="19"/>
  <c r="O336" i="17"/>
  <c r="H211" i="17"/>
  <c r="H15" i="30"/>
  <c r="H25" i="30"/>
  <c r="H20" i="30"/>
  <c r="G3" i="12"/>
  <c r="BM40" i="19"/>
  <c r="BO40" i="19" s="1"/>
  <c r="AC39" i="22"/>
  <c r="BM16" i="19"/>
  <c r="BO16" i="19" s="1"/>
  <c r="BM25" i="19"/>
  <c r="BO25" i="19" s="1"/>
  <c r="BM35" i="19"/>
  <c r="BO35" i="19" s="1"/>
  <c r="BM29" i="19"/>
  <c r="BO29" i="19" s="1"/>
  <c r="BB24" i="18"/>
  <c r="L32" i="30"/>
  <c r="BB30" i="18"/>
  <c r="H22" i="30"/>
  <c r="H14" i="30"/>
  <c r="BM27" i="19"/>
  <c r="BO27" i="19" s="1"/>
  <c r="BM42" i="19"/>
  <c r="BO42" i="19" s="1"/>
  <c r="BM37" i="19"/>
  <c r="BO37" i="19" s="1"/>
  <c r="BM28" i="19"/>
  <c r="BO28" i="19" s="1"/>
  <c r="I18" i="30"/>
  <c r="H30" i="30"/>
  <c r="K223" i="17"/>
  <c r="K379" i="17"/>
  <c r="T379" i="17" s="1"/>
  <c r="H35" i="30"/>
  <c r="H23" i="30"/>
  <c r="BM45" i="19"/>
  <c r="BM14" i="19"/>
  <c r="BO14" i="19" s="1"/>
  <c r="H13" i="30"/>
  <c r="H31" i="30"/>
  <c r="BM31" i="19"/>
  <c r="BO31" i="19" s="1"/>
  <c r="BM48" i="19"/>
  <c r="BM38" i="19"/>
  <c r="BO38" i="19" s="1"/>
  <c r="BM15" i="19"/>
  <c r="BO15" i="19" s="1"/>
  <c r="H33" i="30"/>
  <c r="H17" i="30"/>
  <c r="H16" i="30"/>
  <c r="N3" i="12"/>
  <c r="BM47" i="19"/>
  <c r="BM22" i="19"/>
  <c r="BO22" i="19" s="1"/>
  <c r="BM23" i="19"/>
  <c r="BO23" i="19" s="1"/>
  <c r="BM19" i="19"/>
  <c r="BO19" i="19" s="1"/>
  <c r="BM34" i="19"/>
  <c r="BO34" i="19" s="1"/>
  <c r="BM21" i="19"/>
  <c r="BO21" i="19" s="1"/>
  <c r="H26" i="30"/>
  <c r="H10" i="30"/>
  <c r="H28" i="30"/>
  <c r="H32" i="30"/>
  <c r="S15" i="17"/>
  <c r="V33" i="17" s="1"/>
  <c r="H269" i="17"/>
  <c r="H264" i="17"/>
  <c r="L182" i="1"/>
  <c r="AD7" i="2"/>
  <c r="E29" i="1"/>
  <c r="D331" i="17"/>
  <c r="BY104" i="15"/>
  <c r="BY106" i="15" s="1"/>
  <c r="F52" i="24"/>
  <c r="I52" i="24" s="1"/>
  <c r="F19" i="25"/>
  <c r="BY105" i="15"/>
  <c r="E49" i="24"/>
  <c r="BJ83" i="15"/>
  <c r="BJ104" i="15" s="1"/>
  <c r="AF50" i="34"/>
  <c r="BJ105" i="15"/>
  <c r="V24" i="41"/>
  <c r="F24" i="41"/>
  <c r="K341" i="17"/>
  <c r="L341" i="17"/>
  <c r="AM185" i="9"/>
  <c r="L115" i="17"/>
  <c r="M332" i="17" s="1"/>
  <c r="O332" i="17" s="1"/>
  <c r="E67" i="16"/>
  <c r="B43" i="18"/>
  <c r="E40" i="12" s="1"/>
  <c r="C6" i="18"/>
  <c r="C5" i="18" s="1"/>
  <c r="B5" i="18"/>
  <c r="AW42" i="34"/>
  <c r="AW51" i="34"/>
  <c r="O378" i="17"/>
  <c r="L135" i="17"/>
  <c r="M135" i="17" s="1"/>
  <c r="L128" i="17"/>
  <c r="M130" i="17"/>
  <c r="AX42" i="34"/>
  <c r="AX59" i="34" s="1"/>
  <c r="AX51" i="34"/>
  <c r="P13" i="14"/>
  <c r="BM83" i="15"/>
  <c r="BM105" i="15"/>
  <c r="AE43" i="27"/>
  <c r="AV42" i="34"/>
  <c r="AV59" i="34" s="1"/>
  <c r="AV51" i="34"/>
  <c r="BQ3" i="14"/>
  <c r="AM3" i="14"/>
  <c r="BE3" i="14"/>
  <c r="AL2" i="14"/>
  <c r="BK3" i="14"/>
  <c r="AS3" i="14"/>
  <c r="BW3" i="14"/>
  <c r="AN3" i="14"/>
  <c r="BN3" i="14"/>
  <c r="AP3" i="14"/>
  <c r="AP10" i="18"/>
  <c r="AQ10" i="18" s="1"/>
  <c r="AQ9" i="18" s="1"/>
  <c r="BT83" i="15"/>
  <c r="AQ62" i="34"/>
  <c r="AQ64" i="34" s="1"/>
  <c r="O182" i="9"/>
  <c r="Q57" i="1"/>
  <c r="M57" i="1" s="1"/>
  <c r="D22" i="1" s="1"/>
  <c r="G22" i="1" s="1"/>
  <c r="AK50" i="34"/>
  <c r="BT105" i="15"/>
  <c r="AB181" i="9"/>
  <c r="AB143" i="9"/>
  <c r="J8" i="44"/>
  <c r="I11" i="44"/>
  <c r="E11" i="44"/>
  <c r="C26" i="30"/>
  <c r="C19" i="30"/>
  <c r="L16" i="30"/>
  <c r="L7" i="30"/>
  <c r="L21" i="30"/>
  <c r="L30" i="30"/>
  <c r="L13" i="30"/>
  <c r="L31" i="30"/>
  <c r="L17" i="30"/>
  <c r="L5" i="30"/>
  <c r="L35" i="30"/>
  <c r="L27" i="30"/>
  <c r="L24" i="30"/>
  <c r="I346" i="17"/>
  <c r="L346" i="17" s="1"/>
  <c r="G68" i="16"/>
  <c r="G67" i="16"/>
  <c r="AD28" i="14"/>
  <c r="AC35" i="14"/>
  <c r="AC62" i="34"/>
  <c r="AC64" i="34" s="1"/>
  <c r="C53" i="24"/>
  <c r="I32" i="23" s="1"/>
  <c r="CA83" i="15"/>
  <c r="M101" i="1"/>
  <c r="O43" i="1"/>
  <c r="O101" i="1" s="1"/>
  <c r="BC28" i="18"/>
  <c r="Q37" i="27"/>
  <c r="U41" i="27"/>
  <c r="V42" i="27"/>
  <c r="F24" i="45"/>
  <c r="U121" i="16"/>
  <c r="U126" i="16"/>
  <c r="G106" i="1"/>
  <c r="G183" i="1"/>
  <c r="L183" i="1" s="1"/>
  <c r="O120" i="16"/>
  <c r="O125" i="16" s="1"/>
  <c r="O124" i="16" s="1"/>
  <c r="G10" i="39"/>
  <c r="V182" i="9"/>
  <c r="V144" i="9"/>
  <c r="AD144" i="9"/>
  <c r="AD182" i="9"/>
  <c r="X28" i="14"/>
  <c r="D242" i="17"/>
  <c r="D258" i="17"/>
  <c r="K258" i="17" s="1"/>
  <c r="AD3" i="34"/>
  <c r="AE55" i="31"/>
  <c r="Q42" i="31"/>
  <c r="Q53" i="31"/>
  <c r="Y53" i="31"/>
  <c r="X20" i="34"/>
  <c r="Z42" i="33"/>
  <c r="Z20" i="34"/>
  <c r="O42" i="33"/>
  <c r="O42" i="34" s="1"/>
  <c r="O59" i="34" s="1"/>
  <c r="O41" i="34"/>
  <c r="M45" i="34"/>
  <c r="BA36" i="17"/>
  <c r="AZ34" i="17"/>
  <c r="I129" i="17"/>
  <c r="AM12" i="14"/>
  <c r="BK12" i="14"/>
  <c r="AL39" i="27"/>
  <c r="AK38" i="27"/>
  <c r="E41" i="42"/>
  <c r="I41" i="42"/>
  <c r="Z39" i="27"/>
  <c r="Y38" i="27"/>
  <c r="I37" i="42"/>
  <c r="I30" i="42"/>
  <c r="I27" i="43"/>
  <c r="I9" i="44"/>
  <c r="I18" i="45"/>
  <c r="I36" i="42"/>
  <c r="P27" i="16"/>
  <c r="AG174" i="9"/>
  <c r="W185" i="9"/>
  <c r="F60" i="1"/>
  <c r="F59" i="1" s="1"/>
  <c r="F105" i="1" s="1"/>
  <c r="I28" i="12"/>
  <c r="AA52" i="38"/>
  <c r="AA53" i="38" s="1"/>
  <c r="AB37" i="35" s="1"/>
  <c r="D9" i="18" s="1"/>
  <c r="E9" i="18" s="1"/>
  <c r="E39" i="1"/>
  <c r="K39" i="1" s="1"/>
  <c r="V39" i="1" s="1"/>
  <c r="BD52" i="38"/>
  <c r="BD53" i="38" s="1"/>
  <c r="B27" i="6"/>
  <c r="R15" i="14"/>
  <c r="I13" i="5"/>
  <c r="I8" i="44"/>
  <c r="I32" i="45"/>
  <c r="I22" i="45"/>
  <c r="I24" i="43"/>
  <c r="I9" i="45"/>
  <c r="I32" i="44"/>
  <c r="I28" i="44"/>
  <c r="Z8" i="14"/>
  <c r="AA12" i="14"/>
  <c r="AD150" i="9"/>
  <c r="O169" i="9"/>
  <c r="R174" i="9"/>
  <c r="F48" i="1"/>
  <c r="AH185" i="9"/>
  <c r="J197" i="17"/>
  <c r="F212" i="17"/>
  <c r="G263" i="17"/>
  <c r="K273" i="17"/>
  <c r="AB140" i="16"/>
  <c r="AB138" i="16" s="1"/>
  <c r="D334" i="17"/>
  <c r="AS42" i="31"/>
  <c r="I25" i="44"/>
  <c r="B7" i="5"/>
  <c r="AK154" i="9"/>
  <c r="P169" i="9"/>
  <c r="X169" i="9"/>
  <c r="H254" i="17"/>
  <c r="K257" i="17"/>
  <c r="AV123" i="16"/>
  <c r="K42" i="35"/>
  <c r="AP188" i="9"/>
  <c r="E117" i="20"/>
  <c r="AA51" i="34"/>
  <c r="D68" i="16"/>
  <c r="I123" i="1"/>
  <c r="L123" i="1" s="1"/>
  <c r="I25" i="43"/>
  <c r="I26" i="45"/>
  <c r="C2" i="42"/>
  <c r="C2" i="43" s="1"/>
  <c r="C2" i="44" s="1"/>
  <c r="C2" i="45" s="1"/>
  <c r="I21" i="42"/>
  <c r="I26" i="43"/>
  <c r="I14" i="44"/>
  <c r="I19" i="44"/>
  <c r="K137" i="16"/>
  <c r="I19" i="45"/>
  <c r="E62" i="24"/>
  <c r="AA17" i="16"/>
  <c r="G17" i="30"/>
  <c r="I9" i="5"/>
  <c r="AN17" i="11"/>
  <c r="D342" i="17"/>
  <c r="AN51" i="34"/>
  <c r="AM15" i="18"/>
  <c r="AK114" i="16"/>
  <c r="Q69" i="3"/>
  <c r="AP150" i="9"/>
  <c r="AB42" i="22"/>
  <c r="AQ154" i="9"/>
  <c r="I25" i="41" s="1"/>
  <c r="E343" i="17"/>
  <c r="E342" i="17" s="1"/>
  <c r="D128" i="17"/>
  <c r="C8" i="20" s="1"/>
  <c r="I9" i="30"/>
  <c r="J95" i="17"/>
  <c r="L356" i="17"/>
  <c r="Q356" i="17" s="1"/>
  <c r="W32" i="22"/>
  <c r="AO34" i="19"/>
  <c r="AQ34" i="19" s="1"/>
  <c r="AO47" i="19"/>
  <c r="AA32" i="22"/>
  <c r="I20" i="30"/>
  <c r="K4" i="30"/>
  <c r="K22" i="30"/>
  <c r="K19" i="30"/>
  <c r="K21" i="30"/>
  <c r="K35" i="30"/>
  <c r="I130" i="17"/>
  <c r="AE32" i="22"/>
  <c r="I8" i="30"/>
  <c r="I344" i="17"/>
  <c r="I519" i="17" s="1"/>
  <c r="K20" i="30"/>
  <c r="D256" i="17"/>
  <c r="D240" i="17"/>
  <c r="J378" i="17"/>
  <c r="S378" i="17" s="1"/>
  <c r="K378" i="17"/>
  <c r="T378" i="17" s="1"/>
  <c r="BN34" i="17"/>
  <c r="J129" i="17"/>
  <c r="K29" i="30"/>
  <c r="K26" i="30"/>
  <c r="BP34" i="17"/>
  <c r="L338" i="17"/>
  <c r="I337" i="17"/>
  <c r="K18" i="30"/>
  <c r="K15" i="30"/>
  <c r="K14" i="30"/>
  <c r="I26" i="30"/>
  <c r="BR37" i="17"/>
  <c r="M343" i="17"/>
  <c r="M129" i="17"/>
  <c r="J115" i="17"/>
  <c r="J114" i="17" s="1"/>
  <c r="I332" i="17"/>
  <c r="H294" i="17"/>
  <c r="L14" i="30"/>
  <c r="L15" i="30"/>
  <c r="L33" i="30"/>
  <c r="L8" i="30"/>
  <c r="L11" i="30"/>
  <c r="L25" i="30"/>
  <c r="L12" i="30"/>
  <c r="L20" i="30"/>
  <c r="Y4" i="22"/>
  <c r="E4" i="22"/>
  <c r="S32" i="22"/>
  <c r="K217" i="17"/>
  <c r="K221" i="17"/>
  <c r="H259" i="17"/>
  <c r="M11" i="30"/>
  <c r="M7" i="30"/>
  <c r="M15" i="30"/>
  <c r="M14" i="30"/>
  <c r="N10" i="30"/>
  <c r="H7" i="30"/>
  <c r="H27" i="30"/>
  <c r="H18" i="30"/>
  <c r="V34" i="17"/>
  <c r="W34" i="17" s="1"/>
  <c r="M22" i="30"/>
  <c r="M8" i="30"/>
  <c r="M32" i="30"/>
  <c r="M21" i="30"/>
  <c r="N32" i="30"/>
  <c r="G28" i="30"/>
  <c r="H34" i="30"/>
  <c r="H19" i="30"/>
  <c r="H5" i="30"/>
  <c r="K355" i="17"/>
  <c r="N360" i="17"/>
  <c r="M5" i="30"/>
  <c r="M26" i="30"/>
  <c r="BA34" i="17"/>
  <c r="M25" i="30"/>
  <c r="H21" i="30"/>
  <c r="H24" i="30"/>
  <c r="H12" i="30"/>
  <c r="H6" i="30"/>
  <c r="Y3" i="14"/>
  <c r="BC7" i="14"/>
  <c r="BF7" i="14"/>
  <c r="BB7" i="14"/>
  <c r="AJ7" i="14"/>
  <c r="AN7" i="14"/>
  <c r="AI2" i="14"/>
  <c r="AD29" i="14"/>
  <c r="AN29" i="14"/>
  <c r="O14" i="14"/>
  <c r="AH15" i="14"/>
  <c r="G376" i="17"/>
  <c r="L195" i="1"/>
  <c r="B10" i="6"/>
  <c r="B34" i="6"/>
  <c r="B32" i="6"/>
  <c r="C14" i="6"/>
  <c r="C29" i="6"/>
  <c r="B26" i="6"/>
  <c r="C31" i="6"/>
  <c r="C20" i="6"/>
  <c r="B37" i="6"/>
  <c r="B23" i="6"/>
  <c r="B30" i="6"/>
  <c r="C24" i="6"/>
  <c r="C17" i="6"/>
  <c r="B28" i="6"/>
  <c r="G117" i="1"/>
  <c r="G155" i="1" s="1"/>
  <c r="B33" i="6"/>
  <c r="C27" i="6"/>
  <c r="B11" i="6"/>
  <c r="B22" i="6"/>
  <c r="C30" i="6"/>
  <c r="B36" i="6"/>
  <c r="O82" i="1"/>
  <c r="C11" i="6"/>
  <c r="B19" i="6"/>
  <c r="B31" i="6"/>
  <c r="B16" i="6"/>
  <c r="C28" i="6"/>
  <c r="B18" i="6"/>
  <c r="C21" i="6"/>
  <c r="N82" i="1"/>
  <c r="P82" i="1" s="1"/>
  <c r="C41" i="6"/>
  <c r="C40" i="6"/>
  <c r="C19" i="6"/>
  <c r="B21" i="6"/>
  <c r="C9" i="6"/>
  <c r="C38" i="6"/>
  <c r="C18" i="6"/>
  <c r="B9" i="6"/>
  <c r="C35" i="6"/>
  <c r="C16" i="6"/>
  <c r="C22" i="6"/>
  <c r="C43" i="6"/>
  <c r="G11" i="1"/>
  <c r="G14" i="1"/>
  <c r="B20" i="6"/>
  <c r="C32" i="6"/>
  <c r="C25" i="6"/>
  <c r="C15" i="6"/>
  <c r="B3" i="6"/>
  <c r="B17" i="6"/>
  <c r="C23" i="6"/>
  <c r="C26" i="6"/>
  <c r="C10" i="6"/>
  <c r="I38" i="5"/>
  <c r="B12" i="6"/>
  <c r="B29" i="6"/>
  <c r="K73" i="1"/>
  <c r="C34" i="6"/>
  <c r="C36" i="6"/>
  <c r="C33" i="6"/>
  <c r="B25" i="6"/>
  <c r="E67" i="1"/>
  <c r="E107" i="1" s="1"/>
  <c r="O196" i="1"/>
  <c r="BN9" i="18"/>
  <c r="N87" i="1"/>
  <c r="Q85" i="1"/>
  <c r="M85" i="1" s="1"/>
  <c r="D328" i="17"/>
  <c r="I134" i="1"/>
  <c r="K196" i="1"/>
  <c r="V196" i="1" s="1"/>
  <c r="AD7" i="22"/>
  <c r="D337" i="17"/>
  <c r="O68" i="1"/>
  <c r="O107" i="1" s="1"/>
  <c r="D25" i="1"/>
  <c r="I100" i="1"/>
  <c r="H58" i="1"/>
  <c r="J58" i="1" s="1"/>
  <c r="U58" i="1" s="1"/>
  <c r="H90" i="1"/>
  <c r="J90" i="1" s="1"/>
  <c r="U90" i="1" s="1"/>
  <c r="G375" i="17"/>
  <c r="L194" i="1"/>
  <c r="H57" i="1"/>
  <c r="H182" i="1" s="1"/>
  <c r="J182" i="1" s="1"/>
  <c r="D179" i="1"/>
  <c r="H74" i="1"/>
  <c r="J74" i="1" s="1"/>
  <c r="J110" i="1" s="1"/>
  <c r="E23" i="1"/>
  <c r="I178" i="1"/>
  <c r="L178" i="1" s="1"/>
  <c r="L42" i="1"/>
  <c r="L100" i="1" s="1"/>
  <c r="H54" i="1"/>
  <c r="J54" i="1" s="1"/>
  <c r="U54" i="1" s="1"/>
  <c r="H86" i="1"/>
  <c r="S86" i="1" s="1"/>
  <c r="L125" i="1"/>
  <c r="F358" i="17"/>
  <c r="N61" i="1"/>
  <c r="O55" i="1"/>
  <c r="N55" i="1"/>
  <c r="E21" i="1"/>
  <c r="O38" i="1"/>
  <c r="O90" i="1"/>
  <c r="H159" i="1"/>
  <c r="H77" i="1"/>
  <c r="J77" i="1" s="1"/>
  <c r="U77" i="1" s="1"/>
  <c r="H144" i="1"/>
  <c r="H60" i="1"/>
  <c r="H51" i="1"/>
  <c r="J51" i="1" s="1"/>
  <c r="U51" i="1" s="1"/>
  <c r="G353" i="17"/>
  <c r="E11" i="20" s="1"/>
  <c r="Q71" i="1"/>
  <c r="D2" i="4"/>
  <c r="B3" i="4" s="1"/>
  <c r="I111" i="1"/>
  <c r="D353" i="17"/>
  <c r="G12" i="4"/>
  <c r="L33" i="1"/>
  <c r="L98" i="1" s="1"/>
  <c r="H43" i="1"/>
  <c r="H158" i="1"/>
  <c r="H52" i="1"/>
  <c r="H48" i="1"/>
  <c r="H63" i="1"/>
  <c r="H37" i="1"/>
  <c r="H162" i="1"/>
  <c r="H195" i="1" s="1"/>
  <c r="J195" i="1" s="1"/>
  <c r="U195" i="1" s="1"/>
  <c r="H126" i="1"/>
  <c r="J126" i="1" s="1"/>
  <c r="U126" i="1" s="1"/>
  <c r="D187" i="1"/>
  <c r="L53" i="1"/>
  <c r="L103" i="1" s="1"/>
  <c r="I97" i="1"/>
  <c r="I118" i="1" s="1"/>
  <c r="I156" i="1" s="1"/>
  <c r="H71" i="1"/>
  <c r="J71" i="1" s="1"/>
  <c r="U71" i="1" s="1"/>
  <c r="I16" i="5"/>
  <c r="F72" i="1"/>
  <c r="E72" i="1"/>
  <c r="H78" i="1"/>
  <c r="S78" i="1" s="1"/>
  <c r="H68" i="1"/>
  <c r="H125" i="1"/>
  <c r="J125" i="1" s="1"/>
  <c r="U125" i="1" s="1"/>
  <c r="H70" i="1"/>
  <c r="J70" i="1" s="1"/>
  <c r="U70" i="1" s="1"/>
  <c r="V74" i="1"/>
  <c r="H131" i="1"/>
  <c r="H84" i="1"/>
  <c r="E26" i="1"/>
  <c r="F25" i="1"/>
  <c r="D94" i="1"/>
  <c r="H38" i="1"/>
  <c r="H69" i="1"/>
  <c r="H55" i="1"/>
  <c r="J55" i="1" s="1"/>
  <c r="U55" i="1" s="1"/>
  <c r="H87" i="1"/>
  <c r="H46" i="1"/>
  <c r="E110" i="1"/>
  <c r="I113" i="1"/>
  <c r="H32" i="1"/>
  <c r="H41" i="1"/>
  <c r="J41" i="1" s="1"/>
  <c r="U41" i="1" s="1"/>
  <c r="Q84" i="1"/>
  <c r="N77" i="1"/>
  <c r="P77" i="1" s="1"/>
  <c r="N70" i="1"/>
  <c r="P70" i="1" s="1"/>
  <c r="H163" i="1"/>
  <c r="H45" i="1"/>
  <c r="J45" i="1" s="1"/>
  <c r="U45" i="1" s="1"/>
  <c r="H44" i="1"/>
  <c r="H64" i="1"/>
  <c r="J64" i="1" s="1"/>
  <c r="U64" i="1" s="1"/>
  <c r="G179" i="1"/>
  <c r="L75" i="1"/>
  <c r="L111" i="1" s="1"/>
  <c r="H40" i="1"/>
  <c r="H66" i="1"/>
  <c r="J66" i="1" s="1"/>
  <c r="U66" i="1" s="1"/>
  <c r="D2" i="5"/>
  <c r="C40" i="5" s="1"/>
  <c r="H50" i="1"/>
  <c r="H49" i="1"/>
  <c r="H65" i="1"/>
  <c r="S65" i="1" s="1"/>
  <c r="H36" i="1"/>
  <c r="J36" i="1" s="1"/>
  <c r="U36" i="1" s="1"/>
  <c r="K87" i="1"/>
  <c r="V87" i="1" s="1"/>
  <c r="F131" i="1"/>
  <c r="S66" i="1"/>
  <c r="G98" i="1"/>
  <c r="H82" i="1"/>
  <c r="H61" i="1"/>
  <c r="H73" i="1"/>
  <c r="H88" i="1"/>
  <c r="S88" i="1" s="1"/>
  <c r="I179" i="1"/>
  <c r="P12" i="6"/>
  <c r="I106" i="1"/>
  <c r="I93" i="1"/>
  <c r="O74" i="1"/>
  <c r="O110" i="1" s="1"/>
  <c r="N74" i="1"/>
  <c r="M110" i="1"/>
  <c r="O88" i="1"/>
  <c r="N88" i="1"/>
  <c r="E54" i="4"/>
  <c r="D21" i="3"/>
  <c r="D22" i="3" s="1"/>
  <c r="I17" i="5"/>
  <c r="BN33" i="18"/>
  <c r="F15" i="3"/>
  <c r="I33" i="5"/>
  <c r="BN41" i="18"/>
  <c r="BN17" i="18"/>
  <c r="I41" i="5"/>
  <c r="F4" i="2"/>
  <c r="I27" i="5"/>
  <c r="BN19" i="18"/>
  <c r="I19" i="5"/>
  <c r="F27" i="5"/>
  <c r="BI27" i="18" s="1"/>
  <c r="BJ27" i="18" s="1"/>
  <c r="I20" i="5"/>
  <c r="BN13" i="18"/>
  <c r="BN20" i="18"/>
  <c r="BN36" i="18"/>
  <c r="I26" i="5"/>
  <c r="F26" i="5"/>
  <c r="BI26" i="18" s="1"/>
  <c r="BN34" i="18"/>
  <c r="BN42" i="18"/>
  <c r="I34" i="5"/>
  <c r="BN18" i="18"/>
  <c r="I18" i="5"/>
  <c r="I42" i="5"/>
  <c r="P48" i="16"/>
  <c r="Q44" i="16"/>
  <c r="R44" i="16" s="1"/>
  <c r="S44" i="16" s="1"/>
  <c r="S48" i="16" s="1"/>
  <c r="CT105" i="15"/>
  <c r="CT107" i="15" s="1"/>
  <c r="AX50" i="34"/>
  <c r="CT83" i="15"/>
  <c r="CT104" i="15" s="1"/>
  <c r="CP105" i="15"/>
  <c r="CP107" i="15" s="1"/>
  <c r="AV50" i="34"/>
  <c r="CP83" i="15"/>
  <c r="CP104" i="15" s="1"/>
  <c r="C32" i="23"/>
  <c r="F32" i="23"/>
  <c r="E41" i="24"/>
  <c r="G32" i="23"/>
  <c r="E47" i="24"/>
  <c r="C6" i="32"/>
  <c r="BD83" i="15"/>
  <c r="BD105" i="15"/>
  <c r="AC50" i="34"/>
  <c r="R148" i="9"/>
  <c r="R150" i="9" s="1"/>
  <c r="R183" i="9"/>
  <c r="R185" i="9" s="1"/>
  <c r="C42" i="31"/>
  <c r="B41" i="34"/>
  <c r="F42" i="33"/>
  <c r="F42" i="34" s="1"/>
  <c r="F59" i="34" s="1"/>
  <c r="F41" i="34"/>
  <c r="R6" i="28"/>
  <c r="U6" i="19"/>
  <c r="U5" i="19" s="1"/>
  <c r="S181" i="9"/>
  <c r="S143" i="9"/>
  <c r="G25" i="8"/>
  <c r="G35" i="16"/>
  <c r="W45" i="16"/>
  <c r="V48" i="16"/>
  <c r="U9" i="14"/>
  <c r="V9" i="14"/>
  <c r="R32" i="17"/>
  <c r="D173" i="17"/>
  <c r="H361" i="17" s="1"/>
  <c r="H530" i="17" s="1"/>
  <c r="D156" i="17"/>
  <c r="H156" i="17" s="1"/>
  <c r="E311" i="17"/>
  <c r="O33" i="26"/>
  <c r="Q33" i="26" s="1"/>
  <c r="R33" i="26" s="1"/>
  <c r="L34" i="26"/>
  <c r="M34" i="26" s="1"/>
  <c r="L361" i="17"/>
  <c r="K361" i="17"/>
  <c r="T32" i="16"/>
  <c r="T20" i="8"/>
  <c r="AD124" i="16"/>
  <c r="I42" i="31"/>
  <c r="H41" i="34"/>
  <c r="AD169" i="9"/>
  <c r="C42" i="34"/>
  <c r="BG48" i="18"/>
  <c r="O194" i="1"/>
  <c r="BU8" i="14"/>
  <c r="D362" i="17"/>
  <c r="E26" i="3"/>
  <c r="P29" i="2" s="1"/>
  <c r="AF33" i="22"/>
  <c r="O8" i="3"/>
  <c r="K168" i="17"/>
  <c r="AQ42" i="31"/>
  <c r="H56" i="22"/>
  <c r="AB21" i="22" s="1"/>
  <c r="AP163" i="9"/>
  <c r="AP162" i="9" s="1"/>
  <c r="D67" i="16"/>
  <c r="G28" i="41"/>
  <c r="Q150" i="9"/>
  <c r="AC34" i="17"/>
  <c r="AD34" i="17" s="1"/>
  <c r="AP37" i="17"/>
  <c r="AC53" i="17"/>
  <c r="AH42" i="33"/>
  <c r="BC31" i="18"/>
  <c r="AQ169" i="9"/>
  <c r="O78" i="20"/>
  <c r="D20" i="41"/>
  <c r="S169" i="9"/>
  <c r="K259" i="17"/>
  <c r="H267" i="17"/>
  <c r="H306" i="17"/>
  <c r="BD8" i="14"/>
  <c r="AP154" i="9"/>
  <c r="T39" i="14"/>
  <c r="AK29" i="14"/>
  <c r="K48" i="4"/>
  <c r="N92" i="1"/>
  <c r="N8" i="3"/>
  <c r="AP153" i="9"/>
  <c r="AF39" i="22"/>
  <c r="J121" i="20"/>
  <c r="J120" i="20" s="1"/>
  <c r="J226" i="17"/>
  <c r="G10" i="1"/>
  <c r="G13" i="1"/>
  <c r="L184" i="1"/>
  <c r="F39" i="1"/>
  <c r="N219" i="17"/>
  <c r="K219" i="17"/>
  <c r="L231" i="17"/>
  <c r="M231" i="17" s="1"/>
  <c r="O231" i="17" s="1"/>
  <c r="B194" i="17" s="1"/>
  <c r="M229" i="17"/>
  <c r="K305" i="17"/>
  <c r="L305" i="17" s="1"/>
  <c r="J311" i="17"/>
  <c r="K311" i="17" s="1"/>
  <c r="E313" i="17"/>
  <c r="D167" i="17"/>
  <c r="G88" i="17"/>
  <c r="D184" i="17" s="1"/>
  <c r="F247" i="17"/>
  <c r="J247" i="17" s="1"/>
  <c r="D168" i="17"/>
  <c r="G222" i="17"/>
  <c r="I222" i="17" s="1"/>
  <c r="G93" i="17"/>
  <c r="K93" i="17" s="1"/>
  <c r="F245" i="17"/>
  <c r="J245" i="17" s="1"/>
  <c r="E307" i="17"/>
  <c r="G217" i="17"/>
  <c r="I217" i="17" s="1"/>
  <c r="D161" i="17"/>
  <c r="H161" i="17" s="1"/>
  <c r="E162" i="17"/>
  <c r="I162" i="17" s="1"/>
  <c r="G23" i="17"/>
  <c r="G103" i="17"/>
  <c r="K103" i="17" s="1"/>
  <c r="E155" i="17"/>
  <c r="I155" i="17" s="1"/>
  <c r="G125" i="17"/>
  <c r="R36" i="17"/>
  <c r="T36" i="17" s="1"/>
  <c r="G220" i="17"/>
  <c r="I220" i="17" s="1"/>
  <c r="G223" i="17"/>
  <c r="I223" i="17" s="1"/>
  <c r="F2" i="12"/>
  <c r="E178" i="17"/>
  <c r="H502" i="17" s="1"/>
  <c r="G199" i="17"/>
  <c r="I199" i="17" s="1"/>
  <c r="D160" i="17"/>
  <c r="H160" i="17" s="1"/>
  <c r="F264" i="17"/>
  <c r="I264" i="17" s="1"/>
  <c r="F243" i="17"/>
  <c r="J243" i="17" s="1"/>
  <c r="F270" i="17"/>
  <c r="I270" i="17" s="1"/>
  <c r="E173" i="17"/>
  <c r="G102" i="17"/>
  <c r="K102" i="17" s="1"/>
  <c r="G245" i="17"/>
  <c r="G210" i="17"/>
  <c r="G200" i="17"/>
  <c r="I200" i="17" s="1"/>
  <c r="G248" i="17"/>
  <c r="G10" i="17"/>
  <c r="G226" i="17"/>
  <c r="I226" i="17" s="1"/>
  <c r="G77" i="17"/>
  <c r="G106" i="17"/>
  <c r="K106" i="17" s="1"/>
  <c r="D150" i="17"/>
  <c r="H150" i="17" s="1"/>
  <c r="F269" i="17"/>
  <c r="I269" i="17" s="1"/>
  <c r="D147" i="17"/>
  <c r="H147" i="17" s="1"/>
  <c r="G80" i="17"/>
  <c r="H376" i="17" s="1"/>
  <c r="D151" i="17"/>
  <c r="H151" i="17" s="1"/>
  <c r="F265" i="17"/>
  <c r="I265" i="17" s="1"/>
  <c r="G104" i="17"/>
  <c r="K104" i="17" s="1"/>
  <c r="G209" i="17"/>
  <c r="I209" i="17" s="1"/>
  <c r="G240" i="17"/>
  <c r="E142" i="17"/>
  <c r="I142" i="17" s="1"/>
  <c r="R34" i="17"/>
  <c r="T34" i="17" s="1"/>
  <c r="U34" i="17" s="1"/>
  <c r="G132" i="17"/>
  <c r="G219" i="17"/>
  <c r="I219" i="17" s="1"/>
  <c r="C31" i="17"/>
  <c r="D157" i="17"/>
  <c r="H157" i="17" s="1"/>
  <c r="E308" i="17"/>
  <c r="D176" i="17"/>
  <c r="G249" i="17"/>
  <c r="K249" i="17" s="1"/>
  <c r="D146" i="17"/>
  <c r="H146" i="17" s="1"/>
  <c r="R37" i="17"/>
  <c r="T37" i="17" s="1"/>
  <c r="U37" i="17" s="1"/>
  <c r="D141" i="17"/>
  <c r="E149" i="17"/>
  <c r="I149" i="17" s="1"/>
  <c r="E175" i="17"/>
  <c r="H511" i="17" s="1"/>
  <c r="E141" i="17"/>
  <c r="G118" i="17"/>
  <c r="K118" i="17" s="1"/>
  <c r="G204" i="17"/>
  <c r="I204" i="17" s="1"/>
  <c r="C34" i="17"/>
  <c r="G205" i="17"/>
  <c r="I205" i="17" s="1"/>
  <c r="C37" i="17"/>
  <c r="I37" i="17" s="1"/>
  <c r="D159" i="17"/>
  <c r="H159" i="17" s="1"/>
  <c r="G105" i="17"/>
  <c r="K105" i="17" s="1"/>
  <c r="F2" i="21"/>
  <c r="G221" i="17"/>
  <c r="I221" i="17" s="1"/>
  <c r="D177" i="17"/>
  <c r="H177" i="17" s="1"/>
  <c r="D164" i="17"/>
  <c r="H164" i="17" s="1"/>
  <c r="D37" i="17"/>
  <c r="E153" i="17"/>
  <c r="I153" i="17" s="1"/>
  <c r="F249" i="17"/>
  <c r="J249" i="17" s="1"/>
  <c r="D153" i="17"/>
  <c r="H153" i="17" s="1"/>
  <c r="G17" i="17"/>
  <c r="D139" i="17"/>
  <c r="H285" i="17"/>
  <c r="J285" i="17" s="1"/>
  <c r="H289" i="17"/>
  <c r="J289" i="17" s="1"/>
  <c r="E306" i="17"/>
  <c r="D143" i="17"/>
  <c r="H143" i="17" s="1"/>
  <c r="G238" i="17"/>
  <c r="F254" i="17" s="1"/>
  <c r="R33" i="17"/>
  <c r="T33" i="17" s="1"/>
  <c r="G206" i="17"/>
  <c r="I206" i="17" s="1"/>
  <c r="G197" i="17"/>
  <c r="I197" i="17" s="1"/>
  <c r="I81" i="17"/>
  <c r="I377" i="17"/>
  <c r="K32" i="30"/>
  <c r="N130" i="17"/>
  <c r="M344" i="17"/>
  <c r="K27" i="30"/>
  <c r="K31" i="30"/>
  <c r="K24" i="30"/>
  <c r="K13" i="30"/>
  <c r="K11" i="30"/>
  <c r="K23" i="30"/>
  <c r="K16" i="30"/>
  <c r="K7" i="30"/>
  <c r="K25" i="30"/>
  <c r="K9" i="30"/>
  <c r="K5" i="30"/>
  <c r="D142" i="17"/>
  <c r="H142" i="17" s="1"/>
  <c r="D166" i="17"/>
  <c r="D148" i="17"/>
  <c r="H148" i="17" s="1"/>
  <c r="D158" i="17"/>
  <c r="H158" i="17" s="1"/>
  <c r="E168" i="17"/>
  <c r="D152" i="17"/>
  <c r="H152" i="17" s="1"/>
  <c r="F2" i="32"/>
  <c r="K34" i="30"/>
  <c r="K12" i="30"/>
  <c r="K10" i="30"/>
  <c r="L22" i="30"/>
  <c r="L26" i="30"/>
  <c r="L4" i="30"/>
  <c r="L6" i="30"/>
  <c r="L29" i="30"/>
  <c r="L23" i="30"/>
  <c r="L10" i="30"/>
  <c r="L9" i="30"/>
  <c r="L18" i="30"/>
  <c r="L19" i="30"/>
  <c r="K8" i="30"/>
  <c r="K33" i="30"/>
  <c r="K30" i="30"/>
  <c r="K6" i="30"/>
  <c r="N217" i="17"/>
  <c r="H297" i="17"/>
  <c r="H128" i="17"/>
  <c r="G8" i="20" s="1"/>
  <c r="I343" i="17"/>
  <c r="J100" i="17"/>
  <c r="H96" i="17"/>
  <c r="K255" i="17"/>
  <c r="N340" i="17"/>
  <c r="AZ35" i="17"/>
  <c r="BO37" i="17"/>
  <c r="BM36" i="17"/>
  <c r="BA35" i="17"/>
  <c r="AZ38" i="17"/>
  <c r="BJ37" i="17"/>
  <c r="BA37" i="17"/>
  <c r="AZ36" i="17"/>
  <c r="BB38" i="17"/>
  <c r="BB37" i="17"/>
  <c r="BK38" i="17"/>
  <c r="BQ37" i="17"/>
  <c r="N213" i="17"/>
  <c r="BQ35" i="17"/>
  <c r="BP36" i="17"/>
  <c r="K269" i="17"/>
  <c r="AL35" i="14"/>
  <c r="N91" i="1"/>
  <c r="N64" i="1"/>
  <c r="P64" i="1" s="1"/>
  <c r="E24" i="1"/>
  <c r="O64" i="1"/>
  <c r="K92" i="1"/>
  <c r="V92" i="1" s="1"/>
  <c r="E89" i="1"/>
  <c r="G377" i="17"/>
  <c r="L196" i="1"/>
  <c r="L7" i="2"/>
  <c r="K44" i="1"/>
  <c r="V44" i="1" s="1"/>
  <c r="E3" i="4"/>
  <c r="E96" i="4"/>
  <c r="E95" i="4"/>
  <c r="E85" i="1"/>
  <c r="H53" i="4"/>
  <c r="H56" i="4" s="1"/>
  <c r="L59" i="1"/>
  <c r="L105" i="1" s="1"/>
  <c r="I23" i="5"/>
  <c r="I39" i="5"/>
  <c r="F39" i="5"/>
  <c r="BI39" i="18" s="1"/>
  <c r="BJ39" i="18" s="1"/>
  <c r="N78" i="1"/>
  <c r="P78" i="1" s="1"/>
  <c r="Q39" i="1"/>
  <c r="M39" i="1" s="1"/>
  <c r="Q89" i="1"/>
  <c r="M89" i="1" s="1"/>
  <c r="F26" i="1"/>
  <c r="H54" i="4"/>
  <c r="E10" i="5"/>
  <c r="F10" i="5" s="1"/>
  <c r="F9" i="5" s="1"/>
  <c r="BI9" i="18" s="1"/>
  <c r="O91" i="1"/>
  <c r="E101" i="1"/>
  <c r="H55" i="4"/>
  <c r="N90" i="1"/>
  <c r="E44" i="4"/>
  <c r="G44" i="4" s="1"/>
  <c r="K9" i="4"/>
  <c r="K43" i="1"/>
  <c r="K88" i="1"/>
  <c r="V88" i="1" s="1"/>
  <c r="E98" i="4"/>
  <c r="P9" i="6"/>
  <c r="BN40" i="18"/>
  <c r="BN32" i="18"/>
  <c r="I32" i="5"/>
  <c r="I40" i="5"/>
  <c r="BN16" i="18"/>
  <c r="AB124" i="16"/>
  <c r="Y68" i="16"/>
  <c r="Y73" i="16" s="1"/>
  <c r="Y67" i="16"/>
  <c r="N127" i="17"/>
  <c r="M341" i="17"/>
  <c r="M346" i="17" s="1"/>
  <c r="M127" i="17"/>
  <c r="I33" i="30"/>
  <c r="I23" i="30"/>
  <c r="I32" i="30"/>
  <c r="I24" i="30"/>
  <c r="I7" i="30"/>
  <c r="I30" i="30"/>
  <c r="I10" i="30"/>
  <c r="I35" i="30"/>
  <c r="I21" i="30"/>
  <c r="I29" i="30"/>
  <c r="I25" i="30"/>
  <c r="I31" i="30"/>
  <c r="I4" i="30"/>
  <c r="I19" i="30"/>
  <c r="I22" i="30"/>
  <c r="I14" i="30"/>
  <c r="I6" i="30"/>
  <c r="I16" i="30"/>
  <c r="I13" i="30"/>
  <c r="I34" i="30"/>
  <c r="I12" i="30"/>
  <c r="I11" i="30"/>
  <c r="I28" i="30"/>
  <c r="I5" i="30"/>
  <c r="I27" i="30"/>
  <c r="I15" i="30"/>
  <c r="BL7" i="14"/>
  <c r="K84" i="15"/>
  <c r="C19" i="24" s="1"/>
  <c r="F19" i="24"/>
  <c r="Q50" i="34"/>
  <c r="AF83" i="15"/>
  <c r="N333" i="17"/>
  <c r="O333" i="17"/>
  <c r="E25" i="1"/>
  <c r="N69" i="1"/>
  <c r="P69" i="1" s="1"/>
  <c r="O69" i="1"/>
  <c r="CD79" i="15"/>
  <c r="K141" i="17"/>
  <c r="H16" i="25"/>
  <c r="H6" i="25"/>
  <c r="F38" i="24"/>
  <c r="AW84" i="15"/>
  <c r="C38" i="24" s="1"/>
  <c r="AF174" i="9"/>
  <c r="E49" i="1"/>
  <c r="F50" i="1"/>
  <c r="E50" i="1"/>
  <c r="K50" i="1" s="1"/>
  <c r="V50" i="1" s="1"/>
  <c r="BQ36" i="17"/>
  <c r="BN37" i="17"/>
  <c r="BQ38" i="17"/>
  <c r="BR35" i="17"/>
  <c r="BS36" i="17"/>
  <c r="BL34" i="17"/>
  <c r="F51" i="1"/>
  <c r="C81" i="17"/>
  <c r="D377" i="17" s="1"/>
  <c r="F163" i="1"/>
  <c r="BM37" i="17"/>
  <c r="BR36" i="17"/>
  <c r="BL35" i="17"/>
  <c r="BK35" i="17"/>
  <c r="BP35" i="17"/>
  <c r="F57" i="1"/>
  <c r="R157" i="1"/>
  <c r="Q143" i="1"/>
  <c r="AF181" i="9"/>
  <c r="D109" i="17" s="1"/>
  <c r="D108" i="17" s="1"/>
  <c r="AF143" i="9"/>
  <c r="BK34" i="17"/>
  <c r="BP38" i="17"/>
  <c r="BO35" i="17"/>
  <c r="BL37" i="17"/>
  <c r="R182" i="9"/>
  <c r="Q360" i="17"/>
  <c r="O37" i="1"/>
  <c r="AA143" i="9"/>
  <c r="AA181" i="9"/>
  <c r="N221" i="17"/>
  <c r="F229" i="17"/>
  <c r="BK37" i="17"/>
  <c r="BQ34" i="17"/>
  <c r="BM34" i="17"/>
  <c r="BJ34" i="17"/>
  <c r="AO35" i="14"/>
  <c r="AC144" i="9"/>
  <c r="AC182" i="9"/>
  <c r="BS34" i="17"/>
  <c r="BS38" i="17"/>
  <c r="BL36" i="17"/>
  <c r="AS42" i="34"/>
  <c r="W182" i="9"/>
  <c r="W144" i="9"/>
  <c r="AG9" i="14"/>
  <c r="AF8" i="14"/>
  <c r="BJ35" i="17"/>
  <c r="BM35" i="17"/>
  <c r="BJ38" i="17"/>
  <c r="AI169" i="9"/>
  <c r="T188" i="9"/>
  <c r="K254" i="17"/>
  <c r="Q169" i="9"/>
  <c r="AK169" i="9"/>
  <c r="AJ169" i="9"/>
  <c r="V188" i="9"/>
  <c r="AC33" i="17"/>
  <c r="AD33" i="17" s="1"/>
  <c r="N379" i="17"/>
  <c r="AD35" i="17"/>
  <c r="L186" i="1"/>
  <c r="AL162" i="9"/>
  <c r="X188" i="9"/>
  <c r="AC54" i="17"/>
  <c r="C140" i="16"/>
  <c r="C138" i="16" s="1"/>
  <c r="Z169" i="9"/>
  <c r="AG169" i="9"/>
  <c r="I6" i="12"/>
  <c r="U169" i="9"/>
  <c r="AH169" i="9"/>
  <c r="J220" i="17"/>
  <c r="J263" i="17"/>
  <c r="H273" i="17"/>
  <c r="AC169" i="9"/>
  <c r="AR37" i="17"/>
  <c r="J217" i="17"/>
  <c r="J219" i="17"/>
  <c r="K333" i="17"/>
  <c r="O355" i="17"/>
  <c r="Q355" i="17" s="1"/>
  <c r="AF37" i="22"/>
  <c r="F108" i="20"/>
  <c r="E108" i="20" s="1"/>
  <c r="AQ150" i="9"/>
  <c r="AQ42" i="33"/>
  <c r="K340" i="17"/>
  <c r="AX46" i="18"/>
  <c r="AY46" i="18" s="1"/>
  <c r="BF38" i="18"/>
  <c r="AS79" i="27"/>
  <c r="BC40" i="18"/>
  <c r="BC32" i="18"/>
  <c r="AP174" i="9"/>
  <c r="K40" i="1"/>
  <c r="V40" i="1" s="1"/>
  <c r="AQ163" i="9"/>
  <c r="AQ174" i="9"/>
  <c r="H101" i="17" s="1"/>
  <c r="AZ46" i="18"/>
  <c r="BA46" i="18" s="1"/>
  <c r="AG12" i="18"/>
  <c r="F26" i="3"/>
  <c r="G26" i="3" s="1"/>
  <c r="M357" i="17"/>
  <c r="H80" i="17"/>
  <c r="P64" i="20"/>
  <c r="K336" i="17"/>
  <c r="AB34" i="22"/>
  <c r="P45" i="2"/>
  <c r="T13" i="16"/>
  <c r="AP185" i="9"/>
  <c r="AD34" i="22"/>
  <c r="O26" i="3"/>
  <c r="AF41" i="22"/>
  <c r="AB36" i="22"/>
  <c r="U5" i="28"/>
  <c r="L5" i="19"/>
  <c r="I5" i="28"/>
  <c r="BF42" i="18"/>
  <c r="BB40" i="18"/>
  <c r="BF14" i="18"/>
  <c r="BB31" i="18"/>
  <c r="BF40" i="18"/>
  <c r="BB14" i="18"/>
  <c r="BF16" i="18"/>
  <c r="BF20" i="18"/>
  <c r="BG50" i="18"/>
  <c r="BB32" i="18"/>
  <c r="B52" i="5"/>
  <c r="BF32" i="18"/>
  <c r="BF23" i="18"/>
  <c r="BF50" i="18"/>
  <c r="BC34" i="18"/>
  <c r="O9" i="36"/>
  <c r="P9" i="36" s="1"/>
  <c r="N26" i="30"/>
  <c r="N15" i="30"/>
  <c r="K277" i="17"/>
  <c r="J118" i="17"/>
  <c r="N11" i="30"/>
  <c r="G12" i="30"/>
  <c r="G18" i="30"/>
  <c r="G27" i="30"/>
  <c r="G6" i="30"/>
  <c r="G15" i="30"/>
  <c r="G4" i="30"/>
  <c r="G20" i="30"/>
  <c r="G23" i="30"/>
  <c r="G21" i="30"/>
  <c r="G32" i="30"/>
  <c r="G25" i="30"/>
  <c r="G24" i="30"/>
  <c r="G8" i="30"/>
  <c r="G30" i="30"/>
  <c r="G31" i="30"/>
  <c r="G14" i="30"/>
  <c r="G16" i="30"/>
  <c r="G34" i="30"/>
  <c r="L333" i="17"/>
  <c r="N131" i="17"/>
  <c r="M131" i="17"/>
  <c r="M345" i="17"/>
  <c r="D324" i="17"/>
  <c r="D251" i="17"/>
  <c r="D134" i="17"/>
  <c r="N28" i="30"/>
  <c r="N12" i="30"/>
  <c r="N30" i="30"/>
  <c r="N222" i="17"/>
  <c r="K222" i="17"/>
  <c r="N21" i="30"/>
  <c r="N17" i="30"/>
  <c r="R305" i="17"/>
  <c r="O311" i="17"/>
  <c r="K220" i="17"/>
  <c r="J260" i="17"/>
  <c r="J253" i="17" s="1"/>
  <c r="D263" i="17"/>
  <c r="H266" i="17"/>
  <c r="N132" i="17"/>
  <c r="N23" i="30"/>
  <c r="N4" i="30"/>
  <c r="L51" i="1"/>
  <c r="E338" i="17"/>
  <c r="L350" i="17"/>
  <c r="N35" i="30"/>
  <c r="N24" i="30"/>
  <c r="E237" i="17"/>
  <c r="J54" i="17"/>
  <c r="E54" i="17"/>
  <c r="AP34" i="17"/>
  <c r="AQ34" i="17"/>
  <c r="N25" i="30"/>
  <c r="I237" i="17"/>
  <c r="J106" i="17"/>
  <c r="L345" i="17"/>
  <c r="K345" i="17"/>
  <c r="H117" i="17"/>
  <c r="G6" i="20" s="1"/>
  <c r="H295" i="17"/>
  <c r="I118" i="17"/>
  <c r="I335" i="17"/>
  <c r="I505" i="17" s="1"/>
  <c r="E4" i="20"/>
  <c r="G326" i="17"/>
  <c r="H237" i="17"/>
  <c r="N18" i="30"/>
  <c r="N13" i="30"/>
  <c r="N27" i="30"/>
  <c r="N19" i="30"/>
  <c r="N8" i="30"/>
  <c r="N20" i="30"/>
  <c r="N16" i="30"/>
  <c r="N29" i="30"/>
  <c r="N6" i="30"/>
  <c r="N5" i="30"/>
  <c r="N14" i="30"/>
  <c r="N9" i="30"/>
  <c r="BO36" i="17"/>
  <c r="BO38" i="17"/>
  <c r="BP37" i="17"/>
  <c r="BN36" i="17"/>
  <c r="BM38" i="17"/>
  <c r="BR34" i="17"/>
  <c r="BB35" i="17"/>
  <c r="BN38" i="17"/>
  <c r="BO34" i="17"/>
  <c r="BR38" i="17"/>
  <c r="BB34" i="17"/>
  <c r="BJ29" i="18"/>
  <c r="BC35" i="17"/>
  <c r="BS37" i="17"/>
  <c r="BN35" i="17"/>
  <c r="BJ36" i="17"/>
  <c r="BC38" i="17"/>
  <c r="BK36" i="17"/>
  <c r="BB36" i="17"/>
  <c r="AZ37" i="17"/>
  <c r="I357" i="17"/>
  <c r="BS35" i="17"/>
  <c r="BC34" i="17"/>
  <c r="BC37" i="17"/>
  <c r="BC36" i="17"/>
  <c r="AG13" i="18"/>
  <c r="BO8" i="14"/>
  <c r="I36" i="5"/>
  <c r="BN23" i="18"/>
  <c r="AC44" i="16"/>
  <c r="AE13" i="18"/>
  <c r="AE55" i="18"/>
  <c r="S50" i="34"/>
  <c r="AJ83" i="15"/>
  <c r="L8" i="23"/>
  <c r="G108" i="1"/>
  <c r="G185" i="1"/>
  <c r="F11" i="30"/>
  <c r="F22" i="30"/>
  <c r="BB29" i="18"/>
  <c r="AG29" i="18"/>
  <c r="BC29" i="18" s="1"/>
  <c r="L132" i="21"/>
  <c r="AB67" i="16"/>
  <c r="AF67" i="16"/>
  <c r="E56" i="24"/>
  <c r="U33" i="8"/>
  <c r="V54" i="16" s="1"/>
  <c r="V56" i="16" s="1"/>
  <c r="B44" i="5"/>
  <c r="P9" i="10"/>
  <c r="S188" i="9"/>
  <c r="BG47" i="18"/>
  <c r="AT45" i="34"/>
  <c r="K72" i="21"/>
  <c r="BC51" i="18"/>
  <c r="K46" i="4"/>
  <c r="D56" i="21"/>
  <c r="D52" i="21" s="1"/>
  <c r="R17" i="21" s="1"/>
  <c r="R16" i="21" s="1"/>
  <c r="BF48" i="18"/>
  <c r="O40" i="1"/>
  <c r="N40" i="1"/>
  <c r="AF40" i="22"/>
  <c r="I25" i="5"/>
  <c r="N11" i="22"/>
  <c r="AR79" i="27"/>
  <c r="AN46" i="18"/>
  <c r="AO46" i="18" s="1"/>
  <c r="BC23" i="18"/>
  <c r="BC17" i="18"/>
  <c r="AB38" i="22"/>
  <c r="M41" i="1"/>
  <c r="BJ11" i="18"/>
  <c r="AR46" i="18"/>
  <c r="AS46" i="18" s="1"/>
  <c r="BG23" i="18"/>
  <c r="AS15" i="18"/>
  <c r="AB17" i="22"/>
  <c r="AF42" i="22"/>
  <c r="I14" i="5"/>
  <c r="AV46" i="18"/>
  <c r="BJ32" i="18"/>
  <c r="AD35" i="22"/>
  <c r="AF35" i="22" s="1"/>
  <c r="AB35" i="22"/>
  <c r="AC35" i="22" s="1"/>
  <c r="AG35" i="22" s="1"/>
  <c r="AE38" i="22"/>
  <c r="AF38" i="22" s="1"/>
  <c r="L29" i="2"/>
  <c r="BI42" i="18"/>
  <c r="BJ42" i="18" s="1"/>
  <c r="BI21" i="18"/>
  <c r="BJ21" i="18" s="1"/>
  <c r="C51" i="21"/>
  <c r="Q17" i="21"/>
  <c r="Q16" i="21" s="1"/>
  <c r="BI17" i="18"/>
  <c r="BN14" i="18"/>
  <c r="I30" i="5"/>
  <c r="E75" i="21"/>
  <c r="BN25" i="18"/>
  <c r="I37" i="5"/>
  <c r="S8" i="21"/>
  <c r="E57" i="21"/>
  <c r="R10" i="21"/>
  <c r="F30" i="5"/>
  <c r="F14" i="5"/>
  <c r="BI14" i="18" s="1"/>
  <c r="BJ14" i="18" s="1"/>
  <c r="K70" i="21"/>
  <c r="E52" i="5"/>
  <c r="I35" i="5"/>
  <c r="BI18" i="18"/>
  <c r="BJ18" i="18" s="1"/>
  <c r="S7" i="21"/>
  <c r="E5" i="21"/>
  <c r="F35" i="5"/>
  <c r="AJ5" i="28"/>
  <c r="AT40" i="19"/>
  <c r="BZ7" i="19"/>
  <c r="AG5" i="28"/>
  <c r="AR33" i="19"/>
  <c r="AA5" i="28"/>
  <c r="AD5" i="19"/>
  <c r="I5" i="19"/>
  <c r="F5" i="28"/>
  <c r="C5" i="28"/>
  <c r="F5" i="19"/>
  <c r="AR14" i="19"/>
  <c r="AG5" i="19"/>
  <c r="BE6" i="19"/>
  <c r="BE5" i="19" s="1"/>
  <c r="AA6" i="19"/>
  <c r="BA32" i="19"/>
  <c r="BC32" i="19" s="1"/>
  <c r="BG42" i="18"/>
  <c r="BG41" i="18"/>
  <c r="BG20" i="18"/>
  <c r="BC37" i="18"/>
  <c r="BC39" i="18"/>
  <c r="BC20" i="18"/>
  <c r="BC25" i="18"/>
  <c r="BC33" i="18"/>
  <c r="BC19" i="18"/>
  <c r="I29" i="5"/>
  <c r="BF47" i="18"/>
  <c r="AL46" i="18"/>
  <c r="AM13" i="18"/>
  <c r="BF13" i="18"/>
  <c r="AK28" i="18"/>
  <c r="BG28" i="18" s="1"/>
  <c r="BF28" i="18"/>
  <c r="BC14" i="18"/>
  <c r="BK109" i="18" s="1"/>
  <c r="BG14" i="18"/>
  <c r="BC36" i="18"/>
  <c r="AO44" i="18"/>
  <c r="BF44" i="18"/>
  <c r="M368" i="17" s="1"/>
  <c r="AM25" i="18"/>
  <c r="BG25" i="18" s="1"/>
  <c r="BF25" i="18"/>
  <c r="BJ23" i="18"/>
  <c r="BI96" i="18"/>
  <c r="AG35" i="18"/>
  <c r="BF35" i="18"/>
  <c r="AE22" i="18"/>
  <c r="BB22" i="18"/>
  <c r="BF22" i="18"/>
  <c r="BG45" i="18"/>
  <c r="BC45" i="18"/>
  <c r="C10" i="18"/>
  <c r="B10" i="5"/>
  <c r="AK19" i="18"/>
  <c r="BG19" i="18" s="1"/>
  <c r="BF19" i="18"/>
  <c r="AI36" i="18"/>
  <c r="BH36" i="18" s="1"/>
  <c r="BF36" i="18"/>
  <c r="AI17" i="18"/>
  <c r="BH17" i="18" s="1"/>
  <c r="BF17" i="18"/>
  <c r="BC21" i="18"/>
  <c r="E44" i="6"/>
  <c r="AK34" i="18"/>
  <c r="BG34" i="18" s="1"/>
  <c r="BF34" i="18"/>
  <c r="AG11" i="18"/>
  <c r="BB11" i="18"/>
  <c r="BF11" i="18"/>
  <c r="AM39" i="18"/>
  <c r="BG39" i="18" s="1"/>
  <c r="BF39" i="18"/>
  <c r="AM31" i="18"/>
  <c r="BG31" i="18" s="1"/>
  <c r="BF31" i="18"/>
  <c r="BG32" i="18"/>
  <c r="AG18" i="18"/>
  <c r="BC18" i="18" s="1"/>
  <c r="BF18" i="18"/>
  <c r="BB18" i="18"/>
  <c r="BC44" i="18"/>
  <c r="BG40" i="18"/>
  <c r="AP46" i="18"/>
  <c r="BG37" i="18"/>
  <c r="BG33" i="18"/>
  <c r="AM21" i="18"/>
  <c r="BG21" i="18" s="1"/>
  <c r="BF21" i="18"/>
  <c r="AI26" i="18"/>
  <c r="BH26" i="18" s="1"/>
  <c r="BF26" i="18"/>
  <c r="BG16" i="18"/>
  <c r="AE38" i="18"/>
  <c r="BB38" i="18"/>
  <c r="AE12" i="18"/>
  <c r="BB12" i="18"/>
  <c r="BJ33" i="18"/>
  <c r="BJ19" i="18"/>
  <c r="BH7" i="14"/>
  <c r="BI7" i="14"/>
  <c r="BX19" i="14"/>
  <c r="Z2" i="14"/>
  <c r="AA7" i="14"/>
  <c r="AE22" i="14"/>
  <c r="AC7" i="14"/>
  <c r="BU19" i="14"/>
  <c r="BL19" i="14"/>
  <c r="L19" i="14"/>
  <c r="O7" i="14"/>
  <c r="N2" i="14"/>
  <c r="BF19" i="14"/>
  <c r="BW7" i="14"/>
  <c r="F43" i="4"/>
  <c r="F5" i="4"/>
  <c r="D113" i="4"/>
  <c r="K113" i="4" s="1"/>
  <c r="G40" i="4"/>
  <c r="G32" i="4"/>
  <c r="BI22" i="18"/>
  <c r="BJ22" i="18" s="1"/>
  <c r="G24" i="4"/>
  <c r="Z18" i="2"/>
  <c r="BI40" i="18"/>
  <c r="BJ40" i="18" s="1"/>
  <c r="F28" i="5"/>
  <c r="BN28" i="18"/>
  <c r="I28" i="5"/>
  <c r="BI16" i="18"/>
  <c r="BJ16" i="18" s="1"/>
  <c r="F38" i="5"/>
  <c r="BN38" i="18"/>
  <c r="BI20" i="18"/>
  <c r="BJ20" i="18" s="1"/>
  <c r="G11" i="4"/>
  <c r="E10" i="4"/>
  <c r="I31" i="5"/>
  <c r="BN31" i="18"/>
  <c r="F31" i="5"/>
  <c r="F15" i="5"/>
  <c r="I15" i="5"/>
  <c r="BN15" i="18"/>
  <c r="Z20" i="2"/>
  <c r="BI36" i="18"/>
  <c r="F24" i="5"/>
  <c r="BN24" i="18"/>
  <c r="I24" i="5"/>
  <c r="BI41" i="18"/>
  <c r="BJ41" i="18" s="1"/>
  <c r="BI34" i="18"/>
  <c r="BJ34" i="18" s="1"/>
  <c r="K210" i="17" l="1"/>
  <c r="N94" i="17"/>
  <c r="I176" i="17"/>
  <c r="H523" i="17"/>
  <c r="K351" i="17"/>
  <c r="P351" i="17" s="1"/>
  <c r="I528" i="17"/>
  <c r="I177" i="17"/>
  <c r="H531" i="17"/>
  <c r="J360" i="17"/>
  <c r="H522" i="17"/>
  <c r="AX27" i="19"/>
  <c r="AZ27" i="19" s="1"/>
  <c r="I500" i="17"/>
  <c r="I525" i="17"/>
  <c r="L330" i="17"/>
  <c r="I515" i="17"/>
  <c r="I331" i="17"/>
  <c r="I504" i="17"/>
  <c r="M23" i="17"/>
  <c r="J336" i="17"/>
  <c r="H517" i="17"/>
  <c r="J359" i="17"/>
  <c r="H510" i="17"/>
  <c r="AR16" i="19"/>
  <c r="AR26" i="19"/>
  <c r="AR42" i="19"/>
  <c r="AR35" i="19"/>
  <c r="AT35" i="19" s="1"/>
  <c r="AR29" i="19"/>
  <c r="AT29" i="19" s="1"/>
  <c r="AR47" i="19"/>
  <c r="BS49" i="19"/>
  <c r="BU49" i="19" s="1"/>
  <c r="AR49" i="19"/>
  <c r="AT49" i="19" s="1"/>
  <c r="AR45" i="19"/>
  <c r="AR28" i="19"/>
  <c r="BS33" i="19"/>
  <c r="BU33" i="19" s="1"/>
  <c r="AR23" i="19"/>
  <c r="AR13" i="19"/>
  <c r="AT13" i="19" s="1"/>
  <c r="AR37" i="19"/>
  <c r="BS39" i="19"/>
  <c r="BU39" i="19" s="1"/>
  <c r="AR32" i="19"/>
  <c r="AT32" i="19" s="1"/>
  <c r="AR36" i="19"/>
  <c r="AR21" i="19"/>
  <c r="AT21" i="19" s="1"/>
  <c r="AR41" i="19"/>
  <c r="AR25" i="19"/>
  <c r="BS24" i="19"/>
  <c r="BU24" i="19" s="1"/>
  <c r="BS13" i="19"/>
  <c r="BU13" i="19" s="1"/>
  <c r="AR38" i="19"/>
  <c r="AT38" i="19" s="1"/>
  <c r="AR39" i="19"/>
  <c r="AR34" i="19"/>
  <c r="AR11" i="19"/>
  <c r="AR17" i="19"/>
  <c r="BA21" i="34"/>
  <c r="O68" i="16"/>
  <c r="C16" i="30"/>
  <c r="C30" i="30"/>
  <c r="AU50" i="19"/>
  <c r="AW50" i="19" s="1"/>
  <c r="G32" i="25"/>
  <c r="C17" i="30"/>
  <c r="C20" i="30"/>
  <c r="C22" i="30"/>
  <c r="C21" i="30"/>
  <c r="Q30" i="41"/>
  <c r="BP19" i="19"/>
  <c r="BR19" i="19" s="1"/>
  <c r="AE73" i="16"/>
  <c r="M19" i="14"/>
  <c r="C4" i="30"/>
  <c r="O25" i="41"/>
  <c r="Q25" i="41" s="1"/>
  <c r="E22" i="41"/>
  <c r="G22" i="41" s="1"/>
  <c r="C18" i="30"/>
  <c r="AU27" i="19"/>
  <c r="AW27" i="19" s="1"/>
  <c r="AC36" i="22"/>
  <c r="AU12" i="19"/>
  <c r="AW12" i="19" s="1"/>
  <c r="C24" i="30"/>
  <c r="BP18" i="19"/>
  <c r="BR18" i="19" s="1"/>
  <c r="CN105" i="15"/>
  <c r="CN107" i="15" s="1"/>
  <c r="CN82" i="15"/>
  <c r="AO43" i="27"/>
  <c r="Q67" i="16"/>
  <c r="O21" i="22"/>
  <c r="C33" i="30"/>
  <c r="C9" i="30"/>
  <c r="AU45" i="19"/>
  <c r="BP48" i="19"/>
  <c r="AU49" i="19"/>
  <c r="AW49" i="19" s="1"/>
  <c r="BJ37" i="19"/>
  <c r="BL37" i="19" s="1"/>
  <c r="AU38" i="19"/>
  <c r="AW38" i="19" s="1"/>
  <c r="BP26" i="19"/>
  <c r="BR26" i="19" s="1"/>
  <c r="BP49" i="19"/>
  <c r="BR49" i="19" s="1"/>
  <c r="BP28" i="19"/>
  <c r="BR28" i="19" s="1"/>
  <c r="BJ19" i="19"/>
  <c r="BL19" i="19" s="1"/>
  <c r="AU13" i="19"/>
  <c r="AW13" i="19" s="1"/>
  <c r="BP9" i="19"/>
  <c r="BR9" i="19" s="1"/>
  <c r="BJ31" i="19"/>
  <c r="BL31" i="19" s="1"/>
  <c r="AU42" i="19"/>
  <c r="AW42" i="19" s="1"/>
  <c r="AU46" i="19"/>
  <c r="BP23" i="19"/>
  <c r="BR23" i="19" s="1"/>
  <c r="BP33" i="19"/>
  <c r="BR33" i="19" s="1"/>
  <c r="AU19" i="19"/>
  <c r="AW19" i="19" s="1"/>
  <c r="BP16" i="19"/>
  <c r="BR16" i="19" s="1"/>
  <c r="BJ12" i="19"/>
  <c r="BL12" i="19" s="1"/>
  <c r="BJ30" i="19"/>
  <c r="BL30" i="19" s="1"/>
  <c r="AU39" i="19"/>
  <c r="AW39" i="19" s="1"/>
  <c r="AU36" i="19"/>
  <c r="AW36" i="19" s="1"/>
  <c r="AU14" i="19"/>
  <c r="AW14" i="19" s="1"/>
  <c r="AU48" i="19"/>
  <c r="BJ49" i="19"/>
  <c r="BL49" i="19" s="1"/>
  <c r="AU16" i="19"/>
  <c r="AW16" i="19" s="1"/>
  <c r="AU22" i="19"/>
  <c r="AW22" i="19" s="1"/>
  <c r="AU47" i="19"/>
  <c r="BP13" i="19"/>
  <c r="BR13" i="19" s="1"/>
  <c r="BJ17" i="19"/>
  <c r="BL17" i="19" s="1"/>
  <c r="E39" i="12"/>
  <c r="AR27" i="19"/>
  <c r="AT27" i="19" s="1"/>
  <c r="AR46" i="19"/>
  <c r="AR18" i="19"/>
  <c r="BS35" i="19"/>
  <c r="BU35" i="19" s="1"/>
  <c r="BS25" i="19"/>
  <c r="BU25" i="19" s="1"/>
  <c r="AR22" i="19"/>
  <c r="AT22" i="19" s="1"/>
  <c r="AR15" i="19"/>
  <c r="AT15" i="19" s="1"/>
  <c r="AR20" i="19"/>
  <c r="AT20" i="19" s="1"/>
  <c r="AR24" i="19"/>
  <c r="AT24" i="19" s="1"/>
  <c r="AR31" i="19"/>
  <c r="AT31" i="19" s="1"/>
  <c r="AR30" i="19"/>
  <c r="AR48" i="19"/>
  <c r="AR12" i="19"/>
  <c r="AT12" i="19" s="1"/>
  <c r="E19" i="19"/>
  <c r="G19" i="19" s="1"/>
  <c r="AR50" i="19"/>
  <c r="AT50" i="19" s="1"/>
  <c r="F38" i="18"/>
  <c r="G38" i="18" s="1"/>
  <c r="BG26" i="19"/>
  <c r="BI26" i="19" s="1"/>
  <c r="BG31" i="19"/>
  <c r="BI31" i="19" s="1"/>
  <c r="BG12" i="19"/>
  <c r="BI12" i="19" s="1"/>
  <c r="BR83" i="15"/>
  <c r="BR104" i="15" s="1"/>
  <c r="BA26" i="19"/>
  <c r="BC26" i="19" s="1"/>
  <c r="AS84" i="15"/>
  <c r="C36" i="24" s="1"/>
  <c r="I36" i="24" s="1"/>
  <c r="AQ119" i="16"/>
  <c r="BG17" i="19"/>
  <c r="BI17" i="19" s="1"/>
  <c r="W69" i="16"/>
  <c r="AJ3" i="35" s="1"/>
  <c r="AJ42" i="35" s="1"/>
  <c r="Q27" i="16"/>
  <c r="B7" i="17"/>
  <c r="AT137" i="16"/>
  <c r="AX36" i="19"/>
  <c r="AZ36" i="19" s="1"/>
  <c r="C25" i="20"/>
  <c r="I365" i="17"/>
  <c r="AR7" i="18"/>
  <c r="AR6" i="18" s="1"/>
  <c r="AV42" i="35"/>
  <c r="BJ8" i="19"/>
  <c r="AS7" i="18"/>
  <c r="E4" i="29"/>
  <c r="I35" i="29"/>
  <c r="I24" i="29"/>
  <c r="I12" i="29"/>
  <c r="I7" i="29"/>
  <c r="I5" i="29"/>
  <c r="AL12" i="13"/>
  <c r="BJ47" i="19"/>
  <c r="AU11" i="19"/>
  <c r="AW11" i="19" s="1"/>
  <c r="AU33" i="19"/>
  <c r="AW33" i="19" s="1"/>
  <c r="AU15" i="19"/>
  <c r="AW15" i="19" s="1"/>
  <c r="AU40" i="19"/>
  <c r="AW40" i="19" s="1"/>
  <c r="E28" i="19"/>
  <c r="G28" i="19" s="1"/>
  <c r="BP17" i="19"/>
  <c r="BR17" i="19" s="1"/>
  <c r="AU29" i="19"/>
  <c r="AW29" i="19" s="1"/>
  <c r="BP12" i="19"/>
  <c r="BR12" i="19" s="1"/>
  <c r="BP50" i="19"/>
  <c r="BR50" i="19" s="1"/>
  <c r="BJ33" i="19"/>
  <c r="BL33" i="19" s="1"/>
  <c r="AU28" i="19"/>
  <c r="AW28" i="19" s="1"/>
  <c r="AU31" i="19"/>
  <c r="AW31" i="19" s="1"/>
  <c r="AU30" i="19"/>
  <c r="AW30" i="19" s="1"/>
  <c r="AU17" i="19"/>
  <c r="AW17" i="19" s="1"/>
  <c r="E26" i="19"/>
  <c r="G26" i="19" s="1"/>
  <c r="BP15" i="19"/>
  <c r="BR15" i="19" s="1"/>
  <c r="AU41" i="19"/>
  <c r="AW41" i="19" s="1"/>
  <c r="E41" i="19"/>
  <c r="G41" i="19" s="1"/>
  <c r="BP30" i="19"/>
  <c r="BR30" i="19" s="1"/>
  <c r="BP34" i="19"/>
  <c r="BR34" i="19" s="1"/>
  <c r="BJ39" i="19"/>
  <c r="BL39" i="19" s="1"/>
  <c r="BJ50" i="19"/>
  <c r="BL50" i="19" s="1"/>
  <c r="BJ45" i="19"/>
  <c r="AU32" i="19"/>
  <c r="AW32" i="19" s="1"/>
  <c r="AU21" i="19"/>
  <c r="AW21" i="19" s="1"/>
  <c r="BD30" i="19"/>
  <c r="BF30" i="19" s="1"/>
  <c r="E33" i="19"/>
  <c r="G33" i="19" s="1"/>
  <c r="BP47" i="19"/>
  <c r="AU18" i="19"/>
  <c r="AW18" i="19" s="1"/>
  <c r="BP24" i="19"/>
  <c r="BR24" i="19" s="1"/>
  <c r="BJ41" i="19"/>
  <c r="BL41" i="19" s="1"/>
  <c r="BJ20" i="19"/>
  <c r="BL20" i="19" s="1"/>
  <c r="BJ38" i="19"/>
  <c r="BL38" i="19" s="1"/>
  <c r="AU25" i="19"/>
  <c r="AW25" i="19" s="1"/>
  <c r="AU20" i="19"/>
  <c r="AW20" i="19" s="1"/>
  <c r="AU34" i="19"/>
  <c r="AW34" i="19" s="1"/>
  <c r="AU23" i="19"/>
  <c r="AW23" i="19" s="1"/>
  <c r="AU35" i="19"/>
  <c r="AW35" i="19" s="1"/>
  <c r="E39" i="19"/>
  <c r="G39" i="19" s="1"/>
  <c r="BP35" i="19"/>
  <c r="BR35" i="19" s="1"/>
  <c r="BJ23" i="19"/>
  <c r="BL23" i="19" s="1"/>
  <c r="BJ34" i="19"/>
  <c r="BL34" i="19" s="1"/>
  <c r="F1" i="19"/>
  <c r="G1" i="19" s="1"/>
  <c r="H1" i="19" s="1"/>
  <c r="H26" i="19" s="1"/>
  <c r="J26" i="19" s="1"/>
  <c r="E21" i="19"/>
  <c r="G21" i="19" s="1"/>
  <c r="BS32" i="14"/>
  <c r="BP32" i="14"/>
  <c r="BS38" i="19"/>
  <c r="BU38" i="19" s="1"/>
  <c r="BS37" i="19"/>
  <c r="BU37" i="19" s="1"/>
  <c r="BS14" i="19"/>
  <c r="BU14" i="19" s="1"/>
  <c r="BV26" i="19"/>
  <c r="BX26" i="19" s="1"/>
  <c r="BD29" i="19"/>
  <c r="BF29" i="19" s="1"/>
  <c r="BD21" i="19"/>
  <c r="BF21" i="19" s="1"/>
  <c r="BV9" i="19"/>
  <c r="BS29" i="19"/>
  <c r="BU29" i="19" s="1"/>
  <c r="BS40" i="19"/>
  <c r="BU40" i="19" s="1"/>
  <c r="BS11" i="19"/>
  <c r="BU11" i="19" s="1"/>
  <c r="BS12" i="19"/>
  <c r="BU12" i="19" s="1"/>
  <c r="BS20" i="19"/>
  <c r="BU20" i="19" s="1"/>
  <c r="BV15" i="19"/>
  <c r="BX15" i="19" s="1"/>
  <c r="BD49" i="19"/>
  <c r="BF49" i="19" s="1"/>
  <c r="BS34" i="19"/>
  <c r="BU34" i="19" s="1"/>
  <c r="BS15" i="19"/>
  <c r="BU15" i="19" s="1"/>
  <c r="BS32" i="19"/>
  <c r="BU32" i="19" s="1"/>
  <c r="BS26" i="19"/>
  <c r="BU26" i="19" s="1"/>
  <c r="BV30" i="19"/>
  <c r="BX30" i="19" s="1"/>
  <c r="BS42" i="19"/>
  <c r="BU42" i="19" s="1"/>
  <c r="BS36" i="19"/>
  <c r="BU36" i="19" s="1"/>
  <c r="BD26" i="19"/>
  <c r="BF26" i="19" s="1"/>
  <c r="BS45" i="19"/>
  <c r="BS18" i="19"/>
  <c r="BU18" i="19" s="1"/>
  <c r="BS28" i="19"/>
  <c r="BU28" i="19" s="1"/>
  <c r="BS21" i="19"/>
  <c r="BU21" i="19" s="1"/>
  <c r="BS41" i="19"/>
  <c r="BU41" i="19" s="1"/>
  <c r="BV47" i="19"/>
  <c r="BV41" i="19"/>
  <c r="BX41" i="19" s="1"/>
  <c r="BS19" i="19"/>
  <c r="BU19" i="19" s="1"/>
  <c r="BS46" i="19"/>
  <c r="BS22" i="19"/>
  <c r="BU22" i="19" s="1"/>
  <c r="BS47" i="19"/>
  <c r="BS9" i="19"/>
  <c r="BU9" i="19" s="1"/>
  <c r="BV16" i="19"/>
  <c r="BX16" i="19" s="1"/>
  <c r="F9" i="18"/>
  <c r="G9" i="18" s="1"/>
  <c r="AX20" i="19"/>
  <c r="AZ20" i="19" s="1"/>
  <c r="AX23" i="19"/>
  <c r="AZ23" i="19" s="1"/>
  <c r="BJ24" i="19"/>
  <c r="BL24" i="19" s="1"/>
  <c r="BJ29" i="19"/>
  <c r="BL29" i="19" s="1"/>
  <c r="BJ27" i="19"/>
  <c r="BL27" i="19" s="1"/>
  <c r="BD11" i="19"/>
  <c r="BF11" i="19" s="1"/>
  <c r="BD46" i="19"/>
  <c r="BD13" i="19"/>
  <c r="BF13" i="19" s="1"/>
  <c r="BP29" i="19"/>
  <c r="BR29" i="19" s="1"/>
  <c r="BP27" i="19"/>
  <c r="BR27" i="19" s="1"/>
  <c r="BP39" i="19"/>
  <c r="BR39" i="19" s="1"/>
  <c r="BJ25" i="19"/>
  <c r="BL25" i="19" s="1"/>
  <c r="BJ40" i="19"/>
  <c r="BL40" i="19" s="1"/>
  <c r="BP11" i="19"/>
  <c r="BR11" i="19" s="1"/>
  <c r="BP40" i="19"/>
  <c r="BR40" i="19" s="1"/>
  <c r="BV18" i="19"/>
  <c r="BX18" i="19" s="1"/>
  <c r="BP45" i="19"/>
  <c r="BJ21" i="19"/>
  <c r="BL21" i="19" s="1"/>
  <c r="BJ36" i="19"/>
  <c r="BL36" i="19" s="1"/>
  <c r="BJ48" i="19"/>
  <c r="BJ15" i="19"/>
  <c r="BL15" i="19" s="1"/>
  <c r="BJ14" i="19"/>
  <c r="BL14" i="19" s="1"/>
  <c r="B45" i="19"/>
  <c r="B25" i="19"/>
  <c r="D25" i="19" s="1"/>
  <c r="BP31" i="19"/>
  <c r="BR31" i="19" s="1"/>
  <c r="BP46" i="19"/>
  <c r="BP37" i="19"/>
  <c r="BR37" i="19" s="1"/>
  <c r="BP42" i="19"/>
  <c r="BR42" i="19" s="1"/>
  <c r="BP36" i="19"/>
  <c r="BR36" i="19" s="1"/>
  <c r="BA46" i="19"/>
  <c r="BJ46" i="19"/>
  <c r="Q25" i="32"/>
  <c r="BJ42" i="19"/>
  <c r="BL42" i="19" s="1"/>
  <c r="BJ11" i="19"/>
  <c r="BL11" i="19" s="1"/>
  <c r="BA23" i="19"/>
  <c r="BC23" i="19" s="1"/>
  <c r="BD35" i="19"/>
  <c r="BF35" i="19" s="1"/>
  <c r="B39" i="19"/>
  <c r="D39" i="19" s="1"/>
  <c r="BP38" i="19"/>
  <c r="BR38" i="19" s="1"/>
  <c r="BP21" i="19"/>
  <c r="BR21" i="19" s="1"/>
  <c r="BP25" i="19"/>
  <c r="BR25" i="19" s="1"/>
  <c r="BJ32" i="19"/>
  <c r="BL32" i="19" s="1"/>
  <c r="BJ26" i="19"/>
  <c r="BL26" i="19" s="1"/>
  <c r="BJ28" i="19"/>
  <c r="BL28" i="19" s="1"/>
  <c r="BJ9" i="19"/>
  <c r="BL9" i="19" s="1"/>
  <c r="BJ16" i="19"/>
  <c r="BL16" i="19" s="1"/>
  <c r="W137" i="16"/>
  <c r="AL42" i="34"/>
  <c r="AK137" i="16"/>
  <c r="BD45" i="19"/>
  <c r="E31" i="19"/>
  <c r="G31" i="19" s="1"/>
  <c r="BV38" i="19"/>
  <c r="BX38" i="19" s="1"/>
  <c r="BP41" i="19"/>
  <c r="BR41" i="19" s="1"/>
  <c r="BP32" i="19"/>
  <c r="BR32" i="19" s="1"/>
  <c r="E20" i="19"/>
  <c r="G20" i="19" s="1"/>
  <c r="BP20" i="19"/>
  <c r="BR20" i="19" s="1"/>
  <c r="BA39" i="19"/>
  <c r="BC39" i="19" s="1"/>
  <c r="BJ22" i="19"/>
  <c r="BL22" i="19" s="1"/>
  <c r="BJ35" i="19"/>
  <c r="BL35" i="19" s="1"/>
  <c r="BV25" i="19"/>
  <c r="BX25" i="19" s="1"/>
  <c r="BP22" i="19"/>
  <c r="BR22" i="19" s="1"/>
  <c r="BD42" i="19"/>
  <c r="BF42" i="19" s="1"/>
  <c r="E32" i="19"/>
  <c r="G32" i="19" s="1"/>
  <c r="E46" i="19"/>
  <c r="E29" i="19"/>
  <c r="G29" i="19" s="1"/>
  <c r="E8" i="19"/>
  <c r="G8" i="19" s="1"/>
  <c r="P7" i="14"/>
  <c r="E42" i="1"/>
  <c r="E100" i="1" s="1"/>
  <c r="AO18" i="19"/>
  <c r="AQ18" i="19" s="1"/>
  <c r="L168" i="21"/>
  <c r="L14" i="21" s="1"/>
  <c r="O14" i="21" s="1"/>
  <c r="AH3" i="14"/>
  <c r="U39" i="16"/>
  <c r="AO25" i="19"/>
  <c r="AQ25" i="19" s="1"/>
  <c r="F3" i="20"/>
  <c r="AB64" i="34"/>
  <c r="K11" i="44"/>
  <c r="V22" i="8"/>
  <c r="W39" i="16" s="1"/>
  <c r="AC114" i="16"/>
  <c r="AO49" i="19"/>
  <c r="AQ49" i="19" s="1"/>
  <c r="CE49" i="19" s="1"/>
  <c r="E349" i="17"/>
  <c r="E348" i="17" s="1"/>
  <c r="C10" i="20" s="1"/>
  <c r="AE3" i="14"/>
  <c r="AO39" i="19"/>
  <c r="AQ39" i="19" s="1"/>
  <c r="Y43" i="27"/>
  <c r="AO17" i="19"/>
  <c r="AQ17" i="19" s="1"/>
  <c r="K52" i="1"/>
  <c r="W36" i="22"/>
  <c r="AE36" i="22" s="1"/>
  <c r="E46" i="22"/>
  <c r="G46" i="22" s="1"/>
  <c r="I46" i="22" s="1"/>
  <c r="E44" i="22"/>
  <c r="E16" i="22"/>
  <c r="G16" i="22" s="1"/>
  <c r="E29" i="22"/>
  <c r="G29" i="22" s="1"/>
  <c r="I29" i="22" s="1"/>
  <c r="E51" i="22"/>
  <c r="G51" i="22" s="1"/>
  <c r="I51" i="22" s="1"/>
  <c r="S36" i="22"/>
  <c r="T36" i="22" s="1"/>
  <c r="BV22" i="19"/>
  <c r="BX22" i="19" s="1"/>
  <c r="BV34" i="19"/>
  <c r="BX34" i="19" s="1"/>
  <c r="BV29" i="19"/>
  <c r="BX29" i="19" s="1"/>
  <c r="E38" i="19"/>
  <c r="G38" i="19" s="1"/>
  <c r="E16" i="19"/>
  <c r="G16" i="19" s="1"/>
  <c r="E11" i="19"/>
  <c r="G11" i="19" s="1"/>
  <c r="BV14" i="19"/>
  <c r="BX14" i="19" s="1"/>
  <c r="BG38" i="19"/>
  <c r="BI38" i="19" s="1"/>
  <c r="BG20" i="19"/>
  <c r="BI20" i="19" s="1"/>
  <c r="BA33" i="19"/>
  <c r="BC33" i="19" s="1"/>
  <c r="BG41" i="19"/>
  <c r="BI41" i="19" s="1"/>
  <c r="BG47" i="19"/>
  <c r="BG32" i="19"/>
  <c r="BI32" i="19" s="1"/>
  <c r="BA17" i="19"/>
  <c r="BC17" i="19" s="1"/>
  <c r="BD18" i="19"/>
  <c r="BF18" i="19" s="1"/>
  <c r="BD15" i="19"/>
  <c r="BF15" i="19" s="1"/>
  <c r="BD27" i="19"/>
  <c r="BF27" i="19" s="1"/>
  <c r="BD47" i="19"/>
  <c r="BD16" i="19"/>
  <c r="BF16" i="19" s="1"/>
  <c r="E14" i="19"/>
  <c r="G14" i="19" s="1"/>
  <c r="E50" i="19"/>
  <c r="G50" i="19" s="1"/>
  <c r="BD23" i="19"/>
  <c r="BF23" i="19" s="1"/>
  <c r="E27" i="19"/>
  <c r="G27" i="19" s="1"/>
  <c r="E30" i="19"/>
  <c r="G30" i="19" s="1"/>
  <c r="BG15" i="19"/>
  <c r="BI15" i="19" s="1"/>
  <c r="BV28" i="19"/>
  <c r="BX28" i="19" s="1"/>
  <c r="BV45" i="19"/>
  <c r="BA42" i="19"/>
  <c r="BC42" i="19" s="1"/>
  <c r="BD31" i="19"/>
  <c r="BF31" i="19" s="1"/>
  <c r="BD32" i="19"/>
  <c r="BF32" i="19" s="1"/>
  <c r="E35" i="19"/>
  <c r="G35" i="19" s="1"/>
  <c r="E23" i="19"/>
  <c r="G23" i="19" s="1"/>
  <c r="BV39" i="19"/>
  <c r="BX39" i="19" s="1"/>
  <c r="BV36" i="19"/>
  <c r="BX36" i="19" s="1"/>
  <c r="BV50" i="19"/>
  <c r="BX50" i="19" s="1"/>
  <c r="BV40" i="19"/>
  <c r="BX40" i="19" s="1"/>
  <c r="BV11" i="19"/>
  <c r="BX11" i="19" s="1"/>
  <c r="BG21" i="19"/>
  <c r="BI21" i="19" s="1"/>
  <c r="BG33" i="19"/>
  <c r="BI33" i="19" s="1"/>
  <c r="BA49" i="19"/>
  <c r="BC49" i="19" s="1"/>
  <c r="BA25" i="19"/>
  <c r="BC25" i="19" s="1"/>
  <c r="BD28" i="19"/>
  <c r="BF28" i="19" s="1"/>
  <c r="BD50" i="19"/>
  <c r="BF50" i="19" s="1"/>
  <c r="BD17" i="19"/>
  <c r="BF17" i="19" s="1"/>
  <c r="E18" i="19"/>
  <c r="G18" i="19" s="1"/>
  <c r="E12" i="19"/>
  <c r="G12" i="19" s="1"/>
  <c r="E40" i="19"/>
  <c r="G40" i="19" s="1"/>
  <c r="BG36" i="19"/>
  <c r="BI36" i="19" s="1"/>
  <c r="BG14" i="19"/>
  <c r="BI14" i="19" s="1"/>
  <c r="BV49" i="19"/>
  <c r="BX49" i="19" s="1"/>
  <c r="BV42" i="19"/>
  <c r="BX42" i="19" s="1"/>
  <c r="E22" i="19"/>
  <c r="G22" i="19" s="1"/>
  <c r="BG8" i="19"/>
  <c r="BI8" i="19" s="1"/>
  <c r="BA50" i="19"/>
  <c r="BC50" i="19" s="1"/>
  <c r="BA19" i="19"/>
  <c r="BC19" i="19" s="1"/>
  <c r="BA9" i="19"/>
  <c r="BC9" i="19" s="1"/>
  <c r="BV19" i="19"/>
  <c r="BX19" i="19" s="1"/>
  <c r="BA13" i="19"/>
  <c r="BC13" i="19" s="1"/>
  <c r="BG30" i="19"/>
  <c r="BI30" i="19" s="1"/>
  <c r="BD19" i="19"/>
  <c r="BF19" i="19" s="1"/>
  <c r="BD22" i="19"/>
  <c r="BF22" i="19" s="1"/>
  <c r="E25" i="19"/>
  <c r="G25" i="19" s="1"/>
  <c r="BA28" i="19"/>
  <c r="BC28" i="19" s="1"/>
  <c r="BV33" i="19"/>
  <c r="BX33" i="19" s="1"/>
  <c r="BV23" i="19"/>
  <c r="BX23" i="19" s="1"/>
  <c r="BV24" i="19"/>
  <c r="BX24" i="19" s="1"/>
  <c r="BG19" i="19"/>
  <c r="BI19" i="19" s="1"/>
  <c r="BG27" i="19"/>
  <c r="BI27" i="19" s="1"/>
  <c r="BA21" i="19"/>
  <c r="BC21" i="19" s="1"/>
  <c r="BA41" i="19"/>
  <c r="BC41" i="19" s="1"/>
  <c r="BD38" i="19"/>
  <c r="BF38" i="19" s="1"/>
  <c r="BD12" i="19"/>
  <c r="BF12" i="19" s="1"/>
  <c r="BD48" i="19"/>
  <c r="BD20" i="19"/>
  <c r="BF20" i="19" s="1"/>
  <c r="E9" i="19"/>
  <c r="G9" i="19" s="1"/>
  <c r="E15" i="19"/>
  <c r="G15" i="19" s="1"/>
  <c r="D7" i="28" s="1"/>
  <c r="E48" i="19"/>
  <c r="E17" i="19"/>
  <c r="G17" i="19" s="1"/>
  <c r="BG29" i="19"/>
  <c r="BI29" i="19" s="1"/>
  <c r="BV12" i="19"/>
  <c r="BX12" i="19" s="1"/>
  <c r="BA20" i="19"/>
  <c r="BC20" i="19" s="1"/>
  <c r="BV35" i="19"/>
  <c r="BX35" i="19" s="1"/>
  <c r="BG45" i="19"/>
  <c r="BA27" i="19"/>
  <c r="BC27" i="19" s="1"/>
  <c r="BG9" i="19"/>
  <c r="BG11" i="19"/>
  <c r="BI11" i="19" s="1"/>
  <c r="BA22" i="19"/>
  <c r="BC22" i="19" s="1"/>
  <c r="BA40" i="19"/>
  <c r="BC40" i="19" s="1"/>
  <c r="BG13" i="19"/>
  <c r="BI13" i="19" s="1"/>
  <c r="BG40" i="19"/>
  <c r="BI40" i="19" s="1"/>
  <c r="BA30" i="19"/>
  <c r="BC30" i="19" s="1"/>
  <c r="BV8" i="19"/>
  <c r="BX8" i="19" s="1"/>
  <c r="BV27" i="19"/>
  <c r="BX27" i="19" s="1"/>
  <c r="BV32" i="19"/>
  <c r="BX32" i="19" s="1"/>
  <c r="BG22" i="19"/>
  <c r="BI22" i="19" s="1"/>
  <c r="BG28" i="19"/>
  <c r="BI28" i="19" s="1"/>
  <c r="BA47" i="19"/>
  <c r="BA15" i="19"/>
  <c r="BC15" i="19" s="1"/>
  <c r="BA12" i="19"/>
  <c r="BC12" i="19" s="1"/>
  <c r="BD34" i="19"/>
  <c r="BF34" i="19" s="1"/>
  <c r="BD39" i="19"/>
  <c r="BF39" i="19" s="1"/>
  <c r="BD33" i="19"/>
  <c r="BF33" i="19" s="1"/>
  <c r="BD37" i="19"/>
  <c r="BF37" i="19" s="1"/>
  <c r="E49" i="19"/>
  <c r="G49" i="19" s="1"/>
  <c r="E45" i="19"/>
  <c r="E36" i="19"/>
  <c r="G36" i="19" s="1"/>
  <c r="BG35" i="19"/>
  <c r="BI35" i="19" s="1"/>
  <c r="BG49" i="19"/>
  <c r="BI49" i="19" s="1"/>
  <c r="BG25" i="19"/>
  <c r="BI25" i="19" s="1"/>
  <c r="E34" i="19"/>
  <c r="G34" i="19" s="1"/>
  <c r="BV21" i="19"/>
  <c r="BX21" i="19" s="1"/>
  <c r="BA38" i="19"/>
  <c r="BC38" i="19" s="1"/>
  <c r="BG34" i="19"/>
  <c r="BI34" i="19" s="1"/>
  <c r="BG42" i="19"/>
  <c r="BI42" i="19" s="1"/>
  <c r="BV13" i="19"/>
  <c r="BX13" i="19" s="1"/>
  <c r="BV48" i="19"/>
  <c r="BG50" i="19"/>
  <c r="BI50" i="19" s="1"/>
  <c r="BG23" i="19"/>
  <c r="BI23" i="19" s="1"/>
  <c r="BG39" i="19"/>
  <c r="BI39" i="19" s="1"/>
  <c r="BA16" i="19"/>
  <c r="BV31" i="19"/>
  <c r="BX31" i="19" s="1"/>
  <c r="BV17" i="19"/>
  <c r="BX17" i="19" s="1"/>
  <c r="BV20" i="19"/>
  <c r="BX20" i="19" s="1"/>
  <c r="BV37" i="19"/>
  <c r="BX37" i="19" s="1"/>
  <c r="BG37" i="19"/>
  <c r="BI37" i="19" s="1"/>
  <c r="BA37" i="19"/>
  <c r="BC37" i="19" s="1"/>
  <c r="BA35" i="19"/>
  <c r="BC35" i="19" s="1"/>
  <c r="BA11" i="19"/>
  <c r="BC11" i="19" s="1"/>
  <c r="BD24" i="19"/>
  <c r="BF24" i="19" s="1"/>
  <c r="BD36" i="19"/>
  <c r="BF36" i="19" s="1"/>
  <c r="BD41" i="19"/>
  <c r="BF41" i="19" s="1"/>
  <c r="BD14" i="19"/>
  <c r="BF14" i="19" s="1"/>
  <c r="BD25" i="19"/>
  <c r="BF25" i="19" s="1"/>
  <c r="E47" i="19"/>
  <c r="E13" i="19"/>
  <c r="G13" i="19" s="1"/>
  <c r="E37" i="19"/>
  <c r="G37" i="19" s="1"/>
  <c r="BG46" i="19"/>
  <c r="BG48" i="19"/>
  <c r="BG18" i="19"/>
  <c r="BI18" i="19" s="1"/>
  <c r="E42" i="19"/>
  <c r="G42" i="19" s="1"/>
  <c r="K32" i="22"/>
  <c r="K65" i="22"/>
  <c r="BC8" i="14"/>
  <c r="G178" i="21"/>
  <c r="AR19" i="19"/>
  <c r="AT19" i="19" s="1"/>
  <c r="BS27" i="19"/>
  <c r="BU27" i="19" s="1"/>
  <c r="BS8" i="19"/>
  <c r="BU8" i="19" s="1"/>
  <c r="BS30" i="19"/>
  <c r="BU30" i="19" s="1"/>
  <c r="AR32" i="14"/>
  <c r="AO32" i="19"/>
  <c r="AQ32" i="19" s="1"/>
  <c r="CE32" i="19" s="1"/>
  <c r="AO28" i="19"/>
  <c r="AQ28" i="19" s="1"/>
  <c r="C16" i="20"/>
  <c r="AO45" i="19"/>
  <c r="AX7" i="18"/>
  <c r="AX6" i="18" s="1"/>
  <c r="AX43" i="18" s="1"/>
  <c r="N50" i="1"/>
  <c r="AO33" i="19"/>
  <c r="AQ33" i="19" s="1"/>
  <c r="AO14" i="19"/>
  <c r="AQ14" i="19" s="1"/>
  <c r="AO31" i="19"/>
  <c r="AQ31" i="19" s="1"/>
  <c r="AO29" i="19"/>
  <c r="AQ29" i="19" s="1"/>
  <c r="CE29" i="19" s="1"/>
  <c r="N13" i="29"/>
  <c r="N10" i="29"/>
  <c r="AY7" i="14"/>
  <c r="Q340" i="17"/>
  <c r="AC36" i="14"/>
  <c r="AO19" i="19"/>
  <c r="AQ19" i="19" s="1"/>
  <c r="S84" i="15"/>
  <c r="C23" i="24" s="1"/>
  <c r="I23" i="24" s="1"/>
  <c r="AO37" i="19"/>
  <c r="AQ37" i="19" s="1"/>
  <c r="AO21" i="19"/>
  <c r="AQ21" i="19" s="1"/>
  <c r="AO40" i="19"/>
  <c r="AQ40" i="19" s="1"/>
  <c r="CE40" i="19" s="1"/>
  <c r="AO38" i="19"/>
  <c r="AQ38" i="19" s="1"/>
  <c r="AO42" i="19"/>
  <c r="AQ42" i="19" s="1"/>
  <c r="R137" i="16"/>
  <c r="AY42" i="34"/>
  <c r="AY59" i="34" s="1"/>
  <c r="AO20" i="19"/>
  <c r="AQ20" i="19" s="1"/>
  <c r="AO23" i="19"/>
  <c r="AQ23" i="19" s="1"/>
  <c r="AO26" i="19"/>
  <c r="AQ26" i="19" s="1"/>
  <c r="AO9" i="19"/>
  <c r="AQ9" i="19" s="1"/>
  <c r="J128" i="17"/>
  <c r="AO24" i="19"/>
  <c r="AQ24" i="19" s="1"/>
  <c r="AO15" i="19"/>
  <c r="AQ15" i="19" s="1"/>
  <c r="AO30" i="19"/>
  <c r="AQ30" i="19" s="1"/>
  <c r="AO22" i="19"/>
  <c r="AQ22" i="19" s="1"/>
  <c r="CE22" i="19" s="1"/>
  <c r="Z42" i="34"/>
  <c r="S67" i="16"/>
  <c r="G5" i="29"/>
  <c r="E27" i="16"/>
  <c r="AO11" i="19"/>
  <c r="AQ11" i="19" s="1"/>
  <c r="AO46" i="19"/>
  <c r="AO16" i="19"/>
  <c r="AQ16" i="19" s="1"/>
  <c r="AO35" i="19"/>
  <c r="AQ35" i="19" s="1"/>
  <c r="N18" i="29"/>
  <c r="H42" i="34"/>
  <c r="H59" i="34" s="1"/>
  <c r="AO12" i="19"/>
  <c r="AQ12" i="19" s="1"/>
  <c r="CE12" i="19" s="1"/>
  <c r="AO48" i="19"/>
  <c r="AO27" i="19"/>
  <c r="AQ27" i="19" s="1"/>
  <c r="AO13" i="19"/>
  <c r="AQ13" i="19" s="1"/>
  <c r="CE13" i="19" s="1"/>
  <c r="AO50" i="19"/>
  <c r="AQ50" i="19" s="1"/>
  <c r="E23" i="29"/>
  <c r="AM78" i="27"/>
  <c r="AO41" i="19"/>
  <c r="AQ41" i="19" s="1"/>
  <c r="G156" i="21"/>
  <c r="AV7" i="14"/>
  <c r="P359" i="17"/>
  <c r="AE67" i="16"/>
  <c r="BQ7" i="14"/>
  <c r="E5" i="29"/>
  <c r="AI124" i="16"/>
  <c r="E26" i="29"/>
  <c r="AS43" i="27"/>
  <c r="N17" i="29"/>
  <c r="BN7" i="14"/>
  <c r="AB137" i="16"/>
  <c r="P65" i="2"/>
  <c r="B18" i="19"/>
  <c r="D18" i="19" s="1"/>
  <c r="B35" i="19"/>
  <c r="D35" i="19" s="1"/>
  <c r="B14" i="19"/>
  <c r="D14" i="19" s="1"/>
  <c r="BJ13" i="19"/>
  <c r="BL13" i="19" s="1"/>
  <c r="B13" i="19"/>
  <c r="D13" i="19" s="1"/>
  <c r="B47" i="19"/>
  <c r="AU37" i="19"/>
  <c r="AW37" i="19" s="1"/>
  <c r="B30" i="19"/>
  <c r="D30" i="19" s="1"/>
  <c r="B40" i="19"/>
  <c r="D40" i="19" s="1"/>
  <c r="BP14" i="19"/>
  <c r="BR14" i="19" s="1"/>
  <c r="AH30" i="12"/>
  <c r="AO34" i="14"/>
  <c r="AI114" i="16"/>
  <c r="AX21" i="19"/>
  <c r="AZ21" i="19" s="1"/>
  <c r="AX34" i="19"/>
  <c r="AZ34" i="19" s="1"/>
  <c r="AX13" i="19"/>
  <c r="AZ13" i="19" s="1"/>
  <c r="AX48" i="19"/>
  <c r="AX41" i="19"/>
  <c r="AZ41" i="19" s="1"/>
  <c r="AX39" i="19"/>
  <c r="AZ39" i="19" s="1"/>
  <c r="AX12" i="19"/>
  <c r="AZ12" i="19" s="1"/>
  <c r="AX38" i="19"/>
  <c r="AZ38" i="19" s="1"/>
  <c r="AX16" i="19"/>
  <c r="AZ16" i="19" s="1"/>
  <c r="AX14" i="19"/>
  <c r="AZ14" i="19" s="1"/>
  <c r="AX50" i="19"/>
  <c r="AZ50" i="19" s="1"/>
  <c r="AX26" i="19"/>
  <c r="AZ26" i="19" s="1"/>
  <c r="AX31" i="19"/>
  <c r="AZ31" i="19" s="1"/>
  <c r="AX42" i="19"/>
  <c r="AZ42" i="19" s="1"/>
  <c r="AX30" i="19"/>
  <c r="AZ30" i="19" s="1"/>
  <c r="AX47" i="19"/>
  <c r="AX29" i="19"/>
  <c r="AZ29" i="19" s="1"/>
  <c r="AX25" i="19"/>
  <c r="AZ25" i="19" s="1"/>
  <c r="AX17" i="19"/>
  <c r="AZ17" i="19" s="1"/>
  <c r="AX19" i="19"/>
  <c r="AZ19" i="19" s="1"/>
  <c r="AX24" i="19"/>
  <c r="AZ24" i="19" s="1"/>
  <c r="AX15" i="19"/>
  <c r="AZ15" i="19" s="1"/>
  <c r="AX18" i="19"/>
  <c r="AZ18" i="19" s="1"/>
  <c r="AX40" i="19"/>
  <c r="AZ40" i="19" s="1"/>
  <c r="AX32" i="19"/>
  <c r="AZ32" i="19" s="1"/>
  <c r="AX49" i="19"/>
  <c r="AZ49" i="19" s="1"/>
  <c r="AX35" i="19"/>
  <c r="AZ35" i="19" s="1"/>
  <c r="AX33" i="19"/>
  <c r="AZ33" i="19" s="1"/>
  <c r="AX37" i="19"/>
  <c r="AZ37" i="19" s="1"/>
  <c r="AX45" i="19"/>
  <c r="AX22" i="19"/>
  <c r="AZ22" i="19" s="1"/>
  <c r="AX28" i="19"/>
  <c r="AZ28" i="19" s="1"/>
  <c r="BE8" i="14"/>
  <c r="BC13" i="14"/>
  <c r="AT8" i="14"/>
  <c r="AR84" i="15"/>
  <c r="D35" i="24" s="1"/>
  <c r="J35" i="24" s="1"/>
  <c r="G167" i="21"/>
  <c r="G13" i="21" s="1"/>
  <c r="K13" i="21" s="1"/>
  <c r="AX11" i="19"/>
  <c r="AZ11" i="19" s="1"/>
  <c r="B46" i="19"/>
  <c r="B37" i="19"/>
  <c r="D37" i="19" s="1"/>
  <c r="Q350" i="17"/>
  <c r="B24" i="19"/>
  <c r="D24" i="19" s="1"/>
  <c r="B23" i="19"/>
  <c r="D23" i="19" s="1"/>
  <c r="B50" i="19"/>
  <c r="D50" i="19" s="1"/>
  <c r="B33" i="19"/>
  <c r="D33" i="19" s="1"/>
  <c r="B49" i="19"/>
  <c r="D49" i="19" s="1"/>
  <c r="BS23" i="19"/>
  <c r="BU23" i="19" s="1"/>
  <c r="BS48" i="19"/>
  <c r="B48" i="19"/>
  <c r="B16" i="19"/>
  <c r="D16" i="19" s="1"/>
  <c r="B34" i="19"/>
  <c r="D34" i="19" s="1"/>
  <c r="B42" i="19"/>
  <c r="D42" i="19" s="1"/>
  <c r="B21" i="19"/>
  <c r="D21" i="19" s="1"/>
  <c r="B36" i="19"/>
  <c r="D36" i="19" s="1"/>
  <c r="B38" i="19"/>
  <c r="D38" i="19" s="1"/>
  <c r="B12" i="19"/>
  <c r="D12" i="19" s="1"/>
  <c r="BA31" i="19"/>
  <c r="BC31" i="19" s="1"/>
  <c r="BG24" i="19"/>
  <c r="BI24" i="19" s="1"/>
  <c r="BA48" i="19"/>
  <c r="BS16" i="19"/>
  <c r="BU16" i="19" s="1"/>
  <c r="BS17" i="19"/>
  <c r="BU17" i="19" s="1"/>
  <c r="BA29" i="19"/>
  <c r="BC29" i="19" s="1"/>
  <c r="BA34" i="19"/>
  <c r="BC34" i="19" s="1"/>
  <c r="B20" i="19"/>
  <c r="D20" i="19" s="1"/>
  <c r="B28" i="19"/>
  <c r="D28" i="19" s="1"/>
  <c r="B17" i="19"/>
  <c r="D17" i="19" s="1"/>
  <c r="B11" i="19"/>
  <c r="D11" i="19" s="1"/>
  <c r="B3" i="19"/>
  <c r="B26" i="19"/>
  <c r="D26" i="19" s="1"/>
  <c r="BA36" i="19"/>
  <c r="BC36" i="19" s="1"/>
  <c r="BA14" i="19"/>
  <c r="BC14" i="19" s="1"/>
  <c r="BA24" i="19"/>
  <c r="BC24" i="19" s="1"/>
  <c r="BS31" i="19"/>
  <c r="BU31" i="19" s="1"/>
  <c r="B32" i="19"/>
  <c r="D32" i="19" s="1"/>
  <c r="B29" i="19"/>
  <c r="D29" i="19" s="1"/>
  <c r="B15" i="19"/>
  <c r="D15" i="19" s="1"/>
  <c r="B31" i="19"/>
  <c r="D31" i="19" s="1"/>
  <c r="B27" i="19"/>
  <c r="D27" i="19" s="1"/>
  <c r="C1" i="19"/>
  <c r="D1" i="19" s="1"/>
  <c r="B41" i="19"/>
  <c r="D41" i="19" s="1"/>
  <c r="B19" i="19"/>
  <c r="D19" i="19" s="1"/>
  <c r="BA45" i="19"/>
  <c r="AT6" i="18"/>
  <c r="AT5" i="18" s="1"/>
  <c r="AU32" i="14"/>
  <c r="AC43" i="27"/>
  <c r="AC60" i="27" s="1"/>
  <c r="G54" i="21"/>
  <c r="E47" i="18"/>
  <c r="W42" i="34"/>
  <c r="W59" i="34" s="1"/>
  <c r="O84" i="15"/>
  <c r="C21" i="24" s="1"/>
  <c r="I21" i="24" s="1"/>
  <c r="AF137" i="16"/>
  <c r="AO32" i="14"/>
  <c r="H21" i="24"/>
  <c r="BC15" i="18"/>
  <c r="BK103" i="18" s="1"/>
  <c r="AM8" i="14"/>
  <c r="AY8" i="14"/>
  <c r="AI136" i="16"/>
  <c r="AP8" i="14"/>
  <c r="BT8" i="14"/>
  <c r="AQ8" i="14"/>
  <c r="BN8" i="14"/>
  <c r="G163" i="17"/>
  <c r="I163" i="17" s="1"/>
  <c r="AI15" i="18"/>
  <c r="BH15" i="18" s="1"/>
  <c r="BI93" i="18" s="1"/>
  <c r="I18" i="17"/>
  <c r="K18" i="17"/>
  <c r="F49" i="18"/>
  <c r="J18" i="17"/>
  <c r="F13" i="18"/>
  <c r="I115" i="17"/>
  <c r="I114" i="17" s="1"/>
  <c r="I16" i="29"/>
  <c r="I27" i="29"/>
  <c r="L12" i="29"/>
  <c r="L34" i="29"/>
  <c r="G100" i="21"/>
  <c r="I100" i="21" s="1"/>
  <c r="AI27" i="16"/>
  <c r="E15" i="30"/>
  <c r="E9" i="30"/>
  <c r="E27" i="30"/>
  <c r="E5" i="30"/>
  <c r="E25" i="30"/>
  <c r="E16" i="30"/>
  <c r="E13" i="30"/>
  <c r="E28" i="30"/>
  <c r="E12" i="30"/>
  <c r="E22" i="30"/>
  <c r="E18" i="30"/>
  <c r="E14" i="30"/>
  <c r="I113" i="21"/>
  <c r="E10" i="30"/>
  <c r="E8" i="30"/>
  <c r="E20" i="30"/>
  <c r="E23" i="30"/>
  <c r="E7" i="30"/>
  <c r="E34" i="30"/>
  <c r="E35" i="30"/>
  <c r="E29" i="30"/>
  <c r="E33" i="30"/>
  <c r="E26" i="30"/>
  <c r="E30" i="30"/>
  <c r="E24" i="30"/>
  <c r="E4" i="30"/>
  <c r="E17" i="30"/>
  <c r="E6" i="30"/>
  <c r="E31" i="30"/>
  <c r="E11" i="30"/>
  <c r="E19" i="30"/>
  <c r="E32" i="30"/>
  <c r="AG39" i="22"/>
  <c r="AV66" i="27"/>
  <c r="AV70" i="27"/>
  <c r="AV68" i="27"/>
  <c r="AV69" i="27"/>
  <c r="G139" i="21"/>
  <c r="I139" i="21" s="1"/>
  <c r="Q137" i="16"/>
  <c r="D121" i="17"/>
  <c r="D120" i="17" s="1"/>
  <c r="H13" i="17"/>
  <c r="D20" i="20" s="1"/>
  <c r="F20" i="20" s="1"/>
  <c r="G141" i="17"/>
  <c r="I141" i="17" s="1"/>
  <c r="M125" i="1"/>
  <c r="O125" i="1" s="1"/>
  <c r="Q145" i="1"/>
  <c r="L12" i="17"/>
  <c r="BD32" i="14"/>
  <c r="AM27" i="16"/>
  <c r="H37" i="24"/>
  <c r="Z27" i="16"/>
  <c r="N23" i="29"/>
  <c r="N14" i="29"/>
  <c r="N19" i="29"/>
  <c r="N22" i="29"/>
  <c r="E63" i="24"/>
  <c r="G189" i="17"/>
  <c r="Y50" i="34"/>
  <c r="Y53" i="34" s="1"/>
  <c r="AE9" i="14"/>
  <c r="AJ43" i="27"/>
  <c r="AJ63" i="27" s="1"/>
  <c r="AJ95" i="27" s="1"/>
  <c r="N16" i="29"/>
  <c r="N11" i="29"/>
  <c r="N12" i="29"/>
  <c r="N27" i="29"/>
  <c r="AH9" i="14"/>
  <c r="J83" i="15"/>
  <c r="G18" i="24" s="1"/>
  <c r="H18" i="24" s="1"/>
  <c r="CC105" i="15"/>
  <c r="CC107" i="15" s="1"/>
  <c r="AC8" i="14"/>
  <c r="AD8" i="14" s="1"/>
  <c r="N6" i="29"/>
  <c r="N35" i="29"/>
  <c r="CM83" i="15"/>
  <c r="F59" i="24" s="1"/>
  <c r="I59" i="24" s="1"/>
  <c r="N69" i="16"/>
  <c r="I14" i="6"/>
  <c r="O14" i="6" s="1"/>
  <c r="K67" i="16"/>
  <c r="AO42" i="34"/>
  <c r="AO52" i="34" s="1"/>
  <c r="N34" i="29"/>
  <c r="N31" i="29"/>
  <c r="N7" i="29"/>
  <c r="N36" i="1"/>
  <c r="AA27" i="16"/>
  <c r="G8" i="32"/>
  <c r="I8" i="32" s="1"/>
  <c r="AI73" i="16"/>
  <c r="H19" i="25"/>
  <c r="H13" i="25" s="1"/>
  <c r="N8" i="29"/>
  <c r="N29" i="29"/>
  <c r="N15" i="29"/>
  <c r="N9" i="29"/>
  <c r="N32" i="29"/>
  <c r="T42" i="34"/>
  <c r="T59" i="34" s="1"/>
  <c r="AT62" i="34"/>
  <c r="AT64" i="34" s="1"/>
  <c r="AU50" i="34"/>
  <c r="N20" i="29"/>
  <c r="N4" i="29"/>
  <c r="N5" i="29"/>
  <c r="H121" i="1"/>
  <c r="I121" i="1" s="1"/>
  <c r="J121" i="1" s="1"/>
  <c r="U121" i="1" s="1"/>
  <c r="AH50" i="34"/>
  <c r="J13" i="36" s="1"/>
  <c r="N28" i="29"/>
  <c r="N21" i="29"/>
  <c r="N30" i="29"/>
  <c r="N33" i="29"/>
  <c r="N25" i="29"/>
  <c r="N26" i="29"/>
  <c r="AW13" i="14"/>
  <c r="E49" i="22"/>
  <c r="G49" i="22" s="1"/>
  <c r="I49" i="22" s="1"/>
  <c r="E43" i="22"/>
  <c r="G43" i="22" s="1"/>
  <c r="I43" i="22" s="1"/>
  <c r="E12" i="22"/>
  <c r="G12" i="22" s="1"/>
  <c r="E34" i="22"/>
  <c r="G34" i="22" s="1"/>
  <c r="I34" i="22" s="1"/>
  <c r="E52" i="22"/>
  <c r="G52" i="22" s="1"/>
  <c r="I52" i="22" s="1"/>
  <c r="E22" i="22"/>
  <c r="Y13" i="22" s="1"/>
  <c r="F8" i="22"/>
  <c r="K8" i="22" s="1"/>
  <c r="J8" i="22"/>
  <c r="AD8" i="22" s="1"/>
  <c r="S39" i="22"/>
  <c r="T39" i="22" s="1"/>
  <c r="U39" i="22" s="1"/>
  <c r="E27" i="22"/>
  <c r="G27" i="22" s="1"/>
  <c r="I27" i="22" s="1"/>
  <c r="E32" i="22"/>
  <c r="G32" i="22" s="1"/>
  <c r="I32" i="22" s="1"/>
  <c r="E47" i="22"/>
  <c r="G47" i="22" s="1"/>
  <c r="I47" i="22" s="1"/>
  <c r="E33" i="22"/>
  <c r="G33" i="22" s="1"/>
  <c r="I33" i="22" s="1"/>
  <c r="E19" i="22"/>
  <c r="G19" i="22" s="1"/>
  <c r="I19" i="22" s="1"/>
  <c r="E58" i="22"/>
  <c r="G58" i="22" s="1"/>
  <c r="I58" i="22" s="1"/>
  <c r="E59" i="22"/>
  <c r="G59" i="22" s="1"/>
  <c r="I59" i="22" s="1"/>
  <c r="E35" i="22"/>
  <c r="G35" i="22" s="1"/>
  <c r="I35" i="22" s="1"/>
  <c r="S34" i="22"/>
  <c r="S33" i="22" s="1"/>
  <c r="S42" i="22"/>
  <c r="T42" i="22" s="1"/>
  <c r="U42" i="22" s="1"/>
  <c r="S37" i="22"/>
  <c r="E38" i="22"/>
  <c r="G38" i="22" s="1"/>
  <c r="I38" i="22" s="1"/>
  <c r="E54" i="22"/>
  <c r="G54" i="22" s="1"/>
  <c r="I54" i="22" s="1"/>
  <c r="E25" i="22"/>
  <c r="G25" i="22" s="1"/>
  <c r="I25" i="22" s="1"/>
  <c r="E26" i="22"/>
  <c r="E30" i="22"/>
  <c r="G30" i="22" s="1"/>
  <c r="I30" i="22" s="1"/>
  <c r="E28" i="22"/>
  <c r="G28" i="22" s="1"/>
  <c r="I28" i="22" s="1"/>
  <c r="E53" i="22"/>
  <c r="G53" i="22" s="1"/>
  <c r="I53" i="22" s="1"/>
  <c r="E7" i="22"/>
  <c r="C43" i="20" s="1"/>
  <c r="E18" i="22"/>
  <c r="G18" i="22" s="1"/>
  <c r="I18" i="22" s="1"/>
  <c r="E8" i="22"/>
  <c r="C44" i="20" s="1"/>
  <c r="E6" i="22"/>
  <c r="G6" i="22" s="1"/>
  <c r="AA6" i="22" s="1"/>
  <c r="E36" i="22"/>
  <c r="G36" i="22" s="1"/>
  <c r="I36" i="22" s="1"/>
  <c r="E40" i="22"/>
  <c r="G40" i="22" s="1"/>
  <c r="I40" i="22" s="1"/>
  <c r="E48" i="22"/>
  <c r="G48" i="22" s="1"/>
  <c r="I48" i="22" s="1"/>
  <c r="E55" i="22"/>
  <c r="G55" i="22" s="1"/>
  <c r="I55" i="22" s="1"/>
  <c r="E14" i="22"/>
  <c r="G14" i="22" s="1"/>
  <c r="I14" i="22" s="1"/>
  <c r="E41" i="22"/>
  <c r="G41" i="22" s="1"/>
  <c r="I41" i="22" s="1"/>
  <c r="E21" i="22"/>
  <c r="G21" i="22" s="1"/>
  <c r="E39" i="22"/>
  <c r="E13" i="22"/>
  <c r="G13" i="22" s="1"/>
  <c r="I13" i="22" s="1"/>
  <c r="E15" i="22"/>
  <c r="G15" i="22" s="1"/>
  <c r="I15" i="22" s="1"/>
  <c r="E60" i="22"/>
  <c r="G60" i="22" s="1"/>
  <c r="I60" i="22" s="1"/>
  <c r="H69" i="16"/>
  <c r="U3" i="35" s="1"/>
  <c r="U42" i="35" s="1"/>
  <c r="C7" i="30"/>
  <c r="C5" i="30"/>
  <c r="T43" i="27"/>
  <c r="AQ43" i="27"/>
  <c r="AQ68" i="27" s="1"/>
  <c r="AQ75" i="27" s="1"/>
  <c r="AQ89" i="27" s="1"/>
  <c r="AF51" i="34"/>
  <c r="H18" i="36" s="1"/>
  <c r="G104" i="21"/>
  <c r="G63" i="21" s="1"/>
  <c r="I63" i="21" s="1"/>
  <c r="CN83" i="15"/>
  <c r="CN104" i="15" s="1"/>
  <c r="C23" i="30"/>
  <c r="C28" i="30"/>
  <c r="C27" i="30"/>
  <c r="BE83" i="15"/>
  <c r="BE104" i="15" s="1"/>
  <c r="AS7" i="14"/>
  <c r="BE7" i="14"/>
  <c r="AI32" i="14"/>
  <c r="AH42" i="35"/>
  <c r="AT19" i="14"/>
  <c r="AH137" i="16"/>
  <c r="AI137" i="16"/>
  <c r="C13" i="30"/>
  <c r="C10" i="30"/>
  <c r="C32" i="30"/>
  <c r="G13" i="41"/>
  <c r="K49" i="4"/>
  <c r="V137" i="16"/>
  <c r="AJ51" i="34"/>
  <c r="BS83" i="15"/>
  <c r="F49" i="24" s="1"/>
  <c r="I49" i="24" s="1"/>
  <c r="C34" i="30"/>
  <c r="C31" i="30"/>
  <c r="C15" i="30"/>
  <c r="J35" i="29"/>
  <c r="CG83" i="15"/>
  <c r="CG104" i="15" s="1"/>
  <c r="CG106" i="15" s="1"/>
  <c r="G155" i="21"/>
  <c r="C11" i="30"/>
  <c r="C17" i="23"/>
  <c r="C18" i="23" s="1"/>
  <c r="C6" i="30"/>
  <c r="L116" i="21"/>
  <c r="L158" i="21" s="1"/>
  <c r="J30" i="29"/>
  <c r="M60" i="23"/>
  <c r="M64" i="23" s="1"/>
  <c r="O60" i="23" s="1"/>
  <c r="C29" i="30"/>
  <c r="C35" i="30"/>
  <c r="C12" i="30"/>
  <c r="C14" i="30"/>
  <c r="C8" i="30"/>
  <c r="J12" i="29"/>
  <c r="J13" i="29"/>
  <c r="C21" i="3"/>
  <c r="C22" i="3" s="1"/>
  <c r="J19" i="29"/>
  <c r="J31" i="29"/>
  <c r="G11" i="3"/>
  <c r="P31" i="2"/>
  <c r="H18" i="2" s="1"/>
  <c r="F34" i="18"/>
  <c r="G34" i="18" s="1"/>
  <c r="J211" i="17"/>
  <c r="F30" i="18"/>
  <c r="G30" i="18" s="1"/>
  <c r="F11" i="18"/>
  <c r="G11" i="18" s="1"/>
  <c r="P356" i="17"/>
  <c r="F33" i="18"/>
  <c r="G33" i="18" s="1"/>
  <c r="E332" i="17"/>
  <c r="E331" i="17" s="1"/>
  <c r="D114" i="17"/>
  <c r="C5" i="20" s="1"/>
  <c r="M5" i="20" s="1"/>
  <c r="L5" i="20" s="1"/>
  <c r="F14" i="18"/>
  <c r="G14" i="18" s="1"/>
  <c r="F18" i="18"/>
  <c r="G18" i="18" s="1"/>
  <c r="BJ32" i="14"/>
  <c r="E16" i="2"/>
  <c r="D42" i="34"/>
  <c r="D59" i="34" s="1"/>
  <c r="AJ124" i="16"/>
  <c r="D17" i="3"/>
  <c r="P26" i="2"/>
  <c r="P23" i="2"/>
  <c r="H12" i="2" s="1"/>
  <c r="F16" i="3"/>
  <c r="F17" i="3" s="1"/>
  <c r="F27" i="3"/>
  <c r="E16" i="3"/>
  <c r="E17" i="3" s="1"/>
  <c r="E27" i="3"/>
  <c r="P42" i="2"/>
  <c r="AP43" i="27"/>
  <c r="AP69" i="27" s="1"/>
  <c r="G56" i="24"/>
  <c r="J56" i="24" s="1"/>
  <c r="C24" i="29"/>
  <c r="AB43" i="27"/>
  <c r="AB67" i="27" s="1"/>
  <c r="C6" i="29"/>
  <c r="AM43" i="27"/>
  <c r="AM61" i="27" s="1"/>
  <c r="AL7" i="39" s="1"/>
  <c r="AL8" i="39" s="1"/>
  <c r="AL12" i="39" s="1"/>
  <c r="X27" i="16"/>
  <c r="K330" i="17"/>
  <c r="J210" i="17"/>
  <c r="F20" i="22"/>
  <c r="O20" i="22" s="1"/>
  <c r="E76" i="1"/>
  <c r="K76" i="1" s="1"/>
  <c r="V76" i="1" s="1"/>
  <c r="H43" i="27"/>
  <c r="H67" i="27" s="1"/>
  <c r="AH43" i="27"/>
  <c r="AH69" i="27" s="1"/>
  <c r="G15" i="17"/>
  <c r="C22" i="20" s="1"/>
  <c r="AK27" i="16"/>
  <c r="AP33" i="17"/>
  <c r="O81" i="21"/>
  <c r="Y4" i="2"/>
  <c r="E54" i="2"/>
  <c r="G54" i="2" s="1"/>
  <c r="I54" i="2" s="1"/>
  <c r="E66" i="2"/>
  <c r="G66" i="2" s="1"/>
  <c r="I66" i="2" s="1"/>
  <c r="E59" i="2"/>
  <c r="G59" i="2" s="1"/>
  <c r="I59" i="2" s="1"/>
  <c r="E60" i="2"/>
  <c r="G60" i="2" s="1"/>
  <c r="I60" i="2" s="1"/>
  <c r="E61" i="2"/>
  <c r="G61" i="2" s="1"/>
  <c r="I61" i="2" s="1"/>
  <c r="E59" i="1"/>
  <c r="E105" i="1" s="1"/>
  <c r="K43" i="27"/>
  <c r="E69" i="16"/>
  <c r="R3" i="35" s="1"/>
  <c r="R42" i="35" s="1"/>
  <c r="P43" i="27"/>
  <c r="G68" i="27"/>
  <c r="G70" i="27"/>
  <c r="G66" i="27"/>
  <c r="G67" i="27"/>
  <c r="G69" i="27"/>
  <c r="L43" i="27"/>
  <c r="O43" i="27"/>
  <c r="F68" i="27"/>
  <c r="F70" i="27"/>
  <c r="F66" i="27"/>
  <c r="F67" i="27"/>
  <c r="F69" i="27"/>
  <c r="I43" i="27"/>
  <c r="M43" i="27"/>
  <c r="R43" i="27"/>
  <c r="R61" i="27" s="1"/>
  <c r="N43" i="27"/>
  <c r="J43" i="27"/>
  <c r="G58" i="21"/>
  <c r="K58" i="21" s="1"/>
  <c r="AI51" i="34"/>
  <c r="K18" i="36" s="1"/>
  <c r="X43" i="27"/>
  <c r="X61" i="27" s="1"/>
  <c r="AD43" i="27"/>
  <c r="AD62" i="27" s="1"/>
  <c r="AD94" i="27" s="1"/>
  <c r="S13" i="14"/>
  <c r="Z38" i="14"/>
  <c r="AV10" i="18"/>
  <c r="AW10" i="18" s="1"/>
  <c r="AW9" i="18" s="1"/>
  <c r="AW7" i="18" s="1"/>
  <c r="F16" i="25"/>
  <c r="F14" i="25" s="1"/>
  <c r="N19" i="14"/>
  <c r="P19" i="14" s="1"/>
  <c r="B6" i="26"/>
  <c r="G29" i="29"/>
  <c r="L167" i="21"/>
  <c r="L13" i="21" s="1"/>
  <c r="M13" i="21" s="1"/>
  <c r="L17" i="29"/>
  <c r="L11" i="29"/>
  <c r="L9" i="41"/>
  <c r="L16" i="29"/>
  <c r="L27" i="29"/>
  <c r="T137" i="16"/>
  <c r="L21" i="29"/>
  <c r="L33" i="29"/>
  <c r="L26" i="29"/>
  <c r="L35" i="29"/>
  <c r="BA83" i="15"/>
  <c r="BA104" i="15" s="1"/>
  <c r="AI42" i="34"/>
  <c r="K8" i="36" s="1"/>
  <c r="G32" i="29"/>
  <c r="L15" i="29"/>
  <c r="G19" i="29"/>
  <c r="AT10" i="18"/>
  <c r="AU10" i="18" s="1"/>
  <c r="AU9" i="18" s="1"/>
  <c r="AU7" i="18" s="1"/>
  <c r="AU6" i="18" s="1"/>
  <c r="AU5" i="18" s="1"/>
  <c r="AD159" i="16"/>
  <c r="N32" i="14"/>
  <c r="M69" i="16"/>
  <c r="M136" i="16" s="1"/>
  <c r="AN50" i="34"/>
  <c r="L31" i="29"/>
  <c r="G16" i="29"/>
  <c r="L30" i="29"/>
  <c r="L169" i="21"/>
  <c r="L15" i="21" s="1"/>
  <c r="AF15" i="21" s="1"/>
  <c r="BN83" i="15"/>
  <c r="G46" i="24" s="1"/>
  <c r="J46" i="24" s="1"/>
  <c r="L23" i="29"/>
  <c r="L7" i="29"/>
  <c r="L25" i="29"/>
  <c r="S137" i="16"/>
  <c r="AG27" i="16"/>
  <c r="AH114" i="16"/>
  <c r="L9" i="29"/>
  <c r="L32" i="29"/>
  <c r="L29" i="29"/>
  <c r="AF12" i="13"/>
  <c r="M328" i="17"/>
  <c r="O328" i="17" s="1"/>
  <c r="AF80" i="18"/>
  <c r="AE68" i="18"/>
  <c r="AF81" i="18" s="1"/>
  <c r="AF15" i="13"/>
  <c r="AL16" i="13"/>
  <c r="AL14" i="13"/>
  <c r="G60" i="21"/>
  <c r="AL6" i="13"/>
  <c r="AJ13" i="14"/>
  <c r="AB7" i="14"/>
  <c r="Y7" i="14"/>
  <c r="W2" i="14"/>
  <c r="X2" i="14" s="1"/>
  <c r="M184" i="1"/>
  <c r="O184" i="1" s="1"/>
  <c r="F7" i="7"/>
  <c r="G7" i="7" s="1"/>
  <c r="G14" i="7" s="1"/>
  <c r="G16" i="7" s="1"/>
  <c r="C30" i="7" s="1"/>
  <c r="AZ7" i="18"/>
  <c r="AZ6" i="18" s="1"/>
  <c r="AZ43" i="18" s="1"/>
  <c r="Q62" i="1"/>
  <c r="M62" i="1" s="1"/>
  <c r="M106" i="1" s="1"/>
  <c r="J26" i="22"/>
  <c r="J26" i="2" s="1"/>
  <c r="L26" i="2" s="1"/>
  <c r="Q54" i="1"/>
  <c r="M54" i="1" s="1"/>
  <c r="AM124" i="16"/>
  <c r="BB9" i="18"/>
  <c r="V69" i="16"/>
  <c r="AI3" i="35" s="1"/>
  <c r="AI42" i="35" s="1"/>
  <c r="E190" i="1" s="1"/>
  <c r="CU83" i="15"/>
  <c r="F63" i="24" s="1"/>
  <c r="I63" i="24" s="1"/>
  <c r="AN43" i="27"/>
  <c r="AN67" i="27" s="1"/>
  <c r="U42" i="34"/>
  <c r="U59" i="34" s="1"/>
  <c r="AM137" i="16"/>
  <c r="AH124" i="16"/>
  <c r="AH136" i="16" s="1"/>
  <c r="R52" i="34"/>
  <c r="F23" i="36" s="1"/>
  <c r="AG9" i="18"/>
  <c r="BC9" i="18" s="1"/>
  <c r="AU24" i="19"/>
  <c r="AW24" i="19" s="1"/>
  <c r="AR9" i="19"/>
  <c r="O63" i="1"/>
  <c r="N63" i="1"/>
  <c r="P63" i="1" s="1"/>
  <c r="AT13" i="14"/>
  <c r="Q42" i="34"/>
  <c r="Q59" i="34" s="1"/>
  <c r="T83" i="15"/>
  <c r="G23" i="24" s="1"/>
  <c r="H23" i="24" s="1"/>
  <c r="K50" i="34"/>
  <c r="K53" i="34" s="1"/>
  <c r="AG67" i="16"/>
  <c r="AG202" i="9"/>
  <c r="AH202" i="9" s="1"/>
  <c r="AH203" i="9" s="1"/>
  <c r="AR42" i="34"/>
  <c r="L6" i="29"/>
  <c r="L8" i="29"/>
  <c r="L19" i="29"/>
  <c r="L24" i="29"/>
  <c r="L28" i="29"/>
  <c r="I37" i="24"/>
  <c r="L10" i="29"/>
  <c r="L13" i="29"/>
  <c r="L4" i="29"/>
  <c r="L22" i="29"/>
  <c r="L5" i="29"/>
  <c r="L20" i="29"/>
  <c r="L14" i="29"/>
  <c r="AX9" i="19"/>
  <c r="AZ9" i="19" s="1"/>
  <c r="AF32" i="14"/>
  <c r="F96" i="20"/>
  <c r="M96" i="20" s="1"/>
  <c r="L96" i="20" s="1"/>
  <c r="Z137" i="16"/>
  <c r="H19" i="17"/>
  <c r="K19" i="17" s="1"/>
  <c r="AE51" i="34"/>
  <c r="AO202" i="9"/>
  <c r="AN203" i="9"/>
  <c r="E42" i="34"/>
  <c r="E59" i="34" s="1"/>
  <c r="J347" i="17"/>
  <c r="S347" i="17" s="1"/>
  <c r="F375" i="17"/>
  <c r="N375" i="17" s="1"/>
  <c r="R375" i="17" s="1"/>
  <c r="N330" i="17"/>
  <c r="N102" i="17"/>
  <c r="P336" i="17"/>
  <c r="P360" i="17"/>
  <c r="G24" i="20"/>
  <c r="H24" i="20" s="1"/>
  <c r="M364" i="17"/>
  <c r="O364" i="17" s="1"/>
  <c r="O65" i="21"/>
  <c r="N92" i="17"/>
  <c r="N144" i="1"/>
  <c r="AF124" i="16"/>
  <c r="AL137" i="16"/>
  <c r="AC67" i="16"/>
  <c r="AE159" i="16"/>
  <c r="T38" i="14"/>
  <c r="H30" i="24"/>
  <c r="BB104" i="15"/>
  <c r="X42" i="34"/>
  <c r="X59" i="34" s="1"/>
  <c r="K38" i="14"/>
  <c r="AT43" i="27"/>
  <c r="AT67" i="27" s="1"/>
  <c r="AT88" i="27" s="1"/>
  <c r="M80" i="21"/>
  <c r="N76" i="17"/>
  <c r="O76" i="17" s="1"/>
  <c r="B72" i="17" s="1"/>
  <c r="G55" i="21"/>
  <c r="I55" i="21" s="1"/>
  <c r="J23" i="17"/>
  <c r="BK110" i="18"/>
  <c r="D46" i="18"/>
  <c r="E46" i="18" s="1"/>
  <c r="R13" i="14"/>
  <c r="O159" i="1"/>
  <c r="P159" i="1" s="1"/>
  <c r="Q47" i="1"/>
  <c r="M47" i="1"/>
  <c r="O47" i="1" s="1"/>
  <c r="N49" i="1"/>
  <c r="K57" i="1"/>
  <c r="V57" i="1" s="1"/>
  <c r="AD81" i="21"/>
  <c r="F29" i="18"/>
  <c r="G29" i="18" s="1"/>
  <c r="BF24" i="18"/>
  <c r="Z43" i="27"/>
  <c r="Z68" i="27" s="1"/>
  <c r="F17" i="18"/>
  <c r="G17" i="18" s="1"/>
  <c r="F20" i="18"/>
  <c r="G20" i="18" s="1"/>
  <c r="F24" i="18"/>
  <c r="G24" i="18" s="1"/>
  <c r="BO83" i="15"/>
  <c r="E81" i="1" s="1"/>
  <c r="E80" i="1" s="1"/>
  <c r="E112" i="1" s="1"/>
  <c r="E133" i="17"/>
  <c r="F113" i="1"/>
  <c r="F15" i="18"/>
  <c r="G15" i="18" s="1"/>
  <c r="G68" i="18" s="1"/>
  <c r="BC10" i="18"/>
  <c r="BK105" i="18" s="1"/>
  <c r="J67" i="16"/>
  <c r="F32" i="18"/>
  <c r="G32" i="18" s="1"/>
  <c r="F21" i="18"/>
  <c r="G21" i="18" s="1"/>
  <c r="F47" i="18"/>
  <c r="U73" i="16"/>
  <c r="AC68" i="16"/>
  <c r="AC69" i="16" s="1"/>
  <c r="AP3" i="35" s="1"/>
  <c r="AR8" i="19" s="1"/>
  <c r="AT8" i="19" s="1"/>
  <c r="C15" i="44"/>
  <c r="E15" i="44" s="1"/>
  <c r="C84" i="15"/>
  <c r="F27" i="18"/>
  <c r="G27" i="18" s="1"/>
  <c r="E56" i="18"/>
  <c r="E55" i="18" s="1"/>
  <c r="F50" i="18"/>
  <c r="F35" i="18"/>
  <c r="G35" i="18" s="1"/>
  <c r="F41" i="18"/>
  <c r="G41" i="18" s="1"/>
  <c r="E48" i="18"/>
  <c r="K46" i="26"/>
  <c r="AH84" i="15"/>
  <c r="D30" i="24" s="1"/>
  <c r="J30" i="24" s="1"/>
  <c r="K30" i="24" s="1"/>
  <c r="F26" i="18"/>
  <c r="G26" i="18" s="1"/>
  <c r="G1" i="18"/>
  <c r="G48" i="18" s="1"/>
  <c r="F25" i="18"/>
  <c r="G25" i="18" s="1"/>
  <c r="F42" i="18"/>
  <c r="G42" i="18" s="1"/>
  <c r="F45" i="18"/>
  <c r="G45" i="18" s="1"/>
  <c r="AR43" i="27"/>
  <c r="AR67" i="27" s="1"/>
  <c r="AR88" i="27" s="1"/>
  <c r="F39" i="18"/>
  <c r="G39" i="18" s="1"/>
  <c r="BB10" i="18"/>
  <c r="BB88" i="18" s="1"/>
  <c r="AK67" i="16"/>
  <c r="F23" i="18"/>
  <c r="G23" i="18" s="1"/>
  <c r="AD42" i="34"/>
  <c r="F8" i="36" s="1"/>
  <c r="F44" i="18"/>
  <c r="G44" i="18" s="1"/>
  <c r="F48" i="18"/>
  <c r="F28" i="18"/>
  <c r="G28" i="18" s="1"/>
  <c r="F12" i="18"/>
  <c r="G12" i="18" s="1"/>
  <c r="AG68" i="16"/>
  <c r="F16" i="18"/>
  <c r="G16" i="18" s="1"/>
  <c r="E49" i="18"/>
  <c r="AL51" i="34"/>
  <c r="F40" i="18"/>
  <c r="G40" i="18" s="1"/>
  <c r="F37" i="18"/>
  <c r="G37" i="18" s="1"/>
  <c r="F36" i="18"/>
  <c r="G36" i="18" s="1"/>
  <c r="F22" i="18"/>
  <c r="G22" i="18" s="1"/>
  <c r="K31" i="42"/>
  <c r="F31" i="18"/>
  <c r="G31" i="18" s="1"/>
  <c r="F8" i="18"/>
  <c r="AB69" i="16"/>
  <c r="AO3" i="35" s="1"/>
  <c r="AO42" i="35" s="1"/>
  <c r="G61" i="24"/>
  <c r="J61" i="24" s="1"/>
  <c r="CR104" i="15"/>
  <c r="CR106" i="15" s="1"/>
  <c r="F61" i="24"/>
  <c r="I61" i="24" s="1"/>
  <c r="CQ104" i="15"/>
  <c r="CQ106" i="15" s="1"/>
  <c r="N53" i="21"/>
  <c r="J306" i="17"/>
  <c r="M7" i="21"/>
  <c r="AA7" i="21" s="1"/>
  <c r="AD65" i="21"/>
  <c r="K358" i="17"/>
  <c r="T358" i="17" s="1"/>
  <c r="I89" i="21"/>
  <c r="O7" i="21"/>
  <c r="N65" i="21"/>
  <c r="C97" i="22"/>
  <c r="O53" i="21"/>
  <c r="L57" i="17"/>
  <c r="L13" i="14"/>
  <c r="K58" i="22"/>
  <c r="G67" i="21"/>
  <c r="I67" i="21" s="1"/>
  <c r="J59" i="2"/>
  <c r="P58" i="2" s="1"/>
  <c r="C95" i="22"/>
  <c r="O158" i="1"/>
  <c r="P158" i="1" s="1"/>
  <c r="I125" i="21"/>
  <c r="N7" i="21"/>
  <c r="AB7" i="21" s="1"/>
  <c r="L73" i="21"/>
  <c r="N73" i="21" s="1"/>
  <c r="AU42" i="35"/>
  <c r="AP8" i="18"/>
  <c r="Y42" i="34"/>
  <c r="Y59" i="34" s="1"/>
  <c r="L156" i="21"/>
  <c r="AM42" i="34"/>
  <c r="AG15" i="13"/>
  <c r="BB3" i="14"/>
  <c r="U13" i="14"/>
  <c r="O13" i="14"/>
  <c r="BF3" i="14"/>
  <c r="BA32" i="14"/>
  <c r="M108" i="1"/>
  <c r="E56" i="1"/>
  <c r="E181" i="1" s="1"/>
  <c r="K181" i="1" s="1"/>
  <c r="F14" i="6"/>
  <c r="G37" i="6"/>
  <c r="I33" i="6"/>
  <c r="O33" i="6" s="1"/>
  <c r="G36" i="6"/>
  <c r="F31" i="6"/>
  <c r="I35" i="6"/>
  <c r="O35" i="6" s="1"/>
  <c r="I20" i="6"/>
  <c r="O20" i="6" s="1"/>
  <c r="F24" i="6"/>
  <c r="G13" i="6"/>
  <c r="I13" i="6"/>
  <c r="O13" i="6" s="1"/>
  <c r="I25" i="6"/>
  <c r="O25" i="6" s="1"/>
  <c r="AG16" i="13"/>
  <c r="AI16" i="13" s="1"/>
  <c r="AG17" i="13"/>
  <c r="AI17" i="13" s="1"/>
  <c r="AF16" i="13"/>
  <c r="AF10" i="13"/>
  <c r="G35" i="29"/>
  <c r="C28" i="29"/>
  <c r="C10" i="29"/>
  <c r="C12" i="29"/>
  <c r="E16" i="29"/>
  <c r="E13" i="29"/>
  <c r="E35" i="29"/>
  <c r="E24" i="29"/>
  <c r="G12" i="29"/>
  <c r="G20" i="29"/>
  <c r="G26" i="29"/>
  <c r="Z34" i="14"/>
  <c r="G13" i="29"/>
  <c r="G18" i="29"/>
  <c r="C31" i="29"/>
  <c r="C14" i="29"/>
  <c r="C13" i="29"/>
  <c r="E15" i="29"/>
  <c r="E21" i="29"/>
  <c r="E14" i="29"/>
  <c r="E32" i="29"/>
  <c r="G15" i="29"/>
  <c r="G17" i="29"/>
  <c r="G21" i="29"/>
  <c r="G99" i="21"/>
  <c r="I99" i="21" s="1"/>
  <c r="E22" i="29"/>
  <c r="E17" i="29"/>
  <c r="E30" i="29"/>
  <c r="E19" i="29"/>
  <c r="E9" i="29"/>
  <c r="E20" i="29"/>
  <c r="BK83" i="15"/>
  <c r="F45" i="24" s="1"/>
  <c r="I45" i="24" s="1"/>
  <c r="K45" i="24" s="1"/>
  <c r="G31" i="29"/>
  <c r="G27" i="29"/>
  <c r="G24" i="29"/>
  <c r="D101" i="17"/>
  <c r="AF17" i="13"/>
  <c r="H14" i="43"/>
  <c r="E33" i="24"/>
  <c r="C17" i="29"/>
  <c r="C5" i="29"/>
  <c r="E18" i="29"/>
  <c r="E27" i="29"/>
  <c r="C7" i="29"/>
  <c r="BQ83" i="15"/>
  <c r="BQ104" i="15" s="1"/>
  <c r="G8" i="29"/>
  <c r="G10" i="29"/>
  <c r="C9" i="29"/>
  <c r="C33" i="29"/>
  <c r="C26" i="29"/>
  <c r="AF7" i="13"/>
  <c r="O126" i="1"/>
  <c r="AL38" i="14"/>
  <c r="C8" i="29"/>
  <c r="C21" i="29"/>
  <c r="W43" i="27"/>
  <c r="W61" i="27" s="1"/>
  <c r="E11" i="29"/>
  <c r="E29" i="29"/>
  <c r="E33" i="29"/>
  <c r="E25" i="29"/>
  <c r="E6" i="29"/>
  <c r="E28" i="29"/>
  <c r="C32" i="29"/>
  <c r="G34" i="29"/>
  <c r="G14" i="29"/>
  <c r="AA43" i="27"/>
  <c r="AA70" i="27" s="1"/>
  <c r="BB8" i="14"/>
  <c r="G23" i="29"/>
  <c r="C22" i="29"/>
  <c r="C29" i="29"/>
  <c r="E12" i="29"/>
  <c r="E7" i="29"/>
  <c r="E31" i="29"/>
  <c r="E31" i="42"/>
  <c r="G22" i="29"/>
  <c r="G30" i="29"/>
  <c r="G7" i="29"/>
  <c r="N126" i="1"/>
  <c r="M18" i="17"/>
  <c r="O18" i="17" s="1"/>
  <c r="G28" i="29"/>
  <c r="C34" i="29"/>
  <c r="C16" i="29"/>
  <c r="E34" i="29"/>
  <c r="E8" i="29"/>
  <c r="G4" i="29"/>
  <c r="G25" i="29"/>
  <c r="G9" i="29"/>
  <c r="G6" i="29"/>
  <c r="G11" i="29"/>
  <c r="AM51" i="34"/>
  <c r="I81" i="21"/>
  <c r="O339" i="17"/>
  <c r="Q339" i="17" s="1"/>
  <c r="J81" i="21"/>
  <c r="I229" i="17"/>
  <c r="O80" i="21"/>
  <c r="D43" i="20"/>
  <c r="K7" i="22"/>
  <c r="Z6" i="22"/>
  <c r="K6" i="22"/>
  <c r="O16" i="22"/>
  <c r="F42" i="22"/>
  <c r="K44" i="22"/>
  <c r="D49" i="20"/>
  <c r="K22" i="22"/>
  <c r="O14" i="22"/>
  <c r="K14" i="22"/>
  <c r="O13" i="22"/>
  <c r="K13" i="22"/>
  <c r="BG24" i="18"/>
  <c r="AS34" i="17"/>
  <c r="AU34" i="17" s="1"/>
  <c r="AL15" i="13"/>
  <c r="AG6" i="13"/>
  <c r="P339" i="17"/>
  <c r="AG12" i="13"/>
  <c r="P361" i="17"/>
  <c r="AL7" i="13"/>
  <c r="AF14" i="13"/>
  <c r="AL8" i="13"/>
  <c r="AL10" i="13"/>
  <c r="AF11" i="13"/>
  <c r="AF8" i="13"/>
  <c r="AG14" i="13"/>
  <c r="AI14" i="13" s="1"/>
  <c r="AF6" i="13"/>
  <c r="AL17" i="13"/>
  <c r="F41" i="16"/>
  <c r="AW2" i="14"/>
  <c r="BH8" i="14"/>
  <c r="L69" i="16"/>
  <c r="Y3" i="35" s="1"/>
  <c r="Y42" i="35" s="1"/>
  <c r="L73" i="16"/>
  <c r="U43" i="27"/>
  <c r="U61" i="27" s="1"/>
  <c r="J16" i="29"/>
  <c r="J8" i="29"/>
  <c r="S8" i="14"/>
  <c r="J24" i="29"/>
  <c r="AT2" i="14"/>
  <c r="K7" i="21"/>
  <c r="Y7" i="21" s="1"/>
  <c r="J32" i="29"/>
  <c r="BO13" i="14"/>
  <c r="J10" i="29"/>
  <c r="F94" i="20"/>
  <c r="M94" i="20" s="1"/>
  <c r="L94" i="20" s="1"/>
  <c r="L67" i="16"/>
  <c r="J5" i="29"/>
  <c r="J17" i="29"/>
  <c r="D8" i="32"/>
  <c r="AA84" i="15"/>
  <c r="C27" i="24" s="1"/>
  <c r="I27" i="24" s="1"/>
  <c r="H333" i="17"/>
  <c r="J4" i="29"/>
  <c r="G24" i="24"/>
  <c r="J24" i="24" s="1"/>
  <c r="J27" i="29"/>
  <c r="J22" i="29"/>
  <c r="L104" i="21"/>
  <c r="L63" i="21" s="1"/>
  <c r="O63" i="21" s="1"/>
  <c r="BR13" i="14"/>
  <c r="J14" i="29"/>
  <c r="I114" i="21"/>
  <c r="P8" i="14"/>
  <c r="J15" i="29"/>
  <c r="J9" i="29"/>
  <c r="J29" i="29"/>
  <c r="J26" i="29"/>
  <c r="J27" i="16"/>
  <c r="AC27" i="16"/>
  <c r="BO19" i="14"/>
  <c r="AI38" i="14"/>
  <c r="AJ42" i="34"/>
  <c r="J33" i="29"/>
  <c r="J6" i="29"/>
  <c r="J7" i="29"/>
  <c r="J21" i="29"/>
  <c r="J34" i="29"/>
  <c r="J28" i="29"/>
  <c r="N52" i="1"/>
  <c r="N102" i="1" s="1"/>
  <c r="AK43" i="27"/>
  <c r="AK59" i="27" s="1"/>
  <c r="J23" i="29"/>
  <c r="E55" i="35"/>
  <c r="J18" i="29"/>
  <c r="J11" i="29"/>
  <c r="J20" i="29"/>
  <c r="J123" i="17"/>
  <c r="G231" i="17"/>
  <c r="L59" i="21"/>
  <c r="O59" i="21" s="1"/>
  <c r="L69" i="21"/>
  <c r="C14" i="43"/>
  <c r="E14" i="43" s="1"/>
  <c r="G12" i="41"/>
  <c r="G10" i="41"/>
  <c r="E29" i="41"/>
  <c r="G29" i="41" s="1"/>
  <c r="G94" i="21"/>
  <c r="I94" i="21" s="1"/>
  <c r="AD13" i="14"/>
  <c r="D90" i="17"/>
  <c r="D89" i="17" s="1"/>
  <c r="E326" i="17" s="1"/>
  <c r="CK79" i="15"/>
  <c r="F141" i="17"/>
  <c r="H141" i="17" s="1"/>
  <c r="G311" i="17"/>
  <c r="H311" i="17" s="1"/>
  <c r="BB87" i="18"/>
  <c r="M129" i="21"/>
  <c r="R307" i="17"/>
  <c r="K34" i="14"/>
  <c r="AI19" i="14"/>
  <c r="AJ19" i="14" s="1"/>
  <c r="AL32" i="14"/>
  <c r="Q34" i="14"/>
  <c r="AX32" i="14"/>
  <c r="AK13" i="14"/>
  <c r="J7" i="14"/>
  <c r="I13" i="14"/>
  <c r="X13" i="14"/>
  <c r="AY83" i="15"/>
  <c r="F39" i="24" s="1"/>
  <c r="H39" i="24" s="1"/>
  <c r="K8" i="21"/>
  <c r="Y8" i="21" s="1"/>
  <c r="U8" i="21"/>
  <c r="I7" i="21"/>
  <c r="W7" i="21" s="1"/>
  <c r="I76" i="17"/>
  <c r="J76" i="17" s="1"/>
  <c r="I8" i="21"/>
  <c r="W8" i="21" s="1"/>
  <c r="I77" i="21"/>
  <c r="J7" i="21"/>
  <c r="X7" i="21" s="1"/>
  <c r="K45" i="21"/>
  <c r="N18" i="17"/>
  <c r="F148" i="21"/>
  <c r="H148" i="21" s="1"/>
  <c r="K241" i="17"/>
  <c r="W38" i="14"/>
  <c r="Y13" i="14"/>
  <c r="E2" i="14"/>
  <c r="F2" i="14" s="1"/>
  <c r="K2" i="14"/>
  <c r="L2" i="14" s="1"/>
  <c r="V13" i="14"/>
  <c r="BR7" i="14"/>
  <c r="G14" i="21"/>
  <c r="I14" i="21" s="1"/>
  <c r="N103" i="17"/>
  <c r="G24" i="1"/>
  <c r="O72" i="1"/>
  <c r="O108" i="1" s="1"/>
  <c r="E58" i="2"/>
  <c r="F32" i="6"/>
  <c r="G150" i="21"/>
  <c r="G74" i="21" s="1"/>
  <c r="I74" i="21" s="1"/>
  <c r="C11" i="29"/>
  <c r="C23" i="29"/>
  <c r="M13" i="14"/>
  <c r="C18" i="29"/>
  <c r="AG8" i="13"/>
  <c r="AJ8" i="13" s="1"/>
  <c r="AG10" i="13"/>
  <c r="AI10" i="13" s="1"/>
  <c r="AG7" i="13"/>
  <c r="AI7" i="13" s="1"/>
  <c r="AG11" i="13"/>
  <c r="AJ11" i="13" s="1"/>
  <c r="N79" i="21"/>
  <c r="L78" i="21"/>
  <c r="N78" i="21" s="1"/>
  <c r="AB19" i="21" s="1"/>
  <c r="G69" i="21"/>
  <c r="I69" i="21" s="1"/>
  <c r="M89" i="21"/>
  <c r="AD79" i="21"/>
  <c r="M53" i="21"/>
  <c r="O79" i="21"/>
  <c r="G76" i="21"/>
  <c r="K76" i="21" s="1"/>
  <c r="G3" i="21"/>
  <c r="I328" i="17"/>
  <c r="L328" i="17" s="1"/>
  <c r="H171" i="17"/>
  <c r="G73" i="21"/>
  <c r="J73" i="21" s="1"/>
  <c r="AQ83" i="15"/>
  <c r="F35" i="24" s="1"/>
  <c r="H35" i="24" s="1"/>
  <c r="AU43" i="27"/>
  <c r="BI105" i="15"/>
  <c r="F76" i="1"/>
  <c r="F75" i="1" s="1"/>
  <c r="F111" i="1" s="1"/>
  <c r="BI83" i="15"/>
  <c r="F44" i="24" s="1"/>
  <c r="F349" i="17"/>
  <c r="F348" i="17" s="1"/>
  <c r="D10" i="20" s="1"/>
  <c r="Q83" i="15"/>
  <c r="F22" i="24" s="1"/>
  <c r="E34" i="1"/>
  <c r="K34" i="1" s="1"/>
  <c r="K99" i="1" s="1"/>
  <c r="H10" i="2"/>
  <c r="AB10" i="2" s="1"/>
  <c r="J19" i="14"/>
  <c r="K33" i="24"/>
  <c r="S73" i="1"/>
  <c r="N51" i="1"/>
  <c r="AA42" i="34"/>
  <c r="AA59" i="34" s="1"/>
  <c r="C136" i="16"/>
  <c r="BF30" i="18"/>
  <c r="AX84" i="15"/>
  <c r="D38" i="24" s="1"/>
  <c r="J38" i="24" s="1"/>
  <c r="AC42" i="35"/>
  <c r="C15" i="29"/>
  <c r="AD51" i="34"/>
  <c r="F18" i="36" s="1"/>
  <c r="U27" i="16"/>
  <c r="AS137" i="16"/>
  <c r="AU137" i="16" s="1"/>
  <c r="AF38" i="14"/>
  <c r="P136" i="16"/>
  <c r="C35" i="29"/>
  <c r="C4" i="29"/>
  <c r="N38" i="14"/>
  <c r="I6" i="23"/>
  <c r="P355" i="17"/>
  <c r="M114" i="21"/>
  <c r="K242" i="17"/>
  <c r="AL83" i="15"/>
  <c r="Q32" i="14"/>
  <c r="Y8" i="14"/>
  <c r="AL69" i="16"/>
  <c r="AL136" i="16" s="1"/>
  <c r="F54" i="24"/>
  <c r="I54" i="24" s="1"/>
  <c r="L13" i="17"/>
  <c r="G53" i="24"/>
  <c r="J53" i="24" s="1"/>
  <c r="T34" i="14"/>
  <c r="E13" i="17"/>
  <c r="J158" i="1"/>
  <c r="K158" i="1" s="1"/>
  <c r="D13" i="17"/>
  <c r="AK124" i="16"/>
  <c r="AK136" i="16" s="1"/>
  <c r="CS83" i="15"/>
  <c r="CS104" i="15" s="1"/>
  <c r="L51" i="35"/>
  <c r="AE42" i="34"/>
  <c r="G8" i="36" s="1"/>
  <c r="E121" i="1"/>
  <c r="L8" i="32"/>
  <c r="M8" i="32" s="1"/>
  <c r="Q121" i="1"/>
  <c r="BF13" i="14"/>
  <c r="G14" i="25"/>
  <c r="G41" i="16"/>
  <c r="M365" i="17"/>
  <c r="N365" i="17" s="1"/>
  <c r="G9" i="41"/>
  <c r="I27" i="16"/>
  <c r="E121" i="17"/>
  <c r="E120" i="17" s="1"/>
  <c r="AC61" i="27"/>
  <c r="AC93" i="27" s="1"/>
  <c r="BA2" i="14"/>
  <c r="BC2" i="14" s="1"/>
  <c r="AL43" i="27"/>
  <c r="AL61" i="27" s="1"/>
  <c r="AN13" i="14"/>
  <c r="AA69" i="16"/>
  <c r="AA136" i="16" s="1"/>
  <c r="I16" i="43"/>
  <c r="G48" i="24"/>
  <c r="J48" i="24" s="1"/>
  <c r="J117" i="17"/>
  <c r="AF34" i="22"/>
  <c r="F121" i="1"/>
  <c r="AI43" i="27"/>
  <c r="AI66" i="27" s="1"/>
  <c r="R124" i="16"/>
  <c r="Y137" i="16"/>
  <c r="X137" i="16"/>
  <c r="E117" i="17"/>
  <c r="D6" i="20" s="1"/>
  <c r="E123" i="17"/>
  <c r="D7" i="20" s="1"/>
  <c r="H340" i="17"/>
  <c r="G136" i="17"/>
  <c r="K136" i="17" s="1"/>
  <c r="N358" i="17"/>
  <c r="R358" i="17" s="1"/>
  <c r="K374" i="17"/>
  <c r="T374" i="17" s="1"/>
  <c r="M7" i="20"/>
  <c r="O7" i="20" s="1"/>
  <c r="N7" i="20" s="1"/>
  <c r="AK57" i="17"/>
  <c r="AL57" i="17" s="1"/>
  <c r="BF29" i="18"/>
  <c r="Q336" i="17"/>
  <c r="K129" i="17"/>
  <c r="CA105" i="15"/>
  <c r="CA107" i="15" s="1"/>
  <c r="W19" i="14"/>
  <c r="X19" i="14" s="1"/>
  <c r="I32" i="29"/>
  <c r="I30" i="29"/>
  <c r="I17" i="29"/>
  <c r="I21" i="29"/>
  <c r="I6" i="29"/>
  <c r="I28" i="29"/>
  <c r="I9" i="29"/>
  <c r="R32" i="25"/>
  <c r="I14" i="29"/>
  <c r="I25" i="29"/>
  <c r="I4" i="29"/>
  <c r="I13" i="29"/>
  <c r="M42" i="1"/>
  <c r="O42" i="1" s="1"/>
  <c r="O100" i="1" s="1"/>
  <c r="AF69" i="16"/>
  <c r="I7" i="14"/>
  <c r="I33" i="29"/>
  <c r="I18" i="29"/>
  <c r="I11" i="29"/>
  <c r="I31" i="29"/>
  <c r="I10" i="29"/>
  <c r="I2" i="14"/>
  <c r="H27" i="8"/>
  <c r="I23" i="29"/>
  <c r="I19" i="29"/>
  <c r="I29" i="29"/>
  <c r="I34" i="29"/>
  <c r="L351" i="17"/>
  <c r="Q351" i="17" s="1"/>
  <c r="L10" i="41"/>
  <c r="N45" i="1"/>
  <c r="J53" i="21"/>
  <c r="K53" i="21"/>
  <c r="C151" i="21"/>
  <c r="I22" i="29"/>
  <c r="I20" i="29"/>
  <c r="I26" i="29"/>
  <c r="I8" i="29"/>
  <c r="G96" i="17"/>
  <c r="AD77" i="21"/>
  <c r="P350" i="17"/>
  <c r="M8" i="21"/>
  <c r="AA8" i="21" s="1"/>
  <c r="N95" i="17"/>
  <c r="B14" i="6"/>
  <c r="O306" i="17"/>
  <c r="S305" i="17" s="1"/>
  <c r="G212" i="17"/>
  <c r="Q378" i="17"/>
  <c r="N347" i="17"/>
  <c r="L60" i="21"/>
  <c r="N60" i="21" s="1"/>
  <c r="L117" i="17"/>
  <c r="G114" i="17"/>
  <c r="F5" i="20" s="1"/>
  <c r="I5" i="20" s="1"/>
  <c r="K5" i="20" s="1"/>
  <c r="J5" i="20" s="1"/>
  <c r="N118" i="17"/>
  <c r="M335" i="17"/>
  <c r="M334" i="17" s="1"/>
  <c r="K115" i="17"/>
  <c r="K114" i="17" s="1"/>
  <c r="AO38" i="14"/>
  <c r="L23" i="41"/>
  <c r="E23" i="41"/>
  <c r="G23" i="41" s="1"/>
  <c r="AZ9" i="14"/>
  <c r="AW9" i="14"/>
  <c r="AU8" i="14"/>
  <c r="AW8" i="14" s="1"/>
  <c r="BG32" i="14"/>
  <c r="E57" i="24"/>
  <c r="M8" i="23"/>
  <c r="V8" i="23" s="1"/>
  <c r="L99" i="21"/>
  <c r="M99" i="21" s="1"/>
  <c r="J32" i="23"/>
  <c r="G55" i="17" s="1"/>
  <c r="G53" i="17" s="1"/>
  <c r="J53" i="17" s="1"/>
  <c r="O77" i="20"/>
  <c r="O46" i="1"/>
  <c r="O54" i="21"/>
  <c r="N124" i="17"/>
  <c r="AT37" i="17"/>
  <c r="K17" i="24"/>
  <c r="CV83" i="15"/>
  <c r="AH51" i="34"/>
  <c r="J18" i="36" s="1"/>
  <c r="L155" i="21"/>
  <c r="M338" i="17"/>
  <c r="J344" i="17"/>
  <c r="H341" i="17"/>
  <c r="P29" i="39"/>
  <c r="Q30" i="39" s="1"/>
  <c r="AK73" i="16"/>
  <c r="BX7" i="14"/>
  <c r="M124" i="17"/>
  <c r="M123" i="17" s="1"/>
  <c r="Q42" i="1"/>
  <c r="K130" i="17"/>
  <c r="CV105" i="15"/>
  <c r="CV107" i="15" s="1"/>
  <c r="BT7" i="14"/>
  <c r="L27" i="41"/>
  <c r="AF45" i="21"/>
  <c r="I42" i="23"/>
  <c r="P123" i="17"/>
  <c r="AC34" i="14"/>
  <c r="BU2" i="14"/>
  <c r="J13" i="14"/>
  <c r="S43" i="27"/>
  <c r="S61" i="27" s="1"/>
  <c r="G30" i="41"/>
  <c r="M86" i="21"/>
  <c r="N45" i="21"/>
  <c r="AC38" i="14"/>
  <c r="N46" i="1"/>
  <c r="V37" i="17"/>
  <c r="W37" i="17" s="1"/>
  <c r="N54" i="21"/>
  <c r="H338" i="17"/>
  <c r="BF49" i="18"/>
  <c r="F69" i="16"/>
  <c r="S3" i="35" s="1"/>
  <c r="S42" i="35" s="1"/>
  <c r="CJ83" i="15"/>
  <c r="K10" i="32"/>
  <c r="T44" i="16"/>
  <c r="K243" i="17"/>
  <c r="G51" i="24"/>
  <c r="J51" i="24" s="1"/>
  <c r="G94" i="20"/>
  <c r="G16" i="41"/>
  <c r="E53" i="1"/>
  <c r="K53" i="1" s="1"/>
  <c r="V53" i="1" s="1"/>
  <c r="C50" i="34"/>
  <c r="C53" i="34" s="1"/>
  <c r="G12" i="17"/>
  <c r="G11" i="17" s="1"/>
  <c r="AJ137" i="16"/>
  <c r="AK42" i="34"/>
  <c r="K57" i="22"/>
  <c r="M377" i="17"/>
  <c r="K54" i="1"/>
  <c r="V54" i="1" s="1"/>
  <c r="H345" i="17"/>
  <c r="W22" i="8"/>
  <c r="BL104" i="15"/>
  <c r="J229" i="17"/>
  <c r="L96" i="17"/>
  <c r="M327" i="17" s="1"/>
  <c r="K131" i="17"/>
  <c r="N129" i="17"/>
  <c r="R128" i="17" s="1"/>
  <c r="AI53" i="34"/>
  <c r="G165" i="17"/>
  <c r="G169" i="17" s="1"/>
  <c r="G122" i="17"/>
  <c r="K122" i="17" s="1"/>
  <c r="AS50" i="34"/>
  <c r="H122" i="1" s="1"/>
  <c r="J122" i="1" s="1"/>
  <c r="U122" i="1" s="1"/>
  <c r="E57" i="22"/>
  <c r="F343" i="17"/>
  <c r="F342" i="17" s="1"/>
  <c r="BM10" i="19"/>
  <c r="BO10" i="19" s="1"/>
  <c r="D212" i="17"/>
  <c r="U137" i="16"/>
  <c r="D112" i="17"/>
  <c r="D111" i="17" s="1"/>
  <c r="K119" i="17"/>
  <c r="K117" i="17" s="1"/>
  <c r="AC42" i="34"/>
  <c r="E8" i="36" s="1"/>
  <c r="AF67" i="27"/>
  <c r="R48" i="16"/>
  <c r="I132" i="21"/>
  <c r="I122" i="17"/>
  <c r="K112" i="17"/>
  <c r="K111" i="17" s="1"/>
  <c r="L22" i="2"/>
  <c r="N77" i="21"/>
  <c r="M77" i="21"/>
  <c r="K76" i="17"/>
  <c r="L76" i="17" s="1"/>
  <c r="AN9" i="18"/>
  <c r="AN10" i="18" s="1"/>
  <c r="AO10" i="18" s="1"/>
  <c r="AO9" i="18" s="1"/>
  <c r="BD9" i="19"/>
  <c r="G78" i="21"/>
  <c r="J78" i="21" s="1"/>
  <c r="X19" i="21" s="1"/>
  <c r="I79" i="21"/>
  <c r="K15" i="21"/>
  <c r="L173" i="21"/>
  <c r="I80" i="21"/>
  <c r="L157" i="21"/>
  <c r="J15" i="21"/>
  <c r="O5" i="28"/>
  <c r="H332" i="17"/>
  <c r="L329" i="17"/>
  <c r="AF35" i="14"/>
  <c r="BF104" i="15"/>
  <c r="AG52" i="34"/>
  <c r="D35" i="26"/>
  <c r="D33" i="26" s="1"/>
  <c r="D30" i="26" s="1"/>
  <c r="D51" i="26" s="1"/>
  <c r="D52" i="26" s="1"/>
  <c r="F56" i="24"/>
  <c r="J69" i="16"/>
  <c r="J136" i="16" s="1"/>
  <c r="Z32" i="14"/>
  <c r="AF70" i="27"/>
  <c r="AQ52" i="34"/>
  <c r="J11" i="23"/>
  <c r="Z69" i="16"/>
  <c r="AM3" i="35" s="1"/>
  <c r="AM42" i="35" s="1"/>
  <c r="L11" i="41"/>
  <c r="AF62" i="27"/>
  <c r="AF94" i="27" s="1"/>
  <c r="T32" i="14"/>
  <c r="F92" i="21"/>
  <c r="C43" i="18"/>
  <c r="AA13" i="14"/>
  <c r="R60" i="27"/>
  <c r="N105" i="17"/>
  <c r="AG62" i="27"/>
  <c r="AG94" i="27" s="1"/>
  <c r="Q48" i="16"/>
  <c r="E29" i="2"/>
  <c r="G29" i="2" s="1"/>
  <c r="I29" i="2" s="1"/>
  <c r="W32" i="14"/>
  <c r="AC32" i="14"/>
  <c r="AK37" i="17"/>
  <c r="AL37" i="17" s="1"/>
  <c r="I135" i="17"/>
  <c r="B6" i="5"/>
  <c r="B5" i="5" s="1"/>
  <c r="O12" i="22"/>
  <c r="O8" i="21"/>
  <c r="G57" i="21"/>
  <c r="I57" i="21" s="1"/>
  <c r="K244" i="17"/>
  <c r="Z8" i="21"/>
  <c r="G68" i="21"/>
  <c r="I68" i="21" s="1"/>
  <c r="F332" i="17"/>
  <c r="F331" i="17" s="1"/>
  <c r="I95" i="17"/>
  <c r="G158" i="21"/>
  <c r="G59" i="21"/>
  <c r="J59" i="21" s="1"/>
  <c r="G108" i="17"/>
  <c r="E211" i="17"/>
  <c r="E212" i="17" s="1"/>
  <c r="AP35" i="17"/>
  <c r="H330" i="17"/>
  <c r="K57" i="17"/>
  <c r="M57" i="17" s="1"/>
  <c r="K108" i="17"/>
  <c r="D180" i="17"/>
  <c r="H180" i="17" s="1"/>
  <c r="E62" i="20" s="1"/>
  <c r="I17" i="23"/>
  <c r="L33" i="2"/>
  <c r="F13" i="14"/>
  <c r="F19" i="14" s="1"/>
  <c r="E31" i="14" s="1"/>
  <c r="H34" i="14"/>
  <c r="M7" i="14"/>
  <c r="AN8" i="14"/>
  <c r="AZ13" i="14"/>
  <c r="E48" i="2"/>
  <c r="G48" i="2" s="1"/>
  <c r="I48" i="2" s="1"/>
  <c r="E4" i="2"/>
  <c r="E19" i="2"/>
  <c r="E20" i="2" s="1"/>
  <c r="E7" i="2"/>
  <c r="Y7" i="2" s="1"/>
  <c r="E27" i="2"/>
  <c r="G27" i="2" s="1"/>
  <c r="I27" i="2" s="1"/>
  <c r="E53" i="2"/>
  <c r="G53" i="2" s="1"/>
  <c r="I53" i="2" s="1"/>
  <c r="E40" i="2"/>
  <c r="G40" i="2" s="1"/>
  <c r="I40" i="2" s="1"/>
  <c r="E12" i="2"/>
  <c r="G12" i="2" s="1"/>
  <c r="E22" i="2"/>
  <c r="Y13" i="2" s="1"/>
  <c r="E46" i="2"/>
  <c r="G46" i="2" s="1"/>
  <c r="I46" i="2" s="1"/>
  <c r="M109" i="17"/>
  <c r="M108" i="17" s="1"/>
  <c r="AB42" i="34"/>
  <c r="H24" i="29"/>
  <c r="G65" i="21"/>
  <c r="I65" i="21" s="1"/>
  <c r="L15" i="41"/>
  <c r="K21" i="41"/>
  <c r="F21" i="41" s="1"/>
  <c r="G20" i="24"/>
  <c r="H20" i="24" s="1"/>
  <c r="L95" i="21"/>
  <c r="M95" i="21" s="1"/>
  <c r="N55" i="35"/>
  <c r="G52" i="24"/>
  <c r="J52" i="24" s="1"/>
  <c r="K52" i="24" s="1"/>
  <c r="G15" i="41"/>
  <c r="L94" i="21"/>
  <c r="M94" i="21" s="1"/>
  <c r="G11" i="41"/>
  <c r="I9" i="43"/>
  <c r="P53" i="34"/>
  <c r="G111" i="17"/>
  <c r="L6" i="2"/>
  <c r="K32" i="14"/>
  <c r="AD6" i="22"/>
  <c r="J11" i="30"/>
  <c r="J19" i="30"/>
  <c r="J24" i="30"/>
  <c r="J14" i="30"/>
  <c r="J12" i="30"/>
  <c r="J7" i="30"/>
  <c r="J21" i="30"/>
  <c r="J5" i="30"/>
  <c r="J18" i="30"/>
  <c r="J10" i="30"/>
  <c r="J23" i="30"/>
  <c r="J9" i="30"/>
  <c r="J33" i="30"/>
  <c r="J4" i="30"/>
  <c r="J16" i="30"/>
  <c r="J26" i="30"/>
  <c r="J31" i="30"/>
  <c r="J32" i="30"/>
  <c r="J17" i="30"/>
  <c r="J6" i="30"/>
  <c r="J8" i="30"/>
  <c r="J30" i="30"/>
  <c r="J28" i="30"/>
  <c r="J29" i="30"/>
  <c r="J22" i="30"/>
  <c r="J27" i="30"/>
  <c r="J13" i="30"/>
  <c r="J20" i="30"/>
  <c r="J34" i="30"/>
  <c r="AQ70" i="27"/>
  <c r="AQ77" i="27" s="1"/>
  <c r="AQ91" i="27" s="1"/>
  <c r="AQ67" i="27"/>
  <c r="AQ88" i="27" s="1"/>
  <c r="S7" i="14"/>
  <c r="H19" i="24"/>
  <c r="AG137" i="16"/>
  <c r="J141" i="17"/>
  <c r="CO83" i="15"/>
  <c r="CO104" i="15" s="1"/>
  <c r="J11" i="22"/>
  <c r="AD11" i="22" s="1"/>
  <c r="F57" i="2"/>
  <c r="AD13" i="22"/>
  <c r="Y69" i="16"/>
  <c r="H172" i="17"/>
  <c r="M112" i="17"/>
  <c r="M111" i="17" s="1"/>
  <c r="V43" i="27"/>
  <c r="V62" i="27" s="1"/>
  <c r="J55" i="35"/>
  <c r="AF59" i="27"/>
  <c r="AL34" i="14"/>
  <c r="AU19" i="14"/>
  <c r="AW19" i="14" s="1"/>
  <c r="I230" i="17"/>
  <c r="CE82" i="15"/>
  <c r="F67" i="1"/>
  <c r="F107" i="1" s="1"/>
  <c r="P42" i="34"/>
  <c r="P59" i="34" s="1"/>
  <c r="AS8" i="14"/>
  <c r="L55" i="21"/>
  <c r="M55" i="21" s="1"/>
  <c r="Q379" i="17"/>
  <c r="AF61" i="27"/>
  <c r="AF75" i="27" s="1"/>
  <c r="AF89" i="27" s="1"/>
  <c r="BE53" i="38"/>
  <c r="AQ37" i="35" s="1"/>
  <c r="AU9" i="19" s="1"/>
  <c r="AF66" i="27"/>
  <c r="AF63" i="27"/>
  <c r="W136" i="16"/>
  <c r="G50" i="34"/>
  <c r="G53" i="34" s="1"/>
  <c r="L84" i="15"/>
  <c r="D19" i="24" s="1"/>
  <c r="J19" i="24" s="1"/>
  <c r="AF60" i="27"/>
  <c r="S11" i="23"/>
  <c r="AK51" i="34"/>
  <c r="CI106" i="15"/>
  <c r="AK28" i="14"/>
  <c r="AI34" i="14" s="1"/>
  <c r="U84" i="15"/>
  <c r="C24" i="24" s="1"/>
  <c r="AF69" i="27"/>
  <c r="AD83" i="15"/>
  <c r="AB26" i="39"/>
  <c r="F57" i="24"/>
  <c r="H38" i="24"/>
  <c r="O15" i="22"/>
  <c r="F43" i="24"/>
  <c r="I43" i="24" s="1"/>
  <c r="J57" i="22"/>
  <c r="J58" i="2" s="1"/>
  <c r="P57" i="2" s="1"/>
  <c r="C27" i="29"/>
  <c r="L139" i="21"/>
  <c r="M139" i="21" s="1"/>
  <c r="E11" i="23"/>
  <c r="K271" i="17"/>
  <c r="E134" i="17"/>
  <c r="H231" i="17"/>
  <c r="L311" i="17"/>
  <c r="J317" i="17" s="1"/>
  <c r="BG27" i="18"/>
  <c r="N136" i="17"/>
  <c r="AD54" i="21"/>
  <c r="F255" i="17"/>
  <c r="I255" i="17" s="1"/>
  <c r="L337" i="17"/>
  <c r="Q2" i="14"/>
  <c r="S2" i="14" s="1"/>
  <c r="N81" i="17"/>
  <c r="V8" i="14"/>
  <c r="F34" i="1"/>
  <c r="F99" i="1" s="1"/>
  <c r="H39" i="19"/>
  <c r="J39" i="19" s="1"/>
  <c r="K9" i="43"/>
  <c r="D237" i="17"/>
  <c r="Y34" i="22"/>
  <c r="R22" i="22" s="1"/>
  <c r="F262" i="17"/>
  <c r="I262" i="17" s="1"/>
  <c r="K246" i="17"/>
  <c r="AE19" i="14"/>
  <c r="AC31" i="14" s="1"/>
  <c r="C8" i="32"/>
  <c r="E17" i="24"/>
  <c r="C20" i="23"/>
  <c r="E34" i="24"/>
  <c r="K34" i="24"/>
  <c r="J15" i="30"/>
  <c r="J25" i="30"/>
  <c r="H10" i="29"/>
  <c r="H19" i="29"/>
  <c r="H22" i="29"/>
  <c r="H20" i="29"/>
  <c r="H11" i="29"/>
  <c r="H27" i="29"/>
  <c r="H28" i="29"/>
  <c r="H13" i="29"/>
  <c r="H25" i="29"/>
  <c r="H30" i="29"/>
  <c r="F14" i="29"/>
  <c r="H15" i="29"/>
  <c r="H35" i="29"/>
  <c r="H12" i="29"/>
  <c r="H4" i="29"/>
  <c r="H26" i="29"/>
  <c r="H5" i="29"/>
  <c r="E11" i="17"/>
  <c r="E25" i="17"/>
  <c r="M17" i="17"/>
  <c r="O17" i="17" s="1"/>
  <c r="D13" i="29"/>
  <c r="H33" i="29"/>
  <c r="H31" i="29"/>
  <c r="H8" i="29"/>
  <c r="H23" i="29"/>
  <c r="H17" i="29"/>
  <c r="H18" i="29"/>
  <c r="H14" i="29"/>
  <c r="H21" i="29"/>
  <c r="H7" i="29"/>
  <c r="H34" i="29"/>
  <c r="H16" i="29"/>
  <c r="H32" i="29"/>
  <c r="H6" i="29"/>
  <c r="H9" i="29"/>
  <c r="F363" i="17"/>
  <c r="F362" i="17" s="1"/>
  <c r="S58" i="1"/>
  <c r="AE13" i="14"/>
  <c r="X69" i="16"/>
  <c r="X136" i="16" s="1"/>
  <c r="BV83" i="15"/>
  <c r="BV105" i="15"/>
  <c r="AL50" i="34"/>
  <c r="AL53" i="34" s="1"/>
  <c r="S45" i="1"/>
  <c r="AD67" i="16"/>
  <c r="J8" i="23"/>
  <c r="D35" i="17" s="1"/>
  <c r="I11" i="23"/>
  <c r="O11" i="23" s="1"/>
  <c r="I8" i="23"/>
  <c r="C35" i="17" s="1"/>
  <c r="C33" i="17" s="1"/>
  <c r="N99" i="17"/>
  <c r="BR2" i="14"/>
  <c r="BO7" i="14"/>
  <c r="R33" i="22"/>
  <c r="K16" i="43"/>
  <c r="F13" i="36"/>
  <c r="AH42" i="34"/>
  <c r="AH52" i="34" s="1"/>
  <c r="O73" i="1"/>
  <c r="O109" i="1" s="1"/>
  <c r="W34" i="14"/>
  <c r="D10" i="29"/>
  <c r="AT83" i="15"/>
  <c r="C41" i="5"/>
  <c r="G41" i="5" s="1"/>
  <c r="N73" i="1"/>
  <c r="P73" i="1" s="1"/>
  <c r="D14" i="29"/>
  <c r="H16" i="43"/>
  <c r="V52" i="34"/>
  <c r="J23" i="36" s="1"/>
  <c r="AD27" i="16"/>
  <c r="AK83" i="15"/>
  <c r="F32" i="24" s="1"/>
  <c r="D18" i="29"/>
  <c r="L68" i="21"/>
  <c r="J62" i="22" s="1"/>
  <c r="D11" i="29"/>
  <c r="L58" i="21"/>
  <c r="M58" i="21" s="1"/>
  <c r="J24" i="41"/>
  <c r="L24" i="41" s="1"/>
  <c r="Z67" i="16"/>
  <c r="D12" i="29"/>
  <c r="L100" i="21"/>
  <c r="M100" i="21" s="1"/>
  <c r="AP2" i="14"/>
  <c r="Q43" i="27"/>
  <c r="Q59" i="27" s="1"/>
  <c r="Z84" i="15"/>
  <c r="D26" i="24" s="1"/>
  <c r="J26" i="24" s="1"/>
  <c r="R24" i="25"/>
  <c r="L76" i="21"/>
  <c r="N76" i="21" s="1"/>
  <c r="AE114" i="16"/>
  <c r="I67" i="16"/>
  <c r="L19" i="41"/>
  <c r="F50" i="24"/>
  <c r="I50" i="24" s="1"/>
  <c r="H16" i="24"/>
  <c r="G19" i="41"/>
  <c r="AQ2" i="14"/>
  <c r="BK2" i="14"/>
  <c r="X52" i="34"/>
  <c r="L23" i="36" s="1"/>
  <c r="B9" i="19"/>
  <c r="D9" i="19" s="1"/>
  <c r="AY53" i="38"/>
  <c r="AN37" i="35" s="1"/>
  <c r="AY56" i="38"/>
  <c r="D22" i="29"/>
  <c r="D15" i="29"/>
  <c r="D5" i="29"/>
  <c r="G151" i="21"/>
  <c r="I151" i="21" s="1"/>
  <c r="R8" i="25"/>
  <c r="R6" i="25" s="1"/>
  <c r="D24" i="29"/>
  <c r="C25" i="29"/>
  <c r="C30" i="29"/>
  <c r="C20" i="29"/>
  <c r="G23" i="1"/>
  <c r="D34" i="29"/>
  <c r="D26" i="29"/>
  <c r="D25" i="29"/>
  <c r="AC59" i="27"/>
  <c r="E20" i="24"/>
  <c r="D17" i="29"/>
  <c r="O60" i="1"/>
  <c r="Q361" i="17"/>
  <c r="Q59" i="1"/>
  <c r="M59" i="1" s="1"/>
  <c r="O59" i="1" s="1"/>
  <c r="O105" i="1" s="1"/>
  <c r="D7" i="29"/>
  <c r="D4" i="29"/>
  <c r="D27" i="29"/>
  <c r="AC63" i="27"/>
  <c r="D35" i="29"/>
  <c r="AH28" i="14"/>
  <c r="AF34" i="14" s="1"/>
  <c r="P31" i="39"/>
  <c r="AQ118" i="16"/>
  <c r="I364" i="17"/>
  <c r="J17" i="17"/>
  <c r="D24" i="20"/>
  <c r="F24" i="20" s="1"/>
  <c r="BC19" i="14"/>
  <c r="J329" i="17"/>
  <c r="D31" i="29"/>
  <c r="D16" i="29"/>
  <c r="D8" i="29"/>
  <c r="AC68" i="27"/>
  <c r="D32" i="29"/>
  <c r="AQ66" i="27"/>
  <c r="AQ73" i="27" s="1"/>
  <c r="AQ87" i="27" s="1"/>
  <c r="AC62" i="27"/>
  <c r="AC94" i="27" s="1"/>
  <c r="O185" i="1"/>
  <c r="G44" i="22"/>
  <c r="I44" i="22" s="1"/>
  <c r="D19" i="29"/>
  <c r="D20" i="29"/>
  <c r="D21" i="29"/>
  <c r="AC69" i="27"/>
  <c r="AC66" i="27"/>
  <c r="D30" i="29"/>
  <c r="AT52" i="34"/>
  <c r="AC67" i="27"/>
  <c r="AC74" i="27" s="1"/>
  <c r="AC88" i="27" s="1"/>
  <c r="D29" i="29"/>
  <c r="AD73" i="16"/>
  <c r="AD69" i="16"/>
  <c r="AQ3" i="35" s="1"/>
  <c r="AB84" i="15"/>
  <c r="D27" i="24" s="1"/>
  <c r="G27" i="24"/>
  <c r="S42" i="34"/>
  <c r="S59" i="34" s="1"/>
  <c r="I43" i="16"/>
  <c r="AC70" i="27"/>
  <c r="D9" i="29"/>
  <c r="AP42" i="34"/>
  <c r="AP51" i="34"/>
  <c r="L15" i="17" s="1"/>
  <c r="AA137" i="16"/>
  <c r="AQ137" i="16" s="1"/>
  <c r="N60" i="1"/>
  <c r="E90" i="17"/>
  <c r="E89" i="17" s="1"/>
  <c r="D4" i="20" s="1"/>
  <c r="D23" i="29"/>
  <c r="D28" i="29"/>
  <c r="D33" i="29"/>
  <c r="I18" i="36"/>
  <c r="F31" i="22"/>
  <c r="F24" i="22"/>
  <c r="J42" i="2"/>
  <c r="AD18" i="2" s="1"/>
  <c r="J42" i="22"/>
  <c r="AD18" i="22" s="1"/>
  <c r="F9" i="29"/>
  <c r="F19" i="29"/>
  <c r="F11" i="29"/>
  <c r="F13" i="29"/>
  <c r="F18" i="29"/>
  <c r="F24" i="29"/>
  <c r="F16" i="29"/>
  <c r="F28" i="29"/>
  <c r="F22" i="29"/>
  <c r="F29" i="29"/>
  <c r="F6" i="29"/>
  <c r="F12" i="29"/>
  <c r="F23" i="29"/>
  <c r="F10" i="29"/>
  <c r="F35" i="29"/>
  <c r="F34" i="29"/>
  <c r="F4" i="29"/>
  <c r="F31" i="29"/>
  <c r="F33" i="29"/>
  <c r="F32" i="29"/>
  <c r="F5" i="29"/>
  <c r="F20" i="29"/>
  <c r="F17" i="29"/>
  <c r="F25" i="29"/>
  <c r="F21" i="29"/>
  <c r="F27" i="29"/>
  <c r="F8" i="29"/>
  <c r="F30" i="29"/>
  <c r="F26" i="29"/>
  <c r="F7" i="29"/>
  <c r="R26" i="22"/>
  <c r="H17" i="22"/>
  <c r="Y41" i="22"/>
  <c r="AG41" i="22" s="1"/>
  <c r="Y42" i="22"/>
  <c r="R16" i="22" s="1"/>
  <c r="AC42" i="22"/>
  <c r="U136" i="16"/>
  <c r="BM7" i="19"/>
  <c r="BO7" i="19" s="1"/>
  <c r="C46" i="5"/>
  <c r="L114" i="17"/>
  <c r="C9" i="5"/>
  <c r="G9" i="5" s="1"/>
  <c r="R13" i="5" s="1"/>
  <c r="C36" i="5"/>
  <c r="D36" i="5" s="1"/>
  <c r="H36" i="5" s="1"/>
  <c r="E8" i="23"/>
  <c r="E26" i="2"/>
  <c r="G26" i="2" s="1"/>
  <c r="I26" i="2" s="1"/>
  <c r="S51" i="1"/>
  <c r="C30" i="5"/>
  <c r="G30" i="5" s="1"/>
  <c r="G44" i="24"/>
  <c r="J44" i="24" s="1"/>
  <c r="C32" i="5"/>
  <c r="D32" i="5" s="1"/>
  <c r="H32" i="5" s="1"/>
  <c r="J45" i="2"/>
  <c r="AD19" i="2" s="1"/>
  <c r="O329" i="17"/>
  <c r="O22" i="22"/>
  <c r="L111" i="17"/>
  <c r="L35" i="23"/>
  <c r="K35" i="23"/>
  <c r="Q35" i="23" s="1"/>
  <c r="Z13" i="22"/>
  <c r="AB13" i="14"/>
  <c r="E28" i="2"/>
  <c r="G28" i="2" s="1"/>
  <c r="I28" i="2" s="1"/>
  <c r="E8" i="2"/>
  <c r="Y8" i="2" s="1"/>
  <c r="E18" i="2"/>
  <c r="AE124" i="16"/>
  <c r="AE136" i="16" s="1"/>
  <c r="AE137" i="16"/>
  <c r="D63" i="5"/>
  <c r="H63" i="5" s="1"/>
  <c r="E122" i="1"/>
  <c r="I13" i="36"/>
  <c r="AG53" i="34"/>
  <c r="H123" i="1"/>
  <c r="J123" i="1" s="1"/>
  <c r="U123" i="1" s="1"/>
  <c r="C23" i="5"/>
  <c r="D23" i="5" s="1"/>
  <c r="H23" i="5" s="1"/>
  <c r="C24" i="5"/>
  <c r="D24" i="5" s="1"/>
  <c r="H24" i="5" s="1"/>
  <c r="D64" i="5"/>
  <c r="C42" i="5"/>
  <c r="D42" i="5" s="1"/>
  <c r="H42" i="5" s="1"/>
  <c r="C28" i="5"/>
  <c r="D28" i="5" s="1"/>
  <c r="H28" i="5" s="1"/>
  <c r="C27" i="5"/>
  <c r="D27" i="5" s="1"/>
  <c r="H27" i="5" s="1"/>
  <c r="C20" i="5"/>
  <c r="D20" i="5" s="1"/>
  <c r="H20" i="5" s="1"/>
  <c r="C35" i="5"/>
  <c r="D35" i="5" s="1"/>
  <c r="H35" i="5" s="1"/>
  <c r="K346" i="17"/>
  <c r="AG61" i="27"/>
  <c r="G121" i="17"/>
  <c r="C39" i="5"/>
  <c r="D39" i="5" s="1"/>
  <c r="H39" i="5" s="1"/>
  <c r="C26" i="5"/>
  <c r="D26" i="5" s="1"/>
  <c r="H26" i="5" s="1"/>
  <c r="C12" i="5"/>
  <c r="C47" i="5"/>
  <c r="C31" i="5"/>
  <c r="D31" i="5" s="1"/>
  <c r="H31" i="5" s="1"/>
  <c r="V19" i="14"/>
  <c r="T31" i="14" s="1"/>
  <c r="AG63" i="27"/>
  <c r="AG95" i="27" s="1"/>
  <c r="B15" i="6"/>
  <c r="AB53" i="34"/>
  <c r="D13" i="36"/>
  <c r="E25" i="20"/>
  <c r="E109" i="17"/>
  <c r="E108" i="17" s="1"/>
  <c r="C25" i="5"/>
  <c r="G25" i="5" s="1"/>
  <c r="C45" i="5"/>
  <c r="C17" i="5"/>
  <c r="G17" i="5" s="1"/>
  <c r="C50" i="5"/>
  <c r="G50" i="5" s="1"/>
  <c r="C14" i="5"/>
  <c r="G14" i="5" s="1"/>
  <c r="AC40" i="22"/>
  <c r="AG40" i="22" s="1"/>
  <c r="AG59" i="27"/>
  <c r="X84" i="15"/>
  <c r="D25" i="24" s="1"/>
  <c r="J25" i="24" s="1"/>
  <c r="K25" i="24" s="1"/>
  <c r="C11" i="5"/>
  <c r="C34" i="5"/>
  <c r="G34" i="5" s="1"/>
  <c r="C38" i="5"/>
  <c r="D38" i="5" s="1"/>
  <c r="H38" i="5" s="1"/>
  <c r="C48" i="5"/>
  <c r="C22" i="5"/>
  <c r="G22" i="5" s="1"/>
  <c r="C49" i="5"/>
  <c r="G49" i="5" s="1"/>
  <c r="C18" i="5"/>
  <c r="G18" i="5" s="1"/>
  <c r="C16" i="5"/>
  <c r="D16" i="5" s="1"/>
  <c r="H16" i="5" s="1"/>
  <c r="AY6" i="18"/>
  <c r="AY5" i="18" s="1"/>
  <c r="H35" i="25"/>
  <c r="C15" i="5"/>
  <c r="G15" i="5" s="1"/>
  <c r="R17" i="5" s="1"/>
  <c r="J65" i="1"/>
  <c r="U65" i="1" s="1"/>
  <c r="C37" i="5"/>
  <c r="D37" i="5" s="1"/>
  <c r="H37" i="5" s="1"/>
  <c r="C21" i="5"/>
  <c r="D21" i="5" s="1"/>
  <c r="H21" i="5" s="1"/>
  <c r="E43" i="12"/>
  <c r="G25" i="41"/>
  <c r="F20" i="41"/>
  <c r="G20" i="41" s="1"/>
  <c r="L13" i="41"/>
  <c r="S36" i="1"/>
  <c r="H180" i="1"/>
  <c r="J180" i="1" s="1"/>
  <c r="H20" i="19"/>
  <c r="J20" i="19" s="1"/>
  <c r="H11" i="19"/>
  <c r="J11" i="19" s="1"/>
  <c r="H18" i="19"/>
  <c r="J18" i="19" s="1"/>
  <c r="H27" i="19"/>
  <c r="J27" i="19" s="1"/>
  <c r="BP104" i="15"/>
  <c r="AI84" i="15"/>
  <c r="C31" i="24" s="1"/>
  <c r="I31" i="24" s="1"/>
  <c r="H31" i="19"/>
  <c r="J31" i="19" s="1"/>
  <c r="H36" i="19"/>
  <c r="J36" i="19" s="1"/>
  <c r="AN11" i="39"/>
  <c r="H28" i="19"/>
  <c r="J28" i="19" s="1"/>
  <c r="E35" i="23"/>
  <c r="O18" i="22"/>
  <c r="F45" i="22"/>
  <c r="P84" i="15"/>
  <c r="D21" i="24" s="1"/>
  <c r="H22" i="19"/>
  <c r="J22" i="19" s="1"/>
  <c r="H41" i="19"/>
  <c r="J41" i="19" s="1"/>
  <c r="I109" i="17"/>
  <c r="I108" i="17" s="1"/>
  <c r="F84" i="15"/>
  <c r="D16" i="24" s="1"/>
  <c r="J16" i="24" s="1"/>
  <c r="J50" i="22"/>
  <c r="AD20" i="22" s="1"/>
  <c r="Y27" i="8"/>
  <c r="Z38" i="16" s="1"/>
  <c r="Y38" i="16"/>
  <c r="D133" i="17"/>
  <c r="H21" i="19"/>
  <c r="J21" i="19" s="1"/>
  <c r="H24" i="19"/>
  <c r="J24" i="19" s="1"/>
  <c r="H34" i="19"/>
  <c r="J34" i="19" s="1"/>
  <c r="E101" i="17"/>
  <c r="E13" i="2"/>
  <c r="G13" i="2" s="1"/>
  <c r="I13" i="2" s="1"/>
  <c r="H16" i="19"/>
  <c r="J16" i="19" s="1"/>
  <c r="K238" i="17"/>
  <c r="G134" i="17"/>
  <c r="BM44" i="19"/>
  <c r="BO44" i="19" s="1"/>
  <c r="H19" i="19"/>
  <c r="J19" i="19" s="1"/>
  <c r="H40" i="19"/>
  <c r="J40" i="19" s="1"/>
  <c r="H37" i="19"/>
  <c r="J37" i="19" s="1"/>
  <c r="H15" i="19"/>
  <c r="E7" i="28" s="1"/>
  <c r="H9" i="19"/>
  <c r="J9" i="19" s="1"/>
  <c r="AC38" i="22"/>
  <c r="AG38" i="22" s="1"/>
  <c r="Y37" i="22"/>
  <c r="R23" i="22" s="1"/>
  <c r="N11" i="23"/>
  <c r="N135" i="17"/>
  <c r="R11" i="23"/>
  <c r="F37" i="22"/>
  <c r="K37" i="22" s="1"/>
  <c r="F11" i="22"/>
  <c r="H47" i="19"/>
  <c r="H48" i="19"/>
  <c r="H30" i="19"/>
  <c r="J30" i="19" s="1"/>
  <c r="H25" i="19"/>
  <c r="J25" i="19" s="1"/>
  <c r="H23" i="19"/>
  <c r="J23" i="19" s="1"/>
  <c r="AC37" i="22"/>
  <c r="I117" i="17"/>
  <c r="P117" i="17" s="1"/>
  <c r="J374" i="17"/>
  <c r="S374" i="17" s="1"/>
  <c r="L377" i="17"/>
  <c r="M35" i="23"/>
  <c r="H49" i="19"/>
  <c r="J49" i="19" s="1"/>
  <c r="L374" i="17"/>
  <c r="Q374" i="17" s="1"/>
  <c r="F50" i="22"/>
  <c r="H17" i="19"/>
  <c r="J17" i="19" s="1"/>
  <c r="H45" i="19"/>
  <c r="H33" i="19"/>
  <c r="J33" i="19" s="1"/>
  <c r="H42" i="19"/>
  <c r="J42" i="19" s="1"/>
  <c r="I1" i="19"/>
  <c r="J1" i="19" s="1"/>
  <c r="K1" i="19" s="1"/>
  <c r="D10" i="18"/>
  <c r="E10" i="18" s="1"/>
  <c r="H32" i="19"/>
  <c r="J32" i="19" s="1"/>
  <c r="H38" i="19"/>
  <c r="J38" i="19" s="1"/>
  <c r="H12" i="19"/>
  <c r="J12" i="19" s="1"/>
  <c r="H46" i="19"/>
  <c r="H50" i="19"/>
  <c r="J50" i="19" s="1"/>
  <c r="H14" i="19"/>
  <c r="J14" i="19" s="1"/>
  <c r="H29" i="19"/>
  <c r="J29" i="19" s="1"/>
  <c r="H13" i="19"/>
  <c r="J13" i="19" s="1"/>
  <c r="H35" i="19"/>
  <c r="J35" i="19" s="1"/>
  <c r="AG13" i="14"/>
  <c r="J37" i="2"/>
  <c r="AD17" i="2" s="1"/>
  <c r="J45" i="22"/>
  <c r="AD19" i="22" s="1"/>
  <c r="J17" i="22"/>
  <c r="AD12" i="22" s="1"/>
  <c r="E38" i="2"/>
  <c r="G38" i="2" s="1"/>
  <c r="I38" i="2" s="1"/>
  <c r="E43" i="2"/>
  <c r="G43" i="2" s="1"/>
  <c r="I43" i="2" s="1"/>
  <c r="E34" i="2"/>
  <c r="G34" i="2" s="1"/>
  <c r="I34" i="2" s="1"/>
  <c r="E55" i="2"/>
  <c r="G55" i="2" s="1"/>
  <c r="I55" i="2" s="1"/>
  <c r="E36" i="2"/>
  <c r="G36" i="2" s="1"/>
  <c r="I36" i="2" s="1"/>
  <c r="Z7" i="22"/>
  <c r="Q56" i="1"/>
  <c r="M56" i="1" s="1"/>
  <c r="M181" i="1" s="1"/>
  <c r="O181" i="1" s="1"/>
  <c r="M182" i="1"/>
  <c r="O182" i="1" s="1"/>
  <c r="J31" i="2"/>
  <c r="AD16" i="2" s="1"/>
  <c r="E39" i="2"/>
  <c r="G39" i="2" s="1"/>
  <c r="I39" i="2" s="1"/>
  <c r="E35" i="2"/>
  <c r="G35" i="2" s="1"/>
  <c r="I35" i="2" s="1"/>
  <c r="E30" i="2"/>
  <c r="G30" i="2" s="1"/>
  <c r="I30" i="2" s="1"/>
  <c r="J31" i="22"/>
  <c r="AD16" i="22" s="1"/>
  <c r="E32" i="2"/>
  <c r="G32" i="2" s="1"/>
  <c r="I32" i="2" s="1"/>
  <c r="H56" i="1"/>
  <c r="H181" i="1" s="1"/>
  <c r="J181" i="1" s="1"/>
  <c r="E6" i="2"/>
  <c r="E47" i="2"/>
  <c r="G47" i="2" s="1"/>
  <c r="I47" i="2" s="1"/>
  <c r="O7" i="22"/>
  <c r="R45" i="22"/>
  <c r="O6" i="22"/>
  <c r="E14" i="2"/>
  <c r="G14" i="2" s="1"/>
  <c r="I14" i="2" s="1"/>
  <c r="E52" i="2"/>
  <c r="G52" i="2" s="1"/>
  <c r="I52" i="2" s="1"/>
  <c r="E25" i="2"/>
  <c r="G25" i="2" s="1"/>
  <c r="I25" i="2" s="1"/>
  <c r="E33" i="2"/>
  <c r="G33" i="2" s="1"/>
  <c r="I33" i="2" s="1"/>
  <c r="E41" i="2"/>
  <c r="G41" i="2" s="1"/>
  <c r="I41" i="2" s="1"/>
  <c r="O57" i="1"/>
  <c r="E49" i="2"/>
  <c r="G49" i="2" s="1"/>
  <c r="I49" i="2" s="1"/>
  <c r="O19" i="22"/>
  <c r="D42" i="20"/>
  <c r="J37" i="22"/>
  <c r="AD17" i="22" s="1"/>
  <c r="AC34" i="22"/>
  <c r="E21" i="2"/>
  <c r="E56" i="2"/>
  <c r="G56" i="2" s="1"/>
  <c r="I56" i="2" s="1"/>
  <c r="E15" i="2"/>
  <c r="G15" i="2" s="1"/>
  <c r="I15" i="2" s="1"/>
  <c r="E44" i="2"/>
  <c r="G44" i="2" s="1"/>
  <c r="I44" i="2" s="1"/>
  <c r="M115" i="17"/>
  <c r="M114" i="17" s="1"/>
  <c r="P340" i="17"/>
  <c r="L211" i="17"/>
  <c r="N211" i="17" s="1"/>
  <c r="M331" i="17"/>
  <c r="N115" i="17"/>
  <c r="N114" i="17" s="1"/>
  <c r="G6" i="6"/>
  <c r="I9" i="6"/>
  <c r="F35" i="6"/>
  <c r="I10" i="6"/>
  <c r="O10" i="6" s="1"/>
  <c r="G19" i="6"/>
  <c r="G25" i="6"/>
  <c r="G21" i="6"/>
  <c r="I8" i="6"/>
  <c r="O8" i="6" s="1"/>
  <c r="Z7" i="6"/>
  <c r="R7" i="6" s="1"/>
  <c r="G12" i="6"/>
  <c r="I26" i="6"/>
  <c r="O26" i="6" s="1"/>
  <c r="F33" i="6"/>
  <c r="G11" i="6"/>
  <c r="G90" i="17"/>
  <c r="G89" i="17" s="1"/>
  <c r="H326" i="17" s="1"/>
  <c r="H501" i="17" s="1"/>
  <c r="I6" i="6"/>
  <c r="O6" i="6" s="1"/>
  <c r="I19" i="6"/>
  <c r="O19" i="6" s="1"/>
  <c r="F29" i="6"/>
  <c r="I11" i="6"/>
  <c r="O11" i="6" s="1"/>
  <c r="G20" i="6"/>
  <c r="AA7" i="6"/>
  <c r="S7" i="6" s="1"/>
  <c r="F18" i="6"/>
  <c r="G26" i="6"/>
  <c r="I18" i="6"/>
  <c r="O18" i="6" s="1"/>
  <c r="I16" i="6"/>
  <c r="O16" i="6" s="1"/>
  <c r="F23" i="6"/>
  <c r="AA8" i="6"/>
  <c r="S8" i="6" s="1"/>
  <c r="G17" i="6"/>
  <c r="R59" i="34"/>
  <c r="I30" i="6"/>
  <c r="O30" i="6" s="1"/>
  <c r="F36" i="6"/>
  <c r="F12" i="6"/>
  <c r="I37" i="6"/>
  <c r="O37" i="6" s="1"/>
  <c r="F3" i="6"/>
  <c r="G32" i="6"/>
  <c r="I22" i="6"/>
  <c r="O22" i="6" s="1"/>
  <c r="G22" i="6"/>
  <c r="G24" i="6"/>
  <c r="I27" i="6"/>
  <c r="O27" i="6" s="1"/>
  <c r="I28" i="6"/>
  <c r="O28" i="6" s="1"/>
  <c r="F17" i="6"/>
  <c r="G27" i="6"/>
  <c r="AJ73" i="16"/>
  <c r="AJ69" i="16"/>
  <c r="F11" i="6"/>
  <c r="I36" i="6"/>
  <c r="O36" i="6" s="1"/>
  <c r="I15" i="6"/>
  <c r="O15" i="6" s="1"/>
  <c r="I17" i="6"/>
  <c r="O17" i="6" s="1"/>
  <c r="G23" i="6"/>
  <c r="G15" i="6"/>
  <c r="F37" i="6"/>
  <c r="I38" i="6"/>
  <c r="O38" i="6" s="1"/>
  <c r="I12" i="6"/>
  <c r="O12" i="6" s="1"/>
  <c r="G14" i="6"/>
  <c r="I31" i="6"/>
  <c r="O31" i="6" s="1"/>
  <c r="G16" i="6"/>
  <c r="G29" i="6"/>
  <c r="J25" i="41"/>
  <c r="L25" i="41" s="1"/>
  <c r="C7" i="45"/>
  <c r="E7" i="45" s="1"/>
  <c r="E11" i="45"/>
  <c r="I21" i="6"/>
  <c r="O21" i="6" s="1"/>
  <c r="I24" i="6"/>
  <c r="O24" i="6" s="1"/>
  <c r="F15" i="6"/>
  <c r="F16" i="6"/>
  <c r="F13" i="6"/>
  <c r="F5" i="6"/>
  <c r="F22" i="6"/>
  <c r="I32" i="6"/>
  <c r="O32" i="6" s="1"/>
  <c r="F21" i="6"/>
  <c r="F19" i="6"/>
  <c r="I23" i="6"/>
  <c r="O23" i="6" s="1"/>
  <c r="I34" i="6"/>
  <c r="O34" i="6" s="1"/>
  <c r="G33" i="6"/>
  <c r="AP62" i="27"/>
  <c r="AP59" i="27"/>
  <c r="K69" i="16"/>
  <c r="K73" i="16"/>
  <c r="AQ53" i="34"/>
  <c r="F263" i="17"/>
  <c r="I263" i="17" s="1"/>
  <c r="I29" i="6"/>
  <c r="O29" i="6" s="1"/>
  <c r="F28" i="6"/>
  <c r="H28" i="6" s="1"/>
  <c r="N28" i="6" s="1"/>
  <c r="F27" i="6"/>
  <c r="F6" i="6"/>
  <c r="G18" i="6"/>
  <c r="F10" i="6"/>
  <c r="G34" i="6"/>
  <c r="G35" i="6"/>
  <c r="F7" i="6"/>
  <c r="H7" i="6" s="1"/>
  <c r="N7" i="6" s="1"/>
  <c r="I7" i="6"/>
  <c r="O7" i="6" s="1"/>
  <c r="F8" i="6"/>
  <c r="H8" i="6" s="1"/>
  <c r="N8" i="6" s="1"/>
  <c r="F26" i="6"/>
  <c r="F30" i="6"/>
  <c r="M8" i="20"/>
  <c r="L8" i="20" s="1"/>
  <c r="I84" i="15"/>
  <c r="C18" i="24" s="1"/>
  <c r="I18" i="24" s="1"/>
  <c r="E84" i="15"/>
  <c r="C16" i="24" s="1"/>
  <c r="F34" i="6"/>
  <c r="G38" i="6"/>
  <c r="G10" i="6"/>
  <c r="G30" i="6"/>
  <c r="G9" i="6"/>
  <c r="G5" i="6"/>
  <c r="Z8" i="6"/>
  <c r="R8" i="6" s="1"/>
  <c r="F20" i="6"/>
  <c r="G31" i="6"/>
  <c r="F9" i="6"/>
  <c r="F38" i="6"/>
  <c r="F25" i="6"/>
  <c r="G58" i="24"/>
  <c r="CL106" i="15"/>
  <c r="F126" i="21"/>
  <c r="H126" i="21" s="1"/>
  <c r="F136" i="21"/>
  <c r="H136" i="21" s="1"/>
  <c r="D96" i="17"/>
  <c r="E327" i="17" s="1"/>
  <c r="AS37" i="17"/>
  <c r="AU37" i="17" s="1"/>
  <c r="P379" i="17"/>
  <c r="F144" i="21"/>
  <c r="H144" i="21" s="1"/>
  <c r="F119" i="21"/>
  <c r="H119" i="21" s="1"/>
  <c r="F135" i="21"/>
  <c r="H135" i="21" s="1"/>
  <c r="R311" i="17"/>
  <c r="M6" i="20"/>
  <c r="V7" i="14"/>
  <c r="BG37" i="17"/>
  <c r="BE34" i="17"/>
  <c r="M128" i="17"/>
  <c r="BH37" i="17"/>
  <c r="H173" i="17"/>
  <c r="BH36" i="17"/>
  <c r="BF36" i="17"/>
  <c r="O55" i="35"/>
  <c r="O51" i="35"/>
  <c r="BC104" i="15"/>
  <c r="F41" i="24"/>
  <c r="I41" i="24" s="1"/>
  <c r="BH38" i="17"/>
  <c r="F145" i="21"/>
  <c r="H145" i="21" s="1"/>
  <c r="F184" i="1"/>
  <c r="F62" i="1"/>
  <c r="BE37" i="17"/>
  <c r="K20" i="29"/>
  <c r="K27" i="29"/>
  <c r="K6" i="29"/>
  <c r="K17" i="29"/>
  <c r="K19" i="29"/>
  <c r="K29" i="29"/>
  <c r="K9" i="29"/>
  <c r="K11" i="29"/>
  <c r="K16" i="29"/>
  <c r="K26" i="29"/>
  <c r="K8" i="29"/>
  <c r="K21" i="29"/>
  <c r="K28" i="29"/>
  <c r="K23" i="29"/>
  <c r="K7" i="29"/>
  <c r="K15" i="29"/>
  <c r="K33" i="29"/>
  <c r="K22" i="29"/>
  <c r="K13" i="29"/>
  <c r="K12" i="29"/>
  <c r="K18" i="29"/>
  <c r="K5" i="29"/>
  <c r="K25" i="29"/>
  <c r="K31" i="29"/>
  <c r="K10" i="29"/>
  <c r="K30" i="29"/>
  <c r="K24" i="29"/>
  <c r="K34" i="29"/>
  <c r="K32" i="29"/>
  <c r="K14" i="29"/>
  <c r="K4" i="29"/>
  <c r="K35" i="29"/>
  <c r="BF37" i="17"/>
  <c r="F123" i="21"/>
  <c r="H123" i="21" s="1"/>
  <c r="E62" i="1"/>
  <c r="E184" i="1"/>
  <c r="K184" i="1" s="1"/>
  <c r="K63" i="1"/>
  <c r="V63" i="1" s="1"/>
  <c r="AS69" i="27"/>
  <c r="AS76" i="27" s="1"/>
  <c r="AS90" i="27" s="1"/>
  <c r="AS70" i="27"/>
  <c r="AS77" i="27" s="1"/>
  <c r="AS91" i="27" s="1"/>
  <c r="AS66" i="27"/>
  <c r="AS73" i="27" s="1"/>
  <c r="AS87" i="27" s="1"/>
  <c r="AS67" i="27"/>
  <c r="AS88" i="27" s="1"/>
  <c r="AS68" i="27"/>
  <c r="AS75" i="27" s="1"/>
  <c r="AS89" i="27" s="1"/>
  <c r="BG34" i="17"/>
  <c r="D170" i="17"/>
  <c r="I128" i="17"/>
  <c r="P128" i="17" s="1"/>
  <c r="F132" i="21"/>
  <c r="F67" i="21" s="1"/>
  <c r="I55" i="35"/>
  <c r="I51" i="35"/>
  <c r="AG60" i="27"/>
  <c r="AG69" i="27"/>
  <c r="AG67" i="27"/>
  <c r="AG66" i="27"/>
  <c r="AG68" i="27"/>
  <c r="BG35" i="17"/>
  <c r="BE35" i="17"/>
  <c r="BG38" i="17"/>
  <c r="BF34" i="17"/>
  <c r="BE36" i="17"/>
  <c r="AJ68" i="27"/>
  <c r="AJ62" i="27"/>
  <c r="BG36" i="17"/>
  <c r="BH34" i="17"/>
  <c r="BH35" i="17"/>
  <c r="F95" i="21"/>
  <c r="H95" i="21" s="1"/>
  <c r="F108" i="21"/>
  <c r="H108" i="21" s="1"/>
  <c r="S57" i="1"/>
  <c r="BF35" i="17"/>
  <c r="BE38" i="17"/>
  <c r="AX8" i="19"/>
  <c r="AR42" i="35"/>
  <c r="AJ8" i="18"/>
  <c r="Q358" i="17"/>
  <c r="P333" i="17"/>
  <c r="E96" i="17"/>
  <c r="F327" i="17" s="1"/>
  <c r="BQ8" i="14"/>
  <c r="BR8" i="14"/>
  <c r="N110" i="1"/>
  <c r="P74" i="1"/>
  <c r="R379" i="17"/>
  <c r="J57" i="1"/>
  <c r="U57" i="1" s="1"/>
  <c r="H120" i="17"/>
  <c r="J120" i="17" s="1"/>
  <c r="AO66" i="27"/>
  <c r="AO61" i="27"/>
  <c r="AO68" i="27"/>
  <c r="AO59" i="27"/>
  <c r="AO63" i="27"/>
  <c r="AO60" i="27"/>
  <c r="AO69" i="27"/>
  <c r="AO70" i="27"/>
  <c r="AO62" i="27"/>
  <c r="AO67" i="27"/>
  <c r="I73" i="16"/>
  <c r="I69" i="16"/>
  <c r="J40" i="16"/>
  <c r="J28" i="8"/>
  <c r="AB70" i="27"/>
  <c r="F44" i="1"/>
  <c r="F101" i="1"/>
  <c r="Q73" i="16"/>
  <c r="Q69" i="16"/>
  <c r="H12" i="17"/>
  <c r="G4" i="32"/>
  <c r="BP46" i="17"/>
  <c r="AA54" i="17" s="1"/>
  <c r="AB54" i="17" s="1"/>
  <c r="AD54" i="17" s="1"/>
  <c r="B5" i="6"/>
  <c r="G55" i="35"/>
  <c r="G51" i="35"/>
  <c r="R69" i="16"/>
  <c r="R73" i="16"/>
  <c r="BW104" i="15"/>
  <c r="F51" i="24"/>
  <c r="I51" i="24" s="1"/>
  <c r="AH13" i="14"/>
  <c r="AF19" i="14"/>
  <c r="G9" i="32"/>
  <c r="I9" i="32" s="1"/>
  <c r="H15" i="17"/>
  <c r="E354" i="17"/>
  <c r="J39" i="24"/>
  <c r="O137" i="16"/>
  <c r="BH104" i="15"/>
  <c r="G43" i="24"/>
  <c r="H134" i="17"/>
  <c r="L16" i="23"/>
  <c r="L18" i="23" s="1"/>
  <c r="Y83" i="15"/>
  <c r="F26" i="24" s="1"/>
  <c r="H26" i="24" s="1"/>
  <c r="AM73" i="16"/>
  <c r="AM69" i="16"/>
  <c r="AM136" i="16" s="1"/>
  <c r="AL19" i="14"/>
  <c r="BH13" i="14"/>
  <c r="AV13" i="14"/>
  <c r="BN13" i="14"/>
  <c r="AP13" i="14"/>
  <c r="AM13" i="14"/>
  <c r="BB13" i="14"/>
  <c r="BK13" i="14"/>
  <c r="AS13" i="14"/>
  <c r="BW13" i="14"/>
  <c r="BE13" i="14"/>
  <c r="BQ13" i="14"/>
  <c r="BT13" i="14"/>
  <c r="AY13" i="14"/>
  <c r="AQ13" i="14"/>
  <c r="AF2" i="14"/>
  <c r="AG2" i="14" s="1"/>
  <c r="AG7" i="14"/>
  <c r="G22" i="24"/>
  <c r="R84" i="15"/>
  <c r="D22" i="24" s="1"/>
  <c r="AI52" i="34"/>
  <c r="O162" i="1"/>
  <c r="P162" i="1" s="1"/>
  <c r="AE84" i="15"/>
  <c r="C29" i="24" s="1"/>
  <c r="I29" i="24" s="1"/>
  <c r="I8" i="14"/>
  <c r="M8" i="14"/>
  <c r="J8" i="14"/>
  <c r="CF104" i="15"/>
  <c r="CF106" i="15" s="1"/>
  <c r="G55" i="24"/>
  <c r="R5" i="28"/>
  <c r="AZ46" i="17"/>
  <c r="S56" i="17" s="1"/>
  <c r="K211" i="17"/>
  <c r="H212" i="17"/>
  <c r="P378" i="17"/>
  <c r="BA46" i="17"/>
  <c r="S57" i="17" s="1"/>
  <c r="V57" i="17" s="1"/>
  <c r="W57" i="17" s="1"/>
  <c r="G237" i="17"/>
  <c r="K237" i="17" s="1"/>
  <c r="B234" i="17" s="1"/>
  <c r="I211" i="17"/>
  <c r="Z52" i="34"/>
  <c r="N23" i="36" s="1"/>
  <c r="Z59" i="34"/>
  <c r="CA104" i="15"/>
  <c r="CA106" i="15" s="1"/>
  <c r="F53" i="24"/>
  <c r="BM104" i="15"/>
  <c r="F46" i="24"/>
  <c r="P28" i="26"/>
  <c r="D6" i="26"/>
  <c r="D3" i="26" s="1"/>
  <c r="D24" i="26" s="1"/>
  <c r="D25" i="26" s="1"/>
  <c r="BA6" i="18"/>
  <c r="BA5" i="18" s="1"/>
  <c r="G213" i="17"/>
  <c r="I213" i="17" s="1"/>
  <c r="F77" i="21"/>
  <c r="H77" i="21" s="1"/>
  <c r="F178" i="21"/>
  <c r="K55" i="35"/>
  <c r="K51" i="35"/>
  <c r="E53" i="24"/>
  <c r="AK53" i="34"/>
  <c r="C20" i="20"/>
  <c r="L134" i="17"/>
  <c r="I40" i="23" s="1"/>
  <c r="I210" i="17"/>
  <c r="F93" i="21"/>
  <c r="H93" i="21" s="1"/>
  <c r="AW123" i="16"/>
  <c r="AW128" i="16" s="1"/>
  <c r="AW137" i="16" s="1"/>
  <c r="AU140" i="16"/>
  <c r="Y70" i="27"/>
  <c r="Y62" i="27"/>
  <c r="Y69" i="27"/>
  <c r="Y59" i="27"/>
  <c r="Y60" i="27"/>
  <c r="Y67" i="27"/>
  <c r="Y63" i="27"/>
  <c r="Y68" i="27"/>
  <c r="Y66" i="27"/>
  <c r="Y61" i="27"/>
  <c r="AW59" i="34"/>
  <c r="AW52" i="34"/>
  <c r="AF53" i="34"/>
  <c r="H13" i="36"/>
  <c r="G59" i="24"/>
  <c r="CN106" i="15"/>
  <c r="F87" i="21"/>
  <c r="F55" i="21" s="1"/>
  <c r="F105" i="21"/>
  <c r="H105" i="21" s="1"/>
  <c r="D73" i="16"/>
  <c r="D69" i="16"/>
  <c r="Z61" i="27"/>
  <c r="Z69" i="27"/>
  <c r="H24" i="45"/>
  <c r="F11" i="45"/>
  <c r="G69" i="16"/>
  <c r="G73" i="16"/>
  <c r="K14" i="41"/>
  <c r="K8" i="44"/>
  <c r="AV84" i="15"/>
  <c r="D37" i="24" s="1"/>
  <c r="AY53" i="34"/>
  <c r="S69" i="16"/>
  <c r="S73" i="16"/>
  <c r="H258" i="17"/>
  <c r="F129" i="21"/>
  <c r="F121" i="21"/>
  <c r="H121" i="21" s="1"/>
  <c r="F177" i="21"/>
  <c r="AA8" i="14"/>
  <c r="AE8" i="14"/>
  <c r="AB8" i="14"/>
  <c r="AS2" i="14"/>
  <c r="AV2" i="14"/>
  <c r="AM2" i="14"/>
  <c r="BE2" i="14"/>
  <c r="BQ2" i="14"/>
  <c r="AY2" i="14"/>
  <c r="AC137" i="16"/>
  <c r="AC124" i="16"/>
  <c r="BY109" i="15"/>
  <c r="BY110" i="15" s="1"/>
  <c r="BY107" i="15"/>
  <c r="N48" i="1"/>
  <c r="F47" i="1"/>
  <c r="BT104" i="15"/>
  <c r="G49" i="24"/>
  <c r="AE63" i="27"/>
  <c r="AE60" i="27"/>
  <c r="AE62" i="27"/>
  <c r="AE59" i="27"/>
  <c r="AE66" i="27"/>
  <c r="AE61" i="27"/>
  <c r="AE70" i="27"/>
  <c r="AE69" i="27"/>
  <c r="AE68" i="27"/>
  <c r="AE67" i="27"/>
  <c r="F13" i="25"/>
  <c r="F5" i="25"/>
  <c r="BJ46" i="17"/>
  <c r="AA53" i="17" s="1"/>
  <c r="AB53" i="17" s="1"/>
  <c r="AD53" i="17" s="1"/>
  <c r="Q330" i="17"/>
  <c r="F139" i="21"/>
  <c r="F104" i="21"/>
  <c r="F63" i="21" s="1"/>
  <c r="F100" i="21"/>
  <c r="I16" i="23"/>
  <c r="O343" i="17"/>
  <c r="K256" i="17"/>
  <c r="H256" i="17"/>
  <c r="D253" i="17"/>
  <c r="D278" i="17" s="1"/>
  <c r="L344" i="17"/>
  <c r="K344" i="17"/>
  <c r="L332" i="17"/>
  <c r="Q332" i="17" s="1"/>
  <c r="BO46" i="17"/>
  <c r="BR46" i="17"/>
  <c r="BG13" i="18"/>
  <c r="F161" i="21"/>
  <c r="H161" i="21" s="1"/>
  <c r="AJ2" i="14"/>
  <c r="AN2" i="14"/>
  <c r="N161" i="1"/>
  <c r="B167" i="1" s="1"/>
  <c r="K109" i="1"/>
  <c r="V73" i="1"/>
  <c r="S64" i="1"/>
  <c r="K67" i="1"/>
  <c r="S74" i="1"/>
  <c r="H62" i="1"/>
  <c r="G54" i="4"/>
  <c r="F54" i="4" s="1"/>
  <c r="U74" i="1"/>
  <c r="H110" i="1"/>
  <c r="E86" i="4"/>
  <c r="L179" i="1"/>
  <c r="S90" i="1"/>
  <c r="J38" i="1"/>
  <c r="U38" i="1" s="1"/>
  <c r="D6" i="1"/>
  <c r="G6" i="1" s="1"/>
  <c r="I177" i="1"/>
  <c r="L177" i="1" s="1"/>
  <c r="S77" i="1"/>
  <c r="I98" i="1"/>
  <c r="T37" i="22"/>
  <c r="U37" i="22" s="1"/>
  <c r="S38" i="22"/>
  <c r="J86" i="1"/>
  <c r="U86" i="1" s="1"/>
  <c r="O375" i="17"/>
  <c r="L375" i="17"/>
  <c r="C19" i="5"/>
  <c r="C13" i="5"/>
  <c r="G13" i="5" s="1"/>
  <c r="R15" i="5" s="1"/>
  <c r="C29" i="5"/>
  <c r="C3" i="5"/>
  <c r="Q3" i="5" s="1"/>
  <c r="H196" i="1"/>
  <c r="J196" i="1" s="1"/>
  <c r="U196" i="1" s="1"/>
  <c r="L163" i="1"/>
  <c r="M163" i="1" s="1"/>
  <c r="H53" i="1"/>
  <c r="J68" i="1"/>
  <c r="U68" i="1" s="1"/>
  <c r="S68" i="1"/>
  <c r="H67" i="1"/>
  <c r="S70" i="1"/>
  <c r="J37" i="1"/>
  <c r="U37" i="1" s="1"/>
  <c r="S37" i="1"/>
  <c r="J46" i="1"/>
  <c r="U46" i="1" s="1"/>
  <c r="S46" i="1"/>
  <c r="J78" i="1"/>
  <c r="U78" i="1" s="1"/>
  <c r="H83" i="1"/>
  <c r="S63" i="1"/>
  <c r="J63" i="1"/>
  <c r="U63" i="1" s="1"/>
  <c r="H184" i="1"/>
  <c r="J184" i="1" s="1"/>
  <c r="J40" i="1"/>
  <c r="U40" i="1" s="1"/>
  <c r="H39" i="1"/>
  <c r="J39" i="1" s="1"/>
  <c r="U39" i="1" s="1"/>
  <c r="H91" i="1"/>
  <c r="J87" i="1"/>
  <c r="U87" i="1" s="1"/>
  <c r="S87" i="1"/>
  <c r="E185" i="1"/>
  <c r="K185" i="1" s="1"/>
  <c r="K72" i="1"/>
  <c r="E108" i="1"/>
  <c r="H47" i="1"/>
  <c r="J48" i="1"/>
  <c r="U48" i="1" s="1"/>
  <c r="S48" i="1"/>
  <c r="H59" i="1"/>
  <c r="J60" i="1"/>
  <c r="U60" i="1" s="1"/>
  <c r="S60" i="1"/>
  <c r="S55" i="1"/>
  <c r="H92" i="1"/>
  <c r="J88" i="1"/>
  <c r="U88" i="1" s="1"/>
  <c r="J84" i="1"/>
  <c r="U84" i="1" s="1"/>
  <c r="H79" i="1"/>
  <c r="J79" i="1" s="1"/>
  <c r="F185" i="1"/>
  <c r="N185" i="1" s="1"/>
  <c r="F108" i="1"/>
  <c r="N72" i="1"/>
  <c r="H102" i="1"/>
  <c r="J52" i="1"/>
  <c r="S52" i="1"/>
  <c r="J35" i="1"/>
  <c r="U35" i="1" s="1"/>
  <c r="S35" i="1"/>
  <c r="H109" i="1"/>
  <c r="J73" i="1"/>
  <c r="H72" i="1"/>
  <c r="J49" i="1"/>
  <c r="U49" i="1" s="1"/>
  <c r="S49" i="1"/>
  <c r="M84" i="1"/>
  <c r="Q79" i="1"/>
  <c r="M79" i="1" s="1"/>
  <c r="J69" i="1"/>
  <c r="U69" i="1" s="1"/>
  <c r="S69" i="1"/>
  <c r="H193" i="1"/>
  <c r="J193" i="1" s="1"/>
  <c r="U193" i="1" s="1"/>
  <c r="L158" i="1"/>
  <c r="M158" i="1" s="1"/>
  <c r="H161" i="1"/>
  <c r="O195" i="1"/>
  <c r="N195" i="1"/>
  <c r="J61" i="1"/>
  <c r="U61" i="1" s="1"/>
  <c r="S61" i="1"/>
  <c r="J50" i="1"/>
  <c r="U50" i="1" s="1"/>
  <c r="S50" i="1"/>
  <c r="J43" i="1"/>
  <c r="S43" i="1"/>
  <c r="H42" i="1"/>
  <c r="H101" i="1"/>
  <c r="S38" i="1"/>
  <c r="J82" i="1"/>
  <c r="U82" i="1" s="1"/>
  <c r="S82" i="1"/>
  <c r="J44" i="1"/>
  <c r="U44" i="1" s="1"/>
  <c r="S44" i="1"/>
  <c r="H97" i="1"/>
  <c r="H118" i="1" s="1"/>
  <c r="H156" i="1" s="1"/>
  <c r="H176" i="1"/>
  <c r="C33" i="5"/>
  <c r="M187" i="1"/>
  <c r="M113" i="1"/>
  <c r="O85" i="1"/>
  <c r="O113" i="1" s="1"/>
  <c r="N85" i="1"/>
  <c r="H85" i="1"/>
  <c r="S85" i="1" s="1"/>
  <c r="M71" i="1"/>
  <c r="Q67" i="1"/>
  <c r="M67" i="1" s="1"/>
  <c r="L159" i="1"/>
  <c r="M159" i="1" s="1"/>
  <c r="H194" i="1"/>
  <c r="J194" i="1" s="1"/>
  <c r="U194" i="1" s="1"/>
  <c r="BJ26" i="18"/>
  <c r="X143" i="16"/>
  <c r="F130" i="21"/>
  <c r="H130" i="21" s="1"/>
  <c r="F156" i="21"/>
  <c r="F8" i="21"/>
  <c r="T8" i="21" s="1"/>
  <c r="BI8" i="14"/>
  <c r="J361" i="17"/>
  <c r="H358" i="17"/>
  <c r="J358" i="17" s="1"/>
  <c r="S358" i="17" s="1"/>
  <c r="G62" i="24"/>
  <c r="CT106" i="15"/>
  <c r="BN46" i="17"/>
  <c r="BD104" i="15"/>
  <c r="G41" i="24"/>
  <c r="AX53" i="34"/>
  <c r="AX52" i="34"/>
  <c r="W52" i="34"/>
  <c r="K23" i="36" s="1"/>
  <c r="C59" i="34"/>
  <c r="BF8" i="14"/>
  <c r="BQ46" i="17"/>
  <c r="AA55" i="17" s="1"/>
  <c r="AB55" i="17" s="1"/>
  <c r="AD55" i="17" s="1"/>
  <c r="AO38" i="17"/>
  <c r="D9" i="23"/>
  <c r="H25" i="8"/>
  <c r="H35" i="16"/>
  <c r="S26" i="32"/>
  <c r="U34" i="32"/>
  <c r="S28" i="32"/>
  <c r="S27" i="32"/>
  <c r="U24" i="32"/>
  <c r="U40" i="32"/>
  <c r="S42" i="32"/>
  <c r="S22" i="32"/>
  <c r="S21" i="32"/>
  <c r="S9" i="32"/>
  <c r="U20" i="32"/>
  <c r="S19" i="32"/>
  <c r="S40" i="32"/>
  <c r="S10" i="32"/>
  <c r="S25" i="32"/>
  <c r="S15" i="32"/>
  <c r="U36" i="32"/>
  <c r="S36" i="32"/>
  <c r="U17" i="32"/>
  <c r="S11" i="32"/>
  <c r="S23" i="32"/>
  <c r="S13" i="32"/>
  <c r="S30" i="32"/>
  <c r="S14" i="32"/>
  <c r="B42" i="34"/>
  <c r="B52" i="34" s="1"/>
  <c r="U41" i="32"/>
  <c r="S34" i="32"/>
  <c r="U29" i="32"/>
  <c r="U21" i="32"/>
  <c r="U28" i="32"/>
  <c r="U12" i="32"/>
  <c r="U18" i="32"/>
  <c r="U23" i="32"/>
  <c r="S20" i="32"/>
  <c r="U11" i="32"/>
  <c r="U35" i="32"/>
  <c r="S18" i="32"/>
  <c r="S41" i="32"/>
  <c r="U25" i="32"/>
  <c r="S37" i="32"/>
  <c r="U19" i="32"/>
  <c r="S39" i="32"/>
  <c r="U39" i="32"/>
  <c r="U37" i="32"/>
  <c r="U38" i="32"/>
  <c r="S35" i="32"/>
  <c r="U27" i="32"/>
  <c r="S16" i="32"/>
  <c r="U30" i="32"/>
  <c r="S17" i="32"/>
  <c r="S38" i="32"/>
  <c r="S31" i="32"/>
  <c r="U16" i="32"/>
  <c r="U22" i="32"/>
  <c r="S24" i="32"/>
  <c r="U15" i="32"/>
  <c r="U26" i="32"/>
  <c r="S29" i="32"/>
  <c r="U14" i="32"/>
  <c r="S12" i="32"/>
  <c r="U42" i="32"/>
  <c r="U31" i="32"/>
  <c r="U13" i="32"/>
  <c r="CP106" i="15"/>
  <c r="G60" i="24"/>
  <c r="M96" i="17"/>
  <c r="U20" i="8"/>
  <c r="U32" i="16"/>
  <c r="AV53" i="34"/>
  <c r="AV52" i="34"/>
  <c r="P21" i="2"/>
  <c r="E32" i="23"/>
  <c r="D6" i="32"/>
  <c r="C55" i="17"/>
  <c r="BE46" i="17"/>
  <c r="R56" i="17" s="1"/>
  <c r="T56" i="17" s="1"/>
  <c r="H41" i="16"/>
  <c r="G18" i="36"/>
  <c r="AE52" i="34"/>
  <c r="X45" i="16"/>
  <c r="W48" i="16"/>
  <c r="H32" i="23"/>
  <c r="J55" i="17"/>
  <c r="AC53" i="34"/>
  <c r="E13" i="36"/>
  <c r="E14" i="17"/>
  <c r="D5" i="32"/>
  <c r="F122" i="1"/>
  <c r="D51" i="21"/>
  <c r="D82" i="21" s="1"/>
  <c r="BI10" i="18"/>
  <c r="BJ99" i="18" s="1"/>
  <c r="BK46" i="17"/>
  <c r="O341" i="17"/>
  <c r="N341" i="17"/>
  <c r="K343" i="17"/>
  <c r="J343" i="17"/>
  <c r="I342" i="17"/>
  <c r="L343" i="17"/>
  <c r="F181" i="21"/>
  <c r="F3" i="32"/>
  <c r="F8" i="32"/>
  <c r="J8" i="32" s="1"/>
  <c r="F9" i="32"/>
  <c r="F4" i="32"/>
  <c r="F25" i="32"/>
  <c r="J25" i="32" s="1"/>
  <c r="F5" i="32"/>
  <c r="F97" i="21"/>
  <c r="H97" i="21" s="1"/>
  <c r="F109" i="21"/>
  <c r="H109" i="21" s="1"/>
  <c r="F169" i="21"/>
  <c r="H351" i="17"/>
  <c r="H167" i="17"/>
  <c r="H356" i="17"/>
  <c r="F94" i="21"/>
  <c r="H94" i="21" s="1"/>
  <c r="F118" i="21"/>
  <c r="F141" i="21"/>
  <c r="H141" i="21" s="1"/>
  <c r="BS46" i="17"/>
  <c r="R306" i="17"/>
  <c r="S306" i="17" s="1"/>
  <c r="K306" i="17"/>
  <c r="L306" i="17" s="1"/>
  <c r="L307" i="17" s="1"/>
  <c r="BI9" i="19"/>
  <c r="BG10" i="19"/>
  <c r="BI10" i="19" s="1"/>
  <c r="AJ14" i="13"/>
  <c r="AI6" i="13"/>
  <c r="AJ6" i="13"/>
  <c r="J37" i="17"/>
  <c r="E37" i="17"/>
  <c r="K37" i="17" s="1"/>
  <c r="M37" i="17" s="1"/>
  <c r="K132" i="17"/>
  <c r="G128" i="17"/>
  <c r="F8" i="20" s="1"/>
  <c r="I8" i="20" s="1"/>
  <c r="H8" i="20" s="1"/>
  <c r="G196" i="17"/>
  <c r="G216" i="17" s="1"/>
  <c r="E304" i="17"/>
  <c r="G74" i="17"/>
  <c r="F235" i="17" s="1"/>
  <c r="F252" i="17" s="1"/>
  <c r="H283" i="17"/>
  <c r="H325" i="17"/>
  <c r="H514" i="17" s="1"/>
  <c r="F140" i="21"/>
  <c r="H363" i="17"/>
  <c r="K377" i="17"/>
  <c r="T377" i="17" s="1"/>
  <c r="J377" i="17"/>
  <c r="S377" i="17" s="1"/>
  <c r="I34" i="17"/>
  <c r="E34" i="17"/>
  <c r="K34" i="17" s="1"/>
  <c r="M34" i="17" s="1"/>
  <c r="K248" i="17"/>
  <c r="F277" i="17"/>
  <c r="I277" i="17" s="1"/>
  <c r="K125" i="17"/>
  <c r="K123" i="17" s="1"/>
  <c r="G123" i="17"/>
  <c r="F7" i="20" s="1"/>
  <c r="I7" i="20" s="1"/>
  <c r="G135" i="17"/>
  <c r="H339" i="17"/>
  <c r="H518" i="17" s="1"/>
  <c r="F90" i="21"/>
  <c r="H90" i="21" s="1"/>
  <c r="J213" i="17"/>
  <c r="J214" i="17" s="1"/>
  <c r="AI12" i="13"/>
  <c r="AJ12" i="13"/>
  <c r="F98" i="21"/>
  <c r="H98" i="21" s="1"/>
  <c r="F7" i="21"/>
  <c r="I168" i="17"/>
  <c r="E169" i="17"/>
  <c r="I169" i="17" s="1"/>
  <c r="F237" i="17"/>
  <c r="J237" i="17" s="1"/>
  <c r="F86" i="21"/>
  <c r="F176" i="21"/>
  <c r="F80" i="21"/>
  <c r="H80" i="21" s="1"/>
  <c r="J81" i="17"/>
  <c r="F138" i="21"/>
  <c r="H138" i="21" s="1"/>
  <c r="Q333" i="17"/>
  <c r="AJ15" i="13"/>
  <c r="AI15" i="13"/>
  <c r="AK15" i="13"/>
  <c r="F111" i="21"/>
  <c r="H111" i="21" s="1"/>
  <c r="F120" i="21"/>
  <c r="H120" i="21" s="1"/>
  <c r="F91" i="21"/>
  <c r="H91" i="21" s="1"/>
  <c r="F125" i="21"/>
  <c r="O344" i="17"/>
  <c r="N344" i="17"/>
  <c r="P11" i="23"/>
  <c r="K11" i="23"/>
  <c r="Q11" i="23" s="1"/>
  <c r="F143" i="21"/>
  <c r="H335" i="17"/>
  <c r="G117" i="17"/>
  <c r="F6" i="20" s="1"/>
  <c r="I6" i="20" s="1"/>
  <c r="D174" i="17"/>
  <c r="H176" i="17"/>
  <c r="H174" i="17" s="1"/>
  <c r="F256" i="17"/>
  <c r="I256" i="17" s="1"/>
  <c r="K240" i="17"/>
  <c r="F4" i="20"/>
  <c r="H364" i="17"/>
  <c r="J364" i="17" s="1"/>
  <c r="S364" i="17" s="1"/>
  <c r="I17" i="17"/>
  <c r="C24" i="20"/>
  <c r="E24" i="20" s="1"/>
  <c r="F4" i="21"/>
  <c r="F45" i="21"/>
  <c r="H45" i="21" s="1"/>
  <c r="F137" i="21"/>
  <c r="H137" i="21" s="1"/>
  <c r="F107" i="21"/>
  <c r="H107" i="21" s="1"/>
  <c r="F101" i="21"/>
  <c r="H101" i="21" s="1"/>
  <c r="F89" i="21"/>
  <c r="F114" i="21"/>
  <c r="F112" i="21"/>
  <c r="F99" i="21"/>
  <c r="H99" i="21" s="1"/>
  <c r="F88" i="21"/>
  <c r="H88" i="21" s="1"/>
  <c r="H92" i="21"/>
  <c r="F180" i="21"/>
  <c r="F81" i="21"/>
  <c r="H81" i="21" s="1"/>
  <c r="F160" i="21"/>
  <c r="H160" i="21" s="1"/>
  <c r="F155" i="21"/>
  <c r="F146" i="21"/>
  <c r="F150" i="21"/>
  <c r="F151" i="21"/>
  <c r="F102" i="21"/>
  <c r="H102" i="21" s="1"/>
  <c r="F79" i="21"/>
  <c r="F142" i="21"/>
  <c r="F134" i="21"/>
  <c r="H134" i="21" s="1"/>
  <c r="F96" i="21"/>
  <c r="F103" i="21"/>
  <c r="H103" i="21" s="1"/>
  <c r="F106" i="21"/>
  <c r="H106" i="21" s="1"/>
  <c r="F117" i="21"/>
  <c r="H117" i="21" s="1"/>
  <c r="F113" i="21"/>
  <c r="H113" i="21" s="1"/>
  <c r="F133" i="21"/>
  <c r="H133" i="21" s="1"/>
  <c r="F149" i="21"/>
  <c r="H149" i="21" s="1"/>
  <c r="F167" i="21"/>
  <c r="F110" i="21"/>
  <c r="F170" i="21"/>
  <c r="K245" i="17"/>
  <c r="F261" i="17"/>
  <c r="I261" i="17" s="1"/>
  <c r="I178" i="17"/>
  <c r="E180" i="17"/>
  <c r="I180" i="17" s="1"/>
  <c r="D182" i="17"/>
  <c r="H357" i="17"/>
  <c r="J357" i="17" s="1"/>
  <c r="H168" i="17"/>
  <c r="H352" i="17"/>
  <c r="J352" i="17" s="1"/>
  <c r="F168" i="21"/>
  <c r="BH46" i="17"/>
  <c r="R54" i="17" s="1"/>
  <c r="I327" i="17"/>
  <c r="L327" i="17" s="1"/>
  <c r="J96" i="17"/>
  <c r="I96" i="17"/>
  <c r="H355" i="17"/>
  <c r="H166" i="17"/>
  <c r="H350" i="17"/>
  <c r="I175" i="17"/>
  <c r="I174" i="17" s="1"/>
  <c r="E174" i="17"/>
  <c r="F3" i="12"/>
  <c r="F19" i="12"/>
  <c r="H19" i="12" s="1"/>
  <c r="F116" i="21"/>
  <c r="I254" i="17"/>
  <c r="H375" i="17"/>
  <c r="J375" i="17" s="1"/>
  <c r="K77" i="17"/>
  <c r="L77" i="17" s="1"/>
  <c r="B71" i="17" s="1"/>
  <c r="I173" i="17"/>
  <c r="I170" i="17" s="1"/>
  <c r="E170" i="17"/>
  <c r="BL8" i="19"/>
  <c r="F147" i="21"/>
  <c r="F85" i="21"/>
  <c r="H31" i="14"/>
  <c r="BX8" i="14"/>
  <c r="I10" i="5"/>
  <c r="K85" i="1"/>
  <c r="E113" i="1"/>
  <c r="E187" i="1"/>
  <c r="K187" i="1" s="1"/>
  <c r="D30" i="5"/>
  <c r="H30" i="5" s="1"/>
  <c r="M114" i="1"/>
  <c r="N89" i="1"/>
  <c r="N114" i="1" s="1"/>
  <c r="O89" i="1"/>
  <c r="O114" i="1" s="1"/>
  <c r="N39" i="1"/>
  <c r="O39" i="1"/>
  <c r="D18" i="5"/>
  <c r="H18" i="5" s="1"/>
  <c r="E87" i="4"/>
  <c r="E99" i="4"/>
  <c r="E88" i="4" s="1"/>
  <c r="D40" i="5"/>
  <c r="H40" i="5" s="1"/>
  <c r="G40" i="5"/>
  <c r="K101" i="1"/>
  <c r="V43" i="1"/>
  <c r="E114" i="1"/>
  <c r="K89" i="1"/>
  <c r="AD36" i="17"/>
  <c r="BL46" i="17"/>
  <c r="I38" i="24"/>
  <c r="K38" i="24" s="1"/>
  <c r="E38" i="24"/>
  <c r="CD82" i="15"/>
  <c r="K163" i="17"/>
  <c r="G29" i="24"/>
  <c r="H29" i="24" s="1"/>
  <c r="AF84" i="15"/>
  <c r="D29" i="24" s="1"/>
  <c r="V52" i="1"/>
  <c r="K102" i="1"/>
  <c r="O346" i="17"/>
  <c r="Q346" i="17" s="1"/>
  <c r="N346" i="17"/>
  <c r="P346" i="17" s="1"/>
  <c r="I21" i="41"/>
  <c r="D21" i="41" s="1"/>
  <c r="J21" i="41"/>
  <c r="F54" i="1"/>
  <c r="E112" i="17"/>
  <c r="O69" i="16"/>
  <c r="O73" i="16"/>
  <c r="Q53" i="34"/>
  <c r="Q52" i="34"/>
  <c r="E23" i="36" s="1"/>
  <c r="T69" i="27"/>
  <c r="T66" i="27"/>
  <c r="T62" i="27"/>
  <c r="T63" i="27"/>
  <c r="T67" i="27"/>
  <c r="T59" i="27"/>
  <c r="T61" i="27"/>
  <c r="T60" i="27"/>
  <c r="T70" i="27"/>
  <c r="T68" i="27"/>
  <c r="H170" i="17"/>
  <c r="K121" i="17"/>
  <c r="I27" i="8"/>
  <c r="I38" i="16"/>
  <c r="L121" i="17"/>
  <c r="F196" i="1"/>
  <c r="N196" i="1" s="1"/>
  <c r="O163" i="1"/>
  <c r="I19" i="24"/>
  <c r="E19" i="24"/>
  <c r="AL84" i="15"/>
  <c r="D32" i="24" s="1"/>
  <c r="G32" i="24"/>
  <c r="I376" i="17"/>
  <c r="I80" i="17"/>
  <c r="J80" i="17" s="1"/>
  <c r="J101" i="17"/>
  <c r="I101" i="17"/>
  <c r="R347" i="17"/>
  <c r="P347" i="17"/>
  <c r="F182" i="1"/>
  <c r="F56" i="1"/>
  <c r="N57" i="1"/>
  <c r="L150" i="21"/>
  <c r="M150" i="21" s="1"/>
  <c r="Z21" i="2"/>
  <c r="BG29" i="18"/>
  <c r="H14" i="25"/>
  <c r="BM46" i="17"/>
  <c r="T68" i="16"/>
  <c r="T67" i="16"/>
  <c r="AQ162" i="9"/>
  <c r="L89" i="17" s="1"/>
  <c r="L90" i="17"/>
  <c r="Q34" i="1"/>
  <c r="H90" i="17"/>
  <c r="H34" i="1"/>
  <c r="O8" i="20"/>
  <c r="N8" i="20" s="1"/>
  <c r="F231" i="17"/>
  <c r="N229" i="17"/>
  <c r="K229" i="17"/>
  <c r="T52" i="34"/>
  <c r="H23" i="36" s="1"/>
  <c r="AT34" i="17"/>
  <c r="AV34" i="17" s="1"/>
  <c r="K49" i="1"/>
  <c r="V49" i="1" s="1"/>
  <c r="E47" i="1"/>
  <c r="K47" i="1" s="1"/>
  <c r="V47" i="1" s="1"/>
  <c r="K212" i="17"/>
  <c r="J212" i="17"/>
  <c r="I212" i="17"/>
  <c r="L365" i="17"/>
  <c r="K365" i="17"/>
  <c r="J365" i="17"/>
  <c r="L101" i="17"/>
  <c r="G101" i="17"/>
  <c r="K101" i="17" s="1"/>
  <c r="M80" i="17"/>
  <c r="AG8" i="14"/>
  <c r="AH8" i="14"/>
  <c r="AK8" i="14"/>
  <c r="N109" i="17"/>
  <c r="N108" i="17" s="1"/>
  <c r="J8" i="36"/>
  <c r="D34" i="5"/>
  <c r="H34" i="5" s="1"/>
  <c r="BJ36" i="18"/>
  <c r="V56" i="17"/>
  <c r="L6" i="20"/>
  <c r="O6" i="20"/>
  <c r="N6" i="20" s="1"/>
  <c r="K260" i="17"/>
  <c r="O81" i="17"/>
  <c r="B84" i="17" s="1"/>
  <c r="BC13" i="18"/>
  <c r="BK108" i="18" s="1"/>
  <c r="BC46" i="17"/>
  <c r="S54" i="17" s="1"/>
  <c r="R374" i="17"/>
  <c r="P374" i="17"/>
  <c r="N335" i="17"/>
  <c r="N123" i="17"/>
  <c r="R123" i="17"/>
  <c r="M342" i="17"/>
  <c r="P8" i="20" s="1"/>
  <c r="R8" i="20" s="1"/>
  <c r="N345" i="17"/>
  <c r="O345" i="17"/>
  <c r="O338" i="17"/>
  <c r="N338" i="17"/>
  <c r="M337" i="17"/>
  <c r="P7" i="20" s="1"/>
  <c r="R7" i="20" s="1"/>
  <c r="AD69" i="21"/>
  <c r="M69" i="21"/>
  <c r="O69" i="21"/>
  <c r="N69" i="21"/>
  <c r="BB46" i="17"/>
  <c r="S53" i="17" s="1"/>
  <c r="N117" i="17"/>
  <c r="R117" i="17"/>
  <c r="L335" i="17"/>
  <c r="I334" i="17"/>
  <c r="K335" i="17"/>
  <c r="K331" i="17"/>
  <c r="T331" i="17" s="1"/>
  <c r="L331" i="17"/>
  <c r="K338" i="17"/>
  <c r="K337" i="17" s="1"/>
  <c r="E337" i="17"/>
  <c r="H263" i="17"/>
  <c r="K263" i="17"/>
  <c r="L263" i="17" s="1"/>
  <c r="K96" i="17"/>
  <c r="H327" i="17"/>
  <c r="L54" i="17"/>
  <c r="K54" i="17"/>
  <c r="M54" i="17" s="1"/>
  <c r="N377" i="17"/>
  <c r="O377" i="17"/>
  <c r="K31" i="14"/>
  <c r="BK8" i="14"/>
  <c r="BL8" i="14"/>
  <c r="P30" i="2"/>
  <c r="P28" i="2" s="1"/>
  <c r="N41" i="1"/>
  <c r="O41" i="1"/>
  <c r="L67" i="21"/>
  <c r="M132" i="21"/>
  <c r="U8" i="23"/>
  <c r="V24" i="23" s="1"/>
  <c r="R8" i="23"/>
  <c r="F35" i="17"/>
  <c r="N8" i="23"/>
  <c r="O8" i="23"/>
  <c r="L24" i="23" s="1"/>
  <c r="S53" i="34"/>
  <c r="S52" i="34"/>
  <c r="G23" i="36" s="1"/>
  <c r="CE105" i="15"/>
  <c r="CE107" i="15" s="1"/>
  <c r="CE83" i="15"/>
  <c r="O32" i="23"/>
  <c r="F55" i="17"/>
  <c r="K32" i="23"/>
  <c r="L32" i="23"/>
  <c r="L48" i="23" s="1"/>
  <c r="I404" i="17"/>
  <c r="AL3" i="35"/>
  <c r="Y136" i="16"/>
  <c r="G31" i="24"/>
  <c r="H31" i="24" s="1"/>
  <c r="AJ84" i="15"/>
  <c r="D31" i="24" s="1"/>
  <c r="AD44" i="16"/>
  <c r="BG18" i="18"/>
  <c r="BG44" i="18"/>
  <c r="I52" i="5"/>
  <c r="R20" i="21"/>
  <c r="U44" i="16"/>
  <c r="U48" i="16" s="1"/>
  <c r="T48" i="16"/>
  <c r="AW46" i="18"/>
  <c r="AV6" i="18"/>
  <c r="G110" i="21"/>
  <c r="L110" i="21"/>
  <c r="M110" i="21" s="1"/>
  <c r="AS6" i="18"/>
  <c r="G347" i="17"/>
  <c r="L185" i="1"/>
  <c r="L46" i="2"/>
  <c r="L38" i="2"/>
  <c r="J50" i="2"/>
  <c r="BJ17" i="18"/>
  <c r="S5" i="21"/>
  <c r="S18" i="21"/>
  <c r="K60" i="21"/>
  <c r="I60" i="21"/>
  <c r="J60" i="21"/>
  <c r="K54" i="21"/>
  <c r="I54" i="21"/>
  <c r="J54" i="21"/>
  <c r="BI35" i="18"/>
  <c r="BJ35" i="18" s="1"/>
  <c r="BI30" i="18"/>
  <c r="BJ30" i="18" s="1"/>
  <c r="F52" i="5"/>
  <c r="E56" i="21"/>
  <c r="AT14" i="19"/>
  <c r="CE14" i="19" s="1"/>
  <c r="AT34" i="19"/>
  <c r="CE34" i="19" s="1"/>
  <c r="AT18" i="19"/>
  <c r="BC16" i="19"/>
  <c r="AT33" i="19"/>
  <c r="AR44" i="19"/>
  <c r="AT42" i="19"/>
  <c r="BZ6" i="19"/>
  <c r="AM6" i="28"/>
  <c r="AT23" i="19"/>
  <c r="AT41" i="19"/>
  <c r="CE41" i="19" s="1"/>
  <c r="AT28" i="19"/>
  <c r="CE28" i="19" s="1"/>
  <c r="AT9" i="19"/>
  <c r="AR10" i="19"/>
  <c r="AT11" i="19"/>
  <c r="AT37" i="19"/>
  <c r="AA5" i="19"/>
  <c r="X5" i="28"/>
  <c r="AT30" i="19"/>
  <c r="AT25" i="19"/>
  <c r="AT16" i="19"/>
  <c r="CE16" i="19" s="1"/>
  <c r="BY16" i="19"/>
  <c r="CA16" i="19" s="1"/>
  <c r="AT36" i="19"/>
  <c r="CE36" i="19" s="1"/>
  <c r="AT39" i="19"/>
  <c r="CE39" i="19" s="1"/>
  <c r="AT26" i="19"/>
  <c r="CE26" i="19" s="1"/>
  <c r="AT17" i="19"/>
  <c r="CE17" i="19" s="1"/>
  <c r="BG17" i="18"/>
  <c r="BG36" i="18"/>
  <c r="BG12" i="18"/>
  <c r="BC12" i="18"/>
  <c r="BK107" i="18" s="1"/>
  <c r="BG26" i="18"/>
  <c r="AM46" i="18"/>
  <c r="BF46" i="18"/>
  <c r="BG35" i="18"/>
  <c r="BC35" i="18"/>
  <c r="BC11" i="18"/>
  <c r="BG11" i="18"/>
  <c r="BG38" i="18"/>
  <c r="BC38" i="18"/>
  <c r="BG22" i="18"/>
  <c r="BC22" i="18"/>
  <c r="AQ46" i="18"/>
  <c r="O368" i="17"/>
  <c r="G188" i="17"/>
  <c r="G278" i="17"/>
  <c r="AC2" i="14"/>
  <c r="AD7" i="14"/>
  <c r="AH7" i="14"/>
  <c r="AE7" i="14"/>
  <c r="BW2" i="14"/>
  <c r="BX2" i="14"/>
  <c r="AA2" i="14"/>
  <c r="BI2" i="14"/>
  <c r="BL2" i="14"/>
  <c r="BH2" i="14"/>
  <c r="O2" i="14"/>
  <c r="BI15" i="18"/>
  <c r="F75" i="5"/>
  <c r="BI31" i="18"/>
  <c r="BJ31" i="18" s="1"/>
  <c r="BI13" i="18"/>
  <c r="BI24" i="18"/>
  <c r="BJ24" i="18" s="1"/>
  <c r="BK96" i="18" s="1"/>
  <c r="BI38" i="18"/>
  <c r="BJ38" i="18" s="1"/>
  <c r="BI28" i="18"/>
  <c r="BJ28" i="18" s="1"/>
  <c r="G10" i="4"/>
  <c r="CE21" i="19" l="1"/>
  <c r="CE31" i="19"/>
  <c r="AU10" i="19"/>
  <c r="AW10" i="19" s="1"/>
  <c r="CE35" i="19"/>
  <c r="CE15" i="19"/>
  <c r="J333" i="17"/>
  <c r="H516" i="17"/>
  <c r="J330" i="17"/>
  <c r="H515" i="17"/>
  <c r="J345" i="17"/>
  <c r="H527" i="17"/>
  <c r="J340" i="17"/>
  <c r="H526" i="17"/>
  <c r="CE38" i="19"/>
  <c r="J351" i="17"/>
  <c r="H528" i="17"/>
  <c r="J350" i="17"/>
  <c r="H520" i="17"/>
  <c r="H334" i="17"/>
  <c r="H505" i="17"/>
  <c r="H525" i="17"/>
  <c r="H500" i="17"/>
  <c r="J332" i="17"/>
  <c r="H504" i="17"/>
  <c r="J338" i="17"/>
  <c r="H506" i="17"/>
  <c r="H346" i="17"/>
  <c r="H533" i="17"/>
  <c r="J356" i="17"/>
  <c r="H529" i="17"/>
  <c r="J355" i="17"/>
  <c r="H521" i="17"/>
  <c r="CE50" i="19"/>
  <c r="AM66" i="27"/>
  <c r="AB12" i="22"/>
  <c r="BP7" i="19"/>
  <c r="BR7" i="19" s="1"/>
  <c r="AK6" i="13"/>
  <c r="AU44" i="19"/>
  <c r="AW44" i="19" s="1"/>
  <c r="AK12" i="13"/>
  <c r="H156" i="21"/>
  <c r="CE27" i="19"/>
  <c r="BY40" i="19"/>
  <c r="CA40" i="19" s="1"/>
  <c r="BV7" i="19"/>
  <c r="BX7" i="19" s="1"/>
  <c r="BY33" i="19"/>
  <c r="CA33" i="19" s="1"/>
  <c r="BY29" i="19"/>
  <c r="CA29" i="19" s="1"/>
  <c r="BY39" i="19"/>
  <c r="CA39" i="19" s="1"/>
  <c r="CE18" i="19"/>
  <c r="CE24" i="19"/>
  <c r="BJ7" i="19"/>
  <c r="BL7" i="19" s="1"/>
  <c r="AK14" i="13"/>
  <c r="CE20" i="19"/>
  <c r="X8" i="23"/>
  <c r="G5" i="32"/>
  <c r="I5" i="32" s="1"/>
  <c r="AU53" i="34"/>
  <c r="AJ16" i="13"/>
  <c r="E28" i="1"/>
  <c r="BV10" i="19"/>
  <c r="BX10" i="19" s="1"/>
  <c r="AW6" i="18"/>
  <c r="AW43" i="18" s="1"/>
  <c r="BX9" i="19"/>
  <c r="BA10" i="19"/>
  <c r="BC10" i="19" s="1"/>
  <c r="F7" i="18"/>
  <c r="C99" i="22"/>
  <c r="CE33" i="19"/>
  <c r="BV44" i="19"/>
  <c r="BX44" i="19" s="1"/>
  <c r="E15" i="17"/>
  <c r="E21" i="17" s="1"/>
  <c r="AS52" i="34"/>
  <c r="C9" i="32"/>
  <c r="F123" i="1"/>
  <c r="AC52" i="34"/>
  <c r="P18" i="36"/>
  <c r="P13" i="36"/>
  <c r="H32" i="24"/>
  <c r="BJ44" i="19"/>
  <c r="BL44" i="19" s="1"/>
  <c r="CE11" i="19"/>
  <c r="BP10" i="19"/>
  <c r="BR10" i="19" s="1"/>
  <c r="BS7" i="19"/>
  <c r="BU7" i="19" s="1"/>
  <c r="BS10" i="19"/>
  <c r="BU10" i="19" s="1"/>
  <c r="D44" i="20"/>
  <c r="E44" i="20" s="1"/>
  <c r="F44" i="20" s="1"/>
  <c r="E72" i="20" s="1"/>
  <c r="G48" i="20" s="1"/>
  <c r="CE42" i="19"/>
  <c r="BY42" i="19"/>
  <c r="CA42" i="19" s="1"/>
  <c r="BY36" i="19"/>
  <c r="CA36" i="19" s="1"/>
  <c r="J9" i="32"/>
  <c r="H9" i="32"/>
  <c r="G21" i="17"/>
  <c r="G24" i="17"/>
  <c r="G25" i="17" s="1"/>
  <c r="H36" i="6"/>
  <c r="N36" i="6" s="1"/>
  <c r="BP44" i="19"/>
  <c r="BR44" i="19" s="1"/>
  <c r="J13" i="21"/>
  <c r="K42" i="1"/>
  <c r="K100" i="1" s="1"/>
  <c r="E178" i="1"/>
  <c r="K178" i="1" s="1"/>
  <c r="N125" i="1"/>
  <c r="E20" i="22"/>
  <c r="E17" i="22" s="1"/>
  <c r="I13" i="17"/>
  <c r="U68" i="27"/>
  <c r="H14" i="17"/>
  <c r="K14" i="17" s="1"/>
  <c r="B7" i="28"/>
  <c r="H100" i="21"/>
  <c r="Z62" i="27"/>
  <c r="Z70" i="27"/>
  <c r="AJ59" i="27"/>
  <c r="AJ66" i="27"/>
  <c r="E7" i="19"/>
  <c r="B6" i="28" s="1"/>
  <c r="AH80" i="18"/>
  <c r="AQ69" i="27"/>
  <c r="AQ76" i="27" s="1"/>
  <c r="AQ90" i="27" s="1"/>
  <c r="X66" i="27"/>
  <c r="E21" i="3"/>
  <c r="E22" i="3" s="1"/>
  <c r="BY47" i="19"/>
  <c r="Z63" i="27"/>
  <c r="Z66" i="27"/>
  <c r="H53" i="24"/>
  <c r="AJ60" i="27"/>
  <c r="AJ74" i="27" s="1"/>
  <c r="AJ88" i="27" s="1"/>
  <c r="G65" i="22"/>
  <c r="I65" i="22" s="1"/>
  <c r="Z60" i="27"/>
  <c r="Z74" i="27" s="1"/>
  <c r="Z88" i="27" s="1"/>
  <c r="Z59" i="27"/>
  <c r="AJ61" i="27"/>
  <c r="T34" i="22"/>
  <c r="U34" i="22" s="1"/>
  <c r="BG15" i="18"/>
  <c r="E75" i="1"/>
  <c r="E93" i="1" s="1"/>
  <c r="G62" i="21"/>
  <c r="I62" i="21" s="1"/>
  <c r="AU52" i="34"/>
  <c r="H16" i="17" s="1"/>
  <c r="Z67" i="27"/>
  <c r="AJ67" i="27"/>
  <c r="F42" i="24"/>
  <c r="W143" i="16"/>
  <c r="B44" i="19"/>
  <c r="D44" i="19" s="1"/>
  <c r="BG44" i="19"/>
  <c r="BI44" i="19" s="1"/>
  <c r="BY46" i="19"/>
  <c r="BY30" i="19"/>
  <c r="CA30" i="19" s="1"/>
  <c r="CE37" i="19"/>
  <c r="BY11" i="19"/>
  <c r="CA11" i="19" s="1"/>
  <c r="BY41" i="19"/>
  <c r="CA41" i="19" s="1"/>
  <c r="BY21" i="19"/>
  <c r="CA21" i="19" s="1"/>
  <c r="BY22" i="19"/>
  <c r="CA22" i="19" s="1"/>
  <c r="BG7" i="19"/>
  <c r="BG6" i="19" s="1"/>
  <c r="BY27" i="19"/>
  <c r="CA27" i="19" s="1"/>
  <c r="BY18" i="19"/>
  <c r="CA18" i="19" s="1"/>
  <c r="BY26" i="19"/>
  <c r="CA26" i="19" s="1"/>
  <c r="BY34" i="19"/>
  <c r="CA34" i="19" s="1"/>
  <c r="BY12" i="19"/>
  <c r="CA12" i="19" s="1"/>
  <c r="BJ10" i="19"/>
  <c r="BL10" i="19" s="1"/>
  <c r="E10" i="19"/>
  <c r="G10" i="19" s="1"/>
  <c r="AO10" i="19"/>
  <c r="AQ10" i="19" s="1"/>
  <c r="BD10" i="19"/>
  <c r="BF10" i="19" s="1"/>
  <c r="AO44" i="19"/>
  <c r="AQ44" i="19" s="1"/>
  <c r="G154" i="21"/>
  <c r="I13" i="21"/>
  <c r="BD44" i="19"/>
  <c r="BF44" i="19" s="1"/>
  <c r="AR68" i="27"/>
  <c r="AR75" i="27" s="1"/>
  <c r="AR89" i="27" s="1"/>
  <c r="X36" i="22"/>
  <c r="Y36" i="22" s="1"/>
  <c r="AG36" i="22" s="1"/>
  <c r="AB7" i="39"/>
  <c r="AB8" i="39" s="1"/>
  <c r="AC136" i="16"/>
  <c r="AR66" i="27"/>
  <c r="AR73" i="27" s="1"/>
  <c r="AR87" i="27" s="1"/>
  <c r="AF52" i="34"/>
  <c r="AT69" i="27"/>
  <c r="AT76" i="27" s="1"/>
  <c r="AT90" i="27" s="1"/>
  <c r="BY20" i="19"/>
  <c r="CA20" i="19" s="1"/>
  <c r="AP70" i="27"/>
  <c r="CA50" i="19"/>
  <c r="M373" i="17" s="1"/>
  <c r="O373" i="17" s="1"/>
  <c r="AH63" i="27"/>
  <c r="AH95" i="27" s="1"/>
  <c r="AP66" i="27"/>
  <c r="AP73" i="27" s="1"/>
  <c r="AP87" i="27" s="1"/>
  <c r="G170" i="21"/>
  <c r="G172" i="21" s="1"/>
  <c r="H24" i="6"/>
  <c r="N24" i="6" s="1"/>
  <c r="CE25" i="19"/>
  <c r="CE19" i="19"/>
  <c r="E44" i="19"/>
  <c r="G44" i="19" s="1"/>
  <c r="CA49" i="19"/>
  <c r="M372" i="17" s="1"/>
  <c r="AP60" i="27"/>
  <c r="V136" i="16"/>
  <c r="AP63" i="27"/>
  <c r="AP61" i="27"/>
  <c r="G30" i="25" s="1"/>
  <c r="G31" i="25" s="1"/>
  <c r="AJ52" i="34"/>
  <c r="AP68" i="27"/>
  <c r="AP67" i="27"/>
  <c r="AP88" i="27" s="1"/>
  <c r="J24" i="2"/>
  <c r="AD15" i="2" s="1"/>
  <c r="Y6" i="22"/>
  <c r="C42" i="20"/>
  <c r="E42" i="20" s="1"/>
  <c r="F42" i="20" s="1"/>
  <c r="G8" i="22"/>
  <c r="AA8" i="22" s="1"/>
  <c r="Y8" i="22"/>
  <c r="Z8" i="22"/>
  <c r="F5" i="22"/>
  <c r="Z5" i="22" s="1"/>
  <c r="BY19" i="19"/>
  <c r="CA19" i="19" s="1"/>
  <c r="BY32" i="19"/>
  <c r="CA32" i="19" s="1"/>
  <c r="BY31" i="19"/>
  <c r="CA31" i="19" s="1"/>
  <c r="CE30" i="19"/>
  <c r="BY17" i="19"/>
  <c r="CA17" i="19" s="1"/>
  <c r="BY23" i="19"/>
  <c r="CA23" i="19" s="1"/>
  <c r="CE23" i="19"/>
  <c r="AT43" i="18"/>
  <c r="AM60" i="27"/>
  <c r="AM69" i="27"/>
  <c r="AM59" i="27"/>
  <c r="AM68" i="27"/>
  <c r="T84" i="15"/>
  <c r="D23" i="24" s="1"/>
  <c r="J23" i="24" s="1"/>
  <c r="AM62" i="27"/>
  <c r="AM94" i="27" s="1"/>
  <c r="AM63" i="27"/>
  <c r="AM95" i="27" s="1"/>
  <c r="AM67" i="27"/>
  <c r="AM70" i="27"/>
  <c r="H87" i="21"/>
  <c r="BY15" i="19"/>
  <c r="CA15" i="19" s="1"/>
  <c r="AH80" i="19" s="1"/>
  <c r="AG86" i="19" s="1"/>
  <c r="C49" i="20"/>
  <c r="E49" i="20" s="1"/>
  <c r="F49" i="20" s="1"/>
  <c r="G22" i="22"/>
  <c r="AA13" i="22" s="1"/>
  <c r="BY45" i="19"/>
  <c r="AY52" i="34"/>
  <c r="W69" i="27"/>
  <c r="AJ136" i="16"/>
  <c r="I121" i="17"/>
  <c r="J84" i="15"/>
  <c r="D18" i="24" s="1"/>
  <c r="J18" i="24" s="1"/>
  <c r="S41" i="22"/>
  <c r="T41" i="22" s="1"/>
  <c r="U41" i="22" s="1"/>
  <c r="H136" i="16"/>
  <c r="T33" i="22"/>
  <c r="U33" i="22" s="1"/>
  <c r="E42" i="22"/>
  <c r="Y18" i="22" s="1"/>
  <c r="M78" i="21"/>
  <c r="AA19" i="21" s="1"/>
  <c r="AD78" i="21"/>
  <c r="O78" i="21"/>
  <c r="Z19" i="21"/>
  <c r="BY14" i="19"/>
  <c r="CA14" i="19" s="1"/>
  <c r="BA44" i="19"/>
  <c r="BC44" i="19" s="1"/>
  <c r="BY13" i="19"/>
  <c r="CA13" i="19" s="1"/>
  <c r="BY49" i="19"/>
  <c r="BY25" i="19"/>
  <c r="CA25" i="19" s="1"/>
  <c r="BY37" i="19"/>
  <c r="CA37" i="19" s="1"/>
  <c r="BY50" i="19"/>
  <c r="BY35" i="19"/>
  <c r="CA35" i="19" s="1"/>
  <c r="BY48" i="19"/>
  <c r="BS44" i="19"/>
  <c r="BU44" i="19" s="1"/>
  <c r="BY28" i="19"/>
  <c r="CA28" i="19" s="1"/>
  <c r="AX44" i="19"/>
  <c r="AZ44" i="19" s="1"/>
  <c r="BY38" i="19"/>
  <c r="CA38" i="19" s="1"/>
  <c r="E5" i="22"/>
  <c r="Y5" i="22" s="1"/>
  <c r="CM104" i="15"/>
  <c r="CM106" i="15" s="1"/>
  <c r="AI202" i="9"/>
  <c r="AI203" i="9" s="1"/>
  <c r="G24" i="7"/>
  <c r="D30" i="7" s="1"/>
  <c r="G21" i="7"/>
  <c r="G22" i="7" s="1"/>
  <c r="F14" i="7"/>
  <c r="F16" i="7" s="1"/>
  <c r="F24" i="7" s="1"/>
  <c r="BN104" i="15"/>
  <c r="AJ70" i="27"/>
  <c r="AJ69" i="27"/>
  <c r="AN59" i="27"/>
  <c r="E136" i="16"/>
  <c r="G176" i="21"/>
  <c r="H139" i="21"/>
  <c r="F10" i="18"/>
  <c r="G10" i="18" s="1"/>
  <c r="K63" i="21"/>
  <c r="H69" i="27"/>
  <c r="H68" i="27"/>
  <c r="K13" i="17"/>
  <c r="J13" i="17"/>
  <c r="J163" i="17"/>
  <c r="D163" i="17"/>
  <c r="AN53" i="34"/>
  <c r="G7" i="22"/>
  <c r="AA7" i="22" s="1"/>
  <c r="AH61" i="27"/>
  <c r="AN61" i="27"/>
  <c r="AM7" i="39" s="1"/>
  <c r="AM8" i="39" s="1"/>
  <c r="AM12" i="39" s="1"/>
  <c r="AN62" i="27"/>
  <c r="I104" i="21"/>
  <c r="R69" i="27"/>
  <c r="Y7" i="22"/>
  <c r="R19" i="25"/>
  <c r="AN69" i="27"/>
  <c r="AN60" i="27"/>
  <c r="AN74" i="27" s="1"/>
  <c r="AN88" i="27" s="1"/>
  <c r="E43" i="20"/>
  <c r="F43" i="20" s="1"/>
  <c r="E71" i="20" s="1"/>
  <c r="G47" i="20" s="1"/>
  <c r="E45" i="22"/>
  <c r="Y19" i="22" s="1"/>
  <c r="E11" i="22"/>
  <c r="C48" i="20" s="1"/>
  <c r="D14" i="17"/>
  <c r="AN63" i="27"/>
  <c r="Q53" i="1"/>
  <c r="M53" i="1" s="1"/>
  <c r="O53" i="1" s="1"/>
  <c r="O103" i="1" s="1"/>
  <c r="AH60" i="27"/>
  <c r="AH53" i="34"/>
  <c r="R68" i="27"/>
  <c r="R75" i="27" s="1"/>
  <c r="R89" i="27" s="1"/>
  <c r="AN66" i="27"/>
  <c r="R67" i="27"/>
  <c r="AH59" i="27"/>
  <c r="AH73" i="27" s="1"/>
  <c r="AH87" i="27" s="1"/>
  <c r="AH70" i="27"/>
  <c r="AH77" i="27" s="1"/>
  <c r="AH91" i="27" s="1"/>
  <c r="AH68" i="27"/>
  <c r="AH75" i="27" s="1"/>
  <c r="AH89" i="27" s="1"/>
  <c r="AH66" i="27"/>
  <c r="AN68" i="27"/>
  <c r="R66" i="27"/>
  <c r="J63" i="21"/>
  <c r="S40" i="22"/>
  <c r="T40" i="22" s="1"/>
  <c r="U40" i="22" s="1"/>
  <c r="AH67" i="27"/>
  <c r="R62" i="27"/>
  <c r="H63" i="21"/>
  <c r="AH62" i="27"/>
  <c r="AH94" i="27" s="1"/>
  <c r="H5" i="25"/>
  <c r="R63" i="27"/>
  <c r="AN70" i="27"/>
  <c r="R59" i="27"/>
  <c r="R70" i="27"/>
  <c r="R77" i="27" s="1"/>
  <c r="R91" i="27" s="1"/>
  <c r="N364" i="17"/>
  <c r="R364" i="17" s="1"/>
  <c r="I390" i="17" s="1"/>
  <c r="F21" i="2"/>
  <c r="AA3" i="35"/>
  <c r="AA42" i="35" s="1"/>
  <c r="N136" i="16"/>
  <c r="E37" i="22"/>
  <c r="Y17" i="22" s="1"/>
  <c r="E50" i="22"/>
  <c r="Y20" i="22" s="1"/>
  <c r="K332" i="17"/>
  <c r="E24" i="22"/>
  <c r="Y15" i="22" s="1"/>
  <c r="BF2" i="14"/>
  <c r="BB2" i="14"/>
  <c r="G39" i="22"/>
  <c r="I39" i="22" s="1"/>
  <c r="G26" i="22"/>
  <c r="I26" i="22" s="1"/>
  <c r="E31" i="22"/>
  <c r="G31" i="22" s="1"/>
  <c r="AA16" i="22" s="1"/>
  <c r="O8" i="22"/>
  <c r="F17" i="22"/>
  <c r="O17" i="22" s="1"/>
  <c r="J5" i="22"/>
  <c r="C92" i="22" s="1"/>
  <c r="G39" i="5"/>
  <c r="J8" i="2"/>
  <c r="L8" i="2" s="1"/>
  <c r="F40" i="24"/>
  <c r="I40" i="24" s="1"/>
  <c r="K40" i="24" s="1"/>
  <c r="G27" i="3"/>
  <c r="R16" i="25"/>
  <c r="B154" i="1"/>
  <c r="CU104" i="15"/>
  <c r="CU106" i="15" s="1"/>
  <c r="BS104" i="15"/>
  <c r="I7" i="7"/>
  <c r="J7" i="7" s="1"/>
  <c r="J14" i="7" s="1"/>
  <c r="J16" i="7" s="1"/>
  <c r="J24" i="7" s="1"/>
  <c r="H66" i="27"/>
  <c r="C16" i="43"/>
  <c r="E16" i="43" s="1"/>
  <c r="AN52" i="34"/>
  <c r="F35" i="25"/>
  <c r="F38" i="25" s="1"/>
  <c r="F18" i="25" s="1"/>
  <c r="AK66" i="27"/>
  <c r="BO104" i="15"/>
  <c r="AB69" i="27"/>
  <c r="AB76" i="27" s="1"/>
  <c r="AB90" i="27" s="1"/>
  <c r="AB63" i="27"/>
  <c r="AB77" i="27" s="1"/>
  <c r="AB91" i="27" s="1"/>
  <c r="AB59" i="27"/>
  <c r="AB73" i="27" s="1"/>
  <c r="AB87" i="27" s="1"/>
  <c r="M116" i="21"/>
  <c r="AB68" i="27"/>
  <c r="AB60" i="27"/>
  <c r="AB74" i="27" s="1"/>
  <c r="AB88" i="27" s="1"/>
  <c r="O116" i="21"/>
  <c r="AB115" i="21" s="1"/>
  <c r="AB66" i="27"/>
  <c r="K59" i="1"/>
  <c r="V59" i="1" s="1"/>
  <c r="AB61" i="27"/>
  <c r="AB62" i="27"/>
  <c r="L57" i="21"/>
  <c r="AD57" i="21" s="1"/>
  <c r="L136" i="16"/>
  <c r="F21" i="3"/>
  <c r="F22" i="3" s="1"/>
  <c r="F47" i="24"/>
  <c r="O5" i="20"/>
  <c r="N5" i="20" s="1"/>
  <c r="H55" i="21"/>
  <c r="P114" i="17"/>
  <c r="AR7" i="19"/>
  <c r="AT7" i="19" s="1"/>
  <c r="P22" i="2"/>
  <c r="H16" i="2" s="1"/>
  <c r="F19" i="2"/>
  <c r="G19" i="2" s="1"/>
  <c r="P43" i="2"/>
  <c r="F20" i="2" s="1"/>
  <c r="P330" i="17"/>
  <c r="H70" i="27"/>
  <c r="G49" i="18"/>
  <c r="AB2" i="14"/>
  <c r="P2" i="14"/>
  <c r="N184" i="1"/>
  <c r="L121" i="1"/>
  <c r="AC73" i="16"/>
  <c r="AD68" i="27"/>
  <c r="AD60" i="27"/>
  <c r="K121" i="1"/>
  <c r="V121" i="1" s="1"/>
  <c r="AD61" i="27"/>
  <c r="AC7" i="39" s="1"/>
  <c r="AC8" i="39" s="1"/>
  <c r="AC12" i="39" s="1"/>
  <c r="AF8" i="18"/>
  <c r="AF7" i="18" s="1"/>
  <c r="AD67" i="27"/>
  <c r="AP42" i="35"/>
  <c r="AD63" i="27"/>
  <c r="AD95" i="27" s="1"/>
  <c r="AD69" i="27"/>
  <c r="AD76" i="27" s="1"/>
  <c r="AD90" i="27" s="1"/>
  <c r="AD70" i="27"/>
  <c r="AD66" i="27"/>
  <c r="AK10" i="13"/>
  <c r="AD59" i="27"/>
  <c r="M121" i="1"/>
  <c r="O121" i="1" s="1"/>
  <c r="AK61" i="27"/>
  <c r="AL66" i="27"/>
  <c r="Y52" i="34"/>
  <c r="M23" i="36" s="1"/>
  <c r="X60" i="27"/>
  <c r="X59" i="27"/>
  <c r="X73" i="27" s="1"/>
  <c r="X87" i="27" s="1"/>
  <c r="AK60" i="27"/>
  <c r="AK62" i="27"/>
  <c r="AK94" i="27" s="1"/>
  <c r="AK69" i="27"/>
  <c r="AK70" i="27"/>
  <c r="X62" i="27"/>
  <c r="X67" i="27"/>
  <c r="AK67" i="27"/>
  <c r="AM52" i="34"/>
  <c r="L151" i="21"/>
  <c r="M151" i="21" s="1"/>
  <c r="AK68" i="27"/>
  <c r="AK75" i="27" s="1"/>
  <c r="AK89" i="27" s="1"/>
  <c r="AA52" i="34"/>
  <c r="O23" i="36" s="1"/>
  <c r="L170" i="21"/>
  <c r="L16" i="21" s="1"/>
  <c r="Y2" i="14"/>
  <c r="AK63" i="27"/>
  <c r="X70" i="27"/>
  <c r="X69" i="27"/>
  <c r="X63" i="27"/>
  <c r="X68" i="27"/>
  <c r="X75" i="27" s="1"/>
  <c r="X89" i="27" s="1"/>
  <c r="BY24" i="19"/>
  <c r="CA24" i="19" s="1"/>
  <c r="J58" i="21"/>
  <c r="N13" i="21"/>
  <c r="I58" i="21"/>
  <c r="G58" i="2"/>
  <c r="I58" i="2" s="1"/>
  <c r="U22" i="2"/>
  <c r="G16" i="5"/>
  <c r="N68" i="27"/>
  <c r="N70" i="27"/>
  <c r="N66" i="27"/>
  <c r="N67" i="27"/>
  <c r="N69" i="27"/>
  <c r="P66" i="27"/>
  <c r="P68" i="27"/>
  <c r="P70" i="27"/>
  <c r="P67" i="27"/>
  <c r="P69" i="27"/>
  <c r="S62" i="1"/>
  <c r="N47" i="1"/>
  <c r="AA60" i="27"/>
  <c r="O68" i="27"/>
  <c r="O70" i="27"/>
  <c r="O66" i="27"/>
  <c r="O67" i="27"/>
  <c r="O69" i="27"/>
  <c r="AG69" i="16"/>
  <c r="AG136" i="16" s="1"/>
  <c r="M68" i="27"/>
  <c r="M70" i="27"/>
  <c r="M66" i="27"/>
  <c r="M67" i="27"/>
  <c r="M69" i="27"/>
  <c r="L66" i="27"/>
  <c r="L67" i="27"/>
  <c r="L69" i="27"/>
  <c r="L68" i="27"/>
  <c r="L70" i="27"/>
  <c r="K66" i="27"/>
  <c r="K67" i="27"/>
  <c r="K69" i="27"/>
  <c r="K68" i="27"/>
  <c r="K70" i="27"/>
  <c r="AG73" i="16"/>
  <c r="Z3" i="35"/>
  <c r="Z42" i="35" s="1"/>
  <c r="M183" i="1"/>
  <c r="O183" i="1" s="1"/>
  <c r="I66" i="27"/>
  <c r="I67" i="27"/>
  <c r="I69" i="27"/>
  <c r="I68" i="27"/>
  <c r="I70" i="27"/>
  <c r="AI69" i="27"/>
  <c r="AI63" i="27"/>
  <c r="AI95" i="27" s="1"/>
  <c r="J55" i="21"/>
  <c r="J67" i="27"/>
  <c r="J69" i="27"/>
  <c r="J68" i="27"/>
  <c r="J70" i="27"/>
  <c r="J66" i="27"/>
  <c r="AD73" i="21"/>
  <c r="O73" i="21"/>
  <c r="M73" i="21"/>
  <c r="BY9" i="19"/>
  <c r="CA9" i="19" s="1"/>
  <c r="G50" i="18"/>
  <c r="G56" i="18"/>
  <c r="G55" i="18" s="1"/>
  <c r="G8" i="18" s="1"/>
  <c r="G7" i="18" s="1"/>
  <c r="L19" i="17"/>
  <c r="N19" i="17" s="1"/>
  <c r="G47" i="18"/>
  <c r="H1" i="18"/>
  <c r="H14" i="18" s="1"/>
  <c r="I14" i="18" s="1"/>
  <c r="I19" i="17"/>
  <c r="O19" i="14"/>
  <c r="N31" i="14" s="1"/>
  <c r="H7" i="7"/>
  <c r="H14" i="7" s="1"/>
  <c r="H16" i="7" s="1"/>
  <c r="H21" i="7" s="1"/>
  <c r="H22" i="7" s="1"/>
  <c r="J19" i="17"/>
  <c r="AF136" i="16"/>
  <c r="L154" i="21"/>
  <c r="H44" i="19"/>
  <c r="J44" i="19" s="1"/>
  <c r="AX10" i="19"/>
  <c r="AZ10" i="19" s="1"/>
  <c r="O15" i="21"/>
  <c r="AF13" i="21"/>
  <c r="O12" i="21"/>
  <c r="M15" i="21"/>
  <c r="F80" i="18"/>
  <c r="I78" i="21"/>
  <c r="W19" i="21" s="1"/>
  <c r="U19" i="21"/>
  <c r="AA61" i="27"/>
  <c r="N15" i="21"/>
  <c r="O62" i="1"/>
  <c r="O106" i="1" s="1"/>
  <c r="AA66" i="27"/>
  <c r="AA63" i="27"/>
  <c r="AA77" i="27" s="1"/>
  <c r="AA91" i="27" s="1"/>
  <c r="K55" i="21"/>
  <c r="P375" i="17"/>
  <c r="H37" i="6"/>
  <c r="N37" i="6" s="1"/>
  <c r="E30" i="24"/>
  <c r="AA67" i="27"/>
  <c r="J24" i="22"/>
  <c r="AD15" i="22" s="1"/>
  <c r="Z143" i="16"/>
  <c r="AA59" i="27"/>
  <c r="AA68" i="27"/>
  <c r="U52" i="34"/>
  <c r="I23" i="36" s="1"/>
  <c r="S19" i="14"/>
  <c r="Q31" i="14" s="1"/>
  <c r="Q123" i="1"/>
  <c r="M123" i="1" s="1"/>
  <c r="O123" i="1" s="1"/>
  <c r="AA69" i="27"/>
  <c r="AA62" i="27"/>
  <c r="G37" i="5"/>
  <c r="AO8" i="19"/>
  <c r="AQ8" i="19" s="1"/>
  <c r="CE8" i="19" s="1"/>
  <c r="AT68" i="27"/>
  <c r="AT75" i="27" s="1"/>
  <c r="AT89" i="27" s="1"/>
  <c r="AT66" i="27"/>
  <c r="AT73" i="27" s="1"/>
  <c r="AT87" i="27" s="1"/>
  <c r="AT70" i="27"/>
  <c r="AT77" i="27" s="1"/>
  <c r="AT91" i="27" s="1"/>
  <c r="AB136" i="16"/>
  <c r="AD8" i="18"/>
  <c r="AD7" i="18" s="1"/>
  <c r="AD6" i="18" s="1"/>
  <c r="AD43" i="18" s="1"/>
  <c r="AD52" i="34"/>
  <c r="K61" i="24"/>
  <c r="L253" i="17"/>
  <c r="AP202" i="9"/>
  <c r="AO203" i="9"/>
  <c r="D9" i="32"/>
  <c r="AI61" i="27"/>
  <c r="AH7" i="39" s="1"/>
  <c r="AH8" i="39" s="1"/>
  <c r="AH12" i="39" s="1"/>
  <c r="AI67" i="27"/>
  <c r="AK16" i="13"/>
  <c r="AI59" i="27"/>
  <c r="AI73" i="27" s="1"/>
  <c r="AI87" i="27" s="1"/>
  <c r="AI62" i="27"/>
  <c r="AI94" i="27" s="1"/>
  <c r="AI70" i="27"/>
  <c r="AI60" i="27"/>
  <c r="AI68" i="27"/>
  <c r="L9" i="32"/>
  <c r="O94" i="20"/>
  <c r="AJ202" i="9"/>
  <c r="W67" i="27"/>
  <c r="E27" i="24"/>
  <c r="W59" i="27"/>
  <c r="W62" i="27"/>
  <c r="W76" i="27" s="1"/>
  <c r="W90" i="27" s="1"/>
  <c r="F354" i="17"/>
  <c r="F353" i="17" s="1"/>
  <c r="D11" i="20" s="1"/>
  <c r="E13" i="18"/>
  <c r="W60" i="27"/>
  <c r="W70" i="27"/>
  <c r="W68" i="27"/>
  <c r="W66" i="27"/>
  <c r="H23" i="6"/>
  <c r="N23" i="6" s="1"/>
  <c r="W63" i="27"/>
  <c r="H61" i="24"/>
  <c r="F46" i="18"/>
  <c r="G46" i="18" s="1"/>
  <c r="L15" i="22"/>
  <c r="H132" i="21"/>
  <c r="F61" i="22"/>
  <c r="K67" i="21"/>
  <c r="J67" i="21"/>
  <c r="AI11" i="13"/>
  <c r="C98" i="22"/>
  <c r="N57" i="17"/>
  <c r="D25" i="5"/>
  <c r="H25" i="5" s="1"/>
  <c r="L13" i="22"/>
  <c r="K56" i="1"/>
  <c r="V56" i="1" s="1"/>
  <c r="E104" i="1"/>
  <c r="AR69" i="27"/>
  <c r="AR76" i="27" s="1"/>
  <c r="AR90" i="27" s="1"/>
  <c r="AR70" i="27"/>
  <c r="AR77" i="27" s="1"/>
  <c r="AR91" i="27" s="1"/>
  <c r="H24" i="24"/>
  <c r="G63" i="24"/>
  <c r="J63" i="24" s="1"/>
  <c r="K63" i="24" s="1"/>
  <c r="CV104" i="15"/>
  <c r="CV106" i="15" s="1"/>
  <c r="H31" i="6"/>
  <c r="N31" i="6" s="1"/>
  <c r="AJ17" i="13"/>
  <c r="I231" i="17"/>
  <c r="O230" i="17" s="1"/>
  <c r="B193" i="17" s="1"/>
  <c r="AK17" i="13"/>
  <c r="AM93" i="27"/>
  <c r="F48" i="24"/>
  <c r="I48" i="24" s="1"/>
  <c r="K48" i="24" s="1"/>
  <c r="G57" i="24"/>
  <c r="H57" i="24" s="1"/>
  <c r="CJ104" i="15"/>
  <c r="CJ106" i="15" s="1"/>
  <c r="L59" i="2"/>
  <c r="AN19" i="14"/>
  <c r="AK19" i="14"/>
  <c r="AI31" i="14" s="1"/>
  <c r="AB19" i="14"/>
  <c r="Z31" i="14" s="1"/>
  <c r="H13" i="6"/>
  <c r="N13" i="6" s="1"/>
  <c r="M58" i="22"/>
  <c r="C90" i="22" s="1"/>
  <c r="H14" i="6"/>
  <c r="N14" i="6" s="1"/>
  <c r="F152" i="21"/>
  <c r="AU43" i="18"/>
  <c r="BM6" i="19"/>
  <c r="BO6" i="19" s="1"/>
  <c r="BO43" i="19" s="1"/>
  <c r="AY43" i="18"/>
  <c r="AQ8" i="18"/>
  <c r="AQ7" i="18" s="1"/>
  <c r="AQ6" i="18" s="1"/>
  <c r="AP7" i="18"/>
  <c r="AP6" i="18" s="1"/>
  <c r="AP5" i="18" s="1"/>
  <c r="G27" i="5"/>
  <c r="AZ5" i="18"/>
  <c r="F81" i="1"/>
  <c r="F80" i="1" s="1"/>
  <c r="F112" i="1" s="1"/>
  <c r="BK104" i="15"/>
  <c r="BI104" i="15"/>
  <c r="AS3" i="35"/>
  <c r="BA8" i="19" s="1"/>
  <c r="M2" i="14"/>
  <c r="H45" i="24"/>
  <c r="I59" i="21"/>
  <c r="M104" i="21"/>
  <c r="G61" i="21"/>
  <c r="I61" i="21" s="1"/>
  <c r="B43" i="5"/>
  <c r="U62" i="27"/>
  <c r="AR52" i="34"/>
  <c r="O365" i="17"/>
  <c r="Q365" i="17" s="1"/>
  <c r="U70" i="27"/>
  <c r="AF14" i="21"/>
  <c r="L4" i="32"/>
  <c r="M4" i="32" s="1"/>
  <c r="AK11" i="13"/>
  <c r="U66" i="27"/>
  <c r="U60" i="27"/>
  <c r="N14" i="21"/>
  <c r="U69" i="27"/>
  <c r="M14" i="21"/>
  <c r="L14" i="22"/>
  <c r="E33" i="1"/>
  <c r="E98" i="1" s="1"/>
  <c r="E177" i="1" s="1"/>
  <c r="K177" i="1" s="1"/>
  <c r="U59" i="27"/>
  <c r="U67" i="27"/>
  <c r="H44" i="24"/>
  <c r="V34" i="1"/>
  <c r="U63" i="27"/>
  <c r="I150" i="21"/>
  <c r="H150" i="21"/>
  <c r="M63" i="21"/>
  <c r="AD63" i="21"/>
  <c r="N63" i="21"/>
  <c r="Z18" i="22"/>
  <c r="K42" i="22"/>
  <c r="Z16" i="22"/>
  <c r="K31" i="22"/>
  <c r="Z19" i="22"/>
  <c r="K45" i="22"/>
  <c r="Z20" i="22"/>
  <c r="K50" i="22"/>
  <c r="D48" i="20"/>
  <c r="Z15" i="22"/>
  <c r="K24" i="22"/>
  <c r="H17" i="6"/>
  <c r="N17" i="6" s="1"/>
  <c r="AD59" i="21"/>
  <c r="H151" i="21"/>
  <c r="M59" i="21"/>
  <c r="N59" i="21"/>
  <c r="H27" i="6"/>
  <c r="N27" i="6" s="1"/>
  <c r="H35" i="6"/>
  <c r="N35" i="6" s="1"/>
  <c r="G20" i="5"/>
  <c r="E24" i="41"/>
  <c r="G24" i="41" s="1"/>
  <c r="J57" i="21"/>
  <c r="K57" i="21"/>
  <c r="M105" i="1"/>
  <c r="K128" i="17"/>
  <c r="O128" i="17" s="1"/>
  <c r="G120" i="17"/>
  <c r="K120" i="17" s="1"/>
  <c r="O335" i="17"/>
  <c r="Q335" i="17" s="1"/>
  <c r="D20" i="1"/>
  <c r="G20" i="1" s="1"/>
  <c r="M100" i="1"/>
  <c r="M178" i="1"/>
  <c r="O178" i="1" s="1"/>
  <c r="N96" i="17"/>
  <c r="N128" i="17"/>
  <c r="Q343" i="17"/>
  <c r="AL69" i="27"/>
  <c r="AL59" i="27"/>
  <c r="G16" i="17"/>
  <c r="C23" i="20" s="1"/>
  <c r="AS53" i="34"/>
  <c r="AL70" i="27"/>
  <c r="AL67" i="27"/>
  <c r="G14" i="17"/>
  <c r="G20" i="17" s="1"/>
  <c r="F186" i="1"/>
  <c r="AY84" i="15"/>
  <c r="C39" i="24" s="1"/>
  <c r="AL60" i="27"/>
  <c r="J76" i="21"/>
  <c r="AI8" i="13"/>
  <c r="D15" i="17"/>
  <c r="J15" i="17" s="1"/>
  <c r="AL63" i="27"/>
  <c r="AL95" i="27" s="1"/>
  <c r="AL62" i="27"/>
  <c r="AL94" i="27" s="1"/>
  <c r="H32" i="6"/>
  <c r="N32" i="6" s="1"/>
  <c r="J14" i="21"/>
  <c r="AK8" i="13"/>
  <c r="AL68" i="27"/>
  <c r="AL75" i="27" s="1"/>
  <c r="AL89" i="27" s="1"/>
  <c r="K14" i="21"/>
  <c r="F175" i="21"/>
  <c r="CK82" i="15"/>
  <c r="D165" i="17" s="1"/>
  <c r="D169" i="17" s="1"/>
  <c r="F163" i="17"/>
  <c r="N59" i="1"/>
  <c r="N105" i="1" s="1"/>
  <c r="B13" i="6"/>
  <c r="B44" i="6" s="1"/>
  <c r="D22" i="5"/>
  <c r="H22" i="5" s="1"/>
  <c r="C4" i="20"/>
  <c r="O8" i="32"/>
  <c r="G7" i="2"/>
  <c r="I7" i="2" s="1"/>
  <c r="AC7" i="2" s="1"/>
  <c r="E123" i="1"/>
  <c r="K123" i="1" s="1"/>
  <c r="V123" i="1" s="1"/>
  <c r="N8" i="32"/>
  <c r="K69" i="21"/>
  <c r="J69" i="21"/>
  <c r="K73" i="21"/>
  <c r="I73" i="21"/>
  <c r="K103" i="1"/>
  <c r="AK7" i="13"/>
  <c r="H22" i="24"/>
  <c r="AG75" i="27"/>
  <c r="AG89" i="27" s="1"/>
  <c r="AJ7" i="13"/>
  <c r="J2" i="14"/>
  <c r="BT2" i="14"/>
  <c r="AQ84" i="15"/>
  <c r="C35" i="24" s="1"/>
  <c r="AC73" i="27"/>
  <c r="AC87" i="27" s="1"/>
  <c r="Q328" i="17"/>
  <c r="N343" i="17"/>
  <c r="N342" i="17" s="1"/>
  <c r="AJ10" i="13"/>
  <c r="P365" i="17"/>
  <c r="E103" i="1"/>
  <c r="S62" i="27"/>
  <c r="S69" i="27"/>
  <c r="S66" i="27"/>
  <c r="S70" i="27"/>
  <c r="E99" i="1"/>
  <c r="D4" i="32"/>
  <c r="AG37" i="22"/>
  <c r="AD60" i="21"/>
  <c r="G32" i="5"/>
  <c r="G36" i="5"/>
  <c r="D41" i="5"/>
  <c r="H41" i="5" s="1"/>
  <c r="B139" i="1"/>
  <c r="I12" i="2"/>
  <c r="H5" i="6"/>
  <c r="AM75" i="27"/>
  <c r="AM89" i="27" s="1"/>
  <c r="AN73" i="27"/>
  <c r="AN87" i="27" s="1"/>
  <c r="Q84" i="15"/>
  <c r="C22" i="24" s="1"/>
  <c r="I22" i="24" s="1"/>
  <c r="G75" i="21"/>
  <c r="U18" i="21" s="1"/>
  <c r="J74" i="21"/>
  <c r="I76" i="21"/>
  <c r="K74" i="21"/>
  <c r="AU66" i="27"/>
  <c r="AU67" i="27"/>
  <c r="AU68" i="27"/>
  <c r="AU75" i="27" s="1"/>
  <c r="AU69" i="27"/>
  <c r="AU76" i="27" s="1"/>
  <c r="AU70" i="27"/>
  <c r="AU77" i="27" s="1"/>
  <c r="G17" i="3"/>
  <c r="J5" i="6" s="1"/>
  <c r="P11" i="2"/>
  <c r="Y19" i="14"/>
  <c r="W31" i="14" s="1"/>
  <c r="C10" i="5"/>
  <c r="G10" i="5" s="1"/>
  <c r="E124" i="1"/>
  <c r="M13" i="17"/>
  <c r="O13" i="17" s="1"/>
  <c r="S42" i="1"/>
  <c r="D16" i="17"/>
  <c r="R73" i="27"/>
  <c r="R87" i="27" s="1"/>
  <c r="G42" i="5"/>
  <c r="O60" i="21"/>
  <c r="M60" i="21"/>
  <c r="L7" i="20"/>
  <c r="I112" i="17"/>
  <c r="I111" i="17" s="1"/>
  <c r="G20" i="20"/>
  <c r="H20" i="20" s="1"/>
  <c r="N13" i="17"/>
  <c r="E329" i="17"/>
  <c r="K329" i="17" s="1"/>
  <c r="I165" i="17"/>
  <c r="D11" i="5"/>
  <c r="H11" i="5" s="1"/>
  <c r="G22" i="2"/>
  <c r="I22" i="2" s="1"/>
  <c r="AK52" i="34"/>
  <c r="Y143" i="16"/>
  <c r="G57" i="22"/>
  <c r="I57" i="22" s="1"/>
  <c r="P358" i="17"/>
  <c r="G11" i="5"/>
  <c r="CS106" i="15"/>
  <c r="F62" i="24"/>
  <c r="I62" i="24" s="1"/>
  <c r="AN76" i="27"/>
  <c r="AN90" i="27" s="1"/>
  <c r="B10" i="19"/>
  <c r="D10" i="19" s="1"/>
  <c r="AC75" i="27"/>
  <c r="AC89" i="27" s="1"/>
  <c r="S8" i="23"/>
  <c r="D17" i="5"/>
  <c r="H17" i="5" s="1"/>
  <c r="N182" i="1"/>
  <c r="J56" i="1"/>
  <c r="U56" i="1" s="1"/>
  <c r="H104" i="1"/>
  <c r="V69" i="27"/>
  <c r="V76" i="27" s="1"/>
  <c r="V90" i="27" s="1"/>
  <c r="F136" i="16"/>
  <c r="I20" i="23"/>
  <c r="AV37" i="17"/>
  <c r="C52" i="34"/>
  <c r="B69" i="17"/>
  <c r="M104" i="1"/>
  <c r="H5" i="20"/>
  <c r="O114" i="17"/>
  <c r="M32" i="23"/>
  <c r="I12" i="17"/>
  <c r="I11" i="17" s="1"/>
  <c r="J341" i="17"/>
  <c r="L6" i="32"/>
  <c r="O6" i="32" s="1"/>
  <c r="O68" i="21"/>
  <c r="K6" i="32"/>
  <c r="P32" i="23"/>
  <c r="G35" i="5"/>
  <c r="AV8" i="14"/>
  <c r="AZ8" i="14"/>
  <c r="G6" i="32"/>
  <c r="G35" i="17"/>
  <c r="J35" i="17" s="1"/>
  <c r="M9" i="23"/>
  <c r="S9" i="23" s="1"/>
  <c r="AG76" i="27"/>
  <c r="AG90" i="27" s="1"/>
  <c r="W3" i="35"/>
  <c r="W42" i="35" s="1"/>
  <c r="AF74" i="27"/>
  <c r="AF88" i="27" s="1"/>
  <c r="S68" i="27"/>
  <c r="S75" i="27" s="1"/>
  <c r="S89" i="27" s="1"/>
  <c r="S67" i="27"/>
  <c r="S63" i="27"/>
  <c r="S59" i="27"/>
  <c r="S60" i="27"/>
  <c r="Z136" i="16"/>
  <c r="AF73" i="27"/>
  <c r="AF87" i="27" s="1"/>
  <c r="AF76" i="27"/>
  <c r="AF90" i="27" s="1"/>
  <c r="E179" i="1"/>
  <c r="K179" i="1" s="1"/>
  <c r="V60" i="27"/>
  <c r="H19" i="6"/>
  <c r="N19" i="6" s="1"/>
  <c r="V61" i="27"/>
  <c r="P52" i="34"/>
  <c r="D23" i="36" s="1"/>
  <c r="BO2" i="14"/>
  <c r="H10" i="6"/>
  <c r="N10" i="6" s="1"/>
  <c r="V63" i="27"/>
  <c r="V68" i="27"/>
  <c r="V70" i="27"/>
  <c r="V59" i="27"/>
  <c r="V66" i="27"/>
  <c r="V67" i="27"/>
  <c r="F33" i="1"/>
  <c r="F98" i="1" s="1"/>
  <c r="F177" i="1" s="1"/>
  <c r="B142" i="1"/>
  <c r="U21" i="22"/>
  <c r="H6" i="22" s="1"/>
  <c r="AP76" i="27"/>
  <c r="AP90" i="27" s="1"/>
  <c r="AD75" i="27"/>
  <c r="AD89" i="27" s="1"/>
  <c r="J231" i="17"/>
  <c r="X22" i="8"/>
  <c r="X39" i="16"/>
  <c r="I21" i="22"/>
  <c r="L42" i="2"/>
  <c r="Q68" i="27"/>
  <c r="AM77" i="27"/>
  <c r="AM91" i="27" s="1"/>
  <c r="R74" i="27"/>
  <c r="R88" i="27" s="1"/>
  <c r="K59" i="21"/>
  <c r="S56" i="1"/>
  <c r="H20" i="6"/>
  <c r="N20" i="6" s="1"/>
  <c r="G8" i="2"/>
  <c r="AA8" i="2" s="1"/>
  <c r="D50" i="5"/>
  <c r="H50" i="5" s="1"/>
  <c r="N68" i="21"/>
  <c r="AD68" i="21"/>
  <c r="M68" i="21"/>
  <c r="T11" i="23"/>
  <c r="N331" i="17"/>
  <c r="R331" i="17" s="1"/>
  <c r="H328" i="17"/>
  <c r="J328" i="17" s="1"/>
  <c r="S328" i="17" s="1"/>
  <c r="N332" i="17"/>
  <c r="AG34" i="22"/>
  <c r="BF9" i="19"/>
  <c r="Q329" i="17"/>
  <c r="E5" i="2"/>
  <c r="Y5" i="2" s="1"/>
  <c r="L24" i="17"/>
  <c r="H104" i="21"/>
  <c r="AD76" i="21"/>
  <c r="M76" i="21"/>
  <c r="H331" i="17"/>
  <c r="J331" i="17" s="1"/>
  <c r="S331" i="17" s="1"/>
  <c r="L20" i="23"/>
  <c r="H52" i="24"/>
  <c r="O56" i="1"/>
  <c r="O104" i="1" s="1"/>
  <c r="AS86" i="27"/>
  <c r="I56" i="24"/>
  <c r="K56" i="24" s="1"/>
  <c r="H56" i="24"/>
  <c r="AP75" i="27"/>
  <c r="AP89" i="27" s="1"/>
  <c r="AM74" i="27"/>
  <c r="AM88" i="27" s="1"/>
  <c r="AM73" i="27"/>
  <c r="AM87" i="27" s="1"/>
  <c r="AW9" i="19"/>
  <c r="N55" i="21"/>
  <c r="O55" i="21"/>
  <c r="AD55" i="21"/>
  <c r="K65" i="21"/>
  <c r="J65" i="21"/>
  <c r="J68" i="21"/>
  <c r="F62" i="22"/>
  <c r="K68" i="21"/>
  <c r="V2" i="14"/>
  <c r="R2" i="14"/>
  <c r="L45" i="2"/>
  <c r="AQ86" i="27"/>
  <c r="AK3" i="35"/>
  <c r="AK42" i="35" s="1"/>
  <c r="J20" i="24"/>
  <c r="K20" i="24" s="1"/>
  <c r="D8" i="36"/>
  <c r="P8" i="36" s="1"/>
  <c r="AB52" i="34"/>
  <c r="AH9" i="18"/>
  <c r="BF9" i="18" s="1"/>
  <c r="Q61" i="27"/>
  <c r="N109" i="1"/>
  <c r="O58" i="21"/>
  <c r="Q60" i="27"/>
  <c r="AD58" i="21"/>
  <c r="AN93" i="27"/>
  <c r="K19" i="24"/>
  <c r="Q66" i="27"/>
  <c r="Q73" i="27" s="1"/>
  <c r="Q87" i="27" s="1"/>
  <c r="N58" i="21"/>
  <c r="R44" i="22"/>
  <c r="K80" i="1"/>
  <c r="Q70" i="27"/>
  <c r="AG73" i="27"/>
  <c r="AG87" i="27" s="1"/>
  <c r="AN75" i="27"/>
  <c r="AN89" i="27" s="1"/>
  <c r="Q62" i="27"/>
  <c r="H18" i="6"/>
  <c r="N18" i="6" s="1"/>
  <c r="Q63" i="27"/>
  <c r="Q69" i="27"/>
  <c r="K81" i="1"/>
  <c r="V81" i="1" s="1"/>
  <c r="G28" i="5"/>
  <c r="Q67" i="27"/>
  <c r="E94" i="1"/>
  <c r="L58" i="2"/>
  <c r="L75" i="21"/>
  <c r="M75" i="21" s="1"/>
  <c r="AA18" i="21" s="1"/>
  <c r="P8" i="23"/>
  <c r="K8" i="23"/>
  <c r="E35" i="17" s="1"/>
  <c r="F6" i="32"/>
  <c r="C52" i="5"/>
  <c r="H8" i="32"/>
  <c r="H8" i="21"/>
  <c r="V8" i="21" s="1"/>
  <c r="D49" i="5"/>
  <c r="H49" i="5" s="1"/>
  <c r="AF95" i="27"/>
  <c r="AF77" i="27"/>
  <c r="AF91" i="27" s="1"/>
  <c r="AH74" i="27"/>
  <c r="AH88" i="27" s="1"/>
  <c r="AD84" i="15"/>
  <c r="D28" i="24" s="1"/>
  <c r="G28" i="24"/>
  <c r="H28" i="24" s="1"/>
  <c r="I57" i="24"/>
  <c r="F60" i="24"/>
  <c r="I60" i="24" s="1"/>
  <c r="CO106" i="15"/>
  <c r="I24" i="24"/>
  <c r="K24" i="24" s="1"/>
  <c r="E24" i="24"/>
  <c r="AF93" i="27"/>
  <c r="AE7" i="39"/>
  <c r="AE8" i="39" s="1"/>
  <c r="AE12" i="39" s="1"/>
  <c r="AZ19" i="14"/>
  <c r="G38" i="5"/>
  <c r="F326" i="17"/>
  <c r="C44" i="5"/>
  <c r="G44" i="5" s="1"/>
  <c r="U35" i="5" s="1"/>
  <c r="U45" i="5" s="1"/>
  <c r="Q377" i="17"/>
  <c r="AJ73" i="27"/>
  <c r="AJ87" i="27" s="1"/>
  <c r="AA74" i="27"/>
  <c r="AA88" i="27" s="1"/>
  <c r="G21" i="5"/>
  <c r="G26" i="5"/>
  <c r="H16" i="22"/>
  <c r="AC33" i="22"/>
  <c r="Y33" i="22"/>
  <c r="J4" i="32"/>
  <c r="F253" i="17"/>
  <c r="L62" i="21"/>
  <c r="AD62" i="21" s="1"/>
  <c r="AG42" i="22"/>
  <c r="H12" i="22"/>
  <c r="O76" i="21"/>
  <c r="AL52" i="34"/>
  <c r="BV104" i="15"/>
  <c r="G50" i="24"/>
  <c r="G33" i="23" s="1"/>
  <c r="BN2" i="14"/>
  <c r="S59" i="1"/>
  <c r="H21" i="6"/>
  <c r="N21" i="6" s="1"/>
  <c r="AA76" i="27"/>
  <c r="AA90" i="27" s="1"/>
  <c r="AT84" i="15"/>
  <c r="D36" i="24" s="1"/>
  <c r="G36" i="24"/>
  <c r="H36" i="24" s="1"/>
  <c r="M211" i="17"/>
  <c r="G23" i="5"/>
  <c r="L212" i="17"/>
  <c r="N212" i="17" s="1"/>
  <c r="AK84" i="15"/>
  <c r="C32" i="24" s="1"/>
  <c r="I32" i="24" s="1"/>
  <c r="H11" i="6"/>
  <c r="N11" i="6" s="1"/>
  <c r="J27" i="24"/>
  <c r="K27" i="24" s="1"/>
  <c r="AC76" i="27"/>
  <c r="AC90" i="27" s="1"/>
  <c r="H10" i="19"/>
  <c r="J10" i="19" s="1"/>
  <c r="AN42" i="35"/>
  <c r="C39" i="6"/>
  <c r="C44" i="6" s="1"/>
  <c r="L364" i="17"/>
  <c r="Q364" i="17" s="1"/>
  <c r="K364" i="17"/>
  <c r="T364" i="17" s="1"/>
  <c r="AC77" i="27"/>
  <c r="AC91" i="27" s="1"/>
  <c r="AC95" i="27"/>
  <c r="AH8" i="18"/>
  <c r="AU8" i="19"/>
  <c r="AD136" i="16"/>
  <c r="H29" i="6"/>
  <c r="N29" i="6" s="1"/>
  <c r="H27" i="24"/>
  <c r="AQ42" i="35"/>
  <c r="J43" i="16"/>
  <c r="I48" i="16"/>
  <c r="G152" i="21"/>
  <c r="I152" i="21" s="1"/>
  <c r="AT3" i="35"/>
  <c r="AT42" i="35" s="1"/>
  <c r="BA43" i="18"/>
  <c r="G31" i="5"/>
  <c r="F56" i="22"/>
  <c r="AX5" i="18"/>
  <c r="O11" i="22"/>
  <c r="H33" i="6"/>
  <c r="N33" i="6" s="1"/>
  <c r="H16" i="6"/>
  <c r="N16" i="6" s="1"/>
  <c r="P344" i="17"/>
  <c r="Q344" i="17"/>
  <c r="S53" i="1"/>
  <c r="M103" i="1"/>
  <c r="F59" i="21"/>
  <c r="H59" i="21" s="1"/>
  <c r="AE73" i="27"/>
  <c r="AE87" i="27" s="1"/>
  <c r="AJ77" i="27"/>
  <c r="AJ91" i="27" s="1"/>
  <c r="K18" i="24"/>
  <c r="H22" i="6"/>
  <c r="N22" i="6" s="1"/>
  <c r="AH76" i="27"/>
  <c r="AH90" i="27" s="1"/>
  <c r="AG7" i="39"/>
  <c r="AG8" i="39" s="1"/>
  <c r="AG12" i="39" s="1"/>
  <c r="AH93" i="27"/>
  <c r="K134" i="17"/>
  <c r="H6" i="6"/>
  <c r="N6" i="6" s="1"/>
  <c r="L31" i="2"/>
  <c r="Z17" i="22"/>
  <c r="Z11" i="22"/>
  <c r="N35" i="23"/>
  <c r="G24" i="5"/>
  <c r="R114" i="17"/>
  <c r="E17" i="2"/>
  <c r="Y12" i="2" s="1"/>
  <c r="E11" i="2"/>
  <c r="Y11" i="2" s="1"/>
  <c r="E45" i="2"/>
  <c r="G175" i="21"/>
  <c r="H38" i="6"/>
  <c r="N38" i="6" s="1"/>
  <c r="AG77" i="27"/>
  <c r="AG91" i="27" s="1"/>
  <c r="K122" i="1"/>
  <c r="V122" i="1" s="1"/>
  <c r="H12" i="6"/>
  <c r="N12" i="6" s="1"/>
  <c r="E25" i="24"/>
  <c r="E18" i="24"/>
  <c r="L152" i="21"/>
  <c r="M152" i="21" s="1"/>
  <c r="AF7" i="39"/>
  <c r="AF8" i="39" s="1"/>
  <c r="AF12" i="39" s="1"/>
  <c r="AG93" i="27"/>
  <c r="H183" i="1"/>
  <c r="J183" i="1" s="1"/>
  <c r="H106" i="1"/>
  <c r="H9" i="6"/>
  <c r="N9" i="6" s="1"/>
  <c r="H30" i="6"/>
  <c r="N30" i="6" s="1"/>
  <c r="H15" i="6"/>
  <c r="N15" i="6" s="1"/>
  <c r="H26" i="6"/>
  <c r="N26" i="6" s="1"/>
  <c r="J21" i="24"/>
  <c r="K21" i="24" s="1"/>
  <c r="E21" i="24"/>
  <c r="Y74" i="27"/>
  <c r="Y88" i="27" s="1"/>
  <c r="J15" i="19"/>
  <c r="G7" i="28" s="1"/>
  <c r="H253" i="17"/>
  <c r="E42" i="2"/>
  <c r="Y18" i="2" s="1"/>
  <c r="AK2" i="14"/>
  <c r="E31" i="2"/>
  <c r="E24" i="2"/>
  <c r="H25" i="6"/>
  <c r="N25" i="6" s="1"/>
  <c r="L37" i="2"/>
  <c r="Y6" i="2"/>
  <c r="E37" i="2"/>
  <c r="Y17" i="2" s="1"/>
  <c r="S44" i="22"/>
  <c r="H33" i="1"/>
  <c r="J62" i="1"/>
  <c r="U62" i="1" s="1"/>
  <c r="G6" i="2"/>
  <c r="AA6" i="2" s="1"/>
  <c r="E50" i="2"/>
  <c r="Y20" i="2" s="1"/>
  <c r="H34" i="6"/>
  <c r="N34" i="6" s="1"/>
  <c r="BF46" i="17"/>
  <c r="R57" i="17" s="1"/>
  <c r="T57" i="17" s="1"/>
  <c r="U57" i="17" s="1"/>
  <c r="BG46" i="17"/>
  <c r="R53" i="17" s="1"/>
  <c r="T53" i="17" s="1"/>
  <c r="P5" i="20"/>
  <c r="R5" i="20" s="1"/>
  <c r="O331" i="17"/>
  <c r="Q331" i="17" s="1"/>
  <c r="I403" i="17"/>
  <c r="O212" i="17"/>
  <c r="B191" i="17" s="1"/>
  <c r="J58" i="24"/>
  <c r="X3" i="35"/>
  <c r="X42" i="35" s="1"/>
  <c r="K136" i="16"/>
  <c r="K23" i="24"/>
  <c r="H51" i="24"/>
  <c r="AI76" i="27"/>
  <c r="AI90" i="27" s="1"/>
  <c r="I16" i="24"/>
  <c r="K16" i="24" s="1"/>
  <c r="E16" i="24"/>
  <c r="I120" i="17"/>
  <c r="AO77" i="27"/>
  <c r="AO91" i="27" s="1"/>
  <c r="AO88" i="27"/>
  <c r="AJ7" i="18"/>
  <c r="AJ6" i="18" s="1"/>
  <c r="AK8" i="18"/>
  <c r="AK7" i="18" s="1"/>
  <c r="AK6" i="18" s="1"/>
  <c r="AK5" i="18" s="1"/>
  <c r="AJ75" i="27"/>
  <c r="AJ89" i="27" s="1"/>
  <c r="AI7" i="39"/>
  <c r="AI8" i="39" s="1"/>
  <c r="AI12" i="39" s="1"/>
  <c r="AJ93" i="27"/>
  <c r="AZ8" i="19"/>
  <c r="AX7" i="19"/>
  <c r="AJ94" i="27"/>
  <c r="AJ76" i="27"/>
  <c r="AJ90" i="27" s="1"/>
  <c r="F106" i="1"/>
  <c r="F183" i="1"/>
  <c r="F93" i="1"/>
  <c r="N62" i="1"/>
  <c r="J327" i="17"/>
  <c r="S327" i="17" s="1"/>
  <c r="E106" i="1"/>
  <c r="K62" i="1"/>
  <c r="E183" i="1"/>
  <c r="K183" i="1" s="1"/>
  <c r="AG74" i="27"/>
  <c r="AG88" i="27" s="1"/>
  <c r="AD56" i="17"/>
  <c r="CE9" i="19"/>
  <c r="L342" i="17"/>
  <c r="N113" i="1"/>
  <c r="P85" i="1"/>
  <c r="N108" i="1"/>
  <c r="P72" i="1"/>
  <c r="I134" i="17"/>
  <c r="E353" i="17"/>
  <c r="C11" i="20" s="1"/>
  <c r="AO76" i="27"/>
  <c r="AO90" i="27" s="1"/>
  <c r="T73" i="27"/>
  <c r="T87" i="27" s="1"/>
  <c r="I44" i="24"/>
  <c r="C9" i="23"/>
  <c r="E9" i="23" s="1"/>
  <c r="AN38" i="17"/>
  <c r="AP38" i="17" s="1"/>
  <c r="K12" i="17"/>
  <c r="K11" i="17" s="1"/>
  <c r="I363" i="17"/>
  <c r="J363" i="17" s="1"/>
  <c r="H24" i="17"/>
  <c r="H25" i="17" s="1"/>
  <c r="H11" i="17"/>
  <c r="K40" i="16"/>
  <c r="K28" i="8"/>
  <c r="Y73" i="27"/>
  <c r="Y87" i="27" s="1"/>
  <c r="K51" i="24"/>
  <c r="Y84" i="15"/>
  <c r="C26" i="24" s="1"/>
  <c r="H43" i="24"/>
  <c r="J43" i="24"/>
  <c r="K43" i="24" s="1"/>
  <c r="J55" i="24"/>
  <c r="AD3" i="35"/>
  <c r="Q136" i="16"/>
  <c r="V3" i="35"/>
  <c r="V42" i="35" s="1"/>
  <c r="I136" i="16"/>
  <c r="AO73" i="27"/>
  <c r="AO87" i="27" s="1"/>
  <c r="J22" i="24"/>
  <c r="I47" i="24"/>
  <c r="K47" i="24" s="1"/>
  <c r="H47" i="24"/>
  <c r="AE3" i="35"/>
  <c r="AE42" i="35" s="1"/>
  <c r="R136" i="16"/>
  <c r="J134" i="17"/>
  <c r="H133" i="17"/>
  <c r="D22" i="20"/>
  <c r="K15" i="17"/>
  <c r="H21" i="17"/>
  <c r="K21" i="17" s="1"/>
  <c r="I15" i="17"/>
  <c r="I389" i="17" s="1"/>
  <c r="O54" i="1"/>
  <c r="S54" i="1"/>
  <c r="M180" i="1"/>
  <c r="O180" i="1" s="1"/>
  <c r="D21" i="1"/>
  <c r="G21" i="1" s="1"/>
  <c r="AO75" i="27"/>
  <c r="AO89" i="27" s="1"/>
  <c r="AN7" i="39"/>
  <c r="AN8" i="39" s="1"/>
  <c r="F30" i="25"/>
  <c r="F31" i="25" s="1"/>
  <c r="AK73" i="27"/>
  <c r="AK87" i="27" s="1"/>
  <c r="AV19" i="14"/>
  <c r="AU31" i="14" s="1"/>
  <c r="BE19" i="14"/>
  <c r="BD31" i="14" s="1"/>
  <c r="BQ19" i="14"/>
  <c r="BP31" i="14" s="1"/>
  <c r="AM19" i="14"/>
  <c r="AP19" i="14"/>
  <c r="AQ19" i="14"/>
  <c r="AS19" i="14"/>
  <c r="AR31" i="14" s="1"/>
  <c r="BB19" i="14"/>
  <c r="BA31" i="14" s="1"/>
  <c r="BW19" i="14"/>
  <c r="BK19" i="14"/>
  <c r="BJ31" i="14" s="1"/>
  <c r="AY19" i="14"/>
  <c r="BT19" i="14"/>
  <c r="BS31" i="14" s="1"/>
  <c r="BH19" i="14"/>
  <c r="BG31" i="14" s="1"/>
  <c r="BN19" i="14"/>
  <c r="BM31" i="14" s="1"/>
  <c r="H124" i="1"/>
  <c r="H120" i="1" s="1"/>
  <c r="H119" i="1" s="1"/>
  <c r="H145" i="1" s="1"/>
  <c r="F42" i="1"/>
  <c r="N44" i="1"/>
  <c r="Z76" i="27"/>
  <c r="Z90" i="27" s="1"/>
  <c r="Z73" i="27"/>
  <c r="Z87" i="27" s="1"/>
  <c r="Y77" i="27"/>
  <c r="Y91" i="27" s="1"/>
  <c r="AH19" i="14"/>
  <c r="AG19" i="14"/>
  <c r="I4" i="32"/>
  <c r="H4" i="32"/>
  <c r="I18" i="23"/>
  <c r="AK95" i="27"/>
  <c r="AK77" i="27"/>
  <c r="AK91" i="27" s="1"/>
  <c r="AB12" i="39"/>
  <c r="S136" i="16"/>
  <c r="AF3" i="35"/>
  <c r="AF42" i="35" s="1"/>
  <c r="AE94" i="27"/>
  <c r="AE76" i="27"/>
  <c r="AE90" i="27" s="1"/>
  <c r="J59" i="24"/>
  <c r="K59" i="24" s="1"/>
  <c r="H59" i="24"/>
  <c r="AL93" i="27"/>
  <c r="AK7" i="39"/>
  <c r="AK8" i="39" s="1"/>
  <c r="AK12" i="39" s="1"/>
  <c r="E20" i="20"/>
  <c r="I53" i="24"/>
  <c r="K53" i="24" s="1"/>
  <c r="T74" i="27"/>
  <c r="T88" i="27" s="1"/>
  <c r="AE74" i="27"/>
  <c r="AE88" i="27" s="1"/>
  <c r="T3" i="35"/>
  <c r="T42" i="35" s="1"/>
  <c r="G136" i="16"/>
  <c r="Z75" i="27"/>
  <c r="Z89" i="27" s="1"/>
  <c r="Y75" i="27"/>
  <c r="Y89" i="27" s="1"/>
  <c r="Y76" i="27"/>
  <c r="Y90" i="27" s="1"/>
  <c r="AK93" i="27"/>
  <c r="AJ7" i="39"/>
  <c r="AJ8" i="39" s="1"/>
  <c r="AJ12" i="39" s="1"/>
  <c r="AE95" i="27"/>
  <c r="AE77" i="27"/>
  <c r="AE91" i="27" s="1"/>
  <c r="J37" i="24"/>
  <c r="K37" i="24" s="1"/>
  <c r="E37" i="24"/>
  <c r="H11" i="45"/>
  <c r="F7" i="45"/>
  <c r="H7" i="45" s="1"/>
  <c r="J49" i="24"/>
  <c r="K49" i="24" s="1"/>
  <c r="H49" i="24"/>
  <c r="W75" i="27"/>
  <c r="W89" i="27" s="1"/>
  <c r="F14" i="41"/>
  <c r="G14" i="41" s="1"/>
  <c r="L14" i="41"/>
  <c r="M134" i="17"/>
  <c r="N134" i="17"/>
  <c r="L133" i="17"/>
  <c r="B168" i="1"/>
  <c r="AE93" i="27"/>
  <c r="AD7" i="39"/>
  <c r="AD8" i="39" s="1"/>
  <c r="AD12" i="39" s="1"/>
  <c r="AE75" i="27"/>
  <c r="AE89" i="27" s="1"/>
  <c r="Z77" i="27"/>
  <c r="Z91" i="27" s="1"/>
  <c r="H46" i="24"/>
  <c r="I46" i="24"/>
  <c r="K46" i="24" s="1"/>
  <c r="U75" i="27"/>
  <c r="U89" i="27" s="1"/>
  <c r="F65" i="21"/>
  <c r="H65" i="21" s="1"/>
  <c r="H129" i="21"/>
  <c r="Q3" i="35"/>
  <c r="Q42" i="35" s="1"/>
  <c r="D136" i="16"/>
  <c r="K8" i="20"/>
  <c r="J8" i="20" s="1"/>
  <c r="B83" i="17"/>
  <c r="D33" i="17"/>
  <c r="H342" i="17"/>
  <c r="J346" i="17"/>
  <c r="V67" i="1"/>
  <c r="K107" i="1"/>
  <c r="F87" i="4"/>
  <c r="H87" i="4" s="1"/>
  <c r="S39" i="1"/>
  <c r="B153" i="1"/>
  <c r="B165" i="1"/>
  <c r="Q375" i="17"/>
  <c r="V42" i="1"/>
  <c r="T38" i="22"/>
  <c r="U38" i="22" s="1"/>
  <c r="S45" i="22"/>
  <c r="AF36" i="22"/>
  <c r="U36" i="22"/>
  <c r="S71" i="1"/>
  <c r="N71" i="1"/>
  <c r="O71" i="1"/>
  <c r="H178" i="1"/>
  <c r="J178" i="1" s="1"/>
  <c r="J42" i="1"/>
  <c r="H100" i="1"/>
  <c r="J91" i="1"/>
  <c r="U91" i="1" s="1"/>
  <c r="H89" i="1"/>
  <c r="S91" i="1"/>
  <c r="S79" i="1"/>
  <c r="O79" i="1"/>
  <c r="N79" i="1"/>
  <c r="J102" i="1"/>
  <c r="U52" i="1"/>
  <c r="J92" i="1"/>
  <c r="U92" i="1" s="1"/>
  <c r="S92" i="1"/>
  <c r="D33" i="5"/>
  <c r="H33" i="5" s="1"/>
  <c r="G33" i="5"/>
  <c r="J101" i="1"/>
  <c r="U43" i="1"/>
  <c r="S84" i="1"/>
  <c r="N84" i="1"/>
  <c r="O84" i="1"/>
  <c r="J47" i="1"/>
  <c r="U47" i="1" s="1"/>
  <c r="S47" i="1"/>
  <c r="G25" i="1"/>
  <c r="H107" i="1"/>
  <c r="J67" i="1"/>
  <c r="G29" i="5"/>
  <c r="G52" i="5" s="1"/>
  <c r="D29" i="5"/>
  <c r="H29" i="5" s="1"/>
  <c r="H52" i="5" s="1"/>
  <c r="J85" i="1"/>
  <c r="H113" i="1"/>
  <c r="H187" i="1"/>
  <c r="J187" i="1" s="1"/>
  <c r="K108" i="1"/>
  <c r="V72" i="1"/>
  <c r="D19" i="5"/>
  <c r="H19" i="5" s="1"/>
  <c r="G19" i="5"/>
  <c r="H185" i="1"/>
  <c r="J185" i="1" s="1"/>
  <c r="S72" i="1"/>
  <c r="J72" i="1"/>
  <c r="H108" i="1"/>
  <c r="H130" i="1" s="1"/>
  <c r="J130" i="1" s="1"/>
  <c r="B138" i="1" s="1"/>
  <c r="H179" i="1"/>
  <c r="J179" i="1" s="1"/>
  <c r="J53" i="1"/>
  <c r="H103" i="1"/>
  <c r="M107" i="1"/>
  <c r="N67" i="1"/>
  <c r="S67" i="1"/>
  <c r="O67" i="1"/>
  <c r="N187" i="1"/>
  <c r="O187" i="1"/>
  <c r="U73" i="1"/>
  <c r="J109" i="1"/>
  <c r="H105" i="1"/>
  <c r="J59" i="1"/>
  <c r="J83" i="1"/>
  <c r="U83" i="1" s="1"/>
  <c r="S83" i="1"/>
  <c r="I25" i="8"/>
  <c r="I35" i="16"/>
  <c r="I41" i="16" s="1"/>
  <c r="D10" i="23"/>
  <c r="J62" i="24"/>
  <c r="H62" i="24"/>
  <c r="AO36" i="17"/>
  <c r="AO40" i="17"/>
  <c r="J41" i="24"/>
  <c r="K41" i="24" s="1"/>
  <c r="D33" i="23"/>
  <c r="H41" i="24"/>
  <c r="V20" i="8"/>
  <c r="V32" i="16"/>
  <c r="H10" i="22"/>
  <c r="R12" i="22" s="1"/>
  <c r="O327" i="17"/>
  <c r="Q327" i="17" s="1"/>
  <c r="U327" i="17"/>
  <c r="N327" i="17"/>
  <c r="R327" i="17" s="1"/>
  <c r="T337" i="17"/>
  <c r="E20" i="17"/>
  <c r="J60" i="24"/>
  <c r="X48" i="16"/>
  <c r="Y45" i="16"/>
  <c r="C53" i="17"/>
  <c r="E53" i="17" s="1"/>
  <c r="E55" i="17"/>
  <c r="O117" i="17"/>
  <c r="O123" i="17"/>
  <c r="D12" i="23"/>
  <c r="G22" i="20"/>
  <c r="H22" i="20" s="1"/>
  <c r="N15" i="17"/>
  <c r="M15" i="17"/>
  <c r="O15" i="17" s="1"/>
  <c r="S375" i="17"/>
  <c r="I396" i="17"/>
  <c r="H168" i="21"/>
  <c r="F14" i="21"/>
  <c r="H14" i="21" s="1"/>
  <c r="F69" i="21"/>
  <c r="H69" i="21" s="1"/>
  <c r="H143" i="21"/>
  <c r="H118" i="21"/>
  <c r="F60" i="21"/>
  <c r="H60" i="21" s="1"/>
  <c r="H85" i="21"/>
  <c r="F172" i="21"/>
  <c r="T7" i="21"/>
  <c r="H7" i="21"/>
  <c r="V7" i="21" s="1"/>
  <c r="H147" i="21"/>
  <c r="F74" i="21"/>
  <c r="H74" i="21" s="1"/>
  <c r="T4" i="21"/>
  <c r="F3" i="21"/>
  <c r="J335" i="17"/>
  <c r="S335" i="17" s="1"/>
  <c r="F16" i="21"/>
  <c r="F76" i="21"/>
  <c r="H146" i="21"/>
  <c r="H112" i="21"/>
  <c r="F58" i="21"/>
  <c r="H58" i="21" s="1"/>
  <c r="L34" i="17"/>
  <c r="K342" i="17"/>
  <c r="F57" i="21"/>
  <c r="H96" i="21"/>
  <c r="H155" i="21"/>
  <c r="F154" i="21"/>
  <c r="F157" i="21"/>
  <c r="H157" i="21" s="1"/>
  <c r="H114" i="21"/>
  <c r="J339" i="17"/>
  <c r="H337" i="17"/>
  <c r="I397" i="17"/>
  <c r="K327" i="17"/>
  <c r="F13" i="21"/>
  <c r="H167" i="21"/>
  <c r="H89" i="21"/>
  <c r="F53" i="21"/>
  <c r="H53" i="21" s="1"/>
  <c r="H125" i="21"/>
  <c r="F62" i="21"/>
  <c r="F54" i="21"/>
  <c r="H54" i="21" s="1"/>
  <c r="H86" i="21"/>
  <c r="K135" i="17"/>
  <c r="G133" i="17"/>
  <c r="H362" i="17"/>
  <c r="L37" i="17"/>
  <c r="N37" i="17" s="1"/>
  <c r="E61" i="22"/>
  <c r="H67" i="21"/>
  <c r="F73" i="21"/>
  <c r="H73" i="21" s="1"/>
  <c r="H142" i="21"/>
  <c r="H7" i="20"/>
  <c r="K7" i="20"/>
  <c r="J7" i="20" s="1"/>
  <c r="F15" i="21"/>
  <c r="H15" i="21" s="1"/>
  <c r="H169" i="21"/>
  <c r="F158" i="21"/>
  <c r="H158" i="21" s="1"/>
  <c r="H116" i="21"/>
  <c r="F78" i="21"/>
  <c r="H79" i="21"/>
  <c r="F68" i="21"/>
  <c r="H140" i="21"/>
  <c r="V85" i="1"/>
  <c r="K113" i="1"/>
  <c r="V89" i="1"/>
  <c r="K114" i="1"/>
  <c r="M34" i="1"/>
  <c r="M33" i="1" s="1"/>
  <c r="Q33" i="1"/>
  <c r="F104" i="1"/>
  <c r="F181" i="1"/>
  <c r="N181" i="1" s="1"/>
  <c r="N56" i="1"/>
  <c r="N104" i="1" s="1"/>
  <c r="T75" i="27"/>
  <c r="T89" i="27" s="1"/>
  <c r="F180" i="1"/>
  <c r="N54" i="1"/>
  <c r="F53" i="1"/>
  <c r="M101" i="17"/>
  <c r="N101" i="17"/>
  <c r="M90" i="17"/>
  <c r="N90" i="17"/>
  <c r="J38" i="16"/>
  <c r="J27" i="8"/>
  <c r="T77" i="27"/>
  <c r="T91" i="27" s="1"/>
  <c r="T76" i="27"/>
  <c r="T90" i="27" s="1"/>
  <c r="L21" i="41"/>
  <c r="E21" i="41"/>
  <c r="G21" i="41" s="1"/>
  <c r="AP50" i="34"/>
  <c r="Q122" i="1" s="1"/>
  <c r="CD83" i="15"/>
  <c r="CD105" i="15"/>
  <c r="CD107" i="15" s="1"/>
  <c r="K165" i="17"/>
  <c r="K169" i="17" s="1"/>
  <c r="N89" i="17"/>
  <c r="M89" i="17"/>
  <c r="M326" i="17"/>
  <c r="J32" i="24"/>
  <c r="P335" i="17"/>
  <c r="N231" i="17"/>
  <c r="K231" i="17"/>
  <c r="T69" i="16"/>
  <c r="T73" i="16"/>
  <c r="L74" i="21"/>
  <c r="P163" i="1"/>
  <c r="B166" i="1" s="1"/>
  <c r="J34" i="1"/>
  <c r="H99" i="1"/>
  <c r="AB3" i="35"/>
  <c r="O136" i="16"/>
  <c r="J29" i="24"/>
  <c r="K29" i="24" s="1"/>
  <c r="E29" i="24"/>
  <c r="M376" i="17"/>
  <c r="N80" i="17"/>
  <c r="O80" i="17" s="1"/>
  <c r="I90" i="17"/>
  <c r="K90" i="17"/>
  <c r="J90" i="17"/>
  <c r="H89" i="17"/>
  <c r="K376" i="17"/>
  <c r="T376" i="17" s="1"/>
  <c r="L376" i="17"/>
  <c r="J376" i="17"/>
  <c r="S376" i="17" s="1"/>
  <c r="L120" i="17"/>
  <c r="M121" i="17"/>
  <c r="N121" i="17"/>
  <c r="E111" i="17"/>
  <c r="F329" i="17"/>
  <c r="N112" i="17"/>
  <c r="N111" i="17" s="1"/>
  <c r="P377" i="17"/>
  <c r="R377" i="17"/>
  <c r="I398" i="17" s="1"/>
  <c r="H6" i="20"/>
  <c r="K6" i="20"/>
  <c r="J6" i="20" s="1"/>
  <c r="V53" i="17"/>
  <c r="N54" i="17"/>
  <c r="B66" i="17"/>
  <c r="Q345" i="17"/>
  <c r="O342" i="17"/>
  <c r="V54" i="17"/>
  <c r="W54" i="17" s="1"/>
  <c r="T54" i="17"/>
  <c r="U54" i="17" s="1"/>
  <c r="L334" i="17"/>
  <c r="J334" i="17"/>
  <c r="S334" i="17" s="1"/>
  <c r="K334" i="17"/>
  <c r="T334" i="17" s="1"/>
  <c r="Q7" i="20"/>
  <c r="T7" i="20"/>
  <c r="S7" i="20" s="1"/>
  <c r="P345" i="17"/>
  <c r="K253" i="17"/>
  <c r="J278" i="17"/>
  <c r="K278" i="17" s="1"/>
  <c r="K279" i="17" s="1"/>
  <c r="N337" i="17"/>
  <c r="P338" i="17"/>
  <c r="T8" i="20"/>
  <c r="S8" i="20" s="1"/>
  <c r="Q8" i="20"/>
  <c r="P6" i="20"/>
  <c r="R6" i="20" s="1"/>
  <c r="O334" i="17"/>
  <c r="N334" i="17"/>
  <c r="Q338" i="17"/>
  <c r="O337" i="17"/>
  <c r="Q337" i="17" s="1"/>
  <c r="AV5" i="18"/>
  <c r="AV43" i="18"/>
  <c r="AR43" i="18"/>
  <c r="AR5" i="18"/>
  <c r="AE44" i="16"/>
  <c r="AS5" i="18"/>
  <c r="AS43" i="18"/>
  <c r="V59" i="23"/>
  <c r="U64" i="23" s="1"/>
  <c r="V48" i="23"/>
  <c r="W24" i="23"/>
  <c r="N67" i="21"/>
  <c r="AD67" i="21"/>
  <c r="M67" i="21"/>
  <c r="O67" i="21"/>
  <c r="L347" i="17"/>
  <c r="O347" i="17"/>
  <c r="J31" i="24"/>
  <c r="K31" i="24" s="1"/>
  <c r="E31" i="24"/>
  <c r="M48" i="23"/>
  <c r="D55" i="23"/>
  <c r="K21" i="22"/>
  <c r="H21" i="2"/>
  <c r="H17" i="2" s="1"/>
  <c r="I110" i="21"/>
  <c r="H110" i="21"/>
  <c r="W8" i="23"/>
  <c r="X24" i="23" s="1"/>
  <c r="Y24" i="23" s="1"/>
  <c r="T8" i="23"/>
  <c r="Y8" i="23" s="1"/>
  <c r="H35" i="17"/>
  <c r="Q32" i="23"/>
  <c r="X48" i="23" s="1"/>
  <c r="Y48" i="23" s="1"/>
  <c r="N32" i="23"/>
  <c r="N48" i="23" s="1"/>
  <c r="O48" i="23" s="1"/>
  <c r="F81" i="18"/>
  <c r="AL42" i="35"/>
  <c r="F53" i="17"/>
  <c r="I55" i="17"/>
  <c r="H55" i="17"/>
  <c r="CE104" i="15"/>
  <c r="F55" i="24"/>
  <c r="F33" i="17"/>
  <c r="I35" i="17"/>
  <c r="AQ35" i="17"/>
  <c r="L50" i="2"/>
  <c r="AD20" i="2"/>
  <c r="E52" i="21"/>
  <c r="AT10" i="19"/>
  <c r="AM5" i="28"/>
  <c r="BZ5" i="19"/>
  <c r="K26" i="19"/>
  <c r="M26" i="19" s="1"/>
  <c r="K40" i="19"/>
  <c r="M40" i="19" s="1"/>
  <c r="K30" i="19"/>
  <c r="M30" i="19" s="1"/>
  <c r="L1" i="19"/>
  <c r="K48" i="19"/>
  <c r="K21" i="19"/>
  <c r="M21" i="19" s="1"/>
  <c r="K25" i="19"/>
  <c r="M25" i="19" s="1"/>
  <c r="K11" i="19"/>
  <c r="M11" i="19" s="1"/>
  <c r="K16" i="19"/>
  <c r="M16" i="19" s="1"/>
  <c r="K32" i="19"/>
  <c r="M32" i="19" s="1"/>
  <c r="K29" i="19"/>
  <c r="M29" i="19" s="1"/>
  <c r="K34" i="19"/>
  <c r="M34" i="19" s="1"/>
  <c r="K19" i="19"/>
  <c r="M19" i="19" s="1"/>
  <c r="K31" i="19"/>
  <c r="M31" i="19" s="1"/>
  <c r="K27" i="19"/>
  <c r="M27" i="19" s="1"/>
  <c r="K37" i="19"/>
  <c r="M37" i="19" s="1"/>
  <c r="K17" i="19"/>
  <c r="M17" i="19" s="1"/>
  <c r="K33" i="19"/>
  <c r="M33" i="19" s="1"/>
  <c r="K20" i="19"/>
  <c r="M20" i="19" s="1"/>
  <c r="K49" i="19"/>
  <c r="M49" i="19" s="1"/>
  <c r="K14" i="19"/>
  <c r="M14" i="19" s="1"/>
  <c r="K42" i="19"/>
  <c r="M42" i="19" s="1"/>
  <c r="K28" i="19"/>
  <c r="M28" i="19" s="1"/>
  <c r="K38" i="19"/>
  <c r="M38" i="19" s="1"/>
  <c r="K47" i="19"/>
  <c r="K13" i="19"/>
  <c r="M13" i="19" s="1"/>
  <c r="K23" i="19"/>
  <c r="M23" i="19" s="1"/>
  <c r="K36" i="19"/>
  <c r="M36" i="19" s="1"/>
  <c r="K39" i="19"/>
  <c r="M39" i="19" s="1"/>
  <c r="K9" i="19"/>
  <c r="K12" i="19"/>
  <c r="M12" i="19" s="1"/>
  <c r="K41" i="19"/>
  <c r="M41" i="19" s="1"/>
  <c r="K46" i="19"/>
  <c r="K15" i="19"/>
  <c r="K50" i="19"/>
  <c r="M50" i="19" s="1"/>
  <c r="K24" i="19"/>
  <c r="M24" i="19" s="1"/>
  <c r="K18" i="19"/>
  <c r="M18" i="19" s="1"/>
  <c r="K35" i="19"/>
  <c r="M35" i="19" s="1"/>
  <c r="K45" i="19"/>
  <c r="K22" i="19"/>
  <c r="M22" i="19" s="1"/>
  <c r="AT44" i="19"/>
  <c r="O372" i="17"/>
  <c r="BG46" i="18"/>
  <c r="H278" i="17"/>
  <c r="AD2" i="14"/>
  <c r="AE2" i="14"/>
  <c r="AH2" i="14"/>
  <c r="BJ94" i="18"/>
  <c r="BJ13" i="18"/>
  <c r="BK94" i="18" s="1"/>
  <c r="BJ93" i="18"/>
  <c r="BJ15" i="18"/>
  <c r="BK93" i="18" s="1"/>
  <c r="I22" i="22" l="1"/>
  <c r="AC13" i="22" s="1"/>
  <c r="H154" i="21"/>
  <c r="J342" i="17"/>
  <c r="AO7" i="39"/>
  <c r="AO8" i="39" s="1"/>
  <c r="AM76" i="27"/>
  <c r="AM90" i="27" s="1"/>
  <c r="F21" i="7"/>
  <c r="F22" i="7" s="1"/>
  <c r="BV6" i="19"/>
  <c r="AW5" i="18"/>
  <c r="G20" i="22"/>
  <c r="I20" i="22" s="1"/>
  <c r="BJ6" i="19"/>
  <c r="BL6" i="19" s="1"/>
  <c r="BL43" i="19" s="1"/>
  <c r="E16" i="17"/>
  <c r="C33" i="23"/>
  <c r="E33" i="23" s="1"/>
  <c r="E58" i="17" s="1"/>
  <c r="J5" i="32"/>
  <c r="AP77" i="27"/>
  <c r="AP91" i="27" s="1"/>
  <c r="AP86" i="27" s="1"/>
  <c r="BP6" i="19"/>
  <c r="BP5" i="19" s="1"/>
  <c r="BR5" i="19" s="1"/>
  <c r="BI7" i="19"/>
  <c r="H170" i="21"/>
  <c r="G16" i="21"/>
  <c r="K16" i="21" s="1"/>
  <c r="N121" i="1"/>
  <c r="H40" i="24"/>
  <c r="E6" i="19"/>
  <c r="E43" i="19" s="1"/>
  <c r="CE10" i="19"/>
  <c r="G7" i="19"/>
  <c r="D6" i="28" s="1"/>
  <c r="AR6" i="19"/>
  <c r="AR5" i="19" s="1"/>
  <c r="AT5" i="19" s="1"/>
  <c r="F29" i="1"/>
  <c r="I8" i="22"/>
  <c r="M8" i="22" s="1"/>
  <c r="W74" i="27"/>
  <c r="W88" i="27" s="1"/>
  <c r="X74" i="27"/>
  <c r="X88" i="27" s="1"/>
  <c r="C72" i="20"/>
  <c r="B72" i="20" s="1"/>
  <c r="J14" i="17"/>
  <c r="H20" i="17"/>
  <c r="I20" i="17" s="1"/>
  <c r="G56" i="21"/>
  <c r="I56" i="21" s="1"/>
  <c r="J62" i="21"/>
  <c r="AL7" i="28"/>
  <c r="D21" i="20"/>
  <c r="F21" i="20" s="1"/>
  <c r="H62" i="21"/>
  <c r="K62" i="21"/>
  <c r="J57" i="2"/>
  <c r="C96" i="2" s="1"/>
  <c r="E111" i="1"/>
  <c r="AD73" i="27"/>
  <c r="AD87" i="27" s="1"/>
  <c r="R76" i="27"/>
  <c r="R90" i="27" s="1"/>
  <c r="E186" i="1"/>
  <c r="K186" i="1" s="1"/>
  <c r="K75" i="1"/>
  <c r="I42" i="24"/>
  <c r="K42" i="24" s="1"/>
  <c r="H42" i="24"/>
  <c r="BY44" i="19"/>
  <c r="AN7" i="28"/>
  <c r="CQ7" i="19"/>
  <c r="CT7" i="19" s="1"/>
  <c r="CS7" i="19" s="1"/>
  <c r="E23" i="24"/>
  <c r="K62" i="24"/>
  <c r="H349" i="17"/>
  <c r="K5" i="22"/>
  <c r="C71" i="20"/>
  <c r="B71" i="20" s="1"/>
  <c r="G42" i="22"/>
  <c r="I42" i="22" s="1"/>
  <c r="AC18" i="22" s="1"/>
  <c r="G37" i="22"/>
  <c r="AA17" i="22" s="1"/>
  <c r="J5" i="2"/>
  <c r="C94" i="2" s="1"/>
  <c r="AD8" i="2"/>
  <c r="I7" i="22"/>
  <c r="AC7" i="22" s="1"/>
  <c r="G5" i="22"/>
  <c r="AA5" i="22" s="1"/>
  <c r="H163" i="17"/>
  <c r="BS6" i="19"/>
  <c r="BS43" i="19" s="1"/>
  <c r="AN77" i="27"/>
  <c r="AN91" i="27" s="1"/>
  <c r="AN86" i="27" s="1"/>
  <c r="AI8" i="28" s="1"/>
  <c r="AD77" i="27"/>
  <c r="AD91" i="27" s="1"/>
  <c r="N123" i="1"/>
  <c r="Y16" i="22"/>
  <c r="Y21" i="22" s="1"/>
  <c r="G38" i="25"/>
  <c r="G18" i="25" s="1"/>
  <c r="G45" i="22"/>
  <c r="I45" i="22" s="1"/>
  <c r="AC19" i="22" s="1"/>
  <c r="G50" i="22"/>
  <c r="I50" i="22" s="1"/>
  <c r="AC20" i="22" s="1"/>
  <c r="H38" i="25"/>
  <c r="H18" i="25" s="1"/>
  <c r="R18" i="25" s="1"/>
  <c r="AD74" i="27"/>
  <c r="AD88" i="27" s="1"/>
  <c r="AD86" i="27" s="1"/>
  <c r="E8" i="28" s="1"/>
  <c r="E11" i="28" s="1"/>
  <c r="AG8" i="18"/>
  <c r="AG7" i="18" s="1"/>
  <c r="AL73" i="27"/>
  <c r="AL87" i="27" s="1"/>
  <c r="H19" i="18"/>
  <c r="BD19" i="18" s="1"/>
  <c r="H38" i="18"/>
  <c r="I38" i="18" s="1"/>
  <c r="H39" i="18"/>
  <c r="BD39" i="18" s="1"/>
  <c r="H23" i="18"/>
  <c r="BD23" i="18" s="1"/>
  <c r="H35" i="18"/>
  <c r="I35" i="18" s="1"/>
  <c r="H18" i="18"/>
  <c r="I18" i="18" s="1"/>
  <c r="H28" i="18"/>
  <c r="BD28" i="18" s="1"/>
  <c r="H16" i="18"/>
  <c r="BD16" i="18" s="1"/>
  <c r="H20" i="18"/>
  <c r="BD20" i="18" s="1"/>
  <c r="H31" i="18"/>
  <c r="I31" i="18" s="1"/>
  <c r="H30" i="18"/>
  <c r="BD30" i="18" s="1"/>
  <c r="H48" i="18"/>
  <c r="BD48" i="18" s="1"/>
  <c r="H11" i="18"/>
  <c r="I11" i="18" s="1"/>
  <c r="H49" i="18"/>
  <c r="BD49" i="18" s="1"/>
  <c r="I1" i="18"/>
  <c r="I49" i="18" s="1"/>
  <c r="H32" i="18"/>
  <c r="I32" i="18" s="1"/>
  <c r="H22" i="18"/>
  <c r="BD22" i="18" s="1"/>
  <c r="H26" i="18"/>
  <c r="I26" i="18" s="1"/>
  <c r="H42" i="18"/>
  <c r="BD42" i="18" s="1"/>
  <c r="H33" i="18"/>
  <c r="I33" i="18" s="1"/>
  <c r="H21" i="18"/>
  <c r="I21" i="18" s="1"/>
  <c r="H45" i="18"/>
  <c r="I45" i="18" s="1"/>
  <c r="H24" i="18"/>
  <c r="I24" i="18" s="1"/>
  <c r="H25" i="18"/>
  <c r="I25" i="18" s="1"/>
  <c r="H47" i="18"/>
  <c r="BD47" i="18" s="1"/>
  <c r="H44" i="18"/>
  <c r="I44" i="18" s="1"/>
  <c r="H12" i="18"/>
  <c r="H17" i="18"/>
  <c r="I17" i="18" s="1"/>
  <c r="H9" i="18"/>
  <c r="BD9" i="18" s="1"/>
  <c r="H37" i="18"/>
  <c r="I37" i="18" s="1"/>
  <c r="H34" i="18"/>
  <c r="I34" i="18" s="1"/>
  <c r="H13" i="18"/>
  <c r="BD13" i="18" s="1"/>
  <c r="H41" i="18"/>
  <c r="I41" i="18" s="1"/>
  <c r="H40" i="18"/>
  <c r="I40" i="18" s="1"/>
  <c r="H50" i="18"/>
  <c r="BD50" i="18" s="1"/>
  <c r="H29" i="18"/>
  <c r="BD29" i="18" s="1"/>
  <c r="H15" i="18"/>
  <c r="I15" i="18" s="1"/>
  <c r="I68" i="18" s="1"/>
  <c r="H81" i="18" s="1"/>
  <c r="H27" i="18"/>
  <c r="BD27" i="18" s="1"/>
  <c r="H36" i="18"/>
  <c r="BD36" i="18" s="1"/>
  <c r="N183" i="1"/>
  <c r="P332" i="17"/>
  <c r="M179" i="1"/>
  <c r="O179" i="1" s="1"/>
  <c r="BD14" i="18"/>
  <c r="Y11" i="22"/>
  <c r="G11" i="22"/>
  <c r="AA11" i="22" s="1"/>
  <c r="X77" i="27"/>
  <c r="X91" i="27" s="1"/>
  <c r="AK74" i="27"/>
  <c r="AK88" i="27" s="1"/>
  <c r="AB75" i="27"/>
  <c r="AB89" i="27" s="1"/>
  <c r="AB86" i="27" s="1"/>
  <c r="R5" i="25"/>
  <c r="R13" i="25"/>
  <c r="D47" i="20"/>
  <c r="E56" i="22"/>
  <c r="E70" i="22" s="1"/>
  <c r="G24" i="22"/>
  <c r="I24" i="22" s="1"/>
  <c r="M24" i="22" s="1"/>
  <c r="E48" i="20"/>
  <c r="F48" i="20" s="1"/>
  <c r="AA73" i="27"/>
  <c r="AA87" i="27" s="1"/>
  <c r="X76" i="27"/>
  <c r="X90" i="27" s="1"/>
  <c r="AD93" i="27"/>
  <c r="J21" i="7"/>
  <c r="J22" i="7" s="1"/>
  <c r="L61" i="21"/>
  <c r="AD61" i="21" s="1"/>
  <c r="M57" i="21"/>
  <c r="N57" i="21"/>
  <c r="O57" i="21"/>
  <c r="Z12" i="22"/>
  <c r="O5" i="22"/>
  <c r="AD5" i="22"/>
  <c r="C98" i="2"/>
  <c r="F124" i="1"/>
  <c r="F120" i="1" s="1"/>
  <c r="F119" i="1" s="1"/>
  <c r="F188" i="1" s="1"/>
  <c r="U21" i="2"/>
  <c r="H6" i="2" s="1"/>
  <c r="AB6" i="2" s="1"/>
  <c r="K105" i="1"/>
  <c r="K104" i="1"/>
  <c r="I14" i="7"/>
  <c r="I16" i="7" s="1"/>
  <c r="AI77" i="27"/>
  <c r="AI91" i="27" s="1"/>
  <c r="R35" i="25"/>
  <c r="R14" i="25"/>
  <c r="P18" i="2"/>
  <c r="F16" i="2" s="1"/>
  <c r="G16" i="2" s="1"/>
  <c r="I16" i="2" s="1"/>
  <c r="L174" i="21"/>
  <c r="L172" i="21"/>
  <c r="BY10" i="19"/>
  <c r="CA10" i="19" s="1"/>
  <c r="W73" i="27"/>
  <c r="W87" i="27" s="1"/>
  <c r="H24" i="7"/>
  <c r="AL77" i="27"/>
  <c r="AL91" i="27" s="1"/>
  <c r="H11" i="2"/>
  <c r="AB11" i="2" s="1"/>
  <c r="AA75" i="27"/>
  <c r="AA89" i="27" s="1"/>
  <c r="P41" i="2"/>
  <c r="F64" i="5" s="1"/>
  <c r="F62" i="5" s="1"/>
  <c r="O9" i="32"/>
  <c r="H48" i="24"/>
  <c r="K5" i="6"/>
  <c r="K44" i="6" s="1"/>
  <c r="J20" i="2"/>
  <c r="L20" i="2" s="1"/>
  <c r="K20" i="22"/>
  <c r="K19" i="22"/>
  <c r="J19" i="2"/>
  <c r="L19" i="2" s="1"/>
  <c r="G20" i="2"/>
  <c r="I20" i="2" s="1"/>
  <c r="L20" i="22" s="1"/>
  <c r="M19" i="17"/>
  <c r="O19" i="17" s="1"/>
  <c r="I19" i="2"/>
  <c r="L19" i="22" s="1"/>
  <c r="U73" i="27"/>
  <c r="U87" i="27" s="1"/>
  <c r="AK76" i="27"/>
  <c r="AK90" i="27" s="1"/>
  <c r="J56" i="22"/>
  <c r="C94" i="22" s="1"/>
  <c r="G13" i="18"/>
  <c r="G6" i="18" s="1"/>
  <c r="G43" i="18" s="1"/>
  <c r="H76" i="1"/>
  <c r="Q76" i="1"/>
  <c r="AT86" i="27"/>
  <c r="P23" i="36"/>
  <c r="E328" i="17"/>
  <c r="K328" i="17" s="1"/>
  <c r="T328" i="17" s="1"/>
  <c r="BB8" i="18"/>
  <c r="BB86" i="18" s="1"/>
  <c r="L24" i="2"/>
  <c r="J44" i="6"/>
  <c r="AL31" i="14"/>
  <c r="AD5" i="18"/>
  <c r="AO7" i="19"/>
  <c r="AQ7" i="19" s="1"/>
  <c r="CE7" i="19" s="1"/>
  <c r="F6" i="18"/>
  <c r="F43" i="18" s="1"/>
  <c r="AE8" i="18"/>
  <c r="AE7" i="18" s="1"/>
  <c r="AE6" i="18" s="1"/>
  <c r="AE43" i="18" s="1"/>
  <c r="U8" i="20"/>
  <c r="N9" i="32"/>
  <c r="U76" i="27"/>
  <c r="U90" i="27" s="1"/>
  <c r="M9" i="32"/>
  <c r="W77" i="27"/>
  <c r="W91" i="27" s="1"/>
  <c r="AI74" i="27"/>
  <c r="AI88" i="27" s="1"/>
  <c r="AR86" i="27"/>
  <c r="K22" i="24"/>
  <c r="H63" i="24"/>
  <c r="AI93" i="27"/>
  <c r="AO93" i="27" s="1"/>
  <c r="AO97" i="27" s="1"/>
  <c r="J9" i="23"/>
  <c r="J10" i="23" s="1"/>
  <c r="AI75" i="27"/>
  <c r="AI89" i="27" s="1"/>
  <c r="S73" i="27"/>
  <c r="S87" i="27" s="1"/>
  <c r="J57" i="24"/>
  <c r="J12" i="23" s="1"/>
  <c r="D40" i="17" s="1"/>
  <c r="AK202" i="9"/>
  <c r="AJ203" i="9"/>
  <c r="F33" i="23"/>
  <c r="F34" i="23" s="1"/>
  <c r="AQ202" i="9"/>
  <c r="AP203" i="9"/>
  <c r="J61" i="21"/>
  <c r="AL76" i="27"/>
  <c r="AL90" i="27" s="1"/>
  <c r="G61" i="22"/>
  <c r="I61" i="22" s="1"/>
  <c r="BM5" i="19"/>
  <c r="BO5" i="19" s="1"/>
  <c r="I14" i="17"/>
  <c r="BM43" i="19"/>
  <c r="C21" i="20"/>
  <c r="AS42" i="35"/>
  <c r="P343" i="17"/>
  <c r="AL8" i="18"/>
  <c r="AM8" i="18" s="1"/>
  <c r="K33" i="1"/>
  <c r="K98" i="1" s="1"/>
  <c r="AL74" i="27"/>
  <c r="AL88" i="27" s="1"/>
  <c r="U74" i="27"/>
  <c r="U88" i="27" s="1"/>
  <c r="U77" i="27"/>
  <c r="U91" i="27" s="1"/>
  <c r="AP43" i="18"/>
  <c r="K56" i="22"/>
  <c r="F94" i="1"/>
  <c r="AB10" i="22"/>
  <c r="AQ5" i="18"/>
  <c r="AQ43" i="18"/>
  <c r="F70" i="22"/>
  <c r="J310" i="17"/>
  <c r="J313" i="17" s="1"/>
  <c r="C8" i="5"/>
  <c r="C7" i="5" s="1"/>
  <c r="C6" i="5" s="1"/>
  <c r="C55" i="5" s="1"/>
  <c r="O4" i="32"/>
  <c r="K7" i="2"/>
  <c r="N4" i="32"/>
  <c r="AA7" i="2"/>
  <c r="K75" i="21"/>
  <c r="Y18" i="21" s="1"/>
  <c r="AC13" i="2"/>
  <c r="Z21" i="22"/>
  <c r="D12" i="17"/>
  <c r="D20" i="17" s="1"/>
  <c r="S76" i="27"/>
  <c r="S90" i="27" s="1"/>
  <c r="E22" i="24"/>
  <c r="C12" i="23"/>
  <c r="E12" i="23" s="1"/>
  <c r="J337" i="17"/>
  <c r="S337" i="17" s="1"/>
  <c r="H11" i="22"/>
  <c r="M12" i="23"/>
  <c r="I39" i="24"/>
  <c r="K39" i="24" s="1"/>
  <c r="E39" i="24"/>
  <c r="CK83" i="15"/>
  <c r="H354" i="17" s="1"/>
  <c r="CK105" i="15"/>
  <c r="CK107" i="15" s="1"/>
  <c r="F165" i="17"/>
  <c r="J165" i="17"/>
  <c r="I75" i="21"/>
  <c r="W18" i="21" s="1"/>
  <c r="E120" i="1"/>
  <c r="E119" i="1" s="1"/>
  <c r="E188" i="1" s="1"/>
  <c r="R86" i="27"/>
  <c r="V77" i="27"/>
  <c r="V91" i="27" s="1"/>
  <c r="V74" i="27"/>
  <c r="V88" i="27" s="1"/>
  <c r="J104" i="1"/>
  <c r="I35" i="24"/>
  <c r="K35" i="24" s="1"/>
  <c r="E35" i="24"/>
  <c r="J75" i="21"/>
  <c r="X18" i="21" s="1"/>
  <c r="S77" i="27"/>
  <c r="S91" i="27" s="1"/>
  <c r="I5" i="6"/>
  <c r="J16" i="17"/>
  <c r="AA13" i="2"/>
  <c r="Q77" i="27"/>
  <c r="Q91" i="27" s="1"/>
  <c r="I31" i="22"/>
  <c r="M31" i="22" s="1"/>
  <c r="J6" i="32"/>
  <c r="M6" i="32"/>
  <c r="N6" i="32"/>
  <c r="Q75" i="27"/>
  <c r="Q89" i="27" s="1"/>
  <c r="V73" i="27"/>
  <c r="V87" i="27" s="1"/>
  <c r="G33" i="17"/>
  <c r="AR33" i="17" s="1"/>
  <c r="AR35" i="17"/>
  <c r="I6" i="32"/>
  <c r="H6" i="32"/>
  <c r="C7" i="32"/>
  <c r="C5" i="32" s="1"/>
  <c r="H5" i="32" s="1"/>
  <c r="S74" i="27"/>
  <c r="S88" i="27" s="1"/>
  <c r="M24" i="23"/>
  <c r="D44" i="5"/>
  <c r="H44" i="5" s="1"/>
  <c r="V75" i="27"/>
  <c r="V89" i="27" s="1"/>
  <c r="G7" i="32"/>
  <c r="I7" i="32" s="1"/>
  <c r="V9" i="23"/>
  <c r="G38" i="17"/>
  <c r="M10" i="23"/>
  <c r="AF86" i="27"/>
  <c r="K8" i="28" s="1"/>
  <c r="J106" i="1"/>
  <c r="AG86" i="27"/>
  <c r="N8" i="28" s="1"/>
  <c r="I8" i="2"/>
  <c r="AC8" i="2" s="1"/>
  <c r="L56" i="21"/>
  <c r="N56" i="21" s="1"/>
  <c r="L11" i="17"/>
  <c r="N12" i="17"/>
  <c r="N11" i="17" s="1"/>
  <c r="M12" i="17"/>
  <c r="O12" i="17" s="1"/>
  <c r="O11" i="17" s="1"/>
  <c r="M363" i="17"/>
  <c r="O363" i="17" s="1"/>
  <c r="P331" i="17"/>
  <c r="Y22" i="8"/>
  <c r="Y39" i="16"/>
  <c r="L21" i="17"/>
  <c r="N21" i="17" s="1"/>
  <c r="Q342" i="17"/>
  <c r="Q76" i="27"/>
  <c r="Q90" i="27" s="1"/>
  <c r="H60" i="24"/>
  <c r="K60" i="24"/>
  <c r="AH10" i="18"/>
  <c r="AI10" i="18" s="1"/>
  <c r="G40" i="12"/>
  <c r="I40" i="12" s="1"/>
  <c r="AM86" i="27"/>
  <c r="AF8" i="28" s="1"/>
  <c r="Q74" i="27"/>
  <c r="Q88" i="27" s="1"/>
  <c r="Z18" i="21"/>
  <c r="Q8" i="23"/>
  <c r="N24" i="23" s="1"/>
  <c r="O24" i="23" s="1"/>
  <c r="O75" i="21"/>
  <c r="V80" i="1"/>
  <c r="K112" i="1"/>
  <c r="M62" i="21"/>
  <c r="M212" i="17"/>
  <c r="AD75" i="21"/>
  <c r="N75" i="21"/>
  <c r="AB18" i="21" s="1"/>
  <c r="E28" i="24"/>
  <c r="J28" i="24"/>
  <c r="K28" i="24" s="1"/>
  <c r="AX31" i="14"/>
  <c r="E32" i="24"/>
  <c r="BB7" i="18"/>
  <c r="AF6" i="18"/>
  <c r="K32" i="24"/>
  <c r="N62" i="21"/>
  <c r="AG33" i="22"/>
  <c r="AC86" i="27"/>
  <c r="B8" i="28" s="1"/>
  <c r="B11" i="28" s="1"/>
  <c r="O62" i="21"/>
  <c r="H55" i="6"/>
  <c r="P364" i="17"/>
  <c r="G42" i="2"/>
  <c r="I42" i="2" s="1"/>
  <c r="AC18" i="2" s="1"/>
  <c r="J50" i="24"/>
  <c r="K50" i="24" s="1"/>
  <c r="H50" i="24"/>
  <c r="R18" i="5"/>
  <c r="J36" i="24"/>
  <c r="K36" i="24" s="1"/>
  <c r="E36" i="24"/>
  <c r="AK43" i="18"/>
  <c r="K43" i="16"/>
  <c r="J48" i="16"/>
  <c r="N57" i="6"/>
  <c r="N56" i="6" s="1"/>
  <c r="I124" i="1" s="1"/>
  <c r="AH86" i="27"/>
  <c r="Q8" i="28" s="1"/>
  <c r="AW8" i="19"/>
  <c r="AU7" i="19"/>
  <c r="AI8" i="18"/>
  <c r="AH7" i="18"/>
  <c r="AH6" i="18" s="1"/>
  <c r="H152" i="21"/>
  <c r="AN8" i="18"/>
  <c r="BD8" i="19"/>
  <c r="BY8" i="19" s="1"/>
  <c r="CA8" i="19" s="1"/>
  <c r="H44" i="6"/>
  <c r="I24" i="17"/>
  <c r="I25" i="17"/>
  <c r="K8" i="19"/>
  <c r="M8" i="19" s="1"/>
  <c r="U22" i="22"/>
  <c r="U20" i="22" s="1"/>
  <c r="I16" i="22"/>
  <c r="R18" i="22"/>
  <c r="G50" i="2"/>
  <c r="AA20" i="2" s="1"/>
  <c r="Y19" i="2"/>
  <c r="G45" i="2"/>
  <c r="K44" i="24"/>
  <c r="G37" i="2"/>
  <c r="AA17" i="2" s="1"/>
  <c r="Z86" i="27"/>
  <c r="E57" i="2"/>
  <c r="N180" i="1"/>
  <c r="Y16" i="2"/>
  <c r="G31" i="2"/>
  <c r="G24" i="2"/>
  <c r="Y15" i="2"/>
  <c r="G5" i="2"/>
  <c r="AA5" i="2" s="1"/>
  <c r="T5" i="20"/>
  <c r="S5" i="20" s="1"/>
  <c r="Q5" i="20"/>
  <c r="K55" i="17"/>
  <c r="AJ86" i="27"/>
  <c r="W8" i="28" s="1"/>
  <c r="K106" i="1"/>
  <c r="V62" i="1"/>
  <c r="AJ5" i="18"/>
  <c r="AJ43" i="18"/>
  <c r="AZ7" i="19"/>
  <c r="AX6" i="19"/>
  <c r="N106" i="1"/>
  <c r="P62" i="1"/>
  <c r="K133" i="17"/>
  <c r="AF31" i="14"/>
  <c r="N107" i="1"/>
  <c r="P67" i="1"/>
  <c r="H188" i="1"/>
  <c r="F178" i="1"/>
  <c r="N178" i="1" s="1"/>
  <c r="N42" i="1"/>
  <c r="N100" i="1" s="1"/>
  <c r="F100" i="1"/>
  <c r="I26" i="24"/>
  <c r="K26" i="24" s="1"/>
  <c r="E26" i="24"/>
  <c r="L28" i="8"/>
  <c r="L40" i="16"/>
  <c r="D7" i="32"/>
  <c r="C34" i="23"/>
  <c r="P342" i="17"/>
  <c r="AN39" i="17"/>
  <c r="AN36" i="17"/>
  <c r="AN40" i="17"/>
  <c r="D23" i="20"/>
  <c r="I16" i="17"/>
  <c r="K16" i="17"/>
  <c r="AO86" i="27"/>
  <c r="C10" i="23"/>
  <c r="C13" i="23"/>
  <c r="C21" i="23"/>
  <c r="Y86" i="27"/>
  <c r="N24" i="17"/>
  <c r="M24" i="17"/>
  <c r="AE86" i="27"/>
  <c r="H8" i="28" s="1"/>
  <c r="O310" i="17"/>
  <c r="O313" i="17" s="1"/>
  <c r="AO31" i="14"/>
  <c r="H8" i="17"/>
  <c r="B26" i="17"/>
  <c r="F22" i="20"/>
  <c r="E22" i="20"/>
  <c r="BC8" i="19"/>
  <c r="BA7" i="19"/>
  <c r="J133" i="17"/>
  <c r="I133" i="17"/>
  <c r="AD42" i="35"/>
  <c r="H8" i="19"/>
  <c r="H8" i="18"/>
  <c r="L363" i="17"/>
  <c r="I362" i="17"/>
  <c r="L362" i="17" s="1"/>
  <c r="I21" i="17"/>
  <c r="AO94" i="27"/>
  <c r="N16" i="21"/>
  <c r="M16" i="21"/>
  <c r="AF16" i="21"/>
  <c r="O16" i="21"/>
  <c r="J10" i="22"/>
  <c r="B4" i="17"/>
  <c r="AO95" i="27"/>
  <c r="M133" i="17"/>
  <c r="N133" i="17"/>
  <c r="R133" i="17" s="1"/>
  <c r="I44" i="23"/>
  <c r="H189" i="1"/>
  <c r="H146" i="1"/>
  <c r="I253" i="17"/>
  <c r="F278" i="17"/>
  <c r="I278" i="17" s="1"/>
  <c r="E33" i="17"/>
  <c r="G17" i="22"/>
  <c r="I17" i="22" s="1"/>
  <c r="C47" i="20"/>
  <c r="Y12" i="22"/>
  <c r="AC8" i="22"/>
  <c r="U67" i="1"/>
  <c r="J107" i="1"/>
  <c r="J100" i="1"/>
  <c r="U42" i="1"/>
  <c r="U53" i="1"/>
  <c r="J103" i="1"/>
  <c r="U59" i="1"/>
  <c r="J105" i="1"/>
  <c r="U72" i="1"/>
  <c r="J108" i="1"/>
  <c r="J113" i="1"/>
  <c r="U85" i="1"/>
  <c r="J89" i="1"/>
  <c r="H114" i="1"/>
  <c r="S89" i="1"/>
  <c r="D52" i="5"/>
  <c r="B49" i="17"/>
  <c r="A37" i="20" s="1"/>
  <c r="Z45" i="16"/>
  <c r="Y48" i="16"/>
  <c r="D34" i="23"/>
  <c r="D58" i="17"/>
  <c r="D56" i="17" s="1"/>
  <c r="D36" i="23"/>
  <c r="W20" i="8"/>
  <c r="W32" i="16"/>
  <c r="G34" i="23"/>
  <c r="G36" i="23"/>
  <c r="T86" i="27"/>
  <c r="J25" i="8"/>
  <c r="J35" i="16"/>
  <c r="J41" i="16" s="1"/>
  <c r="T19" i="21"/>
  <c r="H78" i="21"/>
  <c r="V19" i="21" s="1"/>
  <c r="F75" i="21"/>
  <c r="H76" i="21"/>
  <c r="A14" i="21"/>
  <c r="H13" i="21"/>
  <c r="E10" i="22"/>
  <c r="T327" i="17"/>
  <c r="P327" i="17"/>
  <c r="F61" i="21"/>
  <c r="H61" i="21" s="1"/>
  <c r="H57" i="21"/>
  <c r="F56" i="21"/>
  <c r="B46" i="17"/>
  <c r="A34" i="20" s="1"/>
  <c r="N34" i="17"/>
  <c r="BG43" i="19"/>
  <c r="BG5" i="19"/>
  <c r="BI5" i="19" s="1"/>
  <c r="BI6" i="19"/>
  <c r="H68" i="21"/>
  <c r="E62" i="22"/>
  <c r="G62" i="22" s="1"/>
  <c r="I62" i="22" s="1"/>
  <c r="S363" i="17"/>
  <c r="I387" i="17"/>
  <c r="O376" i="17"/>
  <c r="Q376" i="17" s="1"/>
  <c r="N376" i="17"/>
  <c r="CD104" i="15"/>
  <c r="CD106" i="15" s="1"/>
  <c r="G54" i="24"/>
  <c r="M122" i="1"/>
  <c r="L5" i="32"/>
  <c r="AP53" i="34"/>
  <c r="L14" i="17"/>
  <c r="L16" i="17" s="1"/>
  <c r="AP52" i="34"/>
  <c r="F328" i="17"/>
  <c r="N328" i="17" s="1"/>
  <c r="N329" i="17"/>
  <c r="P329" i="17" s="1"/>
  <c r="I89" i="17"/>
  <c r="P89" i="17" s="1"/>
  <c r="I326" i="17"/>
  <c r="I501" i="17" s="1"/>
  <c r="G4" i="20"/>
  <c r="K89" i="17"/>
  <c r="O89" i="17" s="1"/>
  <c r="J89" i="17"/>
  <c r="AG3" i="35"/>
  <c r="T136" i="16"/>
  <c r="AB42" i="35"/>
  <c r="D8" i="18"/>
  <c r="B8" i="19"/>
  <c r="O74" i="21"/>
  <c r="AD74" i="21"/>
  <c r="N74" i="21"/>
  <c r="M74" i="21"/>
  <c r="P4" i="20"/>
  <c r="R4" i="20" s="1"/>
  <c r="N326" i="17"/>
  <c r="U326" i="17"/>
  <c r="O326" i="17"/>
  <c r="H98" i="1"/>
  <c r="H177" i="1"/>
  <c r="J177" i="1" s="1"/>
  <c r="J33" i="1"/>
  <c r="N53" i="1"/>
  <c r="N103" i="1" s="1"/>
  <c r="F103" i="1"/>
  <c r="F179" i="1"/>
  <c r="N34" i="1"/>
  <c r="N99" i="1" s="1"/>
  <c r="M99" i="1"/>
  <c r="O34" i="1"/>
  <c r="O99" i="1" s="1"/>
  <c r="S34" i="1"/>
  <c r="C48" i="23"/>
  <c r="M120" i="17"/>
  <c r="N120" i="17"/>
  <c r="R120" i="17" s="1"/>
  <c r="U34" i="1"/>
  <c r="J99" i="1"/>
  <c r="K27" i="8"/>
  <c r="K38" i="16"/>
  <c r="BV5" i="19"/>
  <c r="BX5" i="19" s="1"/>
  <c r="BX6" i="19"/>
  <c r="BX43" i="19" s="1"/>
  <c r="BV43" i="19"/>
  <c r="R337" i="17"/>
  <c r="P337" i="17"/>
  <c r="R334" i="17"/>
  <c r="P334" i="17"/>
  <c r="U7" i="20"/>
  <c r="Q6" i="20"/>
  <c r="T6" i="20"/>
  <c r="S6" i="20" s="1"/>
  <c r="Q334" i="17"/>
  <c r="U33" i="17"/>
  <c r="W33" i="17"/>
  <c r="I33" i="17"/>
  <c r="AQ33" i="17"/>
  <c r="AT33" i="17" s="1"/>
  <c r="J21" i="2"/>
  <c r="G21" i="2"/>
  <c r="I21" i="2" s="1"/>
  <c r="L21" i="22" s="1"/>
  <c r="Q347" i="17"/>
  <c r="K44" i="19"/>
  <c r="M44" i="19" s="1"/>
  <c r="I55" i="24"/>
  <c r="H55" i="24"/>
  <c r="P3" i="26"/>
  <c r="W48" i="23"/>
  <c r="Q48" i="23" s="1"/>
  <c r="K35" i="17"/>
  <c r="AS35" i="17"/>
  <c r="CE106" i="15"/>
  <c r="U53" i="17"/>
  <c r="W53" i="17"/>
  <c r="I53" i="17"/>
  <c r="H53" i="17"/>
  <c r="K53" i="17" s="1"/>
  <c r="AB12" i="2"/>
  <c r="Q24" i="23"/>
  <c r="AF44" i="16"/>
  <c r="AB6" i="22"/>
  <c r="H5" i="22"/>
  <c r="I6" i="22"/>
  <c r="S17" i="21"/>
  <c r="S16" i="21" s="1"/>
  <c r="S20" i="21" s="1"/>
  <c r="E51" i="21"/>
  <c r="CE44" i="19"/>
  <c r="CA44" i="19"/>
  <c r="CD44" i="19" s="1"/>
  <c r="M9" i="19"/>
  <c r="K10" i="19"/>
  <c r="M10" i="19" s="1"/>
  <c r="M1" i="19"/>
  <c r="M15" i="19"/>
  <c r="J7" i="28" s="1"/>
  <c r="H7" i="28"/>
  <c r="L22" i="22" l="1"/>
  <c r="C58" i="17"/>
  <c r="C59" i="17" s="1"/>
  <c r="C36" i="23"/>
  <c r="E36" i="23" s="1"/>
  <c r="E60" i="17" s="1"/>
  <c r="I37" i="22"/>
  <c r="AC17" i="22" s="1"/>
  <c r="H348" i="17"/>
  <c r="H508" i="17"/>
  <c r="H353" i="17"/>
  <c r="H507" i="17"/>
  <c r="H509" i="17"/>
  <c r="BJ5" i="19"/>
  <c r="BL5" i="19" s="1"/>
  <c r="BJ43" i="19"/>
  <c r="BR6" i="19"/>
  <c r="BR43" i="19" s="1"/>
  <c r="BI43" i="19"/>
  <c r="BP43" i="19"/>
  <c r="I30" i="18"/>
  <c r="H16" i="21"/>
  <c r="F10" i="22"/>
  <c r="Z10" i="22" s="1"/>
  <c r="D19" i="20"/>
  <c r="F19" i="20" s="1"/>
  <c r="C37" i="23"/>
  <c r="I16" i="21"/>
  <c r="J16" i="21"/>
  <c r="I16" i="18"/>
  <c r="I57" i="18"/>
  <c r="I12" i="18" s="1"/>
  <c r="I28" i="18"/>
  <c r="G52" i="21"/>
  <c r="K52" i="21" s="1"/>
  <c r="Y17" i="21" s="1"/>
  <c r="Y16" i="21" s="1"/>
  <c r="J56" i="21"/>
  <c r="AR53" i="19"/>
  <c r="B5" i="28"/>
  <c r="E5" i="19"/>
  <c r="G5" i="19" s="1"/>
  <c r="G6" i="19"/>
  <c r="G43" i="19" s="1"/>
  <c r="E21" i="20"/>
  <c r="AT6" i="19"/>
  <c r="AT43" i="19" s="1"/>
  <c r="AR43" i="19"/>
  <c r="AD5" i="2"/>
  <c r="P56" i="2"/>
  <c r="AD21" i="2"/>
  <c r="K20" i="17"/>
  <c r="J20" i="17"/>
  <c r="K56" i="21"/>
  <c r="AA19" i="22"/>
  <c r="L5" i="2"/>
  <c r="AA18" i="22"/>
  <c r="AA20" i="22"/>
  <c r="V75" i="1"/>
  <c r="K111" i="1"/>
  <c r="CV7" i="19"/>
  <c r="CU7" i="19" s="1"/>
  <c r="I42" i="18"/>
  <c r="M7" i="22"/>
  <c r="BD38" i="18"/>
  <c r="BD35" i="18"/>
  <c r="I27" i="18"/>
  <c r="BU6" i="19"/>
  <c r="BU43" i="19" s="1"/>
  <c r="BS5" i="19"/>
  <c r="BU5" i="19" s="1"/>
  <c r="BD18" i="18"/>
  <c r="BD24" i="18"/>
  <c r="BD26" i="18"/>
  <c r="I47" i="18"/>
  <c r="BD25" i="18"/>
  <c r="H46" i="18"/>
  <c r="I46" i="18" s="1"/>
  <c r="I29" i="18"/>
  <c r="BD41" i="18"/>
  <c r="BD33" i="18"/>
  <c r="BD11" i="18"/>
  <c r="X86" i="27"/>
  <c r="I39" i="18"/>
  <c r="BD17" i="18"/>
  <c r="I50" i="18"/>
  <c r="E47" i="20"/>
  <c r="F47" i="20" s="1"/>
  <c r="BD21" i="18"/>
  <c r="BD31" i="18"/>
  <c r="BD32" i="18"/>
  <c r="I23" i="18"/>
  <c r="I48" i="18"/>
  <c r="N179" i="1"/>
  <c r="H10" i="18"/>
  <c r="I10" i="18" s="1"/>
  <c r="H80" i="18"/>
  <c r="I20" i="18"/>
  <c r="I36" i="18"/>
  <c r="I19" i="18"/>
  <c r="I9" i="18"/>
  <c r="J1" i="18"/>
  <c r="J38" i="18" s="1"/>
  <c r="K38" i="18" s="1"/>
  <c r="F40" i="12"/>
  <c r="H40" i="12" s="1"/>
  <c r="BD34" i="18"/>
  <c r="I22" i="18"/>
  <c r="BD40" i="18"/>
  <c r="I56" i="18"/>
  <c r="I13" i="18" s="1"/>
  <c r="BD15" i="18"/>
  <c r="I11" i="22"/>
  <c r="L57" i="2"/>
  <c r="M61" i="21"/>
  <c r="O61" i="21"/>
  <c r="AA86" i="27"/>
  <c r="AA15" i="22"/>
  <c r="AC15" i="22"/>
  <c r="W86" i="27"/>
  <c r="AK86" i="27"/>
  <c r="Z8" i="28" s="1"/>
  <c r="G56" i="22"/>
  <c r="I56" i="22" s="1"/>
  <c r="M56" i="22" s="1"/>
  <c r="C89" i="22" s="1"/>
  <c r="U20" i="2"/>
  <c r="F145" i="1"/>
  <c r="F146" i="1" s="1"/>
  <c r="I24" i="7"/>
  <c r="I21" i="7"/>
  <c r="I22" i="7" s="1"/>
  <c r="K22" i="7" s="1"/>
  <c r="M9" i="6"/>
  <c r="F18" i="2" s="1"/>
  <c r="K16" i="22"/>
  <c r="J16" i="2"/>
  <c r="J11" i="2" s="1"/>
  <c r="AD11" i="2" s="1"/>
  <c r="AD21" i="22"/>
  <c r="H5" i="2"/>
  <c r="AB5" i="2" s="1"/>
  <c r="I6" i="2"/>
  <c r="AC6" i="2" s="1"/>
  <c r="H9" i="2"/>
  <c r="AB9" i="2" s="1"/>
  <c r="F11" i="2"/>
  <c r="Z11" i="2" s="1"/>
  <c r="BC8" i="18"/>
  <c r="BK106" i="18" s="1"/>
  <c r="BL106" i="18" s="1"/>
  <c r="BF8" i="18"/>
  <c r="BF7" i="18" s="1"/>
  <c r="BF6" i="18" s="1"/>
  <c r="BF5" i="18" s="1"/>
  <c r="F36" i="23"/>
  <c r="H36" i="23" s="1"/>
  <c r="AI86" i="27"/>
  <c r="T8" i="28" s="1"/>
  <c r="M76" i="1"/>
  <c r="Q75" i="1"/>
  <c r="M75" i="1" s="1"/>
  <c r="J76" i="1"/>
  <c r="U76" i="1" s="1"/>
  <c r="H132" i="1"/>
  <c r="H75" i="1"/>
  <c r="CK104" i="15"/>
  <c r="H81" i="1"/>
  <c r="Q81" i="1"/>
  <c r="AE5" i="18"/>
  <c r="G57" i="2"/>
  <c r="I57" i="2" s="1"/>
  <c r="AC21" i="2" s="1"/>
  <c r="K57" i="24"/>
  <c r="P12" i="23"/>
  <c r="AL7" i="18"/>
  <c r="AL6" i="18" s="1"/>
  <c r="AL5" i="18" s="1"/>
  <c r="C19" i="20"/>
  <c r="C18" i="20" s="1"/>
  <c r="AO6" i="19"/>
  <c r="AO5" i="19" s="1"/>
  <c r="AQ5" i="19" s="1"/>
  <c r="CE5" i="19" s="1"/>
  <c r="F5" i="18"/>
  <c r="G5" i="18"/>
  <c r="D24" i="17"/>
  <c r="J24" i="17" s="1"/>
  <c r="D38" i="17"/>
  <c r="J38" i="17" s="1"/>
  <c r="F7" i="32"/>
  <c r="J7" i="32" s="1"/>
  <c r="F37" i="23"/>
  <c r="P9" i="23"/>
  <c r="AL86" i="27"/>
  <c r="AC8" i="28" s="1"/>
  <c r="H33" i="23"/>
  <c r="U86" i="27"/>
  <c r="AR202" i="9"/>
  <c r="AQ203" i="9"/>
  <c r="AL202" i="9"/>
  <c r="AL203" i="9" s="1"/>
  <c r="AK203" i="9"/>
  <c r="J309" i="17"/>
  <c r="K309" i="17" s="1"/>
  <c r="L309" i="17" s="1"/>
  <c r="L312" i="17" s="1"/>
  <c r="K310" i="17"/>
  <c r="V33" i="1"/>
  <c r="R11" i="22"/>
  <c r="J12" i="17"/>
  <c r="J11" i="17" s="1"/>
  <c r="C22" i="23"/>
  <c r="L16" i="22"/>
  <c r="D21" i="17"/>
  <c r="J21" i="17" s="1"/>
  <c r="D11" i="17"/>
  <c r="E363" i="17"/>
  <c r="K363" i="17" s="1"/>
  <c r="D46" i="20"/>
  <c r="D45" i="20" s="1"/>
  <c r="S12" i="23"/>
  <c r="F58" i="24"/>
  <c r="I9" i="23" s="1"/>
  <c r="I21" i="23" s="1"/>
  <c r="I354" i="17"/>
  <c r="M354" i="17"/>
  <c r="J169" i="17"/>
  <c r="M349" i="17"/>
  <c r="F169" i="17"/>
  <c r="H169" i="17" s="1"/>
  <c r="L169" i="17" s="1"/>
  <c r="I349" i="17"/>
  <c r="I508" i="17" s="1"/>
  <c r="H165" i="17"/>
  <c r="G40" i="17"/>
  <c r="V12" i="23"/>
  <c r="AD56" i="21"/>
  <c r="J33" i="17"/>
  <c r="E145" i="1"/>
  <c r="E146" i="1" s="1"/>
  <c r="H33" i="17"/>
  <c r="AS33" i="17" s="1"/>
  <c r="AU33" i="17" s="1"/>
  <c r="L5" i="6"/>
  <c r="N5" i="6" s="1"/>
  <c r="S86" i="27"/>
  <c r="L52" i="21"/>
  <c r="N52" i="21" s="1"/>
  <c r="AB17" i="21" s="1"/>
  <c r="AB16" i="21" s="1"/>
  <c r="M56" i="21"/>
  <c r="C43" i="5"/>
  <c r="V86" i="27"/>
  <c r="R3" i="5"/>
  <c r="C5" i="5"/>
  <c r="H190" i="1" s="1"/>
  <c r="K8" i="2"/>
  <c r="AC16" i="22"/>
  <c r="O56" i="21"/>
  <c r="M362" i="17"/>
  <c r="N362" i="17" s="1"/>
  <c r="S10" i="23"/>
  <c r="P10" i="23"/>
  <c r="H7" i="32"/>
  <c r="N363" i="17"/>
  <c r="R363" i="17" s="1"/>
  <c r="G36" i="17"/>
  <c r="AR36" i="17" s="1"/>
  <c r="AR38" i="17"/>
  <c r="C24" i="23"/>
  <c r="M21" i="17"/>
  <c r="AA18" i="2"/>
  <c r="M11" i="17"/>
  <c r="B5" i="17" s="1"/>
  <c r="BF10" i="18"/>
  <c r="Z22" i="8"/>
  <c r="Z39" i="16"/>
  <c r="Q86" i="27"/>
  <c r="O24" i="17"/>
  <c r="B28" i="17" s="1"/>
  <c r="K7" i="19"/>
  <c r="K6" i="19" s="1"/>
  <c r="AG6" i="18"/>
  <c r="BC7" i="18"/>
  <c r="AF43" i="18"/>
  <c r="BB43" i="18" s="1"/>
  <c r="BB6" i="18"/>
  <c r="BB5" i="18" s="1"/>
  <c r="AF5" i="18"/>
  <c r="I50" i="2"/>
  <c r="AC20" i="2" s="1"/>
  <c r="U5" i="20"/>
  <c r="BH10" i="18"/>
  <c r="AI9" i="18"/>
  <c r="AI7" i="18" s="1"/>
  <c r="BG10" i="18"/>
  <c r="L124" i="1"/>
  <c r="I120" i="1"/>
  <c r="L120" i="1" s="1"/>
  <c r="L119" i="1" s="1"/>
  <c r="E10" i="23"/>
  <c r="AH5" i="18"/>
  <c r="AH43" i="18"/>
  <c r="BH8" i="18"/>
  <c r="BI98" i="18" s="1"/>
  <c r="AU6" i="19"/>
  <c r="AW7" i="19"/>
  <c r="K48" i="16"/>
  <c r="L43" i="16"/>
  <c r="BF8" i="19"/>
  <c r="BD7" i="19"/>
  <c r="BY7" i="19" s="1"/>
  <c r="AO8" i="18"/>
  <c r="AO7" i="18" s="1"/>
  <c r="AO6" i="18" s="1"/>
  <c r="AN7" i="18"/>
  <c r="AN6" i="18" s="1"/>
  <c r="J124" i="1"/>
  <c r="U124" i="1" s="1"/>
  <c r="K124" i="1"/>
  <c r="V124" i="1" s="1"/>
  <c r="I12" i="22"/>
  <c r="L12" i="22" s="1"/>
  <c r="I37" i="2"/>
  <c r="K37" i="2" s="1"/>
  <c r="AA19" i="2"/>
  <c r="I45" i="2"/>
  <c r="AC19" i="2" s="1"/>
  <c r="H11" i="28"/>
  <c r="AP36" i="17"/>
  <c r="Y21" i="2"/>
  <c r="AA15" i="2"/>
  <c r="I24" i="2"/>
  <c r="AA16" i="2"/>
  <c r="I31" i="2"/>
  <c r="E34" i="23"/>
  <c r="Q363" i="17"/>
  <c r="AP40" i="17"/>
  <c r="AZ6" i="19"/>
  <c r="AZ43" i="19" s="1"/>
  <c r="AX5" i="19"/>
  <c r="AZ5" i="19" s="1"/>
  <c r="AX43" i="19"/>
  <c r="R310" i="17"/>
  <c r="J9" i="22"/>
  <c r="AD10" i="22"/>
  <c r="C60" i="17"/>
  <c r="C56" i="17"/>
  <c r="E56" i="17" s="1"/>
  <c r="K313" i="17"/>
  <c r="J312" i="17"/>
  <c r="K312" i="17" s="1"/>
  <c r="BD8" i="18"/>
  <c r="H7" i="18"/>
  <c r="O309" i="17"/>
  <c r="S308" i="17" s="1"/>
  <c r="S311" i="17" s="1"/>
  <c r="H7" i="19"/>
  <c r="J8" i="19"/>
  <c r="BC7" i="19"/>
  <c r="BA6" i="19"/>
  <c r="J362" i="17"/>
  <c r="M28" i="8"/>
  <c r="M40" i="16"/>
  <c r="AM7" i="18"/>
  <c r="AM6" i="18" s="1"/>
  <c r="E23" i="20"/>
  <c r="F23" i="20"/>
  <c r="O312" i="17"/>
  <c r="R313" i="17"/>
  <c r="AA12" i="22"/>
  <c r="AC12" i="22"/>
  <c r="J114" i="1"/>
  <c r="U89" i="1"/>
  <c r="K25" i="8"/>
  <c r="K35" i="16"/>
  <c r="K41" i="16" s="1"/>
  <c r="Z48" i="16"/>
  <c r="AA45" i="16"/>
  <c r="D60" i="17"/>
  <c r="X20" i="8"/>
  <c r="X32" i="16"/>
  <c r="T18" i="21"/>
  <c r="H75" i="21"/>
  <c r="V18" i="21" s="1"/>
  <c r="N10" i="22"/>
  <c r="Y10" i="22"/>
  <c r="E9" i="22"/>
  <c r="C46" i="20"/>
  <c r="F52" i="21"/>
  <c r="H56" i="21"/>
  <c r="I4" i="20"/>
  <c r="M4" i="20"/>
  <c r="M5" i="32"/>
  <c r="O5" i="32"/>
  <c r="N5" i="32"/>
  <c r="D8" i="19"/>
  <c r="B7" i="19"/>
  <c r="J326" i="17"/>
  <c r="S326" i="17" s="1"/>
  <c r="K326" i="17"/>
  <c r="T326" i="17" s="1"/>
  <c r="L326" i="17"/>
  <c r="Q326" i="17" s="1"/>
  <c r="O122" i="1"/>
  <c r="N122" i="1"/>
  <c r="E8" i="18"/>
  <c r="E7" i="18" s="1"/>
  <c r="E6" i="18" s="1"/>
  <c r="D7" i="18"/>
  <c r="D6" i="18" s="1"/>
  <c r="J54" i="24"/>
  <c r="K54" i="24" s="1"/>
  <c r="H54" i="24"/>
  <c r="J33" i="23"/>
  <c r="R326" i="17"/>
  <c r="J98" i="1"/>
  <c r="U33" i="1"/>
  <c r="Q4" i="20"/>
  <c r="T4" i="20"/>
  <c r="S4" i="20" s="1"/>
  <c r="R328" i="17"/>
  <c r="P328" i="17"/>
  <c r="AG42" i="35"/>
  <c r="F39" i="21" s="1"/>
  <c r="C28" i="21"/>
  <c r="L34" i="21"/>
  <c r="AA22" i="6"/>
  <c r="S22" i="6" s="1"/>
  <c r="C45" i="21"/>
  <c r="L48" i="21"/>
  <c r="D24" i="12"/>
  <c r="AA28" i="6"/>
  <c r="S28" i="6" s="1"/>
  <c r="F20" i="21"/>
  <c r="C37" i="21"/>
  <c r="I43" i="6"/>
  <c r="O43" i="6" s="1"/>
  <c r="G34" i="12"/>
  <c r="L33" i="21"/>
  <c r="F31" i="12"/>
  <c r="H31" i="12" s="1"/>
  <c r="AA24" i="6"/>
  <c r="S24" i="6" s="1"/>
  <c r="F16" i="12"/>
  <c r="H16" i="12" s="1"/>
  <c r="F41" i="21"/>
  <c r="L32" i="21"/>
  <c r="N34" i="12"/>
  <c r="L29" i="21"/>
  <c r="F12" i="12"/>
  <c r="D9" i="12"/>
  <c r="D47" i="12"/>
  <c r="AA40" i="6"/>
  <c r="S40" i="6" s="1"/>
  <c r="R32" i="12"/>
  <c r="R14" i="12"/>
  <c r="D15" i="12"/>
  <c r="R22" i="12"/>
  <c r="N36" i="12"/>
  <c r="F34" i="21"/>
  <c r="F34" i="12"/>
  <c r="F22" i="21"/>
  <c r="L20" i="21"/>
  <c r="P7" i="12"/>
  <c r="Q7" i="12" s="1"/>
  <c r="D48" i="12"/>
  <c r="R20" i="12"/>
  <c r="L26" i="21"/>
  <c r="AA34" i="6"/>
  <c r="S34" i="6" s="1"/>
  <c r="C40" i="21"/>
  <c r="F47" i="12"/>
  <c r="C47" i="21"/>
  <c r="R35" i="12"/>
  <c r="F36" i="12"/>
  <c r="AA41" i="6"/>
  <c r="S41" i="6" s="1"/>
  <c r="F26" i="21"/>
  <c r="P16" i="12"/>
  <c r="Q16" i="12" s="1"/>
  <c r="F25" i="21"/>
  <c r="AA15" i="6"/>
  <c r="S15" i="6" s="1"/>
  <c r="C33" i="21"/>
  <c r="P47" i="12"/>
  <c r="P26" i="12"/>
  <c r="Q26" i="12" s="1"/>
  <c r="AA37" i="6"/>
  <c r="S37" i="6" s="1"/>
  <c r="D20" i="12"/>
  <c r="P18" i="12"/>
  <c r="Q18" i="12" s="1"/>
  <c r="L44" i="21"/>
  <c r="D32" i="12"/>
  <c r="P19" i="12"/>
  <c r="Q19" i="12" s="1"/>
  <c r="F19" i="21"/>
  <c r="F10" i="12"/>
  <c r="H10" i="12" s="1"/>
  <c r="I41" i="6"/>
  <c r="O41" i="6" s="1"/>
  <c r="F37" i="21"/>
  <c r="N18" i="12"/>
  <c r="J18" i="12" s="1"/>
  <c r="K18" i="12" s="1"/>
  <c r="F30" i="12" a="1"/>
  <c r="F30" i="12" s="1"/>
  <c r="H30" i="12" s="1"/>
  <c r="R15" i="12"/>
  <c r="C26" i="21"/>
  <c r="L39" i="21"/>
  <c r="AA23" i="6"/>
  <c r="S23" i="6" s="1"/>
  <c r="G49" i="21"/>
  <c r="AA13" i="6"/>
  <c r="S13" i="6" s="1"/>
  <c r="R48" i="12"/>
  <c r="C48" i="21"/>
  <c r="G27" i="21"/>
  <c r="AA19" i="6"/>
  <c r="S19" i="6" s="1"/>
  <c r="L18" i="21"/>
  <c r="N26" i="12"/>
  <c r="J26" i="12" s="1"/>
  <c r="K26" i="12" s="1"/>
  <c r="L46" i="21"/>
  <c r="F42" i="21"/>
  <c r="F23" i="12"/>
  <c r="H23" i="12" s="1"/>
  <c r="P14" i="12"/>
  <c r="Q14" i="12" s="1"/>
  <c r="L37" i="21"/>
  <c r="P27" i="12"/>
  <c r="Q27" i="12" s="1"/>
  <c r="P9" i="12"/>
  <c r="Q9" i="12" s="1"/>
  <c r="F32" i="21"/>
  <c r="F17" i="12"/>
  <c r="H17" i="12" s="1"/>
  <c r="P10" i="12"/>
  <c r="Q10" i="12" s="1"/>
  <c r="AA10" i="6"/>
  <c r="S10" i="6" s="1"/>
  <c r="D25" i="12"/>
  <c r="D29" i="12"/>
  <c r="R18" i="12"/>
  <c r="C31" i="21"/>
  <c r="F14" i="12"/>
  <c r="H14" i="12" s="1"/>
  <c r="P34" i="12"/>
  <c r="Q34" i="12" s="1"/>
  <c r="F24" i="12"/>
  <c r="H24" i="12" s="1"/>
  <c r="D18" i="12"/>
  <c r="P25" i="12"/>
  <c r="Q25" i="12" s="1"/>
  <c r="F46" i="21"/>
  <c r="D34" i="12"/>
  <c r="F44" i="21"/>
  <c r="G6" i="21" a="1"/>
  <c r="G6" i="21" s="1"/>
  <c r="AA26" i="6"/>
  <c r="S26" i="6" s="1"/>
  <c r="AA16" i="6"/>
  <c r="S16" i="6" s="1"/>
  <c r="P30" i="12"/>
  <c r="Q30" i="12" s="1"/>
  <c r="R19" i="12"/>
  <c r="S19" i="12" s="1"/>
  <c r="C46" i="21"/>
  <c r="G21" i="21"/>
  <c r="AA36" i="6"/>
  <c r="S36" i="6" s="1"/>
  <c r="R34" i="12"/>
  <c r="AA6" i="6" a="1"/>
  <c r="AA6" i="6" s="1"/>
  <c r="S6" i="6" s="1"/>
  <c r="G32" i="21"/>
  <c r="G28" i="21"/>
  <c r="AA32" i="6"/>
  <c r="S32" i="6" s="1"/>
  <c r="AA27" i="6"/>
  <c r="S27" i="6" s="1"/>
  <c r="G33" i="21"/>
  <c r="F26" i="12"/>
  <c r="H26" i="12" s="1"/>
  <c r="AA33" i="6"/>
  <c r="S33" i="6" s="1"/>
  <c r="W33" i="6" s="1"/>
  <c r="D10" i="12"/>
  <c r="L19" i="21"/>
  <c r="G48" i="12"/>
  <c r="R30" i="12"/>
  <c r="D12" i="12"/>
  <c r="D11" i="12" s="1"/>
  <c r="F49" i="21"/>
  <c r="AA39" i="6"/>
  <c r="S39" i="6" s="1"/>
  <c r="C50" i="21"/>
  <c r="G20" i="21"/>
  <c r="N15" i="12"/>
  <c r="J15" i="12" s="1"/>
  <c r="C165" i="21"/>
  <c r="C22" i="21"/>
  <c r="AA17" i="6"/>
  <c r="S17" i="6" s="1"/>
  <c r="F29" i="21"/>
  <c r="N27" i="12"/>
  <c r="J27" i="12" s="1"/>
  <c r="K27" i="12" s="1"/>
  <c r="F29" i="12"/>
  <c r="G44" i="21"/>
  <c r="G47" i="12"/>
  <c r="D36" i="12"/>
  <c r="N35" i="12"/>
  <c r="C27" i="21"/>
  <c r="P22" i="12"/>
  <c r="Q22" i="12" s="1"/>
  <c r="D27" i="12"/>
  <c r="F28" i="21"/>
  <c r="F5" i="12"/>
  <c r="C41" i="21"/>
  <c r="F15" i="12"/>
  <c r="P48" i="12"/>
  <c r="N14" i="12"/>
  <c r="J14" i="12" s="1"/>
  <c r="K14" i="12" s="1"/>
  <c r="F164" i="21"/>
  <c r="F10" i="21" s="1"/>
  <c r="D31" i="12"/>
  <c r="C39" i="21"/>
  <c r="L49" i="21"/>
  <c r="R9" i="12"/>
  <c r="G47" i="21"/>
  <c r="N22" i="12"/>
  <c r="J22" i="12" s="1"/>
  <c r="P36" i="12"/>
  <c r="AA29" i="6"/>
  <c r="S29" i="6" s="1"/>
  <c r="F27" i="21"/>
  <c r="F20" i="12"/>
  <c r="H20" i="12" s="1"/>
  <c r="R7" i="12"/>
  <c r="L31" i="21"/>
  <c r="R25" i="12"/>
  <c r="F35" i="12"/>
  <c r="N31" i="12"/>
  <c r="J31" i="12" s="1"/>
  <c r="K31" i="12" s="1"/>
  <c r="G26" i="21"/>
  <c r="R12" i="12"/>
  <c r="N47" i="12"/>
  <c r="G35" i="12"/>
  <c r="C20" i="21"/>
  <c r="F25" i="12"/>
  <c r="H25" i="12" s="1"/>
  <c r="L27" i="21"/>
  <c r="P20" i="12"/>
  <c r="Q20" i="12" s="1"/>
  <c r="G29" i="21"/>
  <c r="L36" i="21"/>
  <c r="D7" i="12"/>
  <c r="F165" i="21"/>
  <c r="F12" i="21" s="1"/>
  <c r="R16" i="12"/>
  <c r="D23" i="12"/>
  <c r="N9" i="12"/>
  <c r="J9" i="12" s="1"/>
  <c r="K9" i="12" s="1"/>
  <c r="N23" i="12"/>
  <c r="J23" i="12" s="1"/>
  <c r="K23" i="12" s="1"/>
  <c r="F48" i="21"/>
  <c r="D26" i="12"/>
  <c r="D14" i="12"/>
  <c r="F50" i="21"/>
  <c r="G40" i="21"/>
  <c r="G42" i="21"/>
  <c r="L28" i="21"/>
  <c r="F18" i="21"/>
  <c r="N29" i="12"/>
  <c r="J29" i="12" s="1"/>
  <c r="L23" i="21"/>
  <c r="AA25" i="6"/>
  <c r="S25" i="6" s="1"/>
  <c r="N5" i="12"/>
  <c r="J5" i="12" s="1"/>
  <c r="R29" i="12"/>
  <c r="I40" i="6"/>
  <c r="O40" i="6" s="1"/>
  <c r="C21" i="21"/>
  <c r="N7" i="12" a="1"/>
  <c r="N7" i="12" s="1"/>
  <c r="J7" i="12" s="1"/>
  <c r="K7" i="12" s="1"/>
  <c r="R31" i="12"/>
  <c r="N16" i="12"/>
  <c r="J16" i="12" s="1"/>
  <c r="K16" i="12" s="1"/>
  <c r="R47" i="12"/>
  <c r="G34" i="21"/>
  <c r="F7" i="12"/>
  <c r="N17" i="12"/>
  <c r="J17" i="12" s="1"/>
  <c r="K17" i="12" s="1"/>
  <c r="F18" i="12"/>
  <c r="H18" i="12" s="1"/>
  <c r="G166" i="21"/>
  <c r="G19" i="21"/>
  <c r="F166" i="21"/>
  <c r="F11" i="21" s="1"/>
  <c r="F40" i="21"/>
  <c r="AA30" i="6"/>
  <c r="S30" i="6" s="1"/>
  <c r="N20" i="12"/>
  <c r="J20" i="12" s="1"/>
  <c r="K20" i="12" s="1"/>
  <c r="L22" i="21"/>
  <c r="G39" i="21"/>
  <c r="F9" i="12"/>
  <c r="H9" i="12" s="1"/>
  <c r="G164" i="21"/>
  <c r="G10" i="21" s="1"/>
  <c r="C34" i="21"/>
  <c r="F22" i="12"/>
  <c r="I42" i="6"/>
  <c r="O42" i="6" s="1"/>
  <c r="AA5" i="6"/>
  <c r="G31" i="21"/>
  <c r="D30" i="12"/>
  <c r="G23" i="21"/>
  <c r="R26" i="12"/>
  <c r="P24" i="12"/>
  <c r="Q24" i="12" s="1"/>
  <c r="AA31" i="6"/>
  <c r="S31" i="6" s="1"/>
  <c r="W31" i="6" s="1"/>
  <c r="C36" i="21"/>
  <c r="C35" i="21" s="1"/>
  <c r="Q13" i="21" s="1"/>
  <c r="G18" i="21"/>
  <c r="N25" i="12"/>
  <c r="J25" i="12" s="1"/>
  <c r="K25" i="12" s="1"/>
  <c r="C18" i="21"/>
  <c r="N30" i="12"/>
  <c r="J30" i="12" s="1"/>
  <c r="K30" i="12" s="1"/>
  <c r="G25" i="21"/>
  <c r="G22" i="21"/>
  <c r="I39" i="6"/>
  <c r="F32" i="12"/>
  <c r="H32" i="12" s="1"/>
  <c r="F27" i="12"/>
  <c r="H27" i="12" s="1"/>
  <c r="N24" i="12"/>
  <c r="J24" i="12" s="1"/>
  <c r="K24" i="12" s="1"/>
  <c r="F36" i="21"/>
  <c r="F35" i="21" s="1"/>
  <c r="T13" i="21" s="1"/>
  <c r="F23" i="21"/>
  <c r="G50" i="21"/>
  <c r="C44" i="21"/>
  <c r="F47" i="21"/>
  <c r="D16" i="12"/>
  <c r="L164" i="21"/>
  <c r="L10" i="21" s="1"/>
  <c r="P12" i="12"/>
  <c r="Q12" i="12" s="1"/>
  <c r="C25" i="21"/>
  <c r="F48" i="12"/>
  <c r="D17" i="12"/>
  <c r="AA21" i="6"/>
  <c r="S21" i="6" s="1"/>
  <c r="N10" i="12"/>
  <c r="J10" i="12" s="1"/>
  <c r="K10" i="12" s="1"/>
  <c r="AA9" i="6"/>
  <c r="L165" i="21"/>
  <c r="L12" i="21" s="1"/>
  <c r="G36" i="21"/>
  <c r="C19" i="21"/>
  <c r="L42" i="21"/>
  <c r="G36" i="12"/>
  <c r="L50" i="21"/>
  <c r="G41" i="21"/>
  <c r="C23" i="21"/>
  <c r="R10" i="12"/>
  <c r="R23" i="12"/>
  <c r="C29" i="21"/>
  <c r="AA18" i="6"/>
  <c r="S18" i="6" s="1"/>
  <c r="G48" i="21"/>
  <c r="D35" i="12"/>
  <c r="AA11" i="6"/>
  <c r="S11" i="6" s="1"/>
  <c r="N48" i="12"/>
  <c r="L21" i="21"/>
  <c r="P29" i="12"/>
  <c r="Q29" i="12" s="1"/>
  <c r="F31" i="21"/>
  <c r="R24" i="12"/>
  <c r="G46" i="21"/>
  <c r="Q124" i="1"/>
  <c r="R376" i="17"/>
  <c r="P376" i="17"/>
  <c r="U6" i="20"/>
  <c r="L27" i="8"/>
  <c r="L38" i="16"/>
  <c r="N33" i="1"/>
  <c r="N98" i="1" s="1"/>
  <c r="O33" i="1"/>
  <c r="O98" i="1" s="1"/>
  <c r="D19" i="1"/>
  <c r="G19" i="1" s="1"/>
  <c r="M177" i="1"/>
  <c r="M98" i="1"/>
  <c r="S33" i="1"/>
  <c r="L20" i="17"/>
  <c r="M14" i="17"/>
  <c r="O14" i="17" s="1"/>
  <c r="G21" i="20"/>
  <c r="N14" i="17"/>
  <c r="R27" i="12"/>
  <c r="S27" i="12" s="1"/>
  <c r="F10" i="20"/>
  <c r="L53" i="17"/>
  <c r="F11" i="20"/>
  <c r="AJ33" i="17"/>
  <c r="AK33" i="17" s="1"/>
  <c r="AL33" i="17" s="1"/>
  <c r="K33" i="17"/>
  <c r="M33" i="17" s="1"/>
  <c r="M35" i="17" s="1"/>
  <c r="Q3" i="26"/>
  <c r="AG44" i="16"/>
  <c r="AJ53" i="17"/>
  <c r="AK53" i="17" s="1"/>
  <c r="AL53" i="17" s="1"/>
  <c r="M53" i="17"/>
  <c r="K55" i="24"/>
  <c r="L21" i="2"/>
  <c r="L33" i="17"/>
  <c r="M6" i="22"/>
  <c r="AC6" i="22"/>
  <c r="AB5" i="22"/>
  <c r="I5" i="22"/>
  <c r="E82" i="21"/>
  <c r="N1" i="19"/>
  <c r="M37" i="22" l="1"/>
  <c r="I509" i="17"/>
  <c r="I507" i="17"/>
  <c r="G10" i="22"/>
  <c r="P31" i="12"/>
  <c r="Q31" i="12" s="1"/>
  <c r="F9" i="22"/>
  <c r="F63" i="22"/>
  <c r="F64" i="22" s="1"/>
  <c r="J52" i="21"/>
  <c r="X17" i="21" s="1"/>
  <c r="X16" i="21" s="1"/>
  <c r="I10" i="23"/>
  <c r="D18" i="20"/>
  <c r="F18" i="20" s="1"/>
  <c r="I13" i="23"/>
  <c r="K9" i="23"/>
  <c r="C38" i="17"/>
  <c r="U17" i="21"/>
  <c r="U16" i="21" s="1"/>
  <c r="I52" i="21"/>
  <c r="W17" i="21" s="1"/>
  <c r="W16" i="21" s="1"/>
  <c r="G51" i="21"/>
  <c r="R51" i="21" s="1"/>
  <c r="D5" i="28"/>
  <c r="AA21" i="22"/>
  <c r="J9" i="18"/>
  <c r="K9" i="18" s="1"/>
  <c r="J12" i="18"/>
  <c r="BD46" i="18"/>
  <c r="J11" i="18"/>
  <c r="K11" i="18" s="1"/>
  <c r="J35" i="18"/>
  <c r="K35" i="18" s="1"/>
  <c r="J36" i="18"/>
  <c r="K36" i="18" s="1"/>
  <c r="J40" i="18"/>
  <c r="K40" i="18" s="1"/>
  <c r="J22" i="18"/>
  <c r="K22" i="18" s="1"/>
  <c r="BD10" i="18"/>
  <c r="J45" i="18"/>
  <c r="K45" i="18" s="1"/>
  <c r="J44" i="18"/>
  <c r="K44" i="18" s="1"/>
  <c r="J13" i="18"/>
  <c r="J19" i="18"/>
  <c r="K19" i="18" s="1"/>
  <c r="J48" i="18"/>
  <c r="J20" i="18"/>
  <c r="K20" i="18" s="1"/>
  <c r="J23" i="18"/>
  <c r="K23" i="18" s="1"/>
  <c r="J8" i="18"/>
  <c r="J16" i="18"/>
  <c r="K16" i="18" s="1"/>
  <c r="J30" i="18"/>
  <c r="K30" i="18" s="1"/>
  <c r="E12" i="5"/>
  <c r="I12" i="5" s="1"/>
  <c r="D36" i="17"/>
  <c r="J36" i="17" s="1"/>
  <c r="J25" i="18"/>
  <c r="K25" i="18" s="1"/>
  <c r="K1" i="18"/>
  <c r="K56" i="18" s="1"/>
  <c r="J15" i="18"/>
  <c r="K15" i="18" s="1"/>
  <c r="J80" i="18" s="1"/>
  <c r="I55" i="18"/>
  <c r="I8" i="18" s="1"/>
  <c r="I7" i="18" s="1"/>
  <c r="I6" i="18" s="1"/>
  <c r="I5" i="18" s="1"/>
  <c r="J21" i="18"/>
  <c r="K21" i="18" s="1"/>
  <c r="J29" i="18"/>
  <c r="K29" i="18" s="1"/>
  <c r="J17" i="18"/>
  <c r="K17" i="18" s="1"/>
  <c r="J18" i="18"/>
  <c r="K18" i="18" s="1"/>
  <c r="J27" i="18"/>
  <c r="K27" i="18" s="1"/>
  <c r="J24" i="18"/>
  <c r="K24" i="18" s="1"/>
  <c r="C42" i="21"/>
  <c r="C38" i="21" s="1"/>
  <c r="Q14" i="21" s="1"/>
  <c r="J41" i="18"/>
  <c r="K41" i="18" s="1"/>
  <c r="J28" i="18"/>
  <c r="K28" i="18" s="1"/>
  <c r="J39" i="18"/>
  <c r="K39" i="18" s="1"/>
  <c r="J14" i="18"/>
  <c r="K14" i="18" s="1"/>
  <c r="J34" i="18"/>
  <c r="K34" i="18" s="1"/>
  <c r="J33" i="18"/>
  <c r="K33" i="18" s="1"/>
  <c r="J32" i="18"/>
  <c r="K32" i="18" s="1"/>
  <c r="AC21" i="22"/>
  <c r="J26" i="18"/>
  <c r="K26" i="18" s="1"/>
  <c r="J49" i="18"/>
  <c r="J47" i="18"/>
  <c r="J31" i="18"/>
  <c r="K31" i="18" s="1"/>
  <c r="J42" i="18"/>
  <c r="K42" i="18" s="1"/>
  <c r="J50" i="18"/>
  <c r="J37" i="18"/>
  <c r="K37" i="18" s="1"/>
  <c r="F189" i="1"/>
  <c r="AL43" i="18"/>
  <c r="S9" i="6"/>
  <c r="W9" i="6" s="1"/>
  <c r="AL8" i="28"/>
  <c r="M367" i="17"/>
  <c r="G186" i="17" s="1"/>
  <c r="O9" i="6"/>
  <c r="Q9" i="6"/>
  <c r="K6" i="2"/>
  <c r="I5" i="2"/>
  <c r="K5" i="2" s="1"/>
  <c r="L16" i="2"/>
  <c r="E13" i="4"/>
  <c r="G13" i="4" s="1"/>
  <c r="H23" i="2"/>
  <c r="AB14" i="2" s="1"/>
  <c r="G11" i="2"/>
  <c r="AA11" i="2" s="1"/>
  <c r="K11" i="22"/>
  <c r="L11" i="2"/>
  <c r="AA43" i="6"/>
  <c r="S43" i="6" s="1"/>
  <c r="U43" i="6" s="1"/>
  <c r="L166" i="21"/>
  <c r="L11" i="21" s="1"/>
  <c r="L9" i="21" s="1"/>
  <c r="P23" i="12"/>
  <c r="Q23" i="12" s="1"/>
  <c r="N32" i="12"/>
  <c r="J32" i="12" s="1"/>
  <c r="K32" i="12" s="1"/>
  <c r="F21" i="21"/>
  <c r="F17" i="21" s="1"/>
  <c r="T10" i="21" s="1"/>
  <c r="AA14" i="6"/>
  <c r="S14" i="6" s="1"/>
  <c r="W14" i="6" s="1"/>
  <c r="AA42" i="6"/>
  <c r="S42" i="6" s="1"/>
  <c r="K18" i="22"/>
  <c r="J18" i="2"/>
  <c r="G18" i="2"/>
  <c r="I18" i="2" s="1"/>
  <c r="L18" i="22" s="1"/>
  <c r="F17" i="2"/>
  <c r="H6" i="28"/>
  <c r="M7" i="19"/>
  <c r="J6" i="28" s="1"/>
  <c r="M57" i="2"/>
  <c r="K57" i="2"/>
  <c r="C91" i="2" s="1"/>
  <c r="H111" i="1"/>
  <c r="J75" i="1"/>
  <c r="H186" i="1"/>
  <c r="J186" i="1" s="1"/>
  <c r="H93" i="1"/>
  <c r="E19" i="20"/>
  <c r="J132" i="1"/>
  <c r="M186" i="1"/>
  <c r="S75" i="1"/>
  <c r="M93" i="1"/>
  <c r="N75" i="1"/>
  <c r="O75" i="1"/>
  <c r="O111" i="1" s="1"/>
  <c r="M111" i="1"/>
  <c r="S76" i="1"/>
  <c r="O76" i="1"/>
  <c r="N76" i="1"/>
  <c r="P76" i="1" s="1"/>
  <c r="D26" i="1"/>
  <c r="G26" i="1" s="1"/>
  <c r="Q80" i="1"/>
  <c r="M80" i="1" s="1"/>
  <c r="M81" i="1"/>
  <c r="J81" i="1"/>
  <c r="U81" i="1" s="1"/>
  <c r="H80" i="1"/>
  <c r="H133" i="1"/>
  <c r="J133" i="1" s="1"/>
  <c r="D25" i="17"/>
  <c r="J25" i="17" s="1"/>
  <c r="K25" i="17" s="1"/>
  <c r="AO43" i="19"/>
  <c r="AQ6" i="19"/>
  <c r="N311" i="17"/>
  <c r="AS202" i="9"/>
  <c r="AR203" i="9"/>
  <c r="L44" i="6"/>
  <c r="P44" i="6" s="1"/>
  <c r="P5" i="6"/>
  <c r="M52" i="21"/>
  <c r="AA17" i="21" s="1"/>
  <c r="AA16" i="21" s="1"/>
  <c r="J63" i="22"/>
  <c r="J64" i="22" s="1"/>
  <c r="AD22" i="22" s="1"/>
  <c r="Z17" i="21"/>
  <c r="Z16" i="21" s="1"/>
  <c r="L51" i="21"/>
  <c r="N51" i="21" s="1"/>
  <c r="O52" i="21"/>
  <c r="AD52" i="21"/>
  <c r="AA20" i="6"/>
  <c r="S20" i="6" s="1"/>
  <c r="U20" i="6" s="1"/>
  <c r="P35" i="12"/>
  <c r="Q35" i="12" s="1"/>
  <c r="E362" i="17"/>
  <c r="K362" i="17" s="1"/>
  <c r="P362" i="17" s="1"/>
  <c r="L6" i="21"/>
  <c r="M6" i="21" s="1"/>
  <c r="AA6" i="21" s="1"/>
  <c r="L41" i="21"/>
  <c r="N41" i="21" s="1"/>
  <c r="F6" i="21" a="1"/>
  <c r="F6" i="21" s="1"/>
  <c r="H6" i="21" s="1"/>
  <c r="V6" i="21" s="1"/>
  <c r="R36" i="12"/>
  <c r="L25" i="21"/>
  <c r="N25" i="21" s="1"/>
  <c r="D22" i="12"/>
  <c r="D21" i="12" s="1"/>
  <c r="AA12" i="6"/>
  <c r="S12" i="6" s="1"/>
  <c r="U12" i="6" s="1"/>
  <c r="L47" i="21"/>
  <c r="L43" i="21" s="1"/>
  <c r="P17" i="12"/>
  <c r="Q17" i="12" s="1"/>
  <c r="F33" i="21"/>
  <c r="F30" i="21" s="1"/>
  <c r="T12" i="21" s="1"/>
  <c r="F23" i="22"/>
  <c r="Z9" i="22"/>
  <c r="O362" i="17"/>
  <c r="Q362" i="17" s="1"/>
  <c r="S23" i="12"/>
  <c r="N354" i="17"/>
  <c r="M353" i="17"/>
  <c r="O354" i="17"/>
  <c r="L349" i="17"/>
  <c r="K349" i="17"/>
  <c r="I348" i="17"/>
  <c r="J349" i="17"/>
  <c r="L354" i="17"/>
  <c r="I353" i="17"/>
  <c r="K354" i="17"/>
  <c r="J354" i="17"/>
  <c r="E189" i="1"/>
  <c r="CK106" i="15"/>
  <c r="O46" i="34" s="1"/>
  <c r="O49" i="34" s="1"/>
  <c r="O52" i="34" s="1"/>
  <c r="M348" i="17"/>
  <c r="O349" i="17"/>
  <c r="N349" i="17"/>
  <c r="I58" i="24"/>
  <c r="I12" i="23" s="1"/>
  <c r="K12" i="23" s="1"/>
  <c r="H58" i="24"/>
  <c r="L9" i="23"/>
  <c r="I33" i="23"/>
  <c r="AR40" i="17"/>
  <c r="J40" i="17"/>
  <c r="N12" i="12"/>
  <c r="J12" i="12" s="1"/>
  <c r="S12" i="12" s="1"/>
  <c r="K49" i="18"/>
  <c r="L1" i="18"/>
  <c r="L26" i="18" s="1"/>
  <c r="M26" i="18" s="1"/>
  <c r="J7" i="18"/>
  <c r="K68" i="18"/>
  <c r="J81" i="18" s="1"/>
  <c r="K48" i="18"/>
  <c r="K47" i="18"/>
  <c r="K50" i="18"/>
  <c r="J51" i="21"/>
  <c r="I51" i="21"/>
  <c r="K57" i="18"/>
  <c r="K12" i="18" s="1"/>
  <c r="AA22" i="8"/>
  <c r="AA39" i="16"/>
  <c r="C49" i="21"/>
  <c r="C43" i="21" s="1"/>
  <c r="Q15" i="21" s="1"/>
  <c r="G165" i="21"/>
  <c r="H165" i="21" s="1"/>
  <c r="R17" i="12"/>
  <c r="S17" i="12" s="1"/>
  <c r="G37" i="21"/>
  <c r="H37" i="21" s="1"/>
  <c r="C32" i="21"/>
  <c r="C30" i="21" s="1"/>
  <c r="Q12" i="21" s="1"/>
  <c r="L40" i="21"/>
  <c r="M40" i="21" s="1"/>
  <c r="AA35" i="6"/>
  <c r="S35" i="6" s="1"/>
  <c r="U35" i="6" s="1"/>
  <c r="P15" i="12"/>
  <c r="Q15" i="12" s="1"/>
  <c r="BC6" i="18"/>
  <c r="AG43" i="18"/>
  <c r="BC43" i="18" s="1"/>
  <c r="AG5" i="18"/>
  <c r="R8" i="12"/>
  <c r="I119" i="1"/>
  <c r="I188" i="1" s="1"/>
  <c r="D15" i="1"/>
  <c r="G15" i="1" s="1"/>
  <c r="K120" i="1"/>
  <c r="K119" i="1" s="1"/>
  <c r="V119" i="1" s="1"/>
  <c r="J120" i="1"/>
  <c r="B137" i="1" s="1"/>
  <c r="BG9" i="18"/>
  <c r="BH9" i="18"/>
  <c r="BJ9" i="18" s="1"/>
  <c r="BI99" i="18"/>
  <c r="BJ10" i="18"/>
  <c r="BK99" i="18" s="1"/>
  <c r="BG8" i="18"/>
  <c r="AU5" i="19"/>
  <c r="AW5" i="19" s="1"/>
  <c r="AW6" i="19"/>
  <c r="AW43" i="19" s="1"/>
  <c r="AU43" i="19"/>
  <c r="AI6" i="18"/>
  <c r="BH7" i="18"/>
  <c r="M43" i="16"/>
  <c r="L48" i="16"/>
  <c r="AN43" i="18"/>
  <c r="BF43" i="18" s="1"/>
  <c r="AN5" i="18"/>
  <c r="AO43" i="18"/>
  <c r="AO5" i="18"/>
  <c r="BF7" i="19"/>
  <c r="BD6" i="19"/>
  <c r="S31" i="12"/>
  <c r="AB11" i="22"/>
  <c r="AC11" i="22"/>
  <c r="H9" i="22"/>
  <c r="AC17" i="2"/>
  <c r="AA21" i="2"/>
  <c r="AC16" i="2"/>
  <c r="K31" i="2"/>
  <c r="K24" i="2"/>
  <c r="AC15" i="2"/>
  <c r="S26" i="12"/>
  <c r="R309" i="17"/>
  <c r="S309" i="17" s="1"/>
  <c r="S312" i="17" s="1"/>
  <c r="S314" i="17" s="1"/>
  <c r="AM5" i="18"/>
  <c r="AM43" i="18"/>
  <c r="BC6" i="19"/>
  <c r="BC43" i="19" s="1"/>
  <c r="BA5" i="19"/>
  <c r="BC5" i="19" s="1"/>
  <c r="BA43" i="19"/>
  <c r="BD7" i="18"/>
  <c r="H6" i="18"/>
  <c r="AL6" i="28"/>
  <c r="CA7" i="19"/>
  <c r="BY6" i="19"/>
  <c r="R312" i="17"/>
  <c r="N28" i="8"/>
  <c r="N40" i="16"/>
  <c r="J7" i="19"/>
  <c r="G6" i="28" s="1"/>
  <c r="E6" i="28"/>
  <c r="H6" i="19"/>
  <c r="J318" i="17"/>
  <c r="L314" i="17"/>
  <c r="J319" i="17" s="1"/>
  <c r="AD9" i="22"/>
  <c r="J23" i="22"/>
  <c r="AD14" i="22" s="1"/>
  <c r="C93" i="22"/>
  <c r="S24" i="12"/>
  <c r="S29" i="12"/>
  <c r="K24" i="17"/>
  <c r="B27" i="17" s="1"/>
  <c r="T363" i="17"/>
  <c r="P363" i="17"/>
  <c r="AB45" i="16"/>
  <c r="AA48" i="16"/>
  <c r="Y32" i="16"/>
  <c r="Y20" i="8"/>
  <c r="L25" i="8"/>
  <c r="L35" i="16"/>
  <c r="L41" i="16" s="1"/>
  <c r="F51" i="21"/>
  <c r="H51" i="21" s="1"/>
  <c r="S51" i="21" s="1"/>
  <c r="T17" i="21"/>
  <c r="T16" i="21" s="1"/>
  <c r="E63" i="22"/>
  <c r="H52" i="21"/>
  <c r="V17" i="21" s="1"/>
  <c r="V16" i="21" s="1"/>
  <c r="AA10" i="22"/>
  <c r="G9" i="22"/>
  <c r="I10" i="22"/>
  <c r="C45" i="20"/>
  <c r="E45" i="20" s="1"/>
  <c r="F45" i="20" s="1"/>
  <c r="E46" i="20"/>
  <c r="F46" i="20" s="1"/>
  <c r="E23" i="22"/>
  <c r="Y9" i="22"/>
  <c r="AV33" i="17"/>
  <c r="N9" i="22"/>
  <c r="O10" i="22"/>
  <c r="S18" i="12"/>
  <c r="Q48" i="12"/>
  <c r="I36" i="21"/>
  <c r="H36" i="21"/>
  <c r="K36" i="21"/>
  <c r="J36" i="21"/>
  <c r="I31" i="21"/>
  <c r="J31" i="21"/>
  <c r="H31" i="21"/>
  <c r="G30" i="21"/>
  <c r="K31" i="21"/>
  <c r="N22" i="21"/>
  <c r="AF22" i="21"/>
  <c r="M22" i="21"/>
  <c r="O22" i="21"/>
  <c r="H42" i="21"/>
  <c r="I42" i="21"/>
  <c r="K42" i="21"/>
  <c r="S25" i="12"/>
  <c r="I47" i="21"/>
  <c r="H47" i="21"/>
  <c r="K47" i="21"/>
  <c r="J47" i="21"/>
  <c r="F13" i="12"/>
  <c r="H15" i="12"/>
  <c r="H13" i="12" s="1"/>
  <c r="H48" i="12"/>
  <c r="J48" i="12"/>
  <c r="I48" i="12"/>
  <c r="H28" i="21"/>
  <c r="I28" i="21"/>
  <c r="J28" i="21"/>
  <c r="K28" i="21"/>
  <c r="U10" i="6"/>
  <c r="W10" i="6"/>
  <c r="W34" i="6"/>
  <c r="U34" i="6"/>
  <c r="AD48" i="21"/>
  <c r="O48" i="21"/>
  <c r="N48" i="21"/>
  <c r="M48" i="21"/>
  <c r="D43" i="18"/>
  <c r="D5" i="18"/>
  <c r="B6" i="19"/>
  <c r="D7" i="19"/>
  <c r="O21" i="21"/>
  <c r="N21" i="21"/>
  <c r="M21" i="21"/>
  <c r="AF21" i="21"/>
  <c r="S10" i="12"/>
  <c r="N12" i="21"/>
  <c r="AF12" i="21"/>
  <c r="M12" i="21"/>
  <c r="O11" i="21"/>
  <c r="AF10" i="21"/>
  <c r="N10" i="21"/>
  <c r="O10" i="21"/>
  <c r="M10" i="21"/>
  <c r="J18" i="21"/>
  <c r="I18" i="21"/>
  <c r="K18" i="21"/>
  <c r="H18" i="21"/>
  <c r="G17" i="21"/>
  <c r="H7" i="12"/>
  <c r="K40" i="21"/>
  <c r="I40" i="21"/>
  <c r="J40" i="21"/>
  <c r="H40" i="21"/>
  <c r="S16" i="12"/>
  <c r="M31" i="21"/>
  <c r="L30" i="21"/>
  <c r="O31" i="21"/>
  <c r="N31" i="21"/>
  <c r="AF31" i="21"/>
  <c r="S9" i="12"/>
  <c r="H47" i="12"/>
  <c r="I47" i="12"/>
  <c r="J47" i="12"/>
  <c r="K15" i="12"/>
  <c r="K13" i="12" s="1"/>
  <c r="J13" i="12"/>
  <c r="AF19" i="21"/>
  <c r="O19" i="21"/>
  <c r="M19" i="21"/>
  <c r="N19" i="21"/>
  <c r="I32" i="21"/>
  <c r="H32" i="21"/>
  <c r="K32" i="21"/>
  <c r="W16" i="6"/>
  <c r="U16" i="6"/>
  <c r="F38" i="21"/>
  <c r="T14" i="21" s="1"/>
  <c r="W13" i="6"/>
  <c r="U13" i="6"/>
  <c r="O26" i="21"/>
  <c r="AF26" i="21"/>
  <c r="N26" i="21"/>
  <c r="M26" i="21"/>
  <c r="F11" i="12"/>
  <c r="H12" i="12"/>
  <c r="H11" i="12" s="1"/>
  <c r="M33" i="21"/>
  <c r="N33" i="21"/>
  <c r="AF33" i="21"/>
  <c r="O33" i="21"/>
  <c r="O45" i="21"/>
  <c r="J45" i="21"/>
  <c r="E5" i="18"/>
  <c r="E43" i="18"/>
  <c r="O177" i="1"/>
  <c r="N177" i="1"/>
  <c r="W30" i="6"/>
  <c r="U30" i="6"/>
  <c r="H34" i="21"/>
  <c r="K34" i="21"/>
  <c r="I34" i="21"/>
  <c r="J34" i="21"/>
  <c r="J4" i="12"/>
  <c r="K5" i="12"/>
  <c r="K4" i="12" s="1"/>
  <c r="H50" i="21"/>
  <c r="J35" i="12"/>
  <c r="M35" i="12"/>
  <c r="H35" i="12"/>
  <c r="I35" i="12"/>
  <c r="S7" i="12"/>
  <c r="N49" i="21"/>
  <c r="AD49" i="21"/>
  <c r="M49" i="21"/>
  <c r="F4" i="12"/>
  <c r="H5" i="12"/>
  <c r="H4" i="12" s="1"/>
  <c r="J44" i="21"/>
  <c r="I44" i="21"/>
  <c r="K44" i="21"/>
  <c r="H44" i="21"/>
  <c r="G43" i="21"/>
  <c r="K20" i="21"/>
  <c r="H20" i="21"/>
  <c r="I20" i="21"/>
  <c r="J20" i="21"/>
  <c r="U6" i="6"/>
  <c r="W6" i="6"/>
  <c r="W26" i="6"/>
  <c r="U26" i="6"/>
  <c r="M46" i="21"/>
  <c r="N46" i="21"/>
  <c r="AF46" i="21"/>
  <c r="O46" i="21"/>
  <c r="I49" i="21"/>
  <c r="K49" i="21"/>
  <c r="H49" i="21"/>
  <c r="U37" i="6"/>
  <c r="W37" i="6"/>
  <c r="W41" i="6"/>
  <c r="U41" i="6"/>
  <c r="S20" i="12"/>
  <c r="S22" i="12"/>
  <c r="AF29" i="21"/>
  <c r="O29" i="21"/>
  <c r="M29" i="21"/>
  <c r="N29" i="21"/>
  <c r="J34" i="12"/>
  <c r="H34" i="12"/>
  <c r="G33" i="12"/>
  <c r="I34" i="12"/>
  <c r="M34" i="12"/>
  <c r="W22" i="6"/>
  <c r="U22" i="6"/>
  <c r="G23" i="20"/>
  <c r="H23" i="20" s="1"/>
  <c r="N16" i="17"/>
  <c r="M16" i="17"/>
  <c r="O16" i="17" s="1"/>
  <c r="U11" i="6"/>
  <c r="W11" i="6"/>
  <c r="I41" i="21"/>
  <c r="J41" i="21"/>
  <c r="H41" i="21"/>
  <c r="K41" i="21"/>
  <c r="I44" i="6"/>
  <c r="O39" i="6"/>
  <c r="F21" i="12"/>
  <c r="H22" i="12"/>
  <c r="H21" i="12" s="1"/>
  <c r="W25" i="6"/>
  <c r="U25" i="6"/>
  <c r="N8" i="12"/>
  <c r="J8" i="12" s="1"/>
  <c r="C75" i="36"/>
  <c r="F28" i="12"/>
  <c r="H29" i="12"/>
  <c r="H28" i="12" s="1"/>
  <c r="I6" i="21"/>
  <c r="W6" i="21" s="1"/>
  <c r="G5" i="21"/>
  <c r="J6" i="21"/>
  <c r="X6" i="21" s="1"/>
  <c r="U6" i="21"/>
  <c r="K6" i="21"/>
  <c r="Y6" i="21" s="1"/>
  <c r="W23" i="6"/>
  <c r="U23" i="6"/>
  <c r="D13" i="12"/>
  <c r="O34" i="21"/>
  <c r="AF34" i="21"/>
  <c r="N34" i="21"/>
  <c r="M34" i="21"/>
  <c r="P326" i="17"/>
  <c r="Q120" i="1"/>
  <c r="Q119" i="1" s="1"/>
  <c r="M124" i="1"/>
  <c r="O50" i="21"/>
  <c r="N50" i="21"/>
  <c r="AD50" i="21"/>
  <c r="M50" i="21"/>
  <c r="U21" i="6"/>
  <c r="W21" i="6"/>
  <c r="I22" i="21"/>
  <c r="J22" i="21"/>
  <c r="K22" i="21"/>
  <c r="H22" i="21"/>
  <c r="M23" i="21"/>
  <c r="AF23" i="21"/>
  <c r="O23" i="21"/>
  <c r="N23" i="21"/>
  <c r="O36" i="21"/>
  <c r="L35" i="21"/>
  <c r="M36" i="21"/>
  <c r="N36" i="21"/>
  <c r="AF36" i="21"/>
  <c r="W39" i="6"/>
  <c r="U39" i="6"/>
  <c r="U36" i="6"/>
  <c r="W36" i="6"/>
  <c r="F43" i="21"/>
  <c r="T15" i="21" s="1"/>
  <c r="M18" i="21"/>
  <c r="AF18" i="21"/>
  <c r="N18" i="21"/>
  <c r="L17" i="21"/>
  <c r="O18" i="21"/>
  <c r="AF39" i="21"/>
  <c r="N39" i="21"/>
  <c r="O39" i="21"/>
  <c r="M39" i="21"/>
  <c r="Q47" i="12"/>
  <c r="P8" i="12"/>
  <c r="Q8" i="12" s="1"/>
  <c r="S14" i="12"/>
  <c r="N32" i="21"/>
  <c r="AF32" i="21"/>
  <c r="M32" i="21"/>
  <c r="F190" i="1"/>
  <c r="P32" i="12"/>
  <c r="Q32" i="12" s="1"/>
  <c r="AA38" i="6"/>
  <c r="S38" i="6" s="1"/>
  <c r="H21" i="20"/>
  <c r="J46" i="21"/>
  <c r="H46" i="21"/>
  <c r="K46" i="21"/>
  <c r="I46" i="21"/>
  <c r="H48" i="21"/>
  <c r="K48" i="21"/>
  <c r="J48" i="21"/>
  <c r="I48" i="21"/>
  <c r="I36" i="12"/>
  <c r="M36" i="12"/>
  <c r="J36" i="12"/>
  <c r="H36" i="12"/>
  <c r="J50" i="21"/>
  <c r="I50" i="21"/>
  <c r="K50" i="21"/>
  <c r="G24" i="21"/>
  <c r="I25" i="21"/>
  <c r="H25" i="21"/>
  <c r="J25" i="21"/>
  <c r="K25" i="21"/>
  <c r="H164" i="21"/>
  <c r="I19" i="21"/>
  <c r="H19" i="21"/>
  <c r="J19" i="21"/>
  <c r="K19" i="21"/>
  <c r="K29" i="12"/>
  <c r="J29" i="21"/>
  <c r="K29" i="21"/>
  <c r="I29" i="21"/>
  <c r="H29" i="21"/>
  <c r="J26" i="21"/>
  <c r="H26" i="21"/>
  <c r="K26" i="21"/>
  <c r="I26" i="21"/>
  <c r="U29" i="6"/>
  <c r="W29" i="6"/>
  <c r="F9" i="21"/>
  <c r="T9" i="21" s="1"/>
  <c r="J33" i="21"/>
  <c r="K33" i="21"/>
  <c r="I33" i="21"/>
  <c r="I21" i="21"/>
  <c r="J21" i="21"/>
  <c r="K21" i="21"/>
  <c r="D33" i="12"/>
  <c r="U19" i="6"/>
  <c r="W19" i="6"/>
  <c r="N20" i="21"/>
  <c r="AF20" i="21"/>
  <c r="O20" i="21"/>
  <c r="M20" i="21"/>
  <c r="M33" i="23"/>
  <c r="P33" i="23"/>
  <c r="J34" i="23"/>
  <c r="L7" i="32"/>
  <c r="G58" i="17"/>
  <c r="J36" i="23"/>
  <c r="W18" i="6"/>
  <c r="U18" i="6"/>
  <c r="M42" i="21"/>
  <c r="AD42" i="21"/>
  <c r="N42" i="21"/>
  <c r="K23" i="21"/>
  <c r="J23" i="21"/>
  <c r="I23" i="21"/>
  <c r="H23" i="21"/>
  <c r="H166" i="21"/>
  <c r="G11" i="21"/>
  <c r="Q36" i="12"/>
  <c r="W17" i="6"/>
  <c r="U17" i="6"/>
  <c r="U27" i="6"/>
  <c r="W27" i="6"/>
  <c r="D28" i="12"/>
  <c r="AF37" i="21"/>
  <c r="N37" i="21"/>
  <c r="M37" i="21"/>
  <c r="O37" i="21"/>
  <c r="H27" i="21"/>
  <c r="K27" i="21"/>
  <c r="I27" i="21"/>
  <c r="J27" i="21"/>
  <c r="S15" i="12"/>
  <c r="U15" i="6"/>
  <c r="W15" i="6"/>
  <c r="F8" i="12"/>
  <c r="H8" i="12" s="1"/>
  <c r="U40" i="6"/>
  <c r="W40" i="6"/>
  <c r="W28" i="6"/>
  <c r="U28" i="6"/>
  <c r="C24" i="21"/>
  <c r="Q11" i="21" s="1"/>
  <c r="O4" i="20"/>
  <c r="N4" i="20" s="1"/>
  <c r="L4" i="20"/>
  <c r="N20" i="17"/>
  <c r="M20" i="17"/>
  <c r="B6" i="17"/>
  <c r="M27" i="8"/>
  <c r="M38" i="16"/>
  <c r="C17" i="21"/>
  <c r="J39" i="21"/>
  <c r="K39" i="21"/>
  <c r="H39" i="21"/>
  <c r="I39" i="21"/>
  <c r="G38" i="21"/>
  <c r="O28" i="21"/>
  <c r="AF28" i="21"/>
  <c r="M28" i="21"/>
  <c r="N28" i="21"/>
  <c r="M27" i="21"/>
  <c r="N27" i="21"/>
  <c r="AF27" i="21"/>
  <c r="O27" i="21"/>
  <c r="K22" i="12"/>
  <c r="K21" i="12" s="1"/>
  <c r="J21" i="12"/>
  <c r="S30" i="12"/>
  <c r="W32" i="6"/>
  <c r="U32" i="6"/>
  <c r="M44" i="21"/>
  <c r="N44" i="21"/>
  <c r="AF44" i="21"/>
  <c r="O44" i="21"/>
  <c r="F24" i="21"/>
  <c r="T11" i="21" s="1"/>
  <c r="F33" i="12"/>
  <c r="D8" i="12"/>
  <c r="D6" i="12" s="1"/>
  <c r="W24" i="6"/>
  <c r="U24" i="6"/>
  <c r="K4" i="20"/>
  <c r="J4" i="20" s="1"/>
  <c r="H4" i="20"/>
  <c r="B45" i="17"/>
  <c r="A33" i="20" s="1"/>
  <c r="AH44" i="16"/>
  <c r="F127" i="21" s="1"/>
  <c r="C58" i="20"/>
  <c r="B58" i="20" s="1"/>
  <c r="E58" i="20" s="1"/>
  <c r="L55" i="17"/>
  <c r="N53" i="17"/>
  <c r="E38" i="17"/>
  <c r="B65" i="17"/>
  <c r="L35" i="17"/>
  <c r="N33" i="17"/>
  <c r="M55" i="17"/>
  <c r="C36" i="17"/>
  <c r="C39" i="17"/>
  <c r="K10" i="23"/>
  <c r="AC5" i="22"/>
  <c r="M5" i="22"/>
  <c r="C87" i="22" s="1"/>
  <c r="N39" i="19"/>
  <c r="P39" i="19" s="1"/>
  <c r="N17" i="19"/>
  <c r="P17" i="19" s="1"/>
  <c r="N15" i="19"/>
  <c r="N35" i="19"/>
  <c r="P35" i="19" s="1"/>
  <c r="N22" i="19"/>
  <c r="P22" i="19" s="1"/>
  <c r="N29" i="19"/>
  <c r="P29" i="19" s="1"/>
  <c r="N49" i="19"/>
  <c r="P49" i="19" s="1"/>
  <c r="N9" i="19"/>
  <c r="N40" i="19"/>
  <c r="P40" i="19" s="1"/>
  <c r="N16" i="19"/>
  <c r="P16" i="19" s="1"/>
  <c r="N37" i="19"/>
  <c r="P37" i="19" s="1"/>
  <c r="O1" i="19"/>
  <c r="N23" i="19"/>
  <c r="P23" i="19" s="1"/>
  <c r="N24" i="19"/>
  <c r="P24" i="19" s="1"/>
  <c r="N8" i="19"/>
  <c r="N19" i="19"/>
  <c r="P19" i="19" s="1"/>
  <c r="N11" i="19"/>
  <c r="P11" i="19" s="1"/>
  <c r="N34" i="19"/>
  <c r="P34" i="19" s="1"/>
  <c r="N21" i="19"/>
  <c r="P21" i="19" s="1"/>
  <c r="N48" i="19"/>
  <c r="N38" i="19"/>
  <c r="P38" i="19" s="1"/>
  <c r="N28" i="19"/>
  <c r="P28" i="19" s="1"/>
  <c r="N25" i="19"/>
  <c r="P25" i="19" s="1"/>
  <c r="N46" i="19"/>
  <c r="N14" i="19"/>
  <c r="P14" i="19" s="1"/>
  <c r="N50" i="19"/>
  <c r="P50" i="19" s="1"/>
  <c r="N31" i="19"/>
  <c r="P31" i="19" s="1"/>
  <c r="N42" i="19"/>
  <c r="P42" i="19" s="1"/>
  <c r="N47" i="19"/>
  <c r="N26" i="19"/>
  <c r="P26" i="19" s="1"/>
  <c r="N18" i="19"/>
  <c r="P18" i="19" s="1"/>
  <c r="N13" i="19"/>
  <c r="P13" i="19" s="1"/>
  <c r="N20" i="19"/>
  <c r="P20" i="19" s="1"/>
  <c r="N32" i="19"/>
  <c r="P32" i="19" s="1"/>
  <c r="N30" i="19"/>
  <c r="P30" i="19" s="1"/>
  <c r="N36" i="19"/>
  <c r="P36" i="19" s="1"/>
  <c r="N41" i="19"/>
  <c r="P41" i="19" s="1"/>
  <c r="N45" i="19"/>
  <c r="N33" i="19"/>
  <c r="P33" i="19" s="1"/>
  <c r="N27" i="19"/>
  <c r="P27" i="19" s="1"/>
  <c r="N12" i="19"/>
  <c r="P12" i="19" s="1"/>
  <c r="M6" i="19"/>
  <c r="K5" i="19"/>
  <c r="M5" i="19" s="1"/>
  <c r="K43" i="19"/>
  <c r="H5" i="28"/>
  <c r="I43" i="18" l="1"/>
  <c r="K51" i="21"/>
  <c r="BD6" i="18"/>
  <c r="BD5" i="18" s="1"/>
  <c r="Z22" i="22"/>
  <c r="F68" i="22"/>
  <c r="E18" i="20"/>
  <c r="K13" i="18"/>
  <c r="O367" i="17"/>
  <c r="J10" i="18"/>
  <c r="K10" i="18" s="1"/>
  <c r="M366" i="17"/>
  <c r="O366" i="17" s="1"/>
  <c r="J46" i="18"/>
  <c r="K46" i="18" s="1"/>
  <c r="J70" i="22"/>
  <c r="C88" i="2"/>
  <c r="AS203" i="9"/>
  <c r="AT202" i="9"/>
  <c r="AT203" i="9" s="1"/>
  <c r="I22" i="23"/>
  <c r="C40" i="17"/>
  <c r="BN12" i="18"/>
  <c r="G12" i="5"/>
  <c r="R14" i="5" s="1"/>
  <c r="F12" i="5"/>
  <c r="BI12" i="18" s="1"/>
  <c r="BJ95" i="18" s="1"/>
  <c r="J42" i="21"/>
  <c r="O42" i="21"/>
  <c r="AC5" i="2"/>
  <c r="AF11" i="21"/>
  <c r="M51" i="21"/>
  <c r="W51" i="21"/>
  <c r="AD51" i="21"/>
  <c r="I11" i="2"/>
  <c r="L11" i="22" s="1"/>
  <c r="H21" i="21"/>
  <c r="O13" i="21"/>
  <c r="M11" i="21"/>
  <c r="L9" i="18"/>
  <c r="M9" i="18" s="1"/>
  <c r="W43" i="6"/>
  <c r="U14" i="6"/>
  <c r="T51" i="21"/>
  <c r="N11" i="21"/>
  <c r="O51" i="21"/>
  <c r="K28" i="12"/>
  <c r="J28" i="12"/>
  <c r="S32" i="12"/>
  <c r="K17" i="22"/>
  <c r="G17" i="2"/>
  <c r="Z12" i="2"/>
  <c r="L18" i="2"/>
  <c r="J17" i="2"/>
  <c r="L23" i="18"/>
  <c r="M23" i="18" s="1"/>
  <c r="H134" i="1"/>
  <c r="J134" i="1" s="1"/>
  <c r="J80" i="1"/>
  <c r="H94" i="1"/>
  <c r="H112" i="1"/>
  <c r="O81" i="1"/>
  <c r="S81" i="1"/>
  <c r="N81" i="1"/>
  <c r="P81" i="1" s="1"/>
  <c r="D27" i="1"/>
  <c r="G27" i="1" s="1"/>
  <c r="N111" i="1"/>
  <c r="P75" i="1"/>
  <c r="S80" i="1"/>
  <c r="O80" i="1"/>
  <c r="O112" i="1" s="1"/>
  <c r="N80" i="1"/>
  <c r="M94" i="1"/>
  <c r="M112" i="1"/>
  <c r="J111" i="1"/>
  <c r="U75" i="1"/>
  <c r="N186" i="1"/>
  <c r="O186" i="1"/>
  <c r="AQ43" i="19"/>
  <c r="CE43" i="19" s="1"/>
  <c r="CE6" i="19"/>
  <c r="L21" i="18"/>
  <c r="M21" i="18" s="1"/>
  <c r="L31" i="18"/>
  <c r="M31" i="18" s="1"/>
  <c r="L24" i="18"/>
  <c r="M24" i="18" s="1"/>
  <c r="L34" i="18"/>
  <c r="M34" i="18" s="1"/>
  <c r="J68" i="22"/>
  <c r="L11" i="18"/>
  <c r="M11" i="18" s="1"/>
  <c r="L14" i="18"/>
  <c r="M14" i="18" s="1"/>
  <c r="L27" i="18"/>
  <c r="M27" i="18" s="1"/>
  <c r="M41" i="21"/>
  <c r="AD41" i="21"/>
  <c r="Z6" i="21"/>
  <c r="L39" i="18"/>
  <c r="M39" i="18" s="1"/>
  <c r="L37" i="18"/>
  <c r="M37" i="18" s="1"/>
  <c r="L47" i="18"/>
  <c r="L19" i="18"/>
  <c r="M19" i="18" s="1"/>
  <c r="AC10" i="22"/>
  <c r="S15" i="22"/>
  <c r="L24" i="21"/>
  <c r="AF24" i="21" s="1"/>
  <c r="O25" i="21"/>
  <c r="L22" i="18"/>
  <c r="M22" i="18" s="1"/>
  <c r="L35" i="18"/>
  <c r="M35" i="18" s="1"/>
  <c r="O41" i="21"/>
  <c r="N47" i="21"/>
  <c r="AF6" i="21"/>
  <c r="AF25" i="21"/>
  <c r="L5" i="21"/>
  <c r="M5" i="21" s="1"/>
  <c r="AA5" i="21" s="1"/>
  <c r="H33" i="21"/>
  <c r="AF47" i="21"/>
  <c r="F5" i="21"/>
  <c r="H5" i="21" s="1"/>
  <c r="V5" i="21" s="1"/>
  <c r="N6" i="21"/>
  <c r="AB6" i="21" s="1"/>
  <c r="O47" i="21"/>
  <c r="M25" i="21"/>
  <c r="T6" i="21"/>
  <c r="O6" i="21"/>
  <c r="M47" i="21"/>
  <c r="N44" i="6"/>
  <c r="W20" i="6"/>
  <c r="W12" i="6"/>
  <c r="L12" i="18"/>
  <c r="L40" i="18"/>
  <c r="M40" i="18" s="1"/>
  <c r="L18" i="18"/>
  <c r="M18" i="18" s="1"/>
  <c r="L8" i="18"/>
  <c r="L15" i="18"/>
  <c r="M15" i="18" s="1"/>
  <c r="L80" i="18" s="1"/>
  <c r="L20" i="18"/>
  <c r="M20" i="18" s="1"/>
  <c r="L33" i="18"/>
  <c r="M33" i="18" s="1"/>
  <c r="L45" i="18"/>
  <c r="M45" i="18" s="1"/>
  <c r="L13" i="18"/>
  <c r="J6" i="18"/>
  <c r="J5" i="18" s="1"/>
  <c r="K12" i="12"/>
  <c r="K11" i="12" s="1"/>
  <c r="J11" i="12"/>
  <c r="Z14" i="22"/>
  <c r="F66" i="22"/>
  <c r="E71" i="2" s="1"/>
  <c r="L38" i="18"/>
  <c r="M38" i="18" s="1"/>
  <c r="L29" i="18"/>
  <c r="M29" i="18" s="1"/>
  <c r="L16" i="18"/>
  <c r="M16" i="18" s="1"/>
  <c r="L42" i="18"/>
  <c r="M42" i="18" s="1"/>
  <c r="Q349" i="17"/>
  <c r="P349" i="17"/>
  <c r="L41" i="18"/>
  <c r="M41" i="18" s="1"/>
  <c r="L17" i="18"/>
  <c r="M17" i="18" s="1"/>
  <c r="L36" i="18"/>
  <c r="M36" i="18" s="1"/>
  <c r="K55" i="18"/>
  <c r="K8" i="18" s="1"/>
  <c r="K7" i="18" s="1"/>
  <c r="K46" i="34"/>
  <c r="K49" i="34" s="1"/>
  <c r="K52" i="34" s="1"/>
  <c r="J46" i="34"/>
  <c r="J49" i="34" s="1"/>
  <c r="J52" i="34" s="1"/>
  <c r="H46" i="34"/>
  <c r="H49" i="34" s="1"/>
  <c r="H52" i="34" s="1"/>
  <c r="Q354" i="17"/>
  <c r="F58" i="17"/>
  <c r="I37" i="23"/>
  <c r="J38" i="26" s="1"/>
  <c r="I34" i="23"/>
  <c r="K34" i="23" s="1"/>
  <c r="N34" i="23" s="1"/>
  <c r="O33" i="23"/>
  <c r="I36" i="23"/>
  <c r="I45" i="23"/>
  <c r="L33" i="23"/>
  <c r="L49" i="23" s="1"/>
  <c r="P10" i="20"/>
  <c r="R10" i="20" s="1"/>
  <c r="O348" i="17"/>
  <c r="N348" i="17"/>
  <c r="G11" i="20"/>
  <c r="L353" i="17"/>
  <c r="K353" i="17"/>
  <c r="J353" i="17"/>
  <c r="L13" i="23"/>
  <c r="L21" i="23"/>
  <c r="L10" i="23"/>
  <c r="F38" i="17"/>
  <c r="U9" i="23"/>
  <c r="V25" i="23" s="1"/>
  <c r="N9" i="23"/>
  <c r="R9" i="23"/>
  <c r="X9" i="23" s="1"/>
  <c r="X12" i="23" s="1"/>
  <c r="O9" i="23"/>
  <c r="K33" i="23"/>
  <c r="E46" i="34"/>
  <c r="E49" i="34" s="1"/>
  <c r="E52" i="34" s="1"/>
  <c r="L46" i="34"/>
  <c r="L49" i="34" s="1"/>
  <c r="L52" i="34" s="1"/>
  <c r="H299" i="17"/>
  <c r="H298" i="17"/>
  <c r="M46" i="34"/>
  <c r="M49" i="34" s="1"/>
  <c r="M52" i="34" s="1"/>
  <c r="G46" i="34"/>
  <c r="G49" i="34" s="1"/>
  <c r="G52" i="34" s="1"/>
  <c r="J7" i="26"/>
  <c r="K7" i="26" s="1"/>
  <c r="F46" i="34"/>
  <c r="F49" i="34" s="1"/>
  <c r="F52" i="34" s="1"/>
  <c r="N46" i="34"/>
  <c r="N49" i="34" s="1"/>
  <c r="N52" i="34" s="1"/>
  <c r="D46" i="34"/>
  <c r="D49" i="34" s="1"/>
  <c r="D52" i="34" s="1"/>
  <c r="H300" i="17"/>
  <c r="J35" i="26"/>
  <c r="K35" i="26" s="1"/>
  <c r="I46" i="34"/>
  <c r="I49" i="34" s="1"/>
  <c r="I52" i="34" s="1"/>
  <c r="H301" i="17"/>
  <c r="N353" i="17"/>
  <c r="O353" i="17"/>
  <c r="P11" i="20"/>
  <c r="R11" i="20" s="1"/>
  <c r="P354" i="17"/>
  <c r="L12" i="23"/>
  <c r="K58" i="24"/>
  <c r="L348" i="17"/>
  <c r="G10" i="20"/>
  <c r="K348" i="17"/>
  <c r="T348" i="17" s="1"/>
  <c r="J348" i="17"/>
  <c r="S348" i="17" s="1"/>
  <c r="L28" i="18"/>
  <c r="M28" i="18" s="1"/>
  <c r="L30" i="18"/>
  <c r="M30" i="18" s="1"/>
  <c r="L50" i="18"/>
  <c r="L25" i="18"/>
  <c r="M25" i="18" s="1"/>
  <c r="M1" i="18"/>
  <c r="N1" i="18" s="1"/>
  <c r="L32" i="18"/>
  <c r="M32" i="18" s="1"/>
  <c r="L49" i="18"/>
  <c r="L48" i="18"/>
  <c r="L44" i="18"/>
  <c r="M44" i="18" s="1"/>
  <c r="J37" i="21"/>
  <c r="G35" i="21"/>
  <c r="J35" i="21" s="1"/>
  <c r="X13" i="21" s="1"/>
  <c r="U4" i="20"/>
  <c r="J49" i="21"/>
  <c r="J32" i="21"/>
  <c r="G12" i="21"/>
  <c r="G9" i="21" s="1"/>
  <c r="K37" i="21"/>
  <c r="I37" i="21"/>
  <c r="AB22" i="8"/>
  <c r="AB39" i="16"/>
  <c r="O49" i="21"/>
  <c r="N40" i="21"/>
  <c r="AF40" i="21"/>
  <c r="W35" i="6"/>
  <c r="O40" i="21"/>
  <c r="L38" i="21"/>
  <c r="Z14" i="21" s="1"/>
  <c r="O32" i="21"/>
  <c r="B44" i="17"/>
  <c r="A32" i="20" s="1"/>
  <c r="BC5" i="18"/>
  <c r="BK102" i="18"/>
  <c r="BK104" i="18" s="1"/>
  <c r="BK111" i="18" s="1"/>
  <c r="L54" i="6"/>
  <c r="N54" i="6" s="1"/>
  <c r="I145" i="1"/>
  <c r="I189" i="1" s="1"/>
  <c r="B147" i="1"/>
  <c r="J119" i="1"/>
  <c r="P119" i="1" s="1"/>
  <c r="V120" i="1"/>
  <c r="BG7" i="18"/>
  <c r="BG6" i="18" s="1"/>
  <c r="BG5" i="18" s="1"/>
  <c r="U120" i="1"/>
  <c r="M48" i="16"/>
  <c r="N43" i="16"/>
  <c r="AI5" i="18"/>
  <c r="AI43" i="18"/>
  <c r="BH43" i="18" s="1"/>
  <c r="BH6" i="18"/>
  <c r="BI92" i="18" s="1"/>
  <c r="BD5" i="19"/>
  <c r="BF5" i="19" s="1"/>
  <c r="BF6" i="19"/>
  <c r="BF43" i="19" s="1"/>
  <c r="BD43" i="19"/>
  <c r="BY43" i="19" s="1"/>
  <c r="AB9" i="22"/>
  <c r="H23" i="22"/>
  <c r="AB14" i="22" s="1"/>
  <c r="H6" i="12"/>
  <c r="H43" i="18"/>
  <c r="BD43" i="18" s="1"/>
  <c r="H5" i="18"/>
  <c r="J66" i="22"/>
  <c r="O28" i="8"/>
  <c r="O40" i="16"/>
  <c r="BY5" i="19"/>
  <c r="CA5" i="19" s="1"/>
  <c r="CQ9" i="19" s="1"/>
  <c r="CT9" i="19" s="1"/>
  <c r="CS9" i="19" s="1"/>
  <c r="CA6" i="19"/>
  <c r="AL5" i="28"/>
  <c r="AG88" i="19"/>
  <c r="AN6" i="28"/>
  <c r="CQ8" i="19"/>
  <c r="CT8" i="19" s="1"/>
  <c r="H43" i="19"/>
  <c r="J6" i="19"/>
  <c r="H5" i="19"/>
  <c r="J5" i="19" s="1"/>
  <c r="E5" i="28"/>
  <c r="G19" i="20"/>
  <c r="G18" i="20" s="1"/>
  <c r="H18" i="20" s="1"/>
  <c r="M25" i="8"/>
  <c r="M35" i="16"/>
  <c r="M41" i="16" s="1"/>
  <c r="Z32" i="16"/>
  <c r="Z20" i="8"/>
  <c r="AC45" i="16"/>
  <c r="AB48" i="16"/>
  <c r="N23" i="22"/>
  <c r="O23" i="22" s="1"/>
  <c r="O9" i="22"/>
  <c r="I9" i="22"/>
  <c r="AA9" i="22"/>
  <c r="Y14" i="22"/>
  <c r="G23" i="22"/>
  <c r="E64" i="22"/>
  <c r="E66" i="22" s="1"/>
  <c r="G63" i="22"/>
  <c r="I63" i="22" s="1"/>
  <c r="J188" i="1"/>
  <c r="U188" i="1" s="1"/>
  <c r="K188" i="1"/>
  <c r="V188" i="1" s="1"/>
  <c r="L188" i="1"/>
  <c r="N43" i="21"/>
  <c r="AB15" i="21" s="1"/>
  <c r="M43" i="21"/>
  <c r="AA15" i="21" s="1"/>
  <c r="Z15" i="21"/>
  <c r="AF43" i="21"/>
  <c r="O43" i="21"/>
  <c r="N27" i="8"/>
  <c r="N38" i="16"/>
  <c r="H11" i="21"/>
  <c r="J11" i="21"/>
  <c r="K11" i="21"/>
  <c r="I11" i="21"/>
  <c r="M7" i="32"/>
  <c r="N7" i="32"/>
  <c r="O7" i="32"/>
  <c r="N35" i="21"/>
  <c r="AB13" i="21" s="1"/>
  <c r="M35" i="21"/>
  <c r="AA13" i="21" s="1"/>
  <c r="Z13" i="21"/>
  <c r="O124" i="1"/>
  <c r="N124" i="1"/>
  <c r="M120" i="1"/>
  <c r="K47" i="12"/>
  <c r="S47" i="12"/>
  <c r="AA44" i="6"/>
  <c r="Z9" i="21"/>
  <c r="AF9" i="21"/>
  <c r="O9" i="21"/>
  <c r="N9" i="21"/>
  <c r="AB9" i="21" s="1"/>
  <c r="M9" i="21"/>
  <c r="AA9" i="21" s="1"/>
  <c r="U14" i="21"/>
  <c r="I38" i="21"/>
  <c r="W14" i="21" s="1"/>
  <c r="K38" i="21"/>
  <c r="Y14" i="21" s="1"/>
  <c r="J38" i="21"/>
  <c r="X14" i="21" s="1"/>
  <c r="H38" i="21"/>
  <c r="V14" i="21" s="1"/>
  <c r="P34" i="23"/>
  <c r="M34" i="23"/>
  <c r="J6" i="12"/>
  <c r="K8" i="12"/>
  <c r="K6" i="12" s="1"/>
  <c r="S8" i="12"/>
  <c r="S34" i="12"/>
  <c r="K34" i="12"/>
  <c r="J33" i="12"/>
  <c r="K33" i="12" s="1"/>
  <c r="K17" i="21"/>
  <c r="Y10" i="21" s="1"/>
  <c r="J17" i="21"/>
  <c r="X10" i="21" s="1"/>
  <c r="I17" i="21"/>
  <c r="W10" i="21" s="1"/>
  <c r="H17" i="21"/>
  <c r="V10" i="21" s="1"/>
  <c r="U10" i="21"/>
  <c r="K36" i="12"/>
  <c r="S36" i="12"/>
  <c r="M17" i="21"/>
  <c r="AA10" i="21" s="1"/>
  <c r="O17" i="21"/>
  <c r="Z10" i="21"/>
  <c r="N17" i="21"/>
  <c r="AB10" i="21" s="1"/>
  <c r="AF17" i="21"/>
  <c r="I5" i="21"/>
  <c r="W5" i="21" s="1"/>
  <c r="J5" i="21"/>
  <c r="X5" i="21" s="1"/>
  <c r="K5" i="21"/>
  <c r="Y5" i="21" s="1"/>
  <c r="U5" i="21"/>
  <c r="K35" i="12"/>
  <c r="S35" i="12"/>
  <c r="D37" i="12"/>
  <c r="U15" i="21"/>
  <c r="I43" i="21"/>
  <c r="W15" i="21" s="1"/>
  <c r="K43" i="21"/>
  <c r="Y15" i="21" s="1"/>
  <c r="H43" i="21"/>
  <c r="V15" i="21" s="1"/>
  <c r="J43" i="21"/>
  <c r="X15" i="21" s="1"/>
  <c r="H24" i="21"/>
  <c r="V11" i="21" s="1"/>
  <c r="I24" i="21"/>
  <c r="W11" i="21" s="1"/>
  <c r="K24" i="21"/>
  <c r="Y11" i="21" s="1"/>
  <c r="U11" i="21"/>
  <c r="J24" i="21"/>
  <c r="X11" i="21" s="1"/>
  <c r="D6" i="19"/>
  <c r="D43" i="19" s="1"/>
  <c r="B43" i="19"/>
  <c r="B5" i="19"/>
  <c r="D5" i="19" s="1"/>
  <c r="K48" i="12"/>
  <c r="S48" i="12"/>
  <c r="C82" i="21"/>
  <c r="Q10" i="21"/>
  <c r="Q20" i="21" s="1"/>
  <c r="G60" i="17"/>
  <c r="J60" i="17" s="1"/>
  <c r="M36" i="23"/>
  <c r="P36" i="23"/>
  <c r="U66" i="23" s="1"/>
  <c r="Y59" i="23" s="1"/>
  <c r="F6" i="12"/>
  <c r="F37" i="12" s="1"/>
  <c r="F39" i="12" s="1"/>
  <c r="K7" i="32"/>
  <c r="K5" i="32" s="1"/>
  <c r="K4" i="32" s="1"/>
  <c r="J58" i="17"/>
  <c r="G56" i="17"/>
  <c r="J56" i="17" s="1"/>
  <c r="H10" i="21"/>
  <c r="J10" i="21"/>
  <c r="K10" i="21"/>
  <c r="I10" i="21"/>
  <c r="U38" i="6"/>
  <c r="W38" i="6"/>
  <c r="G37" i="12"/>
  <c r="G39" i="12" s="1"/>
  <c r="I33" i="12"/>
  <c r="I37" i="12" s="1"/>
  <c r="I39" i="12" s="1"/>
  <c r="H33" i="12"/>
  <c r="Z12" i="21"/>
  <c r="M30" i="21"/>
  <c r="AA12" i="21" s="1"/>
  <c r="N30" i="21"/>
  <c r="AB12" i="21" s="1"/>
  <c r="H30" i="21"/>
  <c r="V12" i="21" s="1"/>
  <c r="U12" i="21"/>
  <c r="K30" i="21"/>
  <c r="Y12" i="21" s="1"/>
  <c r="J30" i="21"/>
  <c r="X12" i="21" s="1"/>
  <c r="I30" i="21"/>
  <c r="W12" i="21" s="1"/>
  <c r="E36" i="17"/>
  <c r="AI44" i="16"/>
  <c r="G127" i="21" s="1"/>
  <c r="H127" i="21" s="1"/>
  <c r="N44" i="19"/>
  <c r="P44" i="19" s="1"/>
  <c r="B64" i="17"/>
  <c r="E40" i="17"/>
  <c r="P1" i="19"/>
  <c r="K7" i="28"/>
  <c r="K11" i="28" s="1"/>
  <c r="P15" i="19"/>
  <c r="M7" i="28" s="1"/>
  <c r="P9" i="19"/>
  <c r="N10" i="19"/>
  <c r="P10" i="19" s="1"/>
  <c r="M43" i="19"/>
  <c r="J5" i="28"/>
  <c r="N7" i="19"/>
  <c r="P8" i="19"/>
  <c r="I43" i="12" l="1"/>
  <c r="D40" i="12"/>
  <c r="G43" i="12"/>
  <c r="F43" i="12"/>
  <c r="G185" i="17"/>
  <c r="K6" i="18"/>
  <c r="K43" i="18" s="1"/>
  <c r="BJ12" i="18"/>
  <c r="BK95" i="18" s="1"/>
  <c r="L7" i="18"/>
  <c r="AC11" i="2"/>
  <c r="L127" i="21"/>
  <c r="M127" i="21" s="1"/>
  <c r="AD12" i="2"/>
  <c r="L17" i="2"/>
  <c r="AA12" i="2"/>
  <c r="I17" i="2"/>
  <c r="CA43" i="19"/>
  <c r="P80" i="1"/>
  <c r="N112" i="1"/>
  <c r="U80" i="1"/>
  <c r="J112" i="1"/>
  <c r="L10" i="18"/>
  <c r="M10" i="18" s="1"/>
  <c r="M48" i="18"/>
  <c r="M49" i="18"/>
  <c r="K145" i="1"/>
  <c r="L145" i="1" s="1"/>
  <c r="M47" i="18"/>
  <c r="I38" i="17"/>
  <c r="H38" i="17"/>
  <c r="Q34" i="23"/>
  <c r="AC39" i="6"/>
  <c r="AD39" i="6" s="1"/>
  <c r="Z16" i="6"/>
  <c r="R16" i="6" s="1"/>
  <c r="V16" i="6" s="1"/>
  <c r="Z34" i="6"/>
  <c r="R34" i="6" s="1"/>
  <c r="T34" i="6" s="1"/>
  <c r="AC24" i="6"/>
  <c r="AD24" i="6" s="1"/>
  <c r="C17" i="32"/>
  <c r="C16" i="32" s="1"/>
  <c r="C26" i="32"/>
  <c r="G13" i="32"/>
  <c r="D29" i="32" a="1"/>
  <c r="D29" i="32" s="1"/>
  <c r="AC16" i="6"/>
  <c r="AD16" i="6" s="1"/>
  <c r="D30" i="32" a="1"/>
  <c r="D30" i="32" s="1"/>
  <c r="Z31" i="6"/>
  <c r="R31" i="6" s="1"/>
  <c r="V31" i="6" s="1"/>
  <c r="Z21" i="6"/>
  <c r="R21" i="6" s="1"/>
  <c r="V21" i="6" s="1"/>
  <c r="AC14" i="6"/>
  <c r="AD14" i="6" s="1"/>
  <c r="M56" i="18"/>
  <c r="M13" i="18" s="1"/>
  <c r="AC20" i="6"/>
  <c r="AD20" i="6" s="1"/>
  <c r="D20" i="32" a="1"/>
  <c r="M24" i="21"/>
  <c r="AA11" i="21" s="1"/>
  <c r="M50" i="18"/>
  <c r="C19" i="32"/>
  <c r="AC37" i="6"/>
  <c r="AD37" i="6" s="1"/>
  <c r="AC43" i="6"/>
  <c r="AD43" i="6" s="1"/>
  <c r="L13" i="32"/>
  <c r="F20" i="32"/>
  <c r="L32" i="32"/>
  <c r="M32" i="32" s="1"/>
  <c r="AC15" i="6"/>
  <c r="AD15" i="6" s="1"/>
  <c r="L35" i="32"/>
  <c r="G26" i="32"/>
  <c r="F23" i="32"/>
  <c r="Z26" i="6"/>
  <c r="R26" i="6" s="1"/>
  <c r="T26" i="6" s="1"/>
  <c r="AC33" i="6"/>
  <c r="AD33" i="6" s="1"/>
  <c r="Z12" i="6"/>
  <c r="R12" i="6" s="1"/>
  <c r="T12" i="6" s="1"/>
  <c r="G32" i="32"/>
  <c r="I32" i="32" s="1"/>
  <c r="C20" i="32"/>
  <c r="Z15" i="6"/>
  <c r="R15" i="6" s="1"/>
  <c r="T15" i="6" s="1"/>
  <c r="C15" i="32"/>
  <c r="F13" i="32"/>
  <c r="F26" i="32"/>
  <c r="Z27" i="6"/>
  <c r="R27" i="6" s="1"/>
  <c r="V27" i="6" s="1"/>
  <c r="F32" i="32"/>
  <c r="D31" i="32" a="1"/>
  <c r="G19" i="32"/>
  <c r="I19" i="32" s="1"/>
  <c r="G42" i="32"/>
  <c r="I42" i="32" s="1"/>
  <c r="AC38" i="6"/>
  <c r="AD38" i="6" s="1"/>
  <c r="L46" i="18"/>
  <c r="M46" i="18" s="1"/>
  <c r="Z35" i="6"/>
  <c r="R35" i="6" s="1"/>
  <c r="V35" i="6" s="1"/>
  <c r="AC10" i="6"/>
  <c r="AD10" i="6" s="1"/>
  <c r="Z36" i="6"/>
  <c r="R36" i="6" s="1"/>
  <c r="V36" i="6" s="1"/>
  <c r="C29" i="32"/>
  <c r="F37" i="32"/>
  <c r="M57" i="18"/>
  <c r="M12" i="18" s="1"/>
  <c r="D19" i="32" a="1"/>
  <c r="D19" i="32" s="1"/>
  <c r="F30" i="32"/>
  <c r="AC19" i="6"/>
  <c r="AD19" i="6" s="1"/>
  <c r="I127" i="21"/>
  <c r="L22" i="32"/>
  <c r="C31" i="32"/>
  <c r="F42" i="32"/>
  <c r="C36" i="32"/>
  <c r="D11" i="32" a="1"/>
  <c r="Z39" i="6"/>
  <c r="R39" i="6" s="1"/>
  <c r="V39" i="6" s="1"/>
  <c r="G36" i="32"/>
  <c r="Q36" i="32" s="1"/>
  <c r="AC12" i="6"/>
  <c r="AD12" i="6" s="1"/>
  <c r="AC23" i="6"/>
  <c r="AD23" i="6" s="1"/>
  <c r="G31" i="32"/>
  <c r="I31" i="32" s="1"/>
  <c r="AC5" i="6"/>
  <c r="AD5" i="6" s="1"/>
  <c r="Z5" i="6"/>
  <c r="R5" i="6" s="1"/>
  <c r="T5" i="6" s="1"/>
  <c r="D38" i="32" a="1"/>
  <c r="C13" i="32"/>
  <c r="G15" i="32"/>
  <c r="D33" i="32" a="1"/>
  <c r="D14" i="32" a="1"/>
  <c r="D14" i="32" s="1"/>
  <c r="C14" i="32"/>
  <c r="F40" i="32"/>
  <c r="D22" i="32" a="1"/>
  <c r="AC42" i="6"/>
  <c r="AD42" i="6" s="1"/>
  <c r="AC35" i="6"/>
  <c r="AD35" i="6" s="1"/>
  <c r="AC34" i="6"/>
  <c r="AD34" i="6" s="1"/>
  <c r="Z30" i="6"/>
  <c r="R30" i="6" s="1"/>
  <c r="F33" i="32"/>
  <c r="AC32" i="6"/>
  <c r="AD32" i="6" s="1"/>
  <c r="L19" i="32"/>
  <c r="M19" i="32" s="1"/>
  <c r="F14" i="32"/>
  <c r="G12" i="32"/>
  <c r="D31" i="32"/>
  <c r="C35" i="32"/>
  <c r="AC21" i="6"/>
  <c r="AD21" i="6" s="1"/>
  <c r="C11" i="32"/>
  <c r="G29" i="32"/>
  <c r="Z32" i="6"/>
  <c r="R32" i="6" s="1"/>
  <c r="T32" i="6" s="1"/>
  <c r="F28" i="32"/>
  <c r="L23" i="32"/>
  <c r="M68" i="18"/>
  <c r="L81" i="18" s="1"/>
  <c r="AF5" i="21"/>
  <c r="N24" i="21"/>
  <c r="AB11" i="21" s="1"/>
  <c r="O24" i="21"/>
  <c r="Z5" i="21"/>
  <c r="Z11" i="21"/>
  <c r="O5" i="21"/>
  <c r="F82" i="21"/>
  <c r="N5" i="21"/>
  <c r="AB5" i="21" s="1"/>
  <c r="T5" i="21"/>
  <c r="T20" i="21" s="1"/>
  <c r="J43" i="18"/>
  <c r="AC22" i="6"/>
  <c r="AD22" i="6" s="1"/>
  <c r="Z22" i="6"/>
  <c r="R22" i="6" s="1"/>
  <c r="V22" i="6" s="1"/>
  <c r="D11" i="32"/>
  <c r="Z23" i="6"/>
  <c r="R23" i="6" s="1"/>
  <c r="V23" i="6" s="1"/>
  <c r="G40" i="32"/>
  <c r="I40" i="32" s="1"/>
  <c r="F12" i="32"/>
  <c r="L29" i="32"/>
  <c r="M29" i="32" s="1"/>
  <c r="D33" i="32"/>
  <c r="L21" i="32"/>
  <c r="F19" i="32"/>
  <c r="J19" i="32" s="1"/>
  <c r="D22" i="32"/>
  <c r="O22" i="32" s="1"/>
  <c r="AC36" i="6"/>
  <c r="AD36" i="6" s="1"/>
  <c r="D38" i="32"/>
  <c r="AC11" i="6"/>
  <c r="AD11" i="6" s="1"/>
  <c r="Z40" i="6"/>
  <c r="R40" i="6" s="1"/>
  <c r="Z19" i="6"/>
  <c r="R19" i="6" s="1"/>
  <c r="C30" i="32"/>
  <c r="D23" i="32" a="1"/>
  <c r="D23" i="32" s="1"/>
  <c r="C42" i="32"/>
  <c r="L12" i="32"/>
  <c r="M12" i="32" s="1"/>
  <c r="L20" i="32"/>
  <c r="M20" i="32" s="1"/>
  <c r="D37" i="32" a="1"/>
  <c r="D37" i="32" s="1"/>
  <c r="L25" i="32"/>
  <c r="M25" i="32" s="1"/>
  <c r="AC13" i="6"/>
  <c r="AD13" i="6" s="1"/>
  <c r="D17" i="32" a="1"/>
  <c r="D17" i="32" s="1"/>
  <c r="D16" i="32" s="1"/>
  <c r="Z28" i="6"/>
  <c r="R28" i="6" s="1"/>
  <c r="C41" i="32"/>
  <c r="L15" i="32"/>
  <c r="M15" i="32" s="1"/>
  <c r="AC27" i="6"/>
  <c r="AD27" i="6" s="1"/>
  <c r="F11" i="32"/>
  <c r="AC18" i="6"/>
  <c r="AD18" i="6" s="1"/>
  <c r="C21" i="32"/>
  <c r="C24" i="32"/>
  <c r="G33" i="32"/>
  <c r="J33" i="32" s="1"/>
  <c r="L38" i="32"/>
  <c r="M38" i="32" s="1"/>
  <c r="L33" i="32"/>
  <c r="D21" i="32" a="1"/>
  <c r="AC6" i="6"/>
  <c r="AD6" i="6" s="1"/>
  <c r="AF6" i="6" s="1"/>
  <c r="N66" i="22"/>
  <c r="D24" i="32" a="1"/>
  <c r="D24" i="32" s="1"/>
  <c r="F36" i="32"/>
  <c r="J36" i="32" s="1"/>
  <c r="C38" i="32"/>
  <c r="D36" i="32" a="1"/>
  <c r="D36" i="32" s="1"/>
  <c r="D13" i="32" a="1"/>
  <c r="D13" i="32" s="1"/>
  <c r="O13" i="32" s="1"/>
  <c r="F35" i="32"/>
  <c r="AC17" i="6"/>
  <c r="AD17" i="6" s="1"/>
  <c r="AC40" i="6"/>
  <c r="AD40" i="6" s="1"/>
  <c r="Z6" i="6"/>
  <c r="R6" i="6" s="1"/>
  <c r="F17" i="32"/>
  <c r="F16" i="32" s="1"/>
  <c r="G41" i="32"/>
  <c r="I41" i="32" s="1"/>
  <c r="L37" i="32"/>
  <c r="L42" i="32"/>
  <c r="G23" i="32"/>
  <c r="J23" i="32" s="1"/>
  <c r="Z9" i="6"/>
  <c r="R9" i="6" s="1"/>
  <c r="V9" i="6" s="1"/>
  <c r="D28" i="32" a="1"/>
  <c r="D28" i="32" s="1"/>
  <c r="D27" i="32" s="1"/>
  <c r="Z25" i="6"/>
  <c r="R25" i="6" s="1"/>
  <c r="L30" i="32"/>
  <c r="AC28" i="6"/>
  <c r="AD28" i="6" s="1"/>
  <c r="L31" i="32"/>
  <c r="M31" i="32" s="1"/>
  <c r="F31" i="32"/>
  <c r="J31" i="32" s="1"/>
  <c r="C37" i="32"/>
  <c r="D41" i="32" a="1"/>
  <c r="D41" i="32" s="1"/>
  <c r="L36" i="32"/>
  <c r="Z18" i="6"/>
  <c r="R18" i="6" s="1"/>
  <c r="AC26" i="6"/>
  <c r="AD26" i="6" s="1"/>
  <c r="Z14" i="6"/>
  <c r="AC25" i="6"/>
  <c r="AD25" i="6" s="1"/>
  <c r="F67" i="22"/>
  <c r="R73" i="22"/>
  <c r="Z23" i="22"/>
  <c r="Q353" i="17"/>
  <c r="F24" i="32"/>
  <c r="D26" i="32" a="1"/>
  <c r="D26" i="32" s="1"/>
  <c r="G38" i="32"/>
  <c r="AC41" i="6"/>
  <c r="AD41" i="6" s="1"/>
  <c r="G35" i="32"/>
  <c r="D40" i="32" a="1"/>
  <c r="D15" i="32" a="1"/>
  <c r="D42" i="32" a="1"/>
  <c r="D42" i="32" s="1"/>
  <c r="Z38" i="6"/>
  <c r="R38" i="6" s="1"/>
  <c r="D32" i="32" a="1"/>
  <c r="D32" i="32" s="1"/>
  <c r="O32" i="32" s="1"/>
  <c r="D25" i="32" a="1"/>
  <c r="D25" i="32" s="1"/>
  <c r="P353" i="17"/>
  <c r="Z42" i="6"/>
  <c r="R42" i="6" s="1"/>
  <c r="V42" i="6" s="1"/>
  <c r="L40" i="32"/>
  <c r="M40" i="32" s="1"/>
  <c r="F22" i="32"/>
  <c r="AC9" i="6"/>
  <c r="AD9" i="6" s="1"/>
  <c r="C23" i="32"/>
  <c r="Z17" i="6"/>
  <c r="R17" i="6" s="1"/>
  <c r="G22" i="32"/>
  <c r="L17" i="32"/>
  <c r="N17" i="32" s="1"/>
  <c r="Z37" i="6"/>
  <c r="R37" i="6" s="1"/>
  <c r="F21" i="32"/>
  <c r="Z43" i="6"/>
  <c r="R43" i="6" s="1"/>
  <c r="C12" i="32"/>
  <c r="L14" i="32"/>
  <c r="M14" i="32" s="1"/>
  <c r="G14" i="32"/>
  <c r="J14" i="32" s="1"/>
  <c r="L26" i="32"/>
  <c r="F15" i="32"/>
  <c r="J15" i="32" s="1"/>
  <c r="G30" i="32"/>
  <c r="J30" i="32" s="1"/>
  <c r="L41" i="32"/>
  <c r="L28" i="32"/>
  <c r="Z29" i="6"/>
  <c r="R29" i="6" s="1"/>
  <c r="G11" i="32"/>
  <c r="H11" i="32" s="1"/>
  <c r="Z41" i="6"/>
  <c r="R41" i="6" s="1"/>
  <c r="D20" i="32"/>
  <c r="O20" i="32" s="1"/>
  <c r="G21" i="32"/>
  <c r="C40" i="32"/>
  <c r="Z11" i="6"/>
  <c r="R11" i="6" s="1"/>
  <c r="AC30" i="6"/>
  <c r="AD30" i="6" s="1"/>
  <c r="Z20" i="6"/>
  <c r="R20" i="6" s="1"/>
  <c r="AC29" i="6"/>
  <c r="AD29" i="6" s="1"/>
  <c r="Z10" i="6"/>
  <c r="R10" i="6" s="1"/>
  <c r="AC44" i="6"/>
  <c r="Z24" i="6"/>
  <c r="R24" i="6" s="1"/>
  <c r="D40" i="32"/>
  <c r="D21" i="32"/>
  <c r="O21" i="32" s="1"/>
  <c r="F38" i="32"/>
  <c r="G17" i="32"/>
  <c r="H17" i="32" s="1"/>
  <c r="AC31" i="6"/>
  <c r="AD31" i="6" s="1"/>
  <c r="C25" i="32"/>
  <c r="Z33" i="6"/>
  <c r="R33" i="6" s="1"/>
  <c r="V33" i="6" s="1"/>
  <c r="G20" i="32"/>
  <c r="J20" i="32" s="1"/>
  <c r="H29" i="32"/>
  <c r="C33" i="32"/>
  <c r="D15" i="32"/>
  <c r="O15" i="32" s="1"/>
  <c r="D35" i="32" a="1"/>
  <c r="D35" i="32" s="1"/>
  <c r="O35" i="32" s="1"/>
  <c r="W25" i="23"/>
  <c r="W26" i="23" s="1"/>
  <c r="V26" i="23"/>
  <c r="M49" i="23"/>
  <c r="L50" i="23"/>
  <c r="F56" i="17"/>
  <c r="H56" i="17" s="1"/>
  <c r="AJ56" i="17" s="1"/>
  <c r="AK56" i="17" s="1"/>
  <c r="AL56" i="17" s="1"/>
  <c r="AL60" i="17" s="1"/>
  <c r="I58" i="17"/>
  <c r="F59" i="17"/>
  <c r="I59" i="17" s="1"/>
  <c r="F60" i="17"/>
  <c r="I60" i="17" s="1"/>
  <c r="L60" i="17" s="1"/>
  <c r="J8" i="26"/>
  <c r="F133" i="1" a="1"/>
  <c r="F133" i="1" s="1"/>
  <c r="K133" i="1" s="1"/>
  <c r="F134" i="1" a="1"/>
  <c r="F134" i="1" s="1"/>
  <c r="K134" i="1" s="1"/>
  <c r="C134" i="1" s="1"/>
  <c r="J36" i="26"/>
  <c r="J37" i="26"/>
  <c r="J33" i="26" s="1"/>
  <c r="K33" i="26" s="1"/>
  <c r="F39" i="17"/>
  <c r="AQ38" i="17"/>
  <c r="F36" i="17"/>
  <c r="L24" i="32"/>
  <c r="C22" i="32"/>
  <c r="R12" i="23"/>
  <c r="L22" i="23"/>
  <c r="N12" i="23"/>
  <c r="U12" i="23"/>
  <c r="F40" i="17"/>
  <c r="O12" i="23"/>
  <c r="H58" i="17"/>
  <c r="K58" i="17" s="1"/>
  <c r="N33" i="23"/>
  <c r="N49" i="23" s="1"/>
  <c r="O49" i="23" s="1"/>
  <c r="O50" i="23" s="1"/>
  <c r="Q33" i="23"/>
  <c r="X49" i="23" s="1"/>
  <c r="Y49" i="23" s="1"/>
  <c r="Y50" i="23" s="1"/>
  <c r="R10" i="23"/>
  <c r="N10" i="23"/>
  <c r="O10" i="23"/>
  <c r="M11" i="20"/>
  <c r="I11" i="20"/>
  <c r="L36" i="23"/>
  <c r="I46" i="23"/>
  <c r="D44" i="23" s="1"/>
  <c r="O36" i="23"/>
  <c r="T31" i="23"/>
  <c r="K36" i="23"/>
  <c r="G28" i="32"/>
  <c r="G37" i="32"/>
  <c r="J37" i="32" s="1"/>
  <c r="C28" i="32"/>
  <c r="Q11" i="20"/>
  <c r="T11" i="20"/>
  <c r="S11" i="20" s="1"/>
  <c r="L25" i="23"/>
  <c r="D54" i="23"/>
  <c r="P348" i="17"/>
  <c r="R348" i="17"/>
  <c r="V49" i="23"/>
  <c r="V60" i="23"/>
  <c r="U65" i="23" s="1"/>
  <c r="J9" i="26"/>
  <c r="F41" i="32"/>
  <c r="F29" i="32"/>
  <c r="J29" i="32" s="1"/>
  <c r="L11" i="32"/>
  <c r="N11" i="32" s="1"/>
  <c r="Q348" i="17"/>
  <c r="O34" i="23"/>
  <c r="L34" i="23"/>
  <c r="C32" i="32"/>
  <c r="N32" i="32" s="1"/>
  <c r="G24" i="32"/>
  <c r="D12" i="32" a="1"/>
  <c r="D12" i="32" s="1"/>
  <c r="O12" i="32" s="1"/>
  <c r="M10" i="20"/>
  <c r="I10" i="20"/>
  <c r="T9" i="23"/>
  <c r="Y9" i="23" s="1"/>
  <c r="Y12" i="23" s="1"/>
  <c r="W9" i="23"/>
  <c r="X25" i="23" s="1"/>
  <c r="Y25" i="23" s="1"/>
  <c r="Y26" i="23" s="1"/>
  <c r="O59" i="23" s="1"/>
  <c r="Q9" i="23"/>
  <c r="N25" i="23" s="1"/>
  <c r="O25" i="23" s="1"/>
  <c r="O26" i="23" s="1"/>
  <c r="Q10" i="20"/>
  <c r="T10" i="20"/>
  <c r="S10" i="20" s="1"/>
  <c r="N19" i="32"/>
  <c r="M145" i="1"/>
  <c r="M189" i="1" s="1"/>
  <c r="I146" i="1"/>
  <c r="M146" i="1" s="1"/>
  <c r="N146" i="1" s="1"/>
  <c r="P146" i="1" s="1"/>
  <c r="N29" i="32"/>
  <c r="J145" i="1"/>
  <c r="U119" i="1"/>
  <c r="V32" i="6"/>
  <c r="K12" i="21"/>
  <c r="I12" i="21"/>
  <c r="H12" i="21"/>
  <c r="J12" i="21"/>
  <c r="T36" i="6"/>
  <c r="M38" i="21"/>
  <c r="AA14" i="21" s="1"/>
  <c r="L82" i="21"/>
  <c r="N82" i="21" s="1"/>
  <c r="U13" i="21"/>
  <c r="N38" i="21"/>
  <c r="AB14" i="21" s="1"/>
  <c r="M23" i="32"/>
  <c r="T23" i="6"/>
  <c r="H35" i="21"/>
  <c r="V13" i="21" s="1"/>
  <c r="I35" i="21"/>
  <c r="W13" i="21" s="1"/>
  <c r="N36" i="32"/>
  <c r="AC22" i="8"/>
  <c r="AC39" i="16"/>
  <c r="O29" i="32"/>
  <c r="M35" i="32"/>
  <c r="N21" i="32"/>
  <c r="M21" i="32"/>
  <c r="T22" i="6"/>
  <c r="T35" i="6"/>
  <c r="N13" i="32"/>
  <c r="V12" i="6"/>
  <c r="J40" i="32"/>
  <c r="I36" i="32"/>
  <c r="H36" i="32"/>
  <c r="H31" i="32"/>
  <c r="N35" i="32"/>
  <c r="M13" i="32"/>
  <c r="T27" i="6"/>
  <c r="V34" i="6"/>
  <c r="T39" i="6"/>
  <c r="Q31" i="32"/>
  <c r="BG43" i="18"/>
  <c r="N48" i="16"/>
  <c r="O43" i="16"/>
  <c r="O48" i="16" s="1"/>
  <c r="J42" i="32"/>
  <c r="J13" i="32"/>
  <c r="H42" i="32"/>
  <c r="H26" i="32"/>
  <c r="M22" i="32"/>
  <c r="I12" i="32"/>
  <c r="Q19" i="32"/>
  <c r="I26" i="32"/>
  <c r="J12" i="32"/>
  <c r="Q12" i="32"/>
  <c r="J26" i="32"/>
  <c r="Q26" i="32"/>
  <c r="H19" i="20"/>
  <c r="T16" i="6"/>
  <c r="H37" i="12"/>
  <c r="H39" i="12" s="1"/>
  <c r="CV9" i="19"/>
  <c r="CU9" i="19" s="1"/>
  <c r="N15" i="32"/>
  <c r="Q13" i="32"/>
  <c r="H13" i="32"/>
  <c r="V26" i="6"/>
  <c r="V15" i="6"/>
  <c r="T21" i="6"/>
  <c r="G5" i="28"/>
  <c r="J43" i="19"/>
  <c r="H19" i="32"/>
  <c r="CD6" i="19"/>
  <c r="M371" i="17"/>
  <c r="CQ6" i="19"/>
  <c r="CT6" i="19" s="1"/>
  <c r="AN5" i="28"/>
  <c r="AD23" i="22"/>
  <c r="J67" i="22"/>
  <c r="AD24" i="22" s="1"/>
  <c r="C91" i="22"/>
  <c r="I13" i="32"/>
  <c r="J32" i="32"/>
  <c r="CV8" i="19"/>
  <c r="CU8" i="19" s="1"/>
  <c r="CS8" i="19"/>
  <c r="Q32" i="32"/>
  <c r="P40" i="16"/>
  <c r="P28" i="8"/>
  <c r="J37" i="12"/>
  <c r="N47" i="18"/>
  <c r="N36" i="18"/>
  <c r="O36" i="18" s="1"/>
  <c r="N38" i="18"/>
  <c r="O38" i="18" s="1"/>
  <c r="N13" i="18"/>
  <c r="N34" i="18"/>
  <c r="O34" i="18" s="1"/>
  <c r="N42" i="18"/>
  <c r="O42" i="18" s="1"/>
  <c r="N14" i="18"/>
  <c r="O14" i="18" s="1"/>
  <c r="N40" i="18"/>
  <c r="O40" i="18" s="1"/>
  <c r="N26" i="18"/>
  <c r="O26" i="18" s="1"/>
  <c r="N44" i="18"/>
  <c r="O44" i="18" s="1"/>
  <c r="N12" i="18"/>
  <c r="N45" i="18"/>
  <c r="O45" i="18" s="1"/>
  <c r="N16" i="18"/>
  <c r="O16" i="18" s="1"/>
  <c r="N21" i="18"/>
  <c r="O21" i="18" s="1"/>
  <c r="N27" i="18"/>
  <c r="O27" i="18" s="1"/>
  <c r="N25" i="18"/>
  <c r="O25" i="18" s="1"/>
  <c r="O1" i="18"/>
  <c r="N31" i="18"/>
  <c r="O31" i="18" s="1"/>
  <c r="N39" i="18"/>
  <c r="O39" i="18" s="1"/>
  <c r="N28" i="18"/>
  <c r="O28" i="18" s="1"/>
  <c r="N37" i="18"/>
  <c r="O37" i="18" s="1"/>
  <c r="N29" i="18"/>
  <c r="O29" i="18" s="1"/>
  <c r="N23" i="18"/>
  <c r="O23" i="18" s="1"/>
  <c r="N24" i="18"/>
  <c r="O24" i="18" s="1"/>
  <c r="N18" i="18"/>
  <c r="O18" i="18" s="1"/>
  <c r="N33" i="18"/>
  <c r="O33" i="18" s="1"/>
  <c r="N50" i="18"/>
  <c r="N20" i="18"/>
  <c r="O20" i="18" s="1"/>
  <c r="N22" i="18"/>
  <c r="O22" i="18" s="1"/>
  <c r="N19" i="18"/>
  <c r="O19" i="18" s="1"/>
  <c r="N9" i="18"/>
  <c r="N49" i="18"/>
  <c r="N41" i="18"/>
  <c r="O41" i="18" s="1"/>
  <c r="N32" i="18"/>
  <c r="O32" i="18" s="1"/>
  <c r="N8" i="18"/>
  <c r="N35" i="18"/>
  <c r="O35" i="18" s="1"/>
  <c r="N48" i="18"/>
  <c r="N17" i="18"/>
  <c r="O17" i="18" s="1"/>
  <c r="N11" i="18"/>
  <c r="O11" i="18" s="1"/>
  <c r="N30" i="18"/>
  <c r="O30" i="18" s="1"/>
  <c r="N15" i="18"/>
  <c r="O15" i="18" s="1"/>
  <c r="K37" i="12"/>
  <c r="AD45" i="16"/>
  <c r="AC48" i="16"/>
  <c r="AA20" i="8"/>
  <c r="AA32" i="16"/>
  <c r="N25" i="8"/>
  <c r="N35" i="16"/>
  <c r="N41" i="16" s="1"/>
  <c r="E67" i="22"/>
  <c r="Y23" i="22"/>
  <c r="G66" i="22"/>
  <c r="AA23" i="22" s="1"/>
  <c r="AC9" i="22"/>
  <c r="M9" i="22"/>
  <c r="C88" i="22" s="1"/>
  <c r="Y22" i="22"/>
  <c r="E68" i="22"/>
  <c r="G68" i="22" s="1"/>
  <c r="G64" i="22"/>
  <c r="I23" i="22"/>
  <c r="AA14" i="22"/>
  <c r="K189" i="1"/>
  <c r="V189" i="1" s="1"/>
  <c r="L189" i="1"/>
  <c r="J189" i="1"/>
  <c r="U189" i="1" s="1"/>
  <c r="M119" i="1"/>
  <c r="D28" i="1"/>
  <c r="G28" i="1" s="1"/>
  <c r="O120" i="1"/>
  <c r="O119" i="1" s="1"/>
  <c r="N120" i="1"/>
  <c r="J9" i="21"/>
  <c r="X9" i="21" s="1"/>
  <c r="X20" i="21" s="1"/>
  <c r="G82" i="21"/>
  <c r="U9" i="21"/>
  <c r="K9" i="21"/>
  <c r="Y9" i="21" s="1"/>
  <c r="Y20" i="21" s="1"/>
  <c r="I9" i="21"/>
  <c r="W9" i="21" s="1"/>
  <c r="H9" i="21"/>
  <c r="V9" i="21" s="1"/>
  <c r="O27" i="8"/>
  <c r="O38" i="16"/>
  <c r="AJ44" i="16"/>
  <c r="K6" i="28"/>
  <c r="N6" i="19"/>
  <c r="P7" i="19"/>
  <c r="M6" i="28" s="1"/>
  <c r="Q1" i="19"/>
  <c r="J41" i="32" l="1"/>
  <c r="O38" i="32"/>
  <c r="K5" i="18"/>
  <c r="H43" i="12"/>
  <c r="N41" i="32"/>
  <c r="L6" i="18"/>
  <c r="L43" i="18" s="1"/>
  <c r="L34" i="32"/>
  <c r="M34" i="32" s="1"/>
  <c r="M55" i="18"/>
  <c r="M8" i="18" s="1"/>
  <c r="M7" i="18" s="1"/>
  <c r="M6" i="18" s="1"/>
  <c r="N23" i="32"/>
  <c r="N40" i="32"/>
  <c r="L17" i="22"/>
  <c r="AC12" i="2"/>
  <c r="V5" i="6"/>
  <c r="C34" i="32"/>
  <c r="N12" i="32"/>
  <c r="H22" i="32"/>
  <c r="N28" i="32"/>
  <c r="AA20" i="21"/>
  <c r="O42" i="32"/>
  <c r="F18" i="32"/>
  <c r="G27" i="32"/>
  <c r="I27" i="32" s="1"/>
  <c r="O23" i="32"/>
  <c r="J38" i="32"/>
  <c r="G39" i="32"/>
  <c r="I39" i="32" s="1"/>
  <c r="H41" i="32"/>
  <c r="H15" i="32"/>
  <c r="H23" i="32"/>
  <c r="N38" i="32"/>
  <c r="O19" i="32"/>
  <c r="T30" i="6"/>
  <c r="V30" i="6"/>
  <c r="I15" i="32"/>
  <c r="Q15" i="32"/>
  <c r="C10" i="32"/>
  <c r="I29" i="32"/>
  <c r="Q29" i="32"/>
  <c r="G10" i="32"/>
  <c r="I10" i="32" s="1"/>
  <c r="N37" i="32"/>
  <c r="Z20" i="21"/>
  <c r="AB20" i="21"/>
  <c r="M33" i="32"/>
  <c r="O33" i="32"/>
  <c r="I33" i="32"/>
  <c r="Q33" i="32"/>
  <c r="T28" i="6"/>
  <c r="V28" i="6"/>
  <c r="N20" i="32"/>
  <c r="V19" i="6"/>
  <c r="T19" i="6"/>
  <c r="V40" i="6"/>
  <c r="T40" i="6"/>
  <c r="H40" i="32"/>
  <c r="L18" i="32"/>
  <c r="M18" i="32" s="1"/>
  <c r="Q25" i="23"/>
  <c r="N14" i="32"/>
  <c r="Z24" i="22"/>
  <c r="I23" i="32"/>
  <c r="Q23" i="32"/>
  <c r="M42" i="32"/>
  <c r="N42" i="32"/>
  <c r="M37" i="32"/>
  <c r="O37" i="32"/>
  <c r="T6" i="6"/>
  <c r="V6" i="6"/>
  <c r="H14" i="32"/>
  <c r="N31" i="32"/>
  <c r="O31" i="32"/>
  <c r="R14" i="6"/>
  <c r="Z13" i="6"/>
  <c r="R13" i="6" s="1"/>
  <c r="T18" i="6"/>
  <c r="V18" i="6"/>
  <c r="N30" i="32"/>
  <c r="M30" i="32"/>
  <c r="O36" i="32"/>
  <c r="M36" i="32"/>
  <c r="V25" i="6"/>
  <c r="T25" i="6"/>
  <c r="O30" i="32"/>
  <c r="O25" i="32"/>
  <c r="D18" i="32"/>
  <c r="C39" i="32"/>
  <c r="Q35" i="32"/>
  <c r="I35" i="32"/>
  <c r="J35" i="32"/>
  <c r="I38" i="32"/>
  <c r="H38" i="32"/>
  <c r="Q38" i="32"/>
  <c r="T38" i="6"/>
  <c r="V38" i="6"/>
  <c r="H20" i="32"/>
  <c r="H35" i="32"/>
  <c r="J32" i="26"/>
  <c r="K32" i="26" s="1"/>
  <c r="N22" i="32"/>
  <c r="C18" i="32"/>
  <c r="L16" i="32"/>
  <c r="O17" i="32"/>
  <c r="M17" i="32"/>
  <c r="I22" i="32"/>
  <c r="J22" i="32"/>
  <c r="Q22" i="32"/>
  <c r="V17" i="6"/>
  <c r="T17" i="6"/>
  <c r="T29" i="6"/>
  <c r="V29" i="6"/>
  <c r="O26" i="32"/>
  <c r="M26" i="32"/>
  <c r="T43" i="6"/>
  <c r="V43" i="6"/>
  <c r="T41" i="6"/>
  <c r="V41" i="6"/>
  <c r="N26" i="32"/>
  <c r="H12" i="32"/>
  <c r="O14" i="32"/>
  <c r="Q11" i="32"/>
  <c r="I11" i="32"/>
  <c r="J11" i="32"/>
  <c r="O28" i="32"/>
  <c r="M28" i="32"/>
  <c r="L27" i="32"/>
  <c r="M27" i="32" s="1"/>
  <c r="F10" i="32"/>
  <c r="M41" i="32"/>
  <c r="O41" i="32"/>
  <c r="L39" i="32"/>
  <c r="M39" i="32" s="1"/>
  <c r="I14" i="32"/>
  <c r="Q14" i="32"/>
  <c r="Q30" i="32"/>
  <c r="H30" i="32"/>
  <c r="I30" i="32"/>
  <c r="T37" i="6"/>
  <c r="V37" i="6"/>
  <c r="O40" i="32"/>
  <c r="D39" i="32"/>
  <c r="V20" i="6"/>
  <c r="T20" i="6"/>
  <c r="H25" i="32"/>
  <c r="N25" i="32"/>
  <c r="H33" i="32"/>
  <c r="N33" i="32"/>
  <c r="T24" i="6"/>
  <c r="V24" i="6"/>
  <c r="T11" i="6"/>
  <c r="V11" i="6"/>
  <c r="J17" i="32"/>
  <c r="I17" i="32"/>
  <c r="Q17" i="32"/>
  <c r="G16" i="32"/>
  <c r="D34" i="32"/>
  <c r="H32" i="32"/>
  <c r="V10" i="6"/>
  <c r="T10" i="6"/>
  <c r="Q21" i="32"/>
  <c r="J21" i="32"/>
  <c r="I21" i="32"/>
  <c r="H21" i="32"/>
  <c r="Q20" i="32"/>
  <c r="I20" i="32"/>
  <c r="F34" i="32"/>
  <c r="I28" i="32"/>
  <c r="H28" i="32"/>
  <c r="J28" i="32"/>
  <c r="Q28" i="32"/>
  <c r="T12" i="23"/>
  <c r="Z12" i="23" s="1"/>
  <c r="W12" i="23"/>
  <c r="H40" i="17"/>
  <c r="Q12" i="23"/>
  <c r="I56" i="17"/>
  <c r="L56" i="17" s="1"/>
  <c r="L58" i="17" s="1"/>
  <c r="U56" i="17"/>
  <c r="U59" i="17" s="1"/>
  <c r="W56" i="17"/>
  <c r="W59" i="17" s="1"/>
  <c r="AD57" i="17" s="1"/>
  <c r="Y59" i="17" s="1"/>
  <c r="L10" i="32"/>
  <c r="M10" i="32" s="1"/>
  <c r="Q24" i="32"/>
  <c r="J24" i="32"/>
  <c r="I24" i="32"/>
  <c r="H24" i="32"/>
  <c r="J5" i="26"/>
  <c r="P8" i="26"/>
  <c r="M25" i="23"/>
  <c r="M26" i="23" s="1"/>
  <c r="L26" i="23"/>
  <c r="H11" i="20"/>
  <c r="K11" i="20"/>
  <c r="J11" i="20" s="1"/>
  <c r="L54" i="23"/>
  <c r="D20" i="23"/>
  <c r="B42" i="17" s="1"/>
  <c r="AQ36" i="17"/>
  <c r="AT36" i="17" s="1"/>
  <c r="W36" i="17"/>
  <c r="W40" i="17" s="1"/>
  <c r="U36" i="17"/>
  <c r="U39" i="17" s="1"/>
  <c r="H36" i="17"/>
  <c r="I36" i="17"/>
  <c r="L36" i="17" s="1"/>
  <c r="L39" i="17" s="1"/>
  <c r="C133" i="1"/>
  <c r="K132" i="1"/>
  <c r="C27" i="32"/>
  <c r="L10" i="20"/>
  <c r="O10" i="20"/>
  <c r="N10" i="20" s="1"/>
  <c r="G18" i="32"/>
  <c r="I18" i="32" s="1"/>
  <c r="G34" i="32"/>
  <c r="AS38" i="17"/>
  <c r="K38" i="17"/>
  <c r="N36" i="23"/>
  <c r="R31" i="23" s="1"/>
  <c r="H60" i="17"/>
  <c r="K60" i="17" s="1"/>
  <c r="M60" i="17" s="1"/>
  <c r="N60" i="17" s="1"/>
  <c r="Q36" i="23"/>
  <c r="O11" i="20"/>
  <c r="N11" i="20" s="1"/>
  <c r="L11" i="20"/>
  <c r="M50" i="23"/>
  <c r="C49" i="23"/>
  <c r="H10" i="20"/>
  <c r="K10" i="20"/>
  <c r="J10" i="20" s="1"/>
  <c r="F27" i="32"/>
  <c r="F39" i="32"/>
  <c r="O11" i="32"/>
  <c r="M11" i="32"/>
  <c r="P4" i="26"/>
  <c r="W49" i="23"/>
  <c r="V50" i="23"/>
  <c r="P5" i="26" s="1"/>
  <c r="D53" i="23"/>
  <c r="AQ39" i="17"/>
  <c r="I39" i="17"/>
  <c r="D10" i="32"/>
  <c r="V61" i="23"/>
  <c r="Y57" i="23"/>
  <c r="T10" i="23"/>
  <c r="Q10" i="23"/>
  <c r="AQ40" i="17"/>
  <c r="AT40" i="17" s="1"/>
  <c r="I40" i="17"/>
  <c r="N24" i="32"/>
  <c r="O24" i="32"/>
  <c r="M24" i="32"/>
  <c r="H37" i="32"/>
  <c r="Q37" i="32"/>
  <c r="I37" i="32"/>
  <c r="B62" i="17"/>
  <c r="L55" i="23"/>
  <c r="K146" i="1"/>
  <c r="L146" i="1" s="1"/>
  <c r="J146" i="1"/>
  <c r="N145" i="1"/>
  <c r="P145" i="1" s="1"/>
  <c r="B149" i="1" s="1"/>
  <c r="W20" i="21"/>
  <c r="M82" i="21"/>
  <c r="V20" i="21"/>
  <c r="R82" i="21"/>
  <c r="O82" i="21"/>
  <c r="U20" i="21"/>
  <c r="AD82" i="21"/>
  <c r="AD22" i="8"/>
  <c r="AD39" i="16"/>
  <c r="K56" i="17"/>
  <c r="M56" i="17" s="1"/>
  <c r="N119" i="1"/>
  <c r="P120" i="1"/>
  <c r="Q28" i="8"/>
  <c r="Q40" i="16"/>
  <c r="CV6" i="19"/>
  <c r="CU6" i="19" s="1"/>
  <c r="CS6" i="19"/>
  <c r="M370" i="17"/>
  <c r="O370" i="17" s="1"/>
  <c r="N371" i="17"/>
  <c r="O371" i="17"/>
  <c r="N10" i="18"/>
  <c r="O10" i="18" s="1"/>
  <c r="O9" i="18" s="1"/>
  <c r="N7" i="18"/>
  <c r="O68" i="18"/>
  <c r="N81" i="18" s="1"/>
  <c r="N80" i="18"/>
  <c r="O47" i="18"/>
  <c r="O56" i="18"/>
  <c r="O57" i="18"/>
  <c r="O12" i="18" s="1"/>
  <c r="O48" i="18"/>
  <c r="O49" i="18"/>
  <c r="O50" i="18"/>
  <c r="P1" i="18"/>
  <c r="N46" i="18"/>
  <c r="O46" i="18" s="1"/>
  <c r="O35" i="16"/>
  <c r="O41" i="16" s="1"/>
  <c r="O25" i="8"/>
  <c r="AB32" i="16"/>
  <c r="AB20" i="8"/>
  <c r="AE45" i="16"/>
  <c r="AD48" i="16"/>
  <c r="AA22" i="22"/>
  <c r="I64" i="22"/>
  <c r="AC22" i="22" s="1"/>
  <c r="AC14" i="22"/>
  <c r="M23" i="22"/>
  <c r="C96" i="22" s="1"/>
  <c r="Y24" i="22"/>
  <c r="G67" i="22"/>
  <c r="AA24" i="22" s="1"/>
  <c r="O189" i="1"/>
  <c r="N189" i="1"/>
  <c r="K82" i="21"/>
  <c r="I82" i="21"/>
  <c r="J82" i="21"/>
  <c r="H82" i="21"/>
  <c r="P27" i="8"/>
  <c r="P38" i="16"/>
  <c r="M188" i="1"/>
  <c r="AK44" i="16"/>
  <c r="Q19" i="19"/>
  <c r="S19" i="19" s="1"/>
  <c r="Q26" i="19"/>
  <c r="S26" i="19" s="1"/>
  <c r="Q15" i="19"/>
  <c r="Q9" i="19"/>
  <c r="Q46" i="19"/>
  <c r="Q50" i="19"/>
  <c r="S50" i="19" s="1"/>
  <c r="Q34" i="19"/>
  <c r="S34" i="19" s="1"/>
  <c r="Q21" i="19"/>
  <c r="S21" i="19" s="1"/>
  <c r="Q41" i="19"/>
  <c r="S41" i="19" s="1"/>
  <c r="Q12" i="19"/>
  <c r="S12" i="19" s="1"/>
  <c r="Q47" i="19"/>
  <c r="Q28" i="19"/>
  <c r="S28" i="19" s="1"/>
  <c r="Q40" i="19"/>
  <c r="S40" i="19" s="1"/>
  <c r="Q39" i="19"/>
  <c r="S39" i="19" s="1"/>
  <c r="Q30" i="19"/>
  <c r="S30" i="19" s="1"/>
  <c r="Q35" i="19"/>
  <c r="S35" i="19" s="1"/>
  <c r="Q27" i="19"/>
  <c r="S27" i="19" s="1"/>
  <c r="Q16" i="19"/>
  <c r="S16" i="19" s="1"/>
  <c r="Q49" i="19"/>
  <c r="S49" i="19" s="1"/>
  <c r="Q11" i="19"/>
  <c r="S11" i="19" s="1"/>
  <c r="Q36" i="19"/>
  <c r="S36" i="19" s="1"/>
  <c r="Q14" i="19"/>
  <c r="S14" i="19" s="1"/>
  <c r="Q24" i="19"/>
  <c r="S24" i="19" s="1"/>
  <c r="Q38" i="19"/>
  <c r="S38" i="19" s="1"/>
  <c r="Q18" i="19"/>
  <c r="S18" i="19" s="1"/>
  <c r="R1" i="19"/>
  <c r="Q29" i="19"/>
  <c r="S29" i="19" s="1"/>
  <c r="Q17" i="19"/>
  <c r="S17" i="19" s="1"/>
  <c r="Q20" i="19"/>
  <c r="S20" i="19" s="1"/>
  <c r="Q13" i="19"/>
  <c r="S13" i="19" s="1"/>
  <c r="Q48" i="19"/>
  <c r="Q25" i="19"/>
  <c r="S25" i="19" s="1"/>
  <c r="Q42" i="19"/>
  <c r="S42" i="19" s="1"/>
  <c r="Q32" i="19"/>
  <c r="S32" i="19" s="1"/>
  <c r="Q37" i="19"/>
  <c r="S37" i="19" s="1"/>
  <c r="Q33" i="19"/>
  <c r="S33" i="19" s="1"/>
  <c r="Q45" i="19"/>
  <c r="Q8" i="19"/>
  <c r="Q22" i="19"/>
  <c r="S22" i="19" s="1"/>
  <c r="Q23" i="19"/>
  <c r="S23" i="19" s="1"/>
  <c r="Q31" i="19"/>
  <c r="S31" i="19" s="1"/>
  <c r="N89" i="19"/>
  <c r="N5" i="19"/>
  <c r="P5" i="19" s="1"/>
  <c r="K5" i="28"/>
  <c r="N43" i="19"/>
  <c r="P6" i="19"/>
  <c r="L5" i="18" l="1"/>
  <c r="O34" i="32"/>
  <c r="N34" i="32"/>
  <c r="H39" i="32"/>
  <c r="J39" i="32"/>
  <c r="H34" i="32"/>
  <c r="L59" i="17"/>
  <c r="J27" i="32"/>
  <c r="W3" i="22"/>
  <c r="O18" i="32"/>
  <c r="J10" i="32"/>
  <c r="H10" i="32"/>
  <c r="N18" i="32"/>
  <c r="N27" i="32"/>
  <c r="N56" i="17"/>
  <c r="H27" i="32"/>
  <c r="L53" i="23"/>
  <c r="L38" i="17"/>
  <c r="Z44" i="6"/>
  <c r="J34" i="26"/>
  <c r="K34" i="26" s="1"/>
  <c r="T13" i="6"/>
  <c r="V13" i="6"/>
  <c r="T14" i="6"/>
  <c r="V14" i="6"/>
  <c r="R44" i="6"/>
  <c r="B148" i="1"/>
  <c r="O10" i="32"/>
  <c r="H18" i="32"/>
  <c r="N39" i="32"/>
  <c r="N10" i="32"/>
  <c r="I34" i="32"/>
  <c r="O39" i="32"/>
  <c r="C25" i="23"/>
  <c r="O16" i="32"/>
  <c r="N16" i="32"/>
  <c r="M16" i="32"/>
  <c r="U10" i="20"/>
  <c r="O27" i="32"/>
  <c r="I16" i="32"/>
  <c r="H16" i="32"/>
  <c r="J16" i="32"/>
  <c r="AJ36" i="17"/>
  <c r="AK36" i="17" s="1"/>
  <c r="AS36" i="17"/>
  <c r="AU36" i="17" s="1"/>
  <c r="AU39" i="17" s="1"/>
  <c r="K36" i="17"/>
  <c r="M36" i="17" s="1"/>
  <c r="M38" i="17" s="1"/>
  <c r="C57" i="20" s="1"/>
  <c r="J4" i="26"/>
  <c r="K5" i="26"/>
  <c r="P9" i="26"/>
  <c r="P10" i="26" s="1"/>
  <c r="Q10" i="26" s="1"/>
  <c r="P20" i="26" s="1"/>
  <c r="U11" i="20"/>
  <c r="J18" i="32"/>
  <c r="J34" i="32"/>
  <c r="Q49" i="23"/>
  <c r="W50" i="23"/>
  <c r="Q4" i="26"/>
  <c r="M132" i="1"/>
  <c r="B141" i="1" s="1"/>
  <c r="C132" i="1"/>
  <c r="B140" i="1" s="1"/>
  <c r="AT39" i="17"/>
  <c r="I388" i="17"/>
  <c r="L40" i="17"/>
  <c r="AS40" i="17"/>
  <c r="AU40" i="17" s="1"/>
  <c r="AV40" i="17" s="1"/>
  <c r="K40" i="17"/>
  <c r="M40" i="17" s="1"/>
  <c r="P3" i="21"/>
  <c r="B68" i="17"/>
  <c r="M59" i="17"/>
  <c r="M58" i="17"/>
  <c r="B67" i="17" s="1"/>
  <c r="AE39" i="16"/>
  <c r="AE22" i="8"/>
  <c r="B136" i="1"/>
  <c r="R40" i="16"/>
  <c r="R28" i="8"/>
  <c r="M5" i="18"/>
  <c r="M43" i="18"/>
  <c r="O13" i="18"/>
  <c r="O55" i="18"/>
  <c r="O8" i="18" s="1"/>
  <c r="O7" i="18" s="1"/>
  <c r="P19" i="18"/>
  <c r="Q19" i="18" s="1"/>
  <c r="P22" i="18"/>
  <c r="Q22" i="18" s="1"/>
  <c r="P36" i="18"/>
  <c r="Q36" i="18" s="1"/>
  <c r="P29" i="18"/>
  <c r="Q29" i="18" s="1"/>
  <c r="P47" i="18"/>
  <c r="P16" i="18"/>
  <c r="Q16" i="18" s="1"/>
  <c r="P37" i="18"/>
  <c r="Q37" i="18" s="1"/>
  <c r="P14" i="18"/>
  <c r="Q14" i="18" s="1"/>
  <c r="P32" i="18"/>
  <c r="Q32" i="18" s="1"/>
  <c r="P35" i="18"/>
  <c r="Q35" i="18" s="1"/>
  <c r="P20" i="18"/>
  <c r="Q20" i="18" s="1"/>
  <c r="P28" i="18"/>
  <c r="Q28" i="18" s="1"/>
  <c r="P11" i="18"/>
  <c r="Q11" i="18" s="1"/>
  <c r="P45" i="18"/>
  <c r="Q45" i="18" s="1"/>
  <c r="P12" i="18"/>
  <c r="P23" i="18"/>
  <c r="Q23" i="18" s="1"/>
  <c r="P25" i="18"/>
  <c r="Q25" i="18" s="1"/>
  <c r="P17" i="18"/>
  <c r="Q17" i="18" s="1"/>
  <c r="P50" i="18"/>
  <c r="P18" i="18"/>
  <c r="Q18" i="18" s="1"/>
  <c r="P13" i="18"/>
  <c r="P8" i="18"/>
  <c r="P49" i="18"/>
  <c r="P26" i="18"/>
  <c r="Q26" i="18" s="1"/>
  <c r="P34" i="18"/>
  <c r="Q34" i="18" s="1"/>
  <c r="P15" i="18"/>
  <c r="Q15" i="18" s="1"/>
  <c r="P40" i="18"/>
  <c r="Q40" i="18" s="1"/>
  <c r="P33" i="18"/>
  <c r="Q33" i="18" s="1"/>
  <c r="P39" i="18"/>
  <c r="Q39" i="18" s="1"/>
  <c r="P42" i="18"/>
  <c r="Q42" i="18" s="1"/>
  <c r="P9" i="18"/>
  <c r="P30" i="18"/>
  <c r="Q30" i="18" s="1"/>
  <c r="P27" i="18"/>
  <c r="Q27" i="18" s="1"/>
  <c r="P41" i="18"/>
  <c r="Q41" i="18" s="1"/>
  <c r="P21" i="18"/>
  <c r="Q21" i="18" s="1"/>
  <c r="Q1" i="18"/>
  <c r="P24" i="18"/>
  <c r="Q24" i="18" s="1"/>
  <c r="P48" i="18"/>
  <c r="P44" i="18"/>
  <c r="Q44" i="18" s="1"/>
  <c r="P31" i="18"/>
  <c r="Q31" i="18" s="1"/>
  <c r="P38" i="18"/>
  <c r="Q38" i="18" s="1"/>
  <c r="N6" i="18"/>
  <c r="AF45" i="16"/>
  <c r="AE48" i="16"/>
  <c r="AC20" i="8"/>
  <c r="AC32" i="16"/>
  <c r="AC41" i="16" s="1"/>
  <c r="AB41" i="16"/>
  <c r="P25" i="8"/>
  <c r="P35" i="16"/>
  <c r="P41" i="16" s="1"/>
  <c r="I66" i="22"/>
  <c r="M66" i="22" s="1"/>
  <c r="C86" i="22" s="1"/>
  <c r="C100" i="22" s="1"/>
  <c r="O188" i="1"/>
  <c r="N188" i="1"/>
  <c r="Q27" i="8"/>
  <c r="Q38" i="16"/>
  <c r="Q44" i="19"/>
  <c r="S44" i="19" s="1"/>
  <c r="K36" i="26"/>
  <c r="AB48" i="23" s="1"/>
  <c r="K39" i="26"/>
  <c r="AL44" i="16"/>
  <c r="P89" i="19"/>
  <c r="P43" i="19"/>
  <c r="M5" i="28"/>
  <c r="S8" i="19"/>
  <c r="Q7" i="19"/>
  <c r="Q10" i="19"/>
  <c r="S10" i="19" s="1"/>
  <c r="S9" i="19"/>
  <c r="S15" i="19"/>
  <c r="P7" i="28" s="1"/>
  <c r="N7" i="28"/>
  <c r="N11" i="28" s="1"/>
  <c r="S90" i="19"/>
  <c r="S1" i="19"/>
  <c r="T1" i="19" s="1"/>
  <c r="N59" i="17" l="1"/>
  <c r="AV36" i="17"/>
  <c r="E10" i="2"/>
  <c r="F10" i="2" s="1"/>
  <c r="K10" i="22" s="1"/>
  <c r="E62" i="2"/>
  <c r="F62" i="2" s="1"/>
  <c r="K61" i="22" s="1"/>
  <c r="E63" i="2"/>
  <c r="F63" i="2" s="1"/>
  <c r="K62" i="22" s="1"/>
  <c r="AV39" i="17"/>
  <c r="AB50" i="23"/>
  <c r="V44" i="6"/>
  <c r="T44" i="6"/>
  <c r="B63" i="17"/>
  <c r="K4" i="26"/>
  <c r="K8" i="26" s="1"/>
  <c r="J6" i="26"/>
  <c r="K6" i="26" s="1"/>
  <c r="M39" i="17"/>
  <c r="N36" i="17"/>
  <c r="N40" i="17"/>
  <c r="AL36" i="17"/>
  <c r="Q5" i="26"/>
  <c r="O58" i="23"/>
  <c r="B48" i="17"/>
  <c r="A36" i="20" s="1"/>
  <c r="AF22" i="8"/>
  <c r="AF39" i="16"/>
  <c r="O6" i="18"/>
  <c r="O5" i="18" s="1"/>
  <c r="P10" i="18"/>
  <c r="Q10" i="18" s="1"/>
  <c r="Q9" i="18" s="1"/>
  <c r="S40" i="16"/>
  <c r="S28" i="8"/>
  <c r="P7" i="18"/>
  <c r="P46" i="18"/>
  <c r="Q46" i="18" s="1"/>
  <c r="BL67" i="18" s="1"/>
  <c r="Q57" i="18"/>
  <c r="Q12" i="18" s="1"/>
  <c r="Q56" i="18"/>
  <c r="Q47" i="18"/>
  <c r="Q50" i="18"/>
  <c r="Q49" i="18"/>
  <c r="R1" i="18"/>
  <c r="Q48" i="18"/>
  <c r="N5" i="18"/>
  <c r="N43" i="18"/>
  <c r="Q68" i="18"/>
  <c r="P81" i="18" s="1"/>
  <c r="P80" i="18"/>
  <c r="AC23" i="22"/>
  <c r="I67" i="22"/>
  <c r="AD32" i="16"/>
  <c r="AD20" i="8"/>
  <c r="Q25" i="8"/>
  <c r="Q35" i="16"/>
  <c r="Q41" i="16" s="1"/>
  <c r="AG45" i="16"/>
  <c r="AF48" i="16"/>
  <c r="R38" i="16"/>
  <c r="R27" i="8"/>
  <c r="D31" i="26"/>
  <c r="D32" i="26" s="1"/>
  <c r="M46" i="26"/>
  <c r="O46" i="26" s="1"/>
  <c r="AM44" i="16"/>
  <c r="Q6" i="19"/>
  <c r="N6" i="28"/>
  <c r="S7" i="19"/>
  <c r="P6" i="28" s="1"/>
  <c r="T36" i="19"/>
  <c r="V36" i="19" s="1"/>
  <c r="T23" i="19"/>
  <c r="V23" i="19" s="1"/>
  <c r="T49" i="19"/>
  <c r="V49" i="19" s="1"/>
  <c r="T35" i="19"/>
  <c r="V35" i="19" s="1"/>
  <c r="T41" i="19"/>
  <c r="V41" i="19" s="1"/>
  <c r="T42" i="19"/>
  <c r="V42" i="19" s="1"/>
  <c r="T48" i="19"/>
  <c r="T14" i="19"/>
  <c r="V14" i="19" s="1"/>
  <c r="T19" i="19"/>
  <c r="V19" i="19" s="1"/>
  <c r="T45" i="19"/>
  <c r="T46" i="19"/>
  <c r="T22" i="19"/>
  <c r="V22" i="19" s="1"/>
  <c r="U1" i="19"/>
  <c r="V1" i="19" s="1"/>
  <c r="W1" i="19" s="1"/>
  <c r="T28" i="19"/>
  <c r="V28" i="19" s="1"/>
  <c r="T50" i="19"/>
  <c r="V50" i="19" s="1"/>
  <c r="T17" i="19"/>
  <c r="V17" i="19" s="1"/>
  <c r="T34" i="19"/>
  <c r="V34" i="19" s="1"/>
  <c r="T12" i="19"/>
  <c r="V12" i="19" s="1"/>
  <c r="T16" i="19"/>
  <c r="V16" i="19" s="1"/>
  <c r="T13" i="19"/>
  <c r="V13" i="19" s="1"/>
  <c r="T18" i="19"/>
  <c r="V18" i="19" s="1"/>
  <c r="T25" i="19"/>
  <c r="V25" i="19" s="1"/>
  <c r="T31" i="19"/>
  <c r="V31" i="19" s="1"/>
  <c r="T47" i="19"/>
  <c r="T27" i="19"/>
  <c r="V27" i="19" s="1"/>
  <c r="T26" i="19"/>
  <c r="V26" i="19" s="1"/>
  <c r="T38" i="19"/>
  <c r="V38" i="19" s="1"/>
  <c r="T24" i="19"/>
  <c r="V24" i="19" s="1"/>
  <c r="T9" i="19"/>
  <c r="T40" i="19"/>
  <c r="V40" i="19" s="1"/>
  <c r="T29" i="19"/>
  <c r="V29" i="19" s="1"/>
  <c r="T15" i="19"/>
  <c r="T8" i="19"/>
  <c r="T11" i="19"/>
  <c r="V11" i="19" s="1"/>
  <c r="T39" i="19"/>
  <c r="V39" i="19" s="1"/>
  <c r="T37" i="19"/>
  <c r="V37" i="19" s="1"/>
  <c r="T21" i="19"/>
  <c r="V21" i="19" s="1"/>
  <c r="T32" i="19"/>
  <c r="V32" i="19" s="1"/>
  <c r="T20" i="19"/>
  <c r="V20" i="19" s="1"/>
  <c r="T33" i="19"/>
  <c r="V33" i="19" s="1"/>
  <c r="T30" i="19"/>
  <c r="V30" i="19" s="1"/>
  <c r="E9" i="2" l="1"/>
  <c r="E23" i="2" s="1"/>
  <c r="Y10" i="2"/>
  <c r="E64" i="2"/>
  <c r="F64" i="2" s="1"/>
  <c r="K63" i="22" s="1"/>
  <c r="AL40" i="17"/>
  <c r="AD37" i="17" s="1"/>
  <c r="Y39" i="17" s="1"/>
  <c r="G63" i="2"/>
  <c r="I63" i="2" s="1"/>
  <c r="AG39" i="16"/>
  <c r="AG22" i="8"/>
  <c r="B43" i="17"/>
  <c r="A31" i="20" s="1"/>
  <c r="N39" i="17"/>
  <c r="N38" i="17"/>
  <c r="B47" i="17"/>
  <c r="A35" i="20" s="1"/>
  <c r="D4" i="26"/>
  <c r="D5" i="26" s="1"/>
  <c r="P24" i="26" s="1"/>
  <c r="P23" i="26"/>
  <c r="AB24" i="23"/>
  <c r="AB26" i="23" s="1"/>
  <c r="J63" i="2"/>
  <c r="L63" i="2" s="1"/>
  <c r="AC24" i="22"/>
  <c r="I68" i="22"/>
  <c r="O43" i="18"/>
  <c r="T28" i="8"/>
  <c r="T40" i="16"/>
  <c r="R23" i="18"/>
  <c r="S23" i="18" s="1"/>
  <c r="R24" i="18"/>
  <c r="S24" i="18" s="1"/>
  <c r="R25" i="18"/>
  <c r="S25" i="18" s="1"/>
  <c r="R26" i="18"/>
  <c r="S26" i="18" s="1"/>
  <c r="R34" i="18"/>
  <c r="S34" i="18" s="1"/>
  <c r="R29" i="18"/>
  <c r="S29" i="18" s="1"/>
  <c r="R27" i="18"/>
  <c r="S27" i="18" s="1"/>
  <c r="R47" i="18"/>
  <c r="R12" i="18"/>
  <c r="R30" i="18"/>
  <c r="S30" i="18" s="1"/>
  <c r="R35" i="18"/>
  <c r="S35" i="18" s="1"/>
  <c r="R11" i="18"/>
  <c r="S11" i="18" s="1"/>
  <c r="R48" i="18"/>
  <c r="R50" i="18"/>
  <c r="R40" i="18"/>
  <c r="S40" i="18" s="1"/>
  <c r="R28" i="18"/>
  <c r="S28" i="18" s="1"/>
  <c r="R36" i="18"/>
  <c r="S36" i="18" s="1"/>
  <c r="R37" i="18"/>
  <c r="S37" i="18" s="1"/>
  <c r="R44" i="18"/>
  <c r="S44" i="18" s="1"/>
  <c r="R39" i="18"/>
  <c r="S39" i="18" s="1"/>
  <c r="R8" i="18"/>
  <c r="R45" i="18"/>
  <c r="S45" i="18" s="1"/>
  <c r="R16" i="18"/>
  <c r="S16" i="18" s="1"/>
  <c r="R32" i="18"/>
  <c r="S32" i="18" s="1"/>
  <c r="R21" i="18"/>
  <c r="S21" i="18" s="1"/>
  <c r="R18" i="18"/>
  <c r="S18" i="18" s="1"/>
  <c r="R31" i="18"/>
  <c r="S31" i="18" s="1"/>
  <c r="S1" i="18"/>
  <c r="R9" i="18"/>
  <c r="R15" i="18"/>
  <c r="S15" i="18" s="1"/>
  <c r="R42" i="18"/>
  <c r="S42" i="18" s="1"/>
  <c r="R38" i="18"/>
  <c r="S38" i="18" s="1"/>
  <c r="R22" i="18"/>
  <c r="S22" i="18" s="1"/>
  <c r="R41" i="18"/>
  <c r="S41" i="18" s="1"/>
  <c r="R13" i="18"/>
  <c r="R33" i="18"/>
  <c r="S33" i="18" s="1"/>
  <c r="R19" i="18"/>
  <c r="S19" i="18" s="1"/>
  <c r="R14" i="18"/>
  <c r="S14" i="18" s="1"/>
  <c r="R49" i="18"/>
  <c r="R20" i="18"/>
  <c r="S20" i="18" s="1"/>
  <c r="R17" i="18"/>
  <c r="S17" i="18" s="1"/>
  <c r="Q55" i="18"/>
  <c r="Q8" i="18" s="1"/>
  <c r="Q7" i="18" s="1"/>
  <c r="Q13" i="18"/>
  <c r="P6" i="18"/>
  <c r="R25" i="8"/>
  <c r="R35" i="16"/>
  <c r="R41" i="16" s="1"/>
  <c r="AE32" i="16"/>
  <c r="AE20" i="8"/>
  <c r="AH45" i="16"/>
  <c r="F128" i="21" s="1"/>
  <c r="F64" i="21" s="1"/>
  <c r="F66" i="21" s="1"/>
  <c r="AG48" i="16"/>
  <c r="AD41" i="16"/>
  <c r="S27" i="8"/>
  <c r="S38" i="16"/>
  <c r="G62" i="2"/>
  <c r="I62" i="2" s="1"/>
  <c r="J62" i="2"/>
  <c r="P59" i="2" s="1"/>
  <c r="Z10" i="2"/>
  <c r="J10" i="2"/>
  <c r="L10" i="2" s="1"/>
  <c r="G10" i="2"/>
  <c r="F9" i="2"/>
  <c r="V9" i="19"/>
  <c r="T10" i="19"/>
  <c r="V10" i="19" s="1"/>
  <c r="V51" i="19"/>
  <c r="T44" i="19"/>
  <c r="V44" i="19" s="1"/>
  <c r="V8" i="19"/>
  <c r="T7" i="19"/>
  <c r="V15" i="19"/>
  <c r="S7" i="28" s="1"/>
  <c r="Q7" i="28"/>
  <c r="Q11" i="28" s="1"/>
  <c r="W11" i="19"/>
  <c r="Y11" i="19" s="1"/>
  <c r="W35" i="19"/>
  <c r="Y35" i="19" s="1"/>
  <c r="W49" i="19"/>
  <c r="Y49" i="19" s="1"/>
  <c r="W23" i="19"/>
  <c r="Y23" i="19" s="1"/>
  <c r="W41" i="19"/>
  <c r="Y41" i="19" s="1"/>
  <c r="W36" i="19"/>
  <c r="Y36" i="19" s="1"/>
  <c r="W31" i="19"/>
  <c r="Y31" i="19" s="1"/>
  <c r="W22" i="19"/>
  <c r="Y22" i="19" s="1"/>
  <c r="W14" i="19"/>
  <c r="Y14" i="19" s="1"/>
  <c r="W21" i="19"/>
  <c r="Y21" i="19" s="1"/>
  <c r="W25" i="19"/>
  <c r="Y25" i="19" s="1"/>
  <c r="W47" i="19"/>
  <c r="W39" i="19"/>
  <c r="Y39" i="19" s="1"/>
  <c r="W40" i="19"/>
  <c r="Y40" i="19" s="1"/>
  <c r="W20" i="19"/>
  <c r="Y20" i="19" s="1"/>
  <c r="W27" i="19"/>
  <c r="Y27" i="19" s="1"/>
  <c r="W15" i="19"/>
  <c r="W26" i="19"/>
  <c r="Y26" i="19" s="1"/>
  <c r="W48" i="19"/>
  <c r="W16" i="19"/>
  <c r="Y16" i="19" s="1"/>
  <c r="W34" i="19"/>
  <c r="Y34" i="19" s="1"/>
  <c r="W9" i="19"/>
  <c r="W45" i="19"/>
  <c r="W29" i="19"/>
  <c r="Y29" i="19" s="1"/>
  <c r="W8" i="19"/>
  <c r="W46" i="19"/>
  <c r="W50" i="19"/>
  <c r="Y50" i="19" s="1"/>
  <c r="W42" i="19"/>
  <c r="Y42" i="19" s="1"/>
  <c r="W33" i="19"/>
  <c r="Y33" i="19" s="1"/>
  <c r="W32" i="19"/>
  <c r="Y32" i="19" s="1"/>
  <c r="W17" i="19"/>
  <c r="Y17" i="19" s="1"/>
  <c r="W24" i="19"/>
  <c r="Y24" i="19" s="1"/>
  <c r="W12" i="19"/>
  <c r="Y12" i="19" s="1"/>
  <c r="W19" i="19"/>
  <c r="Y19" i="19" s="1"/>
  <c r="W38" i="19"/>
  <c r="Y38" i="19" s="1"/>
  <c r="W18" i="19"/>
  <c r="Y18" i="19" s="1"/>
  <c r="W28" i="19"/>
  <c r="Y28" i="19" s="1"/>
  <c r="W30" i="19"/>
  <c r="Y30" i="19" s="1"/>
  <c r="W37" i="19"/>
  <c r="Y37" i="19" s="1"/>
  <c r="X1" i="19"/>
  <c r="Y1" i="19" s="1"/>
  <c r="Z1" i="19" s="1"/>
  <c r="W13" i="19"/>
  <c r="Y13" i="19" s="1"/>
  <c r="N5" i="28"/>
  <c r="Q5" i="19"/>
  <c r="S5" i="19" s="1"/>
  <c r="Q43" i="19"/>
  <c r="S6" i="19"/>
  <c r="Q89" i="19"/>
  <c r="Q96" i="19" s="1"/>
  <c r="AH39" i="16" l="1"/>
  <c r="AH22" i="8"/>
  <c r="AI39" i="16" s="1"/>
  <c r="F122" i="21"/>
  <c r="Y9" i="2"/>
  <c r="E65" i="2"/>
  <c r="E69" i="2" s="1"/>
  <c r="AH48" i="16"/>
  <c r="F131" i="21" s="1"/>
  <c r="G64" i="2"/>
  <c r="I64" i="2" s="1"/>
  <c r="P9" i="22"/>
  <c r="K9" i="22"/>
  <c r="G122" i="21"/>
  <c r="L122" i="21"/>
  <c r="C56" i="20"/>
  <c r="B57" i="20"/>
  <c r="E57" i="20" s="1"/>
  <c r="F65" i="2"/>
  <c r="K64" i="22" s="1"/>
  <c r="P62" i="2"/>
  <c r="J64" i="2"/>
  <c r="L64" i="2" s="1"/>
  <c r="R10" i="18"/>
  <c r="S10" i="18" s="1"/>
  <c r="S9" i="18" s="1"/>
  <c r="AF32" i="16"/>
  <c r="AF41" i="16" s="1"/>
  <c r="AF20" i="8"/>
  <c r="Q6" i="18"/>
  <c r="U28" i="8"/>
  <c r="U40" i="16"/>
  <c r="R46" i="18"/>
  <c r="S46" i="18" s="1"/>
  <c r="R80" i="18"/>
  <c r="S68" i="18"/>
  <c r="R81" i="18" s="1"/>
  <c r="R7" i="18"/>
  <c r="P5" i="18"/>
  <c r="P43" i="18"/>
  <c r="T1" i="18"/>
  <c r="S47" i="18"/>
  <c r="S49" i="18"/>
  <c r="S48" i="18"/>
  <c r="S50" i="18"/>
  <c r="S57" i="18"/>
  <c r="S12" i="18" s="1"/>
  <c r="S56" i="18"/>
  <c r="AI45" i="16"/>
  <c r="G128" i="21" s="1"/>
  <c r="H128" i="21" s="1"/>
  <c r="AE41" i="16"/>
  <c r="S25" i="8"/>
  <c r="S35" i="16"/>
  <c r="S41" i="16" s="1"/>
  <c r="L62" i="2"/>
  <c r="Z9" i="2"/>
  <c r="F23" i="2"/>
  <c r="K23" i="22" s="1"/>
  <c r="G9" i="2"/>
  <c r="I10" i="2"/>
  <c r="AA10" i="2"/>
  <c r="AD10" i="2"/>
  <c r="J9" i="2"/>
  <c r="C95" i="2" s="1"/>
  <c r="T38" i="16"/>
  <c r="T27" i="8"/>
  <c r="U38" i="16" s="1"/>
  <c r="Y14" i="2"/>
  <c r="Z29" i="19"/>
  <c r="AB29" i="19" s="1"/>
  <c r="Z14" i="19"/>
  <c r="AB14" i="19" s="1"/>
  <c r="Z25" i="19"/>
  <c r="AB25" i="19" s="1"/>
  <c r="Z18" i="19"/>
  <c r="AB18" i="19" s="1"/>
  <c r="Z39" i="19"/>
  <c r="AB39" i="19" s="1"/>
  <c r="AF1" i="19"/>
  <c r="Z40" i="19"/>
  <c r="AB40" i="19" s="1"/>
  <c r="Z37" i="19"/>
  <c r="AB37" i="19" s="1"/>
  <c r="Z24" i="19"/>
  <c r="AB24" i="19" s="1"/>
  <c r="Z12" i="19"/>
  <c r="AB12" i="19" s="1"/>
  <c r="AL1" i="19"/>
  <c r="AC1" i="19"/>
  <c r="AI1" i="19"/>
  <c r="AM1" i="19"/>
  <c r="Z48" i="19"/>
  <c r="Z27" i="19"/>
  <c r="AB27" i="19" s="1"/>
  <c r="Z47" i="19"/>
  <c r="Z23" i="19"/>
  <c r="AB23" i="19" s="1"/>
  <c r="AB1" i="19"/>
  <c r="Z15" i="19"/>
  <c r="Z13" i="19"/>
  <c r="AB13" i="19" s="1"/>
  <c r="Z9" i="19"/>
  <c r="Z16" i="19"/>
  <c r="AB16" i="19" s="1"/>
  <c r="Z31" i="19"/>
  <c r="AB31" i="19" s="1"/>
  <c r="Z36" i="19"/>
  <c r="AB36" i="19" s="1"/>
  <c r="Z42" i="19"/>
  <c r="AB42" i="19" s="1"/>
  <c r="Z22" i="19"/>
  <c r="AB22" i="19" s="1"/>
  <c r="Z17" i="19"/>
  <c r="AB17" i="19" s="1"/>
  <c r="Z30" i="19"/>
  <c r="AB30" i="19" s="1"/>
  <c r="Z19" i="19"/>
  <c r="AB19" i="19" s="1"/>
  <c r="AJ1" i="19"/>
  <c r="AK1" i="19"/>
  <c r="Z34" i="19"/>
  <c r="AB34" i="19" s="1"/>
  <c r="Z38" i="19"/>
  <c r="AB38" i="19" s="1"/>
  <c r="Z45" i="19"/>
  <c r="AG1" i="19"/>
  <c r="AA1" i="19"/>
  <c r="Z20" i="19"/>
  <c r="AB20" i="19" s="1"/>
  <c r="Z41" i="19"/>
  <c r="AB41" i="19" s="1"/>
  <c r="Z11" i="19"/>
  <c r="AB11" i="19" s="1"/>
  <c r="Z50" i="19"/>
  <c r="AB50" i="19" s="1"/>
  <c r="Z26" i="19"/>
  <c r="AB26" i="19" s="1"/>
  <c r="AD1" i="19"/>
  <c r="Z35" i="19"/>
  <c r="AB35" i="19" s="1"/>
  <c r="Z46" i="19"/>
  <c r="Z33" i="19"/>
  <c r="AB33" i="19" s="1"/>
  <c r="Z28" i="19"/>
  <c r="AB28" i="19" s="1"/>
  <c r="AN1" i="19"/>
  <c r="Z21" i="19"/>
  <c r="AB21" i="19" s="1"/>
  <c r="Z49" i="19"/>
  <c r="AB49" i="19" s="1"/>
  <c r="AH1" i="19"/>
  <c r="AE1" i="19"/>
  <c r="Z32" i="19"/>
  <c r="AB32" i="19" s="1"/>
  <c r="Z8" i="19"/>
  <c r="W44" i="19"/>
  <c r="Y44" i="19" s="1"/>
  <c r="Y9" i="19"/>
  <c r="W10" i="19"/>
  <c r="Y10" i="19" s="1"/>
  <c r="Q6" i="28"/>
  <c r="T6" i="19"/>
  <c r="V7" i="19"/>
  <c r="S6" i="28" s="1"/>
  <c r="S89" i="19"/>
  <c r="S43" i="19"/>
  <c r="P5" i="28"/>
  <c r="W7" i="19"/>
  <c r="Y8" i="19"/>
  <c r="T7" i="28"/>
  <c r="T11" i="28" s="1"/>
  <c r="Y15" i="19"/>
  <c r="V7" i="28" s="1"/>
  <c r="L128" i="21" l="1"/>
  <c r="M128" i="21" s="1"/>
  <c r="E67" i="2"/>
  <c r="Y23" i="2" s="1"/>
  <c r="I128" i="21"/>
  <c r="G64" i="21"/>
  <c r="H64" i="21" s="1"/>
  <c r="F69" i="2"/>
  <c r="K68" i="22" s="1"/>
  <c r="AC10" i="2"/>
  <c r="L10" i="22"/>
  <c r="AG32" i="16"/>
  <c r="AG20" i="8"/>
  <c r="M122" i="21"/>
  <c r="AB122" i="21"/>
  <c r="AB125" i="21" s="1"/>
  <c r="H122" i="21"/>
  <c r="I122" i="21"/>
  <c r="B56" i="20"/>
  <c r="E56" i="20" s="1"/>
  <c r="C55" i="20"/>
  <c r="B55" i="20" s="1"/>
  <c r="E55" i="20" s="1"/>
  <c r="G42" i="20" s="1"/>
  <c r="H73" i="2"/>
  <c r="H74" i="2" s="1"/>
  <c r="Z22" i="2"/>
  <c r="G65" i="2"/>
  <c r="I65" i="2" s="1"/>
  <c r="AC22" i="2" s="1"/>
  <c r="Y22" i="2"/>
  <c r="J65" i="2"/>
  <c r="AD22" i="2" s="1"/>
  <c r="P63" i="2"/>
  <c r="D50" i="20"/>
  <c r="R6" i="18"/>
  <c r="R5" i="18" s="1"/>
  <c r="BL68" i="18"/>
  <c r="Q5" i="18"/>
  <c r="Q43" i="18"/>
  <c r="V28" i="8"/>
  <c r="V40" i="16"/>
  <c r="T27" i="18"/>
  <c r="U27" i="18" s="1"/>
  <c r="T48" i="18"/>
  <c r="T21" i="18"/>
  <c r="U21" i="18" s="1"/>
  <c r="T49" i="18"/>
  <c r="T38" i="18"/>
  <c r="U38" i="18" s="1"/>
  <c r="T44" i="18"/>
  <c r="U44" i="18" s="1"/>
  <c r="T34" i="18"/>
  <c r="U34" i="18" s="1"/>
  <c r="T47" i="18"/>
  <c r="T8" i="18"/>
  <c r="T16" i="18"/>
  <c r="U16" i="18" s="1"/>
  <c r="T26" i="18"/>
  <c r="U26" i="18" s="1"/>
  <c r="T19" i="18"/>
  <c r="U19" i="18" s="1"/>
  <c r="T15" i="18"/>
  <c r="U15" i="18" s="1"/>
  <c r="T41" i="18"/>
  <c r="U41" i="18" s="1"/>
  <c r="T18" i="18"/>
  <c r="U18" i="18" s="1"/>
  <c r="T45" i="18"/>
  <c r="U45" i="18" s="1"/>
  <c r="T14" i="18"/>
  <c r="U14" i="18" s="1"/>
  <c r="T13" i="18"/>
  <c r="T11" i="18"/>
  <c r="U11" i="18" s="1"/>
  <c r="T35" i="18"/>
  <c r="U35" i="18" s="1"/>
  <c r="T31" i="18"/>
  <c r="U31" i="18" s="1"/>
  <c r="T39" i="18"/>
  <c r="U39" i="18" s="1"/>
  <c r="T25" i="18"/>
  <c r="U25" i="18" s="1"/>
  <c r="T9" i="18"/>
  <c r="T32" i="18"/>
  <c r="U32" i="18" s="1"/>
  <c r="T50" i="18"/>
  <c r="T22" i="18"/>
  <c r="U22" i="18" s="1"/>
  <c r="T23" i="18"/>
  <c r="U23" i="18" s="1"/>
  <c r="T42" i="18"/>
  <c r="U42" i="18" s="1"/>
  <c r="T36" i="18"/>
  <c r="U36" i="18" s="1"/>
  <c r="T30" i="18"/>
  <c r="U30" i="18" s="1"/>
  <c r="T29" i="18"/>
  <c r="U29" i="18" s="1"/>
  <c r="T33" i="18"/>
  <c r="U33" i="18" s="1"/>
  <c r="U1" i="18"/>
  <c r="T24" i="18"/>
  <c r="U24" i="18" s="1"/>
  <c r="T28" i="18"/>
  <c r="U28" i="18" s="1"/>
  <c r="T17" i="18"/>
  <c r="U17" i="18" s="1"/>
  <c r="T20" i="18"/>
  <c r="U20" i="18" s="1"/>
  <c r="T40" i="18"/>
  <c r="U40" i="18" s="1"/>
  <c r="T37" i="18"/>
  <c r="U37" i="18" s="1"/>
  <c r="T12" i="18"/>
  <c r="S13" i="18"/>
  <c r="S55" i="18"/>
  <c r="S8" i="18" s="1"/>
  <c r="S7" i="18" s="1"/>
  <c r="AJ45" i="16"/>
  <c r="AI48" i="16"/>
  <c r="G131" i="21" s="1"/>
  <c r="T35" i="16"/>
  <c r="T41" i="16" s="1"/>
  <c r="T25" i="8"/>
  <c r="L9" i="2"/>
  <c r="J23" i="2"/>
  <c r="L23" i="2" s="1"/>
  <c r="AD9" i="2"/>
  <c r="Z14" i="2"/>
  <c r="G23" i="2"/>
  <c r="F67" i="2"/>
  <c r="K66" i="22" s="1"/>
  <c r="I9" i="2"/>
  <c r="L9" i="22" s="1"/>
  <c r="AA9" i="2"/>
  <c r="Y7" i="19"/>
  <c r="V6" i="28" s="1"/>
  <c r="W6" i="19"/>
  <c r="T6" i="28"/>
  <c r="CH8" i="19"/>
  <c r="C35" i="4"/>
  <c r="B29" i="4"/>
  <c r="B38" i="4"/>
  <c r="B30" i="4"/>
  <c r="C18" i="4"/>
  <c r="M8" i="4"/>
  <c r="B24" i="4"/>
  <c r="CN7" i="19"/>
  <c r="M27" i="4"/>
  <c r="I27" i="4" s="1"/>
  <c r="B48" i="4"/>
  <c r="M23" i="4"/>
  <c r="I23" i="4" s="1"/>
  <c r="L38" i="4"/>
  <c r="CN9" i="19"/>
  <c r="M12" i="4"/>
  <c r="I12" i="4" s="1"/>
  <c r="L30" i="4"/>
  <c r="M20" i="4"/>
  <c r="I20" i="4" s="1"/>
  <c r="L31" i="4"/>
  <c r="B49" i="4"/>
  <c r="D49" i="4" s="1"/>
  <c r="D40" i="20"/>
  <c r="C26" i="4"/>
  <c r="B17" i="4"/>
  <c r="M26" i="4"/>
  <c r="I26" i="4" s="1"/>
  <c r="B46" i="4"/>
  <c r="M34" i="4"/>
  <c r="I34" i="4" s="1"/>
  <c r="M40" i="4"/>
  <c r="I40" i="4" s="1"/>
  <c r="C43" i="4"/>
  <c r="CH7" i="19"/>
  <c r="B39" i="4"/>
  <c r="B27" i="4"/>
  <c r="L40" i="4"/>
  <c r="L33" i="4"/>
  <c r="L28" i="4"/>
  <c r="M36" i="4"/>
  <c r="I36" i="4" s="1"/>
  <c r="C19" i="4"/>
  <c r="L39" i="4"/>
  <c r="L37" i="4"/>
  <c r="B32" i="4"/>
  <c r="L15" i="4"/>
  <c r="B14" i="4"/>
  <c r="M50" i="4"/>
  <c r="M41" i="4"/>
  <c r="I41" i="4" s="1"/>
  <c r="M11" i="4"/>
  <c r="I11" i="4" s="1"/>
  <c r="D117" i="4" s="1"/>
  <c r="C9" i="4"/>
  <c r="C34" i="4"/>
  <c r="E372" i="17"/>
  <c r="B13" i="4"/>
  <c r="C20" i="4"/>
  <c r="F372" i="17"/>
  <c r="B22" i="4"/>
  <c r="L9" i="4"/>
  <c r="L18" i="4"/>
  <c r="B33" i="4"/>
  <c r="L10" i="4"/>
  <c r="M49" i="4"/>
  <c r="C10" i="4"/>
  <c r="M25" i="4"/>
  <c r="I25" i="4" s="1"/>
  <c r="M42" i="4"/>
  <c r="I42" i="4" s="1"/>
  <c r="L27" i="4"/>
  <c r="F373" i="17"/>
  <c r="N373" i="17" s="1"/>
  <c r="B18" i="4"/>
  <c r="M29" i="4"/>
  <c r="I29" i="4" s="1"/>
  <c r="M22" i="4"/>
  <c r="I22" i="4" s="1"/>
  <c r="L13" i="4"/>
  <c r="L36" i="4"/>
  <c r="B8" i="4"/>
  <c r="C17" i="4"/>
  <c r="B45" i="4"/>
  <c r="B36" i="4"/>
  <c r="C23" i="4"/>
  <c r="D52" i="20"/>
  <c r="B25" i="4"/>
  <c r="C41" i="4"/>
  <c r="M33" i="4"/>
  <c r="I33" i="4" s="1"/>
  <c r="L12" i="4"/>
  <c r="H12" i="4" s="1"/>
  <c r="B12" i="4"/>
  <c r="L24" i="4"/>
  <c r="C28" i="4"/>
  <c r="L16" i="4"/>
  <c r="C16" i="4"/>
  <c r="B16" i="4"/>
  <c r="B26" i="4"/>
  <c r="L21" i="4"/>
  <c r="L32" i="4"/>
  <c r="M16" i="4"/>
  <c r="I16" i="4" s="1"/>
  <c r="B37" i="4"/>
  <c r="M30" i="4"/>
  <c r="I30" i="4" s="1"/>
  <c r="L45" i="4"/>
  <c r="I373" i="17"/>
  <c r="M15" i="4"/>
  <c r="I15" i="4" s="1"/>
  <c r="L50" i="4"/>
  <c r="L8" i="4"/>
  <c r="H372" i="17"/>
  <c r="I371" i="17"/>
  <c r="C40" i="20"/>
  <c r="C50" i="20"/>
  <c r="C41" i="20" s="1"/>
  <c r="B21" i="4"/>
  <c r="B19" i="4"/>
  <c r="H373" i="17"/>
  <c r="M18" i="4"/>
  <c r="I18" i="4" s="1"/>
  <c r="M21" i="4"/>
  <c r="I21" i="4" s="1"/>
  <c r="CH9" i="19"/>
  <c r="M37" i="4"/>
  <c r="I37" i="4" s="1"/>
  <c r="CG9" i="19"/>
  <c r="B20" i="4"/>
  <c r="I372" i="17"/>
  <c r="L25" i="4"/>
  <c r="B35" i="4"/>
  <c r="M48" i="4"/>
  <c r="L29" i="4"/>
  <c r="B41" i="4"/>
  <c r="M35" i="4"/>
  <c r="I35" i="4" s="1"/>
  <c r="M14" i="4"/>
  <c r="I14" i="4" s="1"/>
  <c r="CG8" i="19"/>
  <c r="CN6" i="19"/>
  <c r="C31" i="4"/>
  <c r="M39" i="4"/>
  <c r="I39" i="4" s="1"/>
  <c r="L20" i="4"/>
  <c r="L34" i="4"/>
  <c r="M10" i="4"/>
  <c r="L49" i="4"/>
  <c r="H49" i="4" s="1"/>
  <c r="J49" i="4" s="1"/>
  <c r="CG7" i="19"/>
  <c r="M13" i="4"/>
  <c r="I13" i="4" s="1"/>
  <c r="L47" i="4"/>
  <c r="M45" i="4"/>
  <c r="C30" i="4"/>
  <c r="B9" i="4"/>
  <c r="M32" i="4"/>
  <c r="I32" i="4" s="1"/>
  <c r="C11" i="4"/>
  <c r="B47" i="4"/>
  <c r="C13" i="4"/>
  <c r="B42" i="4"/>
  <c r="C14" i="4"/>
  <c r="M31" i="4"/>
  <c r="I31" i="4" s="1"/>
  <c r="B50" i="4"/>
  <c r="D50" i="4" s="1"/>
  <c r="C42" i="4"/>
  <c r="C27" i="4"/>
  <c r="C37" i="4"/>
  <c r="B15" i="4"/>
  <c r="C24" i="4"/>
  <c r="M46" i="4"/>
  <c r="L35" i="4"/>
  <c r="L14" i="4"/>
  <c r="C8" i="4"/>
  <c r="L26" i="4"/>
  <c r="B31" i="4"/>
  <c r="L23" i="4"/>
  <c r="L17" i="4"/>
  <c r="L48" i="4"/>
  <c r="N48" i="4" s="1"/>
  <c r="C39" i="4"/>
  <c r="C40" i="4"/>
  <c r="M47" i="4"/>
  <c r="L46" i="4"/>
  <c r="M24" i="4"/>
  <c r="I24" i="4" s="1"/>
  <c r="L42" i="4"/>
  <c r="M17" i="4"/>
  <c r="I17" i="4" s="1"/>
  <c r="L11" i="4"/>
  <c r="C36" i="4"/>
  <c r="L22" i="4"/>
  <c r="C15" i="4"/>
  <c r="B10" i="4"/>
  <c r="CG6" i="19"/>
  <c r="B11" i="4"/>
  <c r="L41" i="4"/>
  <c r="C29" i="4"/>
  <c r="CN8" i="19"/>
  <c r="B40" i="4"/>
  <c r="C52" i="20"/>
  <c r="B34" i="4"/>
  <c r="M28" i="4"/>
  <c r="I28" i="4" s="1"/>
  <c r="L19" i="4"/>
  <c r="H19" i="4" s="1"/>
  <c r="C33" i="4"/>
  <c r="B23" i="4"/>
  <c r="C38" i="4"/>
  <c r="M19" i="4"/>
  <c r="C22" i="4"/>
  <c r="C32" i="4"/>
  <c r="E373" i="17"/>
  <c r="M9" i="4"/>
  <c r="I9" i="4" s="1"/>
  <c r="C21" i="4"/>
  <c r="CH6" i="19"/>
  <c r="B28" i="4"/>
  <c r="C25" i="4"/>
  <c r="C12" i="4"/>
  <c r="M38" i="4"/>
  <c r="I38" i="4" s="1"/>
  <c r="AB8" i="19"/>
  <c r="Z7" i="19"/>
  <c r="AB9" i="19"/>
  <c r="Z10" i="19"/>
  <c r="AB10" i="19" s="1"/>
  <c r="AF17" i="19"/>
  <c r="AH17" i="19" s="1"/>
  <c r="AF9" i="19"/>
  <c r="AF15" i="19"/>
  <c r="AF42" i="19"/>
  <c r="AH42" i="19" s="1"/>
  <c r="AF25" i="19"/>
  <c r="AH25" i="19" s="1"/>
  <c r="AF37" i="19"/>
  <c r="AH37" i="19" s="1"/>
  <c r="AF31" i="19"/>
  <c r="AH31" i="19" s="1"/>
  <c r="AF16" i="19"/>
  <c r="AH16" i="19" s="1"/>
  <c r="AF14" i="19"/>
  <c r="AH14" i="19" s="1"/>
  <c r="AF23" i="19"/>
  <c r="AH23" i="19" s="1"/>
  <c r="AF46" i="19"/>
  <c r="AF39" i="19"/>
  <c r="AH39" i="19" s="1"/>
  <c r="AF33" i="19"/>
  <c r="AH33" i="19" s="1"/>
  <c r="AF40" i="19"/>
  <c r="AH40" i="19" s="1"/>
  <c r="AF12" i="19"/>
  <c r="AH12" i="19" s="1"/>
  <c r="AF20" i="19"/>
  <c r="AH20" i="19" s="1"/>
  <c r="AF8" i="19"/>
  <c r="AF24" i="19"/>
  <c r="AH24" i="19" s="1"/>
  <c r="AF21" i="19"/>
  <c r="AH21" i="19" s="1"/>
  <c r="AF48" i="19"/>
  <c r="AF13" i="19"/>
  <c r="AH13" i="19" s="1"/>
  <c r="AF11" i="19"/>
  <c r="AH11" i="19" s="1"/>
  <c r="AF47" i="19"/>
  <c r="AF27" i="19"/>
  <c r="AH27" i="19" s="1"/>
  <c r="AF49" i="19"/>
  <c r="AH49" i="19" s="1"/>
  <c r="AF41" i="19"/>
  <c r="AH41" i="19" s="1"/>
  <c r="AF19" i="19"/>
  <c r="AH19" i="19" s="1"/>
  <c r="AF29" i="19"/>
  <c r="AH29" i="19" s="1"/>
  <c r="AF30" i="19"/>
  <c r="AH30" i="19" s="1"/>
  <c r="AF18" i="19"/>
  <c r="AH18" i="19" s="1"/>
  <c r="AF32" i="19"/>
  <c r="AH32" i="19" s="1"/>
  <c r="AF36" i="19"/>
  <c r="AH36" i="19" s="1"/>
  <c r="AF26" i="19"/>
  <c r="AH26" i="19" s="1"/>
  <c r="AF34" i="19"/>
  <c r="AH34" i="19" s="1"/>
  <c r="AF38" i="19"/>
  <c r="AH38" i="19" s="1"/>
  <c r="AF22" i="19"/>
  <c r="AH22" i="19" s="1"/>
  <c r="AF35" i="19"/>
  <c r="AH35" i="19" s="1"/>
  <c r="AF50" i="19"/>
  <c r="AH50" i="19" s="1"/>
  <c r="AF45" i="19"/>
  <c r="AF28" i="19"/>
  <c r="AH28" i="19" s="1"/>
  <c r="R93" i="19"/>
  <c r="S93" i="19" s="1"/>
  <c r="R92" i="19"/>
  <c r="AI11" i="19"/>
  <c r="AK11" i="19" s="1"/>
  <c r="AI46" i="19"/>
  <c r="AI29" i="19"/>
  <c r="AK29" i="19" s="1"/>
  <c r="AI23" i="19"/>
  <c r="AK23" i="19" s="1"/>
  <c r="AI20" i="19"/>
  <c r="AK20" i="19" s="1"/>
  <c r="AF100" i="19" s="1"/>
  <c r="AI26" i="19"/>
  <c r="AK26" i="19" s="1"/>
  <c r="AI25" i="19"/>
  <c r="AK25" i="19" s="1"/>
  <c r="AI40" i="19"/>
  <c r="AK40" i="19" s="1"/>
  <c r="AI13" i="19"/>
  <c r="AK13" i="19" s="1"/>
  <c r="AI31" i="19"/>
  <c r="AK31" i="19" s="1"/>
  <c r="AI24" i="19"/>
  <c r="AK24" i="19" s="1"/>
  <c r="AI32" i="19"/>
  <c r="AK32" i="19" s="1"/>
  <c r="AI37" i="19"/>
  <c r="AK37" i="19" s="1"/>
  <c r="AI45" i="19"/>
  <c r="AI34" i="19"/>
  <c r="AK34" i="19" s="1"/>
  <c r="AI30" i="19"/>
  <c r="AK30" i="19" s="1"/>
  <c r="AI50" i="19"/>
  <c r="AK50" i="19" s="1"/>
  <c r="AI33" i="19"/>
  <c r="AK33" i="19" s="1"/>
  <c r="AI14" i="19"/>
  <c r="AK14" i="19" s="1"/>
  <c r="AI27" i="19"/>
  <c r="AK27" i="19" s="1"/>
  <c r="AI28" i="19"/>
  <c r="AK28" i="19" s="1"/>
  <c r="AI35" i="19"/>
  <c r="AK35" i="19" s="1"/>
  <c r="AI48" i="19"/>
  <c r="AI36" i="19"/>
  <c r="AK36" i="19" s="1"/>
  <c r="AI38" i="19"/>
  <c r="AK38" i="19" s="1"/>
  <c r="AI21" i="19"/>
  <c r="AK21" i="19" s="1"/>
  <c r="AI22" i="19"/>
  <c r="AK22" i="19" s="1"/>
  <c r="AI9" i="19"/>
  <c r="AI42" i="19"/>
  <c r="AK42" i="19" s="1"/>
  <c r="AI19" i="19"/>
  <c r="AK19" i="19" s="1"/>
  <c r="AI16" i="19"/>
  <c r="AK16" i="19" s="1"/>
  <c r="AI41" i="19"/>
  <c r="AK41" i="19" s="1"/>
  <c r="AI18" i="19"/>
  <c r="AK18" i="19" s="1"/>
  <c r="AI8" i="19"/>
  <c r="AI39" i="19"/>
  <c r="AK39" i="19" s="1"/>
  <c r="AI15" i="19"/>
  <c r="AI12" i="19"/>
  <c r="AK12" i="19" s="1"/>
  <c r="AI47" i="19"/>
  <c r="AI49" i="19"/>
  <c r="AK49" i="19" s="1"/>
  <c r="AI17" i="19"/>
  <c r="AK17" i="19" s="1"/>
  <c r="W7" i="28"/>
  <c r="W11" i="28" s="1"/>
  <c r="AB15" i="19"/>
  <c r="Y7" i="28" s="1"/>
  <c r="AC12" i="19"/>
  <c r="AE12" i="19" s="1"/>
  <c r="AC20" i="19"/>
  <c r="AE20" i="19" s="1"/>
  <c r="AC26" i="19"/>
  <c r="AE26" i="19" s="1"/>
  <c r="AC31" i="19"/>
  <c r="AE31" i="19" s="1"/>
  <c r="AC42" i="19"/>
  <c r="AE42" i="19" s="1"/>
  <c r="AC46" i="19"/>
  <c r="AC39" i="19"/>
  <c r="AE39" i="19" s="1"/>
  <c r="AC45" i="19"/>
  <c r="AC19" i="19"/>
  <c r="AE19" i="19" s="1"/>
  <c r="AC17" i="19"/>
  <c r="AE17" i="19" s="1"/>
  <c r="AC49" i="19"/>
  <c r="AE49" i="19" s="1"/>
  <c r="AC33" i="19"/>
  <c r="AE33" i="19" s="1"/>
  <c r="AC21" i="19"/>
  <c r="AE21" i="19" s="1"/>
  <c r="AC28" i="19"/>
  <c r="AE28" i="19" s="1"/>
  <c r="AC30" i="19"/>
  <c r="AE30" i="19" s="1"/>
  <c r="AC16" i="19"/>
  <c r="AE16" i="19" s="1"/>
  <c r="AC38" i="19"/>
  <c r="AE38" i="19" s="1"/>
  <c r="AC32" i="19"/>
  <c r="AE32" i="19" s="1"/>
  <c r="AC37" i="19"/>
  <c r="AE37" i="19" s="1"/>
  <c r="AC22" i="19"/>
  <c r="AE22" i="19" s="1"/>
  <c r="AC15" i="19"/>
  <c r="AC47" i="19"/>
  <c r="AC14" i="19"/>
  <c r="AE14" i="19" s="1"/>
  <c r="AC11" i="19"/>
  <c r="AE11" i="19" s="1"/>
  <c r="AC25" i="19"/>
  <c r="AE25" i="19" s="1"/>
  <c r="AC27" i="19"/>
  <c r="AE27" i="19" s="1"/>
  <c r="AC35" i="19"/>
  <c r="AE35" i="19" s="1"/>
  <c r="AC9" i="19"/>
  <c r="AC23" i="19"/>
  <c r="AE23" i="19" s="1"/>
  <c r="AC8" i="19"/>
  <c r="AC13" i="19"/>
  <c r="AE13" i="19" s="1"/>
  <c r="AC40" i="19"/>
  <c r="AE40" i="19" s="1"/>
  <c r="AC50" i="19"/>
  <c r="AE50" i="19" s="1"/>
  <c r="AC29" i="19"/>
  <c r="AE29" i="19" s="1"/>
  <c r="AC48" i="19"/>
  <c r="AC18" i="19"/>
  <c r="AE18" i="19" s="1"/>
  <c r="AC36" i="19"/>
  <c r="AE36" i="19" s="1"/>
  <c r="AC34" i="19"/>
  <c r="AE34" i="19" s="1"/>
  <c r="AC41" i="19"/>
  <c r="AE41" i="19" s="1"/>
  <c r="AC24" i="19"/>
  <c r="AE24" i="19" s="1"/>
  <c r="T5" i="19"/>
  <c r="V5" i="19" s="1"/>
  <c r="T43" i="19"/>
  <c r="Q5" i="28"/>
  <c r="V6" i="19"/>
  <c r="Z44" i="19"/>
  <c r="AB44" i="19" s="1"/>
  <c r="AL11" i="19"/>
  <c r="AN11" i="19" s="1"/>
  <c r="AL16" i="19"/>
  <c r="AN16" i="19" s="1"/>
  <c r="AL25" i="19"/>
  <c r="AN25" i="19" s="1"/>
  <c r="AL50" i="19"/>
  <c r="AN50" i="19" s="1"/>
  <c r="AL49" i="19"/>
  <c r="AN49" i="19" s="1"/>
  <c r="AL30" i="19"/>
  <c r="AN30" i="19" s="1"/>
  <c r="AL32" i="19"/>
  <c r="AN32" i="19" s="1"/>
  <c r="AL26" i="19"/>
  <c r="AN26" i="19" s="1"/>
  <c r="AL40" i="19"/>
  <c r="AN40" i="19" s="1"/>
  <c r="AL14" i="19"/>
  <c r="AN14" i="19" s="1"/>
  <c r="AL33" i="19"/>
  <c r="AN33" i="19" s="1"/>
  <c r="AL9" i="19"/>
  <c r="AL37" i="19"/>
  <c r="AN37" i="19" s="1"/>
  <c r="AL21" i="19"/>
  <c r="AN21" i="19" s="1"/>
  <c r="AL35" i="19"/>
  <c r="AN35" i="19" s="1"/>
  <c r="AL23" i="19"/>
  <c r="AN23" i="19" s="1"/>
  <c r="AL48" i="19"/>
  <c r="AL8" i="19"/>
  <c r="AL42" i="19"/>
  <c r="AN42" i="19" s="1"/>
  <c r="AL36" i="19"/>
  <c r="AN36" i="19" s="1"/>
  <c r="AL31" i="19"/>
  <c r="AN31" i="19" s="1"/>
  <c r="AL27" i="19"/>
  <c r="AN27" i="19" s="1"/>
  <c r="AL22" i="19"/>
  <c r="AN22" i="19" s="1"/>
  <c r="AL34" i="19"/>
  <c r="AN34" i="19" s="1"/>
  <c r="AL20" i="19"/>
  <c r="AN20" i="19" s="1"/>
  <c r="AL28" i="19"/>
  <c r="AN28" i="19" s="1"/>
  <c r="AL12" i="19"/>
  <c r="AN12" i="19" s="1"/>
  <c r="AL29" i="19"/>
  <c r="AN29" i="19" s="1"/>
  <c r="AL45" i="19"/>
  <c r="AL39" i="19"/>
  <c r="AN39" i="19" s="1"/>
  <c r="AL18" i="19"/>
  <c r="AN18" i="19" s="1"/>
  <c r="AL15" i="19"/>
  <c r="AL13" i="19"/>
  <c r="AN13" i="19" s="1"/>
  <c r="AL24" i="19"/>
  <c r="AN24" i="19" s="1"/>
  <c r="AL47" i="19"/>
  <c r="AL19" i="19"/>
  <c r="AN19" i="19" s="1"/>
  <c r="AL41" i="19"/>
  <c r="AN41" i="19" s="1"/>
  <c r="AL38" i="19"/>
  <c r="AN38" i="19" s="1"/>
  <c r="AL46" i="19"/>
  <c r="AL17" i="19"/>
  <c r="AN17" i="19" s="1"/>
  <c r="L64" i="21" l="1"/>
  <c r="O64" i="21" s="1"/>
  <c r="AH32" i="16"/>
  <c r="AH41" i="16" s="1"/>
  <c r="AH20" i="8"/>
  <c r="AI32" i="16" s="1"/>
  <c r="AI41" i="16" s="1"/>
  <c r="H131" i="21"/>
  <c r="I131" i="21"/>
  <c r="L131" i="21"/>
  <c r="M131" i="21" s="1"/>
  <c r="D28" i="4"/>
  <c r="E68" i="2"/>
  <c r="Y24" i="2" s="1"/>
  <c r="E72" i="2"/>
  <c r="I64" i="21"/>
  <c r="L115" i="21"/>
  <c r="M115" i="21" s="1"/>
  <c r="G115" i="21"/>
  <c r="I115" i="21" s="1"/>
  <c r="G66" i="21"/>
  <c r="H66" i="21" s="1"/>
  <c r="K64" i="21"/>
  <c r="J64" i="21"/>
  <c r="M5" i="6"/>
  <c r="S5" i="6" s="1"/>
  <c r="J69" i="2"/>
  <c r="L69" i="2" s="1"/>
  <c r="G69" i="2"/>
  <c r="AG41" i="16"/>
  <c r="F115" i="21"/>
  <c r="P64" i="2"/>
  <c r="J72" i="2"/>
  <c r="AA22" i="2"/>
  <c r="L65" i="2"/>
  <c r="D18" i="4"/>
  <c r="R43" i="18"/>
  <c r="S6" i="18"/>
  <c r="S43" i="18" s="1"/>
  <c r="D38" i="4"/>
  <c r="D19" i="4"/>
  <c r="T10" i="18"/>
  <c r="U10" i="18" s="1"/>
  <c r="U9" i="18" s="1"/>
  <c r="T46" i="18"/>
  <c r="U46" i="18" s="1"/>
  <c r="W40" i="16"/>
  <c r="W28" i="8"/>
  <c r="T80" i="18"/>
  <c r="U68" i="18"/>
  <c r="T81" i="18" s="1"/>
  <c r="U50" i="18"/>
  <c r="U57" i="18"/>
  <c r="U12" i="18" s="1"/>
  <c r="V1" i="18"/>
  <c r="U47" i="18"/>
  <c r="U49" i="18"/>
  <c r="U48" i="18"/>
  <c r="U56" i="18"/>
  <c r="T7" i="18"/>
  <c r="AC9" i="2"/>
  <c r="K9" i="2"/>
  <c r="C89" i="2" s="1"/>
  <c r="U25" i="8"/>
  <c r="U35" i="16"/>
  <c r="U41" i="16" s="1"/>
  <c r="N46" i="4"/>
  <c r="AK45" i="16"/>
  <c r="AJ48" i="16"/>
  <c r="D14" i="4"/>
  <c r="D10" i="4"/>
  <c r="D20" i="4"/>
  <c r="P75" i="2"/>
  <c r="Z23" i="2"/>
  <c r="G67" i="2"/>
  <c r="AA23" i="2" s="1"/>
  <c r="F68" i="2"/>
  <c r="K67" i="22" s="1"/>
  <c r="AA14" i="2"/>
  <c r="I23" i="2"/>
  <c r="J67" i="2"/>
  <c r="C93" i="2" s="1"/>
  <c r="AD14" i="2"/>
  <c r="D41" i="4"/>
  <c r="B44" i="4"/>
  <c r="D44" i="4" s="1"/>
  <c r="AC44" i="19"/>
  <c r="AE44" i="19" s="1"/>
  <c r="D23" i="4"/>
  <c r="D12" i="4"/>
  <c r="K12" i="4" s="1"/>
  <c r="D30" i="4"/>
  <c r="D26" i="4"/>
  <c r="D32" i="4"/>
  <c r="D34" i="4"/>
  <c r="CI6" i="19"/>
  <c r="CJ6" i="19" s="1"/>
  <c r="D15" i="4"/>
  <c r="Q97" i="19"/>
  <c r="N38" i="4"/>
  <c r="J38" i="4" s="1"/>
  <c r="CC40" i="19" s="1"/>
  <c r="CD40" i="19" s="1"/>
  <c r="H38" i="4"/>
  <c r="AN8" i="19"/>
  <c r="AL7" i="19"/>
  <c r="D31" i="4"/>
  <c r="CI7" i="19"/>
  <c r="CJ7" i="19" s="1"/>
  <c r="N25" i="4"/>
  <c r="J25" i="4" s="1"/>
  <c r="CC34" i="19" s="1"/>
  <c r="CD34" i="19" s="1"/>
  <c r="H25" i="4"/>
  <c r="H50" i="4"/>
  <c r="J50" i="4" s="1"/>
  <c r="N50" i="4"/>
  <c r="H21" i="4"/>
  <c r="N21" i="4"/>
  <c r="J21" i="4" s="1"/>
  <c r="CC35" i="19" s="1"/>
  <c r="CD35" i="19" s="1"/>
  <c r="N12" i="4"/>
  <c r="J12" i="4" s="1"/>
  <c r="H27" i="4"/>
  <c r="N27" i="4"/>
  <c r="J27" i="4" s="1"/>
  <c r="CC33" i="19" s="1"/>
  <c r="CD33" i="19" s="1"/>
  <c r="N9" i="4"/>
  <c r="J9" i="4" s="1"/>
  <c r="CC9" i="19" s="1"/>
  <c r="CD9" i="19" s="1"/>
  <c r="H9" i="4"/>
  <c r="AC7" i="28"/>
  <c r="AC11" i="28" s="1"/>
  <c r="AF86" i="19"/>
  <c r="AH15" i="19"/>
  <c r="N26" i="4"/>
  <c r="J26" i="4" s="1"/>
  <c r="CC27" i="19" s="1"/>
  <c r="CD27" i="19" s="1"/>
  <c r="H26" i="4"/>
  <c r="D11" i="4"/>
  <c r="CI8" i="19"/>
  <c r="CJ8" i="19" s="1"/>
  <c r="K372" i="17"/>
  <c r="L372" i="17"/>
  <c r="Q372" i="17" s="1"/>
  <c r="J372" i="17"/>
  <c r="D8" i="4"/>
  <c r="B7" i="4"/>
  <c r="D22" i="4"/>
  <c r="H31" i="4"/>
  <c r="N31" i="4"/>
  <c r="J31" i="4" s="1"/>
  <c r="CC30" i="19" s="1"/>
  <c r="CD30" i="19" s="1"/>
  <c r="D29" i="4"/>
  <c r="AE8" i="19"/>
  <c r="AC7" i="19"/>
  <c r="AI7" i="28"/>
  <c r="AI11" i="28" s="1"/>
  <c r="AN15" i="19"/>
  <c r="AK7" i="28" s="1"/>
  <c r="Z7" i="28"/>
  <c r="Z11" i="28" s="1"/>
  <c r="AE15" i="19"/>
  <c r="AB7" i="28" s="1"/>
  <c r="AF10" i="19"/>
  <c r="AH10" i="19" s="1"/>
  <c r="AH9" i="19"/>
  <c r="N19" i="4"/>
  <c r="J19" i="4" s="1"/>
  <c r="CC26" i="19" s="1"/>
  <c r="CD26" i="19" s="1"/>
  <c r="I19" i="4"/>
  <c r="D40" i="4"/>
  <c r="H22" i="4"/>
  <c r="N22" i="4"/>
  <c r="J22" i="4" s="1"/>
  <c r="CC16" i="19" s="1"/>
  <c r="CD16" i="19" s="1"/>
  <c r="C7" i="4"/>
  <c r="C6" i="4" s="1"/>
  <c r="C5" i="4" s="1"/>
  <c r="D42" i="4"/>
  <c r="D21" i="4"/>
  <c r="K373" i="17"/>
  <c r="P373" i="17" s="1"/>
  <c r="J373" i="17"/>
  <c r="L373" i="17"/>
  <c r="Q373" i="17" s="1"/>
  <c r="D16" i="4"/>
  <c r="H36" i="4"/>
  <c r="N36" i="4"/>
  <c r="J36" i="4" s="1"/>
  <c r="CC17" i="19" s="1"/>
  <c r="CD17" i="19" s="1"/>
  <c r="F370" i="17"/>
  <c r="N372" i="17"/>
  <c r="N28" i="4"/>
  <c r="J28" i="4" s="1"/>
  <c r="CC21" i="19" s="1"/>
  <c r="CD21" i="19" s="1"/>
  <c r="H28" i="4"/>
  <c r="D35" i="4"/>
  <c r="H23" i="4"/>
  <c r="N23" i="4"/>
  <c r="J23" i="4" s="1"/>
  <c r="CC28" i="19" s="1"/>
  <c r="CD28" i="19" s="1"/>
  <c r="H18" i="4"/>
  <c r="N18" i="4"/>
  <c r="J18" i="4" s="1"/>
  <c r="CC25" i="19" s="1"/>
  <c r="CD25" i="19" s="1"/>
  <c r="AE9" i="19"/>
  <c r="AC10" i="19"/>
  <c r="AE10" i="19" s="1"/>
  <c r="AF7" i="19"/>
  <c r="AH8" i="19"/>
  <c r="H14" i="4"/>
  <c r="N14" i="4"/>
  <c r="J14" i="4" s="1"/>
  <c r="CC13" i="19" s="1"/>
  <c r="CD13" i="19" s="1"/>
  <c r="D9" i="4"/>
  <c r="H34" i="4"/>
  <c r="N34" i="4"/>
  <c r="J34" i="4" s="1"/>
  <c r="CC19" i="19" s="1"/>
  <c r="CD19" i="19" s="1"/>
  <c r="CI9" i="19"/>
  <c r="CF12" i="19"/>
  <c r="L44" i="4"/>
  <c r="H44" i="4" s="1"/>
  <c r="J44" i="4" s="1"/>
  <c r="N45" i="4"/>
  <c r="D25" i="4"/>
  <c r="N13" i="4"/>
  <c r="J13" i="4" s="1"/>
  <c r="CC12" i="19" s="1"/>
  <c r="CD12" i="19" s="1"/>
  <c r="H13" i="4"/>
  <c r="H33" i="4"/>
  <c r="N33" i="4"/>
  <c r="J33" i="4" s="1"/>
  <c r="CC18" i="19" s="1"/>
  <c r="CD18" i="19" s="1"/>
  <c r="H30" i="4"/>
  <c r="N30" i="4"/>
  <c r="J30" i="4" s="1"/>
  <c r="CC22" i="19" s="1"/>
  <c r="CD22" i="19" s="1"/>
  <c r="CM8" i="19"/>
  <c r="CL8" i="19" s="1"/>
  <c r="CP8" i="19"/>
  <c r="CO8" i="19" s="1"/>
  <c r="E40" i="20"/>
  <c r="F40" i="20" s="1"/>
  <c r="G40" i="20" s="1"/>
  <c r="CM6" i="19"/>
  <c r="CL6" i="19" s="1"/>
  <c r="CF13" i="19" s="1"/>
  <c r="CP6" i="19"/>
  <c r="CO6" i="19" s="1"/>
  <c r="N11" i="4"/>
  <c r="J11" i="4" s="1"/>
  <c r="CC11" i="19" s="1"/>
  <c r="CD11" i="19" s="1"/>
  <c r="H11" i="4"/>
  <c r="N35" i="4"/>
  <c r="J35" i="4" s="1"/>
  <c r="CC36" i="19" s="1"/>
  <c r="CD36" i="19" s="1"/>
  <c r="H35" i="4"/>
  <c r="C51" i="20"/>
  <c r="N16" i="4"/>
  <c r="J16" i="4" s="1"/>
  <c r="CC23" i="19" s="1"/>
  <c r="CD23" i="19" s="1"/>
  <c r="H16" i="4"/>
  <c r="E52" i="20"/>
  <c r="F52" i="20" s="1"/>
  <c r="G52" i="20" s="1"/>
  <c r="N49" i="4"/>
  <c r="D13" i="4"/>
  <c r="N15" i="4"/>
  <c r="J15" i="4" s="1"/>
  <c r="CC14" i="19" s="1"/>
  <c r="CD14" i="19" s="1"/>
  <c r="H15" i="4"/>
  <c r="N40" i="4"/>
  <c r="J40" i="4" s="1"/>
  <c r="CC42" i="19" s="1"/>
  <c r="CD42" i="19" s="1"/>
  <c r="H40" i="4"/>
  <c r="D24" i="4"/>
  <c r="N32" i="4"/>
  <c r="J32" i="4" s="1"/>
  <c r="CC29" i="19" s="1"/>
  <c r="CD29" i="19" s="1"/>
  <c r="H32" i="4"/>
  <c r="CM7" i="19"/>
  <c r="CL7" i="19" s="1"/>
  <c r="CP7" i="19"/>
  <c r="CO7" i="19" s="1"/>
  <c r="S5" i="28"/>
  <c r="V43" i="19"/>
  <c r="AI44" i="19"/>
  <c r="AK44" i="19" s="1"/>
  <c r="AL44" i="19"/>
  <c r="AN44" i="19" s="1"/>
  <c r="CI44" i="19" s="1"/>
  <c r="AK15" i="19"/>
  <c r="AF7" i="28"/>
  <c r="AF11" i="28" s="1"/>
  <c r="AI10" i="19"/>
  <c r="AK10" i="19" s="1"/>
  <c r="AK9" i="19"/>
  <c r="AF44" i="19"/>
  <c r="AH44" i="19" s="1"/>
  <c r="N41" i="4"/>
  <c r="J41" i="4" s="1"/>
  <c r="CC38" i="19" s="1"/>
  <c r="CD38" i="19" s="1"/>
  <c r="H41" i="4"/>
  <c r="M44" i="4"/>
  <c r="N20" i="4"/>
  <c r="J20" i="4" s="1"/>
  <c r="CC31" i="19" s="1"/>
  <c r="CD31" i="19" s="1"/>
  <c r="H20" i="4"/>
  <c r="H29" i="4"/>
  <c r="N29" i="4"/>
  <c r="J29" i="4" s="1"/>
  <c r="CC20" i="19" s="1"/>
  <c r="CD20" i="19" s="1"/>
  <c r="CM9" i="19"/>
  <c r="CL9" i="19" s="1"/>
  <c r="CJ9" i="19"/>
  <c r="CP9" i="19"/>
  <c r="CO9" i="19" s="1"/>
  <c r="I370" i="17"/>
  <c r="J371" i="17"/>
  <c r="K371" i="17"/>
  <c r="P371" i="17" s="1"/>
  <c r="L371" i="17"/>
  <c r="Q371" i="17" s="1"/>
  <c r="D37" i="4"/>
  <c r="N10" i="4"/>
  <c r="J10" i="4" s="1"/>
  <c r="CC10" i="19" s="1"/>
  <c r="CD10" i="19" s="1"/>
  <c r="H10" i="4"/>
  <c r="E370" i="17"/>
  <c r="D27" i="4"/>
  <c r="D17" i="4"/>
  <c r="E50" i="20"/>
  <c r="D41" i="20"/>
  <c r="D51" i="20" s="1"/>
  <c r="I8" i="4"/>
  <c r="M7" i="4"/>
  <c r="W43" i="19"/>
  <c r="T5" i="28"/>
  <c r="Y6" i="19"/>
  <c r="W5" i="19"/>
  <c r="Y5" i="19" s="1"/>
  <c r="AK8" i="19"/>
  <c r="AI7" i="19"/>
  <c r="N8" i="4"/>
  <c r="L7" i="4"/>
  <c r="H39" i="4"/>
  <c r="N39" i="4"/>
  <c r="J39" i="4" s="1"/>
  <c r="CC41" i="19" s="1"/>
  <c r="CD41" i="19" s="1"/>
  <c r="AN9" i="19"/>
  <c r="AL10" i="19"/>
  <c r="AN10" i="19" s="1"/>
  <c r="AB7" i="19"/>
  <c r="Y6" i="28" s="1"/>
  <c r="Z6" i="19"/>
  <c r="W6" i="28"/>
  <c r="N42" i="4"/>
  <c r="J42" i="4" s="1"/>
  <c r="CC39" i="19" s="1"/>
  <c r="CD39" i="19" s="1"/>
  <c r="H42" i="4"/>
  <c r="N17" i="4"/>
  <c r="J17" i="4" s="1"/>
  <c r="CC24" i="19" s="1"/>
  <c r="CD24" i="19" s="1"/>
  <c r="H17" i="4"/>
  <c r="N47" i="4"/>
  <c r="H370" i="17"/>
  <c r="N24" i="4"/>
  <c r="J24" i="4" s="1"/>
  <c r="CC32" i="19" s="1"/>
  <c r="CD32" i="19" s="1"/>
  <c r="H24" i="4"/>
  <c r="D36" i="4"/>
  <c r="D33" i="4"/>
  <c r="H37" i="4"/>
  <c r="N37" i="4"/>
  <c r="J37" i="4" s="1"/>
  <c r="CC37" i="19" s="1"/>
  <c r="CD37" i="19" s="1"/>
  <c r="D39" i="4"/>
  <c r="M64" i="21" l="1"/>
  <c r="AD64" i="21"/>
  <c r="G124" i="21"/>
  <c r="I124" i="21" s="1"/>
  <c r="N64" i="21"/>
  <c r="L66" i="21"/>
  <c r="O66" i="21" s="1"/>
  <c r="H115" i="21"/>
  <c r="CF16" i="19"/>
  <c r="CF23" i="19"/>
  <c r="I66" i="21"/>
  <c r="J66" i="21"/>
  <c r="E8" i="5"/>
  <c r="E7" i="5" s="1"/>
  <c r="E8" i="4"/>
  <c r="H8" i="4" s="1"/>
  <c r="O5" i="6"/>
  <c r="M44" i="6"/>
  <c r="F71" i="2" s="1"/>
  <c r="F72" i="2" s="1"/>
  <c r="Q5" i="6"/>
  <c r="F124" i="21"/>
  <c r="L124" i="21"/>
  <c r="M124" i="21" s="1"/>
  <c r="T6" i="18"/>
  <c r="T5" i="18" s="1"/>
  <c r="S5" i="18"/>
  <c r="P372" i="17"/>
  <c r="X40" i="16"/>
  <c r="X28" i="8"/>
  <c r="V17" i="18"/>
  <c r="W17" i="18" s="1"/>
  <c r="V39" i="18"/>
  <c r="W39" i="18" s="1"/>
  <c r="V32" i="18"/>
  <c r="W32" i="18" s="1"/>
  <c r="V35" i="18"/>
  <c r="W35" i="18" s="1"/>
  <c r="V25" i="18"/>
  <c r="W25" i="18" s="1"/>
  <c r="V18" i="18"/>
  <c r="W18" i="18" s="1"/>
  <c r="V34" i="18"/>
  <c r="W34" i="18" s="1"/>
  <c r="V33" i="18"/>
  <c r="W33" i="18" s="1"/>
  <c r="V28" i="18"/>
  <c r="W28" i="18" s="1"/>
  <c r="V16" i="18"/>
  <c r="W16" i="18" s="1"/>
  <c r="V14" i="18"/>
  <c r="W14" i="18" s="1"/>
  <c r="V26" i="18"/>
  <c r="W26" i="18" s="1"/>
  <c r="W1" i="18"/>
  <c r="V50" i="18"/>
  <c r="V36" i="18"/>
  <c r="W36" i="18" s="1"/>
  <c r="V23" i="18"/>
  <c r="W23" i="18" s="1"/>
  <c r="V42" i="18"/>
  <c r="W42" i="18" s="1"/>
  <c r="V47" i="18"/>
  <c r="V48" i="18"/>
  <c r="V30" i="18"/>
  <c r="W30" i="18" s="1"/>
  <c r="V20" i="18"/>
  <c r="W20" i="18" s="1"/>
  <c r="V38" i="18"/>
  <c r="W38" i="18" s="1"/>
  <c r="V11" i="18"/>
  <c r="W11" i="18" s="1"/>
  <c r="V41" i="18"/>
  <c r="W41" i="18" s="1"/>
  <c r="V19" i="18"/>
  <c r="W19" i="18" s="1"/>
  <c r="V15" i="18"/>
  <c r="W15" i="18" s="1"/>
  <c r="V8" i="18"/>
  <c r="V44" i="18"/>
  <c r="W44" i="18" s="1"/>
  <c r="V24" i="18"/>
  <c r="W24" i="18" s="1"/>
  <c r="V45" i="18"/>
  <c r="W45" i="18" s="1"/>
  <c r="V49" i="18"/>
  <c r="V13" i="18"/>
  <c r="V12" i="18"/>
  <c r="V37" i="18"/>
  <c r="W37" i="18" s="1"/>
  <c r="V40" i="18"/>
  <c r="W40" i="18" s="1"/>
  <c r="V31" i="18"/>
  <c r="W31" i="18" s="1"/>
  <c r="V27" i="18"/>
  <c r="W27" i="18" s="1"/>
  <c r="V22" i="18"/>
  <c r="W22" i="18" s="1"/>
  <c r="V29" i="18"/>
  <c r="W29" i="18" s="1"/>
  <c r="V9" i="18"/>
  <c r="V21" i="18"/>
  <c r="W21" i="18" s="1"/>
  <c r="U13" i="18"/>
  <c r="U55" i="18"/>
  <c r="U8" i="18" s="1"/>
  <c r="U7" i="18" s="1"/>
  <c r="P12" i="4"/>
  <c r="K23" i="2"/>
  <c r="C97" i="2" s="1"/>
  <c r="AD23" i="2"/>
  <c r="AL45" i="16"/>
  <c r="AK48" i="16"/>
  <c r="V35" i="16"/>
  <c r="V41" i="16" s="1"/>
  <c r="V25" i="8"/>
  <c r="L67" i="2"/>
  <c r="F86" i="4"/>
  <c r="D115" i="4" s="1"/>
  <c r="K114" i="4" s="1"/>
  <c r="B6" i="4"/>
  <c r="B5" i="4" s="1"/>
  <c r="P66" i="2"/>
  <c r="I67" i="2"/>
  <c r="K67" i="2" s="1"/>
  <c r="C87" i="2" s="1"/>
  <c r="C99" i="2" s="1"/>
  <c r="AC14" i="2"/>
  <c r="U5" i="6"/>
  <c r="W5" i="6"/>
  <c r="S44" i="6"/>
  <c r="G68" i="2"/>
  <c r="AA24" i="2" s="1"/>
  <c r="Z24" i="2"/>
  <c r="J68" i="2"/>
  <c r="CF14" i="19"/>
  <c r="AL11" i="28"/>
  <c r="D7" i="4"/>
  <c r="CF15" i="19"/>
  <c r="AK7" i="19"/>
  <c r="AH6" i="28" s="1"/>
  <c r="AI6" i="19"/>
  <c r="AF6" i="28"/>
  <c r="L6" i="4"/>
  <c r="AE7" i="19"/>
  <c r="AB6" i="28" s="1"/>
  <c r="AC6" i="19"/>
  <c r="Z6" i="28"/>
  <c r="E41" i="20"/>
  <c r="N370" i="17"/>
  <c r="R370" i="17" s="1"/>
  <c r="AN7" i="19"/>
  <c r="AK6" i="28" s="1"/>
  <c r="AI6" i="28"/>
  <c r="AL6" i="19"/>
  <c r="CC15" i="19"/>
  <c r="CD15" i="19" s="1"/>
  <c r="J54" i="4"/>
  <c r="G86" i="4"/>
  <c r="Z43" i="19"/>
  <c r="W5" i="28"/>
  <c r="AB6" i="19"/>
  <c r="Z5" i="19"/>
  <c r="AB5" i="19" s="1"/>
  <c r="F192" i="1" s="1"/>
  <c r="E51" i="20"/>
  <c r="F51" i="20" s="1"/>
  <c r="G51" i="20" s="1"/>
  <c r="AH7" i="28"/>
  <c r="AF94" i="19"/>
  <c r="I7" i="4"/>
  <c r="M6" i="4"/>
  <c r="AF6" i="19"/>
  <c r="AF85" i="19"/>
  <c r="AF91" i="19" s="1"/>
  <c r="AH7" i="19"/>
  <c r="AC6" i="28"/>
  <c r="AE7" i="28"/>
  <c r="AH79" i="19"/>
  <c r="AG85" i="19" s="1"/>
  <c r="Y43" i="19"/>
  <c r="V5" i="28"/>
  <c r="K370" i="17"/>
  <c r="L370" i="17"/>
  <c r="Q370" i="17" s="1"/>
  <c r="J370" i="17"/>
  <c r="I393" i="17" s="1"/>
  <c r="N7" i="4"/>
  <c r="N44" i="4"/>
  <c r="H124" i="21" l="1"/>
  <c r="M66" i="21"/>
  <c r="AD66" i="21"/>
  <c r="W3" i="2"/>
  <c r="P370" i="17"/>
  <c r="E192" i="1"/>
  <c r="F8" i="5"/>
  <c r="BI8" i="18" s="1"/>
  <c r="BN8" i="18"/>
  <c r="I8" i="5"/>
  <c r="G8" i="5"/>
  <c r="R8" i="5" s="1"/>
  <c r="Q44" i="6"/>
  <c r="K8" i="4"/>
  <c r="O44" i="6"/>
  <c r="E7" i="4"/>
  <c r="H7" i="4" s="1"/>
  <c r="G8" i="4"/>
  <c r="G7" i="4" s="1"/>
  <c r="H90" i="4" s="1"/>
  <c r="V10" i="18"/>
  <c r="W10" i="18" s="1"/>
  <c r="W9" i="18" s="1"/>
  <c r="T43" i="18"/>
  <c r="Y28" i="8"/>
  <c r="Y40" i="16"/>
  <c r="AD24" i="2"/>
  <c r="D29" i="1"/>
  <c r="U6" i="18"/>
  <c r="W56" i="18"/>
  <c r="W47" i="18"/>
  <c r="W57" i="18"/>
  <c r="W12" i="18" s="1"/>
  <c r="W50" i="18"/>
  <c r="W48" i="18"/>
  <c r="X1" i="18"/>
  <c r="W49" i="18"/>
  <c r="V7" i="18"/>
  <c r="W68" i="18"/>
  <c r="V81" i="18" s="1"/>
  <c r="V80" i="18"/>
  <c r="V46" i="18"/>
  <c r="W46" i="18" s="1"/>
  <c r="W35" i="16"/>
  <c r="W41" i="16" s="1"/>
  <c r="W25" i="8"/>
  <c r="AM45" i="16"/>
  <c r="AM48" i="16" s="1"/>
  <c r="AL48" i="16"/>
  <c r="L68" i="2"/>
  <c r="B43" i="4"/>
  <c r="D6" i="4"/>
  <c r="D43" i="4" s="1"/>
  <c r="P67" i="2"/>
  <c r="U44" i="6"/>
  <c r="W44" i="6"/>
  <c r="E6" i="5"/>
  <c r="I7" i="5"/>
  <c r="BN7" i="18"/>
  <c r="G7" i="5"/>
  <c r="R7" i="5" s="1"/>
  <c r="I68" i="2"/>
  <c r="AC23" i="2"/>
  <c r="Z5" i="28"/>
  <c r="AE6" i="19"/>
  <c r="AC43" i="19"/>
  <c r="AC5" i="19"/>
  <c r="AE5" i="19" s="1"/>
  <c r="AC5" i="28"/>
  <c r="AH6" i="19"/>
  <c r="AF5" i="19"/>
  <c r="AH5" i="19" s="1"/>
  <c r="AF43" i="19"/>
  <c r="Y5" i="28"/>
  <c r="AB43" i="19"/>
  <c r="AL43" i="19"/>
  <c r="AN6" i="19"/>
  <c r="AI5" i="28"/>
  <c r="AL5" i="19"/>
  <c r="AN5" i="19" s="1"/>
  <c r="I6" i="4"/>
  <c r="M43" i="4"/>
  <c r="L43" i="4"/>
  <c r="I394" i="17"/>
  <c r="N6" i="4"/>
  <c r="AE6" i="28"/>
  <c r="AG87" i="19"/>
  <c r="F88" i="4"/>
  <c r="H88" i="4" s="1"/>
  <c r="AI43" i="19"/>
  <c r="AF5" i="28"/>
  <c r="AK6" i="19"/>
  <c r="AI5" i="19"/>
  <c r="AK5" i="19" s="1"/>
  <c r="K54" i="4"/>
  <c r="I54" i="4"/>
  <c r="E59" i="4" s="1"/>
  <c r="F41" i="20"/>
  <c r="G41" i="20" s="1"/>
  <c r="C69" i="20"/>
  <c r="J8" i="4" l="1"/>
  <c r="CC8" i="19" s="1"/>
  <c r="CD8" i="19" s="1"/>
  <c r="G6" i="4"/>
  <c r="G93" i="4" s="1"/>
  <c r="G95" i="4" s="1"/>
  <c r="H95" i="4" s="1"/>
  <c r="F7" i="5"/>
  <c r="F6" i="5" s="1"/>
  <c r="E89" i="4"/>
  <c r="F89" i="4" s="1"/>
  <c r="J7" i="4"/>
  <c r="CC7" i="19" s="1"/>
  <c r="CD7" i="19" s="1"/>
  <c r="G55" i="4"/>
  <c r="F55" i="4" s="1"/>
  <c r="E6" i="4"/>
  <c r="H6" i="4" s="1"/>
  <c r="H43" i="4" s="1"/>
  <c r="D108" i="4"/>
  <c r="K7" i="4"/>
  <c r="Z40" i="16"/>
  <c r="Z28" i="8"/>
  <c r="AA40" i="16" s="1"/>
  <c r="X41" i="18"/>
  <c r="Y41" i="18" s="1"/>
  <c r="X30" i="18"/>
  <c r="Y30" i="18" s="1"/>
  <c r="X32" i="18"/>
  <c r="Y32" i="18" s="1"/>
  <c r="X48" i="18"/>
  <c r="X44" i="18"/>
  <c r="Y44" i="18" s="1"/>
  <c r="X40" i="18"/>
  <c r="Y40" i="18" s="1"/>
  <c r="X17" i="18"/>
  <c r="Y17" i="18" s="1"/>
  <c r="X22" i="18"/>
  <c r="Y22" i="18" s="1"/>
  <c r="X18" i="18"/>
  <c r="Y18" i="18" s="1"/>
  <c r="X26" i="18"/>
  <c r="Y26" i="18" s="1"/>
  <c r="X35" i="18"/>
  <c r="Y35" i="18" s="1"/>
  <c r="X20" i="18"/>
  <c r="Y20" i="18" s="1"/>
  <c r="X49" i="18"/>
  <c r="X33" i="18"/>
  <c r="Y33" i="18" s="1"/>
  <c r="X28" i="18"/>
  <c r="Y28" i="18" s="1"/>
  <c r="X15" i="18"/>
  <c r="Y15" i="18" s="1"/>
  <c r="X27" i="18"/>
  <c r="Y27" i="18" s="1"/>
  <c r="X24" i="18"/>
  <c r="Y24" i="18" s="1"/>
  <c r="Y1" i="18"/>
  <c r="X34" i="18"/>
  <c r="Y34" i="18" s="1"/>
  <c r="X13" i="18"/>
  <c r="X16" i="18"/>
  <c r="Y16" i="18" s="1"/>
  <c r="X37" i="18"/>
  <c r="Y37" i="18" s="1"/>
  <c r="X8" i="18"/>
  <c r="X21" i="18"/>
  <c r="Y21" i="18" s="1"/>
  <c r="X19" i="18"/>
  <c r="Y19" i="18" s="1"/>
  <c r="X36" i="18"/>
  <c r="Y36" i="18" s="1"/>
  <c r="X12" i="18"/>
  <c r="X47" i="18"/>
  <c r="X23" i="18"/>
  <c r="Y23" i="18" s="1"/>
  <c r="X39" i="18"/>
  <c r="Y39" i="18" s="1"/>
  <c r="X11" i="18"/>
  <c r="Y11" i="18" s="1"/>
  <c r="X38" i="18"/>
  <c r="Y38" i="18" s="1"/>
  <c r="X42" i="18"/>
  <c r="Y42" i="18" s="1"/>
  <c r="X50" i="18"/>
  <c r="X25" i="18"/>
  <c r="Y25" i="18" s="1"/>
  <c r="X14" i="18"/>
  <c r="Y14" i="18" s="1"/>
  <c r="X9" i="18"/>
  <c r="X45" i="18"/>
  <c r="Y45" i="18" s="1"/>
  <c r="X31" i="18"/>
  <c r="Y31" i="18" s="1"/>
  <c r="X29" i="18"/>
  <c r="Y29" i="18" s="1"/>
  <c r="W13" i="18"/>
  <c r="W55" i="18"/>
  <c r="W8" i="18" s="1"/>
  <c r="W7" i="18" s="1"/>
  <c r="V6" i="18"/>
  <c r="U5" i="18"/>
  <c r="U43" i="18"/>
  <c r="X25" i="8"/>
  <c r="X35" i="16"/>
  <c r="X41" i="16" s="1"/>
  <c r="D5" i="4"/>
  <c r="H192" i="1" s="1"/>
  <c r="R4" i="5"/>
  <c r="R6" i="5" s="1"/>
  <c r="E55" i="5"/>
  <c r="I6" i="5"/>
  <c r="I5" i="5" s="1"/>
  <c r="E43" i="5"/>
  <c r="E5" i="5"/>
  <c r="I190" i="1" s="1"/>
  <c r="G6" i="5"/>
  <c r="BN6" i="18"/>
  <c r="D16" i="1"/>
  <c r="G16" i="1" s="1"/>
  <c r="BJ98" i="18"/>
  <c r="BJ8" i="18"/>
  <c r="BK98" i="18" s="1"/>
  <c r="AC24" i="2"/>
  <c r="I69" i="2"/>
  <c r="D116" i="4"/>
  <c r="K115" i="4" s="1"/>
  <c r="N43" i="4"/>
  <c r="D111" i="4"/>
  <c r="D106" i="4"/>
  <c r="I5" i="4"/>
  <c r="I43" i="4"/>
  <c r="AE43" i="19"/>
  <c r="AB5" i="28"/>
  <c r="AK43" i="19"/>
  <c r="AH5" i="28"/>
  <c r="AK5" i="28"/>
  <c r="AN43" i="19"/>
  <c r="B69" i="20"/>
  <c r="E69" i="20" s="1"/>
  <c r="G45" i="20" s="1"/>
  <c r="C73" i="20"/>
  <c r="AH43" i="19"/>
  <c r="AE5" i="28"/>
  <c r="G90" i="4" l="1"/>
  <c r="F91" i="4" s="1"/>
  <c r="D110" i="4" s="1"/>
  <c r="J55" i="4"/>
  <c r="I55" i="4" s="1"/>
  <c r="E58" i="4" s="1"/>
  <c r="G94" i="4"/>
  <c r="D104" i="4" s="1"/>
  <c r="G43" i="4"/>
  <c r="BI7" i="18"/>
  <c r="BJ7" i="18" s="1"/>
  <c r="G53" i="4"/>
  <c r="F53" i="4" s="1"/>
  <c r="J6" i="4"/>
  <c r="J53" i="4" s="1"/>
  <c r="G5" i="4"/>
  <c r="I192" i="1" s="1"/>
  <c r="D109" i="4"/>
  <c r="H5" i="4"/>
  <c r="H2" i="4" s="1"/>
  <c r="E93" i="4"/>
  <c r="E5" i="4"/>
  <c r="K5" i="4" s="1"/>
  <c r="D103" i="4"/>
  <c r="K6" i="4"/>
  <c r="E43" i="4"/>
  <c r="X46" i="18"/>
  <c r="Y46" i="18" s="1"/>
  <c r="X7" i="18"/>
  <c r="Y68" i="18"/>
  <c r="X81" i="18" s="1"/>
  <c r="X80" i="18"/>
  <c r="X10" i="18"/>
  <c r="Y10" i="18" s="1"/>
  <c r="Y9" i="18" s="1"/>
  <c r="V43" i="18"/>
  <c r="V5" i="18"/>
  <c r="W6" i="18"/>
  <c r="Y48" i="18"/>
  <c r="Y49" i="18"/>
  <c r="Y56" i="18"/>
  <c r="Y57" i="18"/>
  <c r="Y12" i="18" s="1"/>
  <c r="Y50" i="18"/>
  <c r="Z1" i="18"/>
  <c r="Y47" i="18"/>
  <c r="Y35" i="16"/>
  <c r="Y41" i="16" s="1"/>
  <c r="Y25" i="8"/>
  <c r="G43" i="5"/>
  <c r="I43" i="5"/>
  <c r="H72" i="5"/>
  <c r="G5" i="5"/>
  <c r="G55" i="5"/>
  <c r="BI6" i="18"/>
  <c r="F55" i="5"/>
  <c r="F5" i="5"/>
  <c r="I191" i="1" s="1"/>
  <c r="L191" i="1" s="1"/>
  <c r="F43" i="5"/>
  <c r="BI43" i="18" s="1"/>
  <c r="BJ43" i="18" s="1"/>
  <c r="L190" i="1"/>
  <c r="J190" i="1"/>
  <c r="U190" i="1" s="1"/>
  <c r="K190" i="1"/>
  <c r="V190" i="1" s="1"/>
  <c r="F90" i="4" l="1"/>
  <c r="K55" i="4"/>
  <c r="G56" i="4"/>
  <c r="F56" i="4" s="1"/>
  <c r="J93" i="4"/>
  <c r="G96" i="4"/>
  <c r="H96" i="4" s="1"/>
  <c r="J5" i="4"/>
  <c r="J56" i="4" s="1"/>
  <c r="J43" i="4"/>
  <c r="CC43" i="19" s="1"/>
  <c r="CD43" i="19" s="1"/>
  <c r="K108" i="4"/>
  <c r="X6" i="18"/>
  <c r="W43" i="18"/>
  <c r="W5" i="18"/>
  <c r="Z42" i="18"/>
  <c r="Z33" i="18"/>
  <c r="Z35" i="18"/>
  <c r="AA1" i="18"/>
  <c r="Z16" i="18"/>
  <c r="Z41" i="18"/>
  <c r="Z25" i="18"/>
  <c r="Z20" i="18"/>
  <c r="Z49" i="18"/>
  <c r="Z31" i="18"/>
  <c r="Z13" i="18"/>
  <c r="BM13" i="18" s="1"/>
  <c r="BO13" i="18" s="1"/>
  <c r="Z32" i="18"/>
  <c r="Z38" i="18"/>
  <c r="Z14" i="18"/>
  <c r="Z44" i="18"/>
  <c r="AA44" i="18" s="1"/>
  <c r="Z19" i="18"/>
  <c r="Z26" i="18"/>
  <c r="Z21" i="18"/>
  <c r="Z50" i="18"/>
  <c r="Z8" i="18"/>
  <c r="Z39" i="18"/>
  <c r="Z22" i="18"/>
  <c r="Z9" i="18"/>
  <c r="Z29" i="18"/>
  <c r="Z36" i="18"/>
  <c r="Z45" i="18"/>
  <c r="AA45" i="18" s="1"/>
  <c r="Z12" i="18"/>
  <c r="BM12" i="18" s="1"/>
  <c r="BO12" i="18" s="1"/>
  <c r="Z28" i="18"/>
  <c r="Z15" i="18"/>
  <c r="Z37" i="18"/>
  <c r="Z23" i="18"/>
  <c r="Z18" i="18"/>
  <c r="Z17" i="18"/>
  <c r="Z47" i="18"/>
  <c r="Z30" i="18"/>
  <c r="Z40" i="18"/>
  <c r="Z34" i="18"/>
  <c r="Z11" i="18"/>
  <c r="AA11" i="18" s="1"/>
  <c r="BK11" i="18" s="1"/>
  <c r="Z48" i="18"/>
  <c r="Z27" i="18"/>
  <c r="Z24" i="18"/>
  <c r="Y55" i="18"/>
  <c r="Y8" i="18" s="1"/>
  <c r="Y7" i="18" s="1"/>
  <c r="Y13" i="18"/>
  <c r="Z25" i="8"/>
  <c r="AA35" i="16" s="1"/>
  <c r="AA41" i="16" s="1"/>
  <c r="Z35" i="16"/>
  <c r="Z41" i="16" s="1"/>
  <c r="BJ6" i="18"/>
  <c r="BJ92" i="18"/>
  <c r="L192" i="1"/>
  <c r="K192" i="1"/>
  <c r="V192" i="1" s="1"/>
  <c r="J192" i="1"/>
  <c r="U192" i="1" s="1"/>
  <c r="K53" i="4"/>
  <c r="I53" i="4"/>
  <c r="M192" i="1" l="1"/>
  <c r="O192" i="1" s="1"/>
  <c r="D105" i="4"/>
  <c r="K103" i="4" s="1"/>
  <c r="E57" i="4"/>
  <c r="X5" i="18"/>
  <c r="X43" i="18"/>
  <c r="AA37" i="18"/>
  <c r="BK37" i="18" s="1"/>
  <c r="BM37" i="18"/>
  <c r="BO37" i="18" s="1"/>
  <c r="AA22" i="18"/>
  <c r="BK22" i="18" s="1"/>
  <c r="BM22" i="18"/>
  <c r="BO22" i="18" s="1"/>
  <c r="AA14" i="18"/>
  <c r="BK14" i="18" s="1"/>
  <c r="BM14" i="18"/>
  <c r="BO14" i="18" s="1"/>
  <c r="AA41" i="18"/>
  <c r="BK41" i="18" s="1"/>
  <c r="BM41" i="18"/>
  <c r="BO41" i="18" s="1"/>
  <c r="AA34" i="18"/>
  <c r="BK34" i="18" s="1"/>
  <c r="BM34" i="18"/>
  <c r="BO34" i="18" s="1"/>
  <c r="AA15" i="18"/>
  <c r="BM15" i="18"/>
  <c r="BO15" i="18" s="1"/>
  <c r="BM39" i="18"/>
  <c r="BO39" i="18" s="1"/>
  <c r="AA39" i="18"/>
  <c r="BK39" i="18" s="1"/>
  <c r="BM38" i="18"/>
  <c r="BO38" i="18" s="1"/>
  <c r="AA38" i="18"/>
  <c r="BK38" i="18" s="1"/>
  <c r="AA16" i="18"/>
  <c r="BK16" i="18" s="1"/>
  <c r="BM16" i="18"/>
  <c r="BO16" i="18" s="1"/>
  <c r="AA40" i="18"/>
  <c r="BK40" i="18" s="1"/>
  <c r="BM40" i="18"/>
  <c r="BO40" i="18" s="1"/>
  <c r="BM28" i="18"/>
  <c r="BO28" i="18" s="1"/>
  <c r="AA28" i="18"/>
  <c r="BK28" i="18" s="1"/>
  <c r="BM8" i="18"/>
  <c r="Z7" i="18"/>
  <c r="BM32" i="18"/>
  <c r="BO32" i="18" s="1"/>
  <c r="AA32" i="18"/>
  <c r="BK32" i="18" s="1"/>
  <c r="AA56" i="18"/>
  <c r="AA47" i="18"/>
  <c r="AA50" i="18"/>
  <c r="AA57" i="18"/>
  <c r="AA12" i="18" s="1"/>
  <c r="BK12" i="18" s="1"/>
  <c r="AA48" i="18"/>
  <c r="AB1" i="18"/>
  <c r="AA49" i="18"/>
  <c r="BM30" i="18"/>
  <c r="BO30" i="18" s="1"/>
  <c r="AA30" i="18"/>
  <c r="BK30" i="18" s="1"/>
  <c r="AA35" i="18"/>
  <c r="BK35" i="18" s="1"/>
  <c r="BM35" i="18"/>
  <c r="BO35" i="18" s="1"/>
  <c r="Y6" i="18"/>
  <c r="Z46" i="18"/>
  <c r="AA46" i="18" s="1"/>
  <c r="BM21" i="18"/>
  <c r="BO21" i="18" s="1"/>
  <c r="AA21" i="18"/>
  <c r="BK21" i="18" s="1"/>
  <c r="AA31" i="18"/>
  <c r="BK31" i="18" s="1"/>
  <c r="BM31" i="18"/>
  <c r="BO31" i="18" s="1"/>
  <c r="BM33" i="18"/>
  <c r="BO33" i="18" s="1"/>
  <c r="AA33" i="18"/>
  <c r="BK33" i="18" s="1"/>
  <c r="BM24" i="18"/>
  <c r="BO24" i="18" s="1"/>
  <c r="AA24" i="18"/>
  <c r="BK24" i="18" s="1"/>
  <c r="AA17" i="18"/>
  <c r="BK17" i="18" s="1"/>
  <c r="BM17" i="18"/>
  <c r="BO17" i="18" s="1"/>
  <c r="AA36" i="18"/>
  <c r="BK36" i="18" s="1"/>
  <c r="BM36" i="18"/>
  <c r="BO36" i="18" s="1"/>
  <c r="BM26" i="18"/>
  <c r="BO26" i="18" s="1"/>
  <c r="AA26" i="18"/>
  <c r="BK26" i="18" s="1"/>
  <c r="BM42" i="18"/>
  <c r="BO42" i="18" s="1"/>
  <c r="AA42" i="18"/>
  <c r="BK42" i="18" s="1"/>
  <c r="AA27" i="18"/>
  <c r="BK27" i="18" s="1"/>
  <c r="BM27" i="18"/>
  <c r="BO27" i="18" s="1"/>
  <c r="AA18" i="18"/>
  <c r="BK18" i="18" s="1"/>
  <c r="BM18" i="18"/>
  <c r="BO18" i="18" s="1"/>
  <c r="BM29" i="18"/>
  <c r="BO29" i="18" s="1"/>
  <c r="AA29" i="18"/>
  <c r="BK29" i="18" s="1"/>
  <c r="AA19" i="18"/>
  <c r="BK19" i="18" s="1"/>
  <c r="BM19" i="18"/>
  <c r="BO19" i="18" s="1"/>
  <c r="BM20" i="18"/>
  <c r="BO20" i="18" s="1"/>
  <c r="AA20" i="18"/>
  <c r="BK20" i="18" s="1"/>
  <c r="BM23" i="18"/>
  <c r="BO23" i="18" s="1"/>
  <c r="AA23" i="18"/>
  <c r="BK23" i="18" s="1"/>
  <c r="BM9" i="18"/>
  <c r="BO9" i="18" s="1"/>
  <c r="Z10" i="18"/>
  <c r="AA10" i="18" s="1"/>
  <c r="BM25" i="18"/>
  <c r="BO25" i="18" s="1"/>
  <c r="AA25" i="18"/>
  <c r="BK25" i="18" s="1"/>
  <c r="BJ4" i="18"/>
  <c r="BK92" i="18"/>
  <c r="BK97" i="18" s="1"/>
  <c r="K56" i="4"/>
  <c r="I56" i="4"/>
  <c r="N192" i="1" l="1"/>
  <c r="AB49" i="18"/>
  <c r="AB25" i="18"/>
  <c r="AC25" i="18" s="1"/>
  <c r="AB13" i="18"/>
  <c r="AB8" i="18"/>
  <c r="AB34" i="18"/>
  <c r="AC34" i="18" s="1"/>
  <c r="AB39" i="18"/>
  <c r="AC39" i="18" s="1"/>
  <c r="AB24" i="18"/>
  <c r="AC24" i="18" s="1"/>
  <c r="AB27" i="18"/>
  <c r="AC27" i="18" s="1"/>
  <c r="AB30" i="18"/>
  <c r="AC30" i="18" s="1"/>
  <c r="AB9" i="18"/>
  <c r="AB19" i="18"/>
  <c r="AC19" i="18" s="1"/>
  <c r="AB50" i="18"/>
  <c r="AB45" i="18"/>
  <c r="AC45" i="18" s="1"/>
  <c r="AB21" i="18"/>
  <c r="AC21" i="18" s="1"/>
  <c r="AB48" i="18"/>
  <c r="AB26" i="18"/>
  <c r="AC26" i="18" s="1"/>
  <c r="AB41" i="18"/>
  <c r="AC41" i="18" s="1"/>
  <c r="AB16" i="18"/>
  <c r="AC16" i="18" s="1"/>
  <c r="AB14" i="18"/>
  <c r="AC14" i="18" s="1"/>
  <c r="AB40" i="18"/>
  <c r="AC40" i="18" s="1"/>
  <c r="AB12" i="18"/>
  <c r="AB38" i="18"/>
  <c r="AC38" i="18" s="1"/>
  <c r="AB47" i="18"/>
  <c r="AB31" i="18"/>
  <c r="AC31" i="18" s="1"/>
  <c r="AB23" i="18"/>
  <c r="AC23" i="18" s="1"/>
  <c r="AB20" i="18"/>
  <c r="AC20" i="18" s="1"/>
  <c r="AB22" i="18"/>
  <c r="AC22" i="18" s="1"/>
  <c r="AB17" i="18"/>
  <c r="AC17" i="18" s="1"/>
  <c r="AB37" i="18"/>
  <c r="AC37" i="18" s="1"/>
  <c r="AB28" i="18"/>
  <c r="AC28" i="18" s="1"/>
  <c r="AB33" i="18"/>
  <c r="AC33" i="18" s="1"/>
  <c r="AB18" i="18"/>
  <c r="AC18" i="18" s="1"/>
  <c r="AB32" i="18"/>
  <c r="AC32" i="18" s="1"/>
  <c r="AB36" i="18"/>
  <c r="AC36" i="18" s="1"/>
  <c r="AB29" i="18"/>
  <c r="AC29" i="18" s="1"/>
  <c r="AB15" i="18"/>
  <c r="AC15" i="18" s="1"/>
  <c r="AB35" i="18"/>
  <c r="AC35" i="18" s="1"/>
  <c r="AB42" i="18"/>
  <c r="AC42" i="18" s="1"/>
  <c r="AB44" i="18"/>
  <c r="AC44" i="18" s="1"/>
  <c r="AC1" i="18"/>
  <c r="AB11" i="18"/>
  <c r="AC11" i="18" s="1"/>
  <c r="Z6" i="18"/>
  <c r="BM7" i="18"/>
  <c r="BO7" i="18" s="1"/>
  <c r="BO8" i="18"/>
  <c r="Y43" i="18"/>
  <c r="Y5" i="18"/>
  <c r="AA9" i="18"/>
  <c r="BK9" i="18" s="1"/>
  <c r="BK10" i="18"/>
  <c r="AA55" i="18"/>
  <c r="AA8" i="18" s="1"/>
  <c r="AA13" i="18"/>
  <c r="BK13" i="18" s="1"/>
  <c r="Z80" i="18"/>
  <c r="BK15" i="18"/>
  <c r="AA68" i="18"/>
  <c r="Z81" i="18" s="1"/>
  <c r="AB46" i="18" l="1"/>
  <c r="AC46" i="18" s="1"/>
  <c r="AA7" i="18"/>
  <c r="BK8" i="18"/>
  <c r="AC50" i="18"/>
  <c r="D69" i="5"/>
  <c r="E369" i="17"/>
  <c r="N31" i="5"/>
  <c r="J31" i="5" s="1"/>
  <c r="J40" i="12"/>
  <c r="O14" i="5"/>
  <c r="K14" i="5" s="1"/>
  <c r="F368" i="17"/>
  <c r="N368" i="17" s="1"/>
  <c r="N41" i="5"/>
  <c r="J41" i="5" s="1"/>
  <c r="H369" i="17"/>
  <c r="D189" i="17" s="1"/>
  <c r="N36" i="5"/>
  <c r="J36" i="5" s="1"/>
  <c r="H407" i="17"/>
  <c r="D187" i="17" s="1"/>
  <c r="O11" i="5"/>
  <c r="K11" i="5" s="1"/>
  <c r="N18" i="5"/>
  <c r="J18" i="5" s="1"/>
  <c r="D74" i="5"/>
  <c r="G74" i="5" s="1"/>
  <c r="N29" i="5"/>
  <c r="J29" i="5" s="1"/>
  <c r="N17" i="5"/>
  <c r="J17" i="5" s="1"/>
  <c r="AC57" i="18"/>
  <c r="AC12" i="18" s="1"/>
  <c r="G27" i="36"/>
  <c r="N46" i="5"/>
  <c r="J46" i="5" s="1"/>
  <c r="Y43" i="6" s="1"/>
  <c r="O42" i="5"/>
  <c r="K42" i="5" s="1"/>
  <c r="N13" i="5"/>
  <c r="J13" i="5" s="1"/>
  <c r="D66" i="5"/>
  <c r="I368" i="17"/>
  <c r="H27" i="36"/>
  <c r="O13" i="5"/>
  <c r="K13" i="5" s="1"/>
  <c r="I367" i="17"/>
  <c r="D68" i="5"/>
  <c r="D10" i="5" s="1"/>
  <c r="O39" i="5"/>
  <c r="N49" i="5"/>
  <c r="J49" i="5" s="1"/>
  <c r="O16" i="5"/>
  <c r="K16" i="5" s="1"/>
  <c r="N26" i="5"/>
  <c r="J26" i="5" s="1"/>
  <c r="D78" i="5"/>
  <c r="AC56" i="18"/>
  <c r="E191" i="1"/>
  <c r="K191" i="1" s="1"/>
  <c r="V191" i="1" s="1"/>
  <c r="O30" i="5"/>
  <c r="K30" i="5" s="1"/>
  <c r="D79" i="5"/>
  <c r="N45" i="5"/>
  <c r="O24" i="5"/>
  <c r="K24" i="5" s="1"/>
  <c r="N50" i="5"/>
  <c r="J50" i="5" s="1"/>
  <c r="O8" i="5"/>
  <c r="O41" i="5"/>
  <c r="K41" i="5" s="1"/>
  <c r="N42" i="5"/>
  <c r="J42" i="5" s="1"/>
  <c r="O37" i="5"/>
  <c r="K37" i="5" s="1"/>
  <c r="D77" i="5"/>
  <c r="H367" i="17"/>
  <c r="N40" i="5"/>
  <c r="J40" i="5" s="1"/>
  <c r="O33" i="5"/>
  <c r="K33" i="5" s="1"/>
  <c r="O10" i="5"/>
  <c r="K10" i="5" s="1"/>
  <c r="O40" i="5"/>
  <c r="K40" i="5" s="1"/>
  <c r="N16" i="5"/>
  <c r="J16" i="5" s="1"/>
  <c r="D67" i="5"/>
  <c r="N35" i="5"/>
  <c r="J35" i="5" s="1"/>
  <c r="N9" i="5"/>
  <c r="J9" i="5" s="1"/>
  <c r="L9" i="5" s="1"/>
  <c r="H368" i="17"/>
  <c r="D188" i="17" s="1"/>
  <c r="E367" i="17"/>
  <c r="J27" i="36"/>
  <c r="I369" i="17"/>
  <c r="N21" i="5"/>
  <c r="J21" i="5" s="1"/>
  <c r="O28" i="5"/>
  <c r="K28" i="5" s="1"/>
  <c r="O17" i="5"/>
  <c r="K17" i="5" s="1"/>
  <c r="N34" i="5"/>
  <c r="J34" i="5" s="1"/>
  <c r="N8" i="5"/>
  <c r="F27" i="36"/>
  <c r="N32" i="5"/>
  <c r="J32" i="5" s="1"/>
  <c r="O20" i="5"/>
  <c r="K20" i="5" s="1"/>
  <c r="N11" i="5"/>
  <c r="J11" i="5" s="1"/>
  <c r="L11" i="5" s="1"/>
  <c r="N27" i="5"/>
  <c r="J27" i="5" s="1"/>
  <c r="N39" i="5"/>
  <c r="D72" i="5"/>
  <c r="D14" i="5" s="1"/>
  <c r="H14" i="5" s="1"/>
  <c r="R16" i="5" s="1"/>
  <c r="R19" i="5" s="1"/>
  <c r="N14" i="5"/>
  <c r="J14" i="5" s="1"/>
  <c r="N47" i="5"/>
  <c r="J47" i="5" s="1"/>
  <c r="Y44" i="6" s="1"/>
  <c r="M407" i="17"/>
  <c r="G187" i="17" s="1"/>
  <c r="O35" i="5"/>
  <c r="K35" i="5" s="1"/>
  <c r="E368" i="17"/>
  <c r="N38" i="5"/>
  <c r="J38" i="5" s="1"/>
  <c r="D70" i="5"/>
  <c r="D13" i="5" s="1"/>
  <c r="H13" i="5" s="1"/>
  <c r="I27" i="36"/>
  <c r="AC49" i="18"/>
  <c r="N19" i="5"/>
  <c r="J19" i="5" s="1"/>
  <c r="O18" i="5"/>
  <c r="K18" i="5" s="1"/>
  <c r="O9" i="5"/>
  <c r="K9" i="5" s="1"/>
  <c r="O29" i="5"/>
  <c r="K29" i="5" s="1"/>
  <c r="D27" i="36"/>
  <c r="O19" i="5"/>
  <c r="K19" i="5" s="1"/>
  <c r="O32" i="5"/>
  <c r="K32" i="5" s="1"/>
  <c r="O50" i="5"/>
  <c r="K50" i="5" s="1"/>
  <c r="N23" i="5"/>
  <c r="J23" i="5" s="1"/>
  <c r="O31" i="5"/>
  <c r="K31" i="5" s="1"/>
  <c r="N10" i="5"/>
  <c r="J10" i="5" s="1"/>
  <c r="L10" i="5" s="1"/>
  <c r="D82" i="5"/>
  <c r="O34" i="5"/>
  <c r="K34" i="5" s="1"/>
  <c r="N37" i="5"/>
  <c r="J37" i="5" s="1"/>
  <c r="AC47" i="18"/>
  <c r="O26" i="5"/>
  <c r="K26" i="5" s="1"/>
  <c r="D65" i="5"/>
  <c r="O27" i="5"/>
  <c r="K27" i="5" s="1"/>
  <c r="O21" i="5"/>
  <c r="K21" i="5" s="1"/>
  <c r="O38" i="5"/>
  <c r="K38" i="5" s="1"/>
  <c r="N22" i="5"/>
  <c r="J22" i="5" s="1"/>
  <c r="N28" i="5"/>
  <c r="J28" i="5" s="1"/>
  <c r="N30" i="5"/>
  <c r="J30" i="5" s="1"/>
  <c r="O49" i="5"/>
  <c r="K49" i="5" s="1"/>
  <c r="N20" i="5"/>
  <c r="J20" i="5" s="1"/>
  <c r="I407" i="17"/>
  <c r="E187" i="17" s="1"/>
  <c r="N24" i="5"/>
  <c r="J24" i="5" s="1"/>
  <c r="N12" i="5"/>
  <c r="J12" i="5" s="1"/>
  <c r="L12" i="5" s="1"/>
  <c r="E27" i="36"/>
  <c r="AC48" i="18"/>
  <c r="O22" i="5"/>
  <c r="K22" i="5" s="1"/>
  <c r="F367" i="17"/>
  <c r="O12" i="5"/>
  <c r="K12" i="5" s="1"/>
  <c r="O15" i="5"/>
  <c r="K15" i="5" s="1"/>
  <c r="D81" i="5"/>
  <c r="O23" i="5"/>
  <c r="K23" i="5" s="1"/>
  <c r="D80" i="5"/>
  <c r="O25" i="5"/>
  <c r="K25" i="5" s="1"/>
  <c r="N25" i="5"/>
  <c r="J25" i="5" s="1"/>
  <c r="F369" i="17"/>
  <c r="N369" i="17" s="1"/>
  <c r="O36" i="5"/>
  <c r="K36" i="5" s="1"/>
  <c r="N48" i="5"/>
  <c r="J48" i="5" s="1"/>
  <c r="D71" i="5"/>
  <c r="D12" i="5" s="1"/>
  <c r="H12" i="5" s="1"/>
  <c r="N15" i="5"/>
  <c r="J15" i="5" s="1"/>
  <c r="N33" i="5"/>
  <c r="J33" i="5" s="1"/>
  <c r="AD80" i="18"/>
  <c r="AB80" i="18"/>
  <c r="AC68" i="18"/>
  <c r="AB7" i="18"/>
  <c r="AB6" i="18" s="1"/>
  <c r="BC55" i="18"/>
  <c r="BC57" i="18" s="1"/>
  <c r="BM6" i="18"/>
  <c r="BO6" i="18" s="1"/>
  <c r="Z43" i="18"/>
  <c r="Z5" i="18"/>
  <c r="AB10" i="18"/>
  <c r="AC10" i="18" s="1"/>
  <c r="AC9" i="18" s="1"/>
  <c r="K40" i="12" l="1"/>
  <c r="K39" i="12" s="1"/>
  <c r="J39" i="12"/>
  <c r="K52" i="5"/>
  <c r="F187" i="17"/>
  <c r="AD81" i="18"/>
  <c r="AB81" i="18"/>
  <c r="F366" i="17"/>
  <c r="N366" i="17" s="1"/>
  <c r="R366" i="17" s="1"/>
  <c r="N367" i="17"/>
  <c r="L14" i="5"/>
  <c r="Y11" i="6"/>
  <c r="N7" i="5"/>
  <c r="J8" i="5"/>
  <c r="L40" i="5"/>
  <c r="Y35" i="6"/>
  <c r="D62" i="5"/>
  <c r="D8" i="5" s="1"/>
  <c r="L25" i="5"/>
  <c r="Y22" i="6"/>
  <c r="L30" i="5"/>
  <c r="Y15" i="6"/>
  <c r="Y21" i="6"/>
  <c r="L34" i="5"/>
  <c r="H366" i="17"/>
  <c r="D185" i="17" s="1"/>
  <c r="D186" i="17"/>
  <c r="J45" i="5"/>
  <c r="N44" i="5"/>
  <c r="O44" i="5" s="1"/>
  <c r="Y10" i="6"/>
  <c r="L13" i="5"/>
  <c r="L18" i="5"/>
  <c r="Y29" i="6"/>
  <c r="AB5" i="18"/>
  <c r="AB43" i="18"/>
  <c r="Y27" i="6"/>
  <c r="L28" i="5"/>
  <c r="Y34" i="6"/>
  <c r="L37" i="5"/>
  <c r="K39" i="5"/>
  <c r="J39" i="5"/>
  <c r="L35" i="5"/>
  <c r="Y17" i="6"/>
  <c r="D76" i="5"/>
  <c r="D15" i="5" s="1"/>
  <c r="L31" i="5"/>
  <c r="Y16" i="6"/>
  <c r="Y23" i="6"/>
  <c r="L33" i="5"/>
  <c r="L22" i="5"/>
  <c r="Y26" i="6"/>
  <c r="P27" i="36"/>
  <c r="L38" i="5"/>
  <c r="Y38" i="6"/>
  <c r="L27" i="5"/>
  <c r="Y28" i="6"/>
  <c r="D9" i="5"/>
  <c r="H9" i="5" s="1"/>
  <c r="H10" i="5"/>
  <c r="Y6" i="6"/>
  <c r="L15" i="5"/>
  <c r="L21" i="5"/>
  <c r="Y24" i="6"/>
  <c r="L16" i="5"/>
  <c r="Y18" i="6"/>
  <c r="L42" i="5"/>
  <c r="Y37" i="6"/>
  <c r="I366" i="17"/>
  <c r="E186" i="17"/>
  <c r="J367" i="17"/>
  <c r="L367" i="17"/>
  <c r="Q367" i="17" s="1"/>
  <c r="K367" i="17"/>
  <c r="L36" i="5"/>
  <c r="Y31" i="6"/>
  <c r="L24" i="5"/>
  <c r="Y13" i="6"/>
  <c r="L369" i="17"/>
  <c r="Q369" i="17" s="1"/>
  <c r="E189" i="17"/>
  <c r="F189" i="17" s="1"/>
  <c r="J369" i="17"/>
  <c r="K369" i="17"/>
  <c r="P369" i="17" s="1"/>
  <c r="AC13" i="18"/>
  <c r="AC55" i="18"/>
  <c r="AC8" i="18" s="1"/>
  <c r="L32" i="5"/>
  <c r="Y20" i="6"/>
  <c r="O7" i="5"/>
  <c r="K8" i="5"/>
  <c r="K7" i="5" s="1"/>
  <c r="L17" i="5"/>
  <c r="Y32" i="6"/>
  <c r="L41" i="5"/>
  <c r="Y36" i="6"/>
  <c r="Y25" i="6"/>
  <c r="L20" i="5"/>
  <c r="Y12" i="6"/>
  <c r="L23" i="5"/>
  <c r="L19" i="5"/>
  <c r="Y30" i="6"/>
  <c r="E366" i="17"/>
  <c r="L26" i="5"/>
  <c r="Y19" i="6"/>
  <c r="E188" i="17"/>
  <c r="F188" i="17" s="1"/>
  <c r="L368" i="17"/>
  <c r="Q368" i="17" s="1"/>
  <c r="J368" i="17"/>
  <c r="K368" i="17"/>
  <c r="P368" i="17" s="1"/>
  <c r="J52" i="5"/>
  <c r="Y14" i="6"/>
  <c r="L29" i="5"/>
  <c r="BK7" i="18"/>
  <c r="AA6" i="18"/>
  <c r="F186" i="17" l="1"/>
  <c r="L52" i="5"/>
  <c r="N6" i="5"/>
  <c r="N43" i="5" s="1"/>
  <c r="O6" i="5"/>
  <c r="O43" i="5" s="1"/>
  <c r="AA43" i="18"/>
  <c r="BK43" i="18" s="1"/>
  <c r="BK6" i="18"/>
  <c r="AA5" i="18"/>
  <c r="AC7" i="18"/>
  <c r="AC6" i="18" s="1"/>
  <c r="BF55" i="18"/>
  <c r="BF57" i="18" s="1"/>
  <c r="BF58" i="18" s="1"/>
  <c r="Y5" i="6"/>
  <c r="L8" i="5"/>
  <c r="J7" i="5"/>
  <c r="D75" i="5"/>
  <c r="G75" i="5" s="1"/>
  <c r="H78" i="5" s="1"/>
  <c r="H15" i="5"/>
  <c r="H77" i="5" s="1"/>
  <c r="Y42" i="6"/>
  <c r="J44" i="5"/>
  <c r="P367" i="17"/>
  <c r="H8" i="5"/>
  <c r="D7" i="5"/>
  <c r="J366" i="17"/>
  <c r="K366" i="17"/>
  <c r="E185" i="17"/>
  <c r="F185" i="17" s="1"/>
  <c r="L366" i="17"/>
  <c r="Q366" i="17" s="1"/>
  <c r="Y39" i="6"/>
  <c r="L39" i="5"/>
  <c r="T366" i="17" l="1"/>
  <c r="P366" i="17"/>
  <c r="S366" i="17"/>
  <c r="I392" i="17"/>
  <c r="J6" i="5"/>
  <c r="M17" i="5"/>
  <c r="L7" i="5"/>
  <c r="D6" i="5"/>
  <c r="H7" i="5"/>
  <c r="BE6" i="18"/>
  <c r="BE5" i="18" s="1"/>
  <c r="F191" i="1" s="1"/>
  <c r="AC5" i="18"/>
  <c r="AC43" i="18"/>
  <c r="BC52" i="18"/>
  <c r="BC53" i="18" s="1"/>
  <c r="K44" i="5"/>
  <c r="K6" i="5" s="1"/>
  <c r="Y41" i="6"/>
  <c r="D43" i="5" l="1"/>
  <c r="H43" i="5" s="1"/>
  <c r="U34" i="5" s="1"/>
  <c r="D55" i="5"/>
  <c r="D5" i="5"/>
  <c r="H191" i="1" s="1"/>
  <c r="J191" i="1" s="1"/>
  <c r="U191" i="1" s="1"/>
  <c r="H6" i="5"/>
  <c r="K5" i="5"/>
  <c r="M191" i="1" s="1"/>
  <c r="K43" i="5"/>
  <c r="J5" i="5"/>
  <c r="M190" i="1" s="1"/>
  <c r="L6" i="5"/>
  <c r="L5" i="5" s="1"/>
  <c r="G29" i="1"/>
  <c r="J43" i="5"/>
  <c r="N190" i="1" l="1"/>
  <c r="O190" i="1"/>
  <c r="N191" i="1"/>
  <c r="O191" i="1"/>
  <c r="H55" i="5"/>
  <c r="U44" i="5" s="1"/>
  <c r="H5" i="5"/>
  <c r="H73" i="5"/>
  <c r="L43" i="5"/>
  <c r="Y4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沈力</author>
    <author>郝晋伟</author>
    <author>张瀛</author>
  </authors>
  <commentList>
    <comment ref="M39" authorId="0" shapeId="0" xr:uid="{130D8F87-023B-445E-BCBE-684E58244BDB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-0.1
</t>
        </r>
      </text>
    </comment>
    <comment ref="I53" authorId="1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 xml:space="preserve">股份预测附表1
</t>
        </r>
      </text>
    </comment>
    <comment ref="I67" authorId="1" shapeId="0" xr:uid="{00000000-0006-0000-0000-000002000000}">
      <text>
        <r>
          <rPr>
            <b/>
            <sz val="9"/>
            <color indexed="81"/>
            <rFont val="宋体"/>
            <family val="3"/>
            <charset val="134"/>
          </rPr>
          <t xml:space="preserve">股份预测附表2
</t>
        </r>
      </text>
    </comment>
    <comment ref="I73" authorId="1" shapeId="0" xr:uid="{00000000-0006-0000-0000-000003000000}">
      <text>
        <r>
          <rPr>
            <b/>
            <sz val="9"/>
            <color indexed="81"/>
            <rFont val="宋体"/>
            <family val="3"/>
            <charset val="134"/>
          </rPr>
          <t xml:space="preserve">国贸外销量
</t>
        </r>
      </text>
    </comment>
    <comment ref="I86" authorId="1" shapeId="0" xr:uid="{00000000-0006-0000-0000-000004000000}">
      <text>
        <r>
          <rPr>
            <b/>
            <sz val="9"/>
            <color indexed="81"/>
            <rFont val="宋体"/>
            <family val="3"/>
            <charset val="134"/>
          </rPr>
          <t xml:space="preserve">股份预测附表3
</t>
        </r>
      </text>
    </comment>
    <comment ref="I121" authorId="2" shapeId="0" xr:uid="{CD968B2A-7EFC-478F-B6AA-D1AEA71C0687}">
      <text>
        <r>
          <rPr>
            <b/>
            <sz val="9"/>
            <rFont val="宋体"/>
            <family val="3"/>
            <charset val="134"/>
          </rPr>
          <t>加岚县--国贸</t>
        </r>
      </text>
    </comment>
    <comment ref="I127" authorId="1" shapeId="0" xr:uid="{E3364E43-DAE5-4757-861E-A4233B03C3B8}">
      <text>
        <r>
          <rPr>
            <b/>
            <sz val="9"/>
            <color indexed="81"/>
            <rFont val="宋体"/>
            <family val="3"/>
            <charset val="134"/>
          </rPr>
          <t xml:space="preserve">股份预测：钢材销售收入
</t>
        </r>
      </text>
    </comment>
    <comment ref="L132" authorId="1" shapeId="0" xr:uid="{9F2A7C28-4012-4189-B561-6360B2C799C4}">
      <text>
        <r>
          <rPr>
            <b/>
            <sz val="9"/>
            <color indexed="81"/>
            <rFont val="宋体"/>
            <family val="3"/>
            <charset val="134"/>
          </rPr>
          <t xml:space="preserve">股份预测 销售增/减利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沈力</author>
  </authors>
  <commentList>
    <comment ref="H5" authorId="0" shapeId="0" xr:uid="{205EC945-1CAB-43BD-8DAD-E8BE00039A02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综合单价含磁粉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郝晋伟</author>
  </authors>
  <commentList>
    <comment ref="C3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对上月分析的经营利润</t>
        </r>
      </text>
    </comment>
    <comment ref="F13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报表利润+三项收费</t>
        </r>
      </text>
    </comment>
    <comment ref="F63" authorId="0" shapeId="0" xr:uid="{00000000-0006-0000-0100-000003000000}">
      <text>
        <r>
          <rPr>
            <b/>
            <sz val="9"/>
            <color indexed="81"/>
            <rFont val="宋体"/>
            <family val="3"/>
            <charset val="134"/>
          </rPr>
          <t xml:space="preserve">岚县三项收费
</t>
        </r>
      </text>
    </comment>
    <comment ref="F77" authorId="0" shapeId="0" xr:uid="{00000000-0006-0000-0100-000004000000}">
      <text>
        <r>
          <rPr>
            <b/>
            <sz val="9"/>
            <color indexed="81"/>
            <rFont val="宋体"/>
            <family val="3"/>
            <charset val="134"/>
          </rPr>
          <t xml:space="preserve">不锈预测其他项
</t>
        </r>
      </text>
    </comment>
    <comment ref="H77" authorId="0" shapeId="0" xr:uid="{00000000-0006-0000-0100-000005000000}">
      <text>
        <r>
          <rPr>
            <b/>
            <sz val="9"/>
            <color indexed="81"/>
            <rFont val="宋体"/>
            <family val="3"/>
            <charset val="134"/>
          </rPr>
          <t xml:space="preserve">与太钢不锈利润分析核对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张瀛</author>
    <author>郝晋伟</author>
  </authors>
  <commentList>
    <comment ref="K5" authorId="0" shapeId="0" xr:uid="{00000000-0006-0000-0300-000001000000}">
      <text>
        <r>
          <rPr>
            <b/>
            <sz val="9"/>
            <rFont val="宋体"/>
            <family val="3"/>
            <charset val="134"/>
          </rPr>
          <t xml:space="preserve">减岚县给国贸的
</t>
        </r>
      </text>
    </comment>
    <comment ref="K6" authorId="1" shapeId="0" xr:uid="{00000000-0006-0000-0300-000003000000}">
      <text>
        <r>
          <rPr>
            <b/>
            <sz val="9"/>
            <color indexed="81"/>
            <rFont val="宋体"/>
            <family val="3"/>
            <charset val="134"/>
          </rPr>
          <t xml:space="preserve">收入总差额倒挤，一般在8000-10000万元，见N53
</t>
        </r>
      </text>
    </comment>
    <comment ref="M6" authorId="1" shapeId="0" xr:uid="{00000000-0006-0000-0300-000004000000}">
      <text>
        <r>
          <rPr>
            <b/>
            <sz val="9"/>
            <color indexed="81"/>
            <rFont val="宋体"/>
            <family val="3"/>
            <charset val="134"/>
          </rPr>
          <t xml:space="preserve">沈力：一次汇总利润
</t>
        </r>
      </text>
    </comment>
    <comment ref="M10" authorId="1" shapeId="0" xr:uid="{00000000-0006-0000-0300-000006000000}">
      <text>
        <r>
          <rPr>
            <b/>
            <sz val="9"/>
            <color indexed="81"/>
            <rFont val="宋体"/>
            <family val="3"/>
            <charset val="134"/>
          </rPr>
          <t xml:space="preserve">沈力：预测报表利润总额
郝晋伟:
</t>
        </r>
      </text>
    </comment>
    <comment ref="J12" authorId="1" shapeId="0" xr:uid="{00000000-0006-0000-0300-000007000000}">
      <text>
        <r>
          <rPr>
            <b/>
            <sz val="9"/>
            <color indexed="81"/>
            <rFont val="宋体"/>
            <family val="3"/>
            <charset val="134"/>
          </rPr>
          <t xml:space="preserve">沈力：为自营业务收入
</t>
        </r>
      </text>
    </comment>
    <comment ref="K12" authorId="1" shapeId="0" xr:uid="{00000000-0006-0000-0300-000008000000}">
      <text>
        <r>
          <rPr>
            <b/>
            <sz val="9"/>
            <color indexed="81"/>
            <rFont val="宋体"/>
            <family val="3"/>
            <charset val="134"/>
          </rPr>
          <t xml:space="preserve">沈力：太万+备件业务
</t>
        </r>
      </text>
    </comment>
    <comment ref="J13" authorId="1" shapeId="0" xr:uid="{00000000-0006-0000-0300-000009000000}">
      <text>
        <r>
          <rPr>
            <b/>
            <sz val="9"/>
            <color indexed="81"/>
            <rFont val="宋体"/>
            <family val="3"/>
            <charset val="134"/>
          </rPr>
          <t xml:space="preserve">沈力：合计收入
</t>
        </r>
      </text>
    </comment>
    <comment ref="K13" authorId="1" shapeId="0" xr:uid="{00000000-0006-0000-0300-00000A000000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股份+国贸
</t>
        </r>
      </text>
    </comment>
    <comment ref="M39" authorId="1" shapeId="0" xr:uid="{00000000-0006-0000-0300-00000B000000}">
      <text>
        <r>
          <rPr>
            <b/>
            <sz val="9"/>
            <color indexed="81"/>
            <rFont val="宋体"/>
            <family val="3"/>
            <charset val="134"/>
          </rPr>
          <t xml:space="preserve">会计科母公司投资收益+资金室投资理财
</t>
        </r>
      </text>
    </comment>
    <comment ref="N54" authorId="1" shapeId="0" xr:uid="{00000000-0006-0000-0300-00000C000000}">
      <text>
        <r>
          <rPr>
            <b/>
            <sz val="9"/>
            <color indexed="81"/>
            <rFont val="宋体"/>
            <family val="3"/>
            <charset val="134"/>
          </rPr>
          <t xml:space="preserve">填入股份关联收入
</t>
        </r>
      </text>
    </comment>
    <comment ref="N56" authorId="1" shapeId="0" xr:uid="{00000000-0006-0000-0300-00000D000000}">
      <text>
        <r>
          <rPr>
            <b/>
            <sz val="9"/>
            <color indexed="81"/>
            <rFont val="宋体"/>
            <family val="3"/>
            <charset val="134"/>
          </rPr>
          <t xml:space="preserve">假定一半收入变动为关联
</t>
        </r>
      </text>
    </comment>
    <comment ref="N58" authorId="1" shapeId="0" xr:uid="{00000000-0006-0000-0300-00000E000000}">
      <text>
        <r>
          <rPr>
            <b/>
            <sz val="9"/>
            <color indexed="81"/>
            <rFont val="宋体"/>
            <family val="3"/>
            <charset val="134"/>
          </rPr>
          <t xml:space="preserve">不锈预测：其他商品变动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郝晋伟</author>
    <author>沈力</author>
  </authors>
  <commentList>
    <comment ref="H8" authorId="0" shapeId="0" xr:uid="{00000000-0006-0000-0500-000001000000}">
      <text>
        <r>
          <rPr>
            <b/>
            <sz val="9"/>
            <rFont val="宋体"/>
            <family val="3"/>
            <charset val="134"/>
          </rPr>
          <t xml:space="preserve">郝晋伟:
加：预提维修费5000万元
</t>
        </r>
      </text>
    </comment>
    <comment ref="J8" authorId="0" shapeId="0" xr:uid="{00000000-0006-0000-0500-000002000000}">
      <text>
        <r>
          <rPr>
            <b/>
            <sz val="9"/>
            <rFont val="宋体"/>
            <family val="3"/>
            <charset val="134"/>
          </rPr>
          <t xml:space="preserve">减冲回维修费5000万元
</t>
        </r>
      </text>
    </comment>
    <comment ref="U15" authorId="1" shapeId="0" xr:uid="{00000000-0006-0000-0500-000003000000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SAP导入
</t>
        </r>
      </text>
    </comment>
    <comment ref="T17" authorId="1" shapeId="0" xr:uid="{00000000-0006-0000-0500-000004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刘睿收费表
</t>
        </r>
      </text>
    </comment>
    <comment ref="T18" authorId="1" shapeId="0" xr:uid="{00000000-0006-0000-0500-000005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综合服务费2倍</t>
        </r>
      </text>
    </comment>
    <comment ref="T19" authorId="1" shapeId="0" xr:uid="{00000000-0006-0000-0500-000006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刘睿收费表</t>
        </r>
      </text>
    </comment>
    <comment ref="U27" authorId="1" shapeId="0" xr:uid="{00000000-0006-0000-0500-000007000000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核实是否上涨
</t>
        </r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U28" authorId="1" shapeId="0" xr:uid="{00000000-0006-0000-0500-000008000000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同上
</t>
        </r>
      </text>
    </comment>
    <comment ref="U29" authorId="1" shapeId="0" xr:uid="{00000000-0006-0000-0500-000009000000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管理费用-职工工资C7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周鸿顺</author>
  </authors>
  <commentList>
    <comment ref="G34" authorId="0" shapeId="0" xr:uid="{00000000-0006-0000-0B00-000001000000}">
      <text>
        <r>
          <rPr>
            <b/>
            <sz val="9"/>
            <rFont val="宋体"/>
            <family val="3"/>
            <charset val="134"/>
          </rPr>
          <t xml:space="preserve">农业公司是公式，不用手填！！！
臧泽祥:
*+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沈力</author>
  </authors>
  <commentList>
    <comment ref="AH6" authorId="0" shapeId="0" xr:uid="{00000000-0006-0000-0900-000001000000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累计数直接用资金室数据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沈力</author>
  </authors>
  <commentList>
    <comment ref="T4" authorId="0" shapeId="0" xr:uid="{00000000-0006-0000-0A00-000001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每月末生产调度表 岚县库存</t>
        </r>
      </text>
    </comment>
    <comment ref="T17" authorId="0" shapeId="0" xr:uid="{00000000-0006-0000-0A00-000002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吴志强 库存表 概述全线-产成品=在线
核对
</t>
        </r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T22" authorId="0" shapeId="0" xr:uid="{00000000-0006-0000-0A00-000003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吴 库存 原材料 矿粉合计
</t>
        </r>
      </text>
    </comment>
    <comment ref="A23" authorId="0" shapeId="0" xr:uid="{00000000-0006-0000-0A00-000004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SAP-zsbc3n-6000-期末数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sxyyj</author>
  </authors>
  <commentList>
    <comment ref="B15" authorId="0" shapeId="0" xr:uid="{00000000-0006-0000-0C00-000001000000}">
      <text>
        <r>
          <rPr>
            <b/>
            <sz val="9"/>
            <rFont val="宋体"/>
            <family val="3"/>
            <charset val="134"/>
          </rPr>
          <t>sxyyj:</t>
        </r>
        <r>
          <rPr>
            <sz val="9"/>
            <rFont val="宋体"/>
            <family val="3"/>
            <charset val="134"/>
          </rPr>
          <t xml:space="preserve">
总数</t>
        </r>
      </text>
    </comment>
    <comment ref="B33" authorId="0" shapeId="0" xr:uid="{00000000-0006-0000-0C00-000002000000}">
      <text>
        <r>
          <rPr>
            <b/>
            <sz val="9"/>
            <rFont val="宋体"/>
            <family val="3"/>
            <charset val="134"/>
          </rPr>
          <t>sxyyj:</t>
        </r>
        <r>
          <rPr>
            <sz val="9"/>
            <rFont val="宋体"/>
            <family val="3"/>
            <charset val="134"/>
          </rPr>
          <t xml:space="preserve">
精密带钢公司</t>
        </r>
      </text>
    </comment>
    <comment ref="B38" authorId="0" shapeId="0" xr:uid="{00000000-0006-0000-0C00-000003000000}">
      <text>
        <r>
          <rPr>
            <b/>
            <sz val="9"/>
            <rFont val="宋体"/>
            <family val="3"/>
            <charset val="134"/>
          </rPr>
          <t>sxyyj:</t>
        </r>
        <r>
          <rPr>
            <sz val="9"/>
            <rFont val="宋体"/>
            <family val="3"/>
            <charset val="134"/>
          </rPr>
          <t xml:space="preserve">
临钢收入完成情况表，太钢财务邮箱里面。点对点报表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Hao</author>
    <author>沈力</author>
    <author>H</author>
    <author>郝晋伟</author>
    <author>张瀛</author>
    <author>sx7253</author>
  </authors>
  <commentList>
    <comment ref="A13" authorId="0" shapeId="0" xr:uid="{00000000-0006-0000-1200-000001000000}">
      <text>
        <r>
          <rPr>
            <b/>
            <sz val="9"/>
            <rFont val="宋体"/>
            <family val="3"/>
            <charset val="134"/>
          </rPr>
          <t xml:space="preserve">本处为实际利润
</t>
        </r>
      </text>
    </comment>
    <comment ref="A18" authorId="0" shapeId="0" xr:uid="{00000000-0006-0000-1200-000002000000}">
      <text>
        <r>
          <rPr>
            <b/>
            <sz val="9"/>
            <rFont val="宋体"/>
            <family val="3"/>
            <charset val="134"/>
          </rPr>
          <t xml:space="preserve">本处为实际成本
</t>
        </r>
      </text>
    </comment>
    <comment ref="AF24" authorId="1" shapeId="0" xr:uid="{6A9F7B6E-A2AC-40B9-98BC-E66AED10CBE4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调整至其他业务成本</t>
        </r>
      </text>
    </comment>
    <comment ref="B41" authorId="2" shapeId="0" xr:uid="{00000000-0006-0000-1200-000003000000}">
      <text>
        <r>
          <rPr>
            <b/>
            <sz val="9"/>
            <rFont val="宋体"/>
            <family val="3"/>
            <charset val="134"/>
          </rPr>
          <t>H:</t>
        </r>
        <r>
          <rPr>
            <sz val="9"/>
            <rFont val="宋体"/>
            <family val="3"/>
            <charset val="134"/>
          </rPr>
          <t xml:space="preserve">
铁塔公司土地租赁费600万元
</t>
        </r>
      </text>
    </comment>
    <comment ref="C41" authorId="2" shapeId="0" xr:uid="{00000000-0006-0000-1200-000004000000}">
      <text>
        <r>
          <rPr>
            <b/>
            <sz val="9"/>
            <rFont val="宋体"/>
            <family val="3"/>
            <charset val="134"/>
          </rPr>
          <t>H:</t>
        </r>
        <r>
          <rPr>
            <sz val="9"/>
            <rFont val="宋体"/>
            <family val="3"/>
            <charset val="134"/>
          </rPr>
          <t xml:space="preserve">
中信SINO铁矿项目技术服务费500万元
</t>
        </r>
      </text>
    </comment>
    <comment ref="A48" authorId="2" shapeId="0" xr:uid="{00000000-0006-0000-1200-000005000000}">
      <text>
        <r>
          <rPr>
            <b/>
            <sz val="9"/>
            <rFont val="宋体"/>
            <family val="3"/>
            <charset val="134"/>
          </rPr>
          <t>H:</t>
        </r>
        <r>
          <rPr>
            <sz val="9"/>
            <rFont val="宋体"/>
            <family val="3"/>
            <charset val="134"/>
          </rPr>
          <t xml:space="preserve">
各种调料款等
</t>
        </r>
      </text>
    </comment>
    <comment ref="AF55" authorId="1" shapeId="0" xr:uid="{1EF50942-F81C-4483-B554-ED0AC1514FC2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调整至其他业务收入</t>
        </r>
      </text>
    </comment>
    <comment ref="A68" authorId="0" shapeId="0" xr:uid="{00000000-0006-0000-1200-000006000000}">
      <text>
        <r>
          <rPr>
            <b/>
            <sz val="9"/>
            <rFont val="宋体"/>
            <family val="3"/>
            <charset val="134"/>
          </rPr>
          <t xml:space="preserve">此处为实际利润
</t>
        </r>
      </text>
    </comment>
    <comment ref="K71" authorId="3" shapeId="0" xr:uid="{00000000-0006-0000-1200-000007000000}">
      <text>
        <r>
          <rPr>
            <b/>
            <sz val="9"/>
            <rFont val="宋体"/>
            <family val="3"/>
            <charset val="134"/>
          </rPr>
          <t xml:space="preserve">1.直接留存厂办大集体改制费用11897万元2.矿业公司预提维修费，转到厂办大集体5000万元。
3.前期差异留存152万元。转到厂办大集体
</t>
        </r>
      </text>
    </comment>
    <comment ref="P71" authorId="3" shapeId="0" xr:uid="{00000000-0006-0000-1200-000008000000}">
      <text>
        <r>
          <rPr>
            <b/>
            <sz val="9"/>
            <rFont val="宋体"/>
            <family val="3"/>
            <charset val="134"/>
          </rPr>
          <t xml:space="preserve">预提费用
</t>
        </r>
      </text>
    </comment>
    <comment ref="I72" authorId="3" shapeId="0" xr:uid="{00000000-0006-0000-1200-000009000000}">
      <text>
        <r>
          <rPr>
            <b/>
            <sz val="9"/>
            <rFont val="宋体"/>
            <family val="3"/>
            <charset val="134"/>
          </rPr>
          <t xml:space="preserve">为使母公司存货为正，本部多出5000万，矿业公司多提费用5000万。
</t>
        </r>
      </text>
    </comment>
    <comment ref="V107" authorId="1" shapeId="0" xr:uid="{00000000-0006-0000-1200-00000A000000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刘睿未入账：删上月，填本月</t>
        </r>
      </text>
    </comment>
    <comment ref="Z107" authorId="1" shapeId="0" xr:uid="{18B98F3A-F4B1-4640-9B8F-CC36F10E1FFB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99行投资收益通常为理财。此数为刘睿投资收益数，暂入入账，获取后填入</t>
        </r>
      </text>
    </comment>
    <comment ref="Y110" authorId="1" shapeId="0" xr:uid="{00000000-0006-0000-1200-00000B000000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减5256万元外围剥岩长摊费用
</t>
        </r>
      </text>
    </comment>
    <comment ref="K115" authorId="4" shapeId="0" xr:uid="{00000000-0006-0000-1200-00000C000000}">
      <text>
        <r>
          <rPr>
            <b/>
            <sz val="9"/>
            <rFont val="宋体"/>
            <family val="3"/>
            <charset val="134"/>
          </rPr>
          <t xml:space="preserve">18695
</t>
        </r>
      </text>
    </comment>
    <comment ref="Y115" authorId="1" shapeId="0" xr:uid="{00000000-0006-0000-1200-00000D000000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减尖山5256万元外委剥岩长摊费用
</t>
        </r>
      </text>
    </comment>
    <comment ref="C132" authorId="5" shapeId="0" xr:uid="{00000000-0006-0000-1200-00000E000000}">
      <text>
        <r>
          <rPr>
            <b/>
            <sz val="9"/>
            <rFont val="宋体"/>
            <family val="3"/>
            <charset val="134"/>
          </rPr>
          <t xml:space="preserve">减值1155万元
</t>
        </r>
      </text>
    </comment>
    <comment ref="Y144" authorId="1" shapeId="0" xr:uid="{6916B2D3-B388-4BFC-8A7F-8CBF4F929173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减5256万元外围剥岩长摊费用
</t>
        </r>
      </text>
    </comment>
    <comment ref="K156" authorId="4" shapeId="0" xr:uid="{1931E0BA-13C5-47F0-B879-078558D549D5}">
      <text>
        <r>
          <rPr>
            <b/>
            <sz val="9"/>
            <rFont val="宋体"/>
            <family val="3"/>
            <charset val="134"/>
          </rPr>
          <t xml:space="preserve">18695
</t>
        </r>
      </text>
    </comment>
    <comment ref="K158" authorId="4" shapeId="0" xr:uid="{AA7BBEFF-0B01-4921-8BF3-32F7C3D19648}">
      <text>
        <r>
          <rPr>
            <b/>
            <sz val="9"/>
            <rFont val="宋体"/>
            <family val="3"/>
            <charset val="134"/>
          </rPr>
          <t xml:space="preserve">18695
</t>
        </r>
      </text>
    </comment>
    <comment ref="Y158" authorId="1" shapeId="0" xr:uid="{4976240C-4EF0-4276-9D5F-B21F293267B8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减尖山5256万元外委剥岩长摊费用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沈力</author>
  </authors>
  <commentList>
    <comment ref="Q6" authorId="0" shapeId="0" xr:uid="{00000000-0006-0000-0D00-000001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核：经营利润-汇总利润=股份公司前月保证-连续订货
</t>
        </r>
      </text>
    </comment>
    <comment ref="Q15" authorId="0" shapeId="0" xr:uid="{00000000-0006-0000-0D00-000002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报表+销售折让+连续订货有货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赵跃辉</author>
    <author>郝晋伟</author>
  </authors>
  <commentList>
    <comment ref="CA9" authorId="0" shapeId="0" xr:uid="{00000000-0006-0000-1500-000001000000}">
      <text>
        <r>
          <rPr>
            <b/>
            <sz val="9"/>
            <rFont val="宋体"/>
            <family val="3"/>
            <charset val="134"/>
          </rPr>
          <t xml:space="preserve">投资收益不含锁汇
</t>
        </r>
      </text>
    </comment>
    <comment ref="AC79" authorId="1" shapeId="0" xr:uid="{00000000-0006-0000-1500-000002000000}">
      <text>
        <r>
          <rPr>
            <b/>
            <sz val="9"/>
            <color indexed="81"/>
            <rFont val="宋体"/>
            <family val="3"/>
            <charset val="134"/>
          </rPr>
          <t xml:space="preserve">上年同期报表数
</t>
        </r>
      </text>
    </comment>
    <comment ref="AF79" authorId="1" shapeId="0" xr:uid="{00000000-0006-0000-1500-000003000000}">
      <text>
        <r>
          <rPr>
            <b/>
            <sz val="9"/>
            <color indexed="81"/>
            <rFont val="宋体"/>
            <family val="3"/>
            <charset val="134"/>
          </rPr>
          <t xml:space="preserve">上年同期报表数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张钰涓</author>
  </authors>
  <commentList>
    <comment ref="D27" authorId="0" shapeId="0" xr:uid="{665BD0E6-8FCB-4AB8-88BB-9714FF71DCAC}">
      <text>
        <r>
          <rPr>
            <b/>
            <sz val="9"/>
            <color indexed="81"/>
            <rFont val="宋体"/>
            <family val="3"/>
            <charset val="134"/>
          </rPr>
          <t xml:space="preserve">沈力：牛大表-打印表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郝晋伟</author>
  </authors>
  <commentList>
    <comment ref="B17" authorId="0" shapeId="0" xr:uid="{00000000-0006-0000-1700-000001000000}">
      <text>
        <r>
          <rPr>
            <b/>
            <sz val="9"/>
            <rFont val="宋体"/>
            <family val="3"/>
            <charset val="134"/>
          </rPr>
          <t>郝晋伟:</t>
        </r>
        <r>
          <rPr>
            <sz val="9"/>
            <rFont val="宋体"/>
            <family val="3"/>
            <charset val="134"/>
          </rPr>
          <t xml:space="preserve">
合并收入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郝晋伟</author>
  </authors>
  <commentList>
    <comment ref="B17" authorId="0" shapeId="0" xr:uid="{00000000-0006-0000-1800-000001000000}">
      <text>
        <r>
          <rPr>
            <b/>
            <sz val="9"/>
            <rFont val="宋体"/>
            <family val="3"/>
            <charset val="134"/>
          </rPr>
          <t>郝晋伟:</t>
        </r>
        <r>
          <rPr>
            <sz val="9"/>
            <rFont val="宋体"/>
            <family val="3"/>
            <charset val="134"/>
          </rPr>
          <t xml:space="preserve">
合并收入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沈力</author>
    <author>郝晋伟</author>
  </authors>
  <commentList>
    <comment ref="AH3" authorId="0" shapeId="0" xr:uid="{00000000-0006-0000-1900-000001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母公司收入+国贸外销收入
</t>
        </r>
      </text>
    </comment>
    <comment ref="AH18" authorId="0" shapeId="0" xr:uid="{00000000-0006-0000-1900-000002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国贸收入-外销收入
</t>
        </r>
      </text>
    </comment>
    <comment ref="B19" authorId="1" shapeId="0" xr:uid="{00000000-0006-0000-1900-000003000000}">
      <text>
        <r>
          <rPr>
            <b/>
            <sz val="9"/>
            <rFont val="宋体"/>
            <family val="3"/>
            <charset val="134"/>
          </rPr>
          <t>郝晋伟:</t>
        </r>
        <r>
          <rPr>
            <sz val="9"/>
            <rFont val="宋体"/>
            <family val="3"/>
            <charset val="134"/>
          </rPr>
          <t xml:space="preserve">
合并收入
</t>
        </r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AH46" authorId="0" shapeId="0" xr:uid="{00000000-0006-0000-1900-000004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刘睿-关联收入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沈力</author>
  </authors>
  <commentList>
    <comment ref="A19" authorId="0" shapeId="0" xr:uid="{00000000-0006-0000-1B00-000001000000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合并关联收入
</t>
        </r>
      </text>
    </comment>
    <comment ref="AG44" authorId="0" shapeId="0" xr:uid="{00000000-0006-0000-1B00-000002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刘瑞 关联收入 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  <author>沈力</author>
  </authors>
  <commentList>
    <comment ref="C3" authorId="0" shapeId="0" xr:uid="{00000000-0006-0000-1D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BOC:621
不包含投资收益
</t>
        </r>
      </text>
    </comment>
    <comment ref="AO3" authorId="1" shapeId="0" xr:uid="{AFEBE8DA-43B6-420B-AA80-C0677CA8C7D8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2月汇总利润中加上764
</t>
        </r>
      </text>
    </comment>
    <comment ref="AH7" authorId="1" shapeId="0" xr:uid="{00000000-0006-0000-1D00-000002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许 股份分析 太钢不锈一次报表利润+投资收益
</t>
        </r>
      </text>
    </comment>
    <comment ref="AT33" authorId="1" shapeId="0" xr:uid="{566BDC5F-760B-4AFB-93D4-7E45C54611ED}">
      <text>
        <r>
          <rPr>
            <b/>
            <sz val="9"/>
            <color indexed="81"/>
            <rFont val="宋体"/>
            <family val="3"/>
            <charset val="134"/>
          </rPr>
          <t>沈力:</t>
        </r>
        <r>
          <rPr>
            <sz val="9"/>
            <color indexed="81"/>
            <rFont val="宋体"/>
            <family val="3"/>
            <charset val="134"/>
          </rPr>
          <t xml:space="preserve">
6月不再并表，2021年全年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沈力</author>
  </authors>
  <commentList>
    <comment ref="J3" authorId="0" shapeId="0" xr:uid="{00000000-0006-0000-2200-000001000000}">
      <text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刘军 质量表指标库 搜索全公司 当月+累计
</t>
        </r>
        <r>
          <rPr>
            <b/>
            <sz val="9"/>
            <rFont val="宋体"/>
            <family val="3"/>
            <charset val="134"/>
          </rPr>
          <t>沈力: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0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<sst xmlns="http://schemas.openxmlformats.org/spreadsheetml/2006/main" count="5534" uniqueCount="1766">
  <si>
    <t>年度</t>
  </si>
  <si>
    <t>月份</t>
  </si>
  <si>
    <t>产销量</t>
  </si>
  <si>
    <t>项目</t>
  </si>
  <si>
    <t>全年</t>
  </si>
  <si>
    <t>累计</t>
  </si>
  <si>
    <t>年预算</t>
  </si>
  <si>
    <t>比上月</t>
  </si>
  <si>
    <t>比同期</t>
  </si>
  <si>
    <t>比预算</t>
  </si>
  <si>
    <t>累计
比同期</t>
  </si>
  <si>
    <t>累计
比预算</t>
  </si>
  <si>
    <t>资源
业务
主要
产量
指标</t>
  </si>
  <si>
    <t>精矿粉</t>
  </si>
  <si>
    <t xml:space="preserve">  其中：岚矿</t>
  </si>
  <si>
    <t xml:space="preserve">        尖山</t>
  </si>
  <si>
    <t xml:space="preserve">        代矿</t>
  </si>
  <si>
    <t>球团</t>
  </si>
  <si>
    <t>白灰</t>
  </si>
  <si>
    <t xml:space="preserve">  其中：东山</t>
  </si>
  <si>
    <t xml:space="preserve">        鑫磊</t>
  </si>
  <si>
    <t>轻烧白云石</t>
  </si>
  <si>
    <t>复合板</t>
  </si>
  <si>
    <t>铬铁</t>
  </si>
  <si>
    <t>钢铁
业务
主要
产量
指标</t>
  </si>
  <si>
    <t>生铁</t>
  </si>
  <si>
    <t>粗钢</t>
  </si>
  <si>
    <t xml:space="preserve">  其中：不锈钢</t>
  </si>
  <si>
    <t>坯材</t>
  </si>
  <si>
    <t xml:space="preserve">  其中：不锈材</t>
  </si>
  <si>
    <t>销量指标</t>
  </si>
  <si>
    <t>外销铁矿石</t>
  </si>
  <si>
    <t xml:space="preserve"> 其中：精矿粉</t>
  </si>
  <si>
    <t xml:space="preserve">       球团</t>
  </si>
  <si>
    <t>出口</t>
  </si>
  <si>
    <t>产销率</t>
  </si>
  <si>
    <t>不锈材产销量</t>
  </si>
  <si>
    <t>累计比
同期</t>
  </si>
  <si>
    <t>累计比
预算</t>
  </si>
  <si>
    <t>收入</t>
  </si>
  <si>
    <t>累计比同期</t>
  </si>
  <si>
    <t>累计比预算</t>
  </si>
  <si>
    <t>其中：矿产业务</t>
  </si>
  <si>
    <t xml:space="preserve">      钢铁业务</t>
  </si>
  <si>
    <t xml:space="preserve">      贸易业务</t>
  </si>
  <si>
    <t xml:space="preserve">      非钢业务</t>
  </si>
  <si>
    <t>太钢不锈</t>
  </si>
  <si>
    <t>矿产品外销量</t>
  </si>
  <si>
    <t>钢材收入分析</t>
  </si>
  <si>
    <t>销量影响</t>
  </si>
  <si>
    <t>售价影响</t>
  </si>
  <si>
    <t>不锈钢</t>
  </si>
  <si>
    <t>碳钢</t>
  </si>
  <si>
    <t>报出建议</t>
  </si>
  <si>
    <t>留存</t>
  </si>
  <si>
    <t>报出</t>
  </si>
  <si>
    <t>产值</t>
  </si>
  <si>
    <t>单位</t>
  </si>
  <si>
    <t>预算</t>
  </si>
  <si>
    <t>金额</t>
  </si>
  <si>
    <t>比率</t>
  </si>
  <si>
    <t>合并</t>
  </si>
  <si>
    <t>亿元</t>
  </si>
  <si>
    <t>太原地区</t>
  </si>
  <si>
    <t>本部</t>
  </si>
  <si>
    <t>（按工业法人口径计算61.23亿元）</t>
  </si>
  <si>
    <t>单位：万吨、亿元</t>
  </si>
  <si>
    <t>简表</t>
  </si>
  <si>
    <t>产量</t>
  </si>
  <si>
    <t>销量</t>
  </si>
  <si>
    <t>其中：出口</t>
  </si>
  <si>
    <t>实际收入</t>
  </si>
  <si>
    <t>报表收入</t>
  </si>
  <si>
    <t>利润</t>
  </si>
  <si>
    <t>汇总利润</t>
  </si>
  <si>
    <t>经营利润</t>
  </si>
  <si>
    <t>报表利润</t>
  </si>
  <si>
    <t>结算量</t>
  </si>
  <si>
    <t>固定费</t>
  </si>
  <si>
    <t>职工薪酬</t>
  </si>
  <si>
    <t>外委</t>
  </si>
  <si>
    <t>爆量</t>
  </si>
  <si>
    <t>选比</t>
  </si>
  <si>
    <t>税金</t>
  </si>
  <si>
    <t>维修费</t>
  </si>
  <si>
    <t>价格</t>
  </si>
  <si>
    <t>库存</t>
  </si>
  <si>
    <t>水土</t>
  </si>
  <si>
    <t>销售</t>
  </si>
  <si>
    <t>处置固定资产</t>
  </si>
  <si>
    <t>外购粉</t>
  </si>
  <si>
    <t>采总</t>
  </si>
  <si>
    <t>热电</t>
  </si>
  <si>
    <t>财务费</t>
  </si>
  <si>
    <t>剥采比</t>
  </si>
  <si>
    <t>尖山</t>
  </si>
  <si>
    <t>峨口</t>
  </si>
  <si>
    <t>东山</t>
  </si>
  <si>
    <t>复合</t>
  </si>
  <si>
    <t>股份</t>
  </si>
  <si>
    <t>外销</t>
  </si>
  <si>
    <t>岚县</t>
  </si>
  <si>
    <t>鑫磊</t>
  </si>
  <si>
    <t>单  位</t>
  </si>
  <si>
    <t>集团合并</t>
  </si>
  <si>
    <t>母公司</t>
  </si>
  <si>
    <t xml:space="preserve"> （经营利润）</t>
  </si>
  <si>
    <t xml:space="preserve"> （投资收益）</t>
  </si>
  <si>
    <t xml:space="preserve">    &lt;参股公司及理财&gt;</t>
  </si>
  <si>
    <t xml:space="preserve">    &lt;子分公司分红&gt;</t>
  </si>
  <si>
    <t>代县矿业</t>
  </si>
  <si>
    <t>岚县矿业</t>
  </si>
  <si>
    <t>太钢鑫磊</t>
  </si>
  <si>
    <t>太钢万邦</t>
  </si>
  <si>
    <t>钢科碳材料</t>
  </si>
  <si>
    <t>BOC气体公司</t>
  </si>
  <si>
    <t>耐材公司</t>
  </si>
  <si>
    <t>电气公司</t>
  </si>
  <si>
    <t>综合利用公司</t>
  </si>
  <si>
    <t>修建公司</t>
  </si>
  <si>
    <t>福利总厂</t>
  </si>
  <si>
    <t>国贸公司</t>
  </si>
  <si>
    <t>香港公司</t>
  </si>
  <si>
    <t>世茂商务中心</t>
  </si>
  <si>
    <t>财务公司</t>
  </si>
  <si>
    <t>保险代理</t>
  </si>
  <si>
    <t>投资公司</t>
  </si>
  <si>
    <t>融资租赁</t>
  </si>
  <si>
    <t>商业保理</t>
  </si>
  <si>
    <t>临钢公司</t>
  </si>
  <si>
    <t>不锈钢工业园</t>
  </si>
  <si>
    <t>房地产开发</t>
  </si>
  <si>
    <t>工程技术公司</t>
  </si>
  <si>
    <t>能源公司</t>
  </si>
  <si>
    <t>环境监测公司</t>
  </si>
  <si>
    <t>冶金研究所</t>
  </si>
  <si>
    <t>先进材料研究院</t>
  </si>
  <si>
    <t>医疗公司</t>
  </si>
  <si>
    <t>峨口农业</t>
  </si>
  <si>
    <t>尖山农业</t>
  </si>
  <si>
    <t>岚县农业</t>
  </si>
  <si>
    <t>其他子公司</t>
  </si>
  <si>
    <t>抵减项目</t>
  </si>
  <si>
    <t>抵减财务公司投资收益</t>
  </si>
  <si>
    <t>合并财务公司拨备</t>
  </si>
  <si>
    <t>抵减子分公司投资收益</t>
  </si>
  <si>
    <t>其他事项处理</t>
  </si>
  <si>
    <t>租赁含保理</t>
  </si>
  <si>
    <t>岚县收费</t>
  </si>
  <si>
    <t>代县收费</t>
  </si>
  <si>
    <t>预提热源费</t>
  </si>
  <si>
    <t>参股公司分红</t>
  </si>
  <si>
    <t>太钢不锈子公司</t>
  </si>
  <si>
    <t>太钢不锈母公司</t>
  </si>
  <si>
    <t>太钢不锈经营利润调整</t>
  </si>
  <si>
    <t>以前月份保值</t>
  </si>
  <si>
    <t>当月连续订货优惠</t>
  </si>
  <si>
    <t>城北供热</t>
  </si>
  <si>
    <t>热源费</t>
  </si>
  <si>
    <t>预提年金</t>
  </si>
  <si>
    <t>其他</t>
  </si>
  <si>
    <t>财务公司拨备</t>
  </si>
  <si>
    <t>实际</t>
  </si>
  <si>
    <t>报表</t>
  </si>
  <si>
    <t>特殊因素</t>
  </si>
  <si>
    <t>太钢不锈同期</t>
  </si>
  <si>
    <t>累计同期</t>
  </si>
  <si>
    <t>上年报表</t>
  </si>
  <si>
    <t>比上年</t>
  </si>
  <si>
    <t>上年累计</t>
  </si>
  <si>
    <t>比上年累计</t>
  </si>
  <si>
    <t>厂办大集体改革</t>
  </si>
  <si>
    <t>备注</t>
  </si>
  <si>
    <t>改革总成本</t>
  </si>
  <si>
    <t>万元</t>
  </si>
  <si>
    <t>减：评估净资产</t>
  </si>
  <si>
    <t>已收到政府补助</t>
  </si>
  <si>
    <t>含利息1345万元</t>
  </si>
  <si>
    <t>正在争取政府补助</t>
  </si>
  <si>
    <t>缺口</t>
  </si>
  <si>
    <t>维简费</t>
  </si>
  <si>
    <t>2020年预算</t>
  </si>
  <si>
    <t>比上年平均</t>
  </si>
  <si>
    <t>关联收入</t>
  </si>
  <si>
    <t xml:space="preserve">利润 </t>
  </si>
  <si>
    <t>投资收益</t>
  </si>
  <si>
    <t>-</t>
  </si>
  <si>
    <t>合计</t>
  </si>
  <si>
    <t>收入合计</t>
  </si>
  <si>
    <t>收入差额</t>
  </si>
  <si>
    <t>贸易收入</t>
  </si>
  <si>
    <t>非钢业务收入变动</t>
  </si>
  <si>
    <t>其他非钢变动</t>
  </si>
  <si>
    <t>太钢不锈非钢变动</t>
  </si>
  <si>
    <t>净利润</t>
  </si>
  <si>
    <t>青岛港
澳粉价格</t>
  </si>
  <si>
    <t>元/吨</t>
  </si>
  <si>
    <t>价格（不含税）</t>
  </si>
  <si>
    <t>尖山粉</t>
  </si>
  <si>
    <t>峨口粉</t>
  </si>
  <si>
    <t>岚县粉</t>
  </si>
  <si>
    <t>峨口球团</t>
  </si>
  <si>
    <t>岚县球团</t>
  </si>
  <si>
    <r>
      <rPr>
        <sz val="11"/>
        <color theme="1"/>
        <rFont val="等线"/>
        <family val="3"/>
        <charset val="134"/>
        <scheme val="minor"/>
      </rPr>
      <t>前半年青岛港澳粉平均价格(不含税</t>
    </r>
    <r>
      <rPr>
        <sz val="11"/>
        <color theme="1"/>
        <rFont val="等线"/>
        <family val="3"/>
        <charset val="134"/>
        <scheme val="minor"/>
      </rPr>
      <t>)</t>
    </r>
  </si>
  <si>
    <t>青岛港澳粉品位</t>
  </si>
  <si>
    <t>实际品位</t>
  </si>
  <si>
    <t>岚县球团品位按设计63计算</t>
  </si>
  <si>
    <t>优惠幅度</t>
  </si>
  <si>
    <t>青岛港到太钢运费</t>
  </si>
  <si>
    <t>球团加价</t>
  </si>
  <si>
    <t>运费</t>
  </si>
  <si>
    <t>关联交易价格</t>
  </si>
  <si>
    <t xml:space="preserve">调整事项 </t>
  </si>
  <si>
    <t>下发价格</t>
  </si>
  <si>
    <t>上月价格</t>
  </si>
  <si>
    <t>本月预计结算量</t>
  </si>
  <si>
    <t>变动</t>
  </si>
  <si>
    <t>尖山铁精矿</t>
  </si>
  <si>
    <t>峨口铁精矿</t>
  </si>
  <si>
    <t>岚县铁精矿</t>
  </si>
  <si>
    <t>峨口球团矿</t>
  </si>
  <si>
    <t>岚县球团矿</t>
  </si>
  <si>
    <t>！单位：元</t>
  </si>
  <si>
    <t>岚县矿产品收入</t>
  </si>
  <si>
    <t>岚县矿产品成本</t>
  </si>
  <si>
    <t>代县矿产品收入</t>
  </si>
  <si>
    <t>代县矿产品成本</t>
  </si>
  <si>
    <t>矿产成本差异（交回利润为“+”）</t>
  </si>
  <si>
    <t>内退人员费用</t>
  </si>
  <si>
    <t>钢新服务费</t>
  </si>
  <si>
    <t>联产工资</t>
  </si>
  <si>
    <t>宏业差异</t>
  </si>
  <si>
    <t>本部留存差异（好处为"-"）</t>
  </si>
  <si>
    <t>本部留存其他（好处为"-"）</t>
  </si>
  <si>
    <t>委贷利息收入</t>
  </si>
  <si>
    <t>岚县收费合计</t>
  </si>
  <si>
    <t>矿石使用费-岚县</t>
  </si>
  <si>
    <t>技术服务费-岚县</t>
  </si>
  <si>
    <t>综合服务费-岚县</t>
  </si>
  <si>
    <t>矿石使用费-代县</t>
  </si>
  <si>
    <t>技术服务费-代县</t>
  </si>
  <si>
    <t>土地租赁费-代县</t>
  </si>
  <si>
    <t>综合服务费-代县</t>
  </si>
  <si>
    <t>综合服务费-福利厂</t>
  </si>
  <si>
    <t>综合服务费-太钢不锈</t>
  </si>
  <si>
    <t>综合服务费-哈斯科</t>
  </si>
  <si>
    <t>土地租赁-太钢不锈</t>
  </si>
  <si>
    <t>土地租赁-阿克斯</t>
  </si>
  <si>
    <t>本部管理费用-职工薪酬</t>
  </si>
  <si>
    <t>本部管理费用-无形资产摊销</t>
  </si>
  <si>
    <t>本部管理费用-待岗人员费用</t>
  </si>
  <si>
    <t>本部管理费用-待业人员安置费</t>
  </si>
  <si>
    <t>本部管理费用-医院包干费</t>
  </si>
  <si>
    <t>本部管理费用-保代协作费</t>
  </si>
  <si>
    <t>锁汇-公允价值变动</t>
  </si>
  <si>
    <t>锁汇-投资收益</t>
  </si>
  <si>
    <t>参股公司投资收益</t>
  </si>
  <si>
    <t>香港单体收入</t>
  </si>
  <si>
    <t>香港单体利润</t>
  </si>
  <si>
    <t>融资租赁收入</t>
  </si>
  <si>
    <t>融资租赁收入（关联）</t>
  </si>
  <si>
    <t>融资租赁利润</t>
  </si>
  <si>
    <t>商业保理收入</t>
  </si>
  <si>
    <t>商业保理收入（关联）</t>
  </si>
  <si>
    <t>商业保理利润</t>
  </si>
  <si>
    <t>工业园（单体）收入</t>
  </si>
  <si>
    <t>太仕柯（单体）收入</t>
  </si>
  <si>
    <t>工业园（单体）利润</t>
  </si>
  <si>
    <t>太仕柯利润</t>
  </si>
  <si>
    <t>房产利润（分析口径）</t>
  </si>
  <si>
    <t>钢盛利润</t>
  </si>
  <si>
    <t>国贸外销毛利（万元）</t>
  </si>
  <si>
    <t>矿业公司外销利润</t>
  </si>
  <si>
    <t>钢</t>
  </si>
  <si>
    <t>焦    炭</t>
  </si>
  <si>
    <t>烧结矿</t>
  </si>
  <si>
    <t>其中:三烧</t>
  </si>
  <si>
    <t>其中:四烧</t>
  </si>
  <si>
    <t>生    铁</t>
  </si>
  <si>
    <t>3#高炉(1800m3)</t>
  </si>
  <si>
    <t>5#高炉(4350m3)</t>
  </si>
  <si>
    <t>6#高炉(4350m3)</t>
  </si>
  <si>
    <t>钢  总  计</t>
  </si>
  <si>
    <t xml:space="preserve">   其中: 连铸坯</t>
  </si>
  <si>
    <t>炼钢一厂</t>
  </si>
  <si>
    <t xml:space="preserve">  不锈钢</t>
  </si>
  <si>
    <t xml:space="preserve">      其中：连铸坯</t>
  </si>
  <si>
    <t xml:space="preserve">  碳钢</t>
  </si>
  <si>
    <t xml:space="preserve">         其中: 连铸坯</t>
  </si>
  <si>
    <t>炼钢二厂</t>
  </si>
  <si>
    <t xml:space="preserve">    南区</t>
  </si>
  <si>
    <t xml:space="preserve">    北区</t>
  </si>
  <si>
    <t>镍铁</t>
  </si>
  <si>
    <t>折金属镍</t>
  </si>
  <si>
    <t>不 锈 钢</t>
  </si>
  <si>
    <t xml:space="preserve">   其中：Cr钢</t>
  </si>
  <si>
    <t xml:space="preserve">  Cr钢占不锈钢的比重</t>
  </si>
  <si>
    <t xml:space="preserve">  南区</t>
  </si>
  <si>
    <t xml:space="preserve">  北区</t>
  </si>
  <si>
    <t>材</t>
  </si>
  <si>
    <t>坯材合计</t>
  </si>
  <si>
    <t>商品坯合计</t>
  </si>
  <si>
    <t>型材厂</t>
  </si>
  <si>
    <t>钢材合计</t>
  </si>
  <si>
    <t>轧材工序</t>
  </si>
  <si>
    <t>锻材工序</t>
  </si>
  <si>
    <t xml:space="preserve">  其中：径锻</t>
  </si>
  <si>
    <t>不锈线材厂</t>
  </si>
  <si>
    <t>不锈热轧厂</t>
  </si>
  <si>
    <t>冷轧硅钢厂</t>
  </si>
  <si>
    <t>冷板</t>
  </si>
  <si>
    <t>硅钢</t>
  </si>
  <si>
    <t>热连轧厂</t>
  </si>
  <si>
    <t>1549轧线</t>
  </si>
  <si>
    <t>2250轧线</t>
  </si>
  <si>
    <t>不锈冷轧厂</t>
  </si>
  <si>
    <t>热轧卷切板</t>
  </si>
  <si>
    <t xml:space="preserve">      复合材料厂复合板</t>
  </si>
  <si>
    <t xml:space="preserve">      不锈钢管</t>
  </si>
  <si>
    <t xml:space="preserve">           无缝钢管</t>
  </si>
  <si>
    <t xml:space="preserve">           焊接钢管</t>
  </si>
  <si>
    <t>精密带钢</t>
  </si>
  <si>
    <t>太钢天管公司</t>
  </si>
  <si>
    <t>广东太钢加工中心</t>
  </si>
  <si>
    <t>临汾分公司</t>
  </si>
  <si>
    <t xml:space="preserve">  减：供复合材料厂中板</t>
  </si>
  <si>
    <t>不锈坯材</t>
  </si>
  <si>
    <t>其中:Cr不锈材</t>
  </si>
  <si>
    <t xml:space="preserve">  Cr材占不锈材的比重</t>
  </si>
  <si>
    <t>不锈商品坯</t>
  </si>
  <si>
    <t>炼钢一厂商品坯</t>
  </si>
  <si>
    <t>炼钢二厂商品坯</t>
  </si>
  <si>
    <t>型材厂商品坯</t>
  </si>
  <si>
    <t>不锈钢材</t>
  </si>
  <si>
    <t>不锈热轧中板</t>
  </si>
  <si>
    <t>冷轧硅钢冷板</t>
  </si>
  <si>
    <t>复合材料厂复合板</t>
  </si>
  <si>
    <t>不锈钢管</t>
  </si>
  <si>
    <t xml:space="preserve">  无缝钢管</t>
  </si>
  <si>
    <t xml:space="preserve">  焊接钢管</t>
  </si>
  <si>
    <t xml:space="preserve">    减：供复合材料厂中板</t>
  </si>
  <si>
    <t>矿</t>
  </si>
  <si>
    <t>铁矿石采剥总量</t>
  </si>
  <si>
    <t xml:space="preserve">    岚县矿业</t>
  </si>
  <si>
    <t xml:space="preserve">    尖山</t>
  </si>
  <si>
    <t xml:space="preserve">    峨口</t>
  </si>
  <si>
    <t>铁矿石原矿量</t>
  </si>
  <si>
    <t xml:space="preserve">    峨口 </t>
  </si>
  <si>
    <t>入磨矿石量</t>
  </si>
  <si>
    <t xml:space="preserve">       其中：自产红粉</t>
  </si>
  <si>
    <t xml:space="preserve">             自产磁粉</t>
  </si>
  <si>
    <t xml:space="preserve">             其他方式</t>
  </si>
  <si>
    <t xml:space="preserve">       其中：自产</t>
  </si>
  <si>
    <t>球团矿</t>
  </si>
  <si>
    <t xml:space="preserve">   岚县矿业</t>
  </si>
  <si>
    <t xml:space="preserve">   峨口</t>
  </si>
  <si>
    <t>白云石采总</t>
  </si>
  <si>
    <t>白云石成品矿</t>
  </si>
  <si>
    <t>轻烧白云石块矿</t>
  </si>
  <si>
    <t>石灰石采总</t>
  </si>
  <si>
    <t xml:space="preserve">    东山</t>
  </si>
  <si>
    <t xml:space="preserve">    鑫磊</t>
  </si>
  <si>
    <t>石灰石块矿总量</t>
  </si>
  <si>
    <t>冶金白灰</t>
  </si>
  <si>
    <t>概况</t>
  </si>
  <si>
    <t>一、矿石、矿粉</t>
  </si>
  <si>
    <t xml:space="preserve">    铁矿石采剥总量</t>
  </si>
  <si>
    <t xml:space="preserve">  铁矿石原矿量</t>
  </si>
  <si>
    <t xml:space="preserve">       精矿粉</t>
  </si>
  <si>
    <t xml:space="preserve">       球团矿</t>
  </si>
  <si>
    <t>二、焦   碳</t>
  </si>
  <si>
    <t>三、烧 结 矿</t>
  </si>
  <si>
    <t>四、生  铁</t>
  </si>
  <si>
    <t>炼钢生铁</t>
  </si>
  <si>
    <t>铸造生铁</t>
  </si>
  <si>
    <t>竖炉生铁</t>
  </si>
  <si>
    <t>五、粗  钢</t>
  </si>
  <si>
    <t>连铸坯</t>
  </si>
  <si>
    <t>模铸锭</t>
  </si>
  <si>
    <t xml:space="preserve">      其中：Cr不锈</t>
  </si>
  <si>
    <t>六、坯   材</t>
  </si>
  <si>
    <t xml:space="preserve">      不锈材</t>
  </si>
  <si>
    <t xml:space="preserve">      其中：Cr不锈材</t>
  </si>
  <si>
    <t>商 品 坯</t>
  </si>
  <si>
    <t xml:space="preserve">      不锈商品坯</t>
  </si>
  <si>
    <t>钢    材</t>
  </si>
  <si>
    <t xml:space="preserve">   不锈钢材</t>
  </si>
  <si>
    <t>其中：岚县</t>
  </si>
  <si>
    <t>（自产红粉）</t>
  </si>
  <si>
    <t>（自产磁粉）</t>
  </si>
  <si>
    <t xml:space="preserve"> (外委加工)</t>
  </si>
  <si>
    <t xml:space="preserve">      尖山</t>
  </si>
  <si>
    <t xml:space="preserve">      峨口</t>
  </si>
  <si>
    <t>其中：东山</t>
  </si>
  <si>
    <t xml:space="preserve">      鑫磊</t>
  </si>
  <si>
    <t>焦炭</t>
  </si>
  <si>
    <t>其中：不锈钢</t>
  </si>
  <si>
    <t>黑材</t>
  </si>
  <si>
    <t>建议报出</t>
  </si>
  <si>
    <t>新口径</t>
  </si>
  <si>
    <t>增值税</t>
  </si>
  <si>
    <t>城建税</t>
  </si>
  <si>
    <t>教育费附加</t>
  </si>
  <si>
    <t>房产税</t>
  </si>
  <si>
    <t>土地税</t>
  </si>
  <si>
    <t>车船税</t>
  </si>
  <si>
    <t>印花税</t>
  </si>
  <si>
    <t>资源税</t>
  </si>
  <si>
    <t>环保税</t>
  </si>
  <si>
    <t>水资税</t>
  </si>
  <si>
    <t>关税</t>
  </si>
  <si>
    <t>契税</t>
  </si>
  <si>
    <t>小计</t>
  </si>
  <si>
    <t>企业所得税</t>
  </si>
  <si>
    <t>实现税金合计</t>
  </si>
  <si>
    <t>上交税金</t>
  </si>
  <si>
    <t>上交税金合计</t>
  </si>
  <si>
    <t>计量
单位</t>
  </si>
  <si>
    <t>2019年</t>
  </si>
  <si>
    <t>2020年</t>
  </si>
  <si>
    <t>累计比较</t>
  </si>
  <si>
    <t>12月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</si>
  <si>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</si>
  <si>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</si>
  <si>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</si>
  <si>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</si>
  <si>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</si>
  <si>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</si>
  <si>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</si>
  <si>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</si>
  <si>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</si>
  <si>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</si>
  <si>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</si>
  <si>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一、经营活动产生的现金流量：</t>
  </si>
  <si>
    <t>——</t>
  </si>
  <si>
    <t>经营活动流入</t>
  </si>
  <si>
    <t>经营活动流出</t>
  </si>
  <si>
    <t>经营活动净流量</t>
  </si>
  <si>
    <t>二、投资活动产生的现金流量：</t>
  </si>
  <si>
    <t>投资活动流入</t>
  </si>
  <si>
    <t>投资活动流出</t>
  </si>
  <si>
    <t>投资活动净流量</t>
  </si>
  <si>
    <t>三、筹资活动产生的现金流量：</t>
  </si>
  <si>
    <t>五、现金及现金等价物净增加额</t>
  </si>
  <si>
    <t>2020年初</t>
  </si>
  <si>
    <t>1月末</t>
  </si>
  <si>
    <t>比年初</t>
  </si>
  <si>
    <t>2月末</t>
  </si>
  <si>
    <t>3月末</t>
  </si>
  <si>
    <t>4月末</t>
  </si>
  <si>
    <t>5月末</t>
  </si>
  <si>
    <t>6月末</t>
  </si>
  <si>
    <t>7月末</t>
  </si>
  <si>
    <t>8月末</t>
  </si>
  <si>
    <t>9月末</t>
  </si>
  <si>
    <t>10月末</t>
  </si>
  <si>
    <t>11月末</t>
  </si>
  <si>
    <t>矿产品</t>
  </si>
  <si>
    <t>万吨</t>
  </si>
  <si>
    <t xml:space="preserve">  其中：矿业公司</t>
  </si>
  <si>
    <t xml:space="preserve">       （岚县）</t>
  </si>
  <si>
    <t xml:space="preserve">       （峨口）</t>
  </si>
  <si>
    <t xml:space="preserve">       （尖山）</t>
  </si>
  <si>
    <t xml:space="preserve">        太钢不锈</t>
  </si>
  <si>
    <t>钢材产品</t>
  </si>
  <si>
    <t>在线产品</t>
  </si>
  <si>
    <t xml:space="preserve">        （不锈钢）</t>
  </si>
  <si>
    <t xml:space="preserve">        （碳钢）</t>
  </si>
  <si>
    <t>产成品</t>
  </si>
  <si>
    <t>全线产品合计</t>
  </si>
  <si>
    <t>原料</t>
  </si>
  <si>
    <t>！！只有蓝色部分需填写，其余都是公式</t>
  </si>
  <si>
    <t>比上月分析</t>
  </si>
  <si>
    <t>利润校验</t>
  </si>
  <si>
    <t>矿山板块</t>
  </si>
  <si>
    <t>金融投资</t>
  </si>
  <si>
    <t>融资租赁公司（含商业保理）</t>
  </si>
  <si>
    <t>保险代理公司</t>
  </si>
  <si>
    <t>医疗健康</t>
  </si>
  <si>
    <t>生产经营</t>
  </si>
  <si>
    <t>钢科碳材料公司</t>
  </si>
  <si>
    <t xml:space="preserve">项目 </t>
  </si>
  <si>
    <t>上年</t>
  </si>
  <si>
    <t>月预算</t>
  </si>
  <si>
    <t>上月</t>
  </si>
  <si>
    <t>本月</t>
  </si>
  <si>
    <t>同期</t>
  </si>
  <si>
    <t>太仕柯</t>
  </si>
  <si>
    <t>耗材收入</t>
  </si>
  <si>
    <t>药品收入</t>
  </si>
  <si>
    <t>工程技术及咨询服务</t>
  </si>
  <si>
    <t>体检收入</t>
  </si>
  <si>
    <t>烧伤用品收入</t>
  </si>
  <si>
    <t>预防收入</t>
  </si>
  <si>
    <t>利息收入</t>
  </si>
  <si>
    <t>不动产经营</t>
  </si>
  <si>
    <t>上年同期</t>
  </si>
  <si>
    <t>房地产开发公司</t>
  </si>
  <si>
    <t>生态农业</t>
  </si>
  <si>
    <t>人工成本</t>
  </si>
  <si>
    <t>折旧费用</t>
  </si>
  <si>
    <t>药品费用</t>
  </si>
  <si>
    <t>血制品</t>
  </si>
  <si>
    <t>材料费</t>
  </si>
  <si>
    <t>烧伤用品</t>
  </si>
  <si>
    <t>能源费用</t>
  </si>
  <si>
    <t>融资租赁公司</t>
  </si>
  <si>
    <t>商业保理公司</t>
  </si>
  <si>
    <t>（一）营销部小计</t>
  </si>
  <si>
    <t>1、黑材</t>
  </si>
  <si>
    <t>特钢厂</t>
  </si>
  <si>
    <t>二钢厂</t>
  </si>
  <si>
    <t>（1）供临钢连铸坯</t>
  </si>
  <si>
    <t>（2）其他连铸坯</t>
  </si>
  <si>
    <t>（1）轧材</t>
  </si>
  <si>
    <t>（2）锻材</t>
  </si>
  <si>
    <t>其中：径锻</t>
  </si>
  <si>
    <t>快段</t>
  </si>
  <si>
    <t>其中：开平</t>
  </si>
  <si>
    <t>（1）2300轧线</t>
  </si>
  <si>
    <t>（2）硅钢</t>
  </si>
  <si>
    <t>（1）1549轧线</t>
  </si>
  <si>
    <t>（2）2250轧线</t>
  </si>
  <si>
    <t>临钢中板</t>
  </si>
  <si>
    <t>9、不锈冷轧厂</t>
  </si>
  <si>
    <t>10、其他</t>
  </si>
  <si>
    <t>2、不锈</t>
  </si>
  <si>
    <t>（1）南区</t>
  </si>
  <si>
    <t>（2）北区</t>
  </si>
  <si>
    <t>6、冷轧硅钢厂</t>
  </si>
  <si>
    <t>（1）冷板</t>
  </si>
  <si>
    <t>（2）冷卷</t>
  </si>
  <si>
    <t>（3）热板</t>
  </si>
  <si>
    <t>（4）热卷</t>
  </si>
  <si>
    <t>3、复合板</t>
  </si>
  <si>
    <t>4、精密带钢</t>
  </si>
  <si>
    <t>5、不锈钢管</t>
  </si>
  <si>
    <t>（二）不锈钢管公司</t>
  </si>
  <si>
    <t>（一）焊管</t>
  </si>
  <si>
    <t>（二）无缝管</t>
  </si>
  <si>
    <t>（三）精密带钢公司</t>
  </si>
  <si>
    <t>（四）广东佛山加工中心</t>
  </si>
  <si>
    <t>其中：碳钢</t>
  </si>
  <si>
    <t>（五）天管公司</t>
  </si>
  <si>
    <t>（六）太钢保税物流公司</t>
  </si>
  <si>
    <t>（七）太钢美国公司</t>
  </si>
  <si>
    <t>（八）太钢欧洲公司</t>
  </si>
  <si>
    <t>九、特殊钢材商品量</t>
  </si>
  <si>
    <t>1、碳钢</t>
  </si>
  <si>
    <t>钢材贸易</t>
  </si>
  <si>
    <t>2、不锈钢</t>
  </si>
  <si>
    <t>军工核电双经销</t>
  </si>
  <si>
    <t>镍基合金</t>
  </si>
  <si>
    <t>3、钛产品</t>
  </si>
  <si>
    <t>4、天管外销二级品</t>
  </si>
  <si>
    <t>复合材料厂</t>
  </si>
  <si>
    <t>减：供复合材料厂中板</t>
  </si>
  <si>
    <t>钢材出口量</t>
  </si>
  <si>
    <t>其中：不锈材</t>
  </si>
  <si>
    <t>铬钢</t>
  </si>
  <si>
    <t>铬钢比（％）</t>
  </si>
  <si>
    <t>产品市场价格</t>
  </si>
  <si>
    <t>304冷板</t>
  </si>
  <si>
    <t>430冷板</t>
  </si>
  <si>
    <t>Q235热轧卷板</t>
  </si>
  <si>
    <t>冷轧硅钢</t>
  </si>
  <si>
    <t>LME镍现货结算价（美元/吨、不含税）</t>
  </si>
  <si>
    <t>上期所镍（元/吨、含税）</t>
  </si>
  <si>
    <t>铁矿石（62%、干基、元/吨、含税）</t>
  </si>
  <si>
    <t>焦炭（元/吨、含税）</t>
  </si>
  <si>
    <t>焦煤（元/吨、含税）</t>
  </si>
  <si>
    <r>
      <rPr>
        <sz val="10"/>
        <rFont val="仿宋_GB2312"/>
        <family val="3"/>
        <charset val="134"/>
      </rPr>
      <t>国产高镍铁(Ni</t>
    </r>
    <r>
      <rPr>
        <sz val="10"/>
        <rFont val="宋体"/>
        <family val="3"/>
        <charset val="134"/>
      </rPr>
      <t>≈10%、元/镍、含税)</t>
    </r>
  </si>
  <si>
    <t>国产高碳铬铁（50基价、元/吨、含税）</t>
  </si>
  <si>
    <t>普氏指数(美元/干吨、62%、不含税)</t>
  </si>
  <si>
    <r>
      <rPr>
        <sz val="10"/>
        <rFont val="仿宋_GB2312"/>
        <family val="3"/>
        <charset val="134"/>
      </rPr>
      <t>青岛港澳粉（元/湿吨、6</t>
    </r>
    <r>
      <rPr>
        <sz val="10"/>
        <color theme="1"/>
        <rFont val="等线"/>
        <family val="3"/>
        <charset val="134"/>
        <scheme val="minor"/>
      </rPr>
      <t>1.5</t>
    </r>
    <r>
      <rPr>
        <sz val="10"/>
        <rFont val="宋体"/>
        <family val="3"/>
        <charset val="134"/>
      </rPr>
      <t>%、车板含税）</t>
    </r>
  </si>
  <si>
    <t>柳林焦精煤（元/吨、车板含税）</t>
  </si>
  <si>
    <t>同比幅度</t>
  </si>
  <si>
    <t>单价</t>
  </si>
  <si>
    <t>钢材收入占比</t>
  </si>
  <si>
    <t>贸易收入占比</t>
  </si>
  <si>
    <t>平均</t>
  </si>
  <si>
    <t>分析</t>
  </si>
  <si>
    <t>原料价格比较</t>
  </si>
  <si>
    <t>纯镍</t>
  </si>
  <si>
    <t>量差</t>
  </si>
  <si>
    <t>价差</t>
  </si>
  <si>
    <t>影响收入</t>
  </si>
  <si>
    <t>价格比较</t>
  </si>
  <si>
    <t>价格影响</t>
  </si>
  <si>
    <t>影响利润</t>
  </si>
  <si>
    <t>进口镍铁（折纯镍）</t>
  </si>
  <si>
    <t>结算价</t>
  </si>
  <si>
    <t>普碳钢</t>
  </si>
  <si>
    <t>LME镍</t>
  </si>
  <si>
    <t>镍生铁</t>
  </si>
  <si>
    <t>高碳铬铁</t>
  </si>
  <si>
    <t>进口高铬（69%）</t>
  </si>
  <si>
    <t>碳钢小计</t>
  </si>
  <si>
    <t>普指</t>
  </si>
  <si>
    <t>国产高铬（53%）</t>
  </si>
  <si>
    <t>镍钢</t>
  </si>
  <si>
    <t>炉料铬铁（49%）</t>
  </si>
  <si>
    <t>铁矿</t>
  </si>
  <si>
    <t>不锈钢小计</t>
  </si>
  <si>
    <t>铬钢比</t>
  </si>
  <si>
    <t>分类别</t>
  </si>
  <si>
    <t>带结构</t>
  </si>
  <si>
    <t>比同期分析</t>
  </si>
  <si>
    <t>市场价比较</t>
  </si>
  <si>
    <t>比预算分析</t>
  </si>
  <si>
    <t>1-1月累计</t>
  </si>
  <si>
    <t>1-1月累计报出</t>
  </si>
  <si>
    <t>资源业务主要产量指标</t>
  </si>
  <si>
    <t>1.岚县</t>
  </si>
  <si>
    <t xml:space="preserve">  （红矿粉）</t>
  </si>
  <si>
    <t xml:space="preserve">  （磁矿粉）</t>
  </si>
  <si>
    <t xml:space="preserve">  （外委加工）</t>
  </si>
  <si>
    <t>2.尖山</t>
  </si>
  <si>
    <t xml:space="preserve">  （酸性球团）</t>
  </si>
  <si>
    <t xml:space="preserve">  （碱性球团）</t>
  </si>
  <si>
    <t>钢铁业务主要产量指标</t>
  </si>
  <si>
    <t>钢材销量</t>
  </si>
  <si>
    <t>矿产品销量</t>
  </si>
  <si>
    <t>实现税金：&amp;</t>
  </si>
  <si>
    <t>上交税金：</t>
  </si>
  <si>
    <t>实现税金</t>
  </si>
  <si>
    <t>实现税金（不含所得税）</t>
  </si>
  <si>
    <t>粗钢产量</t>
  </si>
  <si>
    <t>吨钢税负</t>
  </si>
  <si>
    <t>实现税金（含所得税）</t>
  </si>
  <si>
    <t>上交税金（不含所得税）</t>
  </si>
  <si>
    <t>上交税金（含所得税）</t>
  </si>
  <si>
    <t xml:space="preserve">单  位 </t>
  </si>
  <si>
    <t>投资</t>
  </si>
  <si>
    <t xml:space="preserve"> 比上月 </t>
  </si>
  <si>
    <t xml:space="preserve"> 累计</t>
  </si>
  <si>
    <t>比例</t>
  </si>
  <si>
    <t xml:space="preserve">晋煤太钢 </t>
  </si>
  <si>
    <t xml:space="preserve">中色太钢 </t>
  </si>
  <si>
    <t xml:space="preserve">太钢大明 </t>
  </si>
  <si>
    <t xml:space="preserve">太钢哈斯科 </t>
  </si>
  <si>
    <t>云时代太钢信自</t>
  </si>
  <si>
    <t>太钢福达</t>
  </si>
  <si>
    <t>理财收益</t>
  </si>
  <si>
    <t>处置长期股权投资</t>
  </si>
  <si>
    <t xml:space="preserve">单位 </t>
  </si>
  <si>
    <t xml:space="preserve"> 投资比例 </t>
  </si>
  <si>
    <t xml:space="preserve"> 比上年 </t>
  </si>
  <si>
    <t xml:space="preserve"> 累计 </t>
  </si>
  <si>
    <t xml:space="preserve"> 一、权益法核算单位 </t>
  </si>
  <si>
    <t xml:space="preserve"> akers公司 </t>
  </si>
  <si>
    <t xml:space="preserve"> 晋煤太钢 </t>
  </si>
  <si>
    <t xml:space="preserve"> 中色太钢 </t>
  </si>
  <si>
    <t xml:space="preserve"> 太钢大明 </t>
  </si>
  <si>
    <t xml:space="preserve"> 太钢哈斯科 </t>
  </si>
  <si>
    <t xml:space="preserve"> 云时代信自 </t>
  </si>
  <si>
    <t xml:space="preserve"> 太钢福达</t>
  </si>
  <si>
    <t xml:space="preserve"> 二、参股公司分红 </t>
  </si>
  <si>
    <t>晋商银行</t>
  </si>
  <si>
    <t>山西证券</t>
  </si>
  <si>
    <t>金钼股份</t>
  </si>
  <si>
    <t>光大银行</t>
  </si>
  <si>
    <t>广深铁路</t>
  </si>
  <si>
    <t>通宝能源</t>
  </si>
  <si>
    <t>晋太贸易公司</t>
  </si>
  <si>
    <t xml:space="preserve"> 三、子分公司分红 </t>
  </si>
  <si>
    <t xml:space="preserve"> BOC </t>
  </si>
  <si>
    <t xml:space="preserve"> 太钢不锈 </t>
  </si>
  <si>
    <t xml:space="preserve"> 四、处置长期股权投资</t>
  </si>
  <si>
    <t xml:space="preserve"> 五、理财收益 </t>
  </si>
  <si>
    <t xml:space="preserve"> 母公司口径合计 </t>
  </si>
  <si>
    <t>投资情况</t>
  </si>
  <si>
    <t>序号</t>
  </si>
  <si>
    <t>一</t>
  </si>
  <si>
    <t>上报国投公司投资额</t>
  </si>
  <si>
    <t>固定资产投资项目</t>
  </si>
  <si>
    <t>土地及矿产资源投资</t>
  </si>
  <si>
    <t>股权投资项目</t>
  </si>
  <si>
    <t>二</t>
  </si>
  <si>
    <t>上报省统计局系统固定资产工业项目投资额</t>
  </si>
  <si>
    <t>其中：上报太原市统计局系统</t>
  </si>
  <si>
    <t>ppt用</t>
  </si>
  <si>
    <t>铁</t>
  </si>
  <si>
    <t>结构</t>
  </si>
  <si>
    <t>结构变化</t>
  </si>
  <si>
    <t>太原市固定资产投资额(上报太原市统计局)</t>
  </si>
  <si>
    <t>带息负债</t>
  </si>
  <si>
    <t>资产负债率</t>
  </si>
  <si>
    <t>领导：</t>
  </si>
  <si>
    <t>现将太钢集团2月收入、利润情况报告如下：</t>
  </si>
  <si>
    <t>一、营业收入</t>
  </si>
  <si>
    <t>2月份集团营业收入55.1亿元，比上月53.5亿元增加1.6亿元。</t>
  </si>
  <si>
    <t>累计收入108.6亿元，比上年同期115.4亿元减少6.8亿元，降幅6%。</t>
  </si>
  <si>
    <t>二、利润总额</t>
  </si>
  <si>
    <t>1、2月份集团一次汇总利润1.4亿元，比上月利润2.2亿元减少0.8亿元。</t>
  </si>
  <si>
    <t>2、2月报表利润0.35亿元，比上月2亿元减少1.65亿元。</t>
  </si>
  <si>
    <t>累计报表利润2.35亿元，比上年同期2.5亿元减少0.15亿元，降幅6%。</t>
  </si>
  <si>
    <t>三、太原地区产值</t>
  </si>
  <si>
    <t>1、2月份产值实际58亿元，比上月减少4.3亿元。</t>
  </si>
  <si>
    <t>2、累计产值120.3亿元，比上年同期117亿元增加3.3亿元，增幅2.8%。</t>
  </si>
  <si>
    <t>四、有息负债</t>
  </si>
  <si>
    <t>2月末集团带息负债总额552亿元，比年初增加20亿元。</t>
  </si>
  <si>
    <t>2月末资产负债率为58%，比年初增加0.6%。</t>
  </si>
  <si>
    <t>五、实现税金</t>
  </si>
  <si>
    <t>2月份集团实现税金1.4亿元，比上月减少1亿元。</t>
  </si>
  <si>
    <t>集团累计实现税金3.8亿元，比上年同期累计减少1.6亿元，降幅29.9%。</t>
  </si>
  <si>
    <t>月均预算</t>
  </si>
  <si>
    <t>1月实际</t>
  </si>
  <si>
    <t>2月实际</t>
  </si>
  <si>
    <t>3月利润</t>
  </si>
  <si>
    <t>4月利润</t>
  </si>
  <si>
    <t>5月利润</t>
  </si>
  <si>
    <t>6月利润</t>
  </si>
  <si>
    <t>7月利润</t>
  </si>
  <si>
    <t>8月利润</t>
  </si>
  <si>
    <t>9月利润</t>
  </si>
  <si>
    <t>10月利润</t>
  </si>
  <si>
    <t>11月利润</t>
  </si>
  <si>
    <t>12月利润</t>
  </si>
  <si>
    <t>比预测</t>
  </si>
  <si>
    <t>其中：母公司</t>
  </si>
  <si>
    <t>母经营利润调整</t>
  </si>
  <si>
    <t>固定资产报废（坏处为“-”）</t>
  </si>
  <si>
    <t>处理特殊事项（坏处为“-”）</t>
  </si>
  <si>
    <t>尖山外委剥岩</t>
  </si>
  <si>
    <t>结构影响</t>
  </si>
  <si>
    <t>钢材价格（含税）</t>
  </si>
  <si>
    <t>钢材价格（不含税）</t>
  </si>
  <si>
    <t>税率</t>
  </si>
  <si>
    <r>
      <rPr>
        <sz val="12"/>
        <rFont val="宋体"/>
        <family val="3"/>
        <charset val="134"/>
      </rPr>
      <t>国产高镍铁(Ni</t>
    </r>
    <r>
      <rPr>
        <sz val="12"/>
        <rFont val="宋体"/>
        <family val="3"/>
        <charset val="134"/>
      </rPr>
      <t>≈</t>
    </r>
    <r>
      <rPr>
        <sz val="12"/>
        <rFont val="宋体"/>
        <family val="3"/>
        <charset val="134"/>
      </rPr>
      <t>10%、元/镍、含税)</t>
    </r>
  </si>
  <si>
    <r>
      <rPr>
        <sz val="11"/>
        <color theme="1"/>
        <rFont val="等线"/>
        <family val="3"/>
        <charset val="134"/>
        <scheme val="minor"/>
      </rPr>
      <t>青岛港澳粉（元/湿吨、6</t>
    </r>
    <r>
      <rPr>
        <sz val="11"/>
        <color theme="1"/>
        <rFont val="等线"/>
        <family val="3"/>
        <charset val="134"/>
        <scheme val="minor"/>
      </rPr>
      <t>1.5</t>
    </r>
    <r>
      <rPr>
        <sz val="12"/>
        <rFont val="宋体"/>
        <family val="3"/>
        <charset val="134"/>
      </rPr>
      <t>%、车板含税）</t>
    </r>
  </si>
  <si>
    <t>矿业分公司（报表利润）</t>
  </si>
  <si>
    <t>宏业公司（利润）</t>
  </si>
  <si>
    <t>北京宾馆（利润）</t>
  </si>
  <si>
    <t>清欠公司（利润）</t>
  </si>
  <si>
    <t>房产公司（利润）</t>
  </si>
  <si>
    <t>营业税金及附加</t>
  </si>
  <si>
    <t>管理费用</t>
  </si>
  <si>
    <t>财务费用</t>
  </si>
  <si>
    <t>本部（利润）</t>
  </si>
  <si>
    <t>主营业务收入</t>
  </si>
  <si>
    <t>矿产品（岚县）</t>
  </si>
  <si>
    <t>矿产品（代县）</t>
  </si>
  <si>
    <t>主营业务成本（成本为负）</t>
  </si>
  <si>
    <t>·矿产品（岚县）</t>
  </si>
  <si>
    <t>·矿产品（代县）</t>
  </si>
  <si>
    <t>·矿产品（差异）</t>
  </si>
  <si>
    <t>·基本生产</t>
  </si>
  <si>
    <t>（内退人员费用）</t>
  </si>
  <si>
    <t>（钢新服务费）</t>
  </si>
  <si>
    <t>（联产工资）</t>
  </si>
  <si>
    <t>（宏业差异）</t>
  </si>
  <si>
    <t>·其他</t>
  </si>
  <si>
    <t>其他业务收入</t>
  </si>
  <si>
    <t>土地租赁-代县</t>
  </si>
  <si>
    <t>土地租赁-其他单位</t>
  </si>
  <si>
    <t>其他业务成本</t>
  </si>
  <si>
    <t>土地摊销</t>
  </si>
  <si>
    <t>矿权摊销</t>
  </si>
  <si>
    <t>地勘费摊销</t>
  </si>
  <si>
    <t>无形资产摊销</t>
  </si>
  <si>
    <t>待岗人员费用</t>
  </si>
  <si>
    <t>待业人员安置费</t>
  </si>
  <si>
    <t>医院包干费</t>
  </si>
  <si>
    <t>保代协作费</t>
  </si>
  <si>
    <t>公允价值变动（损失为"-"）</t>
  </si>
  <si>
    <t>税金及附加</t>
  </si>
  <si>
    <t>营业外收入</t>
  </si>
  <si>
    <t>营业外支出</t>
  </si>
  <si>
    <t>投资收益-锁汇</t>
  </si>
  <si>
    <t>其他收益</t>
  </si>
  <si>
    <t>资产减值损失（损失为"-"）</t>
  </si>
  <si>
    <t>资产处置损益（损失为"-"）</t>
  </si>
  <si>
    <t>其他事项</t>
  </si>
  <si>
    <t>不含投资收益</t>
  </si>
  <si>
    <r>
      <rPr>
        <sz val="12"/>
        <rFont val="Calibri"/>
        <family val="2"/>
      </rPr>
      <t>·</t>
    </r>
    <r>
      <rPr>
        <sz val="12"/>
        <rFont val="仿宋_GB2312"/>
        <family val="3"/>
        <charset val="134"/>
      </rPr>
      <t>留存差异（好处为"-"）</t>
    </r>
  </si>
  <si>
    <r>
      <rPr>
        <sz val="12"/>
        <rFont val="Calibri"/>
        <family val="2"/>
      </rPr>
      <t>·</t>
    </r>
    <r>
      <rPr>
        <sz val="12"/>
        <rFont val="仿宋_GB2312"/>
        <family val="3"/>
        <charset val="134"/>
      </rPr>
      <t>留存其他（好处为"-"）</t>
    </r>
  </si>
  <si>
    <t>·处理其他事项</t>
  </si>
  <si>
    <t>报表报出</t>
  </si>
  <si>
    <t>本部特殊事项（好处为“+”）</t>
  </si>
  <si>
    <t>矿山特殊事项（差异）</t>
  </si>
  <si>
    <t>母公司报表数据</t>
  </si>
  <si>
    <t>主营业务成本</t>
  </si>
  <si>
    <t>公允价值变动</t>
  </si>
  <si>
    <t>资产减值损失</t>
  </si>
  <si>
    <t>资产处置损益</t>
  </si>
  <si>
    <t>管理费用（除矿业）</t>
  </si>
  <si>
    <t>管理费用（矿业）</t>
  </si>
  <si>
    <t>没入账投资收益（万元）</t>
  </si>
  <si>
    <t>矿山利润明细</t>
  </si>
  <si>
    <t>尖山铁矿</t>
  </si>
  <si>
    <t>峨口铁矿</t>
  </si>
  <si>
    <t>东山矿</t>
  </si>
  <si>
    <t>矿业公司利润</t>
  </si>
  <si>
    <t>矿山利润校验</t>
  </si>
  <si>
    <t>岚县产品价差(含外销)</t>
  </si>
  <si>
    <t>代县产品价差(含外销)</t>
  </si>
  <si>
    <t>岚县技术服务费</t>
  </si>
  <si>
    <t>代县技术服务费</t>
  </si>
  <si>
    <t>母公司利润分析</t>
  </si>
  <si>
    <t>经营利润剔除</t>
  </si>
  <si>
    <t>*岚县三项收费</t>
  </si>
  <si>
    <t>*代县收费</t>
  </si>
  <si>
    <t>*预提费用</t>
  </si>
  <si>
    <t>*本部特殊事项处理</t>
  </si>
  <si>
    <t>管理费特殊事项</t>
  </si>
  <si>
    <t>财务费特殊事项</t>
  </si>
  <si>
    <t>其他特殊事项</t>
  </si>
  <si>
    <t>*矿业公司特殊事项</t>
  </si>
  <si>
    <t>母公司经营利润</t>
  </si>
  <si>
    <t>矿业公司经营利润</t>
  </si>
  <si>
    <t>期间费用</t>
  </si>
  <si>
    <t>财务费用+汇兑+公允</t>
  </si>
  <si>
    <t>影响</t>
  </si>
  <si>
    <t>累计销量影响</t>
  </si>
  <si>
    <t>1、外部因素</t>
  </si>
  <si>
    <t xml:space="preserve">  钢材价格</t>
  </si>
  <si>
    <t xml:space="preserve">  原料价格</t>
  </si>
  <si>
    <t>2、内部因素</t>
  </si>
  <si>
    <t xml:space="preserve">  降本增效</t>
  </si>
  <si>
    <t xml:space="preserve">  期间费用</t>
  </si>
  <si>
    <t>预算铬钢比</t>
  </si>
  <si>
    <t xml:space="preserve">    其中：管理费用</t>
  </si>
  <si>
    <t>实际铬钢比</t>
  </si>
  <si>
    <t xml:space="preserve">             其中：技研费</t>
  </si>
  <si>
    <t>差额</t>
  </si>
  <si>
    <t xml:space="preserve">          财务费用</t>
  </si>
  <si>
    <t xml:space="preserve">             其中：汇兑收益</t>
  </si>
  <si>
    <t xml:space="preserve">          营业费用</t>
  </si>
  <si>
    <t>3、政策调整</t>
  </si>
  <si>
    <t xml:space="preserve">  折旧调整</t>
  </si>
  <si>
    <t xml:space="preserve">  资源税降低</t>
  </si>
  <si>
    <t xml:space="preserve">  营改增</t>
  </si>
  <si>
    <t xml:space="preserve">  保险费率调整</t>
  </si>
  <si>
    <t>4、出售股票</t>
  </si>
  <si>
    <t>5、政府补助</t>
  </si>
  <si>
    <t>6、留存亏损</t>
  </si>
  <si>
    <t>公允价值变动损益</t>
  </si>
  <si>
    <t>外部因素</t>
  </si>
  <si>
    <t>内部因素</t>
  </si>
  <si>
    <t>含税</t>
  </si>
  <si>
    <t xml:space="preserve">             其中：汇兑损益</t>
  </si>
  <si>
    <t>一、合金</t>
  </si>
  <si>
    <t>镍生铁（高镍、高硫10%）</t>
  </si>
  <si>
    <t>高磷铬镍生铁</t>
  </si>
  <si>
    <t>除尘灰回收铬镍生铁</t>
  </si>
  <si>
    <t>普废</t>
  </si>
  <si>
    <t>二、矿粉、球团</t>
  </si>
  <si>
    <t>尖山精粉-TFe≥68%</t>
  </si>
  <si>
    <t>袁家村铁精矿粉65%</t>
  </si>
  <si>
    <t>峨口球团--TFe≥64%</t>
  </si>
  <si>
    <t>袁家村球团63%</t>
  </si>
  <si>
    <t>扬迪粉（57%）</t>
  </si>
  <si>
    <t>市场价格</t>
  </si>
  <si>
    <t>期货</t>
  </si>
  <si>
    <t>现货</t>
  </si>
  <si>
    <r>
      <rPr>
        <sz val="12"/>
        <rFont val="宋体"/>
        <family val="3"/>
        <charset val="134"/>
      </rPr>
      <t>青岛港澳粉（元/湿吨、6</t>
    </r>
    <r>
      <rPr>
        <sz val="11"/>
        <color theme="1"/>
        <rFont val="等线"/>
        <family val="3"/>
        <charset val="134"/>
        <scheme val="minor"/>
      </rPr>
      <t>1.5</t>
    </r>
    <r>
      <rPr>
        <sz val="12"/>
        <rFont val="宋体"/>
        <family val="3"/>
        <charset val="134"/>
      </rPr>
      <t>%、车板含税）</t>
    </r>
  </si>
  <si>
    <t>增值税率</t>
  </si>
  <si>
    <t>青岛港澳粉（定价用，不含税）</t>
  </si>
  <si>
    <t>股份关联价格制定</t>
  </si>
  <si>
    <t>定价基数</t>
  </si>
  <si>
    <t>平均数</t>
  </si>
  <si>
    <t>水分</t>
  </si>
  <si>
    <t>尖山粉品位</t>
  </si>
  <si>
    <t>峨口粉品位</t>
  </si>
  <si>
    <t>岚县粉品位</t>
  </si>
  <si>
    <t>峨口球团品位</t>
  </si>
  <si>
    <t>岚县球团品位</t>
  </si>
  <si>
    <t>尖山气力运输费用</t>
  </si>
  <si>
    <t>关联交易价格（下发）</t>
  </si>
  <si>
    <t>关联交易价格（按优惠15%）</t>
  </si>
  <si>
    <t>预算完成率</t>
  </si>
  <si>
    <t>累计完成率</t>
  </si>
  <si>
    <t>板块</t>
  </si>
  <si>
    <t>一、钢铁业务</t>
  </si>
  <si>
    <t>岚县矿业公司</t>
  </si>
  <si>
    <t>代县矿业公司</t>
  </si>
  <si>
    <t>矿业公司</t>
  </si>
  <si>
    <t>1.经营利润</t>
  </si>
  <si>
    <t>2.投资收益</t>
  </si>
  <si>
    <t>合   计</t>
  </si>
  <si>
    <t>（一）经营利润</t>
  </si>
  <si>
    <t>1.房产公司利润</t>
  </si>
  <si>
    <t>2.宏业公司利润</t>
  </si>
  <si>
    <t>3.北京宾馆利润</t>
  </si>
  <si>
    <t>4.本部利润</t>
  </si>
  <si>
    <t>（1）收入</t>
  </si>
  <si>
    <t>租赁收入</t>
  </si>
  <si>
    <t>综合服务费（不含矿山）</t>
  </si>
  <si>
    <t>（2）成本</t>
  </si>
  <si>
    <t>基本生产</t>
  </si>
  <si>
    <t>土地、地权、地勘摊销</t>
  </si>
  <si>
    <t>（3）管理费用</t>
  </si>
  <si>
    <t>（4）财务费用（含锁汇）</t>
  </si>
  <si>
    <t>（5）营业外净收入</t>
  </si>
  <si>
    <t>晋煤矿权费</t>
  </si>
  <si>
    <t>耐材土地收储返还</t>
  </si>
  <si>
    <t>其他营业外事项</t>
  </si>
  <si>
    <t>（6）税金及附加</t>
  </si>
  <si>
    <t>（7）其他收益</t>
  </si>
  <si>
    <t>（二）投资收益</t>
  </si>
  <si>
    <t>（1）全部投资收益</t>
  </si>
  <si>
    <t>（2）减：子分公司投资收益</t>
  </si>
  <si>
    <t>1.抵减财务公司投资收益</t>
  </si>
  <si>
    <t>2.合并财务公司拨备</t>
  </si>
  <si>
    <t>3.其他事项</t>
  </si>
  <si>
    <t>·差异留存（好处为"-"）</t>
  </si>
  <si>
    <t>母公司矿产品价差</t>
  </si>
  <si>
    <t>代县矿产品价差</t>
  </si>
  <si>
    <t>岚县矿产品价差</t>
  </si>
  <si>
    <t>外销利润（矿业公司）</t>
  </si>
  <si>
    <t>外销利润（国贸）</t>
  </si>
  <si>
    <t>矿业公司报表</t>
  </si>
  <si>
    <t>1月利润</t>
  </si>
  <si>
    <t>2月利润</t>
  </si>
  <si>
    <t>累计利润</t>
  </si>
  <si>
    <t>预测</t>
  </si>
  <si>
    <t>矿粉价格优惠增加
（比优惠15%）</t>
  </si>
  <si>
    <t>矿粉质量补偿</t>
  </si>
  <si>
    <t>太钢不锈还原利润</t>
  </si>
  <si>
    <t>dxky</t>
  </si>
  <si>
    <t>lxky</t>
  </si>
  <si>
    <t>tgxl</t>
  </si>
  <si>
    <t>tgbx</t>
  </si>
  <si>
    <t>tgwb</t>
  </si>
  <si>
    <t>gkgs</t>
  </si>
  <si>
    <t>boc</t>
  </si>
  <si>
    <t>ncgs</t>
  </si>
  <si>
    <t>dqgs</t>
  </si>
  <si>
    <t>zhly</t>
  </si>
  <si>
    <t>xjgs</t>
  </si>
  <si>
    <t>gmgs</t>
  </si>
  <si>
    <t>xggs</t>
  </si>
  <si>
    <t>rzzl</t>
  </si>
  <si>
    <t>sybl</t>
  </si>
  <si>
    <t>smzx</t>
  </si>
  <si>
    <t>cwgs</t>
  </si>
  <si>
    <t>bxdl</t>
  </si>
  <si>
    <t>tzgs</t>
  </si>
  <si>
    <t>lggs</t>
  </si>
  <si>
    <t>gyy</t>
  </si>
  <si>
    <t>不锈钢工业园(含太仕柯）</t>
  </si>
  <si>
    <t>fdckc</t>
  </si>
  <si>
    <t>nygs</t>
  </si>
  <si>
    <t>gcjs</t>
  </si>
  <si>
    <t>hjjc</t>
  </si>
  <si>
    <t>yys</t>
  </si>
  <si>
    <t>xjcl</t>
  </si>
  <si>
    <t>ylgs</t>
  </si>
  <si>
    <t>ekny</t>
  </si>
  <si>
    <t>jsny</t>
  </si>
  <si>
    <t>lxny</t>
  </si>
  <si>
    <t>不锈钢工业园（含太仕柯）</t>
  </si>
  <si>
    <t>份</t>
  </si>
  <si>
    <t>国贸外销矿粉</t>
  </si>
  <si>
    <t>现货收入</t>
  </si>
  <si>
    <t>矿业收入</t>
  </si>
  <si>
    <t>矿产板块</t>
  </si>
  <si>
    <t>特殊事项</t>
  </si>
  <si>
    <t>票据贴现收益调整</t>
  </si>
  <si>
    <t>抵减国贸出售欧美公司股权收益</t>
  </si>
  <si>
    <t>多元</t>
  </si>
  <si>
    <t>非钢业务（不含股份）</t>
  </si>
  <si>
    <t>复合板外销</t>
  </si>
  <si>
    <t>期货冲收入</t>
  </si>
  <si>
    <t>矿产业务</t>
  </si>
  <si>
    <t>钢铁业务</t>
  </si>
  <si>
    <t>贸易业务</t>
  </si>
  <si>
    <t>非钢业务</t>
  </si>
  <si>
    <t>非钢（股份）</t>
  </si>
  <si>
    <t>上年
月均</t>
  </si>
  <si>
    <t>本年
月均</t>
  </si>
  <si>
    <t>总收入</t>
  </si>
  <si>
    <t>钢材收入</t>
  </si>
  <si>
    <t>多元收入</t>
  </si>
  <si>
    <t>不锈利润</t>
  </si>
  <si>
    <t>太万利润</t>
  </si>
  <si>
    <t>世茂公司</t>
  </si>
  <si>
    <t>钢科</t>
  </si>
  <si>
    <t>临钢</t>
  </si>
  <si>
    <t xml:space="preserve">一、权益法核算的长期股权投资收益 </t>
  </si>
  <si>
    <t>akers公司</t>
  </si>
  <si>
    <t>晋煤太钢</t>
  </si>
  <si>
    <t>中色太钢</t>
  </si>
  <si>
    <t>太钢大明</t>
  </si>
  <si>
    <t>太钢哈斯科</t>
  </si>
  <si>
    <t>二、持有可供出售金融资产期间取得的收益</t>
  </si>
  <si>
    <t>三、处置可供出售金融资产取得的投资收益</t>
  </si>
  <si>
    <t>四、处置长期股权投资产生的投资收益</t>
  </si>
  <si>
    <t>医疗公司（-30%股权）</t>
  </si>
  <si>
    <t>福利厂</t>
  </si>
  <si>
    <t>五、理财收益</t>
  </si>
  <si>
    <t>资金室-外汇</t>
  </si>
  <si>
    <t>资金室-理财</t>
  </si>
  <si>
    <t>委托投资公司理财收益</t>
  </si>
  <si>
    <t xml:space="preserve">六、成本法核算的长期股权投资收益 </t>
  </si>
  <si>
    <t>保代公司</t>
  </si>
  <si>
    <t>BOC</t>
  </si>
  <si>
    <t>母公司投资收益合计</t>
  </si>
  <si>
    <t>投资收益（不含汇兑）</t>
  </si>
  <si>
    <t>没入账</t>
  </si>
  <si>
    <t>吨</t>
  </si>
  <si>
    <t>售价</t>
  </si>
  <si>
    <t>岚县粉关联</t>
  </si>
  <si>
    <t>fmg</t>
  </si>
  <si>
    <t>采购量</t>
  </si>
  <si>
    <t>扬迪粉</t>
  </si>
  <si>
    <t>2019年实际</t>
  </si>
  <si>
    <t>月均</t>
  </si>
  <si>
    <t>累计比上年</t>
  </si>
  <si>
    <t>1、钢材收入</t>
  </si>
  <si>
    <t>2、矿山业务</t>
  </si>
  <si>
    <t>3、贸易业务</t>
  </si>
  <si>
    <t>4.金融投资</t>
  </si>
  <si>
    <t>5.医疗健康</t>
  </si>
  <si>
    <t>6.生产经营</t>
  </si>
  <si>
    <t>7.工程技术及咨询服务</t>
  </si>
  <si>
    <t>8.不动产经营</t>
  </si>
  <si>
    <t>9.生态农业</t>
  </si>
  <si>
    <t>天数</t>
  </si>
  <si>
    <t>太钢集团主要产品产量完成情况</t>
  </si>
  <si>
    <t>太钢集团计财部编制</t>
  </si>
  <si>
    <t>项    目</t>
  </si>
  <si>
    <t>计量单位</t>
  </si>
  <si>
    <t>年计划</t>
  </si>
  <si>
    <t>本 月</t>
  </si>
  <si>
    <t>累 计</t>
  </si>
  <si>
    <t>去年同期</t>
  </si>
  <si>
    <t>比同期增长%</t>
  </si>
  <si>
    <t>太钢集团主要产品产量完成情况(矿产品)</t>
  </si>
  <si>
    <t>本 年 本 月 止 累 计</t>
  </si>
  <si>
    <t>当月日产</t>
  </si>
  <si>
    <t>比同期增长(%)</t>
  </si>
  <si>
    <t>计 划</t>
  </si>
  <si>
    <t>实 际</t>
  </si>
  <si>
    <t>完成率</t>
  </si>
  <si>
    <t>太钢集团主要产品产量完成情况(不锈钢)</t>
  </si>
  <si>
    <t>%</t>
  </si>
  <si>
    <t>太钢集团主要产品产量完成情况(钢铁)</t>
  </si>
  <si>
    <t xml:space="preserve">  其中:三烧</t>
  </si>
  <si>
    <t xml:space="preserve">  其中:四烧</t>
  </si>
  <si>
    <r>
      <rPr>
        <sz val="12"/>
        <rFont val="仿宋_GB2312"/>
        <family val="3"/>
        <charset val="134"/>
      </rPr>
      <t xml:space="preserve">  3</t>
    </r>
    <r>
      <rPr>
        <vertAlign val="superscript"/>
        <sz val="12"/>
        <rFont val="仿宋_GB2312"/>
        <family val="3"/>
        <charset val="134"/>
      </rPr>
      <t>#</t>
    </r>
    <r>
      <rPr>
        <sz val="12"/>
        <rFont val="仿宋_GB2312"/>
        <family val="3"/>
        <charset val="134"/>
      </rPr>
      <t>高炉(1800m</t>
    </r>
    <r>
      <rPr>
        <vertAlign val="superscript"/>
        <sz val="12"/>
        <rFont val="仿宋_GB2312"/>
        <family val="3"/>
        <charset val="134"/>
      </rPr>
      <t>3</t>
    </r>
    <r>
      <rPr>
        <sz val="12"/>
        <rFont val="仿宋_GB2312"/>
        <family val="3"/>
        <charset val="134"/>
      </rPr>
      <t>)</t>
    </r>
  </si>
  <si>
    <r>
      <rPr>
        <sz val="12"/>
        <rFont val="仿宋_GB2312"/>
        <family val="3"/>
        <charset val="134"/>
      </rPr>
      <t xml:space="preserve">  5</t>
    </r>
    <r>
      <rPr>
        <vertAlign val="superscript"/>
        <sz val="12"/>
        <rFont val="仿宋_GB2312"/>
        <family val="3"/>
        <charset val="134"/>
      </rPr>
      <t>#</t>
    </r>
    <r>
      <rPr>
        <sz val="12"/>
        <rFont val="仿宋_GB2312"/>
        <family val="3"/>
        <charset val="134"/>
      </rPr>
      <t>高炉(4350m</t>
    </r>
    <r>
      <rPr>
        <vertAlign val="superscript"/>
        <sz val="12"/>
        <rFont val="仿宋_GB2312"/>
        <family val="3"/>
        <charset val="134"/>
      </rPr>
      <t>3</t>
    </r>
    <r>
      <rPr>
        <sz val="12"/>
        <rFont val="仿宋_GB2312"/>
        <family val="3"/>
        <charset val="134"/>
      </rPr>
      <t>)</t>
    </r>
  </si>
  <si>
    <r>
      <rPr>
        <sz val="12"/>
        <rFont val="仿宋_GB2312"/>
        <family val="3"/>
        <charset val="134"/>
      </rPr>
      <t xml:space="preserve">  6#高炉(4350m</t>
    </r>
    <r>
      <rPr>
        <vertAlign val="superscript"/>
        <sz val="12"/>
        <rFont val="仿宋_GB2312"/>
        <family val="3"/>
        <charset val="134"/>
      </rPr>
      <t>3</t>
    </r>
    <r>
      <rPr>
        <sz val="12"/>
        <rFont val="仿宋_GB2312"/>
        <family val="3"/>
        <charset val="134"/>
      </rPr>
      <t>)</t>
    </r>
  </si>
  <si>
    <t xml:space="preserve"> 炼钢一厂</t>
  </si>
  <si>
    <t xml:space="preserve"> 炼钢二厂</t>
  </si>
  <si>
    <t>太钢集团主要产品产量完成情况(钢材)</t>
  </si>
  <si>
    <t xml:space="preserve"> 商品钢坯合计</t>
  </si>
  <si>
    <t xml:space="preserve">  炼钢二厂</t>
  </si>
  <si>
    <t xml:space="preserve">  型材厂</t>
  </si>
  <si>
    <t xml:space="preserve"> 钢材合计</t>
  </si>
  <si>
    <t xml:space="preserve">   轧材工序</t>
  </si>
  <si>
    <t xml:space="preserve">   锻材工序</t>
  </si>
  <si>
    <t xml:space="preserve">    其中：径锻</t>
  </si>
  <si>
    <t xml:space="preserve">  不锈线材厂</t>
  </si>
  <si>
    <t xml:space="preserve">  不锈热轧厂</t>
  </si>
  <si>
    <t xml:space="preserve">  冷轧硅钢厂</t>
  </si>
  <si>
    <t xml:space="preserve">   冷板</t>
  </si>
  <si>
    <t xml:space="preserve">   硅钢</t>
  </si>
  <si>
    <t xml:space="preserve">  热连轧厂</t>
  </si>
  <si>
    <t xml:space="preserve">   1549轧线</t>
  </si>
  <si>
    <t xml:space="preserve">   2250轧线</t>
  </si>
  <si>
    <t xml:space="preserve">  不锈冷轧厂</t>
  </si>
  <si>
    <t xml:space="preserve">   热轧卷切板</t>
  </si>
  <si>
    <t xml:space="preserve">  复合材料厂复合板</t>
  </si>
  <si>
    <t xml:space="preserve">  不锈钢管</t>
  </si>
  <si>
    <t xml:space="preserve">   无缝钢管</t>
  </si>
  <si>
    <t xml:space="preserve">   焊接钢管</t>
  </si>
  <si>
    <t xml:space="preserve">  精密带钢</t>
  </si>
  <si>
    <t xml:space="preserve">  太钢天管公司</t>
  </si>
  <si>
    <t xml:space="preserve">  广东太钢加工中心</t>
  </si>
  <si>
    <t xml:space="preserve">  临汾分公司</t>
  </si>
  <si>
    <t>产品</t>
  </si>
  <si>
    <t>预计销量</t>
  </si>
  <si>
    <t>含税销售价格</t>
  </si>
  <si>
    <t>制造成本</t>
  </si>
  <si>
    <t>单位毛利</t>
  </si>
  <si>
    <t>单位利润</t>
  </si>
  <si>
    <t>边际利润</t>
  </si>
  <si>
    <t>304冷板（2B、2.0mm）</t>
  </si>
  <si>
    <t>304系热卷</t>
  </si>
  <si>
    <t>304黑皮卷（供天管）</t>
  </si>
  <si>
    <t>304热轧中板（12.1mm-16mm）</t>
  </si>
  <si>
    <t>304临钢中板</t>
  </si>
  <si>
    <t>304精带（0.2mm）</t>
  </si>
  <si>
    <t>规格</t>
  </si>
  <si>
    <t>预计销量
（吨）</t>
  </si>
  <si>
    <t>销售价格
（元/吨）</t>
  </si>
  <si>
    <t>销售成本
（元/吨）</t>
  </si>
  <si>
    <t>单位毛利
（元/吨）</t>
  </si>
  <si>
    <t>单位利润
（元/吨）</t>
  </si>
  <si>
    <t>边际利润
（元/吨）</t>
  </si>
  <si>
    <t>430冷板（2.0mm）</t>
  </si>
  <si>
    <t>430系热卷</t>
  </si>
  <si>
    <t>Cr13系热卷</t>
  </si>
  <si>
    <t>超纯铁素体冷卷</t>
  </si>
  <si>
    <t>普碳钢热轧钢带</t>
  </si>
  <si>
    <t>冷轧硅钢（低牌号）</t>
  </si>
  <si>
    <t>母公司同期</t>
    <phoneticPr fontId="133" type="noConversion"/>
  </si>
  <si>
    <t>累计同期</t>
    <phoneticPr fontId="133" type="noConversion"/>
  </si>
  <si>
    <t>纵剪扁材</t>
  </si>
  <si>
    <t>其中：母公司</t>
    <phoneticPr fontId="133" type="noConversion"/>
  </si>
  <si>
    <t>比预测</t>
    <phoneticPr fontId="133" type="noConversion"/>
  </si>
  <si>
    <t xml:space="preserve"> </t>
    <phoneticPr fontId="133" type="noConversion"/>
  </si>
  <si>
    <t xml:space="preserve">    （碱性球团）</t>
    <phoneticPr fontId="133" type="noConversion"/>
  </si>
  <si>
    <t xml:space="preserve">    （酸性球团）</t>
    <phoneticPr fontId="133" type="noConversion"/>
  </si>
  <si>
    <t xml:space="preserve">       其中：酸球</t>
    <phoneticPr fontId="133" type="noConversion"/>
  </si>
  <si>
    <t xml:space="preserve">             碱球</t>
    <phoneticPr fontId="133" type="noConversion"/>
  </si>
  <si>
    <t xml:space="preserve">       其中：酸球</t>
  </si>
  <si>
    <t xml:space="preserve">             碱球</t>
  </si>
  <si>
    <t>！！！蓝色单元格为手工填写，其余均为公式！！！</t>
    <phoneticPr fontId="133" type="noConversion"/>
  </si>
  <si>
    <t>贸易业务</t>
    <phoneticPr fontId="133" type="noConversion"/>
  </si>
  <si>
    <t>多元业务</t>
    <phoneticPr fontId="133" type="noConversion"/>
  </si>
  <si>
    <t>三、利润变动</t>
    <phoneticPr fontId="133" type="noConversion"/>
  </si>
  <si>
    <t>矿山系统</t>
    <phoneticPr fontId="133" type="noConversion"/>
  </si>
  <si>
    <t>期间费用</t>
    <phoneticPr fontId="133" type="noConversion"/>
  </si>
  <si>
    <t>关联价格升高</t>
    <phoneticPr fontId="133" type="noConversion"/>
  </si>
  <si>
    <t>当月分析</t>
  </si>
  <si>
    <t>其中：镍钢</t>
  </si>
  <si>
    <t>PPT用</t>
  </si>
  <si>
    <t>收入分析（比上月）</t>
  </si>
  <si>
    <t>收入分析（比预算）</t>
  </si>
  <si>
    <t>累计分析</t>
  </si>
  <si>
    <t>国资委快报价格波动</t>
  </si>
  <si>
    <t>生产经营简析</t>
  </si>
  <si>
    <t>ppt用（比预算）</t>
  </si>
  <si>
    <t>累计预算</t>
  </si>
  <si>
    <t>存货跌价准备/运费补偿</t>
    <phoneticPr fontId="133" type="noConversion"/>
  </si>
  <si>
    <t>峨口球团--TFe≥65%</t>
    <phoneticPr fontId="133" type="noConversion"/>
  </si>
  <si>
    <t>贸易</t>
    <phoneticPr fontId="133" type="noConversion"/>
  </si>
  <si>
    <t>太钢不锈</t>
    <phoneticPr fontId="133" type="noConversion"/>
  </si>
  <si>
    <t>投资收益</t>
    <phoneticPr fontId="133" type="noConversion"/>
  </si>
  <si>
    <t>太钢不锈当期</t>
    <phoneticPr fontId="133" type="noConversion"/>
  </si>
  <si>
    <t>累计</t>
    <phoneticPr fontId="133" type="noConversion"/>
  </si>
  <si>
    <t>当期</t>
    <phoneticPr fontId="133" type="noConversion"/>
  </si>
  <si>
    <t>●尖山矿采剥量复核收入增加增利41万元。</t>
  </si>
  <si>
    <t>岚县酸性球团</t>
  </si>
  <si>
    <t>岚县酸性球团</t>
    <phoneticPr fontId="133" type="noConversion"/>
  </si>
  <si>
    <t>上报省统计局系统固定资产工业项目投资额</t>
    <phoneticPr fontId="133" type="noConversion"/>
  </si>
  <si>
    <t>代县特殊因素</t>
    <phoneticPr fontId="133" type="noConversion"/>
  </si>
  <si>
    <t>比上月</t>
    <phoneticPr fontId="133" type="noConversion"/>
  </si>
  <si>
    <t>岚县特殊因素</t>
    <phoneticPr fontId="133" type="noConversion"/>
  </si>
  <si>
    <t>还原固定资产报废</t>
    <phoneticPr fontId="133" type="noConversion"/>
  </si>
  <si>
    <t>预测</t>
    <phoneticPr fontId="133" type="noConversion"/>
  </si>
  <si>
    <t>差额</t>
    <phoneticPr fontId="133" type="noConversion"/>
  </si>
  <si>
    <t>cwgs</t>
    <phoneticPr fontId="133" type="noConversion"/>
  </si>
  <si>
    <t>rzzl</t>
    <phoneticPr fontId="133" type="noConversion"/>
  </si>
  <si>
    <t>tzgs</t>
    <phoneticPr fontId="133" type="noConversion"/>
  </si>
  <si>
    <t>ylgs</t>
    <phoneticPr fontId="133" type="noConversion"/>
  </si>
  <si>
    <t>gkgs</t>
    <phoneticPr fontId="133" type="noConversion"/>
  </si>
  <si>
    <t>ncgs</t>
    <phoneticPr fontId="133" type="noConversion"/>
  </si>
  <si>
    <t>tsk</t>
    <phoneticPr fontId="133" type="noConversion"/>
  </si>
  <si>
    <t>boc</t>
    <phoneticPr fontId="133" type="noConversion"/>
  </si>
  <si>
    <t>xjgs</t>
    <phoneticPr fontId="133" type="noConversion"/>
  </si>
  <si>
    <t>nygs</t>
    <phoneticPr fontId="133" type="noConversion"/>
  </si>
  <si>
    <t>xjcl</t>
    <phoneticPr fontId="133" type="noConversion"/>
  </si>
  <si>
    <t>yys</t>
    <phoneticPr fontId="133" type="noConversion"/>
  </si>
  <si>
    <t>lggs</t>
    <phoneticPr fontId="133" type="noConversion"/>
  </si>
  <si>
    <t>gyy</t>
    <phoneticPr fontId="133" type="noConversion"/>
  </si>
  <si>
    <t>jsny</t>
    <phoneticPr fontId="133" type="noConversion"/>
  </si>
  <si>
    <t>lxny</t>
    <phoneticPr fontId="133" type="noConversion"/>
  </si>
  <si>
    <t>ekny</t>
    <phoneticPr fontId="133" type="noConversion"/>
  </si>
  <si>
    <t>校验</t>
    <phoneticPr fontId="133" type="noConversion"/>
  </si>
  <si>
    <t>当月</t>
    <phoneticPr fontId="133" type="noConversion"/>
  </si>
  <si>
    <t>bxdl</t>
    <phoneticPr fontId="133" type="noConversion"/>
  </si>
  <si>
    <t>smzx</t>
    <phoneticPr fontId="133" type="noConversion"/>
  </si>
  <si>
    <t>fdckc</t>
    <phoneticPr fontId="133" type="noConversion"/>
  </si>
  <si>
    <t>hjjc</t>
    <phoneticPr fontId="133" type="noConversion"/>
  </si>
  <si>
    <t>gcjs</t>
    <phoneticPr fontId="133" type="noConversion"/>
  </si>
  <si>
    <t>dqgs</t>
    <phoneticPr fontId="133" type="noConversion"/>
  </si>
  <si>
    <t>zhly</t>
    <phoneticPr fontId="133" type="noConversion"/>
  </si>
  <si>
    <t>处理特殊事项</t>
    <phoneticPr fontId="133" type="noConversion"/>
  </si>
  <si>
    <t>(-1318-133)+(-2503-185-1009)</t>
  </si>
  <si>
    <t>十九局费用</t>
    <phoneticPr fontId="133" type="noConversion"/>
  </si>
  <si>
    <t>铁矿结算量减少</t>
    <phoneticPr fontId="133" type="noConversion"/>
  </si>
  <si>
    <t>年底处理事项</t>
    <phoneticPr fontId="133" type="noConversion"/>
  </si>
  <si>
    <t>工资减少</t>
    <phoneticPr fontId="133" type="noConversion"/>
  </si>
  <si>
    <t>折旧增加</t>
    <phoneticPr fontId="133" type="noConversion"/>
  </si>
  <si>
    <t>价格升高</t>
    <phoneticPr fontId="133" type="noConversion"/>
  </si>
  <si>
    <t>成本降低</t>
    <phoneticPr fontId="133" type="noConversion"/>
  </si>
  <si>
    <t>费用增加</t>
    <phoneticPr fontId="133" type="noConversion"/>
  </si>
  <si>
    <t>1.太钢不锈</t>
    <phoneticPr fontId="133" type="noConversion"/>
  </si>
  <si>
    <t>2.矿山系统</t>
    <phoneticPr fontId="133" type="noConversion"/>
  </si>
  <si>
    <t>3.母公司本部</t>
    <phoneticPr fontId="133" type="noConversion"/>
  </si>
  <si>
    <t>4.多元业务</t>
    <phoneticPr fontId="133" type="noConversion"/>
  </si>
  <si>
    <t>5.合并抵减项</t>
    <phoneticPr fontId="133" type="noConversion"/>
  </si>
  <si>
    <t>经营利润比上月</t>
    <phoneticPr fontId="133" type="noConversion"/>
  </si>
  <si>
    <t>项目</t>
    <phoneticPr fontId="133" type="noConversion"/>
  </si>
  <si>
    <t>金额</t>
    <phoneticPr fontId="133" type="noConversion"/>
  </si>
  <si>
    <t>2.提取存货跌价准备</t>
  </si>
  <si>
    <t>房地产公司</t>
  </si>
  <si>
    <t>太万-2351，工业园-2801，粉煤灰-630，修建-521，钢科-793</t>
    <phoneticPr fontId="133" type="noConversion"/>
  </si>
  <si>
    <t>3.提取坏账准备</t>
    <phoneticPr fontId="133" type="noConversion"/>
  </si>
  <si>
    <t>工资</t>
    <phoneticPr fontId="133" type="noConversion"/>
  </si>
  <si>
    <t>外销结算量减少</t>
    <phoneticPr fontId="133" type="noConversion"/>
  </si>
  <si>
    <t>合并抵减项</t>
    <phoneticPr fontId="133" type="noConversion"/>
  </si>
  <si>
    <t>关联减少7万吨（上月93，本月86）（733-450）*7=2000
外销减少18万吨（上月29，本月10.5）（921-450）*18=9000</t>
    <phoneticPr fontId="133" type="noConversion"/>
  </si>
  <si>
    <t>关联1823（上月733，本月754），外销1937（上月921，本月1105）</t>
    <phoneticPr fontId="133" type="noConversion"/>
  </si>
  <si>
    <t>合计</t>
    <phoneticPr fontId="133" type="noConversion"/>
  </si>
  <si>
    <t>母公司</t>
    <phoneticPr fontId="133" type="noConversion"/>
  </si>
  <si>
    <t>土地复垦费</t>
  </si>
  <si>
    <t>售价及结构影响</t>
  </si>
  <si>
    <t>平仓亏损</t>
  </si>
  <si>
    <t>折旧</t>
  </si>
  <si>
    <t>资产减值处理</t>
  </si>
  <si>
    <t xml:space="preserve">存货减值 </t>
  </si>
  <si>
    <t>山西证券</t>
    <phoneticPr fontId="133" type="noConversion"/>
  </si>
  <si>
    <t>中联先进钢铁材料技术进公司</t>
    <phoneticPr fontId="133" type="noConversion"/>
  </si>
  <si>
    <t>11月</t>
    <phoneticPr fontId="133" type="noConversion"/>
  </si>
  <si>
    <t>12月</t>
    <phoneticPr fontId="133" type="noConversion"/>
  </si>
  <si>
    <t>矿业报表利润</t>
    <phoneticPr fontId="133" type="noConversion"/>
  </si>
  <si>
    <t>上交差异</t>
    <phoneticPr fontId="133" type="noConversion"/>
  </si>
  <si>
    <t>鑫磊特殊因素</t>
  </si>
  <si>
    <t>中联先进钢铁材料技术进公司</t>
  </si>
  <si>
    <t>子公司特殊因素</t>
    <phoneticPr fontId="133" type="noConversion"/>
  </si>
  <si>
    <t>实际</t>
    <phoneticPr fontId="133" type="noConversion"/>
  </si>
  <si>
    <t>岚县</t>
    <phoneticPr fontId="133" type="noConversion"/>
  </si>
  <si>
    <t>代县</t>
    <phoneticPr fontId="133" type="noConversion"/>
  </si>
  <si>
    <t>其他子公司</t>
    <phoneticPr fontId="133" type="noConversion"/>
  </si>
  <si>
    <t>股份</t>
    <phoneticPr fontId="133" type="noConversion"/>
  </si>
  <si>
    <t xml:space="preserve">其他 </t>
    <phoneticPr fontId="133" type="noConversion"/>
  </si>
  <si>
    <t>港杂费减免</t>
    <phoneticPr fontId="133" type="noConversion"/>
  </si>
  <si>
    <t>鑫磊</t>
    <phoneticPr fontId="133" type="noConversion"/>
  </si>
  <si>
    <t>报表累计收入</t>
    <phoneticPr fontId="133" type="noConversion"/>
  </si>
  <si>
    <t xml:space="preserve"> </t>
  </si>
  <si>
    <t>报出</t>
    <phoneticPr fontId="133" type="noConversion"/>
  </si>
  <si>
    <t xml:space="preserve">  其中：太钢不锈</t>
    <phoneticPr fontId="133" type="noConversion"/>
  </si>
  <si>
    <t>不锈钢</t>
    <phoneticPr fontId="133" type="noConversion"/>
  </si>
  <si>
    <t xml:space="preserve">        宝钢德盛</t>
    <phoneticPr fontId="133" type="noConversion"/>
  </si>
  <si>
    <t xml:space="preserve">        宁波宝新</t>
    <phoneticPr fontId="133" type="noConversion"/>
  </si>
  <si>
    <t>不锈材</t>
    <phoneticPr fontId="133" type="noConversion"/>
  </si>
  <si>
    <t>不锈材出口</t>
    <phoneticPr fontId="133" type="noConversion"/>
  </si>
  <si>
    <t>合并营业收入</t>
    <phoneticPr fontId="133" type="noConversion"/>
  </si>
  <si>
    <t>宝钢德盛</t>
    <phoneticPr fontId="133" type="noConversion"/>
  </si>
  <si>
    <t>宁波宝新</t>
    <phoneticPr fontId="133" type="noConversion"/>
  </si>
  <si>
    <t>太钢集团</t>
    <phoneticPr fontId="133" type="noConversion"/>
  </si>
  <si>
    <t>一、太钢本部</t>
    <phoneticPr fontId="133" type="noConversion"/>
  </si>
  <si>
    <t>二、宝钢德盛</t>
    <phoneticPr fontId="133" type="noConversion"/>
  </si>
  <si>
    <t>三、宁波宝新</t>
    <phoneticPr fontId="133" type="noConversion"/>
  </si>
  <si>
    <t>一、本部营业收入</t>
    <phoneticPr fontId="133" type="noConversion"/>
  </si>
  <si>
    <t>一、集团合并</t>
    <phoneticPr fontId="133" type="noConversion"/>
  </si>
  <si>
    <t>概括</t>
    <phoneticPr fontId="133" type="noConversion"/>
  </si>
  <si>
    <t>收入</t>
    <phoneticPr fontId="133" type="noConversion"/>
  </si>
  <si>
    <t>汇总利润</t>
    <phoneticPr fontId="133" type="noConversion"/>
  </si>
  <si>
    <t>太钢本部</t>
    <phoneticPr fontId="133" type="noConversion"/>
  </si>
  <si>
    <t>单位</t>
    <phoneticPr fontId="133" type="noConversion"/>
  </si>
  <si>
    <t>万吨</t>
    <phoneticPr fontId="133" type="noConversion"/>
  </si>
  <si>
    <t>亿元</t>
    <phoneticPr fontId="133" type="noConversion"/>
  </si>
  <si>
    <t>其中：不锈钢</t>
    <phoneticPr fontId="133" type="noConversion"/>
  </si>
  <si>
    <t>其中：不锈材</t>
    <phoneticPr fontId="133" type="noConversion"/>
  </si>
  <si>
    <t>-</t>
    <phoneticPr fontId="133" type="noConversion"/>
  </si>
  <si>
    <t>精矿粉产量</t>
    <phoneticPr fontId="133" type="noConversion"/>
  </si>
  <si>
    <t>球团产量</t>
    <phoneticPr fontId="133" type="noConversion"/>
  </si>
  <si>
    <t>生铁产量</t>
    <phoneticPr fontId="133" type="noConversion"/>
  </si>
  <si>
    <t>粗钢产量</t>
    <phoneticPr fontId="133" type="noConversion"/>
  </si>
  <si>
    <t>坯材产量</t>
    <phoneticPr fontId="133" type="noConversion"/>
  </si>
  <si>
    <t>坯材销量</t>
    <phoneticPr fontId="133" type="noConversion"/>
  </si>
  <si>
    <t xml:space="preserve"> 其中：不锈材</t>
    <phoneticPr fontId="133" type="noConversion"/>
  </si>
  <si>
    <t>bgds</t>
    <phoneticPr fontId="133" type="noConversion"/>
  </si>
  <si>
    <t>nbbx</t>
    <phoneticPr fontId="133" type="noConversion"/>
  </si>
  <si>
    <t xml:space="preserve"> 其中：太钢本部</t>
    <phoneticPr fontId="133" type="noConversion"/>
  </si>
  <si>
    <t>2021年</t>
    <phoneticPr fontId="133" type="noConversion"/>
  </si>
  <si>
    <t>二、宝钢德盛</t>
  </si>
  <si>
    <t>三、宁波宝新</t>
  </si>
  <si>
    <t>2020全年</t>
    <phoneticPr fontId="133" type="noConversion"/>
  </si>
  <si>
    <t>宁波宝新</t>
  </si>
  <si>
    <t>tgxl</t>
    <phoneticPr fontId="133" type="noConversion"/>
  </si>
  <si>
    <t>待岗人员费用</t>
    <phoneticPr fontId="133" type="noConversion"/>
  </si>
  <si>
    <t>宝钢德盛</t>
  </si>
  <si>
    <t>钢材</t>
  </si>
  <si>
    <r>
      <t xml:space="preserve">    </t>
    </r>
    <r>
      <rPr>
        <sz val="12"/>
        <rFont val="Microsoft YaHei UI"/>
        <family val="3"/>
        <charset val="134"/>
      </rPr>
      <t>代县矿业</t>
    </r>
  </si>
  <si>
    <r>
      <t xml:space="preserve">   </t>
    </r>
    <r>
      <rPr>
        <sz val="12"/>
        <rFont val="Microsoft YaHei UI"/>
        <family val="3"/>
        <charset val="134"/>
      </rPr>
      <t>代县矿业</t>
    </r>
  </si>
  <si>
    <t>1月末</t>
    <phoneticPr fontId="133" type="noConversion"/>
  </si>
  <si>
    <t>2月末</t>
    <phoneticPr fontId="133" type="noConversion"/>
  </si>
  <si>
    <t>3月末</t>
    <phoneticPr fontId="133" type="noConversion"/>
  </si>
  <si>
    <t>6月末</t>
    <phoneticPr fontId="133" type="noConversion"/>
  </si>
  <si>
    <t>4月末</t>
    <phoneticPr fontId="133" type="noConversion"/>
  </si>
  <si>
    <t>5月末</t>
    <phoneticPr fontId="133" type="noConversion"/>
  </si>
  <si>
    <t>7月末</t>
    <phoneticPr fontId="133" type="noConversion"/>
  </si>
  <si>
    <t>8月末</t>
    <phoneticPr fontId="133" type="noConversion"/>
  </si>
  <si>
    <t>9月末</t>
    <phoneticPr fontId="133" type="noConversion"/>
  </si>
  <si>
    <t>10月末</t>
    <phoneticPr fontId="133" type="noConversion"/>
  </si>
  <si>
    <t>11月末</t>
    <phoneticPr fontId="133" type="noConversion"/>
  </si>
  <si>
    <t>12月末</t>
    <phoneticPr fontId="133" type="noConversion"/>
  </si>
  <si>
    <t>比上月分析</t>
    <phoneticPr fontId="133" type="noConversion"/>
  </si>
  <si>
    <t>1、太钢不锈</t>
    <phoneticPr fontId="133" type="noConversion"/>
  </si>
  <si>
    <t>2、宝钢德盛</t>
    <phoneticPr fontId="133" type="noConversion"/>
  </si>
  <si>
    <t>3、宁波宝新</t>
    <phoneticPr fontId="133" type="noConversion"/>
  </si>
  <si>
    <t>关联收入</t>
    <phoneticPr fontId="133" type="noConversion"/>
  </si>
  <si>
    <t>glsr</t>
    <phoneticPr fontId="133" type="noConversion"/>
  </si>
  <si>
    <t>一、钢铁制造业</t>
    <phoneticPr fontId="133" type="noConversion"/>
  </si>
  <si>
    <t>比上年</t>
    <phoneticPr fontId="133" type="noConversion"/>
  </si>
  <si>
    <t>碳钢材</t>
    <phoneticPr fontId="133" type="noConversion"/>
  </si>
  <si>
    <t>3.代矿</t>
    <phoneticPr fontId="133" type="noConversion"/>
  </si>
  <si>
    <t>2.代县</t>
    <phoneticPr fontId="133" type="noConversion"/>
  </si>
  <si>
    <t xml:space="preserve">          -  </t>
  </si>
  <si>
    <t>不锈材出口量</t>
    <phoneticPr fontId="133" type="noConversion"/>
  </si>
  <si>
    <t>宁波宝新出口</t>
    <phoneticPr fontId="133" type="noConversion"/>
  </si>
  <si>
    <t>宝钢德盛出口</t>
    <phoneticPr fontId="133" type="noConversion"/>
  </si>
  <si>
    <t>太钢不锈钢材出口</t>
    <phoneticPr fontId="133" type="noConversion"/>
  </si>
  <si>
    <t>其中：太钢不锈不锈材出口</t>
    <phoneticPr fontId="133" type="noConversion"/>
  </si>
  <si>
    <t xml:space="preserve">阿克斯太钢 </t>
    <phoneticPr fontId="133" type="noConversion"/>
  </si>
  <si>
    <t>国贸+香港</t>
  </si>
  <si>
    <t>投资公司-1766，抵减财务公司投资收益-1300</t>
  </si>
  <si>
    <t>房产上月取暖收支差，独生子女费</t>
  </si>
  <si>
    <t>财务-1500，投资-600，boc-500，医疗-400，电气-400</t>
  </si>
  <si>
    <t>汇总</t>
    <phoneticPr fontId="133" type="noConversion"/>
  </si>
  <si>
    <t>（六）太钢保税物流公司</t>
    <phoneticPr fontId="133" type="noConversion"/>
  </si>
  <si>
    <t>（七）太钢美国公司</t>
    <phoneticPr fontId="133" type="noConversion"/>
  </si>
  <si>
    <t>（八）太钢欧洲公司</t>
    <phoneticPr fontId="133" type="noConversion"/>
  </si>
  <si>
    <t>太钢本部合计</t>
    <phoneticPr fontId="133" type="noConversion"/>
  </si>
  <si>
    <t>太钢集团合并（管理口径）</t>
    <phoneticPr fontId="133" type="noConversion"/>
  </si>
  <si>
    <t>钢材出口</t>
    <phoneticPr fontId="133" type="noConversion"/>
  </si>
  <si>
    <t>一、太钢本部</t>
  </si>
  <si>
    <t>太钢集团（管理口径）</t>
    <phoneticPr fontId="133" type="noConversion"/>
  </si>
  <si>
    <t xml:space="preserve">*关联交易价格升高3000万元。
*结算量增加增利2300万元
*外销量增利1000万，外销价增加735万元。
*费用增利2600万元，特殊事项减利2600万元
*成本减利5000万元
</t>
    <phoneticPr fontId="133" type="noConversion"/>
  </si>
  <si>
    <t>晋煤太钢2654
中色太钢1256</t>
    <phoneticPr fontId="133" type="noConversion"/>
  </si>
  <si>
    <t>二、矿山系统</t>
    <phoneticPr fontId="133" type="noConversion"/>
  </si>
  <si>
    <t>三、资源环境业</t>
    <phoneticPr fontId="133" type="noConversion"/>
  </si>
  <si>
    <t>四、产业金融业</t>
    <phoneticPr fontId="133" type="noConversion"/>
  </si>
  <si>
    <t>五、智慧服务业</t>
    <phoneticPr fontId="133" type="noConversion"/>
  </si>
  <si>
    <t>六、新材料产业</t>
    <phoneticPr fontId="133" type="noConversion"/>
  </si>
  <si>
    <t>七、产业园区业</t>
    <phoneticPr fontId="133" type="noConversion"/>
  </si>
  <si>
    <t>八、其他业务</t>
    <phoneticPr fontId="133" type="noConversion"/>
  </si>
  <si>
    <t>九、母公司（不含矿业公司）</t>
    <phoneticPr fontId="133" type="noConversion"/>
  </si>
  <si>
    <t>十、其他处理事项</t>
    <phoneticPr fontId="133" type="noConversion"/>
  </si>
  <si>
    <t>四.产业金融业</t>
    <phoneticPr fontId="133" type="noConversion"/>
  </si>
  <si>
    <t>出口</t>
    <phoneticPr fontId="133" type="noConversion"/>
  </si>
  <si>
    <t>钢材销售合计</t>
    <phoneticPr fontId="133" type="noConversion"/>
  </si>
  <si>
    <t>不锈钢销售合计</t>
    <phoneticPr fontId="133" type="noConversion"/>
  </si>
  <si>
    <t>太钢集团管理口径</t>
  </si>
  <si>
    <t>坯材</t>
    <phoneticPr fontId="133" type="noConversion"/>
  </si>
  <si>
    <t xml:space="preserve"> （投资收益）</t>
    <phoneticPr fontId="133" type="noConversion"/>
  </si>
  <si>
    <t>环比</t>
  </si>
  <si>
    <t>同比</t>
  </si>
  <si>
    <t>太钢集团合并（实际）</t>
    <phoneticPr fontId="133" type="noConversion"/>
  </si>
  <si>
    <t>太钢集团合并（报表）</t>
    <phoneticPr fontId="133" type="noConversion"/>
  </si>
  <si>
    <t xml:space="preserve">  其中:太原地区（实际）</t>
    <phoneticPr fontId="133" type="noConversion"/>
  </si>
  <si>
    <t xml:space="preserve">  其中:太原地区（报表）</t>
    <phoneticPr fontId="133" type="noConversion"/>
  </si>
  <si>
    <t>太钢集团本部</t>
    <phoneticPr fontId="133" type="noConversion"/>
  </si>
  <si>
    <t>子公司互供</t>
    <phoneticPr fontId="133" type="noConversion"/>
  </si>
  <si>
    <r>
      <rPr>
        <b/>
        <sz val="12"/>
        <color rgb="FF000000"/>
        <rFont val="宋体"/>
        <family val="3"/>
        <charset val="134"/>
      </rPr>
      <t>上年</t>
    </r>
  </si>
  <si>
    <r>
      <rPr>
        <b/>
        <sz val="12"/>
        <color rgb="FF000000"/>
        <rFont val="宋体"/>
        <family val="3"/>
        <charset val="134"/>
      </rPr>
      <t>月预算</t>
    </r>
  </si>
  <si>
    <r>
      <rPr>
        <b/>
        <sz val="12"/>
        <color rgb="FF000000"/>
        <rFont val="宋体"/>
        <family val="3"/>
        <charset val="134"/>
      </rPr>
      <t>上月</t>
    </r>
  </si>
  <si>
    <r>
      <rPr>
        <b/>
        <sz val="12"/>
        <color theme="1"/>
        <rFont val="宋体"/>
        <family val="3"/>
        <charset val="134"/>
      </rPr>
      <t>本月</t>
    </r>
  </si>
  <si>
    <r>
      <rPr>
        <b/>
        <sz val="12"/>
        <color rgb="FF000000"/>
        <rFont val="宋体"/>
        <family val="3"/>
        <charset val="134"/>
      </rPr>
      <t>累计</t>
    </r>
  </si>
  <si>
    <r>
      <rPr>
        <b/>
        <sz val="12"/>
        <color rgb="FF000000"/>
        <rFont val="宋体"/>
        <family val="3"/>
        <charset val="134"/>
      </rPr>
      <t>同期</t>
    </r>
  </si>
  <si>
    <t>医疗收入</t>
  </si>
  <si>
    <t>●价格升高影响增利222万元（本月均价4708元/吨，上月均价3497元/吨）。</t>
    <phoneticPr fontId="133" type="noConversion"/>
  </si>
  <si>
    <t>●本月收到财政补助增利300万元。
●不锈钢销量减少减利240万元（本月1.3万吨，上月2.7万吨）。</t>
    <phoneticPr fontId="133" type="noConversion"/>
  </si>
  <si>
    <t xml:space="preserve">
●汇兑损失较上月减少399万元（本月1035万元，上月1434万元）。
●利息支出较上月增加277万元（本月1344万元，上月1067万元）。</t>
  </si>
  <si>
    <t>本部报出</t>
    <phoneticPr fontId="133" type="noConversion"/>
  </si>
  <si>
    <t>太钢本部</t>
  </si>
  <si>
    <t>太钢不锈利润</t>
  </si>
  <si>
    <t>吨钢利润</t>
    <phoneticPr fontId="133" type="noConversion"/>
  </si>
  <si>
    <t>主体</t>
    <phoneticPr fontId="133" type="noConversion"/>
  </si>
  <si>
    <t>元/吨</t>
    <phoneticPr fontId="133" type="noConversion"/>
  </si>
  <si>
    <t>●价格升高影响增利50万元（本月均价15950元/吨，上月均价15452元/吨）。</t>
  </si>
  <si>
    <t>管理口径</t>
  </si>
  <si>
    <t>太钢集团（管理口径）</t>
  </si>
  <si>
    <t>环比</t>
    <phoneticPr fontId="133" type="noConversion"/>
  </si>
  <si>
    <t>同比</t>
    <phoneticPr fontId="133" type="noConversion"/>
  </si>
  <si>
    <t>太钢本部固定资产投资额(上报省统计局)</t>
    <phoneticPr fontId="133" type="noConversion"/>
  </si>
  <si>
    <t xml:space="preserve"> 太钢本部投资额</t>
    <phoneticPr fontId="133" type="noConversion"/>
  </si>
  <si>
    <t>利润</t>
    <phoneticPr fontId="133" type="noConversion"/>
  </si>
  <si>
    <t>矿山板块</t>
    <phoneticPr fontId="133" type="noConversion"/>
  </si>
  <si>
    <t>岚县矿业</t>
    <phoneticPr fontId="133" type="noConversion"/>
  </si>
  <si>
    <t>代县矿业</t>
    <phoneticPr fontId="133" type="noConversion"/>
  </si>
  <si>
    <t>太钢鑫磊</t>
    <phoneticPr fontId="133" type="noConversion"/>
  </si>
  <si>
    <t>万元</t>
    <phoneticPr fontId="133" type="noConversion"/>
  </si>
  <si>
    <t>，</t>
    <phoneticPr fontId="133" type="noConversion"/>
  </si>
  <si>
    <t>；</t>
    <phoneticPr fontId="133" type="noConversion"/>
  </si>
  <si>
    <t>。</t>
    <phoneticPr fontId="133" type="noConversion"/>
  </si>
  <si>
    <t>产量</t>
    <phoneticPr fontId="133" type="noConversion"/>
  </si>
  <si>
    <t>精矿粉</t>
    <phoneticPr fontId="133" type="noConversion"/>
  </si>
  <si>
    <t>粗钢</t>
    <phoneticPr fontId="133" type="noConversion"/>
  </si>
  <si>
    <t>钢材</t>
    <phoneticPr fontId="133" type="noConversion"/>
  </si>
  <si>
    <t>销量</t>
    <phoneticPr fontId="133" type="noConversion"/>
  </si>
  <si>
    <t>其中不锈钢</t>
    <phoneticPr fontId="133" type="noConversion"/>
  </si>
  <si>
    <t>其中不锈材</t>
    <phoneticPr fontId="133" type="noConversion"/>
  </si>
  <si>
    <t>预算</t>
    <phoneticPr fontId="133" type="noConversion"/>
  </si>
  <si>
    <t>同期</t>
    <phoneticPr fontId="133" type="noConversion"/>
  </si>
  <si>
    <t>同期累计</t>
    <phoneticPr fontId="133" type="noConversion"/>
  </si>
  <si>
    <t>(</t>
    <phoneticPr fontId="133" type="noConversion"/>
  </si>
  <si>
    <t>)</t>
    <phoneticPr fontId="133" type="noConversion"/>
  </si>
  <si>
    <t>%</t>
    <phoneticPr fontId="133" type="noConversion"/>
  </si>
  <si>
    <t>比同期</t>
    <phoneticPr fontId="133" type="noConversion"/>
  </si>
  <si>
    <t>比去年同期</t>
    <phoneticPr fontId="133" type="noConversion"/>
  </si>
  <si>
    <t>销售价格</t>
    <phoneticPr fontId="133" type="noConversion"/>
  </si>
  <si>
    <t>钢材品种结构</t>
    <phoneticPr fontId="133" type="noConversion"/>
  </si>
  <si>
    <t>不锈钢价格</t>
    <phoneticPr fontId="133" type="noConversion"/>
  </si>
  <si>
    <t>碳钢价格</t>
    <phoneticPr fontId="133" type="noConversion"/>
  </si>
  <si>
    <t>其中：</t>
    <phoneticPr fontId="133" type="noConversion"/>
  </si>
  <si>
    <t>铁矿粉外销</t>
    <phoneticPr fontId="133" type="noConversion"/>
  </si>
  <si>
    <t>超细粉外销</t>
    <phoneticPr fontId="133" type="noConversion"/>
  </si>
  <si>
    <t>煤价</t>
    <phoneticPr fontId="133" type="noConversion"/>
  </si>
  <si>
    <t>镍价</t>
    <phoneticPr fontId="133" type="noConversion"/>
  </si>
  <si>
    <t>高铬价格</t>
    <phoneticPr fontId="133" type="noConversion"/>
  </si>
  <si>
    <t>因素</t>
    <phoneticPr fontId="133" type="noConversion"/>
  </si>
  <si>
    <t>1、销售</t>
    <phoneticPr fontId="133" type="noConversion"/>
  </si>
  <si>
    <t>2、原材料采购</t>
    <phoneticPr fontId="133" type="noConversion"/>
  </si>
  <si>
    <t>3、生产成本</t>
    <phoneticPr fontId="133" type="noConversion"/>
  </si>
  <si>
    <t>4、低成本库存出库</t>
    <phoneticPr fontId="133" type="noConversion"/>
  </si>
  <si>
    <t>5、期间费用及税金</t>
    <phoneticPr fontId="133" type="noConversion"/>
  </si>
  <si>
    <t>6、宝钢德盛</t>
    <phoneticPr fontId="133" type="noConversion"/>
  </si>
  <si>
    <t>7、宁波宝新</t>
    <phoneticPr fontId="133" type="noConversion"/>
  </si>
  <si>
    <t>小合金价格</t>
    <phoneticPr fontId="133" type="noConversion"/>
  </si>
  <si>
    <t>（一）钢铁板块</t>
    <phoneticPr fontId="133" type="noConversion"/>
  </si>
  <si>
    <t>（二）多元板块</t>
    <phoneticPr fontId="133" type="noConversion"/>
  </si>
  <si>
    <t>（三）参股公司投资收益</t>
    <phoneticPr fontId="133" type="noConversion"/>
  </si>
  <si>
    <t>较年初</t>
  </si>
  <si>
    <t>钢科碳公司</t>
  </si>
  <si>
    <t>香港公司</t>
    <phoneticPr fontId="133" type="noConversion"/>
  </si>
  <si>
    <t>电气公司</t>
    <phoneticPr fontId="133" type="noConversion"/>
  </si>
  <si>
    <t>减：坏账准备</t>
  </si>
  <si>
    <t>净  值</t>
  </si>
  <si>
    <t>年初</t>
    <phoneticPr fontId="133" type="noConversion"/>
  </si>
  <si>
    <t>外部应收账款</t>
    <phoneticPr fontId="133" type="noConversion"/>
  </si>
  <si>
    <t>太钢集团管理口径</t>
    <phoneticPr fontId="133" type="noConversion"/>
  </si>
  <si>
    <t>比年初</t>
    <phoneticPr fontId="133" type="noConversion"/>
  </si>
  <si>
    <t>钢铁业务</t>
    <phoneticPr fontId="133" type="noConversion"/>
  </si>
  <si>
    <t>其他单位</t>
    <phoneticPr fontId="133" type="noConversion"/>
  </si>
  <si>
    <t>太钢集团报表报出</t>
    <phoneticPr fontId="133" type="noConversion"/>
  </si>
  <si>
    <t>太钢不锈报表报出</t>
    <phoneticPr fontId="133" type="noConversion"/>
  </si>
  <si>
    <t>去年同期</t>
    <phoneticPr fontId="133" type="noConversion"/>
  </si>
  <si>
    <t>母公司报表报出</t>
    <phoneticPr fontId="133" type="noConversion"/>
  </si>
  <si>
    <t>本月</t>
    <phoneticPr fontId="133" type="noConversion"/>
  </si>
  <si>
    <t>太钢集团合并</t>
    <phoneticPr fontId="133" type="noConversion"/>
  </si>
  <si>
    <t>增幅</t>
    <phoneticPr fontId="133" type="noConversion"/>
  </si>
  <si>
    <t>关联价格
影响</t>
    <phoneticPr fontId="133" type="noConversion"/>
  </si>
  <si>
    <t>比上月
（剔除价格）</t>
    <phoneticPr fontId="133" type="noConversion"/>
  </si>
  <si>
    <t>钢铁主业</t>
    <phoneticPr fontId="133" type="noConversion"/>
  </si>
  <si>
    <t>钢铁板块</t>
    <phoneticPr fontId="133" type="noConversion"/>
  </si>
  <si>
    <t>1.矿业分公司</t>
    <phoneticPr fontId="133" type="noConversion"/>
  </si>
  <si>
    <t>2.岚县矿业公司</t>
    <phoneticPr fontId="133" type="noConversion"/>
  </si>
  <si>
    <t>矿业分公司变动</t>
    <phoneticPr fontId="133" type="noConversion"/>
  </si>
  <si>
    <t>（岚矿报表）</t>
    <phoneticPr fontId="133" type="noConversion"/>
  </si>
  <si>
    <t>尖山矿变动</t>
    <phoneticPr fontId="133" type="noConversion"/>
  </si>
  <si>
    <t>3.代县矿业公司</t>
    <phoneticPr fontId="133" type="noConversion"/>
  </si>
  <si>
    <t>（矿石使用费）</t>
    <phoneticPr fontId="133" type="noConversion"/>
  </si>
  <si>
    <t>东山矿变动</t>
    <phoneticPr fontId="133" type="noConversion"/>
  </si>
  <si>
    <t>4.太钢鑫磊</t>
    <phoneticPr fontId="133" type="noConversion"/>
  </si>
  <si>
    <t>（综合服务费）</t>
    <phoneticPr fontId="133" type="noConversion"/>
  </si>
  <si>
    <t>复合材料厂变动</t>
    <phoneticPr fontId="133" type="noConversion"/>
  </si>
  <si>
    <t>钢铁主业小计</t>
    <phoneticPr fontId="133" type="noConversion"/>
  </si>
  <si>
    <t>（技术服务费）</t>
    <phoneticPr fontId="133" type="noConversion"/>
  </si>
  <si>
    <t>多元业务小计</t>
    <phoneticPr fontId="133" type="noConversion"/>
  </si>
  <si>
    <t>（母公司价差）</t>
    <phoneticPr fontId="133" type="noConversion"/>
  </si>
  <si>
    <t>关联销售价格变动</t>
    <phoneticPr fontId="133" type="noConversion"/>
  </si>
  <si>
    <t>母公司业务小计</t>
    <phoneticPr fontId="133" type="noConversion"/>
  </si>
  <si>
    <t>（代矿报表）</t>
    <phoneticPr fontId="133" type="noConversion"/>
  </si>
  <si>
    <t>其中：太钢本部</t>
    <phoneticPr fontId="133" type="noConversion"/>
  </si>
  <si>
    <t>岚县价差变动</t>
    <phoneticPr fontId="133" type="noConversion"/>
  </si>
  <si>
    <t>太钢不锈结算量</t>
    <phoneticPr fontId="133" type="noConversion"/>
  </si>
  <si>
    <t>关联价格变动</t>
    <phoneticPr fontId="133" type="noConversion"/>
  </si>
  <si>
    <t>外销价格变动</t>
    <phoneticPr fontId="133" type="noConversion"/>
  </si>
  <si>
    <t>关联销售价格变动</t>
  </si>
  <si>
    <t>外销量变动</t>
    <phoneticPr fontId="133" type="noConversion"/>
  </si>
  <si>
    <t>采购价格变动</t>
  </si>
  <si>
    <t>采购价格变动</t>
    <phoneticPr fontId="133" type="noConversion"/>
  </si>
  <si>
    <t>结算量变动</t>
    <phoneticPr fontId="133" type="noConversion"/>
  </si>
  <si>
    <t>代县价差变动</t>
    <phoneticPr fontId="133" type="noConversion"/>
  </si>
  <si>
    <t>管理费用</t>
    <phoneticPr fontId="133" type="noConversion"/>
  </si>
  <si>
    <t>财务费用</t>
    <phoneticPr fontId="133" type="noConversion"/>
  </si>
  <si>
    <t>其他业务利润</t>
    <phoneticPr fontId="133" type="noConversion"/>
  </si>
  <si>
    <t>抵减事项</t>
    <phoneticPr fontId="133" type="noConversion"/>
  </si>
  <si>
    <t xml:space="preserve">      太钢母公司</t>
    <phoneticPr fontId="133" type="noConversion"/>
  </si>
  <si>
    <t>尖山铁矿</t>
    <phoneticPr fontId="133" type="noConversion"/>
  </si>
  <si>
    <t>矿业分公司价差还原前</t>
    <phoneticPr fontId="133" type="noConversion"/>
  </si>
  <si>
    <t>价差</t>
    <phoneticPr fontId="133" type="noConversion"/>
  </si>
  <si>
    <t>还原后</t>
    <phoneticPr fontId="133" type="noConversion"/>
  </si>
  <si>
    <t>其他收入</t>
  </si>
  <si>
    <t>↓141</t>
  </si>
  <si>
    <t>资源环境业</t>
    <phoneticPr fontId="133" type="noConversion"/>
  </si>
  <si>
    <t>产业金融业</t>
    <phoneticPr fontId="133" type="noConversion"/>
  </si>
  <si>
    <t>智慧服务业</t>
    <phoneticPr fontId="133" type="noConversion"/>
  </si>
  <si>
    <t>新材料产业</t>
    <phoneticPr fontId="133" type="noConversion"/>
  </si>
  <si>
    <t>产业园区业</t>
    <phoneticPr fontId="133" type="noConversion"/>
  </si>
  <si>
    <t>其他业务</t>
    <phoneticPr fontId="133" type="noConversion"/>
  </si>
  <si>
    <t>岚县移送母公司</t>
  </si>
  <si>
    <t>母公司移送太钢不锈</t>
  </si>
  <si>
    <t>关联抵消</t>
  </si>
  <si>
    <t>小口径收入-框大数</t>
  </si>
  <si>
    <t>报表</t>
    <phoneticPr fontId="133" type="noConversion"/>
  </si>
  <si>
    <t>其中</t>
    <phoneticPr fontId="133" type="noConversion"/>
  </si>
  <si>
    <t>：</t>
    <phoneticPr fontId="133" type="noConversion"/>
  </si>
  <si>
    <t>建议</t>
    <phoneticPr fontId="133" type="noConversion"/>
  </si>
  <si>
    <t>太钢集团考核口径</t>
    <phoneticPr fontId="133" type="noConversion"/>
  </si>
  <si>
    <t>考核口径</t>
    <phoneticPr fontId="133" type="noConversion"/>
  </si>
  <si>
    <t>关联抵消</t>
    <phoneticPr fontId="133" type="noConversion"/>
  </si>
  <si>
    <r>
      <t>筹资</t>
    </r>
    <r>
      <rPr>
        <sz val="10"/>
        <color indexed="8"/>
        <rFont val="楷体_GB2312"/>
        <family val="3"/>
        <charset val="134"/>
      </rPr>
      <t>活动流入</t>
    </r>
  </si>
  <si>
    <r>
      <t>筹资</t>
    </r>
    <r>
      <rPr>
        <sz val="10"/>
        <color indexed="8"/>
        <rFont val="楷体_GB2312"/>
        <family val="3"/>
        <charset val="134"/>
      </rPr>
      <t>活动流出</t>
    </r>
  </si>
  <si>
    <r>
      <t>筹资</t>
    </r>
    <r>
      <rPr>
        <b/>
        <sz val="10"/>
        <color indexed="8"/>
        <rFont val="楷体_GB2312"/>
        <family val="3"/>
        <charset val="134"/>
      </rPr>
      <t>活动净流量</t>
    </r>
  </si>
  <si>
    <t>矿山系统非关联</t>
  </si>
  <si>
    <t>关联互抵</t>
    <phoneticPr fontId="133" type="noConversion"/>
  </si>
  <si>
    <t>高炉利用系数</t>
    <phoneticPr fontId="133" type="noConversion"/>
  </si>
  <si>
    <r>
      <t>t/m</t>
    </r>
    <r>
      <rPr>
        <vertAlign val="superscript"/>
        <sz val="10"/>
        <rFont val="宋体"/>
        <family val="3"/>
        <charset val="134"/>
      </rPr>
      <t>3</t>
    </r>
    <r>
      <rPr>
        <sz val="10"/>
        <rFont val="宋体"/>
        <family val="3"/>
        <charset val="134"/>
      </rPr>
      <t>.d</t>
    </r>
    <phoneticPr fontId="133" type="noConversion"/>
  </si>
  <si>
    <t>入炉铁钢比</t>
    <phoneticPr fontId="133" type="noConversion"/>
  </si>
  <si>
    <t>kg/t</t>
    <phoneticPr fontId="133" type="noConversion"/>
  </si>
  <si>
    <t>废次降发生率</t>
    <phoneticPr fontId="133" type="noConversion"/>
  </si>
  <si>
    <t>吨钢综合能耗</t>
    <phoneticPr fontId="133" type="noConversion"/>
  </si>
  <si>
    <t>kgce/t-s</t>
    <phoneticPr fontId="133" type="noConversion"/>
  </si>
  <si>
    <t>热装率</t>
    <phoneticPr fontId="133" type="noConversion"/>
  </si>
  <si>
    <t>2020年实绩</t>
    <phoneticPr fontId="133" type="noConversion"/>
  </si>
  <si>
    <t>2021年目标</t>
    <phoneticPr fontId="133" type="noConversion"/>
  </si>
  <si>
    <t>1月</t>
    <phoneticPr fontId="133" type="noConversion"/>
  </si>
  <si>
    <t>2月</t>
    <phoneticPr fontId="133" type="noConversion"/>
  </si>
  <si>
    <t>3月</t>
    <phoneticPr fontId="133" type="noConversion"/>
  </si>
  <si>
    <t>（三）宝武重点关注指标</t>
    <phoneticPr fontId="133" type="noConversion"/>
  </si>
  <si>
    <t>本月岚县精矿粉成本</t>
    <phoneticPr fontId="133" type="noConversion"/>
  </si>
  <si>
    <t>上月岚县精矿粉成本</t>
    <phoneticPr fontId="133" type="noConversion"/>
  </si>
  <si>
    <t>本月矿粉外销价格</t>
    <phoneticPr fontId="133" type="noConversion"/>
  </si>
  <si>
    <t>上月矿粉外销价格</t>
    <phoneticPr fontId="133" type="noConversion"/>
  </si>
  <si>
    <t>上月矿粉外销量</t>
    <phoneticPr fontId="133" type="noConversion"/>
  </si>
  <si>
    <t>本月矿粉外销量</t>
    <phoneticPr fontId="133" type="noConversion"/>
  </si>
  <si>
    <t>本月矿粉外销利润</t>
    <phoneticPr fontId="133" type="noConversion"/>
  </si>
  <si>
    <t>上月矿粉外销利润</t>
    <phoneticPr fontId="133" type="noConversion"/>
  </si>
  <si>
    <t>矿业公司</t>
    <phoneticPr fontId="133" type="noConversion"/>
  </si>
  <si>
    <t>利润调整</t>
    <phoneticPr fontId="133" type="noConversion"/>
  </si>
  <si>
    <t>管理口径</t>
    <phoneticPr fontId="133" type="noConversion"/>
  </si>
  <si>
    <t>钢材产品销量</t>
    <phoneticPr fontId="133" type="noConversion"/>
  </si>
  <si>
    <t>四、矿山系统</t>
    <phoneticPr fontId="133" type="noConversion"/>
  </si>
  <si>
    <t>岚县服务费还原</t>
    <phoneticPr fontId="133" type="noConversion"/>
  </si>
  <si>
    <t>矿石使用费</t>
    <phoneticPr fontId="133" type="noConversion"/>
  </si>
  <si>
    <t>技术服务费</t>
    <phoneticPr fontId="133" type="noConversion"/>
  </si>
  <si>
    <t>综合服务费</t>
    <phoneticPr fontId="133" type="noConversion"/>
  </si>
  <si>
    <t>代县服务费还原</t>
    <phoneticPr fontId="133" type="noConversion"/>
  </si>
  <si>
    <t>母公司费用变动</t>
    <phoneticPr fontId="133" type="noConversion"/>
  </si>
  <si>
    <t>报表口径</t>
    <phoneticPr fontId="133" type="noConversion"/>
  </si>
  <si>
    <t>铁水成本</t>
    <phoneticPr fontId="133" type="noConversion"/>
  </si>
  <si>
    <t>利润总额</t>
    <phoneticPr fontId="133" type="noConversion"/>
  </si>
  <si>
    <t>矿山业务</t>
    <phoneticPr fontId="133" type="noConversion"/>
  </si>
  <si>
    <t>还原市场口径</t>
    <phoneticPr fontId="133" type="noConversion"/>
  </si>
  <si>
    <t>钢材销量</t>
    <phoneticPr fontId="133" type="noConversion"/>
  </si>
  <si>
    <t>钢铁板块利润</t>
    <phoneticPr fontId="133" type="noConversion"/>
  </si>
  <si>
    <t>矿山板块利润</t>
    <phoneticPr fontId="133" type="noConversion"/>
  </si>
  <si>
    <t xml:space="preserve"> 铁矿市场价（美元）</t>
    <phoneticPr fontId="133" type="noConversion"/>
  </si>
  <si>
    <t>月末美元汇率</t>
    <phoneticPr fontId="133" type="noConversion"/>
  </si>
  <si>
    <t xml:space="preserve"> 铁矿市场价（元）</t>
    <phoneticPr fontId="133" type="noConversion"/>
  </si>
  <si>
    <t>结算量</t>
    <phoneticPr fontId="133" type="noConversion"/>
  </si>
  <si>
    <t>与市场价差</t>
    <phoneticPr fontId="133" type="noConversion"/>
  </si>
  <si>
    <t>太钢内部结算价格（岚县）</t>
    <phoneticPr fontId="133" type="noConversion"/>
  </si>
  <si>
    <t>折算品位及优惠（岚县）</t>
    <phoneticPr fontId="133" type="noConversion"/>
  </si>
  <si>
    <t>利润差额</t>
    <phoneticPr fontId="133" type="noConversion"/>
  </si>
  <si>
    <t>折净利润系数</t>
    <phoneticPr fontId="133" type="noConversion"/>
  </si>
  <si>
    <t>还原口径净利润-钢铁业务</t>
    <phoneticPr fontId="133" type="noConversion"/>
  </si>
  <si>
    <t>钢铁业务ROE（不含矿山）</t>
    <phoneticPr fontId="133" type="noConversion"/>
  </si>
  <si>
    <t>太钢不锈利润总额</t>
    <phoneticPr fontId="133" type="noConversion"/>
  </si>
  <si>
    <t>宝钢德盛利润总额</t>
    <phoneticPr fontId="133" type="noConversion"/>
  </si>
  <si>
    <t>宁波宝新利润总额</t>
    <phoneticPr fontId="133" type="noConversion"/>
  </si>
  <si>
    <t>净资产-钢铁业务</t>
    <phoneticPr fontId="133" type="noConversion"/>
  </si>
  <si>
    <t>平均净资产-钢铁业务</t>
    <phoneticPr fontId="133" type="noConversion"/>
  </si>
  <si>
    <t>净资产收益率</t>
    <phoneticPr fontId="133" type="noConversion"/>
  </si>
  <si>
    <t>太钢不锈销量</t>
    <phoneticPr fontId="133" type="noConversion"/>
  </si>
  <si>
    <t>品位</t>
    <phoneticPr fontId="133" type="noConversion"/>
  </si>
  <si>
    <t>本月市场价</t>
    <phoneticPr fontId="133" type="noConversion"/>
  </si>
  <si>
    <t>特殊因素</t>
    <phoneticPr fontId="133" type="noConversion"/>
  </si>
  <si>
    <t>本月结算价</t>
    <phoneticPr fontId="133" type="noConversion"/>
  </si>
  <si>
    <t>上月结算价</t>
    <phoneticPr fontId="133" type="noConversion"/>
  </si>
  <si>
    <t>结算价差额</t>
    <phoneticPr fontId="133" type="noConversion"/>
  </si>
  <si>
    <t>本月结算量</t>
    <phoneticPr fontId="133" type="noConversion"/>
  </si>
  <si>
    <t>结算价变动影响</t>
    <phoneticPr fontId="133" type="noConversion"/>
  </si>
  <si>
    <t>宝武内部排名</t>
    <phoneticPr fontId="133" type="noConversion"/>
  </si>
  <si>
    <t>ROE</t>
    <phoneticPr fontId="133" type="noConversion"/>
  </si>
  <si>
    <t>八一钢铁</t>
  </si>
  <si>
    <t>八一钢铁</t>
    <phoneticPr fontId="133" type="noConversion"/>
  </si>
  <si>
    <t>昆钢集团</t>
  </si>
  <si>
    <t>昆钢集团</t>
    <phoneticPr fontId="133" type="noConversion"/>
  </si>
  <si>
    <t>中南钢铁</t>
  </si>
  <si>
    <t>中南钢铁</t>
    <phoneticPr fontId="133" type="noConversion"/>
  </si>
  <si>
    <t>宝钢股份</t>
  </si>
  <si>
    <t>宝钢股份</t>
    <phoneticPr fontId="133" type="noConversion"/>
  </si>
  <si>
    <t>马钢股份</t>
    <phoneticPr fontId="133" type="noConversion"/>
  </si>
  <si>
    <t>行业50分位</t>
    <phoneticPr fontId="133" type="noConversion"/>
  </si>
  <si>
    <t>太钢集团（含矿山）</t>
    <phoneticPr fontId="133" type="noConversion"/>
  </si>
  <si>
    <t>国贸外销均价</t>
    <phoneticPr fontId="133" type="noConversion"/>
  </si>
  <si>
    <t>●上月处理历史遗留亏损422万元。</t>
    <phoneticPr fontId="133" type="noConversion"/>
  </si>
  <si>
    <t>上月运费</t>
    <phoneticPr fontId="133" type="noConversion"/>
  </si>
  <si>
    <t>母公司采购价格变动</t>
    <phoneticPr fontId="133" type="noConversion"/>
  </si>
  <si>
    <t>太钢不锈关联销售价格变动</t>
    <phoneticPr fontId="133" type="noConversion"/>
  </si>
  <si>
    <t>与太钢不锈</t>
    <phoneticPr fontId="133" type="noConversion"/>
  </si>
  <si>
    <t>与矿山系统</t>
    <phoneticPr fontId="133" type="noConversion"/>
  </si>
  <si>
    <t>上月结算量</t>
    <phoneticPr fontId="133" type="noConversion"/>
  </si>
  <si>
    <t>结算量变动</t>
    <phoneticPr fontId="133" type="noConversion"/>
  </si>
  <si>
    <t>上月毛利</t>
    <phoneticPr fontId="133" type="noConversion"/>
  </si>
  <si>
    <t>计算量影响</t>
    <phoneticPr fontId="133" type="noConversion"/>
  </si>
  <si>
    <t>太钢不锈合计</t>
    <phoneticPr fontId="133" type="noConversion"/>
  </si>
  <si>
    <t>岚县</t>
    <phoneticPr fontId="133" type="noConversion"/>
  </si>
  <si>
    <t>母公司（岚县）变动</t>
    <phoneticPr fontId="133" type="noConversion"/>
  </si>
  <si>
    <t>母公司（代县）变动</t>
    <phoneticPr fontId="133" type="noConversion"/>
  </si>
  <si>
    <t>（母公司利差）</t>
    <phoneticPr fontId="133" type="noConversion"/>
  </si>
  <si>
    <t>尖山粉</t>
    <phoneticPr fontId="133" type="noConversion"/>
  </si>
  <si>
    <t>岚县粉</t>
    <phoneticPr fontId="133" type="noConversion"/>
  </si>
  <si>
    <t>代县球</t>
    <phoneticPr fontId="133" type="noConversion"/>
  </si>
  <si>
    <t>岚县球</t>
    <phoneticPr fontId="133" type="noConversion"/>
  </si>
  <si>
    <t>15% off</t>
    <phoneticPr fontId="133" type="noConversion"/>
  </si>
  <si>
    <t>结算量</t>
    <phoneticPr fontId="133" type="noConversion"/>
  </si>
  <si>
    <t>均价</t>
    <phoneticPr fontId="133" type="noConversion"/>
  </si>
  <si>
    <t>实际结算价</t>
    <phoneticPr fontId="133" type="noConversion"/>
  </si>
  <si>
    <t>外销红粉</t>
    <phoneticPr fontId="133" type="noConversion"/>
  </si>
  <si>
    <t>外销磁粉</t>
    <phoneticPr fontId="133" type="noConversion"/>
  </si>
  <si>
    <t>香港公司</t>
    <phoneticPr fontId="133" type="noConversion"/>
  </si>
  <si>
    <t>↑717</t>
  </si>
  <si>
    <t>↑629</t>
  </si>
  <si>
    <t>↑1246</t>
  </si>
  <si>
    <t>↑146</t>
  </si>
  <si>
    <t>↑398</t>
  </si>
  <si>
    <t>↑602</t>
  </si>
  <si>
    <t>↑50</t>
  </si>
  <si>
    <t>↓91</t>
  </si>
  <si>
    <t>↑56</t>
  </si>
  <si>
    <t>↑66</t>
  </si>
  <si>
    <t>↓21</t>
  </si>
  <si>
    <t>↑113</t>
  </si>
  <si>
    <t>↑612</t>
  </si>
  <si>
    <t>↑346</t>
  </si>
  <si>
    <t>↑704</t>
  </si>
  <si>
    <t>↑7</t>
  </si>
  <si>
    <t>↓41</t>
  </si>
  <si>
    <t>↓155</t>
  </si>
  <si>
    <t>↓43</t>
  </si>
  <si>
    <t>↓56</t>
  </si>
  <si>
    <t>↓28</t>
  </si>
  <si>
    <t>↓37</t>
  </si>
  <si>
    <t>↑8</t>
  </si>
  <si>
    <t>↓45</t>
  </si>
  <si>
    <t>↓4</t>
  </si>
  <si>
    <t>↑0</t>
  </si>
  <si>
    <t>↓50</t>
  </si>
  <si>
    <t>↑122</t>
  </si>
  <si>
    <t>↓26</t>
  </si>
  <si>
    <t>↑1004</t>
  </si>
  <si>
    <t>↑258</t>
  </si>
  <si>
    <t>↑1467</t>
  </si>
  <si>
    <t>↑193</t>
  </si>
  <si>
    <t>↑188</t>
  </si>
  <si>
    <t>↑542</t>
  </si>
  <si>
    <t>↓42</t>
  </si>
  <si>
    <t>↑77</t>
  </si>
  <si>
    <t>↓44</t>
  </si>
  <si>
    <t>↓5</t>
  </si>
  <si>
    <t>↓13</t>
  </si>
  <si>
    <t>↑334</t>
  </si>
  <si>
    <t>↑120</t>
  </si>
  <si>
    <t>↑814</t>
  </si>
  <si>
    <t>↑6</t>
  </si>
  <si>
    <t>↓35</t>
  </si>
  <si>
    <t>↓132</t>
  </si>
  <si>
    <t>↑368</t>
  </si>
  <si>
    <t>↑314</t>
  </si>
  <si>
    <t>↑365</t>
  </si>
  <si>
    <t>↓47</t>
  </si>
  <si>
    <t>↓1</t>
  </si>
  <si>
    <t>↑78</t>
  </si>
  <si>
    <t>↓89</t>
  </si>
  <si>
    <t>↓187</t>
  </si>
  <si>
    <t>差额</t>
    <phoneticPr fontId="133" type="noConversion"/>
  </si>
  <si>
    <t>岚矿→母公司</t>
    <phoneticPr fontId="133" type="noConversion"/>
  </si>
  <si>
    <t>袁粉</t>
    <phoneticPr fontId="133" type="noConversion"/>
  </si>
  <si>
    <t>袁球</t>
    <phoneticPr fontId="133" type="noConversion"/>
  </si>
  <si>
    <t>母公司→国贸</t>
    <phoneticPr fontId="133" type="noConversion"/>
  </si>
  <si>
    <t>母公司→不锈</t>
    <phoneticPr fontId="133" type="noConversion"/>
  </si>
  <si>
    <t>量</t>
    <phoneticPr fontId="133" type="noConversion"/>
  </si>
  <si>
    <t>峨球</t>
    <phoneticPr fontId="133" type="noConversion"/>
  </si>
  <si>
    <t>尖粉</t>
    <phoneticPr fontId="133" type="noConversion"/>
  </si>
  <si>
    <t>矿业公司→不锈</t>
    <phoneticPr fontId="133" type="noConversion"/>
  </si>
  <si>
    <t>袁粉</t>
  </si>
  <si>
    <t>国贸→外销</t>
  </si>
  <si>
    <t>母公司→不锈</t>
  </si>
  <si>
    <t>袁球</t>
  </si>
  <si>
    <t>岚矿→母公司</t>
  </si>
  <si>
    <t>代矿→母公司</t>
  </si>
  <si>
    <t>峨球</t>
  </si>
  <si>
    <t>尖粉</t>
  </si>
  <si>
    <t>尖山→矿业公司</t>
  </si>
  <si>
    <t>本</t>
  </si>
  <si>
    <t>量</t>
  </si>
  <si>
    <t>交易路径</t>
  </si>
  <si>
    <t>价</t>
  </si>
  <si>
    <t>差额-15%</t>
  </si>
  <si>
    <t>利</t>
  </si>
  <si>
    <t>不锈钢销售合计(抵关联）</t>
    <phoneticPr fontId="133" type="noConversion"/>
  </si>
  <si>
    <t>钢材销售合计(抵关联）</t>
    <phoneticPr fontId="133" type="noConversion"/>
  </si>
  <si>
    <t>关联抵消</t>
    <phoneticPr fontId="133" type="noConversion"/>
  </si>
  <si>
    <t xml:space="preserve"> 山西证券</t>
    <phoneticPr fontId="133" type="noConversion"/>
  </si>
  <si>
    <t>-</t>
    <phoneticPr fontId="133" type="noConversion"/>
  </si>
  <si>
    <t>太钢管理口径</t>
    <phoneticPr fontId="133" type="noConversion"/>
  </si>
  <si>
    <t>报表利润</t>
    <phoneticPr fontId="133" type="noConversion"/>
  </si>
  <si>
    <t>一、太钢不锈</t>
    <phoneticPr fontId="133" type="noConversion"/>
  </si>
  <si>
    <t>带息负债</t>
    <phoneticPr fontId="133" type="noConversion"/>
  </si>
  <si>
    <t>太钢集团（合并口径）</t>
    <phoneticPr fontId="133" type="noConversion"/>
  </si>
  <si>
    <t>太钢本部</t>
    <phoneticPr fontId="133" type="noConversion"/>
  </si>
  <si>
    <t>宝钢德盛</t>
    <phoneticPr fontId="133" type="noConversion"/>
  </si>
  <si>
    <t>年初</t>
    <phoneticPr fontId="133" type="noConversion"/>
  </si>
  <si>
    <t>较年初</t>
    <phoneticPr fontId="133" type="noConversion"/>
  </si>
  <si>
    <t>单位</t>
    <phoneticPr fontId="133" type="noConversion"/>
  </si>
  <si>
    <t>亿元</t>
    <phoneticPr fontId="133" type="noConversion"/>
  </si>
  <si>
    <t>经营活动现金流</t>
    <phoneticPr fontId="133" type="noConversion"/>
  </si>
  <si>
    <t>宁波宝新</t>
    <phoneticPr fontId="133" type="noConversion"/>
  </si>
  <si>
    <t>累计实现</t>
    <phoneticPr fontId="133" type="noConversion"/>
  </si>
  <si>
    <t>较上月</t>
    <phoneticPr fontId="133" type="noConversion"/>
  </si>
  <si>
    <t>产成品库存</t>
    <phoneticPr fontId="133" type="noConversion"/>
  </si>
  <si>
    <t>库存余额净额</t>
    <phoneticPr fontId="133" type="noConversion"/>
  </si>
  <si>
    <t>太钢集团（管理口径）</t>
    <phoneticPr fontId="133" type="noConversion"/>
  </si>
  <si>
    <t>●医疗收入减少减利400万元（上月7228万元，本月6650万元）。</t>
  </si>
  <si>
    <t>下发</t>
  </si>
  <si>
    <t>调整2月税</t>
  </si>
  <si>
    <t xml:space="preserve">    &lt;可供出售金融资产&gt;</t>
    <phoneticPr fontId="133" type="noConversion"/>
  </si>
  <si>
    <t xml:space="preserve">    &lt;子公司分红&gt;</t>
    <phoneticPr fontId="133" type="noConversion"/>
  </si>
  <si>
    <t xml:space="preserve">  （自产矿粉）</t>
    <phoneticPr fontId="133" type="noConversion"/>
  </si>
  <si>
    <t>领导，现将5月预测利润汇总情况汇报如下：
（1）4月汇总利润（管理口径）23.13亿元，比上月18.63亿元增加4.5亿元，其中：
①钢铁板块12.46亿元，比上月11亿元增加1.46亿元（太钢不锈11.85亿元，比上月10.55亿元增加1.3亿元；宝钢德盛0.04亿元，较上月0.09亿元减少0.05亿元；宁波宝新0.57亿元，较上月0.35亿元增加0.21亿元）；
②矿山板块10.15亿元，比上月7.3亿元增加2.87亿元；
③多元板块1.77亿元，比上月1.3亿元增加0.46亿元。
（2）1-4月累计汇总利润（管理口径）64.97亿元，其中：
①钢铁板块38.91亿元（太钢不锈36.95亿元，宝钢德盛0.44亿元，宁波宝新1.52亿元）；
②矿山板块26.97亿元；
③多元板块4.5亿元。</t>
    <phoneticPr fontId="133" type="noConversion"/>
  </si>
  <si>
    <t xml:space="preserve"> 关联互抵</t>
    <phoneticPr fontId="133" type="noConversion"/>
  </si>
  <si>
    <t>矿山系统→母公司</t>
    <phoneticPr fontId="133" type="noConversion"/>
  </si>
  <si>
    <t>母公司→国贸</t>
  </si>
  <si>
    <t>钢新服务费</t>
    <phoneticPr fontId="133" type="noConversion"/>
  </si>
  <si>
    <t xml:space="preserve">     钢新服务费</t>
    <phoneticPr fontId="133" type="noConversion"/>
  </si>
  <si>
    <t>（原钢新服务费）</t>
    <phoneticPr fontId="133" type="noConversion"/>
  </si>
  <si>
    <t>原保代协作费</t>
    <phoneticPr fontId="133" type="noConversion"/>
  </si>
  <si>
    <t>●本月收省工信厅研发补助增利170万元。</t>
    <phoneticPr fontId="133" type="noConversion"/>
  </si>
  <si>
    <t>●本月计提拨备，减利2293万元。</t>
    <phoneticPr fontId="133" type="noConversion"/>
  </si>
  <si>
    <t>太钢医疗公司</t>
    <phoneticPr fontId="133" type="noConversion"/>
  </si>
  <si>
    <t>财务公司</t>
    <phoneticPr fontId="133" type="noConversion"/>
  </si>
  <si>
    <t>岚县农业公司</t>
    <phoneticPr fontId="133" type="noConversion"/>
  </si>
  <si>
    <t>医疗公司</t>
    <phoneticPr fontId="133" type="noConversion"/>
  </si>
  <si>
    <t xml:space="preserve"> 医疗公司</t>
    <phoneticPr fontId="133" type="noConversion"/>
  </si>
  <si>
    <t>实际数</t>
    <phoneticPr fontId="133" type="noConversion"/>
  </si>
  <si>
    <t>报出数</t>
    <phoneticPr fontId="133" type="noConversion"/>
  </si>
  <si>
    <t xml:space="preserve"> 太钢鑫磊</t>
    <phoneticPr fontId="133" type="noConversion"/>
  </si>
  <si>
    <t xml:space="preserve"> 财务公司</t>
    <phoneticPr fontId="133" type="noConversion"/>
  </si>
  <si>
    <t xml:space="preserve">      医疗公司（不并表）</t>
    <phoneticPr fontId="133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</si>
  <si>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</si>
  <si>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●水电收入减少减利48万元。
●租金收入减少减利30万元。
●上月处理无法支付的应付账款，减利25万元。</t>
  </si>
  <si>
    <t xml:space="preserve">  </t>
    <phoneticPr fontId="133" type="noConversion"/>
  </si>
  <si>
    <t>●上月计提二季度拨备，本月无，增利2171万元。
●理财投资收益减少减利1545万元（本月浮亏993万元，上月浮盈552万元）。</t>
  </si>
  <si>
    <t xml:space="preserve"> 医疗公司</t>
  </si>
  <si>
    <t>超细粉销量19.94万吨，比上月增加2.84万吨增利372万元</t>
  </si>
  <si>
    <t>●本月收三季度企财险增利30万元。</t>
  </si>
  <si>
    <t>●检修收入增加增利220万元。</t>
  </si>
  <si>
    <r>
      <t>●销量增加增利348万元（加气砼销量增加0.21万m</t>
    </r>
    <r>
      <rPr>
        <sz val="11"/>
        <rFont val="Calibri"/>
        <family val="3"/>
      </rPr>
      <t>³</t>
    </r>
    <r>
      <rPr>
        <sz val="11"/>
        <rFont val="仿宋_GB2312"/>
        <family val="3"/>
        <charset val="134"/>
      </rPr>
      <t>，加气板材销量减少0.29万m</t>
    </r>
    <r>
      <rPr>
        <sz val="11"/>
        <rFont val="Calibri"/>
        <family val="3"/>
      </rPr>
      <t>³</t>
    </r>
    <r>
      <rPr>
        <sz val="11"/>
        <rFont val="仿宋_GB2312"/>
        <family val="3"/>
        <charset val="134"/>
      </rPr>
      <t>，标砖销量增加106万块）。</t>
    </r>
  </si>
  <si>
    <t>●TG800产品销量减少5.93吨，减利1342万元（上月5.93吨，本月无）。
●TG700产品销量增加3.3吨，增利209万元（上月无，本月3.3吨）。</t>
  </si>
  <si>
    <t>●酒店收入减少减利182万元。
●体育中心收入减少减利85万元。</t>
  </si>
  <si>
    <t>比上月收入影响</t>
  </si>
  <si>
    <t>销售代县变动</t>
    <phoneticPr fontId="133" type="noConversion"/>
  </si>
  <si>
    <t>岚县变动</t>
    <phoneticPr fontId="133" type="noConversion"/>
  </si>
  <si>
    <t>④投资收益增加增利0.5亿元，其中：中色太钢投资收益增加增利0.2亿元，山西证券投资收益增加增利0.3亿元。</t>
    <phoneticPr fontId="133" type="noConversion"/>
  </si>
  <si>
    <t>其中：结算量增加增利0.8亿元，职工薪酬减少增利0.24亿元。</t>
    <phoneticPr fontId="133" type="noConversion"/>
  </si>
  <si>
    <t>●本月集中结算三季度企财险增利影响。</t>
  </si>
  <si>
    <t>●融资租赁公司本月收到税收返还增利718万元。
●商业保理公司本月收到税收返还增利268万元。</t>
    <phoneticPr fontId="133" type="noConversion"/>
  </si>
  <si>
    <t>●投资收益减少减利885万元（本月150万元，上月1035万元）。
●公允价值变动增利3906万元（本月2412万元，上月-1494万元）。</t>
    <phoneticPr fontId="133" type="noConversion"/>
  </si>
  <si>
    <t>●铬铁售价上升1086元/吨(本月7966元/吨，上月6880元/吨)，增利2434万元。
●矿粉单价上升23元/吨(本月1221吨/吨，上月1198吨/吨)，减利144万元。
●结算去年高压电器设备春季检修服务费减利127万元。</t>
    <phoneticPr fontId="133" type="noConversion"/>
  </si>
  <si>
    <t>●集团委托收入增加增利136万元。
●上月发放奖金，本月无增利136万元。</t>
    <phoneticPr fontId="133" type="noConversion"/>
  </si>
  <si>
    <t>●铬铁售价上升1268元/吨(本月8148元/吨，上月6880元/吨)，增利2903万元。
●铬铁销量上升0.13万吨(本月2.29万吨，上月2.16万吨)，增利129万元。
●矿粉单价上升25元/吨(本月1223吨/吨，上月1198吨/吨)，减利108万元。</t>
    <phoneticPr fontId="133" type="noConversion"/>
  </si>
  <si>
    <t>●集团委托收入增加增利272万元。
●华南小区节能改造在建工程核销，转入管理费用减利133万。
●结算二季度森林管护、防火费减利20万。</t>
    <phoneticPr fontId="133" type="noConversion"/>
  </si>
  <si>
    <t>峨口农业</t>
    <phoneticPr fontId="133" type="noConversion"/>
  </si>
  <si>
    <t>综合</t>
    <phoneticPr fontId="133" type="noConversion"/>
  </si>
  <si>
    <t>●白灰销量减少0.5万吨，减利42万元（本月4.2万吨，上月4.7万吨）。</t>
    <phoneticPr fontId="133" type="noConversion"/>
  </si>
  <si>
    <t xml:space="preserve">  其他子公司</t>
    <phoneticPr fontId="133" type="noConversion"/>
  </si>
  <si>
    <t>●本月收工信厅转型发展奖励增利86万元。</t>
  </si>
  <si>
    <r>
      <t xml:space="preserve">●TG300-1K产品销量减少4.73吨，减利1196万元（本月0.78吨，上月5.51吨）。
</t>
    </r>
    <r>
      <rPr>
        <sz val="10"/>
        <rFont val="仿宋_GB2312"/>
        <family val="3"/>
        <charset val="134"/>
      </rPr>
      <t>●TG300-3K产品销量增加14.18吨，增利</t>
    </r>
    <r>
      <rPr>
        <sz val="10"/>
        <rFont val="仿宋_GB2312"/>
        <family val="3"/>
      </rPr>
      <t>628万元（本月4.68吨，上月0.5吨）。
●TG700产品销量增加1.39吨，增利160万元（本月1.39吨，上月无）。</t>
    </r>
    <phoneticPr fontId="133" type="noConversion"/>
  </si>
  <si>
    <t>其中：外销</t>
  </si>
  <si>
    <t>不锈材</t>
  </si>
  <si>
    <t>坯材（销量）</t>
  </si>
  <si>
    <t>不锈材（销量）</t>
  </si>
  <si>
    <t>德胜</t>
    <phoneticPr fontId="133" type="noConversion"/>
  </si>
  <si>
    <t>宝新</t>
    <phoneticPr fontId="133" type="noConversion"/>
  </si>
  <si>
    <t>关联</t>
    <phoneticPr fontId="13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</si>
</sst>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4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0;_က"/>
    <numFmt numFmtId="177" formatCode="&quot;↑&quot;0.00%;[Red]&quot;↓&quot;0.00%"/>
    <numFmt numFmtId="178" formatCode="0.000_ ;[Red]\-0.000\ "/>
    <numFmt numFmtId="179" formatCode="0;_"/>
    <numFmt numFmtId="180" formatCode="&quot;↑&quot;0;[Red]&quot;↓&quot;0"/>
    <numFmt numFmtId="181" formatCode="0;_吀"/>
    <numFmt numFmtId="182" formatCode="0.0000"/>
    <numFmt numFmtId="183" formatCode="0.00_ "/>
    <numFmt numFmtId="184" formatCode="0;_㐀"/>
    <numFmt numFmtId="185" formatCode="_ * #,##0_ ;_ * \-#,##0_ ;_ * &quot;-&quot;??_ ;_ @_ "/>
    <numFmt numFmtId="186" formatCode="0;_Ѐ"/>
    <numFmt numFmtId="187" formatCode="[Black]&quot;↑&quot;0.0%;[Red]&quot;↓&quot;0.0%"/>
    <numFmt numFmtId="188" formatCode="0.000_ "/>
    <numFmt numFmtId="189" formatCode="0_);[Red]\(0\)"/>
    <numFmt numFmtId="190" formatCode="0.00_);[Red]\(0.00\)"/>
    <numFmt numFmtId="191" formatCode="0_ "/>
    <numFmt numFmtId="192" formatCode="[Black]&quot;↑&quot;0.00%;[Red]&quot;↓&quot;0.00%"/>
    <numFmt numFmtId="193" formatCode="yyyy&quot;年&quot;m&quot;月&quot;;@"/>
    <numFmt numFmtId="194" formatCode="0;_蠀"/>
    <numFmt numFmtId="195" formatCode="0.000;[Red]0.000"/>
    <numFmt numFmtId="196" formatCode="0.00;[Red]0.00"/>
    <numFmt numFmtId="197" formatCode="&quot;↑&quot;0.00;[Red]&quot;↓&quot;0.00"/>
    <numFmt numFmtId="198" formatCode="0;_"/>
    <numFmt numFmtId="199" formatCode="[Black]&quot;↑&quot;0;[Red]&quot;↓&quot;0"/>
    <numFmt numFmtId="200" formatCode="0;_됀"/>
    <numFmt numFmtId="201" formatCode="0.0%"/>
    <numFmt numFmtId="202" formatCode="0.0_ "/>
    <numFmt numFmtId="203" formatCode="[Black]&quot;↑&quot;0.00;[Red]&quot;↓&quot;0.00"/>
    <numFmt numFmtId="204" formatCode="0;_ "/>
    <numFmt numFmtId="205" formatCode="&quot;↑&quot;###0;[Red]&quot;↓&quot;###0"/>
    <numFmt numFmtId="206" formatCode="0.0000_ "/>
    <numFmt numFmtId="207" formatCode="&quot;↑&quot;0.00;[Red]&quot;↓&quot;0.00;\-"/>
    <numFmt numFmtId="208" formatCode="&quot;↑&quot;###0.00;[Red]&quot;↓&quot;###0.00"/>
    <numFmt numFmtId="209" formatCode="0.000"/>
    <numFmt numFmtId="210" formatCode="&quot;↑&quot;0;[Red]&quot;↓&quot;0;\-"/>
    <numFmt numFmtId="211" formatCode="0.0"/>
    <numFmt numFmtId="212" formatCode="0.00000_ "/>
    <numFmt numFmtId="213" formatCode="###0;[Red]&quot;↓&quot;###0"/>
    <numFmt numFmtId="214" formatCode="#,##0.00_ "/>
    <numFmt numFmtId="215" formatCode="&quot;$&quot;#,##0.00_);[Red]\(&quot;$&quot;#,##0.00\)"/>
    <numFmt numFmtId="216" formatCode="_-&quot;￥&quot;* #,##0.00_-;\-&quot;￥&quot;* #,##0.00_-;_-&quot;￥&quot;* &quot;-&quot;??_-;_-@_-"/>
    <numFmt numFmtId="217" formatCode="_ &quot;\&quot;* #,##0.00_ ;_ &quot;\&quot;* &quot;\&quot;&quot;\&quot;&quot;\&quot;&quot;\&quot;&quot;\&quot;&quot;\&quot;\-#,##0.00_ ;_ &quot;\&quot;* &quot;-&quot;??_ ;_ @_ "/>
    <numFmt numFmtId="218" formatCode="&quot;￥&quot;#,##0;\-&quot;￥&quot;#,##0"/>
    <numFmt numFmtId="219" formatCode="&quot;\&quot;#,##0;[Red]&quot;\&quot;\-#,##0"/>
    <numFmt numFmtId="220" formatCode="_-\¥* #,##0.00_-;\-\¥* #,##0.00_-;_-\¥* &quot;-&quot;??_-;_-@_-"/>
    <numFmt numFmtId="221" formatCode="&quot;$&quot;#,##0_);[Red]\(&quot;$&quot;#,##0\)"/>
    <numFmt numFmtId="222" formatCode="&quot;\&quot;#,##0;[Red]&quot;\&quot;&quot;\&quot;&quot;\&quot;\-#,##0"/>
    <numFmt numFmtId="223" formatCode="_ &quot;ㄓ&quot;* #,##0.00_ ;_ &quot;ㄓ&quot;* \-#,##0.00_ ;_ &quot;ㄓ&quot;* &quot;-&quot;??_ ;_ @_ "/>
    <numFmt numFmtId="224" formatCode="_-&quot;HK$&quot;* #,##0.00_-;\-&quot;HK$&quot;* #,##0.00_-;_-&quot;HK$&quot;* &quot;-&quot;??_-;_-@_-"/>
    <numFmt numFmtId="225" formatCode="&quot;$&quot;#,##0_);\(&quot;$&quot;#,##0\)"/>
    <numFmt numFmtId="226" formatCode="mmm\.yy"/>
    <numFmt numFmtId="227" formatCode="&quot;\&quot;#,##0.00;[Red]&quot;\&quot;\-#,##0.00"/>
    <numFmt numFmtId="228" formatCode="_ &quot;￥&quot;* #,##0_ ;_ &quot;￥&quot;* \-#,##0_ ;_ &quot;￥&quot;* &quot;-&quot;_ ;_ @_ "/>
    <numFmt numFmtId="229" formatCode="_ &quot;￥&quot;* #,##0.00_ ;_ &quot;￥&quot;* \-#,##0.00_ ;_ &quot;￥&quot;* &quot;-&quot;??_ ;_ @_ "/>
    <numFmt numFmtId="230" formatCode="&quot;\&quot;#,##0.00;[Red]&quot;\&quot;&quot;\&quot;&quot;\&quot;&quot;\&quot;&quot;\&quot;&quot;\&quot;\-#,##0.00"/>
    <numFmt numFmtId="231" formatCode="#,##0;\-#,##0;&quot;-&quot;"/>
    <numFmt numFmtId="232" formatCode="_ \¥* #,##0.00_ ;_ \¥* \-#,##0.00_ ;_ \¥* &quot;-&quot;??_ ;_ @_ "/>
    <numFmt numFmtId="233" formatCode="&quot;\&quot;#,##0;[Red]&quot;\&quot;&quot;\&quot;\-#,##0"/>
    <numFmt numFmtId="234" formatCode="&quot;$&quot;#,##0.00;\-&quot;$&quot;#,##0.00"/>
    <numFmt numFmtId="235" formatCode="#,##0.0_);\(#,##0.0\)"/>
    <numFmt numFmtId="236" formatCode="\¥#,##0;\-\¥#,##0"/>
    <numFmt numFmtId="237" formatCode="0.000000"/>
    <numFmt numFmtId="238" formatCode="&quot;$&quot;#,##0;\-&quot;$&quot;#,##0"/>
    <numFmt numFmtId="239" formatCode="&quot;\&quot;#,##0.00;[Red]&quot;\&quot;&quot;\&quot;&quot;\&quot;\-#,##0.00"/>
    <numFmt numFmtId="240" formatCode="_-&quot;HK$&quot;* #,##0_-;\-&quot;HK$&quot;* #,##0_-;_-&quot;HK$&quot;* &quot;-&quot;_-;_-@_-"/>
    <numFmt numFmtId="241" formatCode="_ &quot;ㄓ&quot;* #,##0_ ;_ &quot;ㄓ&quot;* \-#,##0_ ;_ &quot;ㄓ&quot;* &quot;-&quot;_ ;_ @_ "/>
    <numFmt numFmtId="242" formatCode="_-&quot;¥&quot;* #,##0.00_-;\-&quot;¥&quot;* #,##0.00_-;_-&quot;¥&quot;* &quot;-&quot;??_-;_-@_-"/>
    <numFmt numFmtId="243" formatCode="&quot;¥&quot;#,##0;\-&quot;¥&quot;#,##0"/>
    <numFmt numFmtId="244" formatCode="_-* #,##0_-;\-* #,##0_-;_-* &quot;-&quot;_-;_-@_-"/>
    <numFmt numFmtId="245" formatCode="#,##0;\(#,##0\)"/>
    <numFmt numFmtId="246" formatCode="\$#,##0\ ;\(\$#,##0\)"/>
    <numFmt numFmtId="247" formatCode="\$#,##0.00;\(\$#,##0.00\)"/>
    <numFmt numFmtId="248" formatCode="\$#,##0;\(\$#,##0\)"/>
    <numFmt numFmtId="249" formatCode="&quot;$&quot;\ #,##0_-;[Red]&quot;$&quot;\ #,##0\-"/>
    <numFmt numFmtId="250" formatCode="yy\.mm\.dd"/>
    <numFmt numFmtId="251" formatCode="[Black]&quot;↑&quot;0.0;[Red]&quot;↓&quot;0.0"/>
    <numFmt numFmtId="252" formatCode="&quot;↑&quot;0;&quot;↓&quot;0"/>
    <numFmt numFmtId="253" formatCode="&quot;↑&quot;0.00;&quot;↓&quot;0.00"/>
    <numFmt numFmtId="254" formatCode="#,##0.000_ "/>
    <numFmt numFmtId="255" formatCode="0.00000000000_ "/>
  </numFmts>
  <fonts count="308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20"/>
      <name val="仿宋_GB2312"/>
      <family val="3"/>
      <charset val="134"/>
    </font>
    <font>
      <b/>
      <sz val="12"/>
      <name val="仿宋_GB2312"/>
      <family val="3"/>
      <charset val="134"/>
    </font>
    <font>
      <sz val="12"/>
      <name val="仿宋_GB2312"/>
      <family val="3"/>
      <charset val="134"/>
    </font>
    <font>
      <b/>
      <sz val="12"/>
      <name val="黑体"/>
      <family val="3"/>
      <charset val="134"/>
    </font>
    <font>
      <b/>
      <sz val="12"/>
      <color rgb="FFC00000"/>
      <name val="仿宋_GB2312"/>
      <family val="3"/>
      <charset val="134"/>
    </font>
    <font>
      <sz val="10"/>
      <color theme="1"/>
      <name val="等线"/>
      <family val="3"/>
      <charset val="134"/>
      <scheme val="minor"/>
    </font>
    <font>
      <b/>
      <sz val="11"/>
      <color theme="1"/>
      <name val="仿宋_GB2312"/>
      <family val="3"/>
      <charset val="134"/>
    </font>
    <font>
      <sz val="11"/>
      <color theme="1"/>
      <name val="仿宋_GB2312"/>
      <family val="3"/>
      <charset val="134"/>
    </font>
    <font>
      <b/>
      <sz val="8"/>
      <color theme="1"/>
      <name val="仿宋_GB2312"/>
      <family val="3"/>
      <charset val="134"/>
    </font>
    <font>
      <sz val="8"/>
      <color theme="1"/>
      <name val="仿宋_GB2312"/>
      <family val="3"/>
      <charset val="134"/>
    </font>
    <font>
      <sz val="11"/>
      <color rgb="FF0070C0"/>
      <name val="等线"/>
      <family val="3"/>
      <charset val="134"/>
      <scheme val="minor"/>
    </font>
    <font>
      <b/>
      <sz val="11"/>
      <color rgb="FF0070C0"/>
      <name val="仿宋_GB2312"/>
      <family val="3"/>
      <charset val="134"/>
    </font>
    <font>
      <b/>
      <sz val="11"/>
      <color rgb="FFC00000"/>
      <name val="仿宋_GB2312"/>
      <family val="3"/>
      <charset val="134"/>
    </font>
    <font>
      <b/>
      <sz val="10"/>
      <color theme="4" tint="-0.249977111117893"/>
      <name val="仿宋_GB2312"/>
      <family val="3"/>
      <charset val="134"/>
    </font>
    <font>
      <b/>
      <sz val="10.5"/>
      <color rgb="FF000000"/>
      <name val="仿宋_GB2312"/>
      <family val="3"/>
      <charset val="134"/>
    </font>
    <font>
      <sz val="10.5"/>
      <color rgb="FF000000"/>
      <name val="仿宋_GB2312"/>
      <family val="3"/>
      <charset val="134"/>
    </font>
    <font>
      <sz val="11"/>
      <color rgb="FFFF0000"/>
      <name val="等线"/>
      <family val="3"/>
      <charset val="134"/>
      <scheme val="minor"/>
    </font>
    <font>
      <sz val="12"/>
      <color rgb="FF0070C0"/>
      <name val="仿宋_GB2312"/>
      <family val="3"/>
      <charset val="134"/>
    </font>
    <font>
      <sz val="12"/>
      <color rgb="FFC00000"/>
      <name val="仿宋_GB2312"/>
      <family val="3"/>
      <charset val="134"/>
    </font>
    <font>
      <sz val="11"/>
      <color rgb="FFC00000"/>
      <name val="仿宋_GB2312"/>
      <family val="3"/>
      <charset val="134"/>
    </font>
    <font>
      <sz val="11"/>
      <name val="等线"/>
      <family val="3"/>
      <charset val="134"/>
      <scheme val="minor"/>
    </font>
    <font>
      <sz val="11"/>
      <color rgb="FFC00000"/>
      <name val="等线"/>
      <family val="3"/>
      <charset val="134"/>
      <scheme val="minor"/>
    </font>
    <font>
      <b/>
      <sz val="12"/>
      <color rgb="FF0070C0"/>
      <name val="仿宋_GB2312"/>
      <family val="3"/>
      <charset val="134"/>
    </font>
    <font>
      <b/>
      <sz val="12"/>
      <color theme="1"/>
      <name val="宋体"/>
      <family val="3"/>
      <charset val="134"/>
    </font>
    <font>
      <b/>
      <sz val="11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b/>
      <sz val="14"/>
      <color indexed="8"/>
      <name val="宋体"/>
      <family val="3"/>
      <charset val="134"/>
    </font>
    <font>
      <b/>
      <sz val="14"/>
      <color theme="1"/>
      <name val="宋体"/>
      <family val="3"/>
      <charset val="134"/>
    </font>
    <font>
      <sz val="14"/>
      <color indexed="8"/>
      <name val="宋体"/>
      <family val="3"/>
      <charset val="134"/>
    </font>
    <font>
      <sz val="14"/>
      <color theme="1"/>
      <name val="宋体"/>
      <family val="3"/>
      <charset val="134"/>
    </font>
    <font>
      <b/>
      <sz val="14"/>
      <name val="宋体"/>
      <family val="3"/>
      <charset val="134"/>
    </font>
    <font>
      <b/>
      <sz val="12"/>
      <color theme="1"/>
      <name val="仿宋_GB2312"/>
      <family val="3"/>
      <charset val="134"/>
    </font>
    <font>
      <sz val="12"/>
      <color theme="1"/>
      <name val="仿宋_GB2312"/>
      <family val="3"/>
      <charset val="134"/>
    </font>
    <font>
      <b/>
      <sz val="12"/>
      <color indexed="8"/>
      <name val="仿宋_GB2312"/>
      <family val="3"/>
      <charset val="134"/>
    </font>
    <font>
      <sz val="12"/>
      <color indexed="8"/>
      <name val="仿宋_GB2312"/>
      <family val="3"/>
      <charset val="134"/>
    </font>
    <font>
      <sz val="12"/>
      <color rgb="FF000000"/>
      <name val="仿宋_GB2312"/>
      <family val="3"/>
      <charset val="134"/>
    </font>
    <font>
      <b/>
      <sz val="12"/>
      <color rgb="FF000000"/>
      <name val="仿宋_GB2312"/>
      <family val="3"/>
      <charset val="134"/>
    </font>
    <font>
      <sz val="11"/>
      <name val="仿宋_GB2312"/>
      <family val="3"/>
      <charset val="134"/>
    </font>
    <font>
      <b/>
      <sz val="11"/>
      <name val="仿宋_GB2312"/>
      <family val="3"/>
      <charset val="134"/>
    </font>
    <font>
      <sz val="10"/>
      <color theme="1"/>
      <name val="仿宋_GB2312"/>
      <family val="3"/>
      <charset val="134"/>
    </font>
    <font>
      <sz val="11"/>
      <color rgb="FF0070C0"/>
      <name val="仿宋_GB2312"/>
      <family val="3"/>
      <charset val="134"/>
    </font>
    <font>
      <b/>
      <sz val="10"/>
      <color rgb="FF0070C0"/>
      <name val="仿宋_GB2312"/>
      <family val="3"/>
      <charset val="134"/>
    </font>
    <font>
      <b/>
      <sz val="10"/>
      <color theme="1"/>
      <name val="仿宋_GB2312"/>
      <family val="3"/>
      <charset val="134"/>
    </font>
    <font>
      <sz val="10"/>
      <name val="仿宋_GB2312"/>
      <family val="3"/>
      <charset val="134"/>
    </font>
    <font>
      <b/>
      <sz val="10"/>
      <color rgb="FFC00000"/>
      <name val="仿宋_GB2312"/>
      <family val="3"/>
      <charset val="134"/>
    </font>
    <font>
      <sz val="14"/>
      <color rgb="FFC00000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rgb="FF000000"/>
      <name val="宋体"/>
      <family val="3"/>
      <charset val="134"/>
    </font>
    <font>
      <b/>
      <sz val="14"/>
      <color rgb="FFC00000"/>
      <name val="宋体"/>
      <family val="3"/>
      <charset val="134"/>
    </font>
    <font>
      <sz val="12"/>
      <name val="宋体"/>
      <family val="3"/>
      <charset val="134"/>
    </font>
    <font>
      <b/>
      <sz val="14"/>
      <color theme="0"/>
      <name val="等线"/>
      <family val="3"/>
      <charset val="134"/>
      <scheme val="minor"/>
    </font>
    <font>
      <b/>
      <sz val="12"/>
      <color rgb="FFC00000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  <font>
      <sz val="11"/>
      <color theme="1"/>
      <name val="华文楷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color theme="1"/>
      <name val="楷体"/>
      <family val="3"/>
      <charset val="134"/>
    </font>
    <font>
      <i/>
      <sz val="11"/>
      <color rgb="FFFF0000"/>
      <name val="等线"/>
      <family val="3"/>
      <charset val="134"/>
      <scheme val="minor"/>
    </font>
    <font>
      <b/>
      <sz val="12"/>
      <color theme="8" tint="-0.249977111117893"/>
      <name val="楷体"/>
      <family val="3"/>
      <charset val="134"/>
    </font>
    <font>
      <b/>
      <sz val="12"/>
      <color rgb="FFC00000"/>
      <name val="楷体"/>
      <family val="3"/>
      <charset val="134"/>
    </font>
    <font>
      <sz val="12"/>
      <color rgb="FFC00000"/>
      <name val="楷体"/>
      <family val="3"/>
      <charset val="134"/>
    </font>
    <font>
      <i/>
      <u/>
      <sz val="12"/>
      <name val="仿宋_GB2312"/>
      <family val="3"/>
      <charset val="134"/>
    </font>
    <font>
      <b/>
      <sz val="12"/>
      <color rgb="FF7030A0"/>
      <name val="仿宋_GB2312"/>
      <family val="3"/>
      <charset val="134"/>
    </font>
    <font>
      <sz val="12"/>
      <color indexed="8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等线"/>
      <family val="3"/>
      <charset val="134"/>
    </font>
    <font>
      <sz val="9"/>
      <color theme="1"/>
      <name val="仿宋_GB2312"/>
      <family val="3"/>
      <charset val="134"/>
    </font>
    <font>
      <sz val="11"/>
      <color rgb="FFFF0000"/>
      <name val="仿宋_GB2312"/>
      <family val="3"/>
      <charset val="134"/>
    </font>
    <font>
      <b/>
      <sz val="11"/>
      <color rgb="FF000000"/>
      <name val="仿宋_GB2312"/>
      <family val="3"/>
      <charset val="134"/>
    </font>
    <font>
      <b/>
      <sz val="11"/>
      <color indexed="8"/>
      <name val="仿宋_GB2312"/>
      <family val="3"/>
      <charset val="134"/>
    </font>
    <font>
      <sz val="11"/>
      <color indexed="8"/>
      <name val="仿宋_GB2312"/>
      <family val="3"/>
      <charset val="134"/>
    </font>
    <font>
      <sz val="11"/>
      <color rgb="FF000000"/>
      <name val="仿宋_GB2312"/>
      <family val="3"/>
      <charset val="134"/>
    </font>
    <font>
      <b/>
      <sz val="11"/>
      <color rgb="FFFF0000"/>
      <name val="仿宋_GB2312"/>
      <family val="3"/>
      <charset val="134"/>
    </font>
    <font>
      <u/>
      <sz val="9"/>
      <color theme="1"/>
      <name val="仿宋_GB2312"/>
      <family val="3"/>
      <charset val="134"/>
    </font>
    <font>
      <b/>
      <sz val="12"/>
      <color theme="0"/>
      <name val="仿宋_GB2312"/>
      <family val="3"/>
      <charset val="134"/>
    </font>
    <font>
      <sz val="12"/>
      <name val="Calibri"/>
      <family val="2"/>
    </font>
    <font>
      <sz val="12"/>
      <color rgb="FFFF0000"/>
      <name val="仿宋_GB2312"/>
      <family val="3"/>
      <charset val="134"/>
    </font>
    <font>
      <sz val="12"/>
      <name val="黑体"/>
      <family val="3"/>
      <charset val="134"/>
    </font>
    <font>
      <sz val="9"/>
      <name val="仿宋_GB2312"/>
      <family val="3"/>
      <charset val="134"/>
    </font>
    <font>
      <sz val="24"/>
      <name val="黑体"/>
      <family val="3"/>
      <charset val="134"/>
    </font>
    <font>
      <b/>
      <sz val="16"/>
      <name val="仿宋_GB2312"/>
      <family val="3"/>
      <charset val="134"/>
    </font>
    <font>
      <sz val="22"/>
      <name val="黑体"/>
      <family val="3"/>
      <charset val="134"/>
    </font>
    <font>
      <b/>
      <sz val="15"/>
      <name val="仿宋_GB2312"/>
      <family val="3"/>
      <charset val="134"/>
    </font>
    <font>
      <sz val="15"/>
      <name val="仿宋_GB2312"/>
      <family val="3"/>
      <charset val="134"/>
    </font>
    <font>
      <sz val="10"/>
      <color theme="4" tint="-0.249977111117893"/>
      <name val="仿宋_GB2312"/>
      <family val="3"/>
      <charset val="134"/>
    </font>
    <font>
      <sz val="10"/>
      <color rgb="FFC00000"/>
      <name val="仿宋_GB2312"/>
      <family val="3"/>
      <charset val="134"/>
    </font>
    <font>
      <b/>
      <sz val="10"/>
      <name val="仿宋_GB2312"/>
      <family val="3"/>
      <charset val="134"/>
    </font>
    <font>
      <sz val="11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b/>
      <sz val="8"/>
      <color theme="1"/>
      <name val="Times New Roman"/>
      <family val="1"/>
    </font>
    <font>
      <sz val="9"/>
      <name val="Times New Roman"/>
      <family val="1"/>
    </font>
    <font>
      <b/>
      <sz val="8"/>
      <color rgb="FFFF0000"/>
      <name val="Times New Roman"/>
      <family val="1"/>
    </font>
    <font>
      <sz val="8"/>
      <color rgb="FF000000"/>
      <name val="Times New Roman"/>
      <family val="1"/>
    </font>
    <font>
      <b/>
      <sz val="8"/>
      <color rgb="FF000000"/>
      <name val="Times New Roman"/>
      <family val="1"/>
    </font>
    <font>
      <sz val="8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4"/>
      <color rgb="FFFFFF00"/>
      <name val="仿宋_GB2312"/>
      <family val="3"/>
      <charset val="134"/>
    </font>
    <font>
      <b/>
      <sz val="10"/>
      <color indexed="8"/>
      <name val="仿宋_GB2312"/>
      <family val="3"/>
      <charset val="134"/>
    </font>
    <font>
      <b/>
      <sz val="10"/>
      <color rgb="FF000000"/>
      <name val="仿宋_GB2312"/>
      <family val="3"/>
      <charset val="134"/>
    </font>
    <font>
      <sz val="10"/>
      <color indexed="8"/>
      <name val="仿宋_GB2312"/>
      <family val="3"/>
      <charset val="134"/>
    </font>
    <font>
      <sz val="10"/>
      <color rgb="FF000000"/>
      <name val="仿宋_GB2312"/>
      <family val="3"/>
      <charset val="134"/>
    </font>
    <font>
      <sz val="8"/>
      <color theme="1"/>
      <name val="等线"/>
      <family val="3"/>
      <charset val="134"/>
      <scheme val="minor"/>
    </font>
    <font>
      <sz val="8"/>
      <color rgb="FFFF0000"/>
      <name val="等线"/>
      <family val="3"/>
      <charset val="134"/>
      <scheme val="minor"/>
    </font>
    <font>
      <sz val="8"/>
      <color theme="3" tint="0.39677114169743949"/>
      <name val="等线"/>
      <family val="3"/>
      <charset val="134"/>
      <scheme val="minor"/>
    </font>
    <font>
      <b/>
      <sz val="10.5"/>
      <color indexed="8"/>
      <name val="仿宋_GB2312"/>
      <family val="3"/>
      <charset val="134"/>
    </font>
    <font>
      <b/>
      <sz val="10.5"/>
      <name val="仿宋_GB2312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name val="宋体"/>
      <family val="3"/>
      <charset val="134"/>
    </font>
    <font>
      <b/>
      <sz val="12"/>
      <color theme="4" tint="-0.249977111117893"/>
      <name val="仿宋_GB2312"/>
      <family val="3"/>
      <charset val="134"/>
    </font>
    <font>
      <b/>
      <sz val="11"/>
      <color rgb="FF0070C0"/>
      <name val="宋体"/>
      <family val="3"/>
      <charset val="134"/>
    </font>
    <font>
      <b/>
      <sz val="11"/>
      <color rgb="FFC00000"/>
      <name val="宋体"/>
      <family val="3"/>
      <charset val="134"/>
    </font>
    <font>
      <b/>
      <sz val="12"/>
      <color rgb="FFC00000"/>
      <name val="宋体"/>
      <family val="3"/>
      <charset val="134"/>
    </font>
    <font>
      <b/>
      <sz val="11"/>
      <color theme="8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  <font>
      <b/>
      <sz val="14"/>
      <color rgb="FFC00000"/>
      <name val="仿宋_GB2312"/>
      <family val="3"/>
      <charset val="134"/>
    </font>
    <font>
      <b/>
      <sz val="18"/>
      <name val="仿宋_GB2312"/>
      <family val="3"/>
      <charset val="134"/>
    </font>
    <font>
      <sz val="18"/>
      <name val="仿宋_GB2312"/>
      <family val="3"/>
      <charset val="134"/>
    </font>
    <font>
      <vertAlign val="superscript"/>
      <sz val="12"/>
      <name val="仿宋_GB2312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11"/>
      <color theme="0"/>
      <name val="仿宋_GB2312"/>
      <family val="3"/>
      <charset val="134"/>
    </font>
    <font>
      <b/>
      <sz val="11"/>
      <color theme="4" tint="-0.249977111117893"/>
      <name val="仿宋_GB2312"/>
      <family val="3"/>
      <charset val="134"/>
    </font>
    <font>
      <sz val="6"/>
      <color theme="1"/>
      <name val="仿宋_GB2312"/>
      <family val="3"/>
      <charset val="134"/>
    </font>
    <font>
      <b/>
      <sz val="7.5"/>
      <color theme="1"/>
      <name val="仿宋_GB2312"/>
      <family val="3"/>
      <charset val="134"/>
    </font>
    <font>
      <sz val="7.5"/>
      <color theme="1"/>
      <name val="仿宋_GB2312"/>
      <family val="3"/>
      <charset val="134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sz val="10"/>
      <name val="Arial"/>
      <family val="2"/>
    </font>
    <font>
      <sz val="10"/>
      <name val="Times New Roman"/>
      <family val="1"/>
    </font>
    <font>
      <sz val="12"/>
      <name val="Times New Roman"/>
      <family val="1"/>
    </font>
    <font>
      <sz val="10"/>
      <color indexed="8"/>
      <name val="Arial"/>
      <family val="2"/>
    </font>
    <font>
      <sz val="8"/>
      <name val="Arial"/>
      <family val="2"/>
    </font>
    <font>
      <sz val="11"/>
      <color indexed="62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0"/>
      <name val="Geneva"/>
      <family val="1"/>
    </font>
    <font>
      <sz val="11"/>
      <color indexed="9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3"/>
      <color indexed="62"/>
      <name val="宋体"/>
      <family val="3"/>
      <charset val="134"/>
    </font>
    <font>
      <sz val="10"/>
      <name val="Helv"/>
      <family val="2"/>
    </font>
    <font>
      <b/>
      <sz val="11"/>
      <color indexed="63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5"/>
      <color indexed="56"/>
      <name val="宋体"/>
      <family val="3"/>
      <charset val="134"/>
    </font>
    <font>
      <sz val="12"/>
      <name val="新細明體"/>
      <family val="1"/>
    </font>
    <font>
      <b/>
      <sz val="10"/>
      <name val="MS Sans Serif"/>
      <family val="1"/>
    </font>
    <font>
      <sz val="13"/>
      <name val="Tms Rmn"/>
      <family val="1"/>
    </font>
    <font>
      <b/>
      <i/>
      <sz val="16"/>
      <name val="Helv"/>
      <family val="2"/>
    </font>
    <font>
      <b/>
      <sz val="11"/>
      <color indexed="52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1"/>
      <color indexed="62"/>
      <name val="宋体"/>
      <family val="3"/>
      <charset val="134"/>
    </font>
    <font>
      <sz val="11"/>
      <color indexed="42"/>
      <name val="宋体"/>
      <family val="3"/>
      <charset val="134"/>
    </font>
    <font>
      <sz val="11"/>
      <color indexed="20"/>
      <name val="Tahoma"/>
      <family val="2"/>
    </font>
    <font>
      <b/>
      <sz val="12"/>
      <name val="Arial"/>
      <family val="2"/>
    </font>
    <font>
      <b/>
      <sz val="18"/>
      <color indexed="62"/>
      <name val="宋体"/>
      <family val="3"/>
      <charset val="134"/>
    </font>
    <font>
      <sz val="11"/>
      <color indexed="52"/>
      <name val="宋体"/>
      <family val="3"/>
      <charset val="134"/>
    </font>
    <font>
      <sz val="7"/>
      <name val="Small Fonts"/>
      <family val="2"/>
    </font>
    <font>
      <sz val="11"/>
      <color indexed="17"/>
      <name val="Tahoma"/>
      <family val="2"/>
    </font>
    <font>
      <sz val="11"/>
      <name val="明朝"/>
      <charset val="134"/>
    </font>
    <font>
      <sz val="12"/>
      <name val="冼极"/>
      <charset val="134"/>
    </font>
    <font>
      <sz val="10"/>
      <name val="奔覆眉"/>
      <family val="2"/>
    </font>
    <font>
      <b/>
      <sz val="11"/>
      <color indexed="42"/>
      <name val="宋体"/>
      <family val="3"/>
      <charset val="134"/>
    </font>
    <font>
      <sz val="12"/>
      <name val="柧挬"/>
      <family val="3"/>
    </font>
    <font>
      <b/>
      <sz val="10"/>
      <name val="Tms Rmn"/>
      <family val="1"/>
    </font>
    <font>
      <sz val="7"/>
      <name val="Helv"/>
      <family val="2"/>
    </font>
    <font>
      <b/>
      <sz val="10"/>
      <name val="Helv"/>
      <family val="2"/>
    </font>
    <font>
      <b/>
      <sz val="13"/>
      <name val="Tms Rmn"/>
      <family val="1"/>
    </font>
    <font>
      <u/>
      <sz val="7.5"/>
      <color indexed="36"/>
      <name val="Arial"/>
      <family val="2"/>
    </font>
    <font>
      <b/>
      <sz val="12"/>
      <name val="Helv"/>
      <family val="2"/>
    </font>
    <font>
      <u/>
      <sz val="7.5"/>
      <color indexed="12"/>
      <name val="Arial"/>
      <family val="2"/>
    </font>
    <font>
      <sz val="12"/>
      <name val="Helv"/>
      <family val="2"/>
    </font>
    <font>
      <sz val="12"/>
      <color indexed="9"/>
      <name val="Helv"/>
      <family val="2"/>
    </font>
    <font>
      <b/>
      <sz val="11"/>
      <name val="Helv"/>
      <family val="2"/>
    </font>
    <font>
      <sz val="10"/>
      <name val="Courier"/>
      <family val="3"/>
    </font>
    <font>
      <sz val="10"/>
      <name val="MS Sans Serif"/>
      <family val="2"/>
    </font>
    <font>
      <sz val="7"/>
      <color indexed="10"/>
      <name val="Helv"/>
      <family val="2"/>
    </font>
    <font>
      <sz val="10"/>
      <color indexed="8"/>
      <name val="MS Sans Serif"/>
      <family val="2"/>
    </font>
    <font>
      <u/>
      <sz val="12"/>
      <color indexed="12"/>
      <name val="宋体"/>
      <family val="3"/>
      <charset val="134"/>
    </font>
    <font>
      <b/>
      <sz val="18"/>
      <color theme="3"/>
      <name val="等线 Light"/>
      <family val="2"/>
      <charset val="134"/>
      <scheme val="major"/>
    </font>
    <font>
      <sz val="11"/>
      <color rgb="FF9C6500"/>
      <name val="等线"/>
      <family val="2"/>
      <charset val="134"/>
      <scheme val="minor"/>
    </font>
    <font>
      <sz val="10"/>
      <name val="Geneva"/>
      <family val="2"/>
    </font>
    <font>
      <sz val="11"/>
      <color theme="0"/>
      <name val="等线"/>
      <family val="3"/>
      <charset val="134"/>
      <scheme val="minor"/>
    </font>
    <font>
      <b/>
      <sz val="18"/>
      <color indexed="56"/>
      <name val="等线 Light"/>
      <family val="3"/>
      <charset val="134"/>
      <scheme val="major"/>
    </font>
    <font>
      <b/>
      <sz val="15"/>
      <color indexed="56"/>
      <name val="等线"/>
      <family val="3"/>
      <charset val="134"/>
      <scheme val="minor"/>
    </font>
    <font>
      <b/>
      <sz val="13"/>
      <color indexed="56"/>
      <name val="等线"/>
      <family val="3"/>
      <charset val="134"/>
      <scheme val="minor"/>
    </font>
    <font>
      <b/>
      <sz val="11"/>
      <color indexed="56"/>
      <name val="等线"/>
      <family val="3"/>
      <charset val="134"/>
      <scheme val="minor"/>
    </font>
    <font>
      <sz val="11"/>
      <color rgb="FF9C0006"/>
      <name val="等线"/>
      <family val="3"/>
      <charset val="134"/>
      <scheme val="minor"/>
    </font>
    <font>
      <sz val="11"/>
      <color rgb="FF006100"/>
      <name val="等线"/>
      <family val="3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i/>
      <sz val="11"/>
      <color rgb="FF7F7F7F"/>
      <name val="等线"/>
      <family val="3"/>
      <charset val="134"/>
      <scheme val="minor"/>
    </font>
    <font>
      <sz val="11"/>
      <color rgb="FFFA7D00"/>
      <name val="等线"/>
      <family val="3"/>
      <charset val="134"/>
      <scheme val="minor"/>
    </font>
    <font>
      <sz val="11"/>
      <color rgb="FF9C6500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3F3F76"/>
      <name val="等线"/>
      <family val="3"/>
      <charset val="134"/>
      <scheme val="minor"/>
    </font>
    <font>
      <b/>
      <sz val="18"/>
      <color theme="3"/>
      <name val="等线 Light"/>
      <family val="3"/>
      <charset val="134"/>
      <scheme val="major"/>
    </font>
    <font>
      <b/>
      <sz val="15"/>
      <color theme="3"/>
      <name val="等线"/>
      <family val="3"/>
      <charset val="134"/>
      <scheme val="minor"/>
    </font>
    <font>
      <b/>
      <sz val="13"/>
      <color theme="3"/>
      <name val="等线"/>
      <family val="3"/>
      <charset val="134"/>
      <scheme val="minor"/>
    </font>
    <font>
      <b/>
      <sz val="11"/>
      <color theme="3"/>
      <name val="等线"/>
      <family val="3"/>
      <charset val="134"/>
      <scheme val="minor"/>
    </font>
    <font>
      <b/>
      <sz val="10"/>
      <name val="MS Sans Serif"/>
      <family val="2"/>
    </font>
    <font>
      <b/>
      <sz val="9"/>
      <name val="Tahoma"/>
      <family val="2"/>
    </font>
    <font>
      <b/>
      <sz val="9"/>
      <color indexed="81"/>
      <name val="Tahoma"/>
      <family val="2"/>
    </font>
    <font>
      <sz val="12"/>
      <color indexed="9"/>
      <name val="宋体"/>
      <family val="3"/>
      <charset val="134"/>
    </font>
    <font>
      <sz val="12"/>
      <name val="¹UAAA¼"/>
      <family val="2"/>
    </font>
    <font>
      <sz val="10"/>
      <name val="MS Sans Serif"/>
      <family val="1"/>
    </font>
    <font>
      <b/>
      <sz val="14"/>
      <name val="楷体"/>
      <family val="3"/>
      <charset val="134"/>
    </font>
    <font>
      <sz val="10"/>
      <name val="楷体"/>
      <family val="3"/>
      <charset val="134"/>
    </font>
    <font>
      <sz val="11"/>
      <color indexed="20"/>
      <name val="Tahoma"/>
      <family val="2"/>
      <charset val="134"/>
    </font>
    <font>
      <sz val="12"/>
      <color indexed="16"/>
      <name val="宋体"/>
      <family val="3"/>
      <charset val="134"/>
    </font>
    <font>
      <sz val="12"/>
      <color indexed="20"/>
      <name val="宋体"/>
      <family val="3"/>
      <charset val="134"/>
    </font>
    <font>
      <u/>
      <sz val="13.2"/>
      <color indexed="12"/>
      <name val="Times New Roman"/>
      <family val="1"/>
    </font>
    <font>
      <b/>
      <sz val="10"/>
      <name val="Arial"/>
      <family val="2"/>
    </font>
    <font>
      <b/>
      <sz val="9"/>
      <name val="Arial"/>
      <family val="2"/>
    </font>
    <font>
      <sz val="12"/>
      <color indexed="17"/>
      <name val="宋体"/>
      <family val="3"/>
      <charset val="134"/>
    </font>
    <font>
      <sz val="11"/>
      <color indexed="17"/>
      <name val="Tahoma"/>
      <family val="2"/>
      <charset val="134"/>
    </font>
    <font>
      <u/>
      <sz val="12"/>
      <color indexed="36"/>
      <name val="宋体"/>
      <family val="3"/>
      <charset val="134"/>
    </font>
    <font>
      <sz val="12"/>
      <name val="뼻뮝"/>
      <charset val="134"/>
    </font>
    <font>
      <sz val="10"/>
      <name val="굴림체"/>
      <family val="3"/>
    </font>
    <font>
      <b/>
      <sz val="10.5"/>
      <color theme="1"/>
      <name val="Calibri"/>
      <family val="2"/>
    </font>
    <font>
      <b/>
      <sz val="12"/>
      <color rgb="FF000000"/>
      <name val="宋体"/>
      <family val="3"/>
      <charset val="134"/>
    </font>
    <font>
      <b/>
      <sz val="10.5"/>
      <color rgb="FF000000"/>
      <name val="Calibri"/>
      <family val="2"/>
    </font>
    <font>
      <b/>
      <sz val="10.5"/>
      <color rgb="FFFF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sz val="10"/>
      <name val="仿宋_GB2312"/>
      <family val="3"/>
    </font>
    <font>
      <sz val="10"/>
      <color theme="1"/>
      <name val="仿宋_GB2312"/>
      <family val="3"/>
    </font>
    <font>
      <sz val="8"/>
      <name val="宋体"/>
      <family val="3"/>
      <charset val="134"/>
    </font>
    <font>
      <b/>
      <sz val="12"/>
      <color rgb="FFFF0000"/>
      <name val="仿宋_GB2312"/>
      <family val="3"/>
      <charset val="134"/>
    </font>
    <font>
      <b/>
      <sz val="12"/>
      <color theme="1"/>
      <name val="仿宋_GB2312"/>
      <family val="3"/>
    </font>
    <font>
      <sz val="12"/>
      <name val="Microsoft YaHei UI"/>
      <family val="3"/>
      <charset val="134"/>
    </font>
    <font>
      <sz val="12"/>
      <name val="宋体"/>
      <family val="3"/>
    </font>
    <font>
      <sz val="12"/>
      <color theme="1"/>
      <name val="宋体"/>
      <family val="3"/>
    </font>
    <font>
      <b/>
      <sz val="12"/>
      <color theme="1"/>
      <name val="宋体"/>
      <family val="3"/>
    </font>
    <font>
      <b/>
      <sz val="10.5"/>
      <color rgb="FFFF0000"/>
      <name val="宋体"/>
      <family val="3"/>
    </font>
    <font>
      <b/>
      <sz val="10.5"/>
      <color theme="1"/>
      <name val="宋体"/>
      <family val="3"/>
    </font>
    <font>
      <sz val="12"/>
      <color rgb="FF000000"/>
      <name val="宋体"/>
      <family val="3"/>
    </font>
    <font>
      <sz val="11"/>
      <color rgb="FFFF0000"/>
      <name val="宋体"/>
      <family val="3"/>
    </font>
    <font>
      <sz val="11"/>
      <color rgb="FF000000"/>
      <name val="宋体"/>
      <family val="3"/>
    </font>
    <font>
      <sz val="11"/>
      <color theme="1"/>
      <name val="宋体"/>
      <family val="3"/>
    </font>
    <font>
      <sz val="10.5"/>
      <color rgb="FF000000"/>
      <name val="宋体"/>
      <family val="3"/>
    </font>
    <font>
      <b/>
      <sz val="12"/>
      <color rgb="FF000000"/>
      <name val="宋体"/>
      <family val="3"/>
    </font>
    <font>
      <b/>
      <sz val="11"/>
      <color rgb="FF000000"/>
      <name val="Calibri"/>
      <family val="2"/>
    </font>
    <font>
      <b/>
      <sz val="11"/>
      <color rgb="FFFF0000"/>
      <name val="宋体"/>
      <family val="3"/>
    </font>
    <font>
      <b/>
      <sz val="11"/>
      <color rgb="FF000000"/>
      <name val="宋体"/>
      <family val="3"/>
    </font>
    <font>
      <b/>
      <sz val="10"/>
      <color theme="1"/>
      <name val="仿宋_GB2312"/>
      <family val="3"/>
    </font>
    <font>
      <sz val="11"/>
      <name val="仿宋_GB2312"/>
      <family val="3"/>
    </font>
    <font>
      <sz val="12"/>
      <name val="仿宋_GB2312"/>
      <family val="3"/>
    </font>
    <font>
      <sz val="16"/>
      <color theme="1"/>
      <name val="仿宋_GB2312"/>
      <family val="3"/>
      <charset val="134"/>
    </font>
    <font>
      <b/>
      <sz val="16"/>
      <color theme="1"/>
      <name val="仿宋_GB2312"/>
      <family val="3"/>
      <charset val="134"/>
    </font>
    <font>
      <sz val="10"/>
      <color theme="1"/>
      <name val="Arial"/>
      <family val="2"/>
    </font>
    <font>
      <u/>
      <sz val="12"/>
      <color theme="10"/>
      <name val="宋体"/>
      <family val="3"/>
      <charset val="134"/>
    </font>
    <font>
      <b/>
      <sz val="12"/>
      <name val="宋体"/>
      <family val="3"/>
      <charset val="134"/>
    </font>
    <font>
      <sz val="12"/>
      <color theme="1"/>
      <name val="宋体"/>
      <family val="3"/>
      <charset val="134"/>
    </font>
    <font>
      <u/>
      <sz val="10"/>
      <color indexed="12"/>
      <name val="宋体"/>
      <family val="3"/>
      <charset val="134"/>
    </font>
    <font>
      <sz val="18"/>
      <color theme="3"/>
      <name val="等线 Light"/>
      <family val="3"/>
      <charset val="134"/>
      <scheme val="major"/>
    </font>
    <font>
      <b/>
      <sz val="11"/>
      <color indexed="8"/>
      <name val="楷体_GB2312"/>
      <family val="3"/>
      <charset val="134"/>
    </font>
    <font>
      <sz val="10"/>
      <color indexed="8"/>
      <name val="楷体_GB2312"/>
      <family val="3"/>
      <charset val="134"/>
    </font>
    <font>
      <b/>
      <sz val="10"/>
      <color indexed="8"/>
      <name val="楷体_GB2312"/>
      <family val="3"/>
      <charset val="134"/>
    </font>
    <font>
      <sz val="10"/>
      <name val="楷体_GB2312"/>
      <family val="3"/>
      <charset val="134"/>
    </font>
    <font>
      <b/>
      <sz val="10"/>
      <name val="楷体_GB2312"/>
      <family val="3"/>
      <charset val="134"/>
    </font>
    <font>
      <sz val="26"/>
      <name val="仿宋_GB2312"/>
      <family val="3"/>
      <charset val="134"/>
    </font>
    <font>
      <b/>
      <sz val="26"/>
      <name val="仿宋_GB2312"/>
      <family val="3"/>
      <charset val="134"/>
    </font>
    <font>
      <b/>
      <sz val="28"/>
      <name val="黑体"/>
      <family val="3"/>
      <charset val="134"/>
    </font>
    <font>
      <vertAlign val="superscript"/>
      <sz val="10"/>
      <name val="宋体"/>
      <family val="3"/>
      <charset val="134"/>
    </font>
    <font>
      <b/>
      <sz val="22"/>
      <name val="仿宋_GB2312"/>
      <family val="3"/>
      <charset val="134"/>
    </font>
    <font>
      <sz val="22"/>
      <name val="仿宋_GB2312"/>
      <family val="3"/>
      <charset val="134"/>
    </font>
    <font>
      <sz val="11"/>
      <name val="Calibri"/>
      <family val="3"/>
    </font>
    <font>
      <sz val="18"/>
      <color theme="3"/>
      <name val="等线 Light"/>
      <family val="2"/>
      <charset val="134"/>
      <scheme val="major"/>
    </font>
    <font>
      <sz val="11"/>
      <color rgb="FF9C5700"/>
      <name val="等线"/>
      <family val="2"/>
      <charset val="134"/>
      <scheme val="minor"/>
    </font>
    <font>
      <b/>
      <sz val="12"/>
      <color theme="1"/>
      <name val="楷体_GB2312"/>
      <family val="3"/>
      <charset val="134"/>
    </font>
    <font>
      <sz val="12"/>
      <color rgb="FF000000"/>
      <name val="仿宋_GB2312"/>
      <family val="3"/>
    </font>
  </fonts>
  <fills count="17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theme="0" tint="-0.14764854884487441"/>
        <bgColor indexed="64"/>
      </patternFill>
    </fill>
    <fill>
      <patternFill patternType="solid">
        <fgColor theme="0" tint="-0.14969328897976622"/>
        <bgColor indexed="64"/>
      </patternFill>
    </fill>
    <fill>
      <patternFill patternType="solid">
        <fgColor theme="4" tint="0.79976805932798245"/>
        <bgColor indexed="64"/>
      </patternFill>
    </fill>
    <fill>
      <patternFill patternType="solid">
        <fgColor theme="0" tint="-0.1476180303353984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0.147770622882778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815363017670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0" tint="-0.14694662312692647"/>
        <bgColor indexed="64"/>
      </patternFill>
    </fill>
    <fill>
      <patternFill patternType="solid">
        <fgColor theme="0" tint="-0.1480147709585863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47965941343425"/>
        <bgColor indexed="64"/>
      </patternFill>
    </fill>
    <fill>
      <patternFill patternType="solid">
        <fgColor theme="0" tint="-0.14828943754387036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0.1481673635059663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844203009125034"/>
        <bgColor indexed="64"/>
      </patternFill>
    </fill>
    <fill>
      <patternFill patternType="solid">
        <fgColor theme="4" tint="0.79967650379955446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theme="9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2909634693444"/>
        <bgColor indexed="64"/>
      </patternFill>
    </fill>
    <fill>
      <patternFill patternType="solid">
        <fgColor theme="0" tint="-0.149784844508194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75951414532914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34080019531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  <fill>
      <patternFill patternType="gray0625"/>
    </fill>
    <fill>
      <patternFill patternType="solid">
        <fgColor indexed="6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mediumGray">
        <fgColor indexed="22"/>
      </patternFill>
    </fill>
    <fill>
      <patternFill patternType="solid">
        <fgColor indexed="2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4"/>
        <bgColor indexed="5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5"/>
        <bgColor indexed="25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49"/>
        <bgColor indexed="49"/>
      </patternFill>
    </fill>
    <fill>
      <patternFill patternType="solid">
        <fgColor indexed="27"/>
        <bgColor indexed="27"/>
      </patternFill>
    </fill>
    <fill>
      <patternFill patternType="solid">
        <fgColor indexed="52"/>
        <bgColor indexed="52"/>
      </patternFill>
    </fill>
    <fill>
      <patternFill patternType="solid">
        <fgColor indexed="47"/>
        <bgColor indexed="47"/>
      </patternFill>
    </fill>
    <fill>
      <patternFill patternType="solid">
        <fgColor rgb="FFFFC7CE"/>
        <bgColor indexed="64"/>
      </patternFill>
    </fill>
    <fill>
      <patternFill patternType="solid">
        <fgColor indexed="45"/>
        <bgColor indexed="45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81139561143833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</fills>
  <borders count="1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  <border>
      <left style="dotted">
        <color auto="1"/>
      </left>
      <right style="medium">
        <color auto="1"/>
      </right>
      <top style="dotted">
        <color auto="1"/>
      </top>
      <bottom style="medium">
        <color auto="1"/>
      </bottom>
      <diagonal/>
    </border>
    <border>
      <left/>
      <right style="dotted">
        <color auto="1"/>
      </right>
      <top style="dotted">
        <color auto="1"/>
      </top>
      <bottom style="medium">
        <color auto="1"/>
      </bottom>
      <diagonal/>
    </border>
    <border>
      <left style="medium">
        <color auto="1"/>
      </left>
      <right style="dotted">
        <color auto="1"/>
      </right>
      <top style="medium">
        <color auto="1"/>
      </top>
      <bottom/>
      <diagonal/>
    </border>
    <border>
      <left style="dotted">
        <color auto="1"/>
      </left>
      <right style="medium">
        <color auto="1"/>
      </right>
      <top/>
      <bottom style="dotted">
        <color auto="1"/>
      </bottom>
      <diagonal/>
    </border>
    <border>
      <left style="medium">
        <color auto="1"/>
      </left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medium">
        <color auto="1"/>
      </left>
      <right style="dotted">
        <color auto="1"/>
      </right>
      <top/>
      <bottom/>
      <diagonal/>
    </border>
    <border>
      <left style="dotted">
        <color auto="1"/>
      </left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medium">
        <color auto="1"/>
      </right>
      <top style="medium">
        <color auto="1"/>
      </top>
      <bottom style="dotted">
        <color auto="1"/>
      </bottom>
      <diagonal/>
    </border>
    <border>
      <left style="medium">
        <color auto="1"/>
      </left>
      <right style="dotted">
        <color auto="1"/>
      </right>
      <top style="medium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medium">
        <color auto="1"/>
      </top>
      <bottom style="dotted">
        <color auto="1"/>
      </bottom>
      <diagonal/>
    </border>
    <border>
      <left/>
      <right style="dotted">
        <color auto="1"/>
      </right>
      <top style="medium">
        <color auto="1"/>
      </top>
      <bottom style="dott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ashDot">
        <color auto="1"/>
      </bottom>
      <diagonal/>
    </border>
    <border>
      <left/>
      <right/>
      <top style="dashDot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 style="dotted">
        <color auto="1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7874">
    <xf numFmtId="0" fontId="0" fillId="0" borderId="0"/>
    <xf numFmtId="0" fontId="58" fillId="0" borderId="0"/>
    <xf numFmtId="43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58" fillId="0" borderId="0"/>
    <xf numFmtId="0" fontId="58" fillId="0" borderId="0"/>
    <xf numFmtId="0" fontId="116" fillId="0" borderId="0">
      <alignment vertical="center"/>
    </xf>
    <xf numFmtId="0" fontId="58" fillId="0" borderId="0"/>
    <xf numFmtId="0" fontId="5" fillId="0" borderId="0">
      <alignment vertical="top"/>
    </xf>
    <xf numFmtId="0" fontId="58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>
      <alignment vertical="center"/>
    </xf>
    <xf numFmtId="0" fontId="5" fillId="0" borderId="0">
      <alignment vertical="top"/>
    </xf>
    <xf numFmtId="0" fontId="58" fillId="0" borderId="0"/>
    <xf numFmtId="0" fontId="5" fillId="0" borderId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0" fontId="116" fillId="0" borderId="0">
      <alignment vertical="center"/>
    </xf>
    <xf numFmtId="0" fontId="116" fillId="87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59" fillId="0" borderId="0">
      <alignment vertical="center"/>
    </xf>
    <xf numFmtId="0" fontId="116" fillId="84" borderId="0" applyNumberFormat="0" applyBorder="0" applyAlignment="0" applyProtection="0">
      <alignment vertical="center"/>
    </xf>
    <xf numFmtId="0" fontId="116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31" borderId="0" applyNumberFormat="0" applyBorder="0" applyAlignment="0" applyProtection="0">
      <alignment vertical="center"/>
    </xf>
    <xf numFmtId="226" fontId="58" fillId="0" borderId="0" applyFont="0" applyFill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9" fontId="116" fillId="0" borderId="0" applyFont="0" applyFill="0" applyBorder="0" applyAlignment="0" applyProtection="0">
      <alignment vertical="center"/>
    </xf>
    <xf numFmtId="228" fontId="116" fillId="0" borderId="0" applyFont="0" applyFill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59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68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61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72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66" fillId="90" borderId="0" applyNumberFormat="0" applyBorder="0" applyAlignment="0" applyProtection="0">
      <alignment vertical="center"/>
    </xf>
    <xf numFmtId="226" fontId="58" fillId="0" borderId="0" applyFon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71" fillId="0" borderId="91" applyNumberFormat="0" applyFill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72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68" fillId="0" borderId="0">
      <alignment vertical="center"/>
    </xf>
    <xf numFmtId="0" fontId="58" fillId="0" borderId="0">
      <alignment vertical="center"/>
    </xf>
    <xf numFmtId="218" fontId="58" fillId="0" borderId="0" applyFont="0" applyFill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226" fontId="58" fillId="0" borderId="0" applyFont="0" applyFill="0" applyBorder="0" applyAlignment="0" applyProtection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72" fillId="0" borderId="0">
      <alignment vertical="center"/>
    </xf>
    <xf numFmtId="0" fontId="58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10" fontId="163" fillId="88" borderId="1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226" fontId="58" fillId="0" borderId="0" applyFont="0" applyFill="0" applyBorder="0" applyAlignment="0" applyProtection="0">
      <alignment vertical="center"/>
    </xf>
    <xf numFmtId="0" fontId="58" fillId="0" borderId="0">
      <alignment vertical="center"/>
    </xf>
    <xf numFmtId="0" fontId="170" fillId="87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71" fillId="0" borderId="91" applyNumberFormat="0" applyFill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226" fontId="58" fillId="0" borderId="0" applyFont="0" applyFill="0" applyBorder="0" applyAlignment="0" applyProtection="0">
      <alignment vertical="center"/>
    </xf>
    <xf numFmtId="0" fontId="58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226" fontId="58" fillId="0" borderId="0" applyFont="0" applyFill="0" applyBorder="0" applyAlignment="0" applyProtection="0">
      <alignment vertical="center"/>
    </xf>
    <xf numFmtId="0" fontId="58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226" fontId="58" fillId="0" borderId="0" applyFont="0" applyFill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226" fontId="58" fillId="0" borderId="0" applyFont="0" applyFill="0" applyBorder="0" applyAlignment="0" applyProtection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226" fontId="176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7" borderId="0" applyNumberFormat="0" applyBorder="0" applyAlignment="0" applyProtection="0">
      <alignment vertical="center"/>
    </xf>
    <xf numFmtId="201" fontId="58" fillId="0" borderId="0" applyFont="0" applyFill="0" applyBorder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225" fontId="177" fillId="0" borderId="23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61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8" fillId="0" borderId="0">
      <alignment vertical="center"/>
    </xf>
    <xf numFmtId="0" fontId="58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90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31" borderId="0" applyNumberFormat="0" applyBorder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201" fontId="58" fillId="0" borderId="0" applyFont="0" applyFill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79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31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10" fontId="58" fillId="0" borderId="0" applyFont="0" applyFill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10" fontId="58" fillId="0" borderId="0" applyFon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0" fontId="115" fillId="0" borderId="86" applyNumberFormat="0" applyFill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31" borderId="0" applyNumberFormat="0" applyBorder="0" applyAlignment="0" applyProtection="0">
      <alignment vertical="center"/>
    </xf>
    <xf numFmtId="10" fontId="178" fillId="0" borderId="0" applyFon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0" borderId="0">
      <alignment vertical="center"/>
    </xf>
    <xf numFmtId="201" fontId="58" fillId="0" borderId="0" applyFont="0" applyFill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201" fontId="58" fillId="0" borderId="0" applyFont="0" applyFill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201" fontId="58" fillId="0" borderId="0" applyFont="0" applyFill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201" fontId="58" fillId="0" borderId="0" applyFont="0" applyFill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201" fontId="58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201" fontId="58" fillId="0" borderId="0" applyFont="0" applyFill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79" fillId="0" borderId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201" fontId="178" fillId="0" borderId="0" applyFon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218" fontId="58" fillId="0" borderId="0" applyFont="0" applyFill="0" applyBorder="0" applyAlignment="0" applyProtection="0">
      <alignment vertical="center"/>
    </xf>
    <xf numFmtId="218" fontId="58" fillId="0" borderId="0" applyFont="0" applyFill="0" applyBorder="0" applyAlignment="0" applyProtection="0">
      <alignment vertical="center"/>
    </xf>
    <xf numFmtId="218" fontId="58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218" fontId="58" fillId="0" borderId="0" applyFont="0" applyFill="0" applyBorder="0" applyAlignment="0" applyProtection="0">
      <alignment vertical="center"/>
    </xf>
    <xf numFmtId="218" fontId="58" fillId="0" borderId="0" applyFont="0" applyFill="0" applyBorder="0" applyAlignment="0" applyProtection="0">
      <alignment vertical="center"/>
    </xf>
    <xf numFmtId="218" fontId="58" fillId="0" borderId="0" applyFont="0" applyFill="0" applyBorder="0" applyAlignment="0" applyProtection="0">
      <alignment vertical="center"/>
    </xf>
    <xf numFmtId="218" fontId="58" fillId="0" borderId="0" applyFont="0" applyFill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236" fontId="58" fillId="0" borderId="0" applyFont="0" applyFill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85" fillId="0" borderId="97" applyNumberFormat="0" applyFill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239" fontId="58" fillId="0" borderId="0" applyFont="0" applyFill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225" fontId="177" fillId="0" borderId="23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88" fillId="0" borderId="21">
      <alignment horizontal="left"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88" fillId="0" borderId="21">
      <alignment horizontal="left"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58" fillId="0" borderId="0" applyNumberFormat="0" applyFont="0" applyFill="0" applyBorder="0" applyAlignment="0" applyProtection="0">
      <alignment horizontal="left"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70" fillId="87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37" fontId="58" fillId="0" borderId="0" applyFont="0" applyFill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235" fontId="58" fillId="0" borderId="0" applyFont="0" applyFill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79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79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79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79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0" borderId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225" fontId="177" fillId="0" borderId="23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225" fontId="177" fillId="0" borderId="23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225" fontId="177" fillId="0" borderId="23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8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8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8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217" fontId="176" fillId="0" borderId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88" fillId="0" borderId="21">
      <alignment horizontal="left"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216" fontId="58" fillId="0" borderId="0" applyFont="0" applyFill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225" fontId="177" fillId="0" borderId="23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225" fontId="177" fillId="0" borderId="23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225" fontId="177" fillId="0" borderId="23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15" fontId="58" fillId="0" borderId="0" applyFont="0" applyFill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79" fillId="0" borderId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232" fontId="58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37" fontId="191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95" fillId="0" borderId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94" fillId="0" borderId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96" fillId="92" borderId="90" applyNumberFormat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58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0" borderId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59" fillId="0" borderId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86" fillId="80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80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80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80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98" fillId="101" borderId="48">
      <alignment vertical="center"/>
      <protection locked="0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86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86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86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86" fillId="84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16" fillId="0" borderId="0">
      <alignment vertical="center"/>
    </xf>
    <xf numFmtId="0" fontId="173" fillId="83" borderId="92" applyNumberFormat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86" fillId="84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86" fillId="84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86" fillId="84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86" fillId="86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86" fillId="86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86" fillId="86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86" fillId="86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86" fillId="86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86" fillId="80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80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80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80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80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89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86" fillId="89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86" fillId="89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86" fillId="89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86" fillId="89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72" fillId="0" borderId="0">
      <alignment vertical="center"/>
      <protection locked="0"/>
    </xf>
    <xf numFmtId="0" fontId="169" fillId="102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96" fillId="0" borderId="0">
      <alignment horizontal="center" vertical="center" wrapText="1"/>
      <protection locked="0"/>
    </xf>
    <xf numFmtId="3" fontId="199" fillId="0" borderId="0">
      <alignment vertical="center"/>
    </xf>
    <xf numFmtId="0" fontId="173" fillId="83" borderId="92" applyNumberFormat="0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25" fontId="177" fillId="0" borderId="23" applyAlignment="0" applyProtection="0">
      <alignment vertical="center"/>
    </xf>
    <xf numFmtId="231" fontId="162" fillId="0" borderId="0" applyFill="0" applyBorder="0" applyAlignment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200" fillId="0" borderId="0">
      <alignment vertical="center"/>
    </xf>
    <xf numFmtId="0" fontId="167" fillId="92" borderId="90" applyNumberFormat="0" applyAlignment="0" applyProtection="0">
      <alignment vertical="center"/>
    </xf>
    <xf numFmtId="0" fontId="201" fillId="0" borderId="20" applyNumberFormat="0" applyFill="0" applyProtection="0">
      <alignment horizontal="center" vertical="center"/>
    </xf>
    <xf numFmtId="0" fontId="173" fillId="83" borderId="92" applyNumberFormat="0" applyAlignment="0" applyProtection="0">
      <alignment vertical="center"/>
    </xf>
    <xf numFmtId="0" fontId="177" fillId="0" borderId="0" applyNumberFormat="0" applyFill="0" applyBorder="0" applyAlignment="0" applyProtection="0">
      <alignment vertical="center"/>
    </xf>
    <xf numFmtId="0" fontId="58" fillId="0" borderId="0" applyFont="0" applyFill="0" applyBorder="0" applyAlignment="0" applyProtection="0">
      <alignment vertical="center"/>
    </xf>
    <xf numFmtId="37" fontId="58" fillId="0" borderId="0" applyFont="0" applyFill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37" fontId="58" fillId="0" borderId="0" applyFont="0" applyFill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37" fontId="58" fillId="0" borderId="0" applyFont="0" applyFill="0" applyBorder="0" applyAlignment="0" applyProtection="0">
      <alignment vertical="center"/>
    </xf>
    <xf numFmtId="37" fontId="58" fillId="0" borderId="0" applyFont="0" applyFill="0" applyBorder="0" applyAlignment="0" applyProtection="0">
      <alignment vertical="center"/>
    </xf>
    <xf numFmtId="37" fontId="58" fillId="0" borderId="0" applyFont="0" applyFill="0" applyBorder="0" applyAlignment="0" applyProtection="0">
      <alignment vertical="center"/>
    </xf>
    <xf numFmtId="37" fontId="58" fillId="0" borderId="0" applyFont="0" applyFill="0" applyBorder="0" applyAlignment="0" applyProtection="0">
      <alignment vertical="center"/>
    </xf>
    <xf numFmtId="37" fontId="58" fillId="0" borderId="0" applyFont="0" applyFill="0" applyBorder="0" applyAlignment="0" applyProtection="0">
      <alignment vertical="center"/>
    </xf>
    <xf numFmtId="37" fontId="178" fillId="0" borderId="0" applyFont="0" applyFill="0" applyBorder="0" applyAlignment="0" applyProtection="0">
      <alignment vertical="center"/>
    </xf>
    <xf numFmtId="235" fontId="58" fillId="0" borderId="0" applyFont="0" applyFill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235" fontId="58" fillId="0" borderId="0" applyFont="0" applyFill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235" fontId="58" fillId="0" borderId="0" applyFont="0" applyFill="0" applyBorder="0" applyAlignment="0" applyProtection="0">
      <alignment vertical="center"/>
    </xf>
    <xf numFmtId="235" fontId="58" fillId="0" borderId="0" applyFont="0" applyFill="0" applyBorder="0" applyAlignment="0" applyProtection="0">
      <alignment vertical="center"/>
    </xf>
    <xf numFmtId="235" fontId="58" fillId="0" borderId="0" applyFont="0" applyFill="0" applyBorder="0" applyAlignment="0" applyProtection="0">
      <alignment vertical="center"/>
    </xf>
    <xf numFmtId="235" fontId="58" fillId="0" borderId="0" applyFont="0" applyFill="0" applyBorder="0" applyAlignment="0" applyProtection="0">
      <alignment vertical="center"/>
    </xf>
    <xf numFmtId="235" fontId="58" fillId="0" borderId="0" applyFont="0" applyFill="0" applyBorder="0" applyAlignment="0" applyProtection="0">
      <alignment vertical="center"/>
    </xf>
    <xf numFmtId="0" fontId="173" fillId="95" borderId="92" applyNumberFormat="0" applyAlignment="0" applyProtection="0">
      <alignment vertical="center"/>
    </xf>
    <xf numFmtId="235" fontId="178" fillId="0" borderId="0" applyFont="0" applyFill="0" applyBorder="0" applyAlignment="0" applyProtection="0">
      <alignment vertical="center"/>
    </xf>
    <xf numFmtId="39" fontId="58" fillId="0" borderId="0" applyFont="0" applyFill="0" applyBorder="0" applyAlignment="0" applyProtection="0">
      <alignment vertical="center"/>
    </xf>
    <xf numFmtId="39" fontId="58" fillId="0" borderId="0" applyFont="0" applyFill="0" applyBorder="0" applyAlignment="0" applyProtection="0">
      <alignment vertical="center"/>
    </xf>
    <xf numFmtId="39" fontId="58" fillId="0" borderId="0" applyFont="0" applyFill="0" applyBorder="0" applyAlignment="0" applyProtection="0">
      <alignment vertical="center"/>
    </xf>
    <xf numFmtId="39" fontId="58" fillId="0" borderId="0" applyFont="0" applyFill="0" applyBorder="0" applyAlignment="0" applyProtection="0">
      <alignment vertical="center"/>
    </xf>
    <xf numFmtId="39" fontId="58" fillId="0" borderId="0" applyFont="0" applyFill="0" applyBorder="0" applyAlignment="0" applyProtection="0">
      <alignment vertical="center"/>
    </xf>
    <xf numFmtId="39" fontId="58" fillId="0" borderId="0" applyFont="0" applyFill="0" applyBorder="0" applyAlignment="0" applyProtection="0">
      <alignment vertical="center"/>
    </xf>
    <xf numFmtId="39" fontId="58" fillId="0" borderId="0" applyFont="0" applyFill="0" applyBorder="0" applyAlignment="0" applyProtection="0">
      <alignment vertical="center"/>
    </xf>
    <xf numFmtId="39" fontId="58" fillId="0" borderId="0" applyFont="0" applyFill="0" applyBorder="0" applyAlignment="0" applyProtection="0">
      <alignment vertical="center"/>
    </xf>
    <xf numFmtId="39" fontId="178" fillId="0" borderId="0" applyFont="0" applyFill="0" applyBorder="0" applyAlignment="0" applyProtection="0">
      <alignment vertical="center"/>
    </xf>
    <xf numFmtId="0" fontId="58" fillId="0" borderId="0" applyFont="0" applyFill="0" applyBorder="0" applyAlignment="0" applyProtection="0">
      <alignment vertical="center"/>
    </xf>
    <xf numFmtId="222" fontId="58" fillId="0" borderId="0" applyFont="0" applyFill="0" applyBorder="0" applyAlignment="0" applyProtection="0">
      <alignment vertical="center"/>
    </xf>
    <xf numFmtId="238" fontId="58" fillId="0" borderId="0" applyFont="0" applyFill="0" applyBorder="0" applyAlignment="0" applyProtection="0">
      <alignment vertical="center"/>
    </xf>
    <xf numFmtId="238" fontId="58" fillId="0" borderId="0" applyFont="0" applyFill="0" applyBorder="0" applyAlignment="0" applyProtection="0">
      <alignment vertical="center"/>
    </xf>
    <xf numFmtId="238" fontId="58" fillId="0" borderId="0" applyFont="0" applyFill="0" applyBorder="0" applyAlignment="0" applyProtection="0">
      <alignment vertical="center"/>
    </xf>
    <xf numFmtId="238" fontId="58" fillId="0" borderId="0" applyFont="0" applyFill="0" applyBorder="0" applyAlignment="0" applyProtection="0">
      <alignment vertical="center"/>
    </xf>
    <xf numFmtId="238" fontId="58" fillId="0" borderId="0" applyFont="0" applyFill="0" applyBorder="0" applyAlignment="0" applyProtection="0">
      <alignment vertical="center"/>
    </xf>
    <xf numFmtId="238" fontId="58" fillId="0" borderId="0" applyFont="0" applyFill="0" applyBorder="0" applyAlignment="0" applyProtection="0">
      <alignment vertical="center"/>
    </xf>
    <xf numFmtId="238" fontId="58" fillId="0" borderId="0" applyFont="0" applyFill="0" applyBorder="0" applyAlignment="0" applyProtection="0">
      <alignment vertical="center"/>
    </xf>
    <xf numFmtId="238" fontId="58" fillId="0" borderId="0" applyFont="0" applyFill="0" applyBorder="0" applyAlignment="0" applyProtection="0">
      <alignment vertical="center"/>
    </xf>
    <xf numFmtId="238" fontId="178" fillId="0" borderId="0" applyFont="0" applyFill="0" applyBorder="0" applyAlignment="0" applyProtection="0">
      <alignment vertical="center"/>
    </xf>
    <xf numFmtId="234" fontId="58" fillId="0" borderId="0" applyFont="0" applyFill="0" applyBorder="0" applyAlignment="0" applyProtection="0">
      <alignment vertical="center"/>
    </xf>
    <xf numFmtId="234" fontId="58" fillId="0" borderId="0" applyFont="0" applyFill="0" applyBorder="0" applyAlignment="0" applyProtection="0">
      <alignment vertical="center"/>
    </xf>
    <xf numFmtId="234" fontId="58" fillId="0" borderId="0" applyFont="0" applyFill="0" applyBorder="0" applyAlignment="0" applyProtection="0">
      <alignment vertical="center"/>
    </xf>
    <xf numFmtId="234" fontId="58" fillId="0" borderId="0" applyFont="0" applyFill="0" applyBorder="0" applyAlignment="0" applyProtection="0">
      <alignment vertical="center"/>
    </xf>
    <xf numFmtId="234" fontId="58" fillId="0" borderId="0" applyFont="0" applyFill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234" fontId="58" fillId="0" borderId="0" applyFont="0" applyFill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234" fontId="58" fillId="0" borderId="0" applyFont="0" applyFill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234" fontId="58" fillId="0" borderId="0" applyFont="0" applyFill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234" fontId="178" fillId="0" borderId="0" applyFont="0" applyFill="0" applyBorder="0" applyAlignment="0" applyProtection="0">
      <alignment vertical="center"/>
    </xf>
    <xf numFmtId="41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top"/>
      <protection locked="0"/>
    </xf>
    <xf numFmtId="0" fontId="174" fillId="84" borderId="0" applyNumberFormat="0" applyBorder="0" applyAlignment="0" applyProtection="0">
      <alignment vertical="center"/>
    </xf>
    <xf numFmtId="0" fontId="163" fillId="83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38" fontId="163" fillId="83" borderId="0" applyNumberFormat="0" applyBorder="0" applyAlignment="0" applyProtection="0">
      <alignment vertical="center"/>
    </xf>
    <xf numFmtId="0" fontId="203" fillId="0" borderId="0">
      <alignment horizontal="left" vertical="center"/>
    </xf>
    <xf numFmtId="0" fontId="188" fillId="0" borderId="100" applyNumberFormat="0" applyAlignment="0" applyProtection="0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75" fillId="0" borderId="93" applyNumberFormat="0" applyFill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204" fillId="0" borderId="0" applyNumberFormat="0" applyFill="0" applyBorder="0" applyAlignment="0" applyProtection="0">
      <alignment vertical="top"/>
      <protection locked="0"/>
    </xf>
    <xf numFmtId="0" fontId="164" fillId="89" borderId="88" applyNumberFormat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0" fontId="163" fillId="88" borderId="1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10" fontId="163" fillId="95" borderId="1" applyNumberFormat="0" applyBorder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235" fontId="205" fillId="103" borderId="0">
      <alignment vertical="center"/>
    </xf>
    <xf numFmtId="235" fontId="205" fillId="103" borderId="0">
      <alignment vertical="center"/>
    </xf>
    <xf numFmtId="0" fontId="190" fillId="0" borderId="99" applyNumberFormat="0" applyFill="0" applyAlignment="0" applyProtection="0">
      <alignment vertical="center"/>
    </xf>
    <xf numFmtId="235" fontId="206" fillId="104" borderId="0">
      <alignment vertical="center"/>
    </xf>
    <xf numFmtId="235" fontId="206" fillId="104" borderId="0">
      <alignment vertical="center"/>
    </xf>
    <xf numFmtId="38" fontId="58" fillId="0" borderId="0" applyFont="0" applyFill="0" applyBorder="0" applyAlignment="0" applyProtection="0">
      <alignment vertical="center"/>
    </xf>
    <xf numFmtId="40" fontId="58" fillId="0" borderId="0" applyFont="0" applyFill="0" applyBorder="0" applyAlignment="0" applyProtection="0">
      <alignment vertical="center"/>
    </xf>
    <xf numFmtId="237" fontId="58" fillId="0" borderId="0" applyFont="0" applyFill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58" fillId="0" borderId="0" applyFont="0" applyFill="0" applyBorder="0" applyAlignment="0" applyProtection="0">
      <alignment vertical="center"/>
    </xf>
    <xf numFmtId="0" fontId="207" fillId="0" borderId="101">
      <alignment vertical="center"/>
    </xf>
    <xf numFmtId="221" fontId="58" fillId="0" borderId="0" applyFont="0" applyFill="0" applyBorder="0" applyAlignment="0" applyProtection="0">
      <alignment vertical="center"/>
    </xf>
    <xf numFmtId="215" fontId="58" fillId="0" borderId="0" applyFont="0" applyFill="0" applyBorder="0" applyAlignment="0" applyProtection="0">
      <alignment vertical="center"/>
    </xf>
    <xf numFmtId="182" fontId="58" fillId="0" borderId="0" applyFont="0" applyFill="0" applyBorder="0" applyAlignment="0" applyProtection="0">
      <alignment vertical="center"/>
    </xf>
    <xf numFmtId="237" fontId="58" fillId="0" borderId="0" applyFont="0" applyFill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208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79" fillId="0" borderId="0">
      <alignment vertical="center"/>
    </xf>
    <xf numFmtId="0" fontId="159" fillId="0" borderId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14" fontId="96" fillId="0" borderId="0">
      <alignment horizontal="center" vertical="center" wrapText="1"/>
      <protection locked="0"/>
    </xf>
    <xf numFmtId="10" fontId="58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10" fontId="58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10" fontId="159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13" fontId="58" fillId="0" borderId="0" applyFont="0" applyFill="0" applyProtection="0">
      <alignment vertical="center"/>
    </xf>
    <xf numFmtId="0" fontId="58" fillId="0" borderId="0" applyNumberFormat="0" applyFont="0" applyFill="0" applyBorder="0" applyAlignment="0" applyProtection="0">
      <alignment horizontal="left" vertical="center"/>
    </xf>
    <xf numFmtId="0" fontId="58" fillId="0" borderId="0" applyNumberFormat="0" applyFont="0" applyFill="0" applyBorder="0" applyAlignment="0" applyProtection="0">
      <alignment horizontal="left" vertical="center"/>
    </xf>
    <xf numFmtId="0" fontId="58" fillId="0" borderId="0" applyNumberFormat="0" applyFont="0" applyFill="0" applyBorder="0" applyAlignment="0" applyProtection="0">
      <alignment horizontal="left" vertical="center"/>
    </xf>
    <xf numFmtId="0" fontId="58" fillId="0" borderId="0" applyNumberFormat="0" applyFont="0" applyFill="0" applyBorder="0" applyAlignment="0" applyProtection="0">
      <alignment horizontal="left" vertical="center"/>
    </xf>
    <xf numFmtId="0" fontId="58" fillId="0" borderId="0" applyNumberFormat="0" applyFont="0" applyFill="0" applyBorder="0" applyAlignment="0" applyProtection="0">
      <alignment horizontal="left" vertical="center"/>
    </xf>
    <xf numFmtId="0" fontId="58" fillId="0" borderId="0" applyNumberFormat="0" applyFont="0" applyFill="0" applyBorder="0" applyAlignment="0" applyProtection="0">
      <alignment horizontal="left" vertical="center"/>
    </xf>
    <xf numFmtId="0" fontId="58" fillId="0" borderId="0" applyNumberFormat="0" applyFont="0" applyFill="0" applyBorder="0" applyAlignment="0" applyProtection="0">
      <alignment horizontal="left" vertical="center"/>
    </xf>
    <xf numFmtId="0" fontId="209" fillId="0" borderId="0" applyNumberFormat="0" applyFont="0" applyFill="0" applyBorder="0" applyAlignment="0" applyProtection="0">
      <alignment horizontal="left" vertical="center"/>
    </xf>
    <xf numFmtId="15" fontId="58" fillId="0" borderId="0" applyFont="0" applyFill="0" applyBorder="0" applyAlignment="0" applyProtection="0">
      <alignment vertical="center"/>
    </xf>
    <xf numFmtId="15" fontId="58" fillId="0" borderId="0" applyFont="0" applyFill="0" applyBorder="0" applyAlignment="0" applyProtection="0">
      <alignment vertical="center"/>
    </xf>
    <xf numFmtId="15" fontId="58" fillId="0" borderId="0" applyFont="0" applyFill="0" applyBorder="0" applyAlignment="0" applyProtection="0">
      <alignment vertical="center"/>
    </xf>
    <xf numFmtId="15" fontId="58" fillId="0" borderId="0" applyFont="0" applyFill="0" applyBorder="0" applyAlignment="0" applyProtection="0">
      <alignment vertical="center"/>
    </xf>
    <xf numFmtId="15" fontId="58" fillId="0" borderId="0" applyFont="0" applyFill="0" applyBorder="0" applyAlignment="0" applyProtection="0">
      <alignment vertical="center"/>
    </xf>
    <xf numFmtId="15" fontId="58" fillId="0" borderId="0" applyFont="0" applyFill="0" applyBorder="0" applyAlignment="0" applyProtection="0">
      <alignment vertical="center"/>
    </xf>
    <xf numFmtId="15" fontId="58" fillId="0" borderId="0" applyFont="0" applyFill="0" applyBorder="0" applyAlignment="0" applyProtection="0">
      <alignment vertical="center"/>
    </xf>
    <xf numFmtId="15" fontId="209" fillId="0" borderId="0" applyFont="0" applyFill="0" applyBorder="0" applyAlignment="0" applyProtection="0">
      <alignment vertical="center"/>
    </xf>
    <xf numFmtId="4" fontId="58" fillId="0" borderId="0" applyFont="0" applyFill="0" applyBorder="0" applyAlignment="0" applyProtection="0">
      <alignment vertical="center"/>
    </xf>
    <xf numFmtId="4" fontId="58" fillId="0" borderId="0" applyFont="0" applyFill="0" applyBorder="0" applyAlignment="0" applyProtection="0">
      <alignment vertical="center"/>
    </xf>
    <xf numFmtId="4" fontId="58" fillId="0" borderId="0" applyFont="0" applyFill="0" applyBorder="0" applyAlignment="0" applyProtection="0">
      <alignment vertical="center"/>
    </xf>
    <xf numFmtId="4" fontId="58" fillId="0" borderId="0" applyFont="0" applyFill="0" applyBorder="0" applyAlignment="0" applyProtection="0">
      <alignment vertical="center"/>
    </xf>
    <xf numFmtId="4" fontId="58" fillId="0" borderId="0" applyFont="0" applyFill="0" applyBorder="0" applyAlignment="0" applyProtection="0">
      <alignment vertical="center"/>
    </xf>
    <xf numFmtId="4" fontId="58" fillId="0" borderId="0" applyFont="0" applyFill="0" applyBorder="0" applyAlignment="0" applyProtection="0">
      <alignment vertical="center"/>
    </xf>
    <xf numFmtId="4" fontId="58" fillId="0" borderId="0" applyFont="0" applyFill="0" applyBorder="0" applyAlignment="0" applyProtection="0">
      <alignment vertical="center"/>
    </xf>
    <xf numFmtId="4" fontId="58" fillId="0" borderId="0" applyFont="0" applyFill="0" applyBorder="0" applyAlignment="0" applyProtection="0">
      <alignment vertical="center"/>
    </xf>
    <xf numFmtId="4" fontId="209" fillId="0" borderId="0" applyFont="0" applyFill="0" applyBorder="0" applyAlignment="0" applyProtection="0">
      <alignment vertical="center"/>
    </xf>
    <xf numFmtId="0" fontId="177" fillId="0" borderId="101">
      <alignment horizontal="center" vertical="center"/>
    </xf>
    <xf numFmtId="3" fontId="58" fillId="0" borderId="0" applyFont="0" applyFill="0" applyBorder="0" applyAlignment="0" applyProtection="0">
      <alignment vertical="center"/>
    </xf>
    <xf numFmtId="3" fontId="58" fillId="0" borderId="0" applyFont="0" applyFill="0" applyBorder="0" applyAlignment="0" applyProtection="0">
      <alignment vertical="center"/>
    </xf>
    <xf numFmtId="3" fontId="58" fillId="0" borderId="0" applyFont="0" applyFill="0" applyBorder="0" applyAlignment="0" applyProtection="0">
      <alignment vertical="center"/>
    </xf>
    <xf numFmtId="3" fontId="58" fillId="0" borderId="0" applyFont="0" applyFill="0" applyBorder="0" applyAlignment="0" applyProtection="0">
      <alignment vertical="center"/>
    </xf>
    <xf numFmtId="3" fontId="58" fillId="0" borderId="0" applyFont="0" applyFill="0" applyBorder="0" applyAlignment="0" applyProtection="0">
      <alignment vertical="center"/>
    </xf>
    <xf numFmtId="3" fontId="58" fillId="0" borderId="0" applyFont="0" applyFill="0" applyBorder="0" applyAlignment="0" applyProtection="0">
      <alignment vertical="center"/>
    </xf>
    <xf numFmtId="3" fontId="58" fillId="0" borderId="0" applyFont="0" applyFill="0" applyBorder="0" applyAlignment="0" applyProtection="0">
      <alignment vertical="center"/>
    </xf>
    <xf numFmtId="3" fontId="58" fillId="0" borderId="0" applyFont="0" applyFill="0" applyBorder="0" applyAlignment="0" applyProtection="0">
      <alignment vertical="center"/>
    </xf>
    <xf numFmtId="3" fontId="209" fillId="0" borderId="0" applyFont="0" applyFill="0" applyBorder="0" applyAlignment="0" applyProtection="0">
      <alignment vertical="center"/>
    </xf>
    <xf numFmtId="0" fontId="58" fillId="105" borderId="0" applyNumberFormat="0" applyFont="0" applyBorder="0" applyAlignment="0" applyProtection="0">
      <alignment vertical="center"/>
    </xf>
    <xf numFmtId="0" fontId="58" fillId="105" borderId="0" applyNumberFormat="0" applyFont="0" applyBorder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58" fillId="105" borderId="0" applyNumberFormat="0" applyFont="0" applyBorder="0" applyAlignment="0" applyProtection="0">
      <alignment vertical="center"/>
    </xf>
    <xf numFmtId="0" fontId="58" fillId="105" borderId="0" applyNumberFormat="0" applyFon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105" borderId="0" applyNumberFormat="0" applyFont="0" applyBorder="0" applyAlignment="0" applyProtection="0">
      <alignment vertical="center"/>
    </xf>
    <xf numFmtId="0" fontId="58" fillId="105" borderId="0" applyNumberFormat="0" applyFont="0" applyBorder="0" applyAlignment="0" applyProtection="0">
      <alignment vertical="center"/>
    </xf>
    <xf numFmtId="0" fontId="58" fillId="105" borderId="0" applyNumberFormat="0" applyFont="0" applyBorder="0" applyAlignment="0" applyProtection="0">
      <alignment vertical="center"/>
    </xf>
    <xf numFmtId="0" fontId="58" fillId="105" borderId="0" applyNumberFormat="0" applyFont="0" applyBorder="0" applyAlignment="0" applyProtection="0">
      <alignment vertical="center"/>
    </xf>
    <xf numFmtId="0" fontId="209" fillId="105" borderId="0" applyNumberFormat="0" applyFont="0" applyBorder="0" applyAlignment="0" applyProtection="0">
      <alignment vertical="center"/>
    </xf>
    <xf numFmtId="3" fontId="210" fillId="0" borderId="0">
      <alignment vertical="center"/>
    </xf>
    <xf numFmtId="41" fontId="58" fillId="0" borderId="0" applyFont="0" applyFill="0" applyBorder="0" applyAlignment="0" applyProtection="0">
      <alignment vertical="center"/>
    </xf>
    <xf numFmtId="0" fontId="177" fillId="0" borderId="0" applyNumberFormat="0" applyFill="0" applyBorder="0" applyAlignment="0" applyProtection="0">
      <alignment vertical="center"/>
    </xf>
    <xf numFmtId="0" fontId="198" fillId="101" borderId="48">
      <alignment vertical="center"/>
      <protection locked="0"/>
    </xf>
    <xf numFmtId="0" fontId="211" fillId="0" borderId="0">
      <alignment vertical="center"/>
    </xf>
    <xf numFmtId="0" fontId="207" fillId="0" borderId="0">
      <alignment vertical="center"/>
    </xf>
    <xf numFmtId="0" fontId="198" fillId="101" borderId="48">
      <alignment vertical="center"/>
      <protection locked="0"/>
    </xf>
    <xf numFmtId="0" fontId="198" fillId="101" borderId="48">
      <alignment vertical="center"/>
      <protection locked="0"/>
    </xf>
    <xf numFmtId="0" fontId="116" fillId="0" borderId="0">
      <alignment vertical="center"/>
    </xf>
    <xf numFmtId="0" fontId="198" fillId="101" borderId="48">
      <alignment vertical="center"/>
      <protection locked="0"/>
    </xf>
    <xf numFmtId="0" fontId="181" fillId="0" borderId="0" applyNumberFormat="0" applyFill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68" fillId="0" borderId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224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116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116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59" fillId="0" borderId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59" fillId="0" borderId="0">
      <alignment vertical="center"/>
    </xf>
    <xf numFmtId="9" fontId="58" fillId="0" borderId="0" applyFont="0" applyFill="0" applyBorder="0" applyAlignment="0" applyProtection="0">
      <alignment vertical="center"/>
    </xf>
    <xf numFmtId="0" fontId="58" fillId="0" borderId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59" fillId="0" borderId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9" fontId="58" fillId="0" borderId="0" applyFont="0" applyFill="0" applyBorder="0" applyAlignment="0" applyProtection="0">
      <alignment vertical="center"/>
    </xf>
    <xf numFmtId="0" fontId="58" fillId="0" borderId="0">
      <alignment vertical="top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0" fontId="58" fillId="0" borderId="0" applyFont="0" applyFill="0" applyBorder="0" applyAlignment="0" applyProtection="0">
      <alignment vertical="center"/>
    </xf>
    <xf numFmtId="0" fontId="58" fillId="0" borderId="0" applyFon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4" fillId="0" borderId="96" applyNumberFormat="0" applyFill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1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71" fillId="0" borderId="91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1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71" fillId="0" borderId="94" applyNumberFormat="0" applyFill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7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7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7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7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5" fillId="0" borderId="98" applyNumberFormat="0" applyFill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89" fillId="0" borderId="0" applyNumberFormat="0" applyFill="0" applyBorder="0" applyAlignment="0" applyProtection="0">
      <alignment vertical="center"/>
    </xf>
    <xf numFmtId="0" fontId="193" fillId="0" borderId="0">
      <alignment vertical="center"/>
    </xf>
    <xf numFmtId="0" fontId="166" fillId="90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66" fillId="90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66" fillId="90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66" fillId="90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70" fillId="86" borderId="0" applyNumberFormat="0" applyBorder="0" applyAlignment="0" applyProtection="0">
      <alignment vertical="center"/>
    </xf>
    <xf numFmtId="0" fontId="170" fillId="86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59" fillId="0" borderId="0">
      <alignment vertical="center"/>
    </xf>
    <xf numFmtId="0" fontId="170" fillId="87" borderId="0" applyNumberFormat="0" applyBorder="0" applyAlignment="0" applyProtection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62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43" fontId="58" fillId="0" borderId="0" applyFont="0" applyFill="0" applyBorder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64" fillId="89" borderId="88" applyNumberFormat="0" applyAlignment="0" applyProtection="0">
      <alignment vertical="center"/>
    </xf>
    <xf numFmtId="0" fontId="116" fillId="0" borderId="0">
      <alignment vertical="center"/>
    </xf>
    <xf numFmtId="0" fontId="164" fillId="89" borderId="88" applyNumberFormat="0" applyAlignment="0" applyProtection="0">
      <alignment vertical="center"/>
    </xf>
    <xf numFmtId="0" fontId="116" fillId="0" borderId="0">
      <alignment vertical="center"/>
    </xf>
    <xf numFmtId="0" fontId="164" fillId="89" borderId="88" applyNumberFormat="0" applyAlignment="0" applyProtection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73" fillId="83" borderId="92" applyNumberFormat="0" applyAlignment="0" applyProtection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73" fillId="83" borderId="92" applyNumberFormat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69" fillId="93" borderId="0" applyNumberFormat="0" applyBorder="0" applyAlignment="0" applyProtection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71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8" borderId="87" applyNumberFormat="0" applyFont="0" applyAlignment="0" applyProtection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8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88" borderId="87" applyNumberFormat="0" applyFont="0" applyAlignment="0" applyProtection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58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16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59" fillId="0" borderId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74" fillId="31" borderId="0" applyNumberFormat="0" applyBorder="0" applyAlignment="0" applyProtection="0">
      <alignment vertical="center"/>
    </xf>
    <xf numFmtId="0" fontId="174" fillId="31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68" fillId="0" borderId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9" applyNumberFormat="0" applyFill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216" fontId="58" fillId="0" borderId="0" applyFont="0" applyFill="0" applyBorder="0" applyAlignment="0" applyProtection="0">
      <alignment vertical="center"/>
    </xf>
    <xf numFmtId="220" fontId="58" fillId="0" borderId="0" applyFont="0" applyFill="0" applyBorder="0" applyAlignment="0" applyProtection="0">
      <alignment vertical="center"/>
    </xf>
    <xf numFmtId="229" fontId="58" fillId="0" borderId="0" applyFont="0" applyFill="0" applyBorder="0" applyAlignment="0" applyProtection="0">
      <alignment vertical="center"/>
    </xf>
    <xf numFmtId="216" fontId="58" fillId="0" borderId="0" applyFont="0" applyFill="0" applyBorder="0" applyAlignment="0" applyProtection="0">
      <alignment vertical="center"/>
    </xf>
    <xf numFmtId="220" fontId="58" fillId="0" borderId="0" applyFont="0" applyFill="0" applyBorder="0" applyAlignment="0" applyProtection="0">
      <alignment vertical="center"/>
    </xf>
    <xf numFmtId="220" fontId="58" fillId="0" borderId="0" applyFont="0" applyFill="0" applyBorder="0" applyAlignment="0" applyProtection="0">
      <alignment vertical="center"/>
    </xf>
    <xf numFmtId="216" fontId="58" fillId="0" borderId="0" applyFont="0" applyFill="0" applyBorder="0" applyAlignment="0" applyProtection="0">
      <alignment vertical="center"/>
    </xf>
    <xf numFmtId="220" fontId="58" fillId="0" borderId="0" applyFont="0" applyFill="0" applyBorder="0" applyAlignment="0" applyProtection="0">
      <alignment vertical="center"/>
    </xf>
    <xf numFmtId="240" fontId="58" fillId="0" borderId="0" applyFont="0" applyFill="0" applyBorder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80" fillId="95" borderId="88" applyNumberFormat="0" applyAlignment="0" applyProtection="0">
      <alignment vertical="center"/>
    </xf>
    <xf numFmtId="0" fontId="196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96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96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96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233" fontId="58" fillId="0" borderId="0" applyFont="0" applyFill="0" applyBorder="0" applyAlignment="0" applyProtection="0">
      <alignment vertical="center"/>
    </xf>
    <xf numFmtId="230" fontId="58" fillId="0" borderId="0" applyFont="0" applyFill="0" applyBorder="0" applyAlignment="0" applyProtection="0">
      <alignment vertical="center"/>
    </xf>
    <xf numFmtId="227" fontId="58" fillId="0" borderId="0" applyFont="0" applyFill="0" applyBorder="0" applyAlignment="0" applyProtection="0">
      <alignment vertical="center"/>
    </xf>
    <xf numFmtId="219" fontId="58" fillId="0" borderId="0" applyFont="0" applyFill="0" applyBorder="0" applyAlignment="0" applyProtection="0">
      <alignment vertical="center"/>
    </xf>
    <xf numFmtId="240" fontId="58" fillId="0" borderId="0" applyFont="0" applyFill="0" applyBorder="0" applyAlignment="0" applyProtection="0">
      <alignment vertical="center"/>
    </xf>
    <xf numFmtId="224" fontId="58" fillId="0" borderId="0" applyFont="0" applyFill="0" applyBorder="0" applyAlignment="0" applyProtection="0">
      <alignment vertical="center"/>
    </xf>
    <xf numFmtId="0" fontId="160" fillId="0" borderId="0">
      <alignment vertical="center"/>
    </xf>
    <xf numFmtId="41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86" fillId="81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86" fillId="81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73" fillId="95" borderId="92" applyNumberFormat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1" fontId="58" fillId="0" borderId="0" applyFont="0" applyFill="0" applyBorder="0" applyAlignment="0" applyProtection="0">
      <alignment vertical="center"/>
    </xf>
    <xf numFmtId="0" fontId="186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96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86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86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86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86" fillId="93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86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86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86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86" fillId="106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86" fillId="106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86" fillId="106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86" fillId="106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86" fillId="106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69" fillId="94" borderId="0" applyNumberFormat="0" applyBorder="0" applyAlignment="0" applyProtection="0">
      <alignment vertical="center"/>
    </xf>
    <xf numFmtId="0" fontId="186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86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86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86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86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86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73" fillId="95" borderId="92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64" fillId="79" borderId="88" applyNumberFormat="0" applyAlignment="0" applyProtection="0">
      <alignment vertical="center"/>
    </xf>
    <xf numFmtId="0" fontId="159" fillId="0" borderId="0">
      <alignment vertical="center"/>
    </xf>
    <xf numFmtId="0" fontId="161" fillId="0" borderId="0">
      <alignment vertical="center"/>
    </xf>
    <xf numFmtId="241" fontId="58" fillId="0" borderId="0" applyFont="0" applyFill="0" applyBorder="0" applyAlignment="0" applyProtection="0">
      <alignment vertical="center"/>
    </xf>
    <xf numFmtId="223" fontId="58" fillId="0" borderId="0" applyFont="0" applyFill="0" applyBorder="0" applyAlignment="0" applyProtection="0">
      <alignment vertical="center"/>
    </xf>
    <xf numFmtId="0" fontId="197" fillId="0" borderId="0">
      <alignment vertical="center"/>
    </xf>
    <xf numFmtId="40" fontId="58" fillId="0" borderId="0" applyFont="0" applyFill="0" applyBorder="0" applyAlignment="0" applyProtection="0">
      <alignment vertical="center"/>
    </xf>
    <xf numFmtId="38" fontId="58" fillId="0" borderId="0" applyFont="0" applyFill="0" applyBorder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59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159" fillId="0" borderId="0"/>
    <xf numFmtId="0" fontId="213" fillId="0" borderId="0" applyNumberFormat="0" applyFill="0" applyBorder="0" applyAlignment="0" applyProtection="0">
      <alignment vertical="center"/>
    </xf>
    <xf numFmtId="0" fontId="141" fillId="0" borderId="76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3" fillId="0" borderId="78" applyNumberFormat="0" applyFill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48" borderId="0" applyNumberFormat="0" applyBorder="0" applyAlignment="0" applyProtection="0">
      <alignment vertical="center"/>
    </xf>
    <xf numFmtId="0" fontId="145" fillId="49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146" fillId="51" borderId="79" applyNumberFormat="0" applyAlignment="0" applyProtection="0">
      <alignment vertical="center"/>
    </xf>
    <xf numFmtId="0" fontId="147" fillId="52" borderId="80" applyNumberFormat="0" applyAlignment="0" applyProtection="0">
      <alignment vertical="center"/>
    </xf>
    <xf numFmtId="0" fontId="148" fillId="52" borderId="79" applyNumberFormat="0" applyAlignment="0" applyProtection="0">
      <alignment vertical="center"/>
    </xf>
    <xf numFmtId="0" fontId="149" fillId="0" borderId="81" applyNumberFormat="0" applyFill="0" applyAlignment="0" applyProtection="0">
      <alignment vertical="center"/>
    </xf>
    <xf numFmtId="0" fontId="150" fillId="53" borderId="82" applyNumberFormat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0" fontId="153" fillId="0" borderId="84" applyNumberFormat="0" applyFill="0" applyAlignment="0" applyProtection="0">
      <alignment vertical="center"/>
    </xf>
    <xf numFmtId="0" fontId="154" fillId="55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4" fillId="58" borderId="0" applyNumberFormat="0" applyBorder="0" applyAlignment="0" applyProtection="0">
      <alignment vertical="center"/>
    </xf>
    <xf numFmtId="0" fontId="154" fillId="59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4" fillId="62" borderId="0" applyNumberFormat="0" applyBorder="0" applyAlignment="0" applyProtection="0">
      <alignment vertical="center"/>
    </xf>
    <xf numFmtId="0" fontId="154" fillId="63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4" fillId="66" borderId="0" applyNumberFormat="0" applyBorder="0" applyAlignment="0" applyProtection="0">
      <alignment vertical="center"/>
    </xf>
    <xf numFmtId="0" fontId="154" fillId="67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4" fillId="70" borderId="0" applyNumberFormat="0" applyBorder="0" applyAlignment="0" applyProtection="0">
      <alignment vertical="center"/>
    </xf>
    <xf numFmtId="0" fontId="154" fillId="71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4" fillId="74" borderId="0" applyNumberFormat="0" applyBorder="0" applyAlignment="0" applyProtection="0">
      <alignment vertical="center"/>
    </xf>
    <xf numFmtId="0" fontId="154" fillId="75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4" fillId="78" borderId="0" applyNumberFormat="0" applyBorder="0" applyAlignment="0" applyProtection="0">
      <alignment vertical="center"/>
    </xf>
    <xf numFmtId="0" fontId="58" fillId="0" borderId="0"/>
    <xf numFmtId="0" fontId="117" fillId="0" borderId="0"/>
    <xf numFmtId="0" fontId="117" fillId="0" borderId="0"/>
    <xf numFmtId="0" fontId="211" fillId="0" borderId="0"/>
    <xf numFmtId="0" fontId="211" fillId="0" borderId="0"/>
    <xf numFmtId="0" fontId="159" fillId="0" borderId="0"/>
    <xf numFmtId="0" fontId="161" fillId="0" borderId="0"/>
    <xf numFmtId="0" fontId="159" fillId="0" borderId="0"/>
    <xf numFmtId="0" fontId="161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61" fillId="0" borderId="0"/>
    <xf numFmtId="0" fontId="58" fillId="0" borderId="0"/>
    <xf numFmtId="0" fontId="11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8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211" fillId="0" borderId="0"/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5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0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16" fillId="116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7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5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0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231" fontId="162" fillId="0" borderId="0" applyFill="0" applyBorder="0" applyAlignment="0"/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58" fillId="128" borderId="87" applyNumberFormat="0" applyFont="0" applyAlignment="0" applyProtection="0">
      <alignment vertical="center"/>
    </xf>
    <xf numFmtId="0" fontId="58" fillId="128" borderId="87" applyNumberFormat="0" applyFont="0" applyAlignment="0" applyProtection="0">
      <alignment vertical="center"/>
    </xf>
    <xf numFmtId="0" fontId="58" fillId="128" borderId="87" applyNumberFormat="0" applyFont="0" applyAlignment="0" applyProtection="0">
      <alignment vertical="center"/>
    </xf>
    <xf numFmtId="0" fontId="58" fillId="128" borderId="87" applyNumberFormat="0" applyFont="0" applyAlignment="0" applyProtection="0">
      <alignment vertical="center"/>
    </xf>
    <xf numFmtId="0" fontId="58" fillId="128" borderId="87" applyNumberFormat="0" applyFon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>
      <alignment vertical="center"/>
    </xf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75" fillId="0" borderId="93" applyNumberFormat="0" applyFill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2" fillId="0" borderId="94" applyNumberFormat="0" applyFill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95" applyNumberFormat="0" applyFill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3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116" fillId="0" borderId="0">
      <alignment vertical="center"/>
    </xf>
    <xf numFmtId="0" fontId="116" fillId="0" borderId="0">
      <alignment vertical="center"/>
    </xf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16" fillId="0" borderId="0"/>
    <xf numFmtId="0" fontId="116" fillId="0" borderId="0">
      <alignment vertical="center"/>
    </xf>
    <xf numFmtId="0" fontId="116" fillId="0" borderId="0">
      <alignment vertical="center"/>
    </xf>
    <xf numFmtId="0" fontId="159" fillId="0" borderId="0"/>
    <xf numFmtId="0" fontId="159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59" fillId="0" borderId="0"/>
    <xf numFmtId="0" fontId="58" fillId="0" borderId="0"/>
    <xf numFmtId="0" fontId="159" fillId="0" borderId="0"/>
    <xf numFmtId="0" fontId="116" fillId="0" borderId="0">
      <alignment vertical="center"/>
    </xf>
    <xf numFmtId="0" fontId="116" fillId="0" borderId="0">
      <alignment vertical="center"/>
    </xf>
    <xf numFmtId="0" fontId="159" fillId="0" borderId="0"/>
    <xf numFmtId="0" fontId="58" fillId="0" borderId="0"/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16" fillId="0" borderId="0">
      <alignment vertical="center"/>
    </xf>
    <xf numFmtId="0" fontId="116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58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>
      <alignment vertical="center"/>
    </xf>
    <xf numFmtId="0" fontId="58" fillId="0" borderId="0"/>
    <xf numFmtId="0" fontId="116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59" fillId="0" borderId="0"/>
    <xf numFmtId="0" fontId="116" fillId="0" borderId="0"/>
    <xf numFmtId="0" fontId="116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58" fillId="0" borderId="0">
      <alignment vertical="center"/>
    </xf>
    <xf numFmtId="0" fontId="116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59" fillId="0" borderId="0"/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59" fillId="0" borderId="0"/>
    <xf numFmtId="0" fontId="58" fillId="0" borderId="0"/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6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116" fillId="0" borderId="0">
      <alignment vertical="center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>
      <alignment vertical="center"/>
    </xf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212" fillId="0" borderId="0" applyNumberFormat="0" applyFill="0" applyBorder="0" applyAlignment="0" applyProtection="0">
      <alignment vertical="top"/>
      <protection locked="0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44" fontId="58" fillId="0" borderId="0" applyFont="0" applyFill="0" applyBorder="0" applyAlignment="0" applyProtection="0"/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/>
    <xf numFmtId="44" fontId="58" fillId="0" borderId="0" applyFont="0" applyFill="0" applyBorder="0" applyAlignment="0" applyProtection="0"/>
    <xf numFmtId="44" fontId="58" fillId="0" borderId="0" applyFont="0" applyFill="0" applyBorder="0" applyAlignment="0" applyProtection="0"/>
    <xf numFmtId="44" fontId="58" fillId="0" borderId="0" applyFont="0" applyFill="0" applyBorder="0" applyAlignment="0" applyProtection="0"/>
    <xf numFmtId="42" fontId="58" fillId="0" borderId="0" applyFont="0" applyFill="0" applyBorder="0" applyAlignment="0" applyProtection="0"/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80" fillId="125" borderId="88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7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1" fontId="58" fillId="0" borderId="0" applyFont="0" applyFill="0" applyBorder="0" applyAlignment="0" applyProtection="0"/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73" fillId="125" borderId="92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59" fillId="0" borderId="0"/>
    <xf numFmtId="0" fontId="58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58" fillId="128" borderId="87" applyNumberFormat="0" applyFont="0" applyAlignment="0" applyProtection="0">
      <alignment vertical="center"/>
    </xf>
    <xf numFmtId="0" fontId="58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58" fillId="128" borderId="87" applyNumberFormat="0" applyFont="0" applyAlignment="0" applyProtection="0">
      <alignment vertical="center"/>
    </xf>
    <xf numFmtId="0" fontId="58" fillId="128" borderId="87" applyNumberFormat="0" applyFont="0" applyAlignment="0" applyProtection="0">
      <alignment vertical="center"/>
    </xf>
    <xf numFmtId="0" fontId="58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59" fillId="0" borderId="0"/>
    <xf numFmtId="0" fontId="161" fillId="0" borderId="0"/>
    <xf numFmtId="0" fontId="215" fillId="0" borderId="0"/>
    <xf numFmtId="0" fontId="172" fillId="0" borderId="0"/>
    <xf numFmtId="0" fontId="58" fillId="0" borderId="0"/>
    <xf numFmtId="0" fontId="172" fillId="0" borderId="0"/>
    <xf numFmtId="0" fontId="215" fillId="0" borderId="0"/>
    <xf numFmtId="226" fontId="176" fillId="0" borderId="0" applyFont="0" applyFill="0" applyBorder="0" applyAlignment="0" applyProtection="0"/>
    <xf numFmtId="201" fontId="178" fillId="0" borderId="0" applyFont="0" applyFill="0" applyBorder="0" applyAlignment="0" applyProtection="0"/>
    <xf numFmtId="10" fontId="178" fillId="0" borderId="0" applyFont="0" applyFill="0" applyBorder="0" applyAlignment="0" applyProtection="0"/>
    <xf numFmtId="243" fontId="58" fillId="0" borderId="0" applyFont="0" applyFill="0" applyBorder="0" applyAlignment="0" applyProtection="0"/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5" fillId="57" borderId="0" applyNumberFormat="0" applyBorder="0" applyAlignment="0" applyProtection="0">
      <alignment vertical="center"/>
    </xf>
    <xf numFmtId="0" fontId="215" fillId="0" borderId="0"/>
    <xf numFmtId="0" fontId="162" fillId="0" borderId="0">
      <alignment vertical="top"/>
    </xf>
    <xf numFmtId="0" fontId="168" fillId="0" borderId="0"/>
    <xf numFmtId="0" fontId="162" fillId="0" borderId="0">
      <alignment vertical="top"/>
    </xf>
    <xf numFmtId="0" fontId="162" fillId="0" borderId="0">
      <alignment vertical="top"/>
    </xf>
    <xf numFmtId="0" fontId="215" fillId="0" borderId="0"/>
    <xf numFmtId="0" fontId="215" fillId="0" borderId="0"/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215" fillId="0" borderId="0"/>
    <xf numFmtId="0" fontId="162" fillId="0" borderId="0">
      <alignment vertical="top"/>
    </xf>
    <xf numFmtId="0" fontId="5" fillId="72" borderId="0" applyNumberFormat="0" applyBorder="0" applyAlignment="0" applyProtection="0">
      <alignment vertical="center"/>
    </xf>
    <xf numFmtId="0" fontId="162" fillId="0" borderId="0">
      <alignment vertical="top"/>
    </xf>
    <xf numFmtId="37" fontId="191" fillId="0" borderId="0"/>
    <xf numFmtId="0" fontId="159" fillId="0" borderId="0"/>
    <xf numFmtId="0" fontId="207" fillId="0" borderId="101"/>
    <xf numFmtId="0" fontId="170" fillId="108" borderId="0" applyNumberFormat="0" applyBorder="0" applyAlignment="0" applyProtection="0">
      <alignment vertical="center"/>
    </xf>
    <xf numFmtId="0" fontId="162" fillId="0" borderId="0">
      <alignment vertical="top"/>
    </xf>
    <xf numFmtId="217" fontId="176" fillId="0" borderId="0"/>
    <xf numFmtId="0" fontId="198" fillId="101" borderId="48">
      <protection locked="0"/>
    </xf>
    <xf numFmtId="0" fontId="216" fillId="67" borderId="0" applyNumberFormat="0" applyBorder="0" applyAlignment="0" applyProtection="0">
      <alignment vertical="center"/>
    </xf>
    <xf numFmtId="0" fontId="162" fillId="0" borderId="0">
      <alignment vertical="top"/>
    </xf>
    <xf numFmtId="0" fontId="225" fillId="0" borderId="0" applyNumberFormat="0" applyFill="0" applyBorder="0" applyAlignment="0" applyProtection="0">
      <alignment vertical="center"/>
    </xf>
    <xf numFmtId="0" fontId="162" fillId="0" borderId="0">
      <alignment vertical="top"/>
    </xf>
    <xf numFmtId="0" fontId="234" fillId="0" borderId="101">
      <alignment horizontal="center"/>
    </xf>
    <xf numFmtId="0" fontId="215" fillId="0" borderId="0"/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3" fontId="199" fillId="0" borderId="0"/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62" fillId="0" borderId="0">
      <alignment vertical="top"/>
    </xf>
    <xf numFmtId="0" fontId="227" fillId="50" borderId="0" applyNumberFormat="0" applyBorder="0" applyAlignment="0" applyProtection="0">
      <alignment vertical="center"/>
    </xf>
    <xf numFmtId="0" fontId="207" fillId="0" borderId="0"/>
    <xf numFmtId="0" fontId="162" fillId="0" borderId="0">
      <alignment vertical="top"/>
    </xf>
    <xf numFmtId="0" fontId="116" fillId="0" borderId="0"/>
    <xf numFmtId="4" fontId="209" fillId="0" borderId="0" applyFont="0" applyFill="0" applyBorder="0" applyAlignment="0" applyProtection="0"/>
    <xf numFmtId="0" fontId="162" fillId="0" borderId="0">
      <alignment vertical="top"/>
    </xf>
    <xf numFmtId="0" fontId="162" fillId="0" borderId="0">
      <alignment vertical="top"/>
    </xf>
    <xf numFmtId="0" fontId="208" fillId="0" borderId="0"/>
    <xf numFmtId="0" fontId="162" fillId="0" borderId="0">
      <alignment vertical="top"/>
    </xf>
    <xf numFmtId="39" fontId="178" fillId="0" borderId="0" applyFont="0" applyFill="0" applyBorder="0" applyAlignment="0" applyProtection="0"/>
    <xf numFmtId="0" fontId="5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0" borderId="0"/>
    <xf numFmtId="0" fontId="116" fillId="87" borderId="0" applyNumberFormat="0" applyBorder="0" applyAlignment="0" applyProtection="0">
      <alignment vertical="center"/>
    </xf>
    <xf numFmtId="0" fontId="162" fillId="0" borderId="0">
      <alignment vertical="top"/>
    </xf>
    <xf numFmtId="0" fontId="162" fillId="0" borderId="0">
      <alignment vertical="top"/>
    </xf>
    <xf numFmtId="0" fontId="5" fillId="56" borderId="0" applyNumberFormat="0" applyBorder="0" applyAlignment="0" applyProtection="0">
      <alignment vertical="center"/>
    </xf>
    <xf numFmtId="234" fontId="178" fillId="0" borderId="0" applyFont="0" applyFill="0" applyBorder="0" applyAlignment="0" applyProtection="0"/>
    <xf numFmtId="0" fontId="226" fillId="0" borderId="81" applyNumberFormat="0" applyFill="0" applyAlignment="0" applyProtection="0">
      <alignment vertical="center"/>
    </xf>
    <xf numFmtId="3" fontId="209" fillId="0" borderId="0" applyFont="0" applyFill="0" applyBorder="0" applyAlignment="0" applyProtection="0"/>
    <xf numFmtId="0" fontId="162" fillId="0" borderId="0">
      <alignment vertical="top"/>
    </xf>
    <xf numFmtId="0" fontId="215" fillId="0" borderId="0"/>
    <xf numFmtId="0" fontId="162" fillId="0" borderId="0">
      <alignment vertical="top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200" fillId="0" borderId="0"/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09" fillId="0" borderId="0" applyNumberFormat="0" applyFont="0" applyFill="0" applyBorder="0" applyAlignment="0" applyProtection="0">
      <alignment horizontal="left"/>
    </xf>
    <xf numFmtId="0" fontId="162" fillId="0" borderId="0">
      <alignment vertical="top"/>
    </xf>
    <xf numFmtId="0" fontId="215" fillId="0" borderId="0"/>
    <xf numFmtId="0" fontId="174" fillId="109" borderId="0" applyNumberFormat="0" applyBorder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215" fillId="0" borderId="0"/>
    <xf numFmtId="225" fontId="234" fillId="0" borderId="23" applyAlignment="0" applyProtection="0"/>
    <xf numFmtId="0" fontId="5" fillId="6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168" fillId="0" borderId="0"/>
    <xf numFmtId="0" fontId="162" fillId="0" borderId="0">
      <alignment vertical="top"/>
    </xf>
    <xf numFmtId="0" fontId="231" fillId="0" borderId="76" applyNumberFormat="0" applyFill="0" applyAlignment="0" applyProtection="0">
      <alignment vertical="center"/>
    </xf>
    <xf numFmtId="0" fontId="215" fillId="0" borderId="0"/>
    <xf numFmtId="0" fontId="170" fillId="110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16" fillId="114" borderId="0" applyNumberFormat="0" applyBorder="0" applyAlignment="0" applyProtection="0">
      <alignment vertical="center"/>
    </xf>
    <xf numFmtId="0" fontId="162" fillId="0" borderId="0">
      <alignment vertical="top"/>
    </xf>
    <xf numFmtId="0" fontId="172" fillId="0" borderId="0">
      <protection locked="0"/>
    </xf>
    <xf numFmtId="0" fontId="161" fillId="0" borderId="0"/>
    <xf numFmtId="0" fontId="5" fillId="61" borderId="0" applyNumberFormat="0" applyBorder="0" applyAlignment="0" applyProtection="0">
      <alignment vertical="center"/>
    </xf>
    <xf numFmtId="10" fontId="159" fillId="0" borderId="0" applyFont="0" applyFill="0" applyBorder="0" applyAlignment="0" applyProtection="0"/>
    <xf numFmtId="15" fontId="209" fillId="0" borderId="0" applyFont="0" applyFill="0" applyBorder="0" applyAlignment="0" applyProtection="0"/>
    <xf numFmtId="0" fontId="162" fillId="0" borderId="0">
      <alignment vertical="top"/>
    </xf>
    <xf numFmtId="0" fontId="215" fillId="0" borderId="0"/>
    <xf numFmtId="3" fontId="210" fillId="0" borderId="0"/>
    <xf numFmtId="0" fontId="216" fillId="71" borderId="0" applyNumberFormat="0" applyBorder="0" applyAlignment="0" applyProtection="0">
      <alignment vertical="center"/>
    </xf>
    <xf numFmtId="10" fontId="163" fillId="88" borderId="1" applyNumberFormat="0" applyBorder="0" applyAlignment="0" applyProtection="0"/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62" fillId="0" borderId="0">
      <alignment vertical="top"/>
    </xf>
    <xf numFmtId="0" fontId="215" fillId="0" borderId="0"/>
    <xf numFmtId="238" fontId="178" fillId="0" borderId="0" applyFont="0" applyFill="0" applyBorder="0" applyAlignment="0" applyProtection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96" fillId="0" borderId="0">
      <alignment horizontal="center" wrapText="1"/>
      <protection locked="0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62" fillId="0" borderId="0">
      <alignment vertical="top"/>
    </xf>
    <xf numFmtId="0" fontId="221" fillId="49" borderId="0" applyNumberFormat="0" applyBorder="0" applyAlignment="0" applyProtection="0">
      <alignment vertical="center"/>
    </xf>
    <xf numFmtId="0" fontId="162" fillId="0" borderId="0">
      <alignment vertical="top"/>
    </xf>
    <xf numFmtId="0" fontId="216" fillId="55" borderId="0" applyNumberFormat="0" applyBorder="0" applyAlignment="0" applyProtection="0">
      <alignment vertical="center"/>
    </xf>
    <xf numFmtId="0" fontId="209" fillId="105" borderId="0" applyNumberFormat="0" applyFont="0" applyBorder="0" applyAlignment="0" applyProtection="0"/>
    <xf numFmtId="0" fontId="228" fillId="52" borderId="80" applyNumberFormat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198" fillId="101" borderId="48">
      <protection locked="0"/>
    </xf>
    <xf numFmtId="0" fontId="162" fillId="0" borderId="0">
      <alignment vertical="top"/>
    </xf>
    <xf numFmtId="0" fontId="161" fillId="0" borderId="0"/>
    <xf numFmtId="0" fontId="233" fillId="0" borderId="0" applyNumberFormat="0" applyFill="0" applyBorder="0" applyAlignment="0" applyProtection="0">
      <alignment vertical="center"/>
    </xf>
    <xf numFmtId="0" fontId="162" fillId="0" borderId="0">
      <alignment vertical="top"/>
    </xf>
    <xf numFmtId="0" fontId="162" fillId="0" borderId="0">
      <alignment vertical="top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92" fillId="109" borderId="0" applyNumberFormat="0" applyBorder="0" applyAlignment="0" applyProtection="0">
      <alignment vertical="center"/>
    </xf>
    <xf numFmtId="0" fontId="159" fillId="0" borderId="0"/>
    <xf numFmtId="235" fontId="206" fillId="134" borderId="0"/>
    <xf numFmtId="38" fontId="163" fillId="83" borderId="0" applyNumberFormat="0" applyBorder="0" applyAlignment="0" applyProtection="0"/>
    <xf numFmtId="0" fontId="162" fillId="0" borderId="0">
      <alignment vertical="top"/>
    </xf>
    <xf numFmtId="0" fontId="63" fillId="0" borderId="84" applyNumberFormat="0" applyFill="0" applyAlignment="0" applyProtection="0">
      <alignment vertical="center"/>
    </xf>
    <xf numFmtId="0" fontId="162" fillId="0" borderId="0">
      <alignment vertical="top"/>
    </xf>
    <xf numFmtId="0" fontId="162" fillId="0" borderId="0">
      <alignment vertical="top"/>
    </xf>
    <xf numFmtId="0" fontId="216" fillId="66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162" fillId="0" borderId="0">
      <alignment vertical="top"/>
    </xf>
    <xf numFmtId="0" fontId="161" fillId="0" borderId="0"/>
    <xf numFmtId="0" fontId="5" fillId="7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215" fillId="0" borderId="0"/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62" fillId="0" borderId="0">
      <alignment vertical="top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62" fillId="0" borderId="0">
      <alignment vertical="top"/>
    </xf>
    <xf numFmtId="37" fontId="178" fillId="0" borderId="0" applyFont="0" applyFill="0" applyBorder="0" applyAlignment="0" applyProtection="0"/>
    <xf numFmtId="0" fontId="232" fillId="0" borderId="77" applyNumberFormat="0" applyFill="0" applyAlignment="0" applyProtection="0">
      <alignment vertical="center"/>
    </xf>
    <xf numFmtId="0" fontId="187" fillId="108" borderId="0" applyNumberFormat="0" applyBorder="0" applyAlignment="0" applyProtection="0">
      <alignment vertical="center"/>
    </xf>
    <xf numFmtId="235" fontId="178" fillId="0" borderId="0" applyFont="0" applyFill="0" applyBorder="0" applyAlignment="0" applyProtection="0"/>
    <xf numFmtId="0" fontId="223" fillId="52" borderId="79" applyNumberFormat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162" fillId="0" borderId="0">
      <alignment vertical="top"/>
    </xf>
    <xf numFmtId="0" fontId="162" fillId="0" borderId="0">
      <alignment vertical="top"/>
    </xf>
    <xf numFmtId="0" fontId="215" fillId="0" borderId="0"/>
    <xf numFmtId="0" fontId="24" fillId="0" borderId="0" applyNumberFormat="0" applyFill="0" applyBorder="0" applyAlignment="0" applyProtection="0">
      <alignment vertical="center"/>
    </xf>
    <xf numFmtId="0" fontId="162" fillId="0" borderId="0">
      <alignment vertical="top"/>
    </xf>
    <xf numFmtId="0" fontId="201" fillId="0" borderId="20" applyNumberFormat="0" applyFill="0" applyProtection="0">
      <alignment horizont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2" fillId="0" borderId="0">
      <alignment vertical="top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74" fillId="111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59" fillId="0" borderId="0"/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14" fontId="96" fillId="0" borderId="0">
      <alignment horizontal="center" wrapText="1"/>
      <protection locked="0"/>
    </xf>
    <xf numFmtId="0" fontId="162" fillId="0" borderId="0">
      <alignment vertical="top"/>
    </xf>
    <xf numFmtId="235" fontId="205" fillId="133" borderId="0"/>
    <xf numFmtId="0" fontId="5" fillId="73" borderId="0" applyNumberFormat="0" applyBorder="0" applyAlignment="0" applyProtection="0">
      <alignment vertical="center"/>
    </xf>
    <xf numFmtId="0" fontId="215" fillId="0" borderId="0"/>
    <xf numFmtId="0" fontId="230" fillId="0" borderId="0" applyNumberFormat="0" applyFill="0" applyBorder="0" applyAlignment="0" applyProtection="0">
      <alignment vertical="center"/>
    </xf>
    <xf numFmtId="0" fontId="198" fillId="101" borderId="48">
      <protection locked="0"/>
    </xf>
    <xf numFmtId="0" fontId="159" fillId="0" borderId="0"/>
    <xf numFmtId="0" fontId="116" fillId="82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162" fillId="0" borderId="0">
      <alignment vertical="top"/>
    </xf>
    <xf numFmtId="0" fontId="216" fillId="74" borderId="0" applyNumberFormat="0" applyBorder="0" applyAlignment="0" applyProtection="0">
      <alignment vertical="center"/>
    </xf>
    <xf numFmtId="0" fontId="215" fillId="0" borderId="0"/>
    <xf numFmtId="0" fontId="5" fillId="65" borderId="0" applyNumberFormat="0" applyBorder="0" applyAlignment="0" applyProtection="0">
      <alignment vertical="center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2" fillId="0" borderId="0">
      <alignment vertical="top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2" fillId="0" borderId="0">
      <alignment vertical="top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59" fillId="0" borderId="0"/>
    <xf numFmtId="0" fontId="162" fillId="0" borderId="0">
      <alignment vertical="top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69" fillId="114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62" fillId="0" borderId="0">
      <alignment vertical="top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62" fillId="0" borderId="0">
      <alignment vertical="top"/>
    </xf>
    <xf numFmtId="0" fontId="155" fillId="54" borderId="83" applyNumberFormat="0" applyFont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215" fillId="0" borderId="0"/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203" fillId="0" borderId="0">
      <alignment horizontal="left"/>
    </xf>
    <xf numFmtId="0" fontId="155" fillId="54" borderId="83" applyNumberFormat="0" applyFont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62" fillId="0" borderId="0">
      <alignment vertical="top"/>
    </xf>
    <xf numFmtId="0" fontId="159" fillId="0" borderId="0"/>
    <xf numFmtId="0" fontId="198" fillId="101" borderId="48">
      <protection locked="0"/>
    </xf>
    <xf numFmtId="0" fontId="5" fillId="69" borderId="0" applyNumberFormat="0" applyBorder="0" applyAlignment="0" applyProtection="0">
      <alignment vertical="center"/>
    </xf>
    <xf numFmtId="0" fontId="162" fillId="0" borderId="0">
      <alignment vertical="top"/>
    </xf>
    <xf numFmtId="0" fontId="159" fillId="0" borderId="0"/>
    <xf numFmtId="0" fontId="216" fillId="75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243" fontId="58" fillId="0" borderId="0" applyFont="0" applyFill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62" fillId="0" borderId="0">
      <alignment vertical="top"/>
    </xf>
    <xf numFmtId="0" fontId="155" fillId="60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9" fillId="0" borderId="0"/>
    <xf numFmtId="0" fontId="155" fillId="68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5" fillId="0" borderId="0">
      <alignment vertical="center"/>
    </xf>
    <xf numFmtId="0" fontId="159" fillId="0" borderId="0"/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16" fillId="54" borderId="83" applyNumberFormat="0" applyFont="0" applyAlignment="0" applyProtection="0">
      <alignment vertical="center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229" fillId="51" borderId="79" applyNumberFormat="0" applyAlignment="0" applyProtection="0">
      <alignment vertical="center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228" fillId="125" borderId="80" applyNumberFormat="0" applyAlignment="0" applyProtection="0">
      <alignment vertical="center"/>
    </xf>
    <xf numFmtId="0" fontId="159" fillId="0" borderId="0"/>
    <xf numFmtId="0" fontId="227" fillId="50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216" fillId="71" borderId="0" applyNumberFormat="0" applyBorder="0" applyAlignment="0" applyProtection="0">
      <alignment vertical="center"/>
    </xf>
    <xf numFmtId="0" fontId="159" fillId="0" borderId="0"/>
    <xf numFmtId="0" fontId="159" fillId="0" borderId="0"/>
    <xf numFmtId="0" fontId="216" fillId="118" borderId="0" applyNumberFormat="0" applyBorder="0" applyAlignment="0" applyProtection="0">
      <alignment vertical="center"/>
    </xf>
    <xf numFmtId="0" fontId="159" fillId="0" borderId="0"/>
    <xf numFmtId="0" fontId="159" fillId="0" borderId="0"/>
    <xf numFmtId="0" fontId="216" fillId="63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216" fillId="121" borderId="0" applyNumberFormat="0" applyBorder="0" applyAlignment="0" applyProtection="0">
      <alignment vertical="center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215" fillId="0" borderId="0"/>
    <xf numFmtId="0" fontId="159" fillId="0" borderId="0"/>
    <xf numFmtId="0" fontId="159" fillId="0" borderId="0"/>
    <xf numFmtId="0" fontId="159" fillId="0" borderId="0"/>
    <xf numFmtId="0" fontId="226" fillId="0" borderId="81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3" fillId="125" borderId="79" applyNumberFormat="0" applyAlignment="0" applyProtection="0">
      <alignment vertical="center"/>
    </xf>
    <xf numFmtId="0" fontId="63" fillId="0" borderId="86" applyNumberFormat="0" applyFill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20" fillId="0" borderId="95" applyNumberFormat="0" applyFill="0" applyAlignment="0" applyProtection="0">
      <alignment vertical="center"/>
    </xf>
    <xf numFmtId="0" fontId="219" fillId="0" borderId="77" applyNumberFormat="0" applyFill="0" applyAlignment="0" applyProtection="0">
      <alignment vertical="center"/>
    </xf>
    <xf numFmtId="0" fontId="218" fillId="0" borderId="93" applyNumberFormat="0" applyFill="0" applyAlignment="0" applyProtection="0">
      <alignment vertical="center"/>
    </xf>
    <xf numFmtId="0" fontId="217" fillId="0" borderId="0" applyNumberFormat="0" applyFill="0" applyBorder="0" applyAlignment="0" applyProtection="0">
      <alignment vertical="center"/>
    </xf>
    <xf numFmtId="0" fontId="216" fillId="120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118" borderId="0" applyNumberFormat="0" applyBorder="0" applyAlignment="0" applyProtection="0">
      <alignment vertical="center"/>
    </xf>
    <xf numFmtId="0" fontId="216" fillId="115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117" borderId="0" applyNumberFormat="0" applyBorder="0" applyAlignment="0" applyProtection="0">
      <alignment vertical="center"/>
    </xf>
    <xf numFmtId="0" fontId="5" fillId="116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110" borderId="0" applyNumberFormat="0" applyBorder="0" applyAlignment="0" applyProtection="0">
      <alignment vertical="center"/>
    </xf>
    <xf numFmtId="0" fontId="5" fillId="115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113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5" fillId="110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5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5" fillId="108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5" fillId="107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5" fillId="0" borderId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242" fontId="58" fillId="0" borderId="0" applyFont="0" applyFill="0" applyBorder="0" applyAlignment="0" applyProtection="0">
      <alignment vertical="center"/>
    </xf>
    <xf numFmtId="242" fontId="58" fillId="0" borderId="0" applyFont="0" applyFill="0" applyBorder="0" applyAlignment="0" applyProtection="0">
      <alignment vertical="center"/>
    </xf>
    <xf numFmtId="242" fontId="58" fillId="0" borderId="0" applyFont="0" applyFill="0" applyBorder="0" applyAlignment="0" applyProtection="0">
      <alignment vertical="center"/>
    </xf>
    <xf numFmtId="242" fontId="58" fillId="0" borderId="0" applyFont="0" applyFill="0" applyBorder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80" fillId="129" borderId="88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7" fillId="126" borderId="90" applyNumberFormat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30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66" fillId="127" borderId="0" applyNumberFormat="0" applyBorder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73" fillId="129" borderId="92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64" fillId="127" borderId="88" applyNumberForma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62" fillId="0" borderId="0">
      <alignment vertical="top"/>
    </xf>
    <xf numFmtId="0" fontId="162" fillId="0" borderId="0">
      <alignment vertical="top"/>
    </xf>
    <xf numFmtId="0" fontId="159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59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72" fillId="0" borderId="0"/>
    <xf numFmtId="0" fontId="5" fillId="0" borderId="0"/>
    <xf numFmtId="0" fontId="5" fillId="0" borderId="0"/>
    <xf numFmtId="0" fontId="159" fillId="0" borderId="0"/>
    <xf numFmtId="0" fontId="159" fillId="0" borderId="0"/>
    <xf numFmtId="0" fontId="162" fillId="0" borderId="0">
      <alignment vertical="top"/>
    </xf>
    <xf numFmtId="0" fontId="198" fillId="101" borderId="48">
      <protection locked="0"/>
    </xf>
    <xf numFmtId="0" fontId="116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1" fillId="0" borderId="0"/>
    <xf numFmtId="0" fontId="161" fillId="0" borderId="0"/>
    <xf numFmtId="0" fontId="161" fillId="0" borderId="0"/>
    <xf numFmtId="0" fontId="161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1" fillId="0" borderId="0"/>
    <xf numFmtId="0" fontId="161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1" fillId="0" borderId="0"/>
    <xf numFmtId="0" fontId="161" fillId="0" borderId="0"/>
    <xf numFmtId="0" fontId="159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59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59" fillId="0" borderId="0"/>
    <xf numFmtId="0" fontId="161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72" fillId="0" borderId="0"/>
    <xf numFmtId="0" fontId="159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1" fillId="0" borderId="0"/>
    <xf numFmtId="0" fontId="161" fillId="0" borderId="0"/>
    <xf numFmtId="0" fontId="159" fillId="0" borderId="0"/>
    <xf numFmtId="0" fontId="159" fillId="0" borderId="0"/>
    <xf numFmtId="0" fontId="235" fillId="0" borderId="0"/>
    <xf numFmtId="0" fontId="236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59" fillId="0" borderId="0"/>
    <xf numFmtId="0" fontId="159" fillId="0" borderId="0"/>
    <xf numFmtId="0" fontId="159" fillId="0" borderId="0"/>
    <xf numFmtId="0" fontId="172" fillId="0" borderId="0"/>
    <xf numFmtId="0" fontId="159" fillId="0" borderId="0"/>
    <xf numFmtId="0" fontId="172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1" fillId="0" borderId="0"/>
    <xf numFmtId="0" fontId="161" fillId="0" borderId="0"/>
    <xf numFmtId="0" fontId="159" fillId="0" borderId="0"/>
    <xf numFmtId="0" fontId="161" fillId="0" borderId="0"/>
    <xf numFmtId="0" fontId="159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1" fillId="0" borderId="0"/>
    <xf numFmtId="0" fontId="161" fillId="0" borderId="0"/>
    <xf numFmtId="0" fontId="159" fillId="0" borderId="0"/>
    <xf numFmtId="0" fontId="162" fillId="0" borderId="0">
      <alignment vertical="top"/>
    </xf>
    <xf numFmtId="0" fontId="159" fillId="0" borderId="0"/>
    <xf numFmtId="0" fontId="161" fillId="0" borderId="0"/>
    <xf numFmtId="0" fontId="159" fillId="0" borderId="0"/>
    <xf numFmtId="0" fontId="161" fillId="0" borderId="0"/>
    <xf numFmtId="0" fontId="159" fillId="0" borderId="0"/>
    <xf numFmtId="0" fontId="159" fillId="0" borderId="0"/>
    <xf numFmtId="0" fontId="172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1" fillId="0" borderId="0"/>
    <xf numFmtId="0" fontId="161" fillId="0" borderId="0"/>
    <xf numFmtId="0" fontId="159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215" fillId="0" borderId="0"/>
    <xf numFmtId="0" fontId="161" fillId="0" borderId="0"/>
    <xf numFmtId="0" fontId="215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215" fillId="0" borderId="0"/>
    <xf numFmtId="0" fontId="161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1" fillId="0" borderId="0"/>
    <xf numFmtId="0" fontId="161" fillId="0" borderId="0"/>
    <xf numFmtId="49" fontId="58" fillId="0" borderId="0" applyFont="0" applyFill="0" applyBorder="0" applyAlignment="0" applyProtection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1" fillId="0" borderId="0"/>
    <xf numFmtId="0" fontId="215" fillId="0" borderId="0"/>
    <xf numFmtId="49" fontId="58" fillId="0" borderId="0" applyFont="0" applyFill="0" applyBorder="0" applyAlignment="0" applyProtection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2" fillId="0" borderId="0">
      <alignment vertical="top"/>
    </xf>
    <xf numFmtId="0" fontId="162" fillId="0" borderId="0">
      <alignment vertical="top"/>
    </xf>
    <xf numFmtId="49" fontId="159" fillId="0" borderId="0" applyFont="0" applyFill="0" applyBorder="0" applyAlignment="0" applyProtection="0"/>
    <xf numFmtId="49" fontId="159" fillId="0" borderId="0" applyFont="0" applyFill="0" applyBorder="0" applyAlignment="0" applyProtection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49" fontId="58" fillId="0" borderId="0" applyFont="0" applyFill="0" applyBorder="0" applyAlignment="0" applyProtection="0"/>
    <xf numFmtId="49" fontId="58" fillId="0" borderId="0" applyFont="0" applyFill="0" applyBorder="0" applyAlignment="0" applyProtection="0"/>
    <xf numFmtId="0" fontId="168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49" fontId="159" fillId="0" borderId="0" applyFont="0" applyFill="0" applyBorder="0" applyAlignment="0" applyProtection="0"/>
    <xf numFmtId="49" fontId="159" fillId="0" borderId="0" applyFont="0" applyFill="0" applyBorder="0" applyAlignment="0" applyProtection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49" fontId="159" fillId="0" borderId="0" applyFont="0" applyFill="0" applyBorder="0" applyAlignment="0" applyProtection="0"/>
    <xf numFmtId="49" fontId="159" fillId="0" borderId="0" applyFont="0" applyFill="0" applyBorder="0" applyAlignment="0" applyProtection="0"/>
    <xf numFmtId="0" fontId="172" fillId="0" borderId="0"/>
    <xf numFmtId="0" fontId="161" fillId="0" borderId="0"/>
    <xf numFmtId="0" fontId="159" fillId="0" borderId="0"/>
    <xf numFmtId="0" fontId="159" fillId="0" borderId="0"/>
    <xf numFmtId="0" fontId="162" fillId="0" borderId="0">
      <alignment vertical="top"/>
    </xf>
    <xf numFmtId="0" fontId="162" fillId="0" borderId="0">
      <alignment vertical="top"/>
    </xf>
    <xf numFmtId="0" fontId="161" fillId="0" borderId="0"/>
    <xf numFmtId="0" fontId="159" fillId="0" borderId="0"/>
    <xf numFmtId="0" fontId="172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72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72" fillId="0" borderId="0"/>
    <xf numFmtId="0" fontId="159" fillId="0" borderId="0"/>
    <xf numFmtId="0" fontId="159" fillId="0" borderId="0"/>
    <xf numFmtId="0" fontId="159" fillId="0" borderId="0"/>
    <xf numFmtId="0" fontId="172" fillId="0" borderId="0"/>
    <xf numFmtId="0" fontId="159" fillId="0" borderId="0"/>
    <xf numFmtId="0" fontId="159" fillId="0" borderId="0"/>
    <xf numFmtId="0" fontId="159" fillId="0" borderId="0"/>
    <xf numFmtId="0" fontId="172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62" fillId="0" borderId="0"/>
    <xf numFmtId="0" fontId="172" fillId="0" borderId="0"/>
    <xf numFmtId="0" fontId="172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62" fillId="0" borderId="0">
      <alignment vertical="top"/>
    </xf>
    <xf numFmtId="0" fontId="162" fillId="0" borderId="0">
      <alignment vertical="top"/>
    </xf>
    <xf numFmtId="0" fontId="172" fillId="0" borderId="0"/>
    <xf numFmtId="0" fontId="172" fillId="0" borderId="0"/>
    <xf numFmtId="0" fontId="172" fillId="0" borderId="0"/>
    <xf numFmtId="0" fontId="172" fillId="0" borderId="0"/>
    <xf numFmtId="0" fontId="159" fillId="0" borderId="0"/>
    <xf numFmtId="0" fontId="159" fillId="0" borderId="0"/>
    <xf numFmtId="0" fontId="172" fillId="0" borderId="0"/>
    <xf numFmtId="0" fontId="172" fillId="0" borderId="0"/>
    <xf numFmtId="0" fontId="159" fillId="0" borderId="0"/>
    <xf numFmtId="0" fontId="159" fillId="0" borderId="0"/>
    <xf numFmtId="0" fontId="172" fillId="0" borderId="0"/>
    <xf numFmtId="0" fontId="159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59" fillId="0" borderId="0"/>
    <xf numFmtId="0" fontId="172" fillId="0" borderId="0"/>
    <xf numFmtId="0" fontId="161" fillId="0" borderId="0"/>
    <xf numFmtId="0" fontId="172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161" fillId="0" borderId="0"/>
    <xf numFmtId="0" fontId="161" fillId="0" borderId="0"/>
    <xf numFmtId="0" fontId="168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1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161" fillId="0" borderId="0"/>
    <xf numFmtId="0" fontId="172" fillId="0" borderId="0"/>
    <xf numFmtId="0" fontId="161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1" fillId="0" borderId="0"/>
    <xf numFmtId="0" fontId="161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1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161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1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1" fillId="0" borderId="0"/>
    <xf numFmtId="0" fontId="172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59" fillId="0" borderId="0"/>
    <xf numFmtId="0" fontId="161" fillId="0" borderId="0"/>
    <xf numFmtId="0" fontId="161" fillId="0" borderId="0"/>
    <xf numFmtId="0" fontId="172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172" fillId="0" borderId="0"/>
    <xf numFmtId="0" fontId="161" fillId="0" borderId="0"/>
    <xf numFmtId="0" fontId="159" fillId="0" borderId="0"/>
    <xf numFmtId="0" fontId="159" fillId="0" borderId="0"/>
    <xf numFmtId="0" fontId="172" fillId="0" borderId="0"/>
    <xf numFmtId="0" fontId="159" fillId="0" borderId="0"/>
    <xf numFmtId="0" fontId="172" fillId="0" borderId="0"/>
    <xf numFmtId="0" fontId="172" fillId="0" borderId="0"/>
    <xf numFmtId="0" fontId="161" fillId="0" borderId="0"/>
    <xf numFmtId="0" fontId="161" fillId="0" borderId="0"/>
    <xf numFmtId="0" fontId="172" fillId="0" borderId="0"/>
    <xf numFmtId="0" fontId="161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61" fillId="0" borderId="0"/>
    <xf numFmtId="0" fontId="159" fillId="0" borderId="0"/>
    <xf numFmtId="0" fontId="161" fillId="0" borderId="0"/>
    <xf numFmtId="0" fontId="159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59" fillId="0" borderId="0"/>
    <xf numFmtId="0" fontId="159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59" fillId="0" borderId="0"/>
    <xf numFmtId="0" fontId="159" fillId="0" borderId="0"/>
    <xf numFmtId="0" fontId="159" fillId="0" borderId="0"/>
    <xf numFmtId="0" fontId="161" fillId="0" borderId="0"/>
    <xf numFmtId="0" fontId="159" fillId="0" borderId="0"/>
    <xf numFmtId="0" fontId="159" fillId="0" borderId="0"/>
    <xf numFmtId="0" fontId="172" fillId="0" borderId="0"/>
    <xf numFmtId="0" fontId="172" fillId="0" borderId="0"/>
    <xf numFmtId="0" fontId="172" fillId="0" borderId="0"/>
    <xf numFmtId="0" fontId="159" fillId="0" borderId="0"/>
    <xf numFmtId="0" fontId="172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59" fillId="0" borderId="0"/>
    <xf numFmtId="0" fontId="159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59" fillId="0" borderId="0"/>
    <xf numFmtId="0" fontId="159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58" fillId="0" borderId="0"/>
    <xf numFmtId="0" fontId="58" fillId="0" borderId="0"/>
    <xf numFmtId="0" fontId="58" fillId="0" borderId="0"/>
    <xf numFmtId="0" fontId="172" fillId="0" borderId="0"/>
    <xf numFmtId="0" fontId="172" fillId="0" borderId="0"/>
    <xf numFmtId="0" fontId="172" fillId="0" borderId="0"/>
    <xf numFmtId="0" fontId="159" fillId="0" borderId="0"/>
    <xf numFmtId="0" fontId="172" fillId="0" borderId="0"/>
    <xf numFmtId="0" fontId="172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72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72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72" fillId="0" borderId="0"/>
    <xf numFmtId="0" fontId="172" fillId="0" borderId="0"/>
    <xf numFmtId="0" fontId="159" fillId="0" borderId="0"/>
    <xf numFmtId="0" fontId="58" fillId="0" borderId="0"/>
    <xf numFmtId="0" fontId="159" fillId="0" borderId="0"/>
    <xf numFmtId="0" fontId="172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72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1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59" fillId="0" borderId="0"/>
    <xf numFmtId="0" fontId="159" fillId="0" borderId="0"/>
    <xf numFmtId="0" fontId="159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59" fillId="0" borderId="0"/>
    <xf numFmtId="0" fontId="159" fillId="0" borderId="0"/>
    <xf numFmtId="0" fontId="172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59" fillId="0" borderId="0"/>
    <xf numFmtId="0" fontId="172" fillId="0" borderId="0"/>
    <xf numFmtId="0" fontId="172" fillId="0" borderId="0"/>
    <xf numFmtId="0" fontId="159" fillId="0" borderId="0"/>
    <xf numFmtId="0" fontId="161" fillId="0" borderId="0"/>
    <xf numFmtId="0" fontId="161" fillId="0" borderId="0"/>
    <xf numFmtId="0" fontId="161" fillId="0" borderId="0"/>
    <xf numFmtId="0" fontId="159" fillId="0" borderId="0"/>
    <xf numFmtId="0" fontId="161" fillId="0" borderId="0"/>
    <xf numFmtId="0" fontId="159" fillId="0" borderId="0"/>
    <xf numFmtId="0" fontId="159" fillId="0" borderId="0"/>
    <xf numFmtId="0" fontId="159" fillId="0" borderId="0"/>
    <xf numFmtId="0" fontId="161" fillId="0" borderId="0"/>
    <xf numFmtId="0" fontId="161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161" fillId="0" borderId="0"/>
    <xf numFmtId="0" fontId="161" fillId="0" borderId="0"/>
    <xf numFmtId="0" fontId="161" fillId="0" borderId="0"/>
    <xf numFmtId="0" fontId="161" fillId="0" borderId="0"/>
    <xf numFmtId="0" fontId="172" fillId="0" borderId="0"/>
    <xf numFmtId="0" fontId="172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1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235" fillId="0" borderId="0"/>
    <xf numFmtId="0" fontId="236" fillId="0" borderId="0"/>
    <xf numFmtId="0" fontId="159" fillId="0" borderId="0"/>
    <xf numFmtId="0" fontId="159" fillId="0" borderId="0"/>
    <xf numFmtId="0" fontId="235" fillId="0" borderId="0"/>
    <xf numFmtId="0" fontId="236" fillId="0" borderId="0"/>
    <xf numFmtId="0" fontId="159" fillId="0" borderId="0"/>
    <xf numFmtId="0" fontId="159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88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59" fillId="0" borderId="0"/>
    <xf numFmtId="0" fontId="159" fillId="0" borderId="0"/>
    <xf numFmtId="0" fontId="235" fillId="0" borderId="0"/>
    <xf numFmtId="0" fontId="236" fillId="0" borderId="0"/>
    <xf numFmtId="0" fontId="159" fillId="0" borderId="0"/>
    <xf numFmtId="0" fontId="159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1" fillId="0" borderId="0"/>
    <xf numFmtId="0" fontId="161" fillId="0" borderId="0"/>
    <xf numFmtId="0" fontId="161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8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1" fillId="0" borderId="0"/>
    <xf numFmtId="0" fontId="161" fillId="0" borderId="0"/>
    <xf numFmtId="0" fontId="161" fillId="0" borderId="0"/>
    <xf numFmtId="0" fontId="161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61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62" fillId="0" borderId="0">
      <alignment vertical="top"/>
    </xf>
    <xf numFmtId="0" fontId="172" fillId="0" borderId="0"/>
    <xf numFmtId="0" fontId="172" fillId="0" borderId="0"/>
    <xf numFmtId="0" fontId="161" fillId="0" borderId="0"/>
    <xf numFmtId="0" fontId="161" fillId="0" borderId="0"/>
    <xf numFmtId="0" fontId="161" fillId="0" borderId="0"/>
    <xf numFmtId="0" fontId="172" fillId="0" borderId="0"/>
    <xf numFmtId="0" fontId="159" fillId="0" borderId="0"/>
    <xf numFmtId="0" fontId="162" fillId="0" borderId="0">
      <alignment vertical="top"/>
    </xf>
    <xf numFmtId="0" fontId="159" fillId="0" borderId="0"/>
    <xf numFmtId="0" fontId="161" fillId="0" borderId="0"/>
    <xf numFmtId="0" fontId="161" fillId="0" borderId="0"/>
    <xf numFmtId="0" fontId="172" fillId="0" borderId="0"/>
    <xf numFmtId="0" fontId="159" fillId="0" borderId="0"/>
    <xf numFmtId="0" fontId="58" fillId="0" borderId="0">
      <alignment vertical="top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>
      <alignment vertical="top"/>
    </xf>
    <xf numFmtId="0" fontId="58" fillId="0" borderId="0">
      <alignment vertical="top"/>
    </xf>
    <xf numFmtId="0" fontId="161" fillId="0" borderId="0"/>
    <xf numFmtId="0" fontId="161" fillId="0" borderId="0"/>
    <xf numFmtId="0" fontId="116" fillId="85" borderId="0" applyNumberFormat="0" applyBorder="0" applyAlignment="0" applyProtection="0">
      <alignment vertical="center"/>
    </xf>
    <xf numFmtId="0" fontId="116" fillId="87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13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13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13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8" fillId="85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136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136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136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137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137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137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13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13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13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1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1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1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13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13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13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8" fillId="89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31" borderId="0" applyNumberFormat="0" applyBorder="0" applyAlignment="0" applyProtection="0">
      <alignment vertical="center"/>
    </xf>
    <xf numFmtId="0" fontId="116" fillId="111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29" borderId="0" applyNumberFormat="0" applyBorder="0" applyAlignment="0" applyProtection="0">
      <alignment vertical="center"/>
    </xf>
    <xf numFmtId="0" fontId="116" fillId="95" borderId="0" applyNumberFormat="0" applyBorder="0" applyAlignment="0" applyProtection="0">
      <alignment vertical="center"/>
    </xf>
    <xf numFmtId="0" fontId="116" fillId="129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88" borderId="0" applyNumberFormat="0" applyBorder="0" applyAlignment="0" applyProtection="0">
      <alignment vertical="center"/>
    </xf>
    <xf numFmtId="0" fontId="116" fillId="128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85" borderId="0" applyNumberFormat="0" applyBorder="0" applyAlignment="0" applyProtection="0">
      <alignment vertical="center"/>
    </xf>
    <xf numFmtId="0" fontId="116" fillId="107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84" borderId="0" applyNumberFormat="0" applyBorder="0" applyAlignment="0" applyProtection="0">
      <alignment vertical="center"/>
    </xf>
    <xf numFmtId="0" fontId="116" fillId="109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90" borderId="0" applyNumberFormat="0" applyBorder="0" applyAlignment="0" applyProtection="0">
      <alignment vertical="center"/>
    </xf>
    <xf numFmtId="0" fontId="116" fillId="91" borderId="0" applyNumberFormat="0" applyBorder="0" applyAlignment="0" applyProtection="0">
      <alignment vertical="center"/>
    </xf>
    <xf numFmtId="0" fontId="116" fillId="86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82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140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140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140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8" fillId="86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141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141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141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8" fillId="80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8" fillId="82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89" borderId="0" applyNumberFormat="0" applyBorder="0" applyAlignment="0" applyProtection="0">
      <alignment vertical="center"/>
    </xf>
    <xf numFmtId="0" fontId="116" fillId="112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83" borderId="0" applyNumberFormat="0" applyBorder="0" applyAlignment="0" applyProtection="0">
      <alignment vertical="center"/>
    </xf>
    <xf numFmtId="0" fontId="116" fillId="125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80" borderId="0" applyNumberFormat="0" applyBorder="0" applyAlignment="0" applyProtection="0">
      <alignment vertical="center"/>
    </xf>
    <xf numFmtId="0" fontId="116" fillId="113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16" fillId="79" borderId="0" applyNumberFormat="0" applyBorder="0" applyAlignment="0" applyProtection="0">
      <alignment vertical="center"/>
    </xf>
    <xf numFmtId="0" fontId="116" fillId="127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9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0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1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169" fillId="100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44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44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44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58" fillId="99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14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14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14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58" fillId="90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143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143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143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58" fillId="91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144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144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144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58" fillId="98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145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145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145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58" fillId="96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146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146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146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58" fillId="100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169" fillId="113" borderId="0" applyNumberFormat="0" applyBorder="0" applyAlignment="0" applyProtection="0">
      <alignment vertical="center"/>
    </xf>
    <xf numFmtId="0" fontId="169" fillId="80" borderId="0" applyNumberFormat="0" applyBorder="0" applyAlignment="0" applyProtection="0">
      <alignment vertical="center"/>
    </xf>
    <xf numFmtId="0" fontId="169" fillId="113" borderId="0" applyNumberFormat="0" applyBorder="0" applyAlignment="0" applyProtection="0">
      <alignment vertical="center"/>
    </xf>
    <xf numFmtId="0" fontId="169" fillId="112" borderId="0" applyNumberFormat="0" applyBorder="0" applyAlignment="0" applyProtection="0">
      <alignment vertical="center"/>
    </xf>
    <xf numFmtId="0" fontId="169" fillId="89" borderId="0" applyNumberFormat="0" applyBorder="0" applyAlignment="0" applyProtection="0">
      <alignment vertical="center"/>
    </xf>
    <xf numFmtId="0" fontId="169" fillId="112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83" borderId="0" applyNumberFormat="0" applyBorder="0" applyAlignment="0" applyProtection="0">
      <alignment vertical="center"/>
    </xf>
    <xf numFmtId="0" fontId="169" fillId="125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79" borderId="0" applyNumberFormat="0" applyBorder="0" applyAlignment="0" applyProtection="0">
      <alignment vertical="center"/>
    </xf>
    <xf numFmtId="0" fontId="169" fillId="127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237" fillId="147" borderId="0" applyNumberFormat="0" applyBorder="0" applyAlignment="0" applyProtection="0"/>
    <xf numFmtId="0" fontId="71" fillId="148" borderId="0" applyNumberFormat="0" applyBorder="0" applyAlignment="0" applyProtection="0"/>
    <xf numFmtId="0" fontId="71" fillId="148" borderId="0" applyNumberFormat="0" applyBorder="0" applyAlignment="0" applyProtection="0"/>
    <xf numFmtId="0" fontId="71" fillId="148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148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148" borderId="0" applyNumberFormat="0" applyBorder="0" applyAlignment="0" applyProtection="0"/>
    <xf numFmtId="0" fontId="71" fillId="148" borderId="0" applyNumberFormat="0" applyBorder="0" applyAlignment="0" applyProtection="0"/>
    <xf numFmtId="0" fontId="71" fillId="148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148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237" fillId="149" borderId="0" applyNumberFormat="0" applyBorder="0" applyAlignment="0" applyProtection="0"/>
    <xf numFmtId="0" fontId="237" fillId="149" borderId="0" applyNumberFormat="0" applyBorder="0" applyAlignment="0" applyProtection="0"/>
    <xf numFmtId="0" fontId="237" fillId="149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149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147" borderId="0" applyNumberFormat="0" applyBorder="0" applyAlignment="0" applyProtection="0"/>
    <xf numFmtId="0" fontId="237" fillId="147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147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147" borderId="0" applyNumberFormat="0" applyBorder="0" applyAlignment="0" applyProtection="0"/>
    <xf numFmtId="0" fontId="237" fillId="147" borderId="0" applyNumberFormat="0" applyBorder="0" applyAlignment="0" applyProtection="0"/>
    <xf numFmtId="0" fontId="237" fillId="147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147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150" borderId="0" applyNumberFormat="0" applyBorder="0" applyAlignment="0" applyProtection="0"/>
    <xf numFmtId="0" fontId="71" fillId="151" borderId="0" applyNumberFormat="0" applyBorder="0" applyAlignment="0" applyProtection="0"/>
    <xf numFmtId="0" fontId="71" fillId="151" borderId="0" applyNumberFormat="0" applyBorder="0" applyAlignment="0" applyProtection="0"/>
    <xf numFmtId="0" fontId="71" fillId="151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151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152" borderId="0" applyNumberFormat="0" applyBorder="0" applyAlignment="0" applyProtection="0"/>
    <xf numFmtId="0" fontId="71" fillId="152" borderId="0" applyNumberFormat="0" applyBorder="0" applyAlignment="0" applyProtection="0"/>
    <xf numFmtId="0" fontId="71" fillId="152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152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237" fillId="153" borderId="0" applyNumberFormat="0" applyBorder="0" applyAlignment="0" applyProtection="0"/>
    <xf numFmtId="0" fontId="237" fillId="153" borderId="0" applyNumberFormat="0" applyBorder="0" applyAlignment="0" applyProtection="0"/>
    <xf numFmtId="0" fontId="237" fillId="153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153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150" borderId="0" applyNumberFormat="0" applyBorder="0" applyAlignment="0" applyProtection="0"/>
    <xf numFmtId="0" fontId="237" fillId="150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50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50" borderId="0" applyNumberFormat="0" applyBorder="0" applyAlignment="0" applyProtection="0"/>
    <xf numFmtId="0" fontId="237" fillId="150" borderId="0" applyNumberFormat="0" applyBorder="0" applyAlignment="0" applyProtection="0"/>
    <xf numFmtId="0" fontId="237" fillId="150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50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06" borderId="0" applyNumberFormat="0" applyBorder="0" applyAlignment="0" applyProtection="0"/>
    <xf numFmtId="0" fontId="237" fillId="153" borderId="0" applyNumberFormat="0" applyBorder="0" applyAlignment="0" applyProtection="0"/>
    <xf numFmtId="0" fontId="71" fillId="151" borderId="0" applyNumberFormat="0" applyBorder="0" applyAlignment="0" applyProtection="0"/>
    <xf numFmtId="0" fontId="71" fillId="151" borderId="0" applyNumberFormat="0" applyBorder="0" applyAlignment="0" applyProtection="0"/>
    <xf numFmtId="0" fontId="71" fillId="151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151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154" borderId="0" applyNumberFormat="0" applyBorder="0" applyAlignment="0" applyProtection="0"/>
    <xf numFmtId="0" fontId="71" fillId="154" borderId="0" applyNumberFormat="0" applyBorder="0" applyAlignment="0" applyProtection="0"/>
    <xf numFmtId="0" fontId="71" fillId="15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15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71" fillId="84" borderId="0" applyNumberFormat="0" applyBorder="0" applyAlignment="0" applyProtection="0"/>
    <xf numFmtId="0" fontId="237" fillId="152" borderId="0" applyNumberFormat="0" applyBorder="0" applyAlignment="0" applyProtection="0"/>
    <xf numFmtId="0" fontId="237" fillId="152" borderId="0" applyNumberFormat="0" applyBorder="0" applyAlignment="0" applyProtection="0"/>
    <xf numFmtId="0" fontId="237" fillId="152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152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153" borderId="0" applyNumberFormat="0" applyBorder="0" applyAlignment="0" applyProtection="0"/>
    <xf numFmtId="0" fontId="237" fillId="153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153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153" borderId="0" applyNumberFormat="0" applyBorder="0" applyAlignment="0" applyProtection="0"/>
    <xf numFmtId="0" fontId="237" fillId="153" borderId="0" applyNumberFormat="0" applyBorder="0" applyAlignment="0" applyProtection="0"/>
    <xf numFmtId="0" fontId="237" fillId="153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153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92" borderId="0" applyNumberFormat="0" applyBorder="0" applyAlignment="0" applyProtection="0"/>
    <xf numFmtId="0" fontId="237" fillId="147" borderId="0" applyNumberFormat="0" applyBorder="0" applyAlignment="0" applyProtection="0"/>
    <xf numFmtId="0" fontId="71" fillId="148" borderId="0" applyNumberFormat="0" applyBorder="0" applyAlignment="0" applyProtection="0"/>
    <xf numFmtId="0" fontId="71" fillId="148" borderId="0" applyNumberFormat="0" applyBorder="0" applyAlignment="0" applyProtection="0"/>
    <xf numFmtId="0" fontId="71" fillId="148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148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152" borderId="0" applyNumberFormat="0" applyBorder="0" applyAlignment="0" applyProtection="0"/>
    <xf numFmtId="0" fontId="71" fillId="152" borderId="0" applyNumberFormat="0" applyBorder="0" applyAlignment="0" applyProtection="0"/>
    <xf numFmtId="0" fontId="71" fillId="152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152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71" fillId="83" borderId="0" applyNumberFormat="0" applyBorder="0" applyAlignment="0" applyProtection="0"/>
    <xf numFmtId="0" fontId="237" fillId="152" borderId="0" applyNumberFormat="0" applyBorder="0" applyAlignment="0" applyProtection="0"/>
    <xf numFmtId="0" fontId="237" fillId="152" borderId="0" applyNumberFormat="0" applyBorder="0" applyAlignment="0" applyProtection="0"/>
    <xf numFmtId="0" fontId="237" fillId="152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152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83" borderId="0" applyNumberFormat="0" applyBorder="0" applyAlignment="0" applyProtection="0"/>
    <xf numFmtId="0" fontId="237" fillId="147" borderId="0" applyNumberFormat="0" applyBorder="0" applyAlignment="0" applyProtection="0"/>
    <xf numFmtId="0" fontId="237" fillId="147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147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147" borderId="0" applyNumberFormat="0" applyBorder="0" applyAlignment="0" applyProtection="0"/>
    <xf numFmtId="0" fontId="237" fillId="147" borderId="0" applyNumberFormat="0" applyBorder="0" applyAlignment="0" applyProtection="0"/>
    <xf numFmtId="0" fontId="237" fillId="147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147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94" borderId="0" applyNumberFormat="0" applyBorder="0" applyAlignment="0" applyProtection="0"/>
    <xf numFmtId="0" fontId="237" fillId="155" borderId="0" applyNumberFormat="0" applyBorder="0" applyAlignment="0" applyProtection="0"/>
    <xf numFmtId="0" fontId="71" fillId="156" borderId="0" applyNumberFormat="0" applyBorder="0" applyAlignment="0" applyProtection="0"/>
    <xf numFmtId="0" fontId="71" fillId="156" borderId="0" applyNumberFormat="0" applyBorder="0" applyAlignment="0" applyProtection="0"/>
    <xf numFmtId="0" fontId="71" fillId="156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156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31" borderId="0" applyNumberFormat="0" applyBorder="0" applyAlignment="0" applyProtection="0"/>
    <xf numFmtId="0" fontId="71" fillId="148" borderId="0" applyNumberFormat="0" applyBorder="0" applyAlignment="0" applyProtection="0"/>
    <xf numFmtId="0" fontId="71" fillId="148" borderId="0" applyNumberFormat="0" applyBorder="0" applyAlignment="0" applyProtection="0"/>
    <xf numFmtId="0" fontId="71" fillId="148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148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71" fillId="85" borderId="0" applyNumberFormat="0" applyBorder="0" applyAlignment="0" applyProtection="0"/>
    <xf numFmtId="0" fontId="237" fillId="149" borderId="0" applyNumberFormat="0" applyBorder="0" applyAlignment="0" applyProtection="0"/>
    <xf numFmtId="0" fontId="237" fillId="149" borderId="0" applyNumberFormat="0" applyBorder="0" applyAlignment="0" applyProtection="0"/>
    <xf numFmtId="0" fontId="237" fillId="149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149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80" borderId="0" applyNumberFormat="0" applyBorder="0" applyAlignment="0" applyProtection="0"/>
    <xf numFmtId="0" fontId="237" fillId="155" borderId="0" applyNumberFormat="0" applyBorder="0" applyAlignment="0" applyProtection="0"/>
    <xf numFmtId="0" fontId="237" fillId="155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155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155" borderId="0" applyNumberFormat="0" applyBorder="0" applyAlignment="0" applyProtection="0"/>
    <xf numFmtId="0" fontId="237" fillId="155" borderId="0" applyNumberFormat="0" applyBorder="0" applyAlignment="0" applyProtection="0"/>
    <xf numFmtId="0" fontId="237" fillId="155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155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96" borderId="0" applyNumberFormat="0" applyBorder="0" applyAlignment="0" applyProtection="0"/>
    <xf numFmtId="0" fontId="237" fillId="157" borderId="0" applyNumberFormat="0" applyBorder="0" applyAlignment="0" applyProtection="0"/>
    <xf numFmtId="0" fontId="71" fillId="151" borderId="0" applyNumberFormat="0" applyBorder="0" applyAlignment="0" applyProtection="0"/>
    <xf numFmtId="0" fontId="71" fillId="151" borderId="0" applyNumberFormat="0" applyBorder="0" applyAlignment="0" applyProtection="0"/>
    <xf numFmtId="0" fontId="71" fillId="151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151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88" borderId="0" applyNumberFormat="0" applyBorder="0" applyAlignment="0" applyProtection="0"/>
    <xf numFmtId="0" fontId="71" fillId="158" borderId="0" applyNumberFormat="0" applyBorder="0" applyAlignment="0" applyProtection="0"/>
    <xf numFmtId="0" fontId="71" fillId="158" borderId="0" applyNumberFormat="0" applyBorder="0" applyAlignment="0" applyProtection="0"/>
    <xf numFmtId="0" fontId="71" fillId="158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158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71" fillId="89" borderId="0" applyNumberFormat="0" applyBorder="0" applyAlignment="0" applyProtection="0"/>
    <xf numFmtId="0" fontId="237" fillId="158" borderId="0" applyNumberFormat="0" applyBorder="0" applyAlignment="0" applyProtection="0"/>
    <xf numFmtId="0" fontId="237" fillId="158" borderId="0" applyNumberFormat="0" applyBorder="0" applyAlignment="0" applyProtection="0"/>
    <xf numFmtId="0" fontId="237" fillId="158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158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89" borderId="0" applyNumberFormat="0" applyBorder="0" applyAlignment="0" applyProtection="0"/>
    <xf numFmtId="0" fontId="237" fillId="157" borderId="0" applyNumberFormat="0" applyBorder="0" applyAlignment="0" applyProtection="0"/>
    <xf numFmtId="0" fontId="237" fillId="157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57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57" borderId="0" applyNumberFormat="0" applyBorder="0" applyAlignment="0" applyProtection="0"/>
    <xf numFmtId="0" fontId="237" fillId="157" borderId="0" applyNumberFormat="0" applyBorder="0" applyAlignment="0" applyProtection="0"/>
    <xf numFmtId="0" fontId="237" fillId="157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57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237" fillId="100" borderId="0" applyNumberFormat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238" fillId="0" borderId="0"/>
    <xf numFmtId="0" fontId="238" fillId="0" borderId="0"/>
    <xf numFmtId="0" fontId="180" fillId="83" borderId="88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245" fontId="160" fillId="0" borderId="0"/>
    <xf numFmtId="245" fontId="160" fillId="0" borderId="0"/>
    <xf numFmtId="3" fontId="58" fillId="0" borderId="0" applyFont="0" applyFill="0" applyBorder="0" applyAlignment="0" applyProtection="0"/>
    <xf numFmtId="3" fontId="58" fillId="0" borderId="0" applyFont="0" applyFill="0" applyBorder="0" applyAlignment="0" applyProtection="0"/>
    <xf numFmtId="246" fontId="58" fillId="0" borderId="0" applyFont="0" applyFill="0" applyBorder="0" applyAlignment="0" applyProtection="0"/>
    <xf numFmtId="246" fontId="58" fillId="0" borderId="0" applyFont="0" applyFill="0" applyBorder="0" applyAlignment="0" applyProtection="0"/>
    <xf numFmtId="247" fontId="160" fillId="0" borderId="0"/>
    <xf numFmtId="247" fontId="160" fillId="0" borderId="0"/>
    <xf numFmtId="15" fontId="209" fillId="0" borderId="0"/>
    <xf numFmtId="15" fontId="209" fillId="0" borderId="0"/>
    <xf numFmtId="15" fontId="239" fillId="0" borderId="0"/>
    <xf numFmtId="15" fontId="239" fillId="0" borderId="0"/>
    <xf numFmtId="15" fontId="209" fillId="0" borderId="0"/>
    <xf numFmtId="15" fontId="209" fillId="0" borderId="0"/>
    <xf numFmtId="15" fontId="209" fillId="0" borderId="0"/>
    <xf numFmtId="15" fontId="209" fillId="0" borderId="0"/>
    <xf numFmtId="15" fontId="209" fillId="0" borderId="0"/>
    <xf numFmtId="15" fontId="209" fillId="0" borderId="0"/>
    <xf numFmtId="15" fontId="239" fillId="0" borderId="0"/>
    <xf numFmtId="15" fontId="209" fillId="0" borderId="0"/>
    <xf numFmtId="15" fontId="239" fillId="0" borderId="0"/>
    <xf numFmtId="15" fontId="239" fillId="0" borderId="0"/>
    <xf numFmtId="15" fontId="239" fillId="0" borderId="0"/>
    <xf numFmtId="15" fontId="239" fillId="0" borderId="0"/>
    <xf numFmtId="15" fontId="239" fillId="0" borderId="0"/>
    <xf numFmtId="15" fontId="209" fillId="0" borderId="0"/>
    <xf numFmtId="248" fontId="160" fillId="0" borderId="0"/>
    <xf numFmtId="248" fontId="160" fillId="0" borderId="0"/>
    <xf numFmtId="2" fontId="58" fillId="0" borderId="0" applyFont="0" applyFill="0" applyBorder="0" applyAlignment="0" applyProtection="0"/>
    <xf numFmtId="2" fontId="58" fillId="0" borderId="0" applyFont="0" applyFill="0" applyBorder="0" applyAlignment="0" applyProtection="0"/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38" fontId="163" fillId="83" borderId="0" applyNumberFormat="0" applyBorder="0" applyAlignment="0" applyProtection="0"/>
    <xf numFmtId="0" fontId="163" fillId="83" borderId="0" applyNumberFormat="0" applyBorder="0" applyAlignment="0" applyProtection="0"/>
    <xf numFmtId="0" fontId="188" fillId="0" borderId="100" applyNumberFormat="0" applyAlignment="0" applyProtection="0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88" fillId="0" borderId="21">
      <alignment horizontal="left" vertical="center"/>
    </xf>
    <xf numFmtId="0" fontId="164" fillId="112" borderId="88" applyNumberFormat="0" applyAlignment="0" applyProtection="0">
      <alignment vertical="center"/>
    </xf>
    <xf numFmtId="10" fontId="163" fillId="88" borderId="1" applyNumberFormat="0" applyBorder="0" applyAlignment="0" applyProtection="0"/>
    <xf numFmtId="10" fontId="163" fillId="88" borderId="1" applyNumberFormat="0" applyBorder="0" applyAlignment="0" applyProtection="0"/>
    <xf numFmtId="0" fontId="163" fillId="88" borderId="1" applyNumberFormat="0" applyBorder="0" applyAlignment="0" applyProtection="0"/>
    <xf numFmtId="0" fontId="163" fillId="88" borderId="1" applyNumberFormat="0" applyBorder="0" applyAlignment="0" applyProtection="0"/>
    <xf numFmtId="10" fontId="163" fillId="88" borderId="1" applyNumberFormat="0" applyBorder="0" applyAlignment="0" applyProtection="0"/>
    <xf numFmtId="10" fontId="163" fillId="88" borderId="1" applyNumberFormat="0" applyBorder="0" applyAlignment="0" applyProtection="0"/>
    <xf numFmtId="10" fontId="163" fillId="88" borderId="1" applyNumberFormat="0" applyBorder="0" applyAlignment="0" applyProtection="0"/>
    <xf numFmtId="10" fontId="163" fillId="88" borderId="1" applyNumberFormat="0" applyBorder="0" applyAlignment="0" applyProtection="0"/>
    <xf numFmtId="10" fontId="163" fillId="88" borderId="1" applyNumberFormat="0" applyBorder="0" applyAlignment="0" applyProtection="0"/>
    <xf numFmtId="10" fontId="163" fillId="88" borderId="1" applyNumberFormat="0" applyBorder="0" applyAlignment="0" applyProtection="0"/>
    <xf numFmtId="10" fontId="163" fillId="88" borderId="1" applyNumberFormat="0" applyBorder="0" applyAlignment="0" applyProtection="0"/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235" fontId="205" fillId="103" borderId="0"/>
    <xf numFmtId="235" fontId="205" fillId="103" borderId="0"/>
    <xf numFmtId="235" fontId="205" fillId="103" borderId="0"/>
    <xf numFmtId="235" fontId="205" fillId="103" borderId="0"/>
    <xf numFmtId="235" fontId="205" fillId="103" borderId="0"/>
    <xf numFmtId="235" fontId="205" fillId="103" borderId="0"/>
    <xf numFmtId="235" fontId="205" fillId="103" borderId="0"/>
    <xf numFmtId="235" fontId="205" fillId="133" borderId="0"/>
    <xf numFmtId="0" fontId="164" fillId="89" borderId="88" applyNumberFormat="0" applyAlignment="0" applyProtection="0">
      <alignment vertical="center"/>
    </xf>
    <xf numFmtId="235" fontId="206" fillId="104" borderId="0"/>
    <xf numFmtId="235" fontId="206" fillId="104" borderId="0"/>
    <xf numFmtId="235" fontId="206" fillId="104" borderId="0"/>
    <xf numFmtId="235" fontId="206" fillId="104" borderId="0"/>
    <xf numFmtId="235" fontId="206" fillId="104" borderId="0"/>
    <xf numFmtId="235" fontId="206" fillId="104" borderId="0"/>
    <xf numFmtId="235" fontId="206" fillId="104" borderId="0"/>
    <xf numFmtId="235" fontId="206" fillId="134" borderId="0"/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160" fillId="0" borderId="0"/>
    <xf numFmtId="0" fontId="160" fillId="0" borderId="0"/>
    <xf numFmtId="249" fontId="159" fillId="0" borderId="0"/>
    <xf numFmtId="249" fontId="159" fillId="0" borderId="0"/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128" borderId="87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10" fontId="159" fillId="0" borderId="0" applyFont="0" applyFill="0" applyBorder="0" applyAlignment="0" applyProtection="0"/>
    <xf numFmtId="10" fontId="58" fillId="0" borderId="0" applyFont="0" applyFill="0" applyBorder="0" applyAlignment="0" applyProtection="0"/>
    <xf numFmtId="10" fontId="58" fillId="0" borderId="0" applyFont="0" applyFill="0" applyBorder="0" applyAlignment="0" applyProtection="0"/>
    <xf numFmtId="0" fontId="239" fillId="0" borderId="0" applyNumberFormat="0" applyFont="0" applyFill="0" applyBorder="0" applyAlignment="0" applyProtection="0">
      <alignment horizontal="left"/>
    </xf>
    <xf numFmtId="0" fontId="209" fillId="0" borderId="0" applyNumberFormat="0" applyFont="0" applyFill="0" applyBorder="0" applyAlignment="0" applyProtection="0">
      <alignment horizontal="left"/>
    </xf>
    <xf numFmtId="0" fontId="239" fillId="0" borderId="0" applyNumberFormat="0" applyFont="0" applyFill="0" applyBorder="0" applyAlignment="0" applyProtection="0">
      <alignment horizontal="left"/>
    </xf>
    <xf numFmtId="0" fontId="239" fillId="0" borderId="0" applyNumberFormat="0" applyFont="0" applyFill="0" applyBorder="0" applyAlignment="0" applyProtection="0">
      <alignment horizontal="left"/>
    </xf>
    <xf numFmtId="0" fontId="209" fillId="0" borderId="0" applyNumberFormat="0" applyFont="0" applyFill="0" applyBorder="0" applyAlignment="0" applyProtection="0">
      <alignment horizontal="left"/>
    </xf>
    <xf numFmtId="0" fontId="209" fillId="0" borderId="0" applyNumberFormat="0" applyFont="0" applyFill="0" applyBorder="0" applyAlignment="0" applyProtection="0">
      <alignment horizontal="left"/>
    </xf>
    <xf numFmtId="0" fontId="209" fillId="0" borderId="0" applyNumberFormat="0" applyFont="0" applyFill="0" applyBorder="0" applyAlignment="0" applyProtection="0">
      <alignment horizontal="left"/>
    </xf>
    <xf numFmtId="0" fontId="209" fillId="0" borderId="0" applyNumberFormat="0" applyFont="0" applyFill="0" applyBorder="0" applyAlignment="0" applyProtection="0">
      <alignment horizontal="left"/>
    </xf>
    <xf numFmtId="0" fontId="209" fillId="0" borderId="0" applyNumberFormat="0" applyFont="0" applyFill="0" applyBorder="0" applyAlignment="0" applyProtection="0">
      <alignment horizontal="left"/>
    </xf>
    <xf numFmtId="0" fontId="58" fillId="0" borderId="0" applyNumberFormat="0" applyFont="0" applyFill="0" applyBorder="0" applyAlignment="0" applyProtection="0">
      <alignment horizontal="left"/>
    </xf>
    <xf numFmtId="0" fontId="58" fillId="0" borderId="0" applyNumberFormat="0" applyFont="0" applyFill="0" applyBorder="0" applyAlignment="0" applyProtection="0">
      <alignment horizontal="left"/>
    </xf>
    <xf numFmtId="0" fontId="239" fillId="0" borderId="0" applyNumberFormat="0" applyFont="0" applyFill="0" applyBorder="0" applyAlignment="0" applyProtection="0">
      <alignment horizontal="left"/>
    </xf>
    <xf numFmtId="0" fontId="239" fillId="0" borderId="0" applyNumberFormat="0" applyFont="0" applyFill="0" applyBorder="0" applyAlignment="0" applyProtection="0">
      <alignment horizontal="left"/>
    </xf>
    <xf numFmtId="0" fontId="239" fillId="0" borderId="0" applyNumberFormat="0" applyFont="0" applyFill="0" applyBorder="0" applyAlignment="0" applyProtection="0">
      <alignment horizontal="left"/>
    </xf>
    <xf numFmtId="0" fontId="239" fillId="0" borderId="0" applyNumberFormat="0" applyFont="0" applyFill="0" applyBorder="0" applyAlignment="0" applyProtection="0">
      <alignment horizontal="left"/>
    </xf>
    <xf numFmtId="0" fontId="239" fillId="0" borderId="0" applyNumberFormat="0" applyFont="0" applyFill="0" applyBorder="0" applyAlignment="0" applyProtection="0">
      <alignment horizontal="left"/>
    </xf>
    <xf numFmtId="15" fontId="239" fillId="0" borderId="0" applyFont="0" applyFill="0" applyBorder="0" applyAlignment="0" applyProtection="0"/>
    <xf numFmtId="15" fontId="209" fillId="0" borderId="0" applyFont="0" applyFill="0" applyBorder="0" applyAlignment="0" applyProtection="0"/>
    <xf numFmtId="15" fontId="239" fillId="0" borderId="0" applyFont="0" applyFill="0" applyBorder="0" applyAlignment="0" applyProtection="0"/>
    <xf numFmtId="15" fontId="239" fillId="0" borderId="0" applyFont="0" applyFill="0" applyBorder="0" applyAlignment="0" applyProtection="0"/>
    <xf numFmtId="15" fontId="209" fillId="0" borderId="0" applyFont="0" applyFill="0" applyBorder="0" applyAlignment="0" applyProtection="0"/>
    <xf numFmtId="15" fontId="209" fillId="0" borderId="0" applyFont="0" applyFill="0" applyBorder="0" applyAlignment="0" applyProtection="0"/>
    <xf numFmtId="15" fontId="209" fillId="0" borderId="0" applyFont="0" applyFill="0" applyBorder="0" applyAlignment="0" applyProtection="0"/>
    <xf numFmtId="15" fontId="209" fillId="0" borderId="0" applyFont="0" applyFill="0" applyBorder="0" applyAlignment="0" applyProtection="0"/>
    <xf numFmtId="15" fontId="209" fillId="0" borderId="0" applyFont="0" applyFill="0" applyBorder="0" applyAlignment="0" applyProtection="0"/>
    <xf numFmtId="15" fontId="58" fillId="0" borderId="0" applyFont="0" applyFill="0" applyBorder="0" applyAlignment="0" applyProtection="0"/>
    <xf numFmtId="15" fontId="58" fillId="0" borderId="0" applyFont="0" applyFill="0" applyBorder="0" applyAlignment="0" applyProtection="0"/>
    <xf numFmtId="15" fontId="239" fillId="0" borderId="0" applyFont="0" applyFill="0" applyBorder="0" applyAlignment="0" applyProtection="0"/>
    <xf numFmtId="15" fontId="239" fillId="0" borderId="0" applyFont="0" applyFill="0" applyBorder="0" applyAlignment="0" applyProtection="0"/>
    <xf numFmtId="15" fontId="239" fillId="0" borderId="0" applyFont="0" applyFill="0" applyBorder="0" applyAlignment="0" applyProtection="0"/>
    <xf numFmtId="15" fontId="239" fillId="0" borderId="0" applyFont="0" applyFill="0" applyBorder="0" applyAlignment="0" applyProtection="0"/>
    <xf numFmtId="15" fontId="239" fillId="0" borderId="0" applyFont="0" applyFill="0" applyBorder="0" applyAlignment="0" applyProtection="0"/>
    <xf numFmtId="4" fontId="239" fillId="0" borderId="0" applyFont="0" applyFill="0" applyBorder="0" applyAlignment="0" applyProtection="0"/>
    <xf numFmtId="4" fontId="209" fillId="0" borderId="0" applyFont="0" applyFill="0" applyBorder="0" applyAlignment="0" applyProtection="0"/>
    <xf numFmtId="4" fontId="239" fillId="0" borderId="0" applyFont="0" applyFill="0" applyBorder="0" applyAlignment="0" applyProtection="0"/>
    <xf numFmtId="4" fontId="239" fillId="0" borderId="0" applyFont="0" applyFill="0" applyBorder="0" applyAlignment="0" applyProtection="0"/>
    <xf numFmtId="4" fontId="209" fillId="0" borderId="0" applyFont="0" applyFill="0" applyBorder="0" applyAlignment="0" applyProtection="0"/>
    <xf numFmtId="4" fontId="209" fillId="0" borderId="0" applyFont="0" applyFill="0" applyBorder="0" applyAlignment="0" applyProtection="0"/>
    <xf numFmtId="4" fontId="209" fillId="0" borderId="0" applyFont="0" applyFill="0" applyBorder="0" applyAlignment="0" applyProtection="0"/>
    <xf numFmtId="4" fontId="209" fillId="0" borderId="0" applyFont="0" applyFill="0" applyBorder="0" applyAlignment="0" applyProtection="0"/>
    <xf numFmtId="4" fontId="209" fillId="0" borderId="0" applyFont="0" applyFill="0" applyBorder="0" applyAlignment="0" applyProtection="0"/>
    <xf numFmtId="4" fontId="58" fillId="0" borderId="0" applyFont="0" applyFill="0" applyBorder="0" applyAlignment="0" applyProtection="0"/>
    <xf numFmtId="4" fontId="58" fillId="0" borderId="0" applyFont="0" applyFill="0" applyBorder="0" applyAlignment="0" applyProtection="0"/>
    <xf numFmtId="4" fontId="239" fillId="0" borderId="0" applyFont="0" applyFill="0" applyBorder="0" applyAlignment="0" applyProtection="0"/>
    <xf numFmtId="4" fontId="239" fillId="0" borderId="0" applyFont="0" applyFill="0" applyBorder="0" applyAlignment="0" applyProtection="0"/>
    <xf numFmtId="4" fontId="239" fillId="0" borderId="0" applyFont="0" applyFill="0" applyBorder="0" applyAlignment="0" applyProtection="0"/>
    <xf numFmtId="4" fontId="239" fillId="0" borderId="0" applyFont="0" applyFill="0" applyBorder="0" applyAlignment="0" applyProtection="0"/>
    <xf numFmtId="4" fontId="239" fillId="0" borderId="0" applyFont="0" applyFill="0" applyBorder="0" applyAlignment="0" applyProtection="0"/>
    <xf numFmtId="0" fontId="234" fillId="0" borderId="101">
      <alignment horizontal="center"/>
    </xf>
    <xf numFmtId="0" fontId="234" fillId="0" borderId="101">
      <alignment horizontal="center"/>
    </xf>
    <xf numFmtId="0" fontId="234" fillId="0" borderId="101">
      <alignment horizontal="center"/>
    </xf>
    <xf numFmtId="0" fontId="234" fillId="0" borderId="101">
      <alignment horizontal="center"/>
    </xf>
    <xf numFmtId="0" fontId="234" fillId="0" borderId="101">
      <alignment horizontal="center"/>
    </xf>
    <xf numFmtId="0" fontId="234" fillId="0" borderId="101">
      <alignment horizontal="center"/>
    </xf>
    <xf numFmtId="0" fontId="234" fillId="0" borderId="101">
      <alignment horizontal="center"/>
    </xf>
    <xf numFmtId="0" fontId="234" fillId="0" borderId="101">
      <alignment horizontal="center"/>
    </xf>
    <xf numFmtId="0" fontId="234" fillId="0" borderId="101">
      <alignment horizontal="center"/>
    </xf>
    <xf numFmtId="0" fontId="234" fillId="0" borderId="101">
      <alignment horizontal="center"/>
    </xf>
    <xf numFmtId="0" fontId="234" fillId="0" borderId="101">
      <alignment horizontal="center"/>
    </xf>
    <xf numFmtId="0" fontId="234" fillId="0" borderId="101">
      <alignment horizontal="center"/>
    </xf>
    <xf numFmtId="3" fontId="239" fillId="0" borderId="0" applyFont="0" applyFill="0" applyBorder="0" applyAlignment="0" applyProtection="0"/>
    <xf numFmtId="3" fontId="209" fillId="0" borderId="0" applyFont="0" applyFill="0" applyBorder="0" applyAlignment="0" applyProtection="0"/>
    <xf numFmtId="3" fontId="239" fillId="0" borderId="0" applyFont="0" applyFill="0" applyBorder="0" applyAlignment="0" applyProtection="0"/>
    <xf numFmtId="3" fontId="239" fillId="0" borderId="0" applyFont="0" applyFill="0" applyBorder="0" applyAlignment="0" applyProtection="0"/>
    <xf numFmtId="3" fontId="209" fillId="0" borderId="0" applyFont="0" applyFill="0" applyBorder="0" applyAlignment="0" applyProtection="0"/>
    <xf numFmtId="3" fontId="209" fillId="0" borderId="0" applyFont="0" applyFill="0" applyBorder="0" applyAlignment="0" applyProtection="0"/>
    <xf numFmtId="3" fontId="209" fillId="0" borderId="0" applyFont="0" applyFill="0" applyBorder="0" applyAlignment="0" applyProtection="0"/>
    <xf numFmtId="3" fontId="209" fillId="0" borderId="0" applyFont="0" applyFill="0" applyBorder="0" applyAlignment="0" applyProtection="0"/>
    <xf numFmtId="3" fontId="209" fillId="0" borderId="0" applyFont="0" applyFill="0" applyBorder="0" applyAlignment="0" applyProtection="0"/>
    <xf numFmtId="3" fontId="58" fillId="0" borderId="0" applyFont="0" applyFill="0" applyBorder="0" applyAlignment="0" applyProtection="0"/>
    <xf numFmtId="3" fontId="58" fillId="0" borderId="0" applyFont="0" applyFill="0" applyBorder="0" applyAlignment="0" applyProtection="0"/>
    <xf numFmtId="3" fontId="239" fillId="0" borderId="0" applyFont="0" applyFill="0" applyBorder="0" applyAlignment="0" applyProtection="0"/>
    <xf numFmtId="3" fontId="239" fillId="0" borderId="0" applyFont="0" applyFill="0" applyBorder="0" applyAlignment="0" applyProtection="0"/>
    <xf numFmtId="3" fontId="239" fillId="0" borderId="0" applyFont="0" applyFill="0" applyBorder="0" applyAlignment="0" applyProtection="0"/>
    <xf numFmtId="3" fontId="239" fillId="0" borderId="0" applyFont="0" applyFill="0" applyBorder="0" applyAlignment="0" applyProtection="0"/>
    <xf numFmtId="3" fontId="239" fillId="0" borderId="0" applyFont="0" applyFill="0" applyBorder="0" applyAlignment="0" applyProtection="0"/>
    <xf numFmtId="0" fontId="239" fillId="105" borderId="0" applyNumberFormat="0" applyFont="0" applyBorder="0" applyAlignment="0" applyProtection="0"/>
    <xf numFmtId="0" fontId="209" fillId="105" borderId="0" applyNumberFormat="0" applyFont="0" applyBorder="0" applyAlignment="0" applyProtection="0"/>
    <xf numFmtId="0" fontId="239" fillId="105" borderId="0" applyNumberFormat="0" applyFont="0" applyBorder="0" applyAlignment="0" applyProtection="0"/>
    <xf numFmtId="0" fontId="239" fillId="105" borderId="0" applyNumberFormat="0" applyFont="0" applyBorder="0" applyAlignment="0" applyProtection="0"/>
    <xf numFmtId="0" fontId="209" fillId="105" borderId="0" applyNumberFormat="0" applyFont="0" applyBorder="0" applyAlignment="0" applyProtection="0"/>
    <xf numFmtId="0" fontId="209" fillId="105" borderId="0" applyNumberFormat="0" applyFont="0" applyBorder="0" applyAlignment="0" applyProtection="0"/>
    <xf numFmtId="0" fontId="209" fillId="105" borderId="0" applyNumberFormat="0" applyFont="0" applyBorder="0" applyAlignment="0" applyProtection="0"/>
    <xf numFmtId="0" fontId="209" fillId="105" borderId="0" applyNumberFormat="0" applyFont="0" applyBorder="0" applyAlignment="0" applyProtection="0"/>
    <xf numFmtId="0" fontId="209" fillId="105" borderId="0" applyNumberFormat="0" applyFont="0" applyBorder="0" applyAlignment="0" applyProtection="0"/>
    <xf numFmtId="0" fontId="58" fillId="105" borderId="0" applyNumberFormat="0" applyFont="0" applyBorder="0" applyAlignment="0" applyProtection="0"/>
    <xf numFmtId="0" fontId="58" fillId="105" borderId="0" applyNumberFormat="0" applyFont="0" applyBorder="0" applyAlignment="0" applyProtection="0"/>
    <xf numFmtId="0" fontId="239" fillId="105" borderId="0" applyNumberFormat="0" applyFont="0" applyBorder="0" applyAlignment="0" applyProtection="0"/>
    <xf numFmtId="0" fontId="239" fillId="105" borderId="0" applyNumberFormat="0" applyFont="0" applyBorder="0" applyAlignment="0" applyProtection="0"/>
    <xf numFmtId="0" fontId="239" fillId="105" borderId="0" applyNumberFormat="0" applyFont="0" applyBorder="0" applyAlignment="0" applyProtection="0"/>
    <xf numFmtId="0" fontId="239" fillId="105" borderId="0" applyNumberFormat="0" applyFont="0" applyBorder="0" applyAlignment="0" applyProtection="0"/>
    <xf numFmtId="0" fontId="239" fillId="105" borderId="0" applyNumberFormat="0" applyFont="0" applyBorder="0" applyAlignment="0" applyProtection="0"/>
    <xf numFmtId="0" fontId="198" fillId="101" borderId="48">
      <protection locked="0"/>
    </xf>
    <xf numFmtId="0" fontId="198" fillId="101" borderId="48">
      <protection locked="0"/>
    </xf>
    <xf numFmtId="0" fontId="198" fillId="101" borderId="48">
      <protection locked="0"/>
    </xf>
    <xf numFmtId="0" fontId="198" fillId="101" borderId="48">
      <protection locked="0"/>
    </xf>
    <xf numFmtId="0" fontId="115" fillId="0" borderId="86" applyNumberFormat="0" applyFill="0" applyAlignment="0" applyProtection="0">
      <alignment vertical="center"/>
    </xf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116" fillId="0" borderId="0" applyFont="0" applyFill="0" applyBorder="0" applyAlignment="0" applyProtection="0">
      <alignment vertical="center"/>
    </xf>
    <xf numFmtId="0" fontId="159" fillId="0" borderId="10" applyNumberFormat="0" applyFill="0" applyProtection="0">
      <alignment horizontal="right"/>
    </xf>
    <xf numFmtId="0" fontId="159" fillId="0" borderId="10" applyNumberFormat="0" applyFill="0" applyProtection="0">
      <alignment horizontal="right"/>
    </xf>
    <xf numFmtId="0" fontId="159" fillId="0" borderId="10" applyNumberFormat="0" applyFill="0" applyProtection="0">
      <alignment horizontal="right"/>
    </xf>
    <xf numFmtId="0" fontId="159" fillId="0" borderId="10" applyNumberFormat="0" applyFill="0" applyProtection="0">
      <alignment horizontal="right"/>
    </xf>
    <xf numFmtId="0" fontId="159" fillId="0" borderId="10" applyNumberFormat="0" applyFill="0" applyProtection="0">
      <alignment horizontal="right"/>
    </xf>
    <xf numFmtId="0" fontId="159" fillId="0" borderId="10" applyNumberFormat="0" applyFill="0" applyProtection="0">
      <alignment horizontal="right"/>
    </xf>
    <xf numFmtId="0" fontId="159" fillId="0" borderId="10" applyNumberFormat="0" applyFill="0" applyProtection="0">
      <alignment horizontal="right"/>
    </xf>
    <xf numFmtId="0" fontId="159" fillId="0" borderId="10" applyNumberFormat="0" applyFill="0" applyProtection="0">
      <alignment horizontal="right"/>
    </xf>
    <xf numFmtId="0" fontId="159" fillId="0" borderId="10" applyNumberFormat="0" applyFill="0" applyProtection="0">
      <alignment horizontal="right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58" fillId="0" borderId="94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58" fillId="0" borderId="95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40" fillId="0" borderId="10" applyNumberFormat="0" applyFill="0" applyProtection="0">
      <alignment horizontal="center"/>
    </xf>
    <xf numFmtId="0" fontId="240" fillId="0" borderId="10" applyNumberFormat="0" applyFill="0" applyProtection="0">
      <alignment horizontal="center"/>
    </xf>
    <xf numFmtId="0" fontId="240" fillId="0" borderId="10" applyNumberFormat="0" applyFill="0" applyProtection="0">
      <alignment horizontal="center"/>
    </xf>
    <xf numFmtId="0" fontId="240" fillId="0" borderId="10" applyNumberFormat="0" applyFill="0" applyProtection="0">
      <alignment horizontal="center"/>
    </xf>
    <xf numFmtId="0" fontId="240" fillId="0" borderId="10" applyNumberFormat="0" applyFill="0" applyProtection="0">
      <alignment horizontal="center"/>
    </xf>
    <xf numFmtId="0" fontId="240" fillId="0" borderId="10" applyNumberFormat="0" applyFill="0" applyProtection="0">
      <alignment horizontal="center"/>
    </xf>
    <xf numFmtId="0" fontId="240" fillId="0" borderId="10" applyNumberFormat="0" applyFill="0" applyProtection="0">
      <alignment horizontal="center"/>
    </xf>
    <xf numFmtId="0" fontId="240" fillId="0" borderId="10" applyNumberFormat="0" applyFill="0" applyProtection="0">
      <alignment horizontal="center"/>
    </xf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241" fillId="0" borderId="85" applyNumberFormat="0" applyFill="0" applyProtection="0">
      <alignment horizontal="center"/>
    </xf>
    <xf numFmtId="0" fontId="241" fillId="0" borderId="85" applyNumberFormat="0" applyFill="0" applyProtection="0">
      <alignment horizontal="center"/>
    </xf>
    <xf numFmtId="0" fontId="241" fillId="0" borderId="85" applyNumberFormat="0" applyFill="0" applyProtection="0">
      <alignment horizontal="center"/>
    </xf>
    <xf numFmtId="0" fontId="241" fillId="0" borderId="85" applyNumberFormat="0" applyFill="0" applyProtection="0">
      <alignment horizontal="center"/>
    </xf>
    <xf numFmtId="0" fontId="241" fillId="0" borderId="85" applyNumberFormat="0" applyFill="0" applyProtection="0">
      <alignment horizontal="center"/>
    </xf>
    <xf numFmtId="0" fontId="241" fillId="0" borderId="85" applyNumberFormat="0" applyFill="0" applyProtection="0">
      <alignment horizontal="center"/>
    </xf>
    <xf numFmtId="0" fontId="241" fillId="0" borderId="85" applyNumberFormat="0" applyFill="0" applyProtection="0">
      <alignment horizontal="center"/>
    </xf>
    <xf numFmtId="0" fontId="241" fillId="0" borderId="85" applyNumberFormat="0" applyFill="0" applyProtection="0">
      <alignment horizontal="center"/>
    </xf>
    <xf numFmtId="0" fontId="241" fillId="0" borderId="85" applyNumberFormat="0" applyFill="0" applyProtection="0">
      <alignment horizontal="center"/>
    </xf>
    <xf numFmtId="0" fontId="241" fillId="0" borderId="85" applyNumberFormat="0" applyFill="0" applyProtection="0">
      <alignment horizont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15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15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15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242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242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170" fillId="87" borderId="0" applyNumberFormat="0" applyBorder="0" applyAlignment="0" applyProtection="0">
      <alignment vertical="center"/>
    </xf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170" fillId="87" borderId="0" applyNumberFormat="0" applyBorder="0" applyAlignment="0" applyProtection="0">
      <alignment vertical="center"/>
    </xf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160" borderId="0" applyNumberFormat="0" applyBorder="0" applyAlignment="0" applyProtection="0"/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170" fillId="87" borderId="0" applyNumberFormat="0" applyBorder="0" applyAlignment="0" applyProtection="0">
      <alignment vertical="center"/>
    </xf>
    <xf numFmtId="0" fontId="243" fillId="160" borderId="0" applyNumberFormat="0" applyBorder="0" applyAlignment="0" applyProtection="0"/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243" fillId="160" borderId="0" applyNumberFormat="0" applyBorder="0" applyAlignment="0" applyProtection="0"/>
    <xf numFmtId="0" fontId="243" fillId="87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243" fillId="87" borderId="0" applyNumberFormat="0" applyBorder="0" applyAlignment="0" applyProtection="0"/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243" fillId="160" borderId="0" applyNumberFormat="0" applyBorder="0" applyAlignment="0" applyProtection="0"/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243" fillId="160" borderId="0" applyNumberFormat="0" applyBorder="0" applyAlignment="0" applyProtection="0"/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242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87" fillId="108" borderId="0" applyNumberFormat="0" applyBorder="0" applyAlignment="0" applyProtection="0">
      <alignment vertical="center"/>
    </xf>
    <xf numFmtId="0" fontId="242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108" borderId="0" applyNumberFormat="0" applyBorder="0" applyAlignment="0" applyProtection="0">
      <alignment vertical="center"/>
    </xf>
    <xf numFmtId="0" fontId="187" fillId="108" borderId="0" applyNumberFormat="0" applyBorder="0" applyAlignment="0" applyProtection="0">
      <alignment vertical="center"/>
    </xf>
    <xf numFmtId="0" fontId="187" fillId="108" borderId="0" applyNumberFormat="0" applyBorder="0" applyAlignment="0" applyProtection="0">
      <alignment vertical="center"/>
    </xf>
    <xf numFmtId="0" fontId="187" fillId="108" borderId="0" applyNumberFormat="0" applyBorder="0" applyAlignment="0" applyProtection="0">
      <alignment vertical="center"/>
    </xf>
    <xf numFmtId="0" fontId="187" fillId="108" borderId="0" applyNumberFormat="0" applyBorder="0" applyAlignment="0" applyProtection="0">
      <alignment vertical="center"/>
    </xf>
    <xf numFmtId="0" fontId="242" fillId="87" borderId="0" applyNumberFormat="0" applyBorder="0" applyAlignment="0" applyProtection="0">
      <alignment vertical="center"/>
    </xf>
    <xf numFmtId="0" fontId="187" fillId="108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108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242" fillId="87" borderId="0" applyNumberFormat="0" applyBorder="0" applyAlignment="0" applyProtection="0">
      <alignment vertical="center"/>
    </xf>
    <xf numFmtId="0" fontId="242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242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242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242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244" fillId="87" borderId="0" applyNumberFormat="0" applyBorder="0" applyAlignment="0" applyProtection="0">
      <alignment vertical="center"/>
    </xf>
    <xf numFmtId="0" fontId="244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159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58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187" fillId="87" borderId="0" applyNumberFormat="0" applyBorder="0" applyAlignment="0" applyProtection="0">
      <alignment vertical="center"/>
    </xf>
    <xf numFmtId="0" fontId="242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87" borderId="0" applyNumberFormat="0" applyBorder="0" applyAlignment="0" applyProtection="0">
      <alignment vertical="center"/>
    </xf>
    <xf numFmtId="0" fontId="170" fillId="108" borderId="0" applyNumberFormat="0" applyBorder="0" applyAlignment="0" applyProtection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161" fillId="0" borderId="0"/>
    <xf numFmtId="0" fontId="5" fillId="0" borderId="0">
      <alignment vertical="center"/>
    </xf>
    <xf numFmtId="0" fontId="161" fillId="0" borderId="0"/>
    <xf numFmtId="0" fontId="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58" fillId="0" borderId="0"/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161" fillId="0" borderId="0"/>
    <xf numFmtId="0" fontId="58" fillId="0" borderId="0">
      <alignment vertical="center"/>
    </xf>
    <xf numFmtId="0" fontId="155" fillId="0" borderId="0">
      <alignment vertical="center"/>
    </xf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/>
    <xf numFmtId="0" fontId="58" fillId="0" borderId="0"/>
    <xf numFmtId="0" fontId="58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>
      <alignment vertical="center"/>
    </xf>
    <xf numFmtId="0" fontId="58" fillId="0" borderId="0"/>
    <xf numFmtId="0" fontId="5" fillId="0" borderId="0"/>
    <xf numFmtId="0" fontId="58" fillId="0" borderId="0"/>
    <xf numFmtId="0" fontId="5" fillId="0" borderId="0"/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172" fillId="0" borderId="0"/>
    <xf numFmtId="0" fontId="5" fillId="0" borderId="0"/>
    <xf numFmtId="0" fontId="5" fillId="0" borderId="0">
      <alignment vertical="center"/>
    </xf>
    <xf numFmtId="0" fontId="1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8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5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/>
    <xf numFmtId="0" fontId="155" fillId="0" borderId="0">
      <alignment vertical="center"/>
    </xf>
    <xf numFmtId="0" fontId="58" fillId="0" borderId="0"/>
    <xf numFmtId="0" fontId="155" fillId="0" borderId="0">
      <alignment vertical="center"/>
    </xf>
    <xf numFmtId="0" fontId="58" fillId="0" borderId="0"/>
    <xf numFmtId="0" fontId="155" fillId="0" borderId="0">
      <alignment vertical="center"/>
    </xf>
    <xf numFmtId="0" fontId="159" fillId="0" borderId="0"/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6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9" fillId="0" borderId="0"/>
    <xf numFmtId="0" fontId="58" fillId="0" borderId="0"/>
    <xf numFmtId="0" fontId="58" fillId="0" borderId="0"/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8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162" fillId="0" borderId="0"/>
    <xf numFmtId="0" fontId="159" fillId="0" borderId="0"/>
    <xf numFmtId="0" fontId="5" fillId="0" borderId="0"/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/>
    <xf numFmtId="0" fontId="58" fillId="0" borderId="0"/>
    <xf numFmtId="0" fontId="5" fillId="0" borderId="0"/>
    <xf numFmtId="0" fontId="116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159" fillId="0" borderId="0"/>
    <xf numFmtId="0" fontId="58" fillId="0" borderId="0">
      <alignment vertical="center"/>
    </xf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8" fillId="0" borderId="0"/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8" fillId="0" borderId="0"/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8" fillId="0" borderId="0"/>
    <xf numFmtId="0" fontId="58" fillId="0" borderId="0"/>
    <xf numFmtId="0" fontId="5" fillId="0" borderId="0">
      <alignment vertical="center"/>
    </xf>
    <xf numFmtId="0" fontId="155" fillId="0" borderId="0">
      <alignment vertical="center"/>
    </xf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8" fillId="0" borderId="0"/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16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159" fillId="0" borderId="0"/>
    <xf numFmtId="0" fontId="58" fillId="0" borderId="0"/>
    <xf numFmtId="0" fontId="5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8" fillId="0" borderId="0"/>
    <xf numFmtId="0" fontId="116" fillId="0" borderId="0">
      <alignment vertical="center"/>
    </xf>
    <xf numFmtId="0" fontId="58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159" fillId="0" borderId="0"/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1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59" fillId="0" borderId="0"/>
    <xf numFmtId="0" fontId="58" fillId="0" borderId="0"/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59" fillId="0" borderId="0"/>
    <xf numFmtId="0" fontId="159" fillId="0" borderId="0"/>
    <xf numFmtId="0" fontId="58" fillId="0" borderId="0"/>
    <xf numFmtId="0" fontId="58" fillId="0" borderId="0"/>
    <xf numFmtId="0" fontId="58" fillId="0" borderId="0">
      <alignment vertical="center"/>
    </xf>
    <xf numFmtId="0" fontId="58" fillId="0" borderId="0"/>
    <xf numFmtId="0" fontId="78" fillId="0" borderId="0"/>
    <xf numFmtId="0" fontId="78" fillId="0" borderId="0"/>
    <xf numFmtId="0" fontId="78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58" fillId="0" borderId="0"/>
    <xf numFmtId="0" fontId="159" fillId="0" borderId="0"/>
    <xf numFmtId="0" fontId="116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159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159" fillId="0" borderId="0"/>
    <xf numFmtId="0" fontId="58" fillId="0" borderId="0">
      <alignment vertical="center"/>
    </xf>
    <xf numFmtId="0" fontId="58" fillId="0" borderId="0"/>
    <xf numFmtId="0" fontId="58" fillId="0" borderId="0"/>
    <xf numFmtId="0" fontId="159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58" fillId="0" borderId="0"/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58" fillId="0" borderId="0"/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5" fillId="0" borderId="0">
      <alignment vertical="center"/>
    </xf>
    <xf numFmtId="0" fontId="161" fillId="0" borderId="0"/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8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>
      <alignment vertical="center"/>
    </xf>
    <xf numFmtId="0" fontId="58" fillId="0" borderId="0"/>
    <xf numFmtId="0" fontId="5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212" fillId="0" borderId="0" applyNumberFormat="0" applyFill="0" applyBorder="0" applyAlignment="0" applyProtection="0">
      <alignment vertical="top"/>
      <protection locked="0"/>
    </xf>
    <xf numFmtId="0" fontId="212" fillId="0" borderId="0" applyNumberFormat="0" applyFill="0" applyBorder="0" applyAlignment="0" applyProtection="0">
      <alignment vertical="top"/>
      <protection locked="0"/>
    </xf>
    <xf numFmtId="0" fontId="212" fillId="0" borderId="0" applyNumberFormat="0" applyFill="0" applyBorder="0" applyAlignment="0" applyProtection="0">
      <alignment vertical="top"/>
      <protection locked="0"/>
    </xf>
    <xf numFmtId="0" fontId="212" fillId="0" borderId="0" applyNumberFormat="0" applyFill="0" applyBorder="0" applyAlignment="0" applyProtection="0">
      <alignment vertical="top"/>
      <protection locked="0"/>
    </xf>
    <xf numFmtId="0" fontId="212" fillId="0" borderId="0" applyNumberFormat="0" applyFill="0" applyBorder="0" applyAlignment="0" applyProtection="0">
      <alignment vertical="top"/>
      <protection locked="0"/>
    </xf>
    <xf numFmtId="0" fontId="212" fillId="0" borderId="0" applyNumberFormat="0" applyFill="0" applyBorder="0" applyAlignment="0" applyProtection="0">
      <alignment vertical="top"/>
      <protection locked="0"/>
    </xf>
    <xf numFmtId="0" fontId="212" fillId="0" borderId="0" applyNumberFormat="0" applyFill="0" applyBorder="0" applyAlignment="0" applyProtection="0">
      <alignment vertical="top"/>
      <protection locked="0"/>
    </xf>
    <xf numFmtId="0" fontId="245" fillId="0" borderId="0" applyNumberFormat="0" applyFill="0" applyBorder="0" applyAlignment="0" applyProtection="0">
      <alignment vertical="top"/>
      <protection locked="0"/>
    </xf>
    <xf numFmtId="0" fontId="245" fillId="0" borderId="0" applyNumberFormat="0" applyFill="0" applyBorder="0" applyAlignment="0" applyProtection="0">
      <alignment vertical="top"/>
      <protection locked="0"/>
    </xf>
    <xf numFmtId="0" fontId="245" fillId="0" borderId="0" applyNumberFormat="0" applyFill="0" applyBorder="0" applyAlignment="0" applyProtection="0">
      <alignment vertical="top"/>
      <protection locked="0"/>
    </xf>
    <xf numFmtId="3" fontId="246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161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161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161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58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174" fillId="84" borderId="0" applyNumberFormat="0" applyBorder="0" applyAlignment="0" applyProtection="0">
      <alignment vertical="center"/>
    </xf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174" fillId="84" borderId="0" applyNumberFormat="0" applyBorder="0" applyAlignment="0" applyProtection="0">
      <alignment vertical="center"/>
    </xf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154" borderId="0" applyNumberFormat="0" applyBorder="0" applyAlignment="0" applyProtection="0"/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174" fillId="84" borderId="0" applyNumberFormat="0" applyBorder="0" applyAlignment="0" applyProtection="0">
      <alignment vertical="center"/>
    </xf>
    <xf numFmtId="0" fontId="248" fillId="154" borderId="0" applyNumberFormat="0" applyBorder="0" applyAlignment="0" applyProtection="0"/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248" fillId="154" borderId="0" applyNumberFormat="0" applyBorder="0" applyAlignment="0" applyProtection="0"/>
    <xf numFmtId="0" fontId="248" fillId="8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248" fillId="84" borderId="0" applyNumberFormat="0" applyBorder="0" applyAlignment="0" applyProtection="0"/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248" fillId="154" borderId="0" applyNumberFormat="0" applyBorder="0" applyAlignment="0" applyProtection="0"/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248" fillId="154" borderId="0" applyNumberFormat="0" applyBorder="0" applyAlignment="0" applyProtection="0"/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249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92" fillId="109" borderId="0" applyNumberFormat="0" applyBorder="0" applyAlignment="0" applyProtection="0">
      <alignment vertical="center"/>
    </xf>
    <xf numFmtId="0" fontId="249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109" borderId="0" applyNumberFormat="0" applyBorder="0" applyAlignment="0" applyProtection="0">
      <alignment vertical="center"/>
    </xf>
    <xf numFmtId="0" fontId="192" fillId="109" borderId="0" applyNumberFormat="0" applyBorder="0" applyAlignment="0" applyProtection="0">
      <alignment vertical="center"/>
    </xf>
    <xf numFmtId="0" fontId="192" fillId="109" borderId="0" applyNumberFormat="0" applyBorder="0" applyAlignment="0" applyProtection="0">
      <alignment vertical="center"/>
    </xf>
    <xf numFmtId="0" fontId="192" fillId="109" borderId="0" applyNumberFormat="0" applyBorder="0" applyAlignment="0" applyProtection="0">
      <alignment vertical="center"/>
    </xf>
    <xf numFmtId="0" fontId="192" fillId="109" borderId="0" applyNumberFormat="0" applyBorder="0" applyAlignment="0" applyProtection="0">
      <alignment vertical="center"/>
    </xf>
    <xf numFmtId="0" fontId="249" fillId="84" borderId="0" applyNumberFormat="0" applyBorder="0" applyAlignment="0" applyProtection="0">
      <alignment vertical="center"/>
    </xf>
    <xf numFmtId="0" fontId="192" fillId="109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192" fillId="109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249" fillId="84" borderId="0" applyNumberFormat="0" applyBorder="0" applyAlignment="0" applyProtection="0">
      <alignment vertical="center"/>
    </xf>
    <xf numFmtId="0" fontId="249" fillId="84" borderId="0" applyNumberFormat="0" applyBorder="0" applyAlignment="0" applyProtection="0">
      <alignment vertical="center"/>
    </xf>
    <xf numFmtId="0" fontId="192" fillId="84" borderId="0" applyNumberFormat="0" applyBorder="0" applyAlignment="0" applyProtection="0">
      <alignment vertical="center"/>
    </xf>
    <xf numFmtId="0" fontId="249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248" fillId="84" borderId="0" applyNumberFormat="0" applyBorder="0" applyAlignment="0" applyProtection="0">
      <alignment vertical="center"/>
    </xf>
    <xf numFmtId="0" fontId="248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222" fillId="161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84" borderId="0" applyNumberFormat="0" applyBorder="0" applyAlignment="0" applyProtection="0">
      <alignment vertical="center"/>
    </xf>
    <xf numFmtId="0" fontId="174" fillId="109" borderId="0" applyNumberFormat="0" applyBorder="0" applyAlignment="0" applyProtection="0">
      <alignment vertical="center"/>
    </xf>
    <xf numFmtId="0" fontId="250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115" fillId="0" borderId="86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4" fontId="161" fillId="0" borderId="0" applyFont="0" applyFill="0" applyBorder="0" applyAlignment="0" applyProtection="0"/>
    <xf numFmtId="242" fontId="58" fillId="0" borderId="0" applyFont="0" applyFill="0" applyBorder="0" applyAlignment="0" applyProtection="0">
      <alignment vertical="center"/>
    </xf>
    <xf numFmtId="242" fontId="58" fillId="0" borderId="0" applyFont="0" applyFill="0" applyBorder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16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223" fillId="16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16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162" borderId="79" applyNumberFormat="0" applyAlignment="0" applyProtection="0">
      <alignment vertical="center"/>
    </xf>
    <xf numFmtId="0" fontId="223" fillId="162" borderId="79" applyNumberFormat="0" applyAlignment="0" applyProtection="0">
      <alignment vertical="center"/>
    </xf>
    <xf numFmtId="0" fontId="223" fillId="162" borderId="79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16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180" fillId="83" borderId="88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16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3" fillId="52" borderId="79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16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167" fillId="92" borderId="90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16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16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4" fillId="53" borderId="82" applyNumberFormat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16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41" fillId="0" borderId="85" applyNumberFormat="0" applyFill="0" applyProtection="0">
      <alignment horizontal="left"/>
    </xf>
    <xf numFmtId="0" fontId="241" fillId="0" borderId="85" applyNumberFormat="0" applyFill="0" applyProtection="0">
      <alignment horizontal="left"/>
    </xf>
    <xf numFmtId="0" fontId="241" fillId="0" borderId="85" applyNumberFormat="0" applyFill="0" applyProtection="0">
      <alignment horizontal="left"/>
    </xf>
    <xf numFmtId="0" fontId="241" fillId="0" borderId="85" applyNumberFormat="0" applyFill="0" applyProtection="0">
      <alignment horizontal="left"/>
    </xf>
    <xf numFmtId="0" fontId="241" fillId="0" borderId="85" applyNumberFormat="0" applyFill="0" applyProtection="0">
      <alignment horizontal="left"/>
    </xf>
    <xf numFmtId="0" fontId="241" fillId="0" borderId="85" applyNumberFormat="0" applyFill="0" applyProtection="0">
      <alignment horizontal="left"/>
    </xf>
    <xf numFmtId="0" fontId="241" fillId="0" borderId="85" applyNumberFormat="0" applyFill="0" applyProtection="0">
      <alignment horizontal="left"/>
    </xf>
    <xf numFmtId="0" fontId="241" fillId="0" borderId="85" applyNumberFormat="0" applyFill="0" applyProtection="0">
      <alignment horizontal="left"/>
    </xf>
    <xf numFmtId="0" fontId="241" fillId="0" borderId="85" applyNumberFormat="0" applyFill="0" applyProtection="0">
      <alignment horizontal="left"/>
    </xf>
    <xf numFmtId="0" fontId="241" fillId="0" borderId="85" applyNumberFormat="0" applyFill="0" applyProtection="0">
      <alignment horizontal="left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5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190" fillId="0" borderId="99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0" fontId="226" fillId="0" borderId="81" applyNumberFormat="0" applyFill="0" applyAlignment="0" applyProtection="0">
      <alignment vertical="center"/>
    </xf>
    <xf numFmtId="40" fontId="58" fillId="0" borderId="0" applyFont="0" applyFill="0" applyBorder="0" applyAlignment="0" applyProtection="0"/>
    <xf numFmtId="38" fontId="58" fillId="0" borderId="0" applyFont="0" applyFill="0" applyBorder="0" applyAlignment="0" applyProtection="0"/>
    <xf numFmtId="41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55" fillId="0" borderId="0" applyFont="0" applyFill="0" applyBorder="0" applyAlignment="0" applyProtection="0">
      <alignment vertical="center"/>
    </xf>
    <xf numFmtId="43" fontId="161" fillId="0" borderId="0" applyFont="0" applyFill="0" applyBorder="0" applyAlignment="0" applyProtection="0"/>
    <xf numFmtId="43" fontId="155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214" fontId="161" fillId="0" borderId="0" applyFont="0" applyFill="0" applyBorder="0" applyAlignment="0" applyProtection="0"/>
    <xf numFmtId="43" fontId="116" fillId="0" borderId="0" applyFont="0" applyFill="0" applyBorder="0" applyAlignment="0" applyProtection="0">
      <alignment vertical="center"/>
    </xf>
    <xf numFmtId="214" fontId="161" fillId="0" borderId="0" applyFont="0" applyFill="0" applyBorder="0" applyAlignment="0" applyProtection="0"/>
    <xf numFmtId="41" fontId="58" fillId="0" borderId="0" applyFont="0" applyFill="0" applyBorder="0" applyAlignment="0" applyProtection="0">
      <alignment vertical="center"/>
    </xf>
    <xf numFmtId="41" fontId="58" fillId="0" borderId="0" applyFont="0" applyFill="0" applyBorder="0" applyAlignment="0" applyProtection="0">
      <alignment vertical="center"/>
    </xf>
    <xf numFmtId="244" fontId="58" fillId="0" borderId="0" applyFont="0" applyFill="0" applyBorder="0" applyAlignment="0" applyProtection="0">
      <alignment vertical="center"/>
    </xf>
    <xf numFmtId="244" fontId="58" fillId="0" borderId="0" applyFont="0" applyFill="0" applyBorder="0" applyAlignment="0" applyProtection="0">
      <alignment vertical="center"/>
    </xf>
    <xf numFmtId="0" fontId="157" fillId="164" borderId="0" applyNumberFormat="0" applyBorder="0" applyAlignment="0" applyProtection="0"/>
    <xf numFmtId="0" fontId="157" fillId="164" borderId="0" applyNumberFormat="0" applyBorder="0" applyAlignment="0" applyProtection="0"/>
    <xf numFmtId="0" fontId="157" fillId="164" borderId="0" applyNumberFormat="0" applyBorder="0" applyAlignment="0" applyProtection="0"/>
    <xf numFmtId="0" fontId="157" fillId="164" borderId="0" applyNumberFormat="0" applyBorder="0" applyAlignment="0" applyProtection="0"/>
    <xf numFmtId="0" fontId="157" fillId="164" borderId="0" applyNumberFormat="0" applyBorder="0" applyAlignment="0" applyProtection="0"/>
    <xf numFmtId="0" fontId="157" fillId="164" borderId="0" applyNumberFormat="0" applyBorder="0" applyAlignment="0" applyProtection="0"/>
    <xf numFmtId="0" fontId="157" fillId="165" borderId="0" applyNumberFormat="0" applyBorder="0" applyAlignment="0" applyProtection="0"/>
    <xf numFmtId="0" fontId="157" fillId="165" borderId="0" applyNumberFormat="0" applyBorder="0" applyAlignment="0" applyProtection="0"/>
    <xf numFmtId="0" fontId="157" fillId="165" borderId="0" applyNumberFormat="0" applyBorder="0" applyAlignment="0" applyProtection="0"/>
    <xf numFmtId="0" fontId="157" fillId="165" borderId="0" applyNumberFormat="0" applyBorder="0" applyAlignment="0" applyProtection="0"/>
    <xf numFmtId="0" fontId="157" fillId="165" borderId="0" applyNumberFormat="0" applyBorder="0" applyAlignment="0" applyProtection="0"/>
    <xf numFmtId="0" fontId="157" fillId="165" borderId="0" applyNumberFormat="0" applyBorder="0" applyAlignment="0" applyProtection="0"/>
    <xf numFmtId="0" fontId="157" fillId="166" borderId="0" applyNumberFormat="0" applyBorder="0" applyAlignment="0" applyProtection="0"/>
    <xf numFmtId="0" fontId="157" fillId="166" borderId="0" applyNumberFormat="0" applyBorder="0" applyAlignment="0" applyProtection="0"/>
    <xf numFmtId="0" fontId="157" fillId="166" borderId="0" applyNumberFormat="0" applyBorder="0" applyAlignment="0" applyProtection="0"/>
    <xf numFmtId="0" fontId="157" fillId="166" borderId="0" applyNumberFormat="0" applyBorder="0" applyAlignment="0" applyProtection="0"/>
    <xf numFmtId="0" fontId="157" fillId="166" borderId="0" applyNumberFormat="0" applyBorder="0" applyAlignment="0" applyProtection="0"/>
    <xf numFmtId="0" fontId="157" fillId="166" borderId="0" applyNumberFormat="0" applyBorder="0" applyAlignment="0" applyProtection="0"/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167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167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167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167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167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167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216" fillId="55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168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168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169" fillId="93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168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168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168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168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169" fillId="122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169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169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169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169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169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169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170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170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169" fillId="98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170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170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170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170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169" fillId="118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1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1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1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1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171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1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37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37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37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37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37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37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250" fontId="159" fillId="0" borderId="85" applyFill="0" applyProtection="0">
      <alignment horizontal="right"/>
    </xf>
    <xf numFmtId="250" fontId="159" fillId="0" borderId="85" applyFill="0" applyProtection="0">
      <alignment horizontal="right"/>
    </xf>
    <xf numFmtId="250" fontId="159" fillId="0" borderId="85" applyFill="0" applyProtection="0">
      <alignment horizontal="right"/>
    </xf>
    <xf numFmtId="250" fontId="159" fillId="0" borderId="85" applyFill="0" applyProtection="0">
      <alignment horizontal="right"/>
    </xf>
    <xf numFmtId="250" fontId="159" fillId="0" borderId="85" applyFill="0" applyProtection="0">
      <alignment horizontal="right"/>
    </xf>
    <xf numFmtId="250" fontId="159" fillId="0" borderId="85" applyFill="0" applyProtection="0">
      <alignment horizontal="right"/>
    </xf>
    <xf numFmtId="250" fontId="159" fillId="0" borderId="85" applyFill="0" applyProtection="0">
      <alignment horizontal="right"/>
    </xf>
    <xf numFmtId="250" fontId="159" fillId="0" borderId="85" applyFill="0" applyProtection="0">
      <alignment horizontal="right"/>
    </xf>
    <xf numFmtId="250" fontId="159" fillId="0" borderId="85" applyFill="0" applyProtection="0">
      <alignment horizontal="right"/>
    </xf>
    <xf numFmtId="250" fontId="159" fillId="0" borderId="85" applyFill="0" applyProtection="0">
      <alignment horizontal="right"/>
    </xf>
    <xf numFmtId="250" fontId="159" fillId="0" borderId="85" applyFill="0" applyProtection="0">
      <alignment horizontal="right"/>
    </xf>
    <xf numFmtId="250" fontId="159" fillId="0" borderId="85" applyFill="0" applyProtection="0">
      <alignment horizontal="right"/>
    </xf>
    <xf numFmtId="0" fontId="159" fillId="0" borderId="10" applyNumberFormat="0" applyFill="0" applyProtection="0">
      <alignment horizontal="left"/>
    </xf>
    <xf numFmtId="0" fontId="159" fillId="0" borderId="10" applyNumberFormat="0" applyFill="0" applyProtection="0">
      <alignment horizontal="left"/>
    </xf>
    <xf numFmtId="0" fontId="159" fillId="0" borderId="10" applyNumberFormat="0" applyFill="0" applyProtection="0">
      <alignment horizontal="left"/>
    </xf>
    <xf numFmtId="0" fontId="159" fillId="0" borderId="10" applyNumberFormat="0" applyFill="0" applyProtection="0">
      <alignment horizontal="left"/>
    </xf>
    <xf numFmtId="0" fontId="159" fillId="0" borderId="10" applyNumberFormat="0" applyFill="0" applyProtection="0">
      <alignment horizontal="left"/>
    </xf>
    <xf numFmtId="0" fontId="159" fillId="0" borderId="10" applyNumberFormat="0" applyFill="0" applyProtection="0">
      <alignment horizontal="left"/>
    </xf>
    <xf numFmtId="0" fontId="159" fillId="0" borderId="10" applyNumberFormat="0" applyFill="0" applyProtection="0">
      <alignment horizontal="left"/>
    </xf>
    <xf numFmtId="0" fontId="159" fillId="0" borderId="10" applyNumberFormat="0" applyFill="0" applyProtection="0">
      <alignment horizontal="left"/>
    </xf>
    <xf numFmtId="0" fontId="159" fillId="0" borderId="10" applyNumberFormat="0" applyFill="0" applyProtection="0">
      <alignment horizontal="left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172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166" fillId="79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58" fillId="0" borderId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172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172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7" fillId="50" borderId="0" applyNumberFormat="0" applyBorder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16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228" fillId="16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16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162" borderId="80" applyNumberFormat="0" applyAlignment="0" applyProtection="0">
      <alignment vertical="center"/>
    </xf>
    <xf numFmtId="0" fontId="228" fillId="162" borderId="80" applyNumberFormat="0" applyAlignment="0" applyProtection="0">
      <alignment vertical="center"/>
    </xf>
    <xf numFmtId="0" fontId="228" fillId="162" borderId="80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16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173" fillId="83" borderId="92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16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8" fillId="52" borderId="80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132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229" fillId="132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132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132" borderId="79" applyNumberFormat="0" applyAlignment="0" applyProtection="0">
      <alignment vertical="center"/>
    </xf>
    <xf numFmtId="0" fontId="229" fillId="132" borderId="79" applyNumberFormat="0" applyAlignment="0" applyProtection="0">
      <alignment vertical="center"/>
    </xf>
    <xf numFmtId="0" fontId="229" fillId="132" borderId="79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132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164" fillId="89" borderId="88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132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0" fontId="229" fillId="51" borderId="79" applyNumberFormat="0" applyAlignment="0" applyProtection="0">
      <alignment vertical="center"/>
    </xf>
    <xf numFmtId="1" fontId="159" fillId="0" borderId="85" applyFill="0" applyProtection="0">
      <alignment horizontal="center"/>
    </xf>
    <xf numFmtId="1" fontId="159" fillId="0" borderId="85" applyFill="0" applyProtection="0">
      <alignment horizontal="center"/>
    </xf>
    <xf numFmtId="1" fontId="159" fillId="0" borderId="85" applyFill="0" applyProtection="0">
      <alignment horizontal="center"/>
    </xf>
    <xf numFmtId="1" fontId="159" fillId="0" borderId="85" applyFill="0" applyProtection="0">
      <alignment horizontal="center"/>
    </xf>
    <xf numFmtId="1" fontId="159" fillId="0" borderId="85" applyFill="0" applyProtection="0">
      <alignment horizontal="center"/>
    </xf>
    <xf numFmtId="1" fontId="159" fillId="0" borderId="85" applyFill="0" applyProtection="0">
      <alignment horizontal="center"/>
    </xf>
    <xf numFmtId="1" fontId="159" fillId="0" borderId="85" applyFill="0" applyProtection="0">
      <alignment horizontal="center"/>
    </xf>
    <xf numFmtId="1" fontId="159" fillId="0" borderId="85" applyFill="0" applyProtection="0">
      <alignment horizontal="center"/>
    </xf>
    <xf numFmtId="1" fontId="159" fillId="0" borderId="85" applyFill="0" applyProtection="0">
      <alignment horizontal="center"/>
    </xf>
    <xf numFmtId="1" fontId="159" fillId="0" borderId="85" applyFill="0" applyProtection="0">
      <alignment horizontal="center"/>
    </xf>
    <xf numFmtId="1" fontId="159" fillId="0" borderId="85" applyFill="0" applyProtection="0">
      <alignment horizontal="center"/>
    </xf>
    <xf numFmtId="1" fontId="159" fillId="0" borderId="85" applyFill="0" applyProtection="0">
      <alignment horizontal="center"/>
    </xf>
    <xf numFmtId="0" fontId="172" fillId="0" borderId="0"/>
    <xf numFmtId="0" fontId="172" fillId="0" borderId="0"/>
    <xf numFmtId="0" fontId="172" fillId="0" borderId="0"/>
    <xf numFmtId="0" fontId="172" fillId="0" borderId="0"/>
    <xf numFmtId="0" fontId="159" fillId="0" borderId="0"/>
    <xf numFmtId="0" fontId="159" fillId="0" borderId="0"/>
    <xf numFmtId="0" fontId="58" fillId="0" borderId="0"/>
    <xf numFmtId="0" fontId="172" fillId="0" borderId="0"/>
    <xf numFmtId="0" fontId="159" fillId="0" borderId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10" fontId="58" fillId="0" borderId="0" applyFont="0" applyFill="0" applyBorder="0" applyAlignment="0" applyProtection="0"/>
    <xf numFmtId="0" fontId="169" fillId="119" borderId="0" applyNumberFormat="0" applyBorder="0" applyAlignment="0" applyProtection="0">
      <alignment vertical="center"/>
    </xf>
    <xf numFmtId="0" fontId="169" fillId="96" borderId="0" applyNumberFormat="0" applyBorder="0" applyAlignment="0" applyProtection="0">
      <alignment vertical="center"/>
    </xf>
    <xf numFmtId="0" fontId="169" fillId="119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97" borderId="0" applyNumberFormat="0" applyBorder="0" applyAlignment="0" applyProtection="0">
      <alignment vertical="center"/>
    </xf>
    <xf numFmtId="0" fontId="169" fillId="124" borderId="0" applyNumberFormat="0" applyBorder="0" applyAlignment="0" applyProtection="0">
      <alignment vertical="center"/>
    </xf>
    <xf numFmtId="0" fontId="169" fillId="126" borderId="0" applyNumberFormat="0" applyBorder="0" applyAlignment="0" applyProtection="0">
      <alignment vertical="center"/>
    </xf>
    <xf numFmtId="0" fontId="169" fillId="92" borderId="0" applyNumberFormat="0" applyBorder="0" applyAlignment="0" applyProtection="0">
      <alignment vertical="center"/>
    </xf>
    <xf numFmtId="0" fontId="169" fillId="126" borderId="0" applyNumberFormat="0" applyBorder="0" applyAlignment="0" applyProtection="0">
      <alignment vertical="center"/>
    </xf>
    <xf numFmtId="0" fontId="169" fillId="116" borderId="0" applyNumberFormat="0" applyBorder="0" applyAlignment="0" applyProtection="0">
      <alignment vertical="center"/>
    </xf>
    <xf numFmtId="0" fontId="169" fillId="82" borderId="0" applyNumberFormat="0" applyBorder="0" applyAlignment="0" applyProtection="0">
      <alignment vertical="center"/>
    </xf>
    <xf numFmtId="0" fontId="169" fillId="116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02" borderId="0" applyNumberFormat="0" applyBorder="0" applyAlignment="0" applyProtection="0">
      <alignment vertical="center"/>
    </xf>
    <xf numFmtId="0" fontId="169" fillId="121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69" fillId="81" borderId="0" applyNumberFormat="0" applyBorder="0" applyAlignment="0" applyProtection="0">
      <alignment vertical="center"/>
    </xf>
    <xf numFmtId="0" fontId="169" fillId="123" borderId="0" applyNumberFormat="0" applyBorder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173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173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173" borderId="83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173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8" fillId="88" borderId="87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173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88" borderId="87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116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0" fontId="251" fillId="0" borderId="0"/>
    <xf numFmtId="233" fontId="58" fillId="0" borderId="0" applyFont="0" applyFill="0" applyBorder="0" applyAlignment="0" applyProtection="0"/>
    <xf numFmtId="230" fontId="58" fillId="0" borderId="0" applyFont="0" applyFill="0" applyBorder="0" applyAlignment="0" applyProtection="0"/>
    <xf numFmtId="227" fontId="58" fillId="0" borderId="0" applyFont="0" applyFill="0" applyBorder="0" applyAlignment="0" applyProtection="0"/>
    <xf numFmtId="219" fontId="58" fillId="0" borderId="0" applyFont="0" applyFill="0" applyBorder="0" applyAlignment="0" applyProtection="0"/>
    <xf numFmtId="0" fontId="252" fillId="0" borderId="0"/>
    <xf numFmtId="0" fontId="172" fillId="0" borderId="0"/>
    <xf numFmtId="0" fontId="149" fillId="0" borderId="81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44" fillId="48" borderId="0" applyNumberFormat="0" applyBorder="0" applyAlignment="0" applyProtection="0">
      <alignment vertical="center"/>
    </xf>
    <xf numFmtId="0" fontId="154" fillId="55" borderId="0" applyNumberFormat="0" applyBorder="0" applyAlignment="0" applyProtection="0">
      <alignment vertical="center"/>
    </xf>
    <xf numFmtId="0" fontId="154" fillId="75" borderId="0" applyNumberFormat="0" applyBorder="0" applyAlignment="0" applyProtection="0">
      <alignment vertical="center"/>
    </xf>
    <xf numFmtId="0" fontId="154" fillId="67" borderId="0" applyNumberFormat="0" applyBorder="0" applyAlignment="0" applyProtection="0">
      <alignment vertical="center"/>
    </xf>
    <xf numFmtId="0" fontId="154" fillId="67" borderId="0" applyNumberFormat="0" applyBorder="0" applyAlignment="0" applyProtection="0">
      <alignment vertical="center"/>
    </xf>
    <xf numFmtId="0" fontId="153" fillId="0" borderId="84" applyNumberFormat="0" applyFill="0" applyAlignment="0" applyProtection="0">
      <alignment vertical="center"/>
    </xf>
    <xf numFmtId="0" fontId="147" fillId="52" borderId="80" applyNumberFormat="0" applyAlignment="0" applyProtection="0">
      <alignment vertical="center"/>
    </xf>
    <xf numFmtId="0" fontId="154" fillId="63" borderId="0" applyNumberFormat="0" applyBorder="0" applyAlignment="0" applyProtection="0">
      <alignment vertical="center"/>
    </xf>
    <xf numFmtId="0" fontId="143" fillId="0" borderId="78" applyNumberFormat="0" applyFill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4" borderId="83" applyNumberFormat="0" applyFont="0" applyAlignment="0" applyProtection="0">
      <alignment vertical="center"/>
    </xf>
    <xf numFmtId="0" fontId="159" fillId="0" borderId="0"/>
    <xf numFmtId="0" fontId="213" fillId="0" borderId="0" applyNumberFormat="0" applyFill="0" applyBorder="0" applyAlignment="0" applyProtection="0">
      <alignment vertical="center"/>
    </xf>
    <xf numFmtId="0" fontId="141" fillId="0" borderId="76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5" fillId="49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147" fillId="52" borderId="80" applyNumberFormat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53" fillId="0" borderId="84" applyNumberFormat="0" applyFill="0" applyAlignment="0" applyProtection="0">
      <alignment vertical="center"/>
    </xf>
    <xf numFmtId="0" fontId="154" fillId="55" borderId="0" applyNumberFormat="0" applyBorder="0" applyAlignment="0" applyProtection="0">
      <alignment vertical="center"/>
    </xf>
    <xf numFmtId="0" fontId="144" fillId="48" borderId="0" applyNumberFormat="0" applyBorder="0" applyAlignment="0" applyProtection="0">
      <alignment vertical="center"/>
    </xf>
    <xf numFmtId="0" fontId="154" fillId="58" borderId="0" applyNumberFormat="0" applyBorder="0" applyAlignment="0" applyProtection="0">
      <alignment vertical="center"/>
    </xf>
    <xf numFmtId="0" fontId="154" fillId="59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54" fillId="55" borderId="0" applyNumberFormat="0" applyBorder="0" applyAlignment="0" applyProtection="0">
      <alignment vertical="center"/>
    </xf>
    <xf numFmtId="0" fontId="154" fillId="71" borderId="0" applyNumberFormat="0" applyBorder="0" applyAlignment="0" applyProtection="0">
      <alignment vertical="center"/>
    </xf>
    <xf numFmtId="0" fontId="154" fillId="70" borderId="0" applyNumberFormat="0" applyBorder="0" applyAlignment="0" applyProtection="0">
      <alignment vertical="center"/>
    </xf>
    <xf numFmtId="0" fontId="154" fillId="71" borderId="0" applyNumberFormat="0" applyBorder="0" applyAlignment="0" applyProtection="0">
      <alignment vertical="center"/>
    </xf>
    <xf numFmtId="0" fontId="154" fillId="74" borderId="0" applyNumberFormat="0" applyBorder="0" applyAlignment="0" applyProtection="0">
      <alignment vertical="center"/>
    </xf>
    <xf numFmtId="0" fontId="149" fillId="0" borderId="81" applyNumberFormat="0" applyFill="0" applyAlignment="0" applyProtection="0">
      <alignment vertical="center"/>
    </xf>
    <xf numFmtId="0" fontId="154" fillId="78" borderId="0" applyNumberFormat="0" applyBorder="0" applyAlignment="0" applyProtection="0">
      <alignment vertical="center"/>
    </xf>
    <xf numFmtId="0" fontId="154" fillId="62" borderId="0" applyNumberFormat="0" applyBorder="0" applyAlignment="0" applyProtection="0">
      <alignment vertical="center"/>
    </xf>
    <xf numFmtId="0" fontId="144" fillId="48" borderId="0" applyNumberFormat="0" applyBorder="0" applyAlignment="0" applyProtection="0">
      <alignment vertical="center"/>
    </xf>
    <xf numFmtId="0" fontId="154" fillId="63" borderId="0" applyNumberFormat="0" applyBorder="0" applyAlignment="0" applyProtection="0">
      <alignment vertical="center"/>
    </xf>
    <xf numFmtId="0" fontId="143" fillId="0" borderId="78" applyNumberFormat="0" applyFill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0" fontId="154" fillId="58" borderId="0" applyNumberFormat="0" applyBorder="0" applyAlignment="0" applyProtection="0">
      <alignment vertical="center"/>
    </xf>
    <xf numFmtId="0" fontId="154" fillId="67" borderId="0" applyNumberFormat="0" applyBorder="0" applyAlignment="0" applyProtection="0">
      <alignment vertical="center"/>
    </xf>
    <xf numFmtId="0" fontId="154" fillId="78" borderId="0" applyNumberFormat="0" applyBorder="0" applyAlignment="0" applyProtection="0">
      <alignment vertical="center"/>
    </xf>
    <xf numFmtId="0" fontId="154" fillId="66" borderId="0" applyNumberFormat="0" applyBorder="0" applyAlignment="0" applyProtection="0">
      <alignment vertical="center"/>
    </xf>
    <xf numFmtId="0" fontId="148" fillId="52" borderId="79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9" fillId="0" borderId="81" applyNumberFormat="0" applyFill="0" applyAlignment="0" applyProtection="0">
      <alignment vertical="center"/>
    </xf>
    <xf numFmtId="0" fontId="154" fillId="59" borderId="0" applyNumberFormat="0" applyBorder="0" applyAlignment="0" applyProtection="0">
      <alignment vertical="center"/>
    </xf>
    <xf numFmtId="0" fontId="154" fillId="59" borderId="0" applyNumberFormat="0" applyBorder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0" fontId="154" fillId="66" borderId="0" applyNumberFormat="0" applyBorder="0" applyAlignment="0" applyProtection="0">
      <alignment vertical="center"/>
    </xf>
    <xf numFmtId="0" fontId="147" fillId="52" borderId="80" applyNumberFormat="0" applyAlignment="0" applyProtection="0">
      <alignment vertical="center"/>
    </xf>
    <xf numFmtId="0" fontId="141" fillId="0" borderId="76" applyNumberFormat="0" applyFill="0" applyAlignment="0" applyProtection="0">
      <alignment vertical="center"/>
    </xf>
    <xf numFmtId="0" fontId="154" fillId="58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54" fillId="78" borderId="0" applyNumberFormat="0" applyBorder="0" applyAlignment="0" applyProtection="0">
      <alignment vertical="center"/>
    </xf>
    <xf numFmtId="0" fontId="146" fillId="51" borderId="79" applyNumberFormat="0" applyAlignment="0" applyProtection="0">
      <alignment vertical="center"/>
    </xf>
    <xf numFmtId="0" fontId="213" fillId="0" borderId="0" applyNumberFormat="0" applyFill="0" applyBorder="0" applyAlignment="0" applyProtection="0">
      <alignment vertical="center"/>
    </xf>
    <xf numFmtId="0" fontId="154" fillId="75" borderId="0" applyNumberFormat="0" applyBorder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41" fillId="0" borderId="76" applyNumberFormat="0" applyFill="0" applyAlignment="0" applyProtection="0">
      <alignment vertical="center"/>
    </xf>
    <xf numFmtId="0" fontId="154" fillId="7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159" fillId="0" borderId="0"/>
    <xf numFmtId="0" fontId="154" fillId="70" borderId="0" applyNumberFormat="0" applyBorder="0" applyAlignment="0" applyProtection="0">
      <alignment vertical="center"/>
    </xf>
    <xf numFmtId="0" fontId="148" fillId="52" borderId="79" applyNumberFormat="0" applyAlignment="0" applyProtection="0">
      <alignment vertical="center"/>
    </xf>
    <xf numFmtId="0" fontId="154" fillId="66" borderId="0" applyNumberFormat="0" applyBorder="0" applyAlignment="0" applyProtection="0">
      <alignment vertical="center"/>
    </xf>
    <xf numFmtId="0" fontId="150" fillId="53" borderId="82" applyNumberFormat="0" applyAlignment="0" applyProtection="0">
      <alignment vertical="center"/>
    </xf>
    <xf numFmtId="0" fontId="143" fillId="0" borderId="78" applyNumberFormat="0" applyFill="0" applyAlignment="0" applyProtection="0">
      <alignment vertical="center"/>
    </xf>
    <xf numFmtId="0" fontId="145" fillId="49" borderId="0" applyNumberFormat="0" applyBorder="0" applyAlignment="0" applyProtection="0">
      <alignment vertical="center"/>
    </xf>
    <xf numFmtId="0" fontId="154" fillId="75" borderId="0" applyNumberFormat="0" applyBorder="0" applyAlignment="0" applyProtection="0">
      <alignment vertical="center"/>
    </xf>
    <xf numFmtId="0" fontId="154" fillId="63" borderId="0" applyNumberFormat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4" fillId="74" borderId="0" applyNumberFormat="0" applyBorder="0" applyAlignment="0" applyProtection="0">
      <alignment vertical="center"/>
    </xf>
    <xf numFmtId="0" fontId="159" fillId="0" borderId="0"/>
    <xf numFmtId="0" fontId="154" fillId="74" borderId="0" applyNumberFormat="0" applyBorder="0" applyAlignment="0" applyProtection="0">
      <alignment vertical="center"/>
    </xf>
    <xf numFmtId="0" fontId="145" fillId="49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37" fillId="147" borderId="0" applyNumberFormat="0" applyBorder="0" applyAlignment="0" applyProtection="0"/>
    <xf numFmtId="0" fontId="237" fillId="150" borderId="0" applyNumberFormat="0" applyBorder="0" applyAlignment="0" applyProtection="0"/>
    <xf numFmtId="0" fontId="146" fillId="51" borderId="79" applyNumberFormat="0" applyAlignment="0" applyProtection="0">
      <alignment vertical="center"/>
    </xf>
    <xf numFmtId="0" fontId="213" fillId="0" borderId="0" applyNumberFormat="0" applyFill="0" applyBorder="0" applyAlignment="0" applyProtection="0">
      <alignment vertical="center"/>
    </xf>
    <xf numFmtId="0" fontId="237" fillId="153" borderId="0" applyNumberFormat="0" applyBorder="0" applyAlignment="0" applyProtection="0"/>
    <xf numFmtId="0" fontId="237" fillId="147" borderId="0" applyNumberFormat="0" applyBorder="0" applyAlignment="0" applyProtection="0"/>
    <xf numFmtId="0" fontId="237" fillId="155" borderId="0" applyNumberFormat="0" applyBorder="0" applyAlignment="0" applyProtection="0"/>
    <xf numFmtId="0" fontId="237" fillId="157" borderId="0" applyNumberFormat="0" applyBorder="0" applyAlignment="0" applyProtection="0"/>
    <xf numFmtId="0" fontId="154" fillId="71" borderId="0" applyNumberFormat="0" applyBorder="0" applyAlignment="0" applyProtection="0">
      <alignment vertical="center"/>
    </xf>
    <xf numFmtId="0" fontId="164" fillId="112" borderId="88" applyNumberFormat="0" applyAlignment="0" applyProtection="0">
      <alignment vertical="center"/>
    </xf>
    <xf numFmtId="0" fontId="150" fillId="53" borderId="82" applyNumberFormat="0" applyAlignment="0" applyProtection="0">
      <alignment vertical="center"/>
    </xf>
    <xf numFmtId="0" fontId="146" fillId="51" borderId="79" applyNumberFormat="0" applyAlignment="0" applyProtection="0">
      <alignment vertical="center"/>
    </xf>
    <xf numFmtId="0" fontId="148" fillId="52" borderId="79" applyNumberFormat="0" applyAlignment="0" applyProtection="0">
      <alignment vertical="center"/>
    </xf>
    <xf numFmtId="0" fontId="150" fillId="53" borderId="82" applyNumberFormat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0" fontId="154" fillId="62" borderId="0" applyNumberFormat="0" applyBorder="0" applyAlignment="0" applyProtection="0">
      <alignment vertical="center"/>
    </xf>
    <xf numFmtId="0" fontId="154" fillId="62" borderId="0" applyNumberFormat="0" applyBorder="0" applyAlignment="0" applyProtection="0">
      <alignment vertical="center"/>
    </xf>
    <xf numFmtId="0" fontId="5" fillId="0" borderId="0"/>
    <xf numFmtId="0" fontId="153" fillId="0" borderId="84" applyNumberFormat="0" applyFill="0" applyAlignment="0" applyProtection="0">
      <alignment vertical="center"/>
    </xf>
    <xf numFmtId="0" fontId="116" fillId="0" borderId="0">
      <alignment vertical="center"/>
    </xf>
    <xf numFmtId="0" fontId="4" fillId="0" borderId="0"/>
    <xf numFmtId="0" fontId="58" fillId="0" borderId="0">
      <alignment vertical="top"/>
    </xf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181" fillId="0" borderId="0" applyNumberForma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12" fillId="0" borderId="0" applyNumberFormat="0" applyFill="0" applyBorder="0" applyAlignment="0" applyProtection="0">
      <alignment vertical="top"/>
      <protection locked="0"/>
    </xf>
    <xf numFmtId="0" fontId="212" fillId="0" borderId="0" applyNumberFormat="0" applyFill="0" applyBorder="0" applyAlignment="0" applyProtection="0">
      <alignment vertical="top"/>
      <protection locked="0"/>
    </xf>
    <xf numFmtId="0" fontId="212" fillId="0" borderId="0" applyNumberFormat="0" applyFill="0" applyBorder="0" applyAlignment="0" applyProtection="0">
      <alignment vertical="top"/>
      <protection locked="0"/>
    </xf>
    <xf numFmtId="0" fontId="212" fillId="0" borderId="0" applyNumberFormat="0" applyFill="0" applyBorder="0" applyAlignment="0" applyProtection="0">
      <alignment vertical="top"/>
      <protection locked="0"/>
    </xf>
    <xf numFmtId="0" fontId="212" fillId="0" borderId="0" applyNumberFormat="0" applyFill="0" applyBorder="0" applyAlignment="0" applyProtection="0">
      <alignment vertical="top"/>
      <protection locked="0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0" fontId="58" fillId="0" borderId="0"/>
    <xf numFmtId="0" fontId="58" fillId="0" borderId="0">
      <alignment vertical="top"/>
    </xf>
    <xf numFmtId="0" fontId="58" fillId="0" borderId="0">
      <alignment vertical="top"/>
    </xf>
    <xf numFmtId="0" fontId="58" fillId="0" borderId="0">
      <alignment vertical="top"/>
    </xf>
    <xf numFmtId="0" fontId="58" fillId="0" borderId="0">
      <alignment vertical="top"/>
    </xf>
    <xf numFmtId="0" fontId="58" fillId="0" borderId="0">
      <alignment vertical="top"/>
    </xf>
    <xf numFmtId="0" fontId="58" fillId="0" borderId="0">
      <alignment vertical="top"/>
    </xf>
    <xf numFmtId="0" fontId="58" fillId="0" borderId="0">
      <alignment vertical="top"/>
    </xf>
    <xf numFmtId="0" fontId="58" fillId="0" borderId="0"/>
    <xf numFmtId="0" fontId="58" fillId="0" borderId="0"/>
    <xf numFmtId="0" fontId="58" fillId="0" borderId="0">
      <alignment vertical="top"/>
    </xf>
    <xf numFmtId="0" fontId="116" fillId="85" borderId="0" applyNumberFormat="0" applyBorder="0" applyProtection="0"/>
    <xf numFmtId="0" fontId="116" fillId="85" borderId="0" applyNumberFormat="0" applyBorder="0" applyProtection="0"/>
    <xf numFmtId="0" fontId="116" fillId="85" borderId="0" applyNumberFormat="0" applyBorder="0" applyProtection="0"/>
    <xf numFmtId="0" fontId="116" fillId="85" borderId="0" applyNumberFormat="0" applyBorder="0" applyProtection="0"/>
    <xf numFmtId="0" fontId="116" fillId="87" borderId="0" applyNumberFormat="0" applyBorder="0" applyProtection="0"/>
    <xf numFmtId="0" fontId="116" fillId="87" borderId="0" applyNumberFormat="0" applyBorder="0" applyProtection="0"/>
    <xf numFmtId="0" fontId="116" fillId="87" borderId="0" applyNumberFormat="0" applyBorder="0" applyProtection="0"/>
    <xf numFmtId="0" fontId="116" fillId="87" borderId="0" applyNumberFormat="0" applyBorder="0" applyProtection="0"/>
    <xf numFmtId="0" fontId="116" fillId="84" borderId="0" applyNumberFormat="0" applyBorder="0" applyProtection="0"/>
    <xf numFmtId="0" fontId="116" fillId="84" borderId="0" applyNumberFormat="0" applyBorder="0" applyProtection="0"/>
    <xf numFmtId="0" fontId="116" fillId="84" borderId="0" applyNumberFormat="0" applyBorder="0" applyProtection="0"/>
    <xf numFmtId="0" fontId="116" fillId="84" borderId="0" applyNumberFormat="0" applyBorder="0" applyProtection="0"/>
    <xf numFmtId="0" fontId="116" fillId="86" borderId="0" applyNumberFormat="0" applyBorder="0" applyProtection="0"/>
    <xf numFmtId="0" fontId="116" fillId="86" borderId="0" applyNumberFormat="0" applyBorder="0" applyProtection="0"/>
    <xf numFmtId="0" fontId="116" fillId="86" borderId="0" applyNumberFormat="0" applyBorder="0" applyProtection="0"/>
    <xf numFmtId="0" fontId="116" fillId="86" borderId="0" applyNumberFormat="0" applyBorder="0" applyProtection="0"/>
    <xf numFmtId="0" fontId="116" fillId="31" borderId="0" applyNumberFormat="0" applyBorder="0" applyProtection="0"/>
    <xf numFmtId="0" fontId="116" fillId="31" borderId="0" applyNumberFormat="0" applyBorder="0" applyProtection="0"/>
    <xf numFmtId="0" fontId="116" fillId="31" borderId="0" applyNumberFormat="0" applyBorder="0" applyProtection="0"/>
    <xf numFmtId="0" fontId="116" fillId="31" borderId="0" applyNumberFormat="0" applyBorder="0" applyProtection="0"/>
    <xf numFmtId="0" fontId="116" fillId="89" borderId="0" applyNumberFormat="0" applyBorder="0" applyProtection="0"/>
    <xf numFmtId="0" fontId="116" fillId="89" borderId="0" applyNumberFormat="0" applyBorder="0" applyProtection="0"/>
    <xf numFmtId="0" fontId="116" fillId="89" borderId="0" applyNumberFormat="0" applyBorder="0" applyProtection="0"/>
    <xf numFmtId="0" fontId="116" fillId="89" borderId="0" applyNumberFormat="0" applyBorder="0" applyProtection="0"/>
    <xf numFmtId="0" fontId="116" fillId="80" borderId="0" applyNumberFormat="0" applyBorder="0" applyProtection="0"/>
    <xf numFmtId="0" fontId="116" fillId="80" borderId="0" applyNumberFormat="0" applyBorder="0" applyProtection="0"/>
    <xf numFmtId="0" fontId="116" fillId="80" borderId="0" applyNumberFormat="0" applyBorder="0" applyProtection="0"/>
    <xf numFmtId="0" fontId="116" fillId="80" borderId="0" applyNumberFormat="0" applyBorder="0" applyProtection="0"/>
    <xf numFmtId="0" fontId="116" fillId="90" borderId="0" applyNumberFormat="0" applyBorder="0" applyProtection="0"/>
    <xf numFmtId="0" fontId="116" fillId="90" borderId="0" applyNumberFormat="0" applyBorder="0" applyProtection="0"/>
    <xf numFmtId="0" fontId="116" fillId="90" borderId="0" applyNumberFormat="0" applyBorder="0" applyProtection="0"/>
    <xf numFmtId="0" fontId="116" fillId="90" borderId="0" applyNumberFormat="0" applyBorder="0" applyProtection="0"/>
    <xf numFmtId="0" fontId="116" fillId="91" borderId="0" applyNumberFormat="0" applyBorder="0" applyProtection="0"/>
    <xf numFmtId="0" fontId="116" fillId="91" borderId="0" applyNumberFormat="0" applyBorder="0" applyProtection="0"/>
    <xf numFmtId="0" fontId="116" fillId="91" borderId="0" applyNumberFormat="0" applyBorder="0" applyProtection="0"/>
    <xf numFmtId="0" fontId="116" fillId="91" borderId="0" applyNumberFormat="0" applyBorder="0" applyProtection="0"/>
    <xf numFmtId="0" fontId="116" fillId="86" borderId="0" applyNumberFormat="0" applyBorder="0" applyProtection="0"/>
    <xf numFmtId="0" fontId="116" fillId="86" borderId="0" applyNumberFormat="0" applyBorder="0" applyProtection="0"/>
    <xf numFmtId="0" fontId="116" fillId="86" borderId="0" applyNumberFormat="0" applyBorder="0" applyProtection="0"/>
    <xf numFmtId="0" fontId="116" fillId="86" borderId="0" applyNumberFormat="0" applyBorder="0" applyProtection="0"/>
    <xf numFmtId="0" fontId="116" fillId="80" borderId="0" applyNumberFormat="0" applyBorder="0" applyProtection="0"/>
    <xf numFmtId="0" fontId="116" fillId="80" borderId="0" applyNumberFormat="0" applyBorder="0" applyProtection="0"/>
    <xf numFmtId="0" fontId="116" fillId="80" borderId="0" applyNumberFormat="0" applyBorder="0" applyProtection="0"/>
    <xf numFmtId="0" fontId="116" fillId="80" borderId="0" applyNumberFormat="0" applyBorder="0" applyProtection="0"/>
    <xf numFmtId="0" fontId="116" fillId="82" borderId="0" applyNumberFormat="0" applyBorder="0" applyProtection="0"/>
    <xf numFmtId="0" fontId="116" fillId="82" borderId="0" applyNumberFormat="0" applyBorder="0" applyProtection="0"/>
    <xf numFmtId="0" fontId="116" fillId="82" borderId="0" applyNumberFormat="0" applyBorder="0" applyProtection="0"/>
    <xf numFmtId="0" fontId="116" fillId="82" borderId="0" applyNumberFormat="0" applyBorder="0" applyProtection="0"/>
    <xf numFmtId="0" fontId="169" fillId="99" borderId="0" applyNumberFormat="0" applyBorder="0" applyProtection="0"/>
    <xf numFmtId="0" fontId="169" fillId="99" borderId="0" applyNumberFormat="0" applyBorder="0" applyProtection="0"/>
    <xf numFmtId="0" fontId="169" fillId="99" borderId="0" applyNumberFormat="0" applyBorder="0" applyProtection="0"/>
    <xf numFmtId="0" fontId="169" fillId="99" borderId="0" applyNumberFormat="0" applyBorder="0" applyProtection="0"/>
    <xf numFmtId="0" fontId="169" fillId="90" borderId="0" applyNumberFormat="0" applyBorder="0" applyProtection="0"/>
    <xf numFmtId="0" fontId="169" fillId="90" borderId="0" applyNumberFormat="0" applyBorder="0" applyProtection="0"/>
    <xf numFmtId="0" fontId="169" fillId="90" borderId="0" applyNumberFormat="0" applyBorder="0" applyProtection="0"/>
    <xf numFmtId="0" fontId="169" fillId="90" borderId="0" applyNumberFormat="0" applyBorder="0" applyProtection="0"/>
    <xf numFmtId="0" fontId="169" fillId="91" borderId="0" applyNumberFormat="0" applyBorder="0" applyProtection="0"/>
    <xf numFmtId="0" fontId="169" fillId="91" borderId="0" applyNumberFormat="0" applyBorder="0" applyProtection="0"/>
    <xf numFmtId="0" fontId="169" fillId="91" borderId="0" applyNumberFormat="0" applyBorder="0" applyProtection="0"/>
    <xf numFmtId="0" fontId="169" fillId="91" borderId="0" applyNumberFormat="0" applyBorder="0" applyProtection="0"/>
    <xf numFmtId="0" fontId="169" fillId="98" borderId="0" applyNumberFormat="0" applyBorder="0" applyProtection="0"/>
    <xf numFmtId="0" fontId="169" fillId="98" borderId="0" applyNumberFormat="0" applyBorder="0" applyProtection="0"/>
    <xf numFmtId="0" fontId="169" fillId="98" borderId="0" applyNumberFormat="0" applyBorder="0" applyProtection="0"/>
    <xf numFmtId="0" fontId="169" fillId="98" borderId="0" applyNumberFormat="0" applyBorder="0" applyProtection="0"/>
    <xf numFmtId="0" fontId="169" fillId="96" borderId="0" applyNumberFormat="0" applyBorder="0" applyProtection="0"/>
    <xf numFmtId="0" fontId="169" fillId="96" borderId="0" applyNumberFormat="0" applyBorder="0" applyProtection="0"/>
    <xf numFmtId="0" fontId="169" fillId="96" borderId="0" applyNumberFormat="0" applyBorder="0" applyProtection="0"/>
    <xf numFmtId="0" fontId="169" fillId="96" borderId="0" applyNumberFormat="0" applyBorder="0" applyProtection="0"/>
    <xf numFmtId="0" fontId="169" fillId="100" borderId="0" applyNumberFormat="0" applyBorder="0" applyProtection="0"/>
    <xf numFmtId="0" fontId="169" fillId="100" borderId="0" applyNumberFormat="0" applyBorder="0" applyProtection="0"/>
    <xf numFmtId="0" fontId="169" fillId="100" borderId="0" applyNumberFormat="0" applyBorder="0" applyProtection="0"/>
    <xf numFmtId="0" fontId="169" fillId="100" borderId="0" applyNumberFormat="0" applyBorder="0" applyProtection="0"/>
    <xf numFmtId="43" fontId="162" fillId="0" borderId="0" applyFont="0" applyFill="0" applyBorder="0" applyAlignment="0" applyProtection="0"/>
    <xf numFmtId="41" fontId="162" fillId="0" borderId="0" applyFont="0" applyFill="0" applyBorder="0" applyAlignment="0" applyProtection="0"/>
    <xf numFmtId="41" fontId="162" fillId="0" borderId="0" applyFont="0" applyFill="0" applyBorder="0" applyAlignment="0" applyProtection="0"/>
    <xf numFmtId="41" fontId="162" fillId="0" borderId="0" applyFont="0" applyFill="0" applyBorder="0" applyAlignment="0" applyProtection="0"/>
    <xf numFmtId="41" fontId="286" fillId="0" borderId="0" applyFont="0" applyFill="0" applyBorder="0" applyAlignment="0" applyProtection="0"/>
    <xf numFmtId="41" fontId="286" fillId="0" borderId="0" applyFont="0" applyFill="0" applyBorder="0" applyAlignment="0" applyProtection="0"/>
    <xf numFmtId="41" fontId="286" fillId="0" borderId="0" applyFont="0" applyFill="0" applyBorder="0" applyAlignment="0" applyProtection="0"/>
    <xf numFmtId="41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286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43" fontId="286" fillId="0" borderId="0" applyFont="0" applyFill="0" applyBorder="0" applyAlignment="0" applyProtection="0"/>
    <xf numFmtId="44" fontId="162" fillId="0" borderId="0" applyFont="0" applyFill="0" applyBorder="0" applyAlignment="0" applyProtection="0"/>
    <xf numFmtId="42" fontId="162" fillId="0" borderId="0" applyFont="0" applyFill="0" applyBorder="0" applyAlignment="0" applyProtection="0"/>
    <xf numFmtId="42" fontId="286" fillId="0" borderId="0" applyFont="0" applyFill="0" applyBorder="0" applyAlignment="0" applyProtection="0"/>
    <xf numFmtId="42" fontId="286" fillId="0" borderId="0" applyFont="0" applyFill="0" applyBorder="0" applyAlignment="0" applyProtection="0"/>
    <xf numFmtId="42" fontId="286" fillId="0" borderId="0" applyFont="0" applyFill="0" applyBorder="0" applyAlignment="0" applyProtection="0"/>
    <xf numFmtId="42" fontId="286" fillId="0" borderId="0" applyFont="0" applyFill="0" applyBorder="0" applyAlignment="0" applyProtection="0"/>
    <xf numFmtId="42" fontId="162" fillId="0" borderId="0" applyFont="0" applyFill="0" applyBorder="0" applyAlignment="0" applyProtection="0"/>
    <xf numFmtId="42" fontId="162" fillId="0" borderId="0" applyFont="0" applyFill="0" applyBorder="0" applyAlignment="0" applyProtection="0"/>
    <xf numFmtId="42" fontId="162" fillId="0" borderId="0" applyFont="0" applyFill="0" applyBorder="0" applyAlignment="0" applyProtection="0"/>
    <xf numFmtId="42" fontId="162" fillId="0" borderId="0" applyFont="0" applyFill="0" applyBorder="0" applyAlignment="0" applyProtection="0"/>
    <xf numFmtId="42" fontId="162" fillId="0" borderId="0" applyFont="0" applyFill="0" applyBorder="0" applyAlignment="0" applyProtection="0"/>
    <xf numFmtId="42" fontId="162" fillId="0" borderId="0" applyFont="0" applyFill="0" applyBorder="0" applyAlignment="0" applyProtection="0"/>
    <xf numFmtId="42" fontId="162" fillId="0" borderId="0" applyFont="0" applyFill="0" applyBorder="0" applyAlignment="0" applyProtection="0"/>
    <xf numFmtId="42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44" fontId="162" fillId="0" borderId="0" applyFont="0" applyFill="0" applyBorder="0" applyAlignment="0" applyProtection="0"/>
    <xf numFmtId="44" fontId="286" fillId="0" borderId="0" applyFont="0" applyFill="0" applyBorder="0" applyAlignment="0" applyProtection="0"/>
    <xf numFmtId="44" fontId="162" fillId="0" borderId="0" applyFont="0" applyFill="0" applyBorder="0" applyAlignment="0" applyProtection="0"/>
    <xf numFmtId="44" fontId="162" fillId="0" borderId="0" applyFont="0" applyFill="0" applyBorder="0" applyAlignment="0" applyProtection="0"/>
    <xf numFmtId="44" fontId="162" fillId="0" borderId="0" applyFont="0" applyFill="0" applyBorder="0" applyAlignment="0" applyProtection="0"/>
    <xf numFmtId="44" fontId="162" fillId="0" borderId="0" applyFont="0" applyFill="0" applyBorder="0" applyAlignment="0" applyProtection="0"/>
    <xf numFmtId="44" fontId="162" fillId="0" borderId="0" applyFont="0" applyFill="0" applyBorder="0" applyAlignment="0" applyProtection="0"/>
    <xf numFmtId="44" fontId="162" fillId="0" borderId="0" applyFont="0" applyFill="0" applyBorder="0" applyAlignment="0" applyProtection="0"/>
    <xf numFmtId="44" fontId="286" fillId="0" borderId="0" applyFont="0" applyFill="0" applyBorder="0" applyAlignment="0" applyProtection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9" fontId="162" fillId="0" borderId="0" applyFont="0" applyFill="0" applyBorder="0" applyAlignment="0" applyProtection="0"/>
    <xf numFmtId="9" fontId="286" fillId="0" borderId="0" applyFont="0" applyFill="0" applyBorder="0" applyAlignment="0" applyProtection="0"/>
    <xf numFmtId="9" fontId="58" fillId="0" borderId="0" applyFont="0" applyFill="0" applyBorder="0" applyProtection="0"/>
    <xf numFmtId="9" fontId="58" fillId="0" borderId="0" applyFont="0" applyFill="0" applyBorder="0" applyProtection="0"/>
    <xf numFmtId="9" fontId="116" fillId="0" borderId="0" applyFont="0" applyFill="0" applyBorder="0" applyProtection="0"/>
    <xf numFmtId="9" fontId="116" fillId="0" borderId="0" applyFont="0" applyFill="0" applyBorder="0" applyProtection="0"/>
    <xf numFmtId="9" fontId="116" fillId="0" borderId="0" applyFont="0" applyFill="0" applyBorder="0" applyAlignment="0" applyProtection="0">
      <alignment vertical="center"/>
    </xf>
    <xf numFmtId="9" fontId="116" fillId="0" borderId="0" applyFont="0" applyFill="0" applyBorder="0" applyProtection="0"/>
    <xf numFmtId="9" fontId="116" fillId="0" borderId="0" applyFont="0" applyFill="0" applyBorder="0" applyProtection="0"/>
    <xf numFmtId="0" fontId="175" fillId="0" borderId="93" applyNumberFormat="0" applyFill="0" applyProtection="0"/>
    <xf numFmtId="0" fontId="175" fillId="0" borderId="93" applyNumberFormat="0" applyFill="0" applyProtection="0"/>
    <xf numFmtId="0" fontId="175" fillId="0" borderId="93" applyNumberFormat="0" applyFill="0" applyProtection="0"/>
    <xf numFmtId="0" fontId="175" fillId="0" borderId="93" applyNumberFormat="0" applyFill="0" applyProtection="0"/>
    <xf numFmtId="0" fontId="182" fillId="0" borderId="94" applyNumberFormat="0" applyFill="0" applyProtection="0"/>
    <xf numFmtId="0" fontId="182" fillId="0" borderId="94" applyNumberFormat="0" applyFill="0" applyProtection="0"/>
    <xf numFmtId="0" fontId="182" fillId="0" borderId="94" applyNumberFormat="0" applyFill="0" applyProtection="0"/>
    <xf numFmtId="0" fontId="182" fillId="0" borderId="94" applyNumberFormat="0" applyFill="0" applyProtection="0"/>
    <xf numFmtId="0" fontId="183" fillId="0" borderId="95" applyNumberFormat="0" applyFill="0" applyProtection="0"/>
    <xf numFmtId="0" fontId="183" fillId="0" borderId="95" applyNumberFormat="0" applyFill="0" applyProtection="0"/>
    <xf numFmtId="0" fontId="183" fillId="0" borderId="95" applyNumberFormat="0" applyFill="0" applyProtection="0"/>
    <xf numFmtId="0" fontId="183" fillId="0" borderId="95" applyNumberFormat="0" applyFill="0" applyProtection="0"/>
    <xf numFmtId="0" fontId="183" fillId="0" borderId="0" applyNumberFormat="0" applyFill="0" applyBorder="0" applyProtection="0"/>
    <xf numFmtId="0" fontId="183" fillId="0" borderId="0" applyNumberFormat="0" applyFill="0" applyBorder="0" applyProtection="0"/>
    <xf numFmtId="0" fontId="183" fillId="0" borderId="0" applyNumberFormat="0" applyFill="0" applyBorder="0" applyProtection="0"/>
    <xf numFmtId="0" fontId="183" fillId="0" borderId="0" applyNumberFormat="0" applyFill="0" applyBorder="0" applyProtection="0"/>
    <xf numFmtId="0" fontId="181" fillId="0" borderId="0" applyNumberFormat="0" applyFill="0" applyBorder="0" applyProtection="0"/>
    <xf numFmtId="0" fontId="181" fillId="0" borderId="0" applyNumberFormat="0" applyFill="0" applyBorder="0" applyProtection="0"/>
    <xf numFmtId="0" fontId="181" fillId="0" borderId="0" applyNumberFormat="0" applyFill="0" applyBorder="0" applyProtection="0"/>
    <xf numFmtId="0" fontId="181" fillId="0" borderId="0" applyNumberFormat="0" applyFill="0" applyBorder="0" applyProtection="0"/>
    <xf numFmtId="0" fontId="170" fillId="87" borderId="0" applyNumberFormat="0" applyBorder="0" applyProtection="0"/>
    <xf numFmtId="0" fontId="170" fillId="87" borderId="0" applyNumberFormat="0" applyBorder="0" applyProtection="0"/>
    <xf numFmtId="0" fontId="170" fillId="87" borderId="0" applyNumberFormat="0" applyBorder="0" applyProtection="0"/>
    <xf numFmtId="0" fontId="170" fillId="87" borderId="0" applyNumberFormat="0" applyBorder="0" applyProtection="0"/>
    <xf numFmtId="0" fontId="5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6" fillId="0" borderId="0"/>
    <xf numFmtId="0" fontId="116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9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9" fillId="0" borderId="0"/>
    <xf numFmtId="0" fontId="58" fillId="0" borderId="0">
      <alignment vertical="top"/>
    </xf>
    <xf numFmtId="0" fontId="58" fillId="0" borderId="0">
      <alignment vertical="top"/>
    </xf>
    <xf numFmtId="0" fontId="58" fillId="0" borderId="0">
      <alignment vertical="top"/>
    </xf>
    <xf numFmtId="0" fontId="58" fillId="0" borderId="0">
      <alignment vertical="top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7" fillId="0" borderId="0" applyNumberFormat="0" applyFill="0" applyBorder="0" applyAlignment="0" applyProtection="0">
      <alignment vertical="top"/>
      <protection locked="0"/>
    </xf>
    <xf numFmtId="0" fontId="174" fillId="84" borderId="0" applyNumberFormat="0" applyBorder="0" applyProtection="0"/>
    <xf numFmtId="0" fontId="174" fillId="84" borderId="0" applyNumberFormat="0" applyBorder="0" applyProtection="0"/>
    <xf numFmtId="0" fontId="174" fillId="84" borderId="0" applyNumberFormat="0" applyBorder="0" applyProtection="0"/>
    <xf numFmtId="0" fontId="174" fillId="84" borderId="0" applyNumberFormat="0" applyBorder="0" applyProtection="0"/>
    <xf numFmtId="0" fontId="115" fillId="0" borderId="86" applyNumberFormat="0" applyFill="0" applyProtection="0"/>
    <xf numFmtId="0" fontId="115" fillId="0" borderId="86" applyNumberFormat="0" applyFill="0" applyProtection="0"/>
    <xf numFmtId="0" fontId="115" fillId="0" borderId="86" applyNumberFormat="0" applyFill="0" applyProtection="0"/>
    <xf numFmtId="0" fontId="115" fillId="0" borderId="86" applyNumberFormat="0" applyFill="0" applyProtection="0"/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Alignment="0" applyProtection="0">
      <alignment vertical="center"/>
    </xf>
    <xf numFmtId="44" fontId="58" fillId="0" borderId="0" applyFont="0" applyFill="0" applyBorder="0" applyProtection="0"/>
    <xf numFmtId="44" fontId="58" fillId="0" borderId="0" applyFont="0" applyFill="0" applyBorder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Protection="0"/>
    <xf numFmtId="43" fontId="58" fillId="0" borderId="0" applyFont="0" applyFill="0" applyBorder="0" applyProtection="0"/>
    <xf numFmtId="242" fontId="58" fillId="0" borderId="0" applyFont="0" applyFill="0" applyBorder="0" applyProtection="0"/>
    <xf numFmtId="242" fontId="58" fillId="0" borderId="0" applyFont="0" applyFill="0" applyBorder="0" applyProtection="0"/>
    <xf numFmtId="242" fontId="58" fillId="0" borderId="0" applyFont="0" applyFill="0" applyBorder="0" applyProtection="0"/>
    <xf numFmtId="242" fontId="58" fillId="0" borderId="0" applyFont="0" applyFill="0" applyBorder="0" applyProtection="0"/>
    <xf numFmtId="0" fontId="180" fillId="83" borderId="88" applyNumberFormat="0" applyProtection="0"/>
    <xf numFmtId="0" fontId="180" fillId="83" borderId="88" applyNumberFormat="0" applyProtection="0"/>
    <xf numFmtId="0" fontId="180" fillId="83" borderId="88" applyNumberFormat="0" applyProtection="0"/>
    <xf numFmtId="0" fontId="180" fillId="83" borderId="88" applyNumberFormat="0" applyProtection="0"/>
    <xf numFmtId="0" fontId="167" fillId="92" borderId="90" applyNumberFormat="0" applyProtection="0"/>
    <xf numFmtId="0" fontId="167" fillId="92" borderId="90" applyNumberFormat="0" applyProtection="0"/>
    <xf numFmtId="0" fontId="167" fillId="92" borderId="90" applyNumberFormat="0" applyProtection="0"/>
    <xf numFmtId="0" fontId="167" fillId="92" borderId="90" applyNumberFormat="0" applyProtection="0"/>
    <xf numFmtId="0" fontId="165" fillId="0" borderId="0" applyNumberFormat="0" applyFill="0" applyBorder="0" applyProtection="0"/>
    <xf numFmtId="0" fontId="165" fillId="0" borderId="0" applyNumberFormat="0" applyFill="0" applyBorder="0" applyProtection="0"/>
    <xf numFmtId="0" fontId="165" fillId="0" borderId="0" applyNumberFormat="0" applyFill="0" applyBorder="0" applyProtection="0"/>
    <xf numFmtId="0" fontId="165" fillId="0" borderId="0" applyNumberFormat="0" applyFill="0" applyBorder="0" applyProtection="0"/>
    <xf numFmtId="0" fontId="158" fillId="0" borderId="0" applyNumberFormat="0" applyFill="0" applyBorder="0" applyProtection="0"/>
    <xf numFmtId="0" fontId="158" fillId="0" borderId="0" applyNumberFormat="0" applyFill="0" applyBorder="0" applyProtection="0"/>
    <xf numFmtId="0" fontId="158" fillId="0" borderId="0" applyNumberFormat="0" applyFill="0" applyBorder="0" applyProtection="0"/>
    <xf numFmtId="0" fontId="158" fillId="0" borderId="0" applyNumberFormat="0" applyFill="0" applyBorder="0" applyProtection="0"/>
    <xf numFmtId="0" fontId="190" fillId="0" borderId="99" applyNumberFormat="0" applyFill="0" applyProtection="0"/>
    <xf numFmtId="0" fontId="190" fillId="0" borderId="99" applyNumberFormat="0" applyFill="0" applyProtection="0"/>
    <xf numFmtId="0" fontId="190" fillId="0" borderId="99" applyNumberFormat="0" applyFill="0" applyProtection="0"/>
    <xf numFmtId="0" fontId="190" fillId="0" borderId="99" applyNumberFormat="0" applyFill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Protection="0"/>
    <xf numFmtId="43" fontId="58" fillId="0" borderId="0" applyFont="0" applyFill="0" applyBorder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Protection="0"/>
    <xf numFmtId="43" fontId="58" fillId="0" borderId="0" applyFont="0" applyFill="0" applyBorder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Protection="0"/>
    <xf numFmtId="43" fontId="58" fillId="0" borderId="0" applyFont="0" applyFill="0" applyBorder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Protection="0"/>
    <xf numFmtId="43" fontId="58" fillId="0" borderId="0" applyFont="0" applyFill="0" applyBorder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Protection="0"/>
    <xf numFmtId="43" fontId="58" fillId="0" borderId="0" applyFont="0" applyFill="0" applyBorder="0" applyProtection="0"/>
    <xf numFmtId="43" fontId="58" fillId="0" borderId="0" applyFont="0" applyFill="0" applyBorder="0" applyProtection="0"/>
    <xf numFmtId="43" fontId="58" fillId="0" borderId="0" applyFont="0" applyFill="0" applyBorder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Protection="0"/>
    <xf numFmtId="43" fontId="58" fillId="0" borderId="0" applyFont="0" applyFill="0" applyBorder="0" applyProtection="0"/>
    <xf numFmtId="43" fontId="58" fillId="0" borderId="0" applyFont="0" applyFill="0" applyBorder="0" applyProtection="0"/>
    <xf numFmtId="0" fontId="169" fillId="102" borderId="0" applyNumberFormat="0" applyBorder="0" applyProtection="0"/>
    <xf numFmtId="0" fontId="169" fillId="102" borderId="0" applyNumberFormat="0" applyBorder="0" applyProtection="0"/>
    <xf numFmtId="0" fontId="169" fillId="102" borderId="0" applyNumberFormat="0" applyBorder="0" applyProtection="0"/>
    <xf numFmtId="0" fontId="169" fillId="102" borderId="0" applyNumberFormat="0" applyBorder="0" applyProtection="0"/>
    <xf numFmtId="0" fontId="169" fillId="93" borderId="0" applyNumberFormat="0" applyBorder="0" applyProtection="0"/>
    <xf numFmtId="0" fontId="169" fillId="93" borderId="0" applyNumberFormat="0" applyBorder="0" applyProtection="0"/>
    <xf numFmtId="0" fontId="169" fillId="93" borderId="0" applyNumberFormat="0" applyBorder="0" applyProtection="0"/>
    <xf numFmtId="0" fontId="169" fillId="93" borderId="0" applyNumberFormat="0" applyBorder="0" applyProtection="0"/>
    <xf numFmtId="0" fontId="169" fillId="81" borderId="0" applyNumberFormat="0" applyBorder="0" applyProtection="0"/>
    <xf numFmtId="0" fontId="169" fillId="81" borderId="0" applyNumberFormat="0" applyBorder="0" applyProtection="0"/>
    <xf numFmtId="0" fontId="169" fillId="81" borderId="0" applyNumberFormat="0" applyBorder="0" applyProtection="0"/>
    <xf numFmtId="0" fontId="169" fillId="81" borderId="0" applyNumberFormat="0" applyBorder="0" applyProtection="0"/>
    <xf numFmtId="0" fontId="169" fillId="98" borderId="0" applyNumberFormat="0" applyBorder="0" applyProtection="0"/>
    <xf numFmtId="0" fontId="169" fillId="98" borderId="0" applyNumberFormat="0" applyBorder="0" applyProtection="0"/>
    <xf numFmtId="0" fontId="169" fillId="98" borderId="0" applyNumberFormat="0" applyBorder="0" applyProtection="0"/>
    <xf numFmtId="0" fontId="169" fillId="98" borderId="0" applyNumberFormat="0" applyBorder="0" applyProtection="0"/>
    <xf numFmtId="0" fontId="169" fillId="96" borderId="0" applyNumberFormat="0" applyBorder="0" applyProtection="0"/>
    <xf numFmtId="0" fontId="169" fillId="96" borderId="0" applyNumberFormat="0" applyBorder="0" applyProtection="0"/>
    <xf numFmtId="0" fontId="169" fillId="96" borderId="0" applyNumberFormat="0" applyBorder="0" applyProtection="0"/>
    <xf numFmtId="0" fontId="169" fillId="96" borderId="0" applyNumberFormat="0" applyBorder="0" applyProtection="0"/>
    <xf numFmtId="0" fontId="169" fillId="97" borderId="0" applyNumberFormat="0" applyBorder="0" applyProtection="0"/>
    <xf numFmtId="0" fontId="169" fillId="97" borderId="0" applyNumberFormat="0" applyBorder="0" applyProtection="0"/>
    <xf numFmtId="0" fontId="169" fillId="97" borderId="0" applyNumberFormat="0" applyBorder="0" applyProtection="0"/>
    <xf numFmtId="0" fontId="169" fillId="97" borderId="0" applyNumberFormat="0" applyBorder="0" applyProtection="0"/>
    <xf numFmtId="0" fontId="166" fillId="79" borderId="0" applyNumberFormat="0" applyBorder="0" applyProtection="0"/>
    <xf numFmtId="0" fontId="166" fillId="79" borderId="0" applyNumberFormat="0" applyBorder="0" applyProtection="0"/>
    <xf numFmtId="0" fontId="166" fillId="79" borderId="0" applyNumberFormat="0" applyBorder="0" applyProtection="0"/>
    <xf numFmtId="0" fontId="166" fillId="79" borderId="0" applyNumberFormat="0" applyBorder="0" applyProtection="0"/>
    <xf numFmtId="0" fontId="173" fillId="83" borderId="92" applyNumberFormat="0" applyProtection="0"/>
    <xf numFmtId="0" fontId="173" fillId="83" borderId="92" applyNumberFormat="0" applyProtection="0"/>
    <xf numFmtId="0" fontId="173" fillId="83" borderId="92" applyNumberFormat="0" applyProtection="0"/>
    <xf numFmtId="0" fontId="173" fillId="83" borderId="92" applyNumberFormat="0" applyProtection="0"/>
    <xf numFmtId="0" fontId="164" fillId="89" borderId="88" applyNumberFormat="0" applyProtection="0"/>
    <xf numFmtId="0" fontId="164" fillId="89" borderId="88" applyNumberFormat="0" applyProtection="0"/>
    <xf numFmtId="0" fontId="164" fillId="89" borderId="88" applyNumberFormat="0" applyProtection="0"/>
    <xf numFmtId="0" fontId="164" fillId="89" borderId="88" applyNumberFormat="0" applyProtection="0"/>
    <xf numFmtId="0" fontId="116" fillId="88" borderId="87" applyNumberFormat="0" applyFont="0" applyProtection="0"/>
    <xf numFmtId="0" fontId="116" fillId="88" borderId="87" applyNumberFormat="0" applyFont="0" applyProtection="0"/>
    <xf numFmtId="0" fontId="116" fillId="88" borderId="87" applyNumberFormat="0" applyFont="0" applyProtection="0"/>
    <xf numFmtId="0" fontId="116" fillId="88" borderId="87" applyNumberFormat="0" applyFont="0" applyProtection="0"/>
    <xf numFmtId="0" fontId="3" fillId="0" borderId="0"/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56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0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4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68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2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76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57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5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69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3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5" fillId="77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16" fillId="58" borderId="0" applyNumberFormat="0" applyBorder="0" applyAlignment="0" applyProtection="0">
      <alignment vertical="center"/>
    </xf>
    <xf numFmtId="0" fontId="216" fillId="62" borderId="0" applyNumberFormat="0" applyBorder="0" applyAlignment="0" applyProtection="0">
      <alignment vertical="center"/>
    </xf>
    <xf numFmtId="0" fontId="216" fillId="66" borderId="0" applyNumberFormat="0" applyBorder="0" applyAlignment="0" applyProtection="0">
      <alignment vertical="center"/>
    </xf>
    <xf numFmtId="0" fontId="216" fillId="70" borderId="0" applyNumberFormat="0" applyBorder="0" applyAlignment="0" applyProtection="0">
      <alignment vertical="center"/>
    </xf>
    <xf numFmtId="0" fontId="216" fillId="74" borderId="0" applyNumberFormat="0" applyBorder="0" applyAlignment="0" applyProtection="0">
      <alignment vertical="center"/>
    </xf>
    <xf numFmtId="0" fontId="216" fillId="78" borderId="0" applyNumberFormat="0" applyBorder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1" fillId="0" borderId="76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32" fillId="0" borderId="77" applyNumberFormat="0" applyFill="0" applyAlignment="0" applyProtection="0">
      <alignment vertical="center"/>
    </xf>
    <xf numFmtId="0" fontId="291" fillId="0" borderId="0" applyNumberFormat="0" applyFill="0" applyBorder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78" applyNumberFormat="0" applyFill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3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30" fillId="0" borderId="0" applyNumberFormat="0" applyFill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221" fillId="49" borderId="0" applyNumberFormat="0" applyBorder="0" applyAlignment="0" applyProtection="0">
      <alignment vertical="center"/>
    </xf>
    <xf numFmtId="0" fontId="159" fillId="0" borderId="0"/>
    <xf numFmtId="0" fontId="159" fillId="0" borderId="0"/>
    <xf numFmtId="0" fontId="5" fillId="0" borderId="0"/>
    <xf numFmtId="0" fontId="5" fillId="0" borderId="0"/>
    <xf numFmtId="0" fontId="5" fillId="0" borderId="0"/>
    <xf numFmtId="0" fontId="159" fillId="0" borderId="0"/>
    <xf numFmtId="0" fontId="159" fillId="0" borderId="0"/>
    <xf numFmtId="0" fontId="159" fillId="0" borderId="0"/>
    <xf numFmtId="0" fontId="58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8" fillId="0" borderId="0">
      <alignment vertical="center"/>
    </xf>
    <xf numFmtId="0" fontId="58" fillId="0" borderId="0">
      <alignment vertical="center"/>
    </xf>
    <xf numFmtId="0" fontId="117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159" fillId="0" borderId="0"/>
    <xf numFmtId="0" fontId="5" fillId="0" borderId="0">
      <alignment vertical="center"/>
    </xf>
    <xf numFmtId="0" fontId="5" fillId="0" borderId="0">
      <alignment vertical="center"/>
    </xf>
    <xf numFmtId="0" fontId="58" fillId="0" borderId="0" applyProtection="0">
      <alignment vertical="center"/>
    </xf>
    <xf numFmtId="0" fontId="290" fillId="0" borderId="0" applyNumberFormat="0" applyFill="0" applyBorder="0" applyAlignment="0" applyProtection="0">
      <alignment vertical="top"/>
      <protection locked="0"/>
    </xf>
    <xf numFmtId="0" fontId="222" fillId="48" borderId="0" applyNumberFormat="0" applyBorder="0" applyAlignment="0" applyProtection="0">
      <alignment vertical="center"/>
    </xf>
    <xf numFmtId="0" fontId="222" fillId="48" borderId="0" applyNumberFormat="0" applyBorder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254" fontId="58" fillId="0" borderId="0" applyFont="0" applyFill="0" applyBorder="0" applyAlignment="0" applyProtection="0">
      <alignment vertical="center"/>
    </xf>
    <xf numFmtId="254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216" fillId="55" borderId="0" applyNumberFormat="0" applyBorder="0" applyAlignment="0" applyProtection="0">
      <alignment vertical="center"/>
    </xf>
    <xf numFmtId="0" fontId="216" fillId="59" borderId="0" applyNumberFormat="0" applyBorder="0" applyAlignment="0" applyProtection="0">
      <alignment vertical="center"/>
    </xf>
    <xf numFmtId="0" fontId="216" fillId="63" borderId="0" applyNumberFormat="0" applyBorder="0" applyAlignment="0" applyProtection="0">
      <alignment vertical="center"/>
    </xf>
    <xf numFmtId="0" fontId="216" fillId="67" borderId="0" applyNumberFormat="0" applyBorder="0" applyAlignment="0" applyProtection="0">
      <alignment vertical="center"/>
    </xf>
    <xf numFmtId="0" fontId="216" fillId="71" borderId="0" applyNumberFormat="0" applyBorder="0" applyAlignment="0" applyProtection="0">
      <alignment vertical="center"/>
    </xf>
    <xf numFmtId="0" fontId="216" fillId="75" borderId="0" applyNumberFormat="0" applyBorder="0" applyAlignment="0" applyProtection="0">
      <alignment vertical="center"/>
    </xf>
    <xf numFmtId="0" fontId="5" fillId="54" borderId="83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41" fontId="5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304" fillId="0" borderId="0" applyNumberFormat="0" applyFill="0" applyBorder="0" applyAlignment="0" applyProtection="0">
      <alignment vertical="center"/>
    </xf>
    <xf numFmtId="0" fontId="141" fillId="0" borderId="76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3" fillId="0" borderId="78" applyNumberFormat="0" applyFill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48" borderId="0" applyNumberFormat="0" applyBorder="0" applyAlignment="0" applyProtection="0">
      <alignment vertical="center"/>
    </xf>
    <xf numFmtId="0" fontId="145" fillId="49" borderId="0" applyNumberFormat="0" applyBorder="0" applyAlignment="0" applyProtection="0">
      <alignment vertical="center"/>
    </xf>
    <xf numFmtId="0" fontId="305" fillId="50" borderId="0" applyNumberFormat="0" applyBorder="0" applyAlignment="0" applyProtection="0">
      <alignment vertical="center"/>
    </xf>
    <xf numFmtId="0" fontId="146" fillId="51" borderId="79" applyNumberFormat="0" applyAlignment="0" applyProtection="0">
      <alignment vertical="center"/>
    </xf>
    <xf numFmtId="0" fontId="147" fillId="52" borderId="80" applyNumberFormat="0" applyAlignment="0" applyProtection="0">
      <alignment vertical="center"/>
    </xf>
    <xf numFmtId="0" fontId="148" fillId="52" borderId="79" applyNumberFormat="0" applyAlignment="0" applyProtection="0">
      <alignment vertical="center"/>
    </xf>
    <xf numFmtId="0" fontId="149" fillId="0" borderId="81" applyNumberFormat="0" applyFill="0" applyAlignment="0" applyProtection="0">
      <alignment vertical="center"/>
    </xf>
    <xf numFmtId="0" fontId="150" fillId="53" borderId="82" applyNumberFormat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0" fontId="153" fillId="0" borderId="84" applyNumberFormat="0" applyFill="0" applyAlignment="0" applyProtection="0">
      <alignment vertical="center"/>
    </xf>
    <xf numFmtId="0" fontId="154" fillId="55" borderId="0" applyNumberFormat="0" applyBorder="0" applyAlignment="0" applyProtection="0">
      <alignment vertical="center"/>
    </xf>
    <xf numFmtId="0" fontId="155" fillId="56" borderId="0" applyNumberFormat="0" applyBorder="0" applyAlignment="0" applyProtection="0">
      <alignment vertical="center"/>
    </xf>
    <xf numFmtId="0" fontId="155" fillId="57" borderId="0" applyNumberFormat="0" applyBorder="0" applyAlignment="0" applyProtection="0">
      <alignment vertical="center"/>
    </xf>
    <xf numFmtId="0" fontId="155" fillId="58" borderId="0" applyNumberFormat="0" applyBorder="0" applyAlignment="0" applyProtection="0">
      <alignment vertical="center"/>
    </xf>
    <xf numFmtId="0" fontId="154" fillId="59" borderId="0" applyNumberFormat="0" applyBorder="0" applyAlignment="0" applyProtection="0">
      <alignment vertical="center"/>
    </xf>
    <xf numFmtId="0" fontId="155" fillId="60" borderId="0" applyNumberFormat="0" applyBorder="0" applyAlignment="0" applyProtection="0">
      <alignment vertical="center"/>
    </xf>
    <xf numFmtId="0" fontId="155" fillId="61" borderId="0" applyNumberFormat="0" applyBorder="0" applyAlignment="0" applyProtection="0">
      <alignment vertical="center"/>
    </xf>
    <xf numFmtId="0" fontId="155" fillId="62" borderId="0" applyNumberFormat="0" applyBorder="0" applyAlignment="0" applyProtection="0">
      <alignment vertical="center"/>
    </xf>
    <xf numFmtId="0" fontId="154" fillId="63" borderId="0" applyNumberFormat="0" applyBorder="0" applyAlignment="0" applyProtection="0">
      <alignment vertical="center"/>
    </xf>
    <xf numFmtId="0" fontId="155" fillId="64" borderId="0" applyNumberFormat="0" applyBorder="0" applyAlignment="0" applyProtection="0">
      <alignment vertical="center"/>
    </xf>
    <xf numFmtId="0" fontId="155" fillId="65" borderId="0" applyNumberFormat="0" applyBorder="0" applyAlignment="0" applyProtection="0">
      <alignment vertical="center"/>
    </xf>
    <xf numFmtId="0" fontId="155" fillId="66" borderId="0" applyNumberFormat="0" applyBorder="0" applyAlignment="0" applyProtection="0">
      <alignment vertical="center"/>
    </xf>
    <xf numFmtId="0" fontId="154" fillId="67" borderId="0" applyNumberFormat="0" applyBorder="0" applyAlignment="0" applyProtection="0">
      <alignment vertical="center"/>
    </xf>
    <xf numFmtId="0" fontId="155" fillId="68" borderId="0" applyNumberFormat="0" applyBorder="0" applyAlignment="0" applyProtection="0">
      <alignment vertical="center"/>
    </xf>
    <xf numFmtId="0" fontId="155" fillId="69" borderId="0" applyNumberFormat="0" applyBorder="0" applyAlignment="0" applyProtection="0">
      <alignment vertical="center"/>
    </xf>
    <xf numFmtId="0" fontId="155" fillId="70" borderId="0" applyNumberFormat="0" applyBorder="0" applyAlignment="0" applyProtection="0">
      <alignment vertical="center"/>
    </xf>
    <xf numFmtId="0" fontId="154" fillId="71" borderId="0" applyNumberFormat="0" applyBorder="0" applyAlignment="0" applyProtection="0">
      <alignment vertical="center"/>
    </xf>
    <xf numFmtId="0" fontId="155" fillId="72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4" borderId="0" applyNumberFormat="0" applyBorder="0" applyAlignment="0" applyProtection="0">
      <alignment vertical="center"/>
    </xf>
    <xf numFmtId="0" fontId="154" fillId="75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8" borderId="0" applyNumberFormat="0" applyBorder="0" applyAlignment="0" applyProtection="0">
      <alignment vertical="center"/>
    </xf>
    <xf numFmtId="0" fontId="155" fillId="0" borderId="0">
      <alignment vertical="center"/>
    </xf>
    <xf numFmtId="9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42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41" fontId="286" fillId="0" borderId="0" applyFont="0" applyFill="0" applyBorder="0" applyAlignment="0" applyProtection="0"/>
    <xf numFmtId="0" fontId="155" fillId="0" borderId="0">
      <alignment vertical="center"/>
    </xf>
    <xf numFmtId="0" fontId="155" fillId="0" borderId="0">
      <alignment vertical="center"/>
    </xf>
    <xf numFmtId="9" fontId="286" fillId="0" borderId="0" applyFont="0" applyFill="0" applyBorder="0" applyAlignment="0" applyProtection="0"/>
    <xf numFmtId="44" fontId="286" fillId="0" borderId="0" applyFont="0" applyFill="0" applyBorder="0" applyAlignment="0" applyProtection="0"/>
    <xf numFmtId="0" fontId="159" fillId="0" borderId="0"/>
    <xf numFmtId="43" fontId="286" fillId="0" borderId="0" applyFont="0" applyFill="0" applyBorder="0" applyAlignment="0" applyProtection="0"/>
    <xf numFmtId="0" fontId="155" fillId="0" borderId="0">
      <alignment vertical="center"/>
    </xf>
    <xf numFmtId="0" fontId="159" fillId="0" borderId="0"/>
    <xf numFmtId="0" fontId="155" fillId="0" borderId="0">
      <alignment vertical="center"/>
    </xf>
    <xf numFmtId="0" fontId="5" fillId="0" borderId="0">
      <alignment vertical="center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1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155" fillId="0" borderId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  <xf numFmtId="43" fontId="58" fillId="0" borderId="0" applyFont="0" applyFill="0" applyBorder="0" applyAlignment="0" applyProtection="0">
      <alignment vertical="center"/>
    </xf>
  </cellStyleXfs>
  <cellXfs count="2795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182" fontId="0" fillId="0" borderId="0" xfId="0" applyNumberFormat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14" fontId="9" fillId="0" borderId="0" xfId="0" applyNumberFormat="1" applyFont="1" applyAlignment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184" fontId="10" fillId="2" borderId="1" xfId="0" applyNumberFormat="1" applyFont="1" applyFill="1" applyBorder="1" applyAlignment="1">
      <alignment horizontal="center" vertical="center"/>
    </xf>
    <xf numFmtId="184" fontId="10" fillId="0" borderId="1" xfId="0" applyNumberFormat="1" applyFont="1" applyBorder="1" applyAlignment="1">
      <alignment horizontal="center" vertical="center"/>
    </xf>
    <xf numFmtId="183" fontId="10" fillId="3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184" fontId="10" fillId="3" borderId="1" xfId="0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" fontId="10" fillId="3" borderId="1" xfId="0" applyNumberFormat="1" applyFont="1" applyFill="1" applyBorder="1" applyAlignment="1">
      <alignment horizontal="center" vertical="center"/>
    </xf>
    <xf numFmtId="49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6" xfId="0" applyFont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184" fontId="10" fillId="3" borderId="6" xfId="0" applyNumberFormat="1" applyFont="1" applyFill="1" applyBorder="1" applyAlignment="1">
      <alignment horizontal="center" vertical="center"/>
    </xf>
    <xf numFmtId="186" fontId="10" fillId="0" borderId="1" xfId="0" applyNumberFormat="1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186" fontId="10" fillId="3" borderId="1" xfId="0" applyNumberFormat="1" applyFont="1" applyFill="1" applyBorder="1" applyAlignment="1">
      <alignment horizontal="center" vertical="center"/>
    </xf>
    <xf numFmtId="179" fontId="10" fillId="3" borderId="1" xfId="0" applyNumberFormat="1" applyFont="1" applyFill="1" applyBorder="1" applyAlignment="1">
      <alignment horizontal="center" vertical="center"/>
    </xf>
    <xf numFmtId="189" fontId="10" fillId="3" borderId="1" xfId="0" applyNumberFormat="1" applyFont="1" applyFill="1" applyBorder="1" applyAlignment="1">
      <alignment horizontal="center" vertical="center"/>
    </xf>
    <xf numFmtId="186" fontId="10" fillId="3" borderId="6" xfId="0" applyNumberFormat="1" applyFont="1" applyFill="1" applyBorder="1" applyAlignment="1">
      <alignment horizontal="center" vertical="center"/>
    </xf>
    <xf numFmtId="191" fontId="10" fillId="3" borderId="6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14" fontId="11" fillId="0" borderId="0" xfId="0" applyNumberFormat="1" applyFont="1" applyAlignment="1">
      <alignment vertical="center"/>
    </xf>
    <xf numFmtId="191" fontId="10" fillId="0" borderId="1" xfId="0" applyNumberFormat="1" applyFont="1" applyBorder="1" applyAlignment="1">
      <alignment horizontal="center" vertical="center"/>
    </xf>
    <xf numFmtId="191" fontId="10" fillId="2" borderId="1" xfId="0" applyNumberFormat="1" applyFont="1" applyFill="1" applyBorder="1" applyAlignment="1">
      <alignment horizontal="center" vertical="center"/>
    </xf>
    <xf numFmtId="191" fontId="10" fillId="3" borderId="1" xfId="0" applyNumberFormat="1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194" fontId="10" fillId="0" borderId="1" xfId="0" applyNumberFormat="1" applyFont="1" applyBorder="1" applyAlignment="1">
      <alignment horizontal="center" vertical="center"/>
    </xf>
    <xf numFmtId="194" fontId="10" fillId="3" borderId="1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0" fontId="9" fillId="0" borderId="4" xfId="0" applyFont="1" applyBorder="1" applyAlignment="1">
      <alignment horizontal="left" vertical="center"/>
    </xf>
    <xf numFmtId="191" fontId="10" fillId="3" borderId="10" xfId="0" applyNumberFormat="1" applyFont="1" applyFill="1" applyBorder="1" applyAlignment="1">
      <alignment horizontal="center" vertical="center"/>
    </xf>
    <xf numFmtId="191" fontId="9" fillId="0" borderId="1" xfId="0" applyNumberFormat="1" applyFont="1" applyBorder="1" applyAlignment="1">
      <alignment horizontal="center" vertical="center"/>
    </xf>
    <xf numFmtId="183" fontId="9" fillId="3" borderId="1" xfId="0" applyNumberFormat="1" applyFont="1" applyFill="1" applyBorder="1" applyAlignment="1">
      <alignment horizontal="center" vertical="center"/>
    </xf>
    <xf numFmtId="191" fontId="9" fillId="3" borderId="1" xfId="0" applyNumberFormat="1" applyFont="1" applyFill="1" applyBorder="1" applyAlignment="1">
      <alignment horizontal="center" vertical="center"/>
    </xf>
    <xf numFmtId="189" fontId="9" fillId="3" borderId="1" xfId="0" applyNumberFormat="1" applyFont="1" applyFill="1" applyBorder="1" applyAlignment="1">
      <alignment horizontal="center" vertical="center"/>
    </xf>
    <xf numFmtId="0" fontId="10" fillId="3" borderId="10" xfId="0" applyFont="1" applyFill="1" applyBorder="1" applyAlignment="1">
      <alignment horizontal="center" vertical="center"/>
    </xf>
    <xf numFmtId="191" fontId="10" fillId="2" borderId="10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left" vertical="center" indent="1"/>
    </xf>
    <xf numFmtId="183" fontId="10" fillId="0" borderId="1" xfId="0" applyNumberFormat="1" applyFont="1" applyBorder="1" applyAlignment="1">
      <alignment horizontal="center" vertical="center"/>
    </xf>
    <xf numFmtId="189" fontId="9" fillId="0" borderId="1" xfId="0" applyNumberFormat="1" applyFont="1" applyBorder="1" applyAlignment="1">
      <alignment horizontal="center" vertical="center"/>
    </xf>
    <xf numFmtId="189" fontId="10" fillId="2" borderId="1" xfId="0" applyNumberFormat="1" applyFont="1" applyFill="1" applyBorder="1" applyAlignment="1">
      <alignment horizontal="center" vertical="center"/>
    </xf>
    <xf numFmtId="0" fontId="9" fillId="0" borderId="4" xfId="0" applyFont="1" applyBorder="1" applyAlignment="1">
      <alignment horizontal="left" vertical="center" indent="1"/>
    </xf>
    <xf numFmtId="0" fontId="9" fillId="3" borderId="1" xfId="0" applyFont="1" applyFill="1" applyBorder="1" applyAlignment="1">
      <alignment horizontal="center" vertical="center"/>
    </xf>
    <xf numFmtId="1" fontId="9" fillId="3" borderId="1" xfId="0" applyNumberFormat="1" applyFont="1" applyFill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14" fontId="0" fillId="0" borderId="0" xfId="0" applyNumberFormat="1"/>
    <xf numFmtId="0" fontId="9" fillId="0" borderId="4" xfId="0" applyFont="1" applyBorder="1" applyAlignment="1">
      <alignment vertical="center"/>
    </xf>
    <xf numFmtId="183" fontId="9" fillId="0" borderId="1" xfId="0" applyNumberFormat="1" applyFont="1" applyBorder="1" applyAlignment="1">
      <alignment horizontal="center" vertical="center"/>
    </xf>
    <xf numFmtId="183" fontId="10" fillId="3" borderId="6" xfId="0" applyNumberFormat="1" applyFont="1" applyFill="1" applyBorder="1" applyAlignment="1">
      <alignment horizontal="center" vertical="center"/>
    </xf>
    <xf numFmtId="183" fontId="10" fillId="0" borderId="6" xfId="0" applyNumberFormat="1" applyFont="1" applyBorder="1" applyAlignment="1">
      <alignment horizontal="center" vertical="center"/>
    </xf>
    <xf numFmtId="0" fontId="12" fillId="0" borderId="0" xfId="15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13" fillId="0" borderId="0" xfId="0" applyNumberFormat="1" applyFont="1" applyAlignment="1">
      <alignment vertical="center"/>
    </xf>
    <xf numFmtId="191" fontId="10" fillId="3" borderId="4" xfId="0" applyNumberFormat="1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center" vertical="center" wrapText="1"/>
    </xf>
    <xf numFmtId="181" fontId="10" fillId="3" borderId="1" xfId="0" applyNumberFormat="1" applyFont="1" applyFill="1" applyBorder="1" applyAlignment="1">
      <alignment horizontal="center" vertical="center"/>
    </xf>
    <xf numFmtId="198" fontId="10" fillId="3" borderId="1" xfId="0" applyNumberFormat="1" applyFont="1" applyFill="1" applyBorder="1" applyAlignment="1">
      <alignment horizontal="center" vertical="center"/>
    </xf>
    <xf numFmtId="200" fontId="10" fillId="3" borderId="1" xfId="0" applyNumberFormat="1" applyFont="1" applyFill="1" applyBorder="1" applyAlignment="1">
      <alignment horizontal="center" vertical="center"/>
    </xf>
    <xf numFmtId="191" fontId="10" fillId="3" borderId="5" xfId="0" applyNumberFormat="1" applyFont="1" applyFill="1" applyBorder="1" applyAlignment="1">
      <alignment horizontal="left" vertical="center"/>
    </xf>
    <xf numFmtId="0" fontId="11" fillId="0" borderId="0" xfId="0" applyFont="1" applyAlignment="1">
      <alignment horizontal="center" vertical="center"/>
    </xf>
    <xf numFmtId="204" fontId="10" fillId="3" borderId="1" xfId="0" applyNumberFormat="1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 wrapText="1"/>
    </xf>
    <xf numFmtId="183" fontId="9" fillId="3" borderId="8" xfId="0" applyNumberFormat="1" applyFont="1" applyFill="1" applyBorder="1" applyAlignment="1">
      <alignment horizontal="center" vertical="center"/>
    </xf>
    <xf numFmtId="183" fontId="10" fillId="3" borderId="8" xfId="0" applyNumberFormat="1" applyFont="1" applyFill="1" applyBorder="1" applyAlignment="1">
      <alignment horizontal="center" vertical="center"/>
    </xf>
    <xf numFmtId="183" fontId="10" fillId="3" borderId="19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vertical="center"/>
    </xf>
    <xf numFmtId="2" fontId="14" fillId="0" borderId="1" xfId="0" applyNumberFormat="1" applyFont="1" applyBorder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/>
    </xf>
    <xf numFmtId="207" fontId="14" fillId="0" borderId="1" xfId="0" applyNumberFormat="1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 indent="1"/>
    </xf>
    <xf numFmtId="2" fontId="15" fillId="0" borderId="1" xfId="0" applyNumberFormat="1" applyFont="1" applyBorder="1" applyAlignment="1">
      <alignment horizontal="center" vertical="center"/>
    </xf>
    <xf numFmtId="1" fontId="15" fillId="0" borderId="1" xfId="0" applyNumberFormat="1" applyFont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207" fontId="15" fillId="0" borderId="1" xfId="0" applyNumberFormat="1" applyFont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209" fontId="15" fillId="0" borderId="1" xfId="0" applyNumberFormat="1" applyFont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207" fontId="14" fillId="4" borderId="1" xfId="0" applyNumberFormat="1" applyFont="1" applyFill="1" applyBorder="1" applyAlignment="1">
      <alignment horizontal="left" vertical="center"/>
    </xf>
    <xf numFmtId="207" fontId="15" fillId="4" borderId="1" xfId="0" applyNumberFormat="1" applyFont="1" applyFill="1" applyBorder="1" applyAlignment="1">
      <alignment horizontal="left" vertical="center"/>
    </xf>
    <xf numFmtId="1" fontId="14" fillId="0" borderId="1" xfId="0" applyNumberFormat="1" applyFont="1" applyFill="1" applyBorder="1" applyAlignment="1">
      <alignment horizontal="center" vertical="center"/>
    </xf>
    <xf numFmtId="210" fontId="14" fillId="0" borderId="1" xfId="0" applyNumberFormat="1" applyFont="1" applyFill="1" applyBorder="1" applyAlignment="1">
      <alignment horizontal="left" vertical="center"/>
    </xf>
    <xf numFmtId="207" fontId="14" fillId="0" borderId="1" xfId="0" applyNumberFormat="1" applyFont="1" applyFill="1" applyBorder="1" applyAlignment="1">
      <alignment horizontal="left" vertical="center"/>
    </xf>
    <xf numFmtId="0" fontId="14" fillId="0" borderId="1" xfId="0" applyFont="1" applyFill="1" applyBorder="1" applyAlignment="1">
      <alignment horizontal="center" vertical="center"/>
    </xf>
    <xf numFmtId="9" fontId="14" fillId="0" borderId="0" xfId="0" applyNumberFormat="1" applyFont="1" applyAlignment="1">
      <alignment vertical="center"/>
    </xf>
    <xf numFmtId="1" fontId="15" fillId="0" borderId="0" xfId="0" applyNumberFormat="1" applyFont="1" applyAlignment="1">
      <alignment vertical="center"/>
    </xf>
    <xf numFmtId="0" fontId="5" fillId="0" borderId="0" xfId="12" applyAlignment="1">
      <alignment vertical="center"/>
    </xf>
    <xf numFmtId="0" fontId="5" fillId="0" borderId="0" xfId="12" applyAlignment="1">
      <alignment horizontal="center" vertical="center"/>
    </xf>
    <xf numFmtId="0" fontId="5" fillId="0" borderId="1" xfId="12" applyBorder="1" applyAlignment="1">
      <alignment vertical="center"/>
    </xf>
    <xf numFmtId="0" fontId="5" fillId="0" borderId="1" xfId="12" applyBorder="1" applyAlignment="1">
      <alignment horizontal="center" vertical="center"/>
    </xf>
    <xf numFmtId="188" fontId="5" fillId="0" borderId="1" xfId="12" applyNumberFormat="1" applyBorder="1" applyAlignment="1">
      <alignment horizontal="center" vertical="center"/>
    </xf>
    <xf numFmtId="183" fontId="5" fillId="0" borderId="1" xfId="12" applyNumberFormat="1" applyBorder="1" applyAlignment="1">
      <alignment horizontal="center" vertical="center"/>
    </xf>
    <xf numFmtId="188" fontId="5" fillId="0" borderId="0" xfId="12" applyNumberFormat="1" applyAlignment="1">
      <alignment horizontal="center" vertical="center"/>
    </xf>
    <xf numFmtId="0" fontId="16" fillId="0" borderId="0" xfId="12" applyFont="1" applyAlignment="1">
      <alignment horizontal="left" vertical="center" wrapText="1"/>
    </xf>
    <xf numFmtId="0" fontId="17" fillId="0" borderId="0" xfId="12" applyFont="1" applyAlignment="1">
      <alignment horizontal="left" vertical="center" wrapText="1"/>
    </xf>
    <xf numFmtId="2" fontId="5" fillId="0" borderId="0" xfId="12" applyNumberFormat="1" applyAlignment="1">
      <alignment vertical="center"/>
    </xf>
    <xf numFmtId="183" fontId="5" fillId="0" borderId="0" xfId="12" applyNumberFormat="1" applyAlignment="1">
      <alignment horizontal="center" vertical="center"/>
    </xf>
    <xf numFmtId="183" fontId="5" fillId="0" borderId="1" xfId="12" applyNumberFormat="1" applyBorder="1" applyAlignment="1">
      <alignment vertical="center"/>
    </xf>
    <xf numFmtId="206" fontId="5" fillId="0" borderId="0" xfId="12" applyNumberFormat="1" applyAlignment="1">
      <alignment horizontal="center" vertical="center"/>
    </xf>
    <xf numFmtId="178" fontId="5" fillId="0" borderId="1" xfId="12" applyNumberFormat="1" applyBorder="1" applyAlignment="1">
      <alignment horizontal="center" vertical="center"/>
    </xf>
    <xf numFmtId="206" fontId="5" fillId="0" borderId="1" xfId="12" applyNumberFormat="1" applyBorder="1" applyAlignment="1">
      <alignment horizontal="center" vertical="center"/>
    </xf>
    <xf numFmtId="209" fontId="5" fillId="0" borderId="1" xfId="12" applyNumberFormat="1" applyBorder="1" applyAlignment="1">
      <alignment horizontal="center" vertical="center"/>
    </xf>
    <xf numFmtId="183" fontId="5" fillId="0" borderId="0" xfId="12" applyNumberFormat="1" applyAlignment="1">
      <alignment vertical="center"/>
    </xf>
    <xf numFmtId="0" fontId="18" fillId="0" borderId="0" xfId="15" applyFont="1" applyAlignment="1">
      <alignment horizontal="center" vertical="center"/>
    </xf>
    <xf numFmtId="0" fontId="18" fillId="0" borderId="20" xfId="15" applyFont="1" applyBorder="1" applyAlignment="1">
      <alignment horizontal="center" vertical="center"/>
    </xf>
    <xf numFmtId="0" fontId="5" fillId="0" borderId="20" xfId="15" applyBorder="1" applyAlignment="1">
      <alignment vertical="center"/>
    </xf>
    <xf numFmtId="0" fontId="5" fillId="0" borderId="0" xfId="15" applyAlignment="1">
      <alignment vertical="center"/>
    </xf>
    <xf numFmtId="0" fontId="5" fillId="0" borderId="0" xfId="15" applyAlignment="1">
      <alignment horizontal="center" vertical="center"/>
    </xf>
    <xf numFmtId="1" fontId="5" fillId="0" borderId="0" xfId="15" applyNumberFormat="1" applyAlignment="1">
      <alignment horizontal="center" vertical="center"/>
    </xf>
    <xf numFmtId="0" fontId="5" fillId="0" borderId="20" xfId="15" applyBorder="1" applyAlignment="1">
      <alignment horizontal="center" vertical="center"/>
    </xf>
    <xf numFmtId="1" fontId="5" fillId="0" borderId="20" xfId="15" applyNumberFormat="1" applyBorder="1" applyAlignment="1">
      <alignment horizontal="center" vertical="center"/>
    </xf>
    <xf numFmtId="0" fontId="5" fillId="2" borderId="0" xfId="15" applyFill="1" applyAlignment="1">
      <alignment vertical="center"/>
    </xf>
    <xf numFmtId="3" fontId="5" fillId="0" borderId="0" xfId="15" applyNumberFormat="1" applyAlignment="1">
      <alignment vertical="center"/>
    </xf>
    <xf numFmtId="1" fontId="6" fillId="0" borderId="1" xfId="0" applyNumberFormat="1" applyFont="1" applyBorder="1" applyAlignment="1">
      <alignment horizontal="center" vertical="center"/>
    </xf>
    <xf numFmtId="1" fontId="5" fillId="0" borderId="0" xfId="15" applyNumberFormat="1" applyAlignment="1">
      <alignment vertical="center"/>
    </xf>
    <xf numFmtId="211" fontId="5" fillId="0" borderId="20" xfId="15" applyNumberFormat="1" applyBorder="1" applyAlignment="1">
      <alignment horizontal="center" vertical="center"/>
    </xf>
    <xf numFmtId="1" fontId="5" fillId="0" borderId="20" xfId="15" applyNumberFormat="1" applyBorder="1" applyAlignment="1">
      <alignment vertical="center"/>
    </xf>
    <xf numFmtId="0" fontId="19" fillId="0" borderId="0" xfId="15" applyFont="1" applyAlignment="1">
      <alignment vertical="center"/>
    </xf>
    <xf numFmtId="0" fontId="14" fillId="5" borderId="0" xfId="0" applyFont="1" applyFill="1"/>
    <xf numFmtId="0" fontId="14" fillId="6" borderId="0" xfId="0" applyFont="1" applyFill="1"/>
    <xf numFmtId="0" fontId="15" fillId="5" borderId="0" xfId="0" applyFont="1" applyFill="1"/>
    <xf numFmtId="0" fontId="20" fillId="0" borderId="0" xfId="0" applyFont="1"/>
    <xf numFmtId="0" fontId="14" fillId="0" borderId="0" xfId="0" applyFont="1"/>
    <xf numFmtId="0" fontId="19" fillId="0" borderId="0" xfId="0" applyFont="1"/>
    <xf numFmtId="0" fontId="15" fillId="0" borderId="0" xfId="0" applyFont="1"/>
    <xf numFmtId="1" fontId="14" fillId="5" borderId="0" xfId="0" applyNumberFormat="1" applyFont="1" applyFill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2" fontId="15" fillId="0" borderId="0" xfId="0" applyNumberFormat="1" applyFont="1"/>
    <xf numFmtId="1" fontId="15" fillId="0" borderId="0" xfId="0" applyNumberFormat="1" applyFont="1"/>
    <xf numFmtId="1" fontId="14" fillId="5" borderId="0" xfId="0" applyNumberFormat="1" applyFont="1" applyFill="1"/>
    <xf numFmtId="211" fontId="15" fillId="0" borderId="0" xfId="0" applyNumberFormat="1" applyFont="1"/>
    <xf numFmtId="1" fontId="19" fillId="0" borderId="0" xfId="0" applyNumberFormat="1" applyFont="1"/>
    <xf numFmtId="209" fontId="15" fillId="0" borderId="0" xfId="0" applyNumberFormat="1" applyFont="1"/>
    <xf numFmtId="0" fontId="21" fillId="0" borderId="0" xfId="1" applyFont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0" xfId="0" applyFont="1" applyBorder="1"/>
    <xf numFmtId="0" fontId="15" fillId="0" borderId="0" xfId="0" applyFont="1" applyBorder="1" applyAlignment="1">
      <alignment horizontal="left"/>
    </xf>
    <xf numFmtId="0" fontId="21" fillId="0" borderId="0" xfId="1" applyFont="1" applyAlignment="1">
      <alignment horizontal="left" vertical="center"/>
    </xf>
    <xf numFmtId="0" fontId="14" fillId="0" borderId="0" xfId="13" applyFont="1" applyFill="1" applyBorder="1" applyAlignment="1">
      <alignment horizontal="center" vertical="center"/>
    </xf>
    <xf numFmtId="0" fontId="14" fillId="0" borderId="0" xfId="13" applyFont="1" applyFill="1" applyBorder="1" applyAlignment="1">
      <alignment horizontal="left" vertical="center" wrapText="1"/>
    </xf>
    <xf numFmtId="209" fontId="14" fillId="0" borderId="0" xfId="0" applyNumberFormat="1" applyFont="1" applyBorder="1" applyAlignment="1">
      <alignment horizontal="center" vertical="center"/>
    </xf>
    <xf numFmtId="0" fontId="15" fillId="0" borderId="0" xfId="13" applyFont="1" applyFill="1" applyBorder="1" applyAlignment="1">
      <alignment horizontal="center" vertical="center"/>
    </xf>
    <xf numFmtId="0" fontId="15" fillId="0" borderId="0" xfId="14" applyFont="1" applyFill="1" applyBorder="1" applyAlignment="1">
      <alignment horizontal="left" vertical="center"/>
    </xf>
    <xf numFmtId="209" fontId="15" fillId="0" borderId="0" xfId="0" applyNumberFormat="1" applyFont="1" applyBorder="1" applyAlignment="1">
      <alignment horizontal="center" vertical="center"/>
    </xf>
    <xf numFmtId="0" fontId="22" fillId="0" borderId="0" xfId="0" applyFont="1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 wrapText="1"/>
    </xf>
    <xf numFmtId="2" fontId="14" fillId="0" borderId="0" xfId="0" applyNumberFormat="1" applyFont="1" applyBorder="1" applyAlignment="1">
      <alignment horizontal="center"/>
    </xf>
    <xf numFmtId="2" fontId="15" fillId="0" borderId="0" xfId="0" applyNumberFormat="1" applyFont="1" applyBorder="1" applyAlignment="1">
      <alignment horizontal="center"/>
    </xf>
    <xf numFmtId="0" fontId="0" fillId="0" borderId="0" xfId="0" applyAlignment="1">
      <alignment horizontal="center" wrapText="1"/>
    </xf>
    <xf numFmtId="0" fontId="24" fillId="0" borderId="0" xfId="0" applyFont="1"/>
    <xf numFmtId="211" fontId="0" fillId="0" borderId="0" xfId="0" applyNumberFormat="1" applyAlignment="1">
      <alignment horizontal="center" wrapText="1"/>
    </xf>
    <xf numFmtId="211" fontId="0" fillId="0" borderId="0" xfId="0" applyNumberFormat="1"/>
    <xf numFmtId="2" fontId="0" fillId="0" borderId="0" xfId="0" applyNumberFormat="1" applyAlignment="1">
      <alignment horizontal="center" wrapText="1"/>
    </xf>
    <xf numFmtId="2" fontId="0" fillId="0" borderId="0" xfId="0" applyNumberFormat="1"/>
    <xf numFmtId="1" fontId="0" fillId="0" borderId="0" xfId="0" applyNumberFormat="1" applyAlignment="1">
      <alignment horizontal="center" wrapText="1"/>
    </xf>
    <xf numFmtId="1" fontId="0" fillId="0" borderId="0" xfId="0" applyNumberFormat="1"/>
    <xf numFmtId="0" fontId="0" fillId="0" borderId="0" xfId="0" applyAlignment="1">
      <alignment wrapText="1"/>
    </xf>
    <xf numFmtId="0" fontId="5" fillId="0" borderId="0" xfId="0" applyFont="1"/>
    <xf numFmtId="0" fontId="25" fillId="0" borderId="0" xfId="15" applyFont="1" applyAlignment="1">
      <alignment horizontal="center" vertical="center"/>
    </xf>
    <xf numFmtId="0" fontId="25" fillId="0" borderId="20" xfId="15" applyFont="1" applyBorder="1" applyAlignment="1">
      <alignment horizontal="center" vertical="center"/>
    </xf>
    <xf numFmtId="0" fontId="10" fillId="0" borderId="0" xfId="15" applyFont="1" applyBorder="1" applyAlignment="1">
      <alignment vertical="center"/>
    </xf>
    <xf numFmtId="0" fontId="10" fillId="0" borderId="20" xfId="15" applyFont="1" applyBorder="1" applyAlignment="1">
      <alignment vertical="center"/>
    </xf>
    <xf numFmtId="0" fontId="10" fillId="7" borderId="0" xfId="15" applyFont="1" applyFill="1" applyBorder="1" applyAlignment="1">
      <alignment vertical="center"/>
    </xf>
    <xf numFmtId="0" fontId="10" fillId="7" borderId="20" xfId="15" applyFont="1" applyFill="1" applyBorder="1" applyAlignment="1">
      <alignment vertical="center"/>
    </xf>
    <xf numFmtId="0" fontId="10" fillId="0" borderId="21" xfId="15" applyFont="1" applyBorder="1" applyAlignment="1">
      <alignment vertical="center"/>
    </xf>
    <xf numFmtId="0" fontId="26" fillId="0" borderId="21" xfId="15" applyFont="1" applyBorder="1" applyAlignment="1">
      <alignment vertical="center"/>
    </xf>
    <xf numFmtId="0" fontId="25" fillId="0" borderId="0" xfId="15" applyFont="1" applyAlignment="1">
      <alignment vertical="center"/>
    </xf>
    <xf numFmtId="0" fontId="25" fillId="0" borderId="20" xfId="15" applyFont="1" applyBorder="1" applyAlignment="1">
      <alignment vertical="center"/>
    </xf>
    <xf numFmtId="0" fontId="9" fillId="0" borderId="22" xfId="15" applyFont="1" applyBorder="1" applyAlignment="1">
      <alignment horizontal="center" vertical="center"/>
    </xf>
    <xf numFmtId="0" fontId="9" fillId="0" borderId="0" xfId="15" applyFont="1" applyAlignment="1">
      <alignment horizontal="center" vertical="center"/>
    </xf>
    <xf numFmtId="0" fontId="10" fillId="0" borderId="0" xfId="0" applyFont="1"/>
    <xf numFmtId="0" fontId="9" fillId="8" borderId="0" xfId="15" applyFont="1" applyFill="1" applyAlignment="1">
      <alignment vertical="center"/>
    </xf>
    <xf numFmtId="0" fontId="10" fillId="8" borderId="0" xfId="15" applyFont="1" applyFill="1" applyAlignment="1">
      <alignment vertical="center"/>
    </xf>
    <xf numFmtId="0" fontId="10" fillId="0" borderId="23" xfId="15" applyFont="1" applyBorder="1" applyAlignment="1">
      <alignment vertical="center"/>
    </xf>
    <xf numFmtId="0" fontId="27" fillId="0" borderId="20" xfId="0" applyFont="1" applyBorder="1"/>
    <xf numFmtId="0" fontId="10" fillId="0" borderId="0" xfId="15" applyFont="1" applyAlignment="1">
      <alignment vertical="center"/>
    </xf>
    <xf numFmtId="0" fontId="25" fillId="0" borderId="20" xfId="18" applyNumberFormat="1" applyFont="1" applyBorder="1" applyAlignment="1">
      <alignment horizontal="center" vertical="center"/>
    </xf>
    <xf numFmtId="0" fontId="10" fillId="0" borderId="0" xfId="18" applyNumberFormat="1" applyFont="1" applyAlignment="1">
      <alignment horizontal="left" vertical="center" shrinkToFit="1"/>
    </xf>
    <xf numFmtId="1" fontId="10" fillId="0" borderId="0" xfId="18" applyNumberFormat="1" applyFont="1" applyAlignment="1">
      <alignment horizontal="right" vertical="center"/>
    </xf>
    <xf numFmtId="0" fontId="10" fillId="0" borderId="0" xfId="18" applyNumberFormat="1" applyFont="1" applyBorder="1" applyAlignment="1">
      <alignment horizontal="left" vertical="center" shrinkToFit="1"/>
    </xf>
    <xf numFmtId="1" fontId="10" fillId="0" borderId="0" xfId="18" applyNumberFormat="1" applyFont="1" applyBorder="1" applyAlignment="1">
      <alignment horizontal="right" vertical="center"/>
    </xf>
    <xf numFmtId="0" fontId="10" fillId="0" borderId="20" xfId="18" applyNumberFormat="1" applyFont="1" applyBorder="1" applyAlignment="1">
      <alignment horizontal="left" vertical="center" shrinkToFit="1"/>
    </xf>
    <xf numFmtId="1" fontId="10" fillId="0" borderId="20" xfId="18" applyNumberFormat="1" applyFont="1" applyBorder="1" applyAlignment="1">
      <alignment horizontal="right" vertical="center"/>
    </xf>
    <xf numFmtId="0" fontId="10" fillId="7" borderId="0" xfId="18" applyNumberFormat="1" applyFont="1" applyFill="1" applyBorder="1" applyAlignment="1">
      <alignment horizontal="left" vertical="center" shrinkToFit="1"/>
    </xf>
    <xf numFmtId="1" fontId="10" fillId="7" borderId="0" xfId="18" applyNumberFormat="1" applyFont="1" applyFill="1" applyBorder="1" applyAlignment="1">
      <alignment horizontal="right" vertical="center"/>
    </xf>
    <xf numFmtId="1" fontId="10" fillId="7" borderId="0" xfId="15" applyNumberFormat="1" applyFont="1" applyFill="1" applyBorder="1" applyAlignment="1">
      <alignment horizontal="right" vertical="center"/>
    </xf>
    <xf numFmtId="0" fontId="10" fillId="7" borderId="20" xfId="18" applyNumberFormat="1" applyFont="1" applyFill="1" applyBorder="1" applyAlignment="1">
      <alignment horizontal="left" vertical="center" shrinkToFit="1"/>
    </xf>
    <xf numFmtId="1" fontId="10" fillId="7" borderId="20" xfId="18" applyNumberFormat="1" applyFont="1" applyFill="1" applyBorder="1" applyAlignment="1">
      <alignment horizontal="right" vertical="center"/>
    </xf>
    <xf numFmtId="1" fontId="10" fillId="7" borderId="20" xfId="15" applyNumberFormat="1" applyFont="1" applyFill="1" applyBorder="1" applyAlignment="1">
      <alignment horizontal="right" vertical="center"/>
    </xf>
    <xf numFmtId="0" fontId="10" fillId="0" borderId="21" xfId="18" applyNumberFormat="1" applyFont="1" applyBorder="1" applyAlignment="1">
      <alignment horizontal="left" vertical="center" shrinkToFit="1"/>
    </xf>
    <xf numFmtId="1" fontId="10" fillId="0" borderId="21" xfId="18" applyNumberFormat="1" applyFont="1" applyBorder="1" applyAlignment="1">
      <alignment horizontal="right" vertical="center"/>
    </xf>
    <xf numFmtId="0" fontId="10" fillId="0" borderId="0" xfId="0" applyFont="1" applyAlignment="1">
      <alignment horizontal="left" vertical="center" shrinkToFit="1"/>
    </xf>
    <xf numFmtId="0" fontId="26" fillId="0" borderId="21" xfId="18" applyNumberFormat="1" applyFont="1" applyBorder="1" applyAlignment="1">
      <alignment vertical="center" shrinkToFit="1"/>
    </xf>
    <xf numFmtId="1" fontId="26" fillId="0" borderId="21" xfId="18" applyNumberFormat="1" applyFont="1" applyBorder="1" applyAlignment="1">
      <alignment horizontal="right" vertical="center"/>
    </xf>
    <xf numFmtId="0" fontId="25" fillId="0" borderId="0" xfId="18" applyNumberFormat="1" applyFont="1" applyAlignment="1">
      <alignment vertical="center" shrinkToFit="1"/>
    </xf>
    <xf numFmtId="1" fontId="25" fillId="0" borderId="0" xfId="18" applyNumberFormat="1" applyFont="1" applyAlignment="1">
      <alignment horizontal="right" vertical="center"/>
    </xf>
    <xf numFmtId="0" fontId="25" fillId="0" borderId="20" xfId="18" applyNumberFormat="1" applyFont="1" applyBorder="1" applyAlignment="1">
      <alignment horizontal="left" vertical="center" shrinkToFit="1"/>
    </xf>
    <xf numFmtId="1" fontId="25" fillId="0" borderId="20" xfId="18" applyNumberFormat="1" applyFont="1" applyBorder="1" applyAlignment="1">
      <alignment horizontal="right" vertical="center"/>
    </xf>
    <xf numFmtId="0" fontId="9" fillId="0" borderId="22" xfId="18" applyNumberFormat="1" applyFont="1" applyBorder="1" applyAlignment="1">
      <alignment horizontal="center" vertical="center" shrinkToFit="1"/>
    </xf>
    <xf numFmtId="1" fontId="9" fillId="0" borderId="22" xfId="18" applyNumberFormat="1" applyFont="1" applyBorder="1" applyAlignment="1">
      <alignment horizontal="center" vertical="center"/>
    </xf>
    <xf numFmtId="0" fontId="9" fillId="0" borderId="0" xfId="18" applyNumberFormat="1" applyFont="1" applyAlignment="1">
      <alignment horizontal="center" vertical="center" shrinkToFit="1"/>
    </xf>
    <xf numFmtId="1" fontId="9" fillId="0" borderId="0" xfId="18" applyNumberFormat="1" applyFont="1" applyAlignment="1">
      <alignment horizontal="center" vertical="center"/>
    </xf>
    <xf numFmtId="1" fontId="10" fillId="0" borderId="0" xfId="0" applyNumberFormat="1" applyFont="1" applyAlignment="1">
      <alignment horizontal="right"/>
    </xf>
    <xf numFmtId="1" fontId="9" fillId="8" borderId="0" xfId="15" applyNumberFormat="1" applyFont="1" applyFill="1" applyAlignment="1">
      <alignment horizontal="right" vertical="center"/>
    </xf>
    <xf numFmtId="0" fontId="10" fillId="8" borderId="0" xfId="18" applyNumberFormat="1" applyFont="1" applyFill="1" applyAlignment="1">
      <alignment vertical="center" shrinkToFit="1"/>
    </xf>
    <xf numFmtId="1" fontId="10" fillId="8" borderId="0" xfId="18" applyNumberFormat="1" applyFont="1" applyFill="1" applyAlignment="1">
      <alignment horizontal="right" vertical="center"/>
    </xf>
    <xf numFmtId="1" fontId="27" fillId="0" borderId="20" xfId="0" applyNumberFormat="1" applyFont="1" applyBorder="1"/>
    <xf numFmtId="1" fontId="10" fillId="0" borderId="0" xfId="15" applyNumberFormat="1" applyFont="1" applyAlignment="1">
      <alignment vertical="center"/>
    </xf>
    <xf numFmtId="1" fontId="10" fillId="0" borderId="0" xfId="15" applyNumberFormat="1" applyFont="1" applyBorder="1" applyAlignment="1">
      <alignment horizontal="right" vertical="center"/>
    </xf>
    <xf numFmtId="1" fontId="10" fillId="0" borderId="0" xfId="15" applyNumberFormat="1" applyFont="1" applyBorder="1" applyAlignment="1">
      <alignment vertical="center"/>
    </xf>
    <xf numFmtId="1" fontId="10" fillId="0" borderId="20" xfId="15" applyNumberFormat="1" applyFont="1" applyBorder="1" applyAlignment="1">
      <alignment vertical="center"/>
    </xf>
    <xf numFmtId="1" fontId="10" fillId="0" borderId="0" xfId="15" applyNumberFormat="1" applyFont="1" applyFill="1" applyBorder="1" applyAlignment="1" applyProtection="1">
      <alignment vertical="center"/>
    </xf>
    <xf numFmtId="1" fontId="10" fillId="7" borderId="0" xfId="15" applyNumberFormat="1" applyFont="1" applyFill="1" applyBorder="1" applyAlignment="1">
      <alignment vertical="center"/>
    </xf>
    <xf numFmtId="1" fontId="10" fillId="7" borderId="20" xfId="15" applyNumberFormat="1" applyFont="1" applyFill="1" applyBorder="1" applyAlignment="1">
      <alignment vertical="center"/>
    </xf>
    <xf numFmtId="1" fontId="10" fillId="0" borderId="21" xfId="15" applyNumberFormat="1" applyFont="1" applyBorder="1" applyAlignment="1">
      <alignment vertical="center"/>
    </xf>
    <xf numFmtId="1" fontId="26" fillId="0" borderId="21" xfId="15" applyNumberFormat="1" applyFont="1" applyBorder="1" applyAlignment="1">
      <alignment vertical="center"/>
    </xf>
    <xf numFmtId="1" fontId="25" fillId="0" borderId="0" xfId="15" applyNumberFormat="1" applyFont="1" applyAlignment="1">
      <alignment vertical="center"/>
    </xf>
    <xf numFmtId="1" fontId="25" fillId="0" borderId="20" xfId="15" applyNumberFormat="1" applyFont="1" applyBorder="1" applyAlignment="1">
      <alignment vertical="center"/>
    </xf>
    <xf numFmtId="1" fontId="9" fillId="0" borderId="22" xfId="15" applyNumberFormat="1" applyFont="1" applyBorder="1" applyAlignment="1">
      <alignment horizontal="center" vertical="center"/>
    </xf>
    <xf numFmtId="211" fontId="10" fillId="0" borderId="0" xfId="15" applyNumberFormat="1" applyFont="1" applyBorder="1" applyAlignment="1">
      <alignment vertical="center"/>
    </xf>
    <xf numFmtId="211" fontId="10" fillId="7" borderId="0" xfId="15" applyNumberFormat="1" applyFont="1" applyFill="1" applyBorder="1" applyAlignment="1">
      <alignment vertical="center"/>
    </xf>
    <xf numFmtId="0" fontId="18" fillId="0" borderId="0" xfId="0" applyFont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28" fillId="0" borderId="0" xfId="0" applyFont="1" applyBorder="1"/>
    <xf numFmtId="0" fontId="28" fillId="0" borderId="20" xfId="0" applyFont="1" applyBorder="1"/>
    <xf numFmtId="0" fontId="28" fillId="0" borderId="21" xfId="0" applyFont="1" applyBorder="1"/>
    <xf numFmtId="0" fontId="29" fillId="0" borderId="21" xfId="0" applyFont="1" applyBorder="1"/>
    <xf numFmtId="0" fontId="18" fillId="0" borderId="0" xfId="0" applyFont="1"/>
    <xf numFmtId="0" fontId="18" fillId="0" borderId="20" xfId="0" applyFont="1" applyBorder="1"/>
    <xf numFmtId="0" fontId="28" fillId="0" borderId="22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29" fillId="0" borderId="0" xfId="0" applyFont="1"/>
    <xf numFmtId="0" fontId="28" fillId="0" borderId="23" xfId="0" applyFont="1" applyBorder="1"/>
    <xf numFmtId="0" fontId="29" fillId="0" borderId="20" xfId="0" applyFont="1" applyBorder="1"/>
    <xf numFmtId="0" fontId="28" fillId="0" borderId="0" xfId="0" applyFont="1"/>
    <xf numFmtId="1" fontId="28" fillId="0" borderId="0" xfId="0" applyNumberFormat="1" applyFont="1" applyAlignment="1">
      <alignment horizontal="right" vertical="center"/>
    </xf>
    <xf numFmtId="1" fontId="28" fillId="0" borderId="0" xfId="0" applyNumberFormat="1" applyFont="1" applyBorder="1" applyAlignment="1">
      <alignment horizontal="right" vertical="center"/>
    </xf>
    <xf numFmtId="1" fontId="28" fillId="0" borderId="20" xfId="0" applyNumberFormat="1" applyFont="1" applyBorder="1" applyAlignment="1">
      <alignment horizontal="right" vertical="center"/>
    </xf>
    <xf numFmtId="1" fontId="28" fillId="0" borderId="21" xfId="0" applyNumberFormat="1" applyFont="1" applyBorder="1" applyAlignment="1">
      <alignment horizontal="right" vertical="center"/>
    </xf>
    <xf numFmtId="1" fontId="29" fillId="0" borderId="21" xfId="0" applyNumberFormat="1" applyFont="1" applyBorder="1" applyAlignment="1">
      <alignment horizontal="right" vertical="center"/>
    </xf>
    <xf numFmtId="1" fontId="18" fillId="0" borderId="0" xfId="0" applyNumberFormat="1" applyFont="1" applyAlignment="1">
      <alignment horizontal="right" vertical="center"/>
    </xf>
    <xf numFmtId="1" fontId="18" fillId="0" borderId="20" xfId="0" applyNumberFormat="1" applyFont="1" applyBorder="1" applyAlignment="1">
      <alignment horizontal="right" vertical="center"/>
    </xf>
    <xf numFmtId="1" fontId="28" fillId="0" borderId="22" xfId="0" applyNumberFormat="1" applyFont="1" applyBorder="1" applyAlignment="1">
      <alignment horizontal="center" vertical="center"/>
    </xf>
    <xf numFmtId="1" fontId="2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left"/>
    </xf>
    <xf numFmtId="1" fontId="18" fillId="0" borderId="0" xfId="0" applyNumberFormat="1" applyFont="1" applyAlignment="1">
      <alignment horizontal="right"/>
    </xf>
    <xf numFmtId="1" fontId="28" fillId="0" borderId="0" xfId="0" applyNumberFormat="1" applyFont="1" applyAlignment="1">
      <alignment horizontal="right"/>
    </xf>
    <xf numFmtId="1" fontId="28" fillId="0" borderId="0" xfId="0" applyNumberFormat="1" applyFont="1"/>
    <xf numFmtId="1" fontId="29" fillId="0" borderId="0" xfId="0" applyNumberFormat="1" applyFont="1"/>
    <xf numFmtId="1" fontId="29" fillId="0" borderId="20" xfId="0" applyNumberFormat="1" applyFont="1" applyBorder="1"/>
    <xf numFmtId="1" fontId="28" fillId="0" borderId="23" xfId="0" applyNumberFormat="1" applyFont="1" applyBorder="1"/>
    <xf numFmtId="4" fontId="28" fillId="0" borderId="0" xfId="0" applyNumberFormat="1" applyFont="1"/>
    <xf numFmtId="2" fontId="28" fillId="0" borderId="0" xfId="0" applyNumberFormat="1" applyFont="1"/>
    <xf numFmtId="3" fontId="28" fillId="0" borderId="23" xfId="0" applyNumberFormat="1" applyFont="1" applyBorder="1"/>
    <xf numFmtId="1" fontId="28" fillId="0" borderId="0" xfId="0" applyNumberFormat="1" applyFont="1" applyBorder="1"/>
    <xf numFmtId="1" fontId="28" fillId="0" borderId="20" xfId="0" applyNumberFormat="1" applyFont="1" applyBorder="1"/>
    <xf numFmtId="1" fontId="28" fillId="0" borderId="21" xfId="0" applyNumberFormat="1" applyFont="1" applyBorder="1"/>
    <xf numFmtId="1" fontId="29" fillId="0" borderId="21" xfId="0" applyNumberFormat="1" applyFont="1" applyBorder="1"/>
    <xf numFmtId="1" fontId="18" fillId="0" borderId="0" xfId="0" applyNumberFormat="1" applyFont="1"/>
    <xf numFmtId="1" fontId="18" fillId="0" borderId="20" xfId="0" applyNumberFormat="1" applyFont="1" applyBorder="1"/>
    <xf numFmtId="1" fontId="28" fillId="0" borderId="0" xfId="0" applyNumberFormat="1" applyFont="1" applyAlignment="1">
      <alignment horizontal="right" vertical="top"/>
    </xf>
    <xf numFmtId="1" fontId="10" fillId="0" borderId="20" xfId="15" applyNumberFormat="1" applyFont="1" applyBorder="1" applyAlignment="1">
      <alignment horizontal="right" vertical="center"/>
    </xf>
    <xf numFmtId="0" fontId="30" fillId="0" borderId="20" xfId="15" applyFont="1" applyBorder="1" applyAlignment="1">
      <alignment horizontal="center" vertical="center"/>
    </xf>
    <xf numFmtId="1" fontId="10" fillId="0" borderId="0" xfId="15" applyNumberFormat="1" applyFont="1" applyAlignment="1">
      <alignment horizontal="center" vertical="center"/>
    </xf>
    <xf numFmtId="1" fontId="10" fillId="0" borderId="0" xfId="15" applyNumberFormat="1" applyFont="1" applyBorder="1" applyAlignment="1">
      <alignment horizontal="center" vertical="center"/>
    </xf>
    <xf numFmtId="1" fontId="10" fillId="0" borderId="20" xfId="15" applyNumberFormat="1" applyFont="1" applyBorder="1" applyAlignment="1">
      <alignment horizontal="center" vertical="center"/>
    </xf>
    <xf numFmtId="1" fontId="10" fillId="0" borderId="21" xfId="15" applyNumberFormat="1" applyFont="1" applyBorder="1" applyAlignment="1">
      <alignment horizontal="center" vertical="center"/>
    </xf>
    <xf numFmtId="1" fontId="26" fillId="0" borderId="21" xfId="15" applyNumberFormat="1" applyFont="1" applyBorder="1" applyAlignment="1">
      <alignment horizontal="right" vertical="center"/>
    </xf>
    <xf numFmtId="1" fontId="26" fillId="0" borderId="21" xfId="15" applyNumberFormat="1" applyFont="1" applyBorder="1" applyAlignment="1">
      <alignment horizontal="center" vertical="center"/>
    </xf>
    <xf numFmtId="1" fontId="30" fillId="0" borderId="0" xfId="18" applyNumberFormat="1" applyFont="1" applyAlignment="1">
      <alignment horizontal="center" vertical="center"/>
    </xf>
    <xf numFmtId="1" fontId="25" fillId="0" borderId="20" xfId="15" applyNumberFormat="1" applyFont="1" applyBorder="1" applyAlignment="1">
      <alignment horizontal="center" vertical="center"/>
    </xf>
    <xf numFmtId="0" fontId="9" fillId="8" borderId="0" xfId="15" applyFont="1" applyFill="1" applyAlignment="1">
      <alignment horizontal="center" vertical="center"/>
    </xf>
    <xf numFmtId="0" fontId="10" fillId="8" borderId="0" xfId="15" applyFont="1" applyFill="1" applyAlignment="1">
      <alignment horizontal="center" vertical="center"/>
    </xf>
    <xf numFmtId="1" fontId="9" fillId="0" borderId="0" xfId="15" applyNumberFormat="1" applyFont="1" applyAlignment="1">
      <alignment horizontal="center" vertical="center"/>
    </xf>
    <xf numFmtId="211" fontId="10" fillId="0" borderId="0" xfId="15" applyNumberFormat="1" applyFont="1" applyAlignment="1">
      <alignment vertical="center"/>
    </xf>
    <xf numFmtId="211" fontId="10" fillId="0" borderId="20" xfId="15" applyNumberFormat="1" applyFont="1" applyBorder="1" applyAlignment="1">
      <alignment vertical="center"/>
    </xf>
    <xf numFmtId="211" fontId="10" fillId="0" borderId="21" xfId="15" applyNumberFormat="1" applyFont="1" applyBorder="1" applyAlignment="1">
      <alignment vertical="center"/>
    </xf>
    <xf numFmtId="2" fontId="9" fillId="0" borderId="0" xfId="15" applyNumberFormat="1" applyFont="1" applyAlignment="1">
      <alignment horizontal="center" vertical="center"/>
    </xf>
    <xf numFmtId="211" fontId="9" fillId="0" borderId="0" xfId="15" applyNumberFormat="1" applyFont="1" applyAlignment="1">
      <alignment horizontal="center" vertical="center"/>
    </xf>
    <xf numFmtId="1" fontId="10" fillId="0" borderId="0" xfId="15" applyNumberFormat="1" applyFont="1" applyAlignment="1">
      <alignment horizontal="right" vertical="top"/>
    </xf>
    <xf numFmtId="1" fontId="10" fillId="0" borderId="0" xfId="15" applyNumberFormat="1" applyFont="1" applyBorder="1" applyAlignment="1">
      <alignment horizontal="right" vertical="top"/>
    </xf>
    <xf numFmtId="1" fontId="10" fillId="0" borderId="20" xfId="15" applyNumberFormat="1" applyFont="1" applyBorder="1" applyAlignment="1">
      <alignment horizontal="right" vertical="top"/>
    </xf>
    <xf numFmtId="1" fontId="10" fillId="0" borderId="0" xfId="15" applyNumberFormat="1" applyFont="1" applyAlignment="1">
      <alignment horizontal="right" vertical="center"/>
    </xf>
    <xf numFmtId="1" fontId="10" fillId="0" borderId="21" xfId="15" applyNumberFormat="1" applyFont="1" applyBorder="1" applyAlignment="1">
      <alignment horizontal="right" vertical="center"/>
    </xf>
    <xf numFmtId="1" fontId="30" fillId="0" borderId="0" xfId="18" applyNumberFormat="1" applyFont="1" applyAlignment="1">
      <alignment horizontal="right" vertical="center"/>
    </xf>
    <xf numFmtId="1" fontId="25" fillId="0" borderId="0" xfId="15" applyNumberFormat="1" applyFont="1" applyAlignment="1">
      <alignment horizontal="right" vertical="center"/>
    </xf>
    <xf numFmtId="1" fontId="25" fillId="0" borderId="20" xfId="15" applyNumberFormat="1" applyFont="1" applyBorder="1" applyAlignment="1">
      <alignment horizontal="right" vertical="center"/>
    </xf>
    <xf numFmtId="1" fontId="9" fillId="0" borderId="22" xfId="18" applyNumberFormat="1" applyFont="1" applyBorder="1" applyAlignment="1">
      <alignment horizontal="right" vertical="center"/>
    </xf>
    <xf numFmtId="1" fontId="9" fillId="0" borderId="22" xfId="15" applyNumberFormat="1" applyFont="1" applyBorder="1" applyAlignment="1">
      <alignment horizontal="right" vertical="center"/>
    </xf>
    <xf numFmtId="0" fontId="10" fillId="0" borderId="0" xfId="15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26" fillId="0" borderId="0" xfId="9" applyFont="1" applyAlignment="1">
      <alignment vertical="center"/>
    </xf>
    <xf numFmtId="0" fontId="26" fillId="0" borderId="0" xfId="18" applyNumberFormat="1" applyFont="1" applyAlignment="1">
      <alignment horizontal="left" vertical="center" shrinkToFit="1"/>
    </xf>
    <xf numFmtId="0" fontId="10" fillId="0" borderId="1" xfId="9" applyFont="1" applyBorder="1" applyAlignment="1">
      <alignment vertical="center"/>
    </xf>
    <xf numFmtId="0" fontId="10" fillId="0" borderId="1" xfId="18" applyNumberFormat="1" applyFont="1" applyBorder="1" applyAlignment="1">
      <alignment horizontal="left" vertical="center" shrinkToFit="1"/>
    </xf>
    <xf numFmtId="1" fontId="0" fillId="0" borderId="1" xfId="0" applyNumberFormat="1" applyBorder="1" applyAlignment="1">
      <alignment horizontal="center" vertical="center"/>
    </xf>
    <xf numFmtId="0" fontId="26" fillId="0" borderId="1" xfId="9" applyFont="1" applyBorder="1" applyAlignment="1">
      <alignment vertical="center"/>
    </xf>
    <xf numFmtId="0" fontId="26" fillId="0" borderId="1" xfId="18" applyNumberFormat="1" applyFont="1" applyBorder="1" applyAlignment="1">
      <alignment horizontal="left" vertical="center" shrinkToFit="1"/>
    </xf>
    <xf numFmtId="0" fontId="10" fillId="0" borderId="0" xfId="9" applyFont="1" applyAlignment="1">
      <alignment vertical="center"/>
    </xf>
    <xf numFmtId="1" fontId="0" fillId="0" borderId="0" xfId="0" applyNumberFormat="1" applyAlignment="1">
      <alignment horizontal="center" vertical="center"/>
    </xf>
    <xf numFmtId="0" fontId="10" fillId="0" borderId="20" xfId="9" applyFont="1" applyBorder="1" applyAlignment="1">
      <alignment vertical="center"/>
    </xf>
    <xf numFmtId="0" fontId="26" fillId="0" borderId="20" xfId="9" applyFont="1" applyBorder="1" applyAlignment="1">
      <alignment vertical="center"/>
    </xf>
    <xf numFmtId="0" fontId="26" fillId="0" borderId="20" xfId="18" applyNumberFormat="1" applyFont="1" applyBorder="1" applyAlignment="1">
      <alignment horizontal="left" vertical="center" shrinkToFit="1"/>
    </xf>
    <xf numFmtId="0" fontId="31" fillId="0" borderId="0" xfId="15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/>
    <xf numFmtId="0" fontId="34" fillId="9" borderId="4" xfId="15" applyFont="1" applyFill="1" applyBorder="1" applyAlignment="1">
      <alignment horizontal="center" vertical="center" wrapText="1"/>
    </xf>
    <xf numFmtId="0" fontId="34" fillId="0" borderId="1" xfId="15" applyFont="1" applyBorder="1" applyAlignment="1">
      <alignment horizontal="center" vertical="center" wrapText="1"/>
    </xf>
    <xf numFmtId="0" fontId="34" fillId="0" borderId="8" xfId="15" applyFont="1" applyBorder="1" applyAlignment="1">
      <alignment horizontal="center" vertical="center" wrapText="1"/>
    </xf>
    <xf numFmtId="0" fontId="34" fillId="0" borderId="25" xfId="15" applyFont="1" applyBorder="1" applyAlignment="1">
      <alignment horizontal="center" vertical="center"/>
    </xf>
    <xf numFmtId="1" fontId="35" fillId="9" borderId="4" xfId="0" applyNumberFormat="1" applyFont="1" applyFill="1" applyBorder="1" applyAlignment="1">
      <alignment horizontal="center" vertical="center"/>
    </xf>
    <xf numFmtId="1" fontId="35" fillId="0" borderId="1" xfId="0" applyNumberFormat="1" applyFont="1" applyBorder="1" applyAlignment="1">
      <alignment horizontal="center" vertical="center"/>
    </xf>
    <xf numFmtId="1" fontId="35" fillId="0" borderId="8" xfId="0" applyNumberFormat="1" applyFont="1" applyBorder="1" applyAlignment="1">
      <alignment horizontal="center" vertical="center"/>
    </xf>
    <xf numFmtId="0" fontId="36" fillId="0" borderId="25" xfId="15" applyFont="1" applyBorder="1" applyAlignment="1">
      <alignment horizontal="center" vertical="center"/>
    </xf>
    <xf numFmtId="1" fontId="37" fillId="9" borderId="4" xfId="0" applyNumberFormat="1" applyFont="1" applyFill="1" applyBorder="1" applyAlignment="1">
      <alignment horizontal="center" vertical="center"/>
    </xf>
    <xf numFmtId="1" fontId="37" fillId="0" borderId="1" xfId="0" applyNumberFormat="1" applyFont="1" applyBorder="1" applyAlignment="1">
      <alignment horizontal="center" vertical="center"/>
    </xf>
    <xf numFmtId="1" fontId="37" fillId="0" borderId="8" xfId="0" applyNumberFormat="1" applyFont="1" applyBorder="1" applyAlignment="1">
      <alignment horizontal="center" vertical="center"/>
    </xf>
    <xf numFmtId="0" fontId="37" fillId="0" borderId="26" xfId="0" applyFont="1" applyBorder="1" applyAlignment="1">
      <alignment horizontal="center" vertical="center" wrapText="1"/>
    </xf>
    <xf numFmtId="1" fontId="37" fillId="9" borderId="2" xfId="0" applyNumberFormat="1" applyFont="1" applyFill="1" applyBorder="1" applyAlignment="1">
      <alignment horizontal="center" vertical="center"/>
    </xf>
    <xf numFmtId="1" fontId="37" fillId="0" borderId="3" xfId="0" applyNumberFormat="1" applyFont="1" applyBorder="1" applyAlignment="1">
      <alignment horizontal="center" vertical="center"/>
    </xf>
    <xf numFmtId="1" fontId="37" fillId="0" borderId="7" xfId="0" applyNumberFormat="1" applyFont="1" applyBorder="1" applyAlignment="1">
      <alignment horizontal="center" vertical="center"/>
    </xf>
    <xf numFmtId="0" fontId="37" fillId="0" borderId="27" xfId="0" applyFont="1" applyBorder="1" applyAlignment="1">
      <alignment horizontal="center" vertical="center"/>
    </xf>
    <xf numFmtId="0" fontId="31" fillId="0" borderId="28" xfId="0" applyFont="1" applyBorder="1" applyAlignment="1">
      <alignment horizontal="center" vertical="center"/>
    </xf>
    <xf numFmtId="1" fontId="35" fillId="9" borderId="5" xfId="0" applyNumberFormat="1" applyFont="1" applyFill="1" applyBorder="1" applyAlignment="1">
      <alignment horizontal="center" vertical="center"/>
    </xf>
    <xf numFmtId="1" fontId="35" fillId="0" borderId="6" xfId="0" applyNumberFormat="1" applyFont="1" applyBorder="1" applyAlignment="1">
      <alignment horizontal="center" vertical="center"/>
    </xf>
    <xf numFmtId="1" fontId="35" fillId="0" borderId="19" xfId="0" applyNumberFormat="1" applyFont="1" applyBorder="1" applyAlignment="1">
      <alignment horizontal="center" vertical="center"/>
    </xf>
    <xf numFmtId="0" fontId="38" fillId="0" borderId="1" xfId="15" applyFont="1" applyBorder="1" applyAlignment="1">
      <alignment horizontal="center" vertical="center" wrapText="1"/>
    </xf>
    <xf numFmtId="0" fontId="38" fillId="0" borderId="30" xfId="15" applyFont="1" applyBorder="1" applyAlignment="1">
      <alignment horizontal="center" vertical="center" wrapText="1"/>
    </xf>
    <xf numFmtId="1" fontId="35" fillId="0" borderId="30" xfId="0" applyNumberFormat="1" applyFont="1" applyBorder="1" applyAlignment="1">
      <alignment horizontal="center" vertical="center"/>
    </xf>
    <xf numFmtId="1" fontId="37" fillId="0" borderId="30" xfId="0" applyNumberFormat="1" applyFont="1" applyBorder="1" applyAlignment="1">
      <alignment horizontal="center" vertical="center"/>
    </xf>
    <xf numFmtId="1" fontId="37" fillId="9" borderId="3" xfId="0" applyNumberFormat="1" applyFont="1" applyFill="1" applyBorder="1" applyAlignment="1">
      <alignment horizontal="center" vertical="center"/>
    </xf>
    <xf numFmtId="1" fontId="37" fillId="9" borderId="1" xfId="0" applyNumberFormat="1" applyFont="1" applyFill="1" applyBorder="1" applyAlignment="1">
      <alignment horizontal="center" vertical="center"/>
    </xf>
    <xf numFmtId="1" fontId="35" fillId="9" borderId="6" xfId="0" applyNumberFormat="1" applyFont="1" applyFill="1" applyBorder="1" applyAlignment="1">
      <alignment horizontal="center" vertical="center"/>
    </xf>
    <xf numFmtId="0" fontId="31" fillId="0" borderId="0" xfId="15" applyFont="1" applyBorder="1" applyAlignment="1">
      <alignment vertical="center"/>
    </xf>
    <xf numFmtId="191" fontId="31" fillId="0" borderId="0" xfId="15" applyNumberFormat="1" applyFont="1" applyBorder="1" applyAlignment="1">
      <alignment vertical="center"/>
    </xf>
    <xf numFmtId="0" fontId="30" fillId="0" borderId="0" xfId="15" applyFont="1" applyAlignment="1">
      <alignment vertical="center"/>
    </xf>
    <xf numFmtId="0" fontId="39" fillId="0" borderId="0" xfId="15" applyFont="1" applyAlignment="1">
      <alignment vertical="center"/>
    </xf>
    <xf numFmtId="0" fontId="40" fillId="0" borderId="0" xfId="15" applyFont="1" applyAlignment="1">
      <alignment vertical="center"/>
    </xf>
    <xf numFmtId="0" fontId="40" fillId="0" borderId="0" xfId="15" applyFont="1" applyFill="1" applyAlignment="1">
      <alignment vertical="center"/>
    </xf>
    <xf numFmtId="0" fontId="40" fillId="0" borderId="0" xfId="15" applyFont="1" applyBorder="1" applyAlignment="1">
      <alignment vertical="center"/>
    </xf>
    <xf numFmtId="1" fontId="41" fillId="0" borderId="1" xfId="15" applyNumberFormat="1" applyFont="1" applyBorder="1" applyAlignment="1">
      <alignment horizontal="center" vertical="center" wrapText="1"/>
    </xf>
    <xf numFmtId="0" fontId="41" fillId="0" borderId="1" xfId="15" applyFont="1" applyBorder="1" applyAlignment="1">
      <alignment horizontal="left" vertical="center" wrapText="1"/>
    </xf>
    <xf numFmtId="0" fontId="40" fillId="0" borderId="0" xfId="15" applyFont="1" applyAlignment="1">
      <alignment horizontal="right" vertical="center"/>
    </xf>
    <xf numFmtId="191" fontId="40" fillId="0" borderId="0" xfId="15" applyNumberFormat="1" applyFont="1" applyAlignment="1">
      <alignment vertical="center"/>
    </xf>
    <xf numFmtId="0" fontId="45" fillId="0" borderId="0" xfId="15" applyFont="1" applyAlignment="1">
      <alignment vertical="center"/>
    </xf>
    <xf numFmtId="1" fontId="45" fillId="0" borderId="0" xfId="0" applyNumberFormat="1" applyFont="1" applyAlignment="1">
      <alignment horizontal="center" vertical="center"/>
    </xf>
    <xf numFmtId="0" fontId="30" fillId="0" borderId="0" xfId="15" applyFont="1" applyFill="1" applyAlignment="1">
      <alignment vertical="center"/>
    </xf>
    <xf numFmtId="183" fontId="40" fillId="0" borderId="0" xfId="15" applyNumberFormat="1" applyFont="1" applyAlignment="1">
      <alignment vertical="center"/>
    </xf>
    <xf numFmtId="1" fontId="40" fillId="0" borderId="0" xfId="15" applyNumberFormat="1" applyFont="1" applyFill="1" applyAlignment="1">
      <alignment vertical="center"/>
    </xf>
    <xf numFmtId="182" fontId="40" fillId="0" borderId="0" xfId="15" applyNumberFormat="1" applyFont="1" applyAlignment="1">
      <alignment vertical="center"/>
    </xf>
    <xf numFmtId="209" fontId="40" fillId="0" borderId="0" xfId="15" applyNumberFormat="1" applyFont="1" applyAlignment="1">
      <alignment vertical="center"/>
    </xf>
    <xf numFmtId="0" fontId="30" fillId="0" borderId="0" xfId="15" applyFont="1" applyBorder="1" applyAlignment="1">
      <alignment vertical="center"/>
    </xf>
    <xf numFmtId="191" fontId="40" fillId="0" borderId="0" xfId="15" applyNumberFormat="1" applyFont="1" applyBorder="1" applyAlignment="1">
      <alignment vertical="center"/>
    </xf>
    <xf numFmtId="191" fontId="39" fillId="0" borderId="0" xfId="15" applyNumberFormat="1" applyFont="1" applyAlignment="1">
      <alignment vertical="center"/>
    </xf>
    <xf numFmtId="191" fontId="39" fillId="0" borderId="0" xfId="15" applyNumberFormat="1" applyFont="1" applyBorder="1" applyAlignment="1">
      <alignment vertical="center"/>
    </xf>
    <xf numFmtId="1" fontId="9" fillId="0" borderId="0" xfId="0" applyNumberFormat="1" applyFont="1" applyBorder="1" applyAlignment="1">
      <alignment horizontal="center" vertical="center"/>
    </xf>
    <xf numFmtId="2" fontId="40" fillId="0" borderId="0" xfId="15" applyNumberFormat="1" applyFont="1" applyAlignment="1">
      <alignment vertical="center"/>
    </xf>
    <xf numFmtId="10" fontId="40" fillId="0" borderId="0" xfId="15" applyNumberFormat="1" applyFont="1" applyAlignment="1">
      <alignment vertical="center"/>
    </xf>
    <xf numFmtId="188" fontId="40" fillId="0" borderId="0" xfId="15" applyNumberFormat="1" applyFont="1" applyAlignment="1">
      <alignment vertical="center"/>
    </xf>
    <xf numFmtId="202" fontId="40" fillId="0" borderId="0" xfId="15" applyNumberFormat="1" applyFont="1" applyAlignment="1">
      <alignment vertical="center"/>
    </xf>
    <xf numFmtId="0" fontId="46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vertical="center"/>
    </xf>
    <xf numFmtId="1" fontId="46" fillId="0" borderId="1" xfId="0" applyNumberFormat="1" applyFont="1" applyBorder="1" applyAlignment="1">
      <alignment horizontal="center" vertical="center"/>
    </xf>
    <xf numFmtId="0" fontId="45" fillId="0" borderId="1" xfId="0" applyFont="1" applyBorder="1" applyAlignment="1">
      <alignment horizontal="left" vertical="center" indent="1"/>
    </xf>
    <xf numFmtId="0" fontId="45" fillId="0" borderId="1" xfId="0" applyFont="1" applyBorder="1" applyAlignment="1">
      <alignment horizontal="center" vertical="center"/>
    </xf>
    <xf numFmtId="1" fontId="45" fillId="0" borderId="1" xfId="0" applyNumberFormat="1" applyFont="1" applyBorder="1" applyAlignment="1">
      <alignment horizontal="center" vertical="center"/>
    </xf>
    <xf numFmtId="0" fontId="15" fillId="0" borderId="1" xfId="0" applyFont="1" applyBorder="1"/>
    <xf numFmtId="0" fontId="15" fillId="0" borderId="1" xfId="0" applyFont="1" applyBorder="1" applyAlignment="1">
      <alignment horizontal="center"/>
    </xf>
    <xf numFmtId="0" fontId="14" fillId="0" borderId="1" xfId="0" applyFont="1" applyBorder="1"/>
    <xf numFmtId="0" fontId="14" fillId="0" borderId="1" xfId="0" applyFont="1" applyBorder="1" applyAlignment="1">
      <alignment horizontal="center"/>
    </xf>
    <xf numFmtId="0" fontId="30" fillId="0" borderId="0" xfId="0" applyFont="1" applyAlignment="1">
      <alignment vertical="center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40" fillId="2" borderId="0" xfId="0" applyFont="1" applyFill="1" applyAlignment="1">
      <alignment vertical="center"/>
    </xf>
    <xf numFmtId="0" fontId="40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49" fillId="0" borderId="0" xfId="0" applyFont="1" applyAlignment="1">
      <alignment vertical="center"/>
    </xf>
    <xf numFmtId="0" fontId="3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50" fillId="0" borderId="0" xfId="0" applyFont="1" applyAlignment="1">
      <alignment vertical="center"/>
    </xf>
    <xf numFmtId="0" fontId="9" fillId="5" borderId="1" xfId="0" applyFont="1" applyFill="1" applyBorder="1" applyAlignment="1">
      <alignment vertical="center" readingOrder="1"/>
    </xf>
    <xf numFmtId="1" fontId="14" fillId="5" borderId="1" xfId="0" applyNumberFormat="1" applyFont="1" applyFill="1" applyBorder="1" applyAlignment="1">
      <alignment horizontal="center" vertical="center"/>
    </xf>
    <xf numFmtId="1" fontId="19" fillId="5" borderId="1" xfId="0" applyNumberFormat="1" applyFont="1" applyFill="1" applyBorder="1" applyAlignment="1">
      <alignment horizontal="center" vertical="center"/>
    </xf>
    <xf numFmtId="180" fontId="14" fillId="5" borderId="1" xfId="0" applyNumberFormat="1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center" indent="1" readingOrder="1"/>
    </xf>
    <xf numFmtId="1" fontId="48" fillId="0" borderId="1" xfId="0" applyNumberFormat="1" applyFont="1" applyBorder="1" applyAlignment="1">
      <alignment horizontal="center" vertical="center"/>
    </xf>
    <xf numFmtId="180" fontId="15" fillId="0" borderId="1" xfId="0" applyNumberFormat="1" applyFont="1" applyBorder="1" applyAlignment="1">
      <alignment horizontal="left" vertical="center"/>
    </xf>
    <xf numFmtId="1" fontId="40" fillId="0" borderId="1" xfId="0" applyNumberFormat="1" applyFont="1" applyBorder="1" applyAlignment="1">
      <alignment horizontal="center" vertical="center"/>
    </xf>
    <xf numFmtId="1" fontId="25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readingOrder="1"/>
    </xf>
    <xf numFmtId="1" fontId="19" fillId="0" borderId="1" xfId="0" applyNumberFormat="1" applyFont="1" applyBorder="1" applyAlignment="1">
      <alignment horizontal="center" vertical="center"/>
    </xf>
    <xf numFmtId="180" fontId="14" fillId="0" borderId="1" xfId="0" applyNumberFormat="1" applyFont="1" applyBorder="1" applyAlignment="1">
      <alignment horizontal="left" vertical="center"/>
    </xf>
    <xf numFmtId="0" fontId="9" fillId="0" borderId="1" xfId="0" applyFont="1" applyBorder="1" applyAlignment="1">
      <alignment vertical="center" readingOrder="1"/>
    </xf>
    <xf numFmtId="0" fontId="9" fillId="0" borderId="1" xfId="0" applyFont="1" applyBorder="1" applyAlignment="1">
      <alignment horizontal="left" vertical="center" indent="2" readingOrder="1"/>
    </xf>
    <xf numFmtId="0" fontId="9" fillId="0" borderId="1" xfId="0" applyFont="1" applyBorder="1" applyAlignment="1">
      <alignment horizontal="left" vertical="center" indent="1" readingOrder="1"/>
    </xf>
    <xf numFmtId="0" fontId="10" fillId="0" borderId="1" xfId="0" applyFont="1" applyBorder="1" applyAlignment="1">
      <alignment horizontal="left" vertical="center" indent="3" readingOrder="1"/>
    </xf>
    <xf numFmtId="0" fontId="30" fillId="0" borderId="1" xfId="0" applyFont="1" applyBorder="1" applyAlignment="1">
      <alignment horizontal="center" vertical="center"/>
    </xf>
    <xf numFmtId="9" fontId="39" fillId="5" borderId="1" xfId="3" applyFont="1" applyFill="1" applyBorder="1" applyAlignment="1">
      <alignment horizontal="center" vertical="center"/>
    </xf>
    <xf numFmtId="9" fontId="30" fillId="5" borderId="1" xfId="3" applyFont="1" applyFill="1" applyBorder="1" applyAlignment="1">
      <alignment horizontal="center" vertical="center"/>
    </xf>
    <xf numFmtId="38" fontId="39" fillId="0" borderId="0" xfId="0" applyNumberFormat="1" applyFont="1" applyAlignment="1">
      <alignment horizontal="left" vertical="center"/>
    </xf>
    <xf numFmtId="9" fontId="15" fillId="0" borderId="1" xfId="3" applyFont="1" applyBorder="1" applyAlignment="1">
      <alignment horizontal="center" vertical="center"/>
    </xf>
    <xf numFmtId="9" fontId="48" fillId="0" borderId="1" xfId="3" applyFont="1" applyBorder="1" applyAlignment="1">
      <alignment horizontal="center" vertical="center"/>
    </xf>
    <xf numFmtId="9" fontId="14" fillId="5" borderId="1" xfId="3" applyFont="1" applyFill="1" applyBorder="1" applyAlignment="1">
      <alignment horizontal="center" vertical="center"/>
    </xf>
    <xf numFmtId="9" fontId="19" fillId="5" borderId="1" xfId="3" applyFont="1" applyFill="1" applyBorder="1" applyAlignment="1">
      <alignment horizontal="center" vertical="center"/>
    </xf>
    <xf numFmtId="9" fontId="14" fillId="0" borderId="1" xfId="3" applyFont="1" applyBorder="1" applyAlignment="1">
      <alignment horizontal="center" vertical="center"/>
    </xf>
    <xf numFmtId="9" fontId="19" fillId="0" borderId="1" xfId="3" applyFont="1" applyBorder="1" applyAlignment="1">
      <alignment horizontal="center" vertical="center"/>
    </xf>
    <xf numFmtId="0" fontId="39" fillId="0" borderId="1" xfId="0" applyFont="1" applyBorder="1" applyAlignment="1">
      <alignment horizontal="left" vertical="center" indent="1"/>
    </xf>
    <xf numFmtId="0" fontId="9" fillId="5" borderId="1" xfId="0" applyFont="1" applyFill="1" applyBorder="1" applyAlignment="1">
      <alignment horizontal="center" vertical="center" readingOrder="1"/>
    </xf>
    <xf numFmtId="1" fontId="39" fillId="0" borderId="1" xfId="0" applyNumberFormat="1" applyFont="1" applyBorder="1" applyAlignment="1">
      <alignment horizontal="center" vertical="center"/>
    </xf>
    <xf numFmtId="1" fontId="40" fillId="0" borderId="0" xfId="0" applyNumberFormat="1" applyFont="1" applyAlignment="1">
      <alignment vertical="center"/>
    </xf>
    <xf numFmtId="1" fontId="39" fillId="0" borderId="0" xfId="0" applyNumberFormat="1" applyFont="1" applyAlignment="1">
      <alignment vertical="center"/>
    </xf>
    <xf numFmtId="0" fontId="10" fillId="0" borderId="1" xfId="0" applyFont="1" applyBorder="1" applyAlignment="1">
      <alignment horizontal="left" vertical="center" readingOrder="1"/>
    </xf>
    <xf numFmtId="0" fontId="51" fillId="0" borderId="0" xfId="0" applyFont="1" applyAlignment="1">
      <alignment vertical="center"/>
    </xf>
    <xf numFmtId="0" fontId="9" fillId="0" borderId="31" xfId="15" applyFont="1" applyBorder="1" applyAlignment="1">
      <alignment vertical="center" wrapText="1" readingOrder="1"/>
    </xf>
    <xf numFmtId="1" fontId="9" fillId="0" borderId="32" xfId="15" applyNumberFormat="1" applyFont="1" applyBorder="1" applyAlignment="1">
      <alignment horizontal="right" vertical="center" wrapText="1" readingOrder="1"/>
    </xf>
    <xf numFmtId="1" fontId="30" fillId="0" borderId="32" xfId="15" applyNumberFormat="1" applyFont="1" applyBorder="1" applyAlignment="1">
      <alignment horizontal="right" vertical="center" wrapText="1" readingOrder="1"/>
    </xf>
    <xf numFmtId="210" fontId="9" fillId="0" borderId="32" xfId="15" applyNumberFormat="1" applyFont="1" applyBorder="1" applyAlignment="1">
      <alignment horizontal="left" vertical="center" wrapText="1" readingOrder="1"/>
    </xf>
    <xf numFmtId="0" fontId="9" fillId="0" borderId="33" xfId="15" applyFont="1" applyBorder="1" applyAlignment="1">
      <alignment vertical="center" wrapText="1" readingOrder="1"/>
    </xf>
    <xf numFmtId="1" fontId="9" fillId="0" borderId="0" xfId="15" applyNumberFormat="1" applyFont="1" applyAlignment="1">
      <alignment horizontal="right" vertical="center" wrapText="1" readingOrder="1"/>
    </xf>
    <xf numFmtId="1" fontId="30" fillId="0" borderId="0" xfId="15" applyNumberFormat="1" applyFont="1" applyAlignment="1">
      <alignment horizontal="right" vertical="center" wrapText="1" readingOrder="1"/>
    </xf>
    <xf numFmtId="210" fontId="9" fillId="0" borderId="0" xfId="15" applyNumberFormat="1" applyFont="1" applyAlignment="1">
      <alignment horizontal="left" vertical="center" wrapText="1" readingOrder="1"/>
    </xf>
    <xf numFmtId="1" fontId="9" fillId="0" borderId="0" xfId="15" applyNumberFormat="1" applyFont="1" applyAlignment="1">
      <alignment horizontal="right" vertical="center" readingOrder="1"/>
    </xf>
    <xf numFmtId="1" fontId="30" fillId="0" borderId="0" xfId="15" applyNumberFormat="1" applyFont="1" applyAlignment="1">
      <alignment horizontal="right" vertical="center" readingOrder="1"/>
    </xf>
    <xf numFmtId="210" fontId="9" fillId="0" borderId="0" xfId="15" applyNumberFormat="1" applyFont="1" applyAlignment="1">
      <alignment horizontal="left" vertical="center" readingOrder="1"/>
    </xf>
    <xf numFmtId="0" fontId="10" fillId="0" borderId="33" xfId="15" applyFont="1" applyBorder="1" applyAlignment="1">
      <alignment horizontal="left" vertical="center" wrapText="1" indent="1" readingOrder="1"/>
    </xf>
    <xf numFmtId="1" fontId="10" fillId="0" borderId="0" xfId="15" applyNumberFormat="1" applyFont="1" applyAlignment="1">
      <alignment horizontal="right" vertical="center" wrapText="1" readingOrder="1"/>
    </xf>
    <xf numFmtId="1" fontId="25" fillId="0" borderId="0" xfId="15" applyNumberFormat="1" applyFont="1" applyAlignment="1">
      <alignment horizontal="right" vertical="center" wrapText="1" readingOrder="1"/>
    </xf>
    <xf numFmtId="210" fontId="10" fillId="0" borderId="0" xfId="15" applyNumberFormat="1" applyFont="1" applyAlignment="1">
      <alignment horizontal="left" vertical="center" wrapText="1" readingOrder="1"/>
    </xf>
    <xf numFmtId="0" fontId="9" fillId="0" borderId="33" xfId="15" applyFont="1" applyBorder="1" applyAlignment="1">
      <alignment horizontal="left" vertical="center" wrapText="1" indent="2" readingOrder="1"/>
    </xf>
    <xf numFmtId="0" fontId="10" fillId="0" borderId="33" xfId="15" applyFont="1" applyBorder="1" applyAlignment="1">
      <alignment horizontal="left" vertical="center" wrapText="1" indent="3" readingOrder="1"/>
    </xf>
    <xf numFmtId="0" fontId="9" fillId="0" borderId="33" xfId="15" applyFont="1" applyBorder="1" applyAlignment="1">
      <alignment horizontal="left" vertical="center" wrapText="1" indent="1" readingOrder="1"/>
    </xf>
    <xf numFmtId="0" fontId="10" fillId="0" borderId="33" xfId="15" applyFont="1" applyBorder="1" applyAlignment="1">
      <alignment horizontal="left" vertical="center" wrapText="1" indent="5" readingOrder="1"/>
    </xf>
    <xf numFmtId="210" fontId="9" fillId="0" borderId="34" xfId="15" applyNumberFormat="1" applyFont="1" applyBorder="1" applyAlignment="1">
      <alignment horizontal="left" vertical="center" wrapText="1" readingOrder="1"/>
    </xf>
    <xf numFmtId="210" fontId="30" fillId="0" borderId="32" xfId="15" applyNumberFormat="1" applyFont="1" applyBorder="1" applyAlignment="1">
      <alignment horizontal="left" vertical="center" wrapText="1" readingOrder="1"/>
    </xf>
    <xf numFmtId="210" fontId="9" fillId="0" borderId="35" xfId="15" applyNumberFormat="1" applyFont="1" applyBorder="1" applyAlignment="1">
      <alignment horizontal="left" vertical="center" wrapText="1" readingOrder="1"/>
    </xf>
    <xf numFmtId="210" fontId="30" fillId="0" borderId="0" xfId="15" applyNumberFormat="1" applyFont="1" applyAlignment="1">
      <alignment horizontal="left" vertical="center" wrapText="1" readingOrder="1"/>
    </xf>
    <xf numFmtId="210" fontId="9" fillId="0" borderId="35" xfId="15" applyNumberFormat="1" applyFont="1" applyBorder="1" applyAlignment="1">
      <alignment horizontal="left" vertical="center" readingOrder="1"/>
    </xf>
    <xf numFmtId="210" fontId="30" fillId="0" borderId="0" xfId="15" applyNumberFormat="1" applyFont="1" applyAlignment="1">
      <alignment horizontal="left" vertical="center" readingOrder="1"/>
    </xf>
    <xf numFmtId="210" fontId="10" fillId="0" borderId="35" xfId="15" applyNumberFormat="1" applyFont="1" applyBorder="1" applyAlignment="1">
      <alignment horizontal="left" vertical="center" wrapText="1" readingOrder="1"/>
    </xf>
    <xf numFmtId="210" fontId="25" fillId="0" borderId="0" xfId="15" applyNumberFormat="1" applyFont="1" applyAlignment="1">
      <alignment horizontal="left" vertical="center" wrapText="1" readingOrder="1"/>
    </xf>
    <xf numFmtId="0" fontId="9" fillId="8" borderId="33" xfId="15" applyFont="1" applyFill="1" applyBorder="1" applyAlignment="1">
      <alignment vertical="center" wrapText="1" readingOrder="1"/>
    </xf>
    <xf numFmtId="1" fontId="9" fillId="8" borderId="0" xfId="15" applyNumberFormat="1" applyFont="1" applyFill="1" applyAlignment="1">
      <alignment horizontal="center" vertical="center"/>
    </xf>
    <xf numFmtId="1" fontId="30" fillId="8" borderId="0" xfId="15" applyNumberFormat="1" applyFont="1" applyFill="1" applyAlignment="1">
      <alignment horizontal="center" vertical="center"/>
    </xf>
    <xf numFmtId="210" fontId="9" fillId="8" borderId="0" xfId="15" applyNumberFormat="1" applyFont="1" applyFill="1" applyAlignment="1">
      <alignment horizontal="left" vertical="center"/>
    </xf>
    <xf numFmtId="0" fontId="9" fillId="8" borderId="36" xfId="15" applyFont="1" applyFill="1" applyBorder="1" applyAlignment="1">
      <alignment vertical="center" wrapText="1" readingOrder="1"/>
    </xf>
    <xf numFmtId="1" fontId="9" fillId="8" borderId="9" xfId="15" applyNumberFormat="1" applyFont="1" applyFill="1" applyBorder="1" applyAlignment="1">
      <alignment horizontal="center" vertical="center"/>
    </xf>
    <xf numFmtId="1" fontId="30" fillId="8" borderId="9" xfId="15" applyNumberFormat="1" applyFont="1" applyFill="1" applyBorder="1" applyAlignment="1">
      <alignment horizontal="center" vertical="center"/>
    </xf>
    <xf numFmtId="210" fontId="9" fillId="8" borderId="9" xfId="15" applyNumberFormat="1" applyFont="1" applyFill="1" applyBorder="1" applyAlignment="1">
      <alignment horizontal="left" vertical="center"/>
    </xf>
    <xf numFmtId="1" fontId="40" fillId="0" borderId="0" xfId="0" applyNumberFormat="1" applyFont="1" applyAlignment="1">
      <alignment horizontal="center" vertical="center"/>
    </xf>
    <xf numFmtId="1" fontId="48" fillId="0" borderId="0" xfId="0" applyNumberFormat="1" applyFont="1" applyAlignment="1">
      <alignment horizontal="center" vertical="center"/>
    </xf>
    <xf numFmtId="0" fontId="47" fillId="2" borderId="0" xfId="0" applyFont="1" applyFill="1" applyAlignment="1">
      <alignment vertical="center"/>
    </xf>
    <xf numFmtId="0" fontId="40" fillId="2" borderId="0" xfId="0" applyFont="1" applyFill="1" applyAlignment="1">
      <alignment horizontal="center" vertical="center"/>
    </xf>
    <xf numFmtId="1" fontId="15" fillId="2" borderId="0" xfId="0" applyNumberFormat="1" applyFont="1" applyFill="1" applyAlignment="1">
      <alignment horizontal="center" vertical="center"/>
    </xf>
    <xf numFmtId="1" fontId="48" fillId="2" borderId="0" xfId="0" applyNumberFormat="1" applyFont="1" applyFill="1" applyAlignment="1">
      <alignment horizontal="center" vertical="center"/>
    </xf>
    <xf numFmtId="0" fontId="47" fillId="0" borderId="0" xfId="0" applyFont="1" applyFill="1" applyAlignment="1">
      <alignment vertical="center"/>
    </xf>
    <xf numFmtId="0" fontId="40" fillId="0" borderId="0" xfId="0" applyFont="1" applyFill="1" applyAlignment="1">
      <alignment horizontal="center" vertical="center"/>
    </xf>
    <xf numFmtId="1" fontId="15" fillId="0" borderId="0" xfId="0" applyNumberFormat="1" applyFont="1" applyFill="1" applyAlignment="1">
      <alignment horizontal="center" vertical="center"/>
    </xf>
    <xf numFmtId="1" fontId="48" fillId="0" borderId="0" xfId="0" applyNumberFormat="1" applyFont="1" applyFill="1" applyAlignment="1">
      <alignment horizontal="center" vertical="center"/>
    </xf>
    <xf numFmtId="0" fontId="5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210" fontId="9" fillId="8" borderId="35" xfId="15" applyNumberFormat="1" applyFont="1" applyFill="1" applyBorder="1" applyAlignment="1">
      <alignment horizontal="left" vertical="center"/>
    </xf>
    <xf numFmtId="210" fontId="30" fillId="8" borderId="0" xfId="15" applyNumberFormat="1" applyFont="1" applyFill="1" applyAlignment="1">
      <alignment horizontal="left" vertical="center"/>
    </xf>
    <xf numFmtId="210" fontId="9" fillId="8" borderId="37" xfId="15" applyNumberFormat="1" applyFont="1" applyFill="1" applyBorder="1" applyAlignment="1">
      <alignment horizontal="left" vertical="center"/>
    </xf>
    <xf numFmtId="210" fontId="30" fillId="8" borderId="9" xfId="15" applyNumberFormat="1" applyFont="1" applyFill="1" applyBorder="1" applyAlignment="1">
      <alignment horizontal="left" vertical="center"/>
    </xf>
    <xf numFmtId="191" fontId="40" fillId="2" borderId="0" xfId="0" applyNumberFormat="1" applyFont="1" applyFill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191" fontId="40" fillId="0" borderId="0" xfId="0" applyNumberFormat="1" applyFont="1" applyFill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1" fontId="25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0" fillId="12" borderId="0" xfId="0" applyFill="1"/>
    <xf numFmtId="0" fontId="53" fillId="0" borderId="0" xfId="0" applyFont="1"/>
    <xf numFmtId="0" fontId="0" fillId="0" borderId="0" xfId="0" applyBorder="1"/>
    <xf numFmtId="0" fontId="0" fillId="13" borderId="0" xfId="0" applyFill="1" applyBorder="1"/>
    <xf numFmtId="0" fontId="54" fillId="0" borderId="38" xfId="0" applyFont="1" applyBorder="1"/>
    <xf numFmtId="0" fontId="0" fillId="14" borderId="0" xfId="0" applyFill="1"/>
    <xf numFmtId="0" fontId="0" fillId="0" borderId="23" xfId="0" applyFill="1" applyBorder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0" fontId="0" fillId="15" borderId="20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5" fillId="12" borderId="39" xfId="0" applyFont="1" applyFill="1" applyBorder="1" applyAlignment="1">
      <alignment vertical="center"/>
    </xf>
    <xf numFmtId="0" fontId="0" fillId="12" borderId="0" xfId="0" applyFill="1" applyAlignment="1">
      <alignment horizontal="center"/>
    </xf>
    <xf numFmtId="0" fontId="55" fillId="0" borderId="39" xfId="0" applyFont="1" applyBorder="1" applyAlignment="1">
      <alignment vertical="center"/>
    </xf>
    <xf numFmtId="0" fontId="56" fillId="12" borderId="39" xfId="0" applyFont="1" applyFill="1" applyBorder="1" applyAlignment="1">
      <alignment vertical="center"/>
    </xf>
    <xf numFmtId="0" fontId="57" fillId="0" borderId="0" xfId="0" applyFont="1" applyFill="1" applyBorder="1" applyAlignment="1">
      <alignment vertical="center"/>
    </xf>
    <xf numFmtId="0" fontId="53" fillId="0" borderId="0" xfId="0" applyFont="1" applyAlignment="1">
      <alignment horizontal="center"/>
    </xf>
    <xf numFmtId="0" fontId="58" fillId="0" borderId="0" xfId="16" applyBorder="1" applyAlignment="1">
      <alignment vertical="center"/>
    </xf>
    <xf numFmtId="0" fontId="58" fillId="0" borderId="0" xfId="16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58" fillId="0" borderId="0" xfId="16" applyBorder="1" applyAlignment="1">
      <alignment horizontal="left" vertical="center" wrapText="1"/>
    </xf>
    <xf numFmtId="0" fontId="5" fillId="13" borderId="0" xfId="0" applyFont="1" applyFill="1" applyBorder="1"/>
    <xf numFmtId="0" fontId="0" fillId="13" borderId="0" xfId="0" applyFill="1" applyBorder="1" applyAlignment="1">
      <alignment horizontal="center"/>
    </xf>
    <xf numFmtId="0" fontId="58" fillId="13" borderId="0" xfId="16" applyFill="1" applyBorder="1" applyAlignment="1">
      <alignment horizontal="left" vertical="center"/>
    </xf>
    <xf numFmtId="1" fontId="0" fillId="13" borderId="0" xfId="0" applyNumberFormat="1" applyFill="1" applyBorder="1" applyAlignment="1">
      <alignment horizontal="center" vertical="center"/>
    </xf>
    <xf numFmtId="0" fontId="59" fillId="16" borderId="38" xfId="0" applyFont="1" applyFill="1" applyBorder="1"/>
    <xf numFmtId="0" fontId="54" fillId="0" borderId="38" xfId="0" applyFont="1" applyBorder="1" applyAlignment="1">
      <alignment horizontal="center"/>
    </xf>
    <xf numFmtId="1" fontId="54" fillId="0" borderId="38" xfId="0" applyNumberFormat="1" applyFont="1" applyBorder="1" applyAlignment="1">
      <alignment horizontal="center"/>
    </xf>
    <xf numFmtId="0" fontId="29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14" borderId="0" xfId="0" applyFont="1" applyFill="1" applyAlignment="1">
      <alignment horizontal="center" vertical="center"/>
    </xf>
    <xf numFmtId="0" fontId="0" fillId="14" borderId="0" xfId="0" applyFill="1" applyAlignment="1">
      <alignment horizontal="center"/>
    </xf>
    <xf numFmtId="0" fontId="5" fillId="0" borderId="0" xfId="0" applyFont="1" applyBorder="1" applyAlignment="1">
      <alignment horizontal="center" vertical="center"/>
    </xf>
    <xf numFmtId="9" fontId="5" fillId="0" borderId="0" xfId="0" applyNumberFormat="1" applyFont="1" applyBorder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0" fontId="60" fillId="0" borderId="23" xfId="0" applyFont="1" applyFill="1" applyBorder="1" applyAlignment="1">
      <alignment horizontal="center" vertical="center"/>
    </xf>
    <xf numFmtId="9" fontId="5" fillId="15" borderId="0" xfId="0" applyNumberFormat="1" applyFont="1" applyFill="1" applyBorder="1" applyAlignment="1">
      <alignment horizontal="center" vertical="center"/>
    </xf>
    <xf numFmtId="9" fontId="5" fillId="15" borderId="20" xfId="0" applyNumberFormat="1" applyFont="1" applyFill="1" applyBorder="1" applyAlignment="1">
      <alignment horizontal="center" vertical="center"/>
    </xf>
    <xf numFmtId="1" fontId="0" fillId="0" borderId="0" xfId="0" applyNumberFormat="1" applyBorder="1" applyAlignment="1">
      <alignment horizontal="center"/>
    </xf>
    <xf numFmtId="2" fontId="0" fillId="13" borderId="0" xfId="0" applyNumberForma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14" borderId="0" xfId="0" applyNumberFormat="1" applyFill="1" applyAlignment="1">
      <alignment horizontal="center"/>
    </xf>
    <xf numFmtId="9" fontId="0" fillId="0" borderId="0" xfId="0" applyNumberForma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0" fillId="0" borderId="0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" fontId="0" fillId="15" borderId="0" xfId="0" applyNumberFormat="1" applyFill="1" applyBorder="1" applyAlignment="1">
      <alignment horizontal="center" vertical="center"/>
    </xf>
    <xf numFmtId="1" fontId="0" fillId="15" borderId="20" xfId="0" applyNumberFormat="1" applyFill="1" applyBorder="1" applyAlignment="1">
      <alignment horizontal="center" vertical="center"/>
    </xf>
    <xf numFmtId="3" fontId="0" fillId="12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3" fontId="53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0" fontId="0" fillId="13" borderId="0" xfId="0" applyFill="1" applyBorder="1" applyAlignment="1">
      <alignment horizontal="center" vertical="center"/>
    </xf>
    <xf numFmtId="3" fontId="0" fillId="12" borderId="0" xfId="0" applyNumberFormat="1" applyFill="1"/>
    <xf numFmtId="3" fontId="0" fillId="0" borderId="0" xfId="0" applyNumberFormat="1"/>
    <xf numFmtId="1" fontId="0" fillId="0" borderId="0" xfId="0" applyNumberForma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29" fillId="0" borderId="0" xfId="0" applyFont="1" applyAlignment="1">
      <alignment horizontal="center"/>
    </xf>
    <xf numFmtId="1" fontId="29" fillId="0" borderId="0" xfId="0" applyNumberFormat="1" applyFont="1" applyAlignment="1">
      <alignment horizontal="center"/>
    </xf>
    <xf numFmtId="0" fontId="5" fillId="0" borderId="0" xfId="17">
      <alignment vertical="center"/>
    </xf>
    <xf numFmtId="0" fontId="5" fillId="0" borderId="1" xfId="17" applyBorder="1" applyAlignment="1">
      <alignment horizontal="center" vertical="center"/>
    </xf>
    <xf numFmtId="0" fontId="5" fillId="0" borderId="0" xfId="17" applyAlignment="1">
      <alignment horizontal="center" vertical="center"/>
    </xf>
    <xf numFmtId="0" fontId="5" fillId="17" borderId="1" xfId="17" applyFill="1" applyBorder="1">
      <alignment vertical="center"/>
    </xf>
    <xf numFmtId="0" fontId="5" fillId="17" borderId="1" xfId="17" applyFill="1" applyBorder="1" applyAlignment="1">
      <alignment horizontal="center" vertical="center"/>
    </xf>
    <xf numFmtId="205" fontId="5" fillId="17" borderId="1" xfId="17" applyNumberFormat="1" applyFill="1" applyBorder="1" applyAlignment="1">
      <alignment horizontal="left" vertical="center"/>
    </xf>
    <xf numFmtId="0" fontId="5" fillId="0" borderId="1" xfId="17" applyBorder="1">
      <alignment vertical="center"/>
    </xf>
    <xf numFmtId="205" fontId="5" fillId="0" borderId="1" xfId="17" applyNumberFormat="1" applyBorder="1" applyAlignment="1">
      <alignment horizontal="left" vertical="center"/>
    </xf>
    <xf numFmtId="1" fontId="5" fillId="0" borderId="1" xfId="17" applyNumberFormat="1" applyBorder="1" applyAlignment="1">
      <alignment horizontal="center" vertical="center"/>
    </xf>
    <xf numFmtId="1" fontId="5" fillId="17" borderId="1" xfId="17" applyNumberFormat="1" applyFill="1" applyBorder="1" applyAlignment="1">
      <alignment horizontal="center" vertical="center"/>
    </xf>
    <xf numFmtId="205" fontId="5" fillId="0" borderId="0" xfId="17" applyNumberFormat="1">
      <alignment vertical="center"/>
    </xf>
    <xf numFmtId="0" fontId="62" fillId="0" borderId="1" xfId="17" applyFont="1" applyBorder="1" applyAlignment="1">
      <alignment horizontal="center" vertical="center"/>
    </xf>
    <xf numFmtId="0" fontId="5" fillId="2" borderId="1" xfId="17" applyFill="1" applyBorder="1">
      <alignment vertical="center"/>
    </xf>
    <xf numFmtId="9" fontId="62" fillId="0" borderId="1" xfId="3" applyFont="1" applyBorder="1" applyAlignment="1">
      <alignment horizontal="center" vertical="center"/>
    </xf>
    <xf numFmtId="0" fontId="24" fillId="0" borderId="31" xfId="17" applyFont="1" applyBorder="1">
      <alignment vertical="center"/>
    </xf>
    <xf numFmtId="0" fontId="5" fillId="0" borderId="32" xfId="17" applyBorder="1" applyAlignment="1">
      <alignment vertical="center" wrapText="1"/>
    </xf>
    <xf numFmtId="0" fontId="5" fillId="0" borderId="33" xfId="17" applyBorder="1">
      <alignment vertical="center"/>
    </xf>
    <xf numFmtId="1" fontId="5" fillId="0" borderId="0" xfId="17" applyNumberFormat="1">
      <alignment vertical="center"/>
    </xf>
    <xf numFmtId="0" fontId="5" fillId="0" borderId="36" xfId="17" applyBorder="1">
      <alignment vertical="center"/>
    </xf>
    <xf numFmtId="1" fontId="5" fillId="0" borderId="9" xfId="17" applyNumberFormat="1" applyBorder="1">
      <alignment vertical="center"/>
    </xf>
    <xf numFmtId="0" fontId="63" fillId="0" borderId="1" xfId="17" applyFont="1" applyBorder="1" applyAlignment="1">
      <alignment horizontal="center" vertical="center"/>
    </xf>
    <xf numFmtId="0" fontId="63" fillId="0" borderId="0" xfId="17" applyFont="1" applyAlignment="1">
      <alignment horizontal="center" vertical="center"/>
    </xf>
    <xf numFmtId="213" fontId="5" fillId="0" borderId="0" xfId="17" applyNumberFormat="1" applyAlignment="1">
      <alignment horizontal="center" vertical="center"/>
    </xf>
    <xf numFmtId="1" fontId="33" fillId="0" borderId="1" xfId="17" applyNumberFormat="1" applyFont="1" applyBorder="1" applyAlignment="1">
      <alignment horizontal="center" vertical="center"/>
    </xf>
    <xf numFmtId="1" fontId="5" fillId="2" borderId="1" xfId="17" applyNumberFormat="1" applyFill="1" applyBorder="1" applyAlignment="1">
      <alignment horizontal="center" vertical="center"/>
    </xf>
    <xf numFmtId="205" fontId="5" fillId="2" borderId="1" xfId="17" applyNumberFormat="1" applyFill="1" applyBorder="1" applyAlignment="1">
      <alignment horizontal="left" vertical="center"/>
    </xf>
    <xf numFmtId="0" fontId="5" fillId="18" borderId="1" xfId="17" applyFill="1" applyBorder="1">
      <alignment vertical="center"/>
    </xf>
    <xf numFmtId="1" fontId="5" fillId="18" borderId="1" xfId="17" applyNumberFormat="1" applyFill="1" applyBorder="1" applyAlignment="1">
      <alignment horizontal="center" vertical="center"/>
    </xf>
    <xf numFmtId="205" fontId="5" fillId="18" borderId="1" xfId="17" applyNumberFormat="1" applyFill="1" applyBorder="1" applyAlignment="1">
      <alignment horizontal="left" vertical="center"/>
    </xf>
    <xf numFmtId="0" fontId="64" fillId="0" borderId="1" xfId="17" applyFont="1" applyBorder="1" applyAlignment="1">
      <alignment horizontal="center" vertical="center"/>
    </xf>
    <xf numFmtId="0" fontId="33" fillId="0" borderId="1" xfId="17" applyFont="1" applyBorder="1" applyAlignment="1">
      <alignment horizontal="center" vertical="center"/>
    </xf>
    <xf numFmtId="0" fontId="5" fillId="18" borderId="1" xfId="17" applyFill="1" applyBorder="1" applyAlignment="1">
      <alignment horizontal="center" vertical="center"/>
    </xf>
    <xf numFmtId="0" fontId="0" fillId="0" borderId="0" xfId="0" applyAlignment="1"/>
    <xf numFmtId="208" fontId="5" fillId="0" borderId="0" xfId="17" applyNumberFormat="1" applyAlignment="1">
      <alignment horizontal="left" vertical="center"/>
    </xf>
    <xf numFmtId="2" fontId="5" fillId="0" borderId="1" xfId="17" applyNumberFormat="1" applyBorder="1" applyAlignment="1">
      <alignment horizontal="center" vertical="center"/>
    </xf>
    <xf numFmtId="177" fontId="5" fillId="0" borderId="1" xfId="17" applyNumberFormat="1" applyBorder="1" applyAlignment="1">
      <alignment horizontal="left" vertical="center"/>
    </xf>
    <xf numFmtId="2" fontId="62" fillId="0" borderId="1" xfId="17" applyNumberFormat="1" applyFont="1" applyBorder="1" applyAlignment="1">
      <alignment horizontal="center" vertical="center"/>
    </xf>
    <xf numFmtId="1" fontId="62" fillId="0" borderId="1" xfId="17" applyNumberFormat="1" applyFont="1" applyBorder="1" applyAlignment="1">
      <alignment horizontal="center" vertical="center"/>
    </xf>
    <xf numFmtId="2" fontId="5" fillId="0" borderId="0" xfId="17" applyNumberFormat="1">
      <alignment vertical="center"/>
    </xf>
    <xf numFmtId="10" fontId="62" fillId="0" borderId="1" xfId="3" applyNumberFormat="1" applyFont="1" applyBorder="1" applyAlignment="1">
      <alignment horizontal="center" vertical="center"/>
    </xf>
    <xf numFmtId="10" fontId="62" fillId="0" borderId="1" xfId="17" applyNumberFormat="1" applyFont="1" applyBorder="1" applyAlignment="1">
      <alignment horizontal="center" vertical="center"/>
    </xf>
    <xf numFmtId="0" fontId="5" fillId="0" borderId="34" xfId="17" applyBorder="1" applyAlignment="1">
      <alignment vertical="center" wrapText="1"/>
    </xf>
    <xf numFmtId="1" fontId="5" fillId="0" borderId="35" xfId="17" applyNumberFormat="1" applyBorder="1">
      <alignment vertical="center"/>
    </xf>
    <xf numFmtId="2" fontId="5" fillId="0" borderId="9" xfId="17" applyNumberFormat="1" applyBorder="1">
      <alignment vertical="center"/>
    </xf>
    <xf numFmtId="1" fontId="5" fillId="0" borderId="37" xfId="17" applyNumberFormat="1" applyBorder="1">
      <alignment vertical="center"/>
    </xf>
    <xf numFmtId="1" fontId="5" fillId="0" borderId="0" xfId="12" applyNumberFormat="1" applyAlignment="1">
      <alignment vertical="center"/>
    </xf>
    <xf numFmtId="0" fontId="5" fillId="0" borderId="32" xfId="17" applyBorder="1">
      <alignment vertical="center"/>
    </xf>
    <xf numFmtId="0" fontId="24" fillId="0" borderId="33" xfId="17" applyFont="1" applyBorder="1">
      <alignment vertical="center"/>
    </xf>
    <xf numFmtId="0" fontId="24" fillId="0" borderId="36" xfId="17" applyFont="1" applyBorder="1">
      <alignment vertical="center"/>
    </xf>
    <xf numFmtId="0" fontId="5" fillId="0" borderId="9" xfId="17" applyBorder="1">
      <alignment vertical="center"/>
    </xf>
    <xf numFmtId="0" fontId="5" fillId="0" borderId="31" xfId="17" applyBorder="1">
      <alignment vertical="center"/>
    </xf>
    <xf numFmtId="2" fontId="33" fillId="0" borderId="1" xfId="17" applyNumberFormat="1" applyFont="1" applyBorder="1" applyAlignment="1">
      <alignment horizontal="center" vertical="center"/>
    </xf>
    <xf numFmtId="205" fontId="33" fillId="0" borderId="1" xfId="17" applyNumberFormat="1" applyFont="1" applyBorder="1" applyAlignment="1">
      <alignment horizontal="left" vertical="center"/>
    </xf>
    <xf numFmtId="177" fontId="33" fillId="0" borderId="1" xfId="17" applyNumberFormat="1" applyFont="1" applyBorder="1" applyAlignment="1">
      <alignment horizontal="left" vertical="center"/>
    </xf>
    <xf numFmtId="211" fontId="33" fillId="0" borderId="1" xfId="17" applyNumberFormat="1" applyFont="1" applyBorder="1" applyAlignment="1">
      <alignment horizontal="center" vertical="center"/>
    </xf>
    <xf numFmtId="201" fontId="33" fillId="0" borderId="1" xfId="17" applyNumberFormat="1" applyFont="1" applyBorder="1" applyAlignment="1">
      <alignment horizontal="center" vertical="center"/>
    </xf>
    <xf numFmtId="1" fontId="65" fillId="0" borderId="0" xfId="17" applyNumberFormat="1" applyFont="1" applyAlignment="1">
      <alignment horizontal="center" vertical="center"/>
    </xf>
    <xf numFmtId="1" fontId="5" fillId="0" borderId="0" xfId="17" applyNumberFormat="1" applyAlignment="1">
      <alignment horizontal="center" vertical="center"/>
    </xf>
    <xf numFmtId="0" fontId="5" fillId="0" borderId="0" xfId="17" applyFont="1">
      <alignment vertical="center"/>
    </xf>
    <xf numFmtId="0" fontId="5" fillId="0" borderId="0" xfId="0" applyFont="1" applyAlignment="1"/>
    <xf numFmtId="0" fontId="0" fillId="0" borderId="0" xfId="0" applyFont="1" applyAlignment="1"/>
    <xf numFmtId="0" fontId="0" fillId="0" borderId="0" xfId="0" applyFont="1"/>
    <xf numFmtId="0" fontId="5" fillId="0" borderId="34" xfId="17" applyBorder="1">
      <alignment vertical="center"/>
    </xf>
    <xf numFmtId="0" fontId="5" fillId="0" borderId="35" xfId="17" applyBorder="1">
      <alignment vertical="center"/>
    </xf>
    <xf numFmtId="177" fontId="0" fillId="0" borderId="35" xfId="4" applyNumberFormat="1" applyFont="1" applyBorder="1" applyAlignment="1">
      <alignment horizontal="left" vertical="center"/>
    </xf>
    <xf numFmtId="205" fontId="5" fillId="0" borderId="6" xfId="17" applyNumberFormat="1" applyBorder="1" applyAlignment="1">
      <alignment horizontal="left" vertical="center"/>
    </xf>
    <xf numFmtId="177" fontId="0" fillId="0" borderId="37" xfId="4" applyNumberFormat="1" applyFont="1" applyBorder="1" applyAlignment="1">
      <alignment horizontal="left" vertical="center"/>
    </xf>
    <xf numFmtId="0" fontId="9" fillId="0" borderId="9" xfId="15" applyFont="1" applyBorder="1" applyAlignment="1">
      <alignment horizontal="center" vertical="center"/>
    </xf>
    <xf numFmtId="0" fontId="9" fillId="0" borderId="0" xfId="15" applyFont="1" applyAlignment="1">
      <alignment vertical="center"/>
    </xf>
    <xf numFmtId="0" fontId="9" fillId="0" borderId="9" xfId="15" applyFont="1" applyBorder="1" applyAlignment="1">
      <alignment vertical="center"/>
    </xf>
    <xf numFmtId="0" fontId="10" fillId="0" borderId="9" xfId="15" applyFont="1" applyBorder="1" applyAlignment="1">
      <alignment vertical="center"/>
    </xf>
    <xf numFmtId="0" fontId="10" fillId="0" borderId="40" xfId="15" applyFont="1" applyBorder="1" applyAlignment="1">
      <alignment vertical="center"/>
    </xf>
    <xf numFmtId="0" fontId="66" fillId="19" borderId="21" xfId="0" applyFont="1" applyFill="1" applyBorder="1" applyAlignment="1">
      <alignment horizontal="right" vertical="center"/>
    </xf>
    <xf numFmtId="0" fontId="67" fillId="19" borderId="0" xfId="0" applyFont="1" applyFill="1" applyBorder="1" applyAlignment="1">
      <alignment horizontal="right" vertical="center"/>
    </xf>
    <xf numFmtId="0" fontId="68" fillId="19" borderId="0" xfId="0" applyFont="1" applyFill="1" applyBorder="1" applyAlignment="1">
      <alignment horizontal="right" vertical="center"/>
    </xf>
    <xf numFmtId="0" fontId="10" fillId="0" borderId="38" xfId="15" applyFont="1" applyBorder="1" applyAlignment="1">
      <alignment vertical="center"/>
    </xf>
    <xf numFmtId="0" fontId="12" fillId="0" borderId="41" xfId="15" applyFont="1" applyBorder="1" applyAlignment="1">
      <alignment vertical="center"/>
    </xf>
    <xf numFmtId="0" fontId="9" fillId="0" borderId="20" xfId="15" applyFont="1" applyBorder="1" applyAlignment="1">
      <alignment vertical="center"/>
    </xf>
    <xf numFmtId="0" fontId="69" fillId="0" borderId="0" xfId="15" applyFont="1" applyAlignment="1">
      <alignment horizontal="left" vertical="center" wrapText="1" indent="1" readingOrder="1"/>
    </xf>
    <xf numFmtId="0" fontId="30" fillId="0" borderId="38" xfId="15" applyFont="1" applyBorder="1" applyAlignment="1">
      <alignment vertical="center"/>
    </xf>
    <xf numFmtId="0" fontId="10" fillId="0" borderId="42" xfId="15" applyFont="1" applyBorder="1" applyAlignment="1">
      <alignment vertical="center"/>
    </xf>
    <xf numFmtId="0" fontId="70" fillId="0" borderId="0" xfId="15" applyFont="1" applyAlignment="1">
      <alignment horizontal="center" vertical="center"/>
    </xf>
    <xf numFmtId="0" fontId="9" fillId="0" borderId="9" xfId="15" applyFont="1" applyBorder="1" applyAlignment="1">
      <alignment horizontal="center" vertical="center" wrapText="1" readingOrder="1"/>
    </xf>
    <xf numFmtId="0" fontId="9" fillId="0" borderId="0" xfId="15" applyFont="1" applyAlignment="1">
      <alignment vertical="center" wrapText="1" readingOrder="1"/>
    </xf>
    <xf numFmtId="1" fontId="9" fillId="0" borderId="0" xfId="15" applyNumberFormat="1" applyFont="1" applyAlignment="1">
      <alignment vertical="center" wrapText="1" readingOrder="1"/>
    </xf>
    <xf numFmtId="1" fontId="9" fillId="0" borderId="0" xfId="15" applyNumberFormat="1" applyFont="1" applyAlignment="1">
      <alignment vertical="center" readingOrder="1"/>
    </xf>
    <xf numFmtId="0" fontId="9" fillId="0" borderId="9" xfId="15" applyFont="1" applyBorder="1" applyAlignment="1">
      <alignment vertical="center" wrapText="1" readingOrder="1"/>
    </xf>
    <xf numFmtId="1" fontId="9" fillId="0" borderId="9" xfId="15" applyNumberFormat="1" applyFont="1" applyBorder="1" applyAlignment="1">
      <alignment horizontal="right" vertical="center" readingOrder="1"/>
    </xf>
    <xf numFmtId="1" fontId="9" fillId="0" borderId="9" xfId="15" applyNumberFormat="1" applyFont="1" applyBorder="1" applyAlignment="1">
      <alignment vertical="center" readingOrder="1"/>
    </xf>
    <xf numFmtId="0" fontId="10" fillId="0" borderId="0" xfId="15" applyFont="1" applyAlignment="1">
      <alignment horizontal="left" vertical="center" wrapText="1" indent="1" readingOrder="1"/>
    </xf>
    <xf numFmtId="1" fontId="10" fillId="0" borderId="0" xfId="15" applyNumberFormat="1" applyFont="1" applyAlignment="1">
      <alignment vertical="center" wrapText="1" readingOrder="1"/>
    </xf>
    <xf numFmtId="1" fontId="10" fillId="0" borderId="0" xfId="15" applyNumberFormat="1" applyFont="1" applyAlignment="1">
      <alignment vertical="center" readingOrder="1"/>
    </xf>
    <xf numFmtId="0" fontId="10" fillId="0" borderId="9" xfId="15" applyFont="1" applyBorder="1" applyAlignment="1">
      <alignment horizontal="left" vertical="center" wrapText="1" indent="1" readingOrder="1"/>
    </xf>
    <xf numFmtId="1" fontId="10" fillId="0" borderId="9" xfId="15" applyNumberFormat="1" applyFont="1" applyBorder="1" applyAlignment="1">
      <alignment horizontal="right" vertical="center" wrapText="1" readingOrder="1"/>
    </xf>
    <xf numFmtId="1" fontId="10" fillId="0" borderId="9" xfId="15" applyNumberFormat="1" applyFont="1" applyBorder="1" applyAlignment="1">
      <alignment vertical="center" wrapText="1" readingOrder="1"/>
    </xf>
    <xf numFmtId="0" fontId="9" fillId="0" borderId="0" xfId="15" applyFont="1" applyAlignment="1">
      <alignment horizontal="left" vertical="center" wrapText="1" indent="2" readingOrder="1"/>
    </xf>
    <xf numFmtId="0" fontId="10" fillId="0" borderId="0" xfId="15" applyFont="1" applyAlignment="1">
      <alignment horizontal="left" vertical="center" wrapText="1" indent="3" readingOrder="1"/>
    </xf>
    <xf numFmtId="1" fontId="10" fillId="0" borderId="0" xfId="15" applyNumberFormat="1" applyFont="1" applyAlignment="1">
      <alignment horizontal="right" vertical="center" wrapText="1"/>
    </xf>
    <xf numFmtId="0" fontId="9" fillId="0" borderId="0" xfId="15" applyFont="1" applyAlignment="1">
      <alignment horizontal="left" vertical="center" wrapText="1" indent="1" readingOrder="1"/>
    </xf>
    <xf numFmtId="0" fontId="10" fillId="0" borderId="0" xfId="15" applyFont="1" applyAlignment="1">
      <alignment horizontal="left" vertical="center" wrapText="1" indent="5" readingOrder="1"/>
    </xf>
    <xf numFmtId="1" fontId="10" fillId="0" borderId="0" xfId="15" applyNumberFormat="1" applyFont="1" applyFill="1" applyAlignment="1">
      <alignment horizontal="right" vertical="center" wrapText="1" readingOrder="1"/>
    </xf>
    <xf numFmtId="1" fontId="9" fillId="0" borderId="9" xfId="15" applyNumberFormat="1" applyFont="1" applyBorder="1" applyAlignment="1">
      <alignment horizontal="center" vertical="center"/>
    </xf>
    <xf numFmtId="1" fontId="9" fillId="0" borderId="0" xfId="15" applyNumberFormat="1" applyFont="1" applyAlignment="1">
      <alignment vertical="center"/>
    </xf>
    <xf numFmtId="1" fontId="9" fillId="0" borderId="9" xfId="15" applyNumberFormat="1" applyFont="1" applyBorder="1" applyAlignment="1">
      <alignment vertical="center"/>
    </xf>
    <xf numFmtId="1" fontId="10" fillId="0" borderId="9" xfId="15" applyNumberFormat="1" applyFont="1" applyBorder="1" applyAlignment="1">
      <alignment vertical="center"/>
    </xf>
    <xf numFmtId="1" fontId="9" fillId="0" borderId="0" xfId="15" applyNumberFormat="1" applyFont="1" applyAlignment="1">
      <alignment horizontal="right" vertical="center" wrapText="1"/>
    </xf>
    <xf numFmtId="1" fontId="10" fillId="2" borderId="0" xfId="15" applyNumberFormat="1" applyFont="1" applyFill="1" applyAlignment="1">
      <alignment vertical="center"/>
    </xf>
    <xf numFmtId="1" fontId="9" fillId="0" borderId="9" xfId="15" applyNumberFormat="1" applyFont="1" applyBorder="1" applyAlignment="1">
      <alignment horizontal="right" vertical="center" wrapText="1" readingOrder="1"/>
    </xf>
    <xf numFmtId="0" fontId="9" fillId="8" borderId="40" xfId="15" applyFont="1" applyFill="1" applyBorder="1" applyAlignment="1">
      <alignment vertical="center" wrapText="1" readingOrder="1"/>
    </xf>
    <xf numFmtId="1" fontId="9" fillId="8" borderId="40" xfId="15" applyNumberFormat="1" applyFont="1" applyFill="1" applyBorder="1" applyAlignment="1">
      <alignment horizontal="center" vertical="center"/>
    </xf>
    <xf numFmtId="0" fontId="9" fillId="8" borderId="0" xfId="15" applyFont="1" applyFill="1" applyAlignment="1">
      <alignment vertical="center" wrapText="1" readingOrder="1"/>
    </xf>
    <xf numFmtId="0" fontId="10" fillId="2" borderId="0" xfId="15" applyFont="1" applyFill="1" applyAlignment="1">
      <alignment horizontal="left" vertical="center" wrapText="1" indent="3" readingOrder="1"/>
    </xf>
    <xf numFmtId="1" fontId="10" fillId="2" borderId="0" xfId="15" applyNumberFormat="1" applyFont="1" applyFill="1" applyAlignment="1">
      <alignment horizontal="right" vertical="center" wrapText="1" readingOrder="1"/>
    </xf>
    <xf numFmtId="1" fontId="66" fillId="19" borderId="21" xfId="0" applyNumberFormat="1" applyFont="1" applyFill="1" applyBorder="1" applyAlignment="1">
      <alignment horizontal="right" vertical="center"/>
    </xf>
    <xf numFmtId="1" fontId="67" fillId="19" borderId="0" xfId="0" applyNumberFormat="1" applyFont="1" applyFill="1" applyBorder="1" applyAlignment="1">
      <alignment horizontal="right" vertical="center"/>
    </xf>
    <xf numFmtId="1" fontId="68" fillId="19" borderId="0" xfId="0" applyNumberFormat="1" applyFont="1" applyFill="1" applyBorder="1" applyAlignment="1">
      <alignment horizontal="right" vertical="center"/>
    </xf>
    <xf numFmtId="1" fontId="10" fillId="0" borderId="38" xfId="15" applyNumberFormat="1" applyFont="1" applyBorder="1" applyAlignment="1">
      <alignment vertical="center"/>
    </xf>
    <xf numFmtId="1" fontId="12" fillId="0" borderId="41" xfId="15" applyNumberFormat="1" applyFont="1" applyBorder="1" applyAlignment="1">
      <alignment vertical="center"/>
    </xf>
    <xf numFmtId="1" fontId="46" fillId="0" borderId="0" xfId="0" applyNumberFormat="1" applyFont="1" applyAlignment="1">
      <alignment vertical="center"/>
    </xf>
    <xf numFmtId="0" fontId="9" fillId="0" borderId="20" xfId="15" applyFont="1" applyBorder="1" applyAlignment="1">
      <alignment vertical="center" wrapText="1" readingOrder="1"/>
    </xf>
    <xf numFmtId="1" fontId="46" fillId="0" borderId="20" xfId="0" applyNumberFormat="1" applyFont="1" applyBorder="1" applyAlignment="1">
      <alignment vertical="center"/>
    </xf>
    <xf numFmtId="1" fontId="9" fillId="0" borderId="20" xfId="15" applyNumberFormat="1" applyFont="1" applyBorder="1" applyAlignment="1">
      <alignment vertical="center"/>
    </xf>
    <xf numFmtId="1" fontId="45" fillId="0" borderId="0" xfId="0" applyNumberFormat="1" applyFont="1" applyAlignment="1">
      <alignment vertical="center"/>
    </xf>
    <xf numFmtId="0" fontId="10" fillId="0" borderId="20" xfId="15" applyFont="1" applyBorder="1" applyAlignment="1">
      <alignment horizontal="left" vertical="center" wrapText="1" indent="1" readingOrder="1"/>
    </xf>
    <xf numFmtId="1" fontId="45" fillId="0" borderId="20" xfId="0" applyNumberFormat="1" applyFont="1" applyBorder="1" applyAlignment="1">
      <alignment vertical="center"/>
    </xf>
    <xf numFmtId="0" fontId="10" fillId="0" borderId="0" xfId="15" applyFont="1" applyFill="1" applyAlignment="1">
      <alignment vertical="center"/>
    </xf>
    <xf numFmtId="1" fontId="69" fillId="0" borderId="0" xfId="15" applyNumberFormat="1" applyFont="1" applyAlignment="1">
      <alignment horizontal="left" vertical="center" wrapText="1" indent="1" readingOrder="1"/>
    </xf>
    <xf numFmtId="1" fontId="30" fillId="0" borderId="38" xfId="15" applyNumberFormat="1" applyFont="1" applyBorder="1" applyAlignment="1">
      <alignment vertical="center"/>
    </xf>
    <xf numFmtId="209" fontId="30" fillId="0" borderId="38" xfId="15" applyNumberFormat="1" applyFont="1" applyBorder="1" applyAlignment="1">
      <alignment vertical="center"/>
    </xf>
    <xf numFmtId="1" fontId="10" fillId="0" borderId="42" xfId="15" applyNumberFormat="1" applyFont="1" applyBorder="1" applyAlignment="1">
      <alignment vertical="center"/>
    </xf>
    <xf numFmtId="0" fontId="10" fillId="0" borderId="0" xfId="15" applyFont="1" applyAlignment="1">
      <alignment vertical="center" wrapText="1" readingOrder="1"/>
    </xf>
    <xf numFmtId="0" fontId="10" fillId="0" borderId="0" xfId="15" applyFont="1" applyAlignment="1">
      <alignment horizontal="center" vertical="center"/>
    </xf>
    <xf numFmtId="1" fontId="10" fillId="0" borderId="38" xfId="15" applyNumberFormat="1" applyFont="1" applyBorder="1" applyAlignment="1">
      <alignment horizontal="center" vertical="center"/>
    </xf>
    <xf numFmtId="1" fontId="70" fillId="0" borderId="0" xfId="15" applyNumberFormat="1" applyFont="1" applyAlignment="1">
      <alignment horizontal="center" vertical="center"/>
    </xf>
    <xf numFmtId="0" fontId="10" fillId="0" borderId="0" xfId="15" applyFont="1" applyAlignment="1">
      <alignment horizontal="left" vertical="center"/>
    </xf>
    <xf numFmtId="0" fontId="10" fillId="0" borderId="0" xfId="15" applyFont="1" applyAlignment="1">
      <alignment horizontal="left" vertical="center" indent="1"/>
    </xf>
    <xf numFmtId="211" fontId="30" fillId="0" borderId="38" xfId="15" applyNumberFormat="1" applyFont="1" applyBorder="1" applyAlignment="1">
      <alignment vertical="center"/>
    </xf>
    <xf numFmtId="0" fontId="10" fillId="0" borderId="0" xfId="15" applyFont="1" applyAlignment="1">
      <alignment horizontal="right" vertical="center"/>
    </xf>
    <xf numFmtId="0" fontId="10" fillId="0" borderId="0" xfId="15" applyFont="1" applyFill="1" applyAlignment="1">
      <alignment horizontal="right" vertical="center"/>
    </xf>
    <xf numFmtId="1" fontId="10" fillId="0" borderId="38" xfId="15" applyNumberFormat="1" applyFont="1" applyBorder="1" applyAlignment="1">
      <alignment horizontal="right" vertical="center"/>
    </xf>
    <xf numFmtId="1" fontId="70" fillId="0" borderId="0" xfId="15" applyNumberFormat="1" applyFont="1" applyAlignment="1">
      <alignment horizontal="right" vertical="center"/>
    </xf>
    <xf numFmtId="1" fontId="9" fillId="0" borderId="0" xfId="15" applyNumberFormat="1" applyFont="1" applyAlignment="1">
      <alignment horizontal="right" vertical="center"/>
    </xf>
    <xf numFmtId="1" fontId="10" fillId="0" borderId="40" xfId="15" applyNumberFormat="1" applyFont="1" applyBorder="1" applyAlignment="1">
      <alignment vertical="center"/>
    </xf>
    <xf numFmtId="0" fontId="10" fillId="2" borderId="38" xfId="15" applyFont="1" applyFill="1" applyBorder="1" applyAlignment="1">
      <alignment vertical="center"/>
    </xf>
    <xf numFmtId="1" fontId="40" fillId="0" borderId="0" xfId="0" applyNumberFormat="1" applyFont="1" applyAlignment="1">
      <alignment horizontal="right" vertical="center"/>
    </xf>
    <xf numFmtId="1" fontId="40" fillId="0" borderId="0" xfId="15" applyNumberFormat="1" applyFont="1" applyAlignment="1">
      <alignment horizontal="right" vertical="center"/>
    </xf>
    <xf numFmtId="0" fontId="5" fillId="20" borderId="0" xfId="15" applyFill="1" applyAlignment="1">
      <alignment horizontal="center" vertical="center"/>
    </xf>
    <xf numFmtId="9" fontId="5" fillId="0" borderId="0" xfId="3" applyAlignment="1">
      <alignment horizontal="center" vertical="center"/>
    </xf>
    <xf numFmtId="2" fontId="5" fillId="0" borderId="0" xfId="15" applyNumberFormat="1" applyAlignment="1">
      <alignment horizontal="center" vertical="center"/>
    </xf>
    <xf numFmtId="0" fontId="0" fillId="20" borderId="0" xfId="15" applyFont="1" applyFill="1" applyAlignment="1">
      <alignment horizontal="center" vertical="center"/>
    </xf>
    <xf numFmtId="9" fontId="0" fillId="0" borderId="0" xfId="3" applyFont="1" applyAlignment="1">
      <alignment horizontal="center" vertical="center"/>
    </xf>
    <xf numFmtId="9" fontId="5" fillId="0" borderId="0" xfId="3" applyFont="1" applyAlignment="1">
      <alignment horizontal="center" vertical="center"/>
    </xf>
    <xf numFmtId="2" fontId="5" fillId="20" borderId="0" xfId="15" applyNumberFormat="1" applyFill="1" applyAlignment="1">
      <alignment horizontal="center" vertical="center"/>
    </xf>
    <xf numFmtId="211" fontId="5" fillId="20" borderId="0" xfId="15" applyNumberFormat="1" applyFill="1" applyAlignment="1">
      <alignment horizontal="center" vertical="center"/>
    </xf>
    <xf numFmtId="0" fontId="58" fillId="20" borderId="1" xfId="16" applyFill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9" fontId="58" fillId="0" borderId="0" xfId="3" applyFont="1" applyBorder="1" applyAlignment="1">
      <alignment horizontal="center"/>
    </xf>
    <xf numFmtId="0" fontId="58" fillId="20" borderId="1" xfId="15" applyFont="1" applyFill="1" applyBorder="1" applyAlignment="1">
      <alignment horizontal="center"/>
    </xf>
    <xf numFmtId="0" fontId="58" fillId="20" borderId="1" xfId="16" applyFont="1" applyFill="1" applyBorder="1" applyAlignment="1">
      <alignment horizontal="center" vertical="center"/>
    </xf>
    <xf numFmtId="1" fontId="71" fillId="20" borderId="1" xfId="0" applyNumberFormat="1" applyFont="1" applyFill="1" applyBorder="1" applyAlignment="1">
      <alignment horizontal="center" vertical="center"/>
    </xf>
    <xf numFmtId="0" fontId="72" fillId="0" borderId="1" xfId="15" applyFont="1" applyFill="1" applyBorder="1" applyAlignment="1">
      <alignment horizontal="center" vertical="center"/>
    </xf>
    <xf numFmtId="0" fontId="5" fillId="0" borderId="1" xfId="15" applyFont="1" applyFill="1" applyBorder="1" applyAlignment="1">
      <alignment horizontal="center" vertical="center"/>
    </xf>
    <xf numFmtId="0" fontId="73" fillId="0" borderId="1" xfId="15" applyFont="1" applyFill="1" applyBorder="1" applyAlignment="1">
      <alignment horizontal="center" vertical="center"/>
    </xf>
    <xf numFmtId="9" fontId="58" fillId="0" borderId="0" xfId="3" applyFont="1" applyAlignment="1">
      <alignment horizontal="center"/>
    </xf>
    <xf numFmtId="191" fontId="58" fillId="0" borderId="1" xfId="16" applyNumberFormat="1" applyFont="1" applyBorder="1" applyAlignment="1">
      <alignment horizontal="center" vertical="center"/>
    </xf>
    <xf numFmtId="0" fontId="0" fillId="0" borderId="0" xfId="15" applyFont="1" applyAlignment="1">
      <alignment horizontal="center" vertical="center"/>
    </xf>
    <xf numFmtId="0" fontId="5" fillId="0" borderId="0" xfId="15" applyBorder="1" applyAlignment="1">
      <alignment vertical="center"/>
    </xf>
    <xf numFmtId="211" fontId="5" fillId="0" borderId="0" xfId="15" applyNumberFormat="1" applyAlignment="1">
      <alignment horizontal="center" vertical="center"/>
    </xf>
    <xf numFmtId="191" fontId="58" fillId="0" borderId="1" xfId="16" applyNumberFormat="1" applyBorder="1" applyAlignment="1">
      <alignment horizontal="center" vertical="center"/>
    </xf>
    <xf numFmtId="202" fontId="58" fillId="0" borderId="1" xfId="16" applyNumberFormat="1" applyBorder="1" applyAlignment="1">
      <alignment horizontal="center" vertical="center"/>
    </xf>
    <xf numFmtId="0" fontId="0" fillId="0" borderId="0" xfId="16" applyFont="1" applyBorder="1" applyAlignment="1">
      <alignment horizontal="left" vertical="center"/>
    </xf>
    <xf numFmtId="183" fontId="58" fillId="0" borderId="1" xfId="16" applyNumberFormat="1" applyBorder="1" applyAlignment="1">
      <alignment horizontal="center" vertical="center"/>
    </xf>
    <xf numFmtId="0" fontId="15" fillId="0" borderId="0" xfId="15" applyFont="1" applyAlignment="1">
      <alignment vertical="center"/>
    </xf>
    <xf numFmtId="0" fontId="14" fillId="0" borderId="0" xfId="15" applyFont="1" applyAlignment="1">
      <alignment vertical="center"/>
    </xf>
    <xf numFmtId="2" fontId="15" fillId="0" borderId="0" xfId="15" applyNumberFormat="1" applyFont="1" applyAlignment="1">
      <alignment vertical="center"/>
    </xf>
    <xf numFmtId="1" fontId="15" fillId="0" borderId="0" xfId="15" applyNumberFormat="1" applyFont="1" applyAlignment="1">
      <alignment vertical="center"/>
    </xf>
    <xf numFmtId="197" fontId="45" fillId="0" borderId="1" xfId="6" applyNumberFormat="1" applyFont="1" applyBorder="1" applyAlignment="1">
      <alignment horizontal="left" vertical="center" wrapText="1"/>
    </xf>
    <xf numFmtId="197" fontId="46" fillId="0" borderId="1" xfId="6" applyNumberFormat="1" applyFont="1" applyBorder="1" applyAlignment="1">
      <alignment horizontal="left" vertical="center" wrapText="1"/>
    </xf>
    <xf numFmtId="180" fontId="46" fillId="0" borderId="1" xfId="6" applyNumberFormat="1" applyFont="1" applyBorder="1" applyAlignment="1">
      <alignment horizontal="left" vertical="center" wrapText="1"/>
    </xf>
    <xf numFmtId="1" fontId="10" fillId="0" borderId="1" xfId="0" applyNumberFormat="1" applyFont="1" applyBorder="1" applyAlignment="1">
      <alignment vertical="center"/>
    </xf>
    <xf numFmtId="0" fontId="15" fillId="0" borderId="0" xfId="15" applyFont="1" applyFill="1" applyAlignment="1">
      <alignment vertical="center"/>
    </xf>
    <xf numFmtId="0" fontId="14" fillId="0" borderId="0" xfId="15" applyFont="1" applyFill="1" applyAlignment="1">
      <alignment vertical="center"/>
    </xf>
    <xf numFmtId="0" fontId="75" fillId="0" borderId="0" xfId="15" applyFont="1" applyAlignment="1">
      <alignment vertical="center"/>
    </xf>
    <xf numFmtId="57" fontId="76" fillId="0" borderId="1" xfId="15" applyNumberFormat="1" applyFont="1" applyBorder="1" applyAlignment="1">
      <alignment horizontal="center" vertical="center" wrapText="1"/>
    </xf>
    <xf numFmtId="57" fontId="76" fillId="0" borderId="1" xfId="15" applyNumberFormat="1" applyFont="1" applyFill="1" applyBorder="1" applyAlignment="1">
      <alignment horizontal="center" vertical="center" wrapText="1"/>
    </xf>
    <xf numFmtId="1" fontId="77" fillId="0" borderId="1" xfId="15" applyNumberFormat="1" applyFont="1" applyFill="1" applyBorder="1" applyAlignment="1">
      <alignment horizontal="center" vertical="center" wrapText="1"/>
    </xf>
    <xf numFmtId="1" fontId="76" fillId="0" borderId="1" xfId="15" applyNumberFormat="1" applyFont="1" applyFill="1" applyBorder="1" applyAlignment="1">
      <alignment horizontal="center" vertical="center" wrapText="1"/>
    </xf>
    <xf numFmtId="1" fontId="77" fillId="0" borderId="1" xfId="15" applyNumberFormat="1" applyFont="1" applyBorder="1" applyAlignment="1">
      <alignment horizontal="center" vertical="center" wrapText="1"/>
    </xf>
    <xf numFmtId="0" fontId="78" fillId="0" borderId="1" xfId="15" applyFont="1" applyBorder="1" applyAlignment="1">
      <alignment horizontal="left" vertical="center" wrapText="1" indent="2"/>
    </xf>
    <xf numFmtId="1" fontId="78" fillId="0" borderId="1" xfId="15" applyNumberFormat="1" applyFont="1" applyBorder="1" applyAlignment="1">
      <alignment horizontal="center" vertical="center" wrapText="1"/>
    </xf>
    <xf numFmtId="1" fontId="79" fillId="0" borderId="1" xfId="15" applyNumberFormat="1" applyFont="1" applyBorder="1" applyAlignment="1">
      <alignment horizontal="center" vertical="center" wrapText="1"/>
    </xf>
    <xf numFmtId="1" fontId="79" fillId="0" borderId="1" xfId="15" applyNumberFormat="1" applyFont="1" applyFill="1" applyBorder="1" applyAlignment="1">
      <alignment horizontal="center" vertical="center" wrapText="1"/>
    </xf>
    <xf numFmtId="1" fontId="78" fillId="0" borderId="1" xfId="15" applyNumberFormat="1" applyFont="1" applyFill="1" applyBorder="1" applyAlignment="1">
      <alignment horizontal="center" vertical="center" wrapText="1"/>
    </xf>
    <xf numFmtId="0" fontId="78" fillId="0" borderId="1" xfId="0" applyFont="1" applyBorder="1" applyAlignment="1">
      <alignment horizontal="left" vertical="center" wrapText="1" indent="2"/>
    </xf>
    <xf numFmtId="1" fontId="78" fillId="0" borderId="1" xfId="0" applyNumberFormat="1" applyFont="1" applyBorder="1" applyAlignment="1">
      <alignment horizontal="center" vertical="center" wrapText="1"/>
    </xf>
    <xf numFmtId="0" fontId="78" fillId="0" borderId="1" xfId="0" applyFont="1" applyFill="1" applyBorder="1" applyAlignment="1">
      <alignment horizontal="left" vertical="center" wrapText="1" indent="2"/>
    </xf>
    <xf numFmtId="1" fontId="78" fillId="0" borderId="1" xfId="0" applyNumberFormat="1" applyFont="1" applyFill="1" applyBorder="1" applyAlignment="1">
      <alignment horizontal="center" vertical="center" wrapText="1"/>
    </xf>
    <xf numFmtId="0" fontId="78" fillId="0" borderId="1" xfId="15" applyFont="1" applyFill="1" applyBorder="1" applyAlignment="1">
      <alignment horizontal="left" vertical="center" wrapText="1" indent="2"/>
    </xf>
    <xf numFmtId="1" fontId="41" fillId="0" borderId="1" xfId="15" applyNumberFormat="1" applyFont="1" applyFill="1" applyBorder="1" applyAlignment="1">
      <alignment horizontal="center" vertical="center" wrapText="1"/>
    </xf>
    <xf numFmtId="1" fontId="46" fillId="0" borderId="1" xfId="0" applyNumberFormat="1" applyFont="1" applyFill="1" applyBorder="1" applyAlignment="1">
      <alignment horizontal="center" vertical="center"/>
    </xf>
    <xf numFmtId="0" fontId="41" fillId="10" borderId="0" xfId="15" applyFont="1" applyFill="1" applyAlignment="1">
      <alignment vertical="center" wrapText="1"/>
    </xf>
    <xf numFmtId="1" fontId="76" fillId="10" borderId="0" xfId="15" applyNumberFormat="1" applyFont="1" applyFill="1" applyAlignment="1">
      <alignment horizontal="center" vertical="center" wrapText="1"/>
    </xf>
    <xf numFmtId="0" fontId="15" fillId="10" borderId="0" xfId="15" applyFont="1" applyFill="1" applyAlignment="1">
      <alignment vertical="center"/>
    </xf>
    <xf numFmtId="1" fontId="15" fillId="10" borderId="0" xfId="15" applyNumberFormat="1" applyFont="1" applyFill="1" applyAlignment="1">
      <alignment horizontal="center" vertical="center"/>
    </xf>
    <xf numFmtId="1" fontId="79" fillId="10" borderId="0" xfId="15" applyNumberFormat="1" applyFont="1" applyFill="1" applyAlignment="1">
      <alignment horizontal="center" vertical="center" wrapText="1"/>
    </xf>
    <xf numFmtId="1" fontId="79" fillId="0" borderId="0" xfId="15" applyNumberFormat="1" applyFont="1" applyAlignment="1">
      <alignment horizontal="center" vertical="center" wrapText="1"/>
    </xf>
    <xf numFmtId="0" fontId="15" fillId="0" borderId="0" xfId="15" applyNumberFormat="1" applyFont="1" applyFill="1" applyBorder="1" applyAlignment="1" applyProtection="1">
      <alignment vertical="center"/>
    </xf>
    <xf numFmtId="0" fontId="15" fillId="21" borderId="0" xfId="15" applyFont="1" applyFill="1" applyAlignment="1">
      <alignment vertical="center"/>
    </xf>
    <xf numFmtId="180" fontId="46" fillId="0" borderId="1" xfId="6" applyNumberFormat="1" applyFont="1" applyFill="1" applyBorder="1" applyAlignment="1">
      <alignment horizontal="left" vertical="center" wrapText="1"/>
    </xf>
    <xf numFmtId="180" fontId="45" fillId="0" borderId="1" xfId="6" applyNumberFormat="1" applyFont="1" applyFill="1" applyBorder="1" applyAlignment="1">
      <alignment horizontal="left" vertical="center" wrapText="1"/>
    </xf>
    <xf numFmtId="0" fontId="80" fillId="0" borderId="0" xfId="15" applyFont="1" applyAlignment="1">
      <alignment vertical="center"/>
    </xf>
    <xf numFmtId="1" fontId="75" fillId="0" borderId="0" xfId="15" applyNumberFormat="1" applyFont="1" applyAlignment="1">
      <alignment vertical="center"/>
    </xf>
    <xf numFmtId="1" fontId="14" fillId="0" borderId="0" xfId="15" applyNumberFormat="1" applyFont="1" applyAlignment="1">
      <alignment vertical="center"/>
    </xf>
    <xf numFmtId="0" fontId="75" fillId="0" borderId="0" xfId="15" applyFont="1" applyFill="1" applyAlignment="1">
      <alignment vertical="center"/>
    </xf>
    <xf numFmtId="1" fontId="15" fillId="0" borderId="1" xfId="15" applyNumberFormat="1" applyFont="1" applyFill="1" applyBorder="1" applyAlignment="1">
      <alignment horizontal="center" vertical="center"/>
    </xf>
    <xf numFmtId="1" fontId="14" fillId="0" borderId="1" xfId="15" applyNumberFormat="1" applyFont="1" applyFill="1" applyBorder="1" applyAlignment="1">
      <alignment horizontal="center" vertical="center"/>
    </xf>
    <xf numFmtId="1" fontId="15" fillId="10" borderId="0" xfId="15" applyNumberFormat="1" applyFont="1" applyFill="1" applyAlignment="1">
      <alignment vertical="center"/>
    </xf>
    <xf numFmtId="1" fontId="75" fillId="0" borderId="0" xfId="15" applyNumberFormat="1" applyFont="1" applyFill="1" applyAlignment="1">
      <alignment vertical="center"/>
    </xf>
    <xf numFmtId="0" fontId="81" fillId="0" borderId="0" xfId="15" applyFont="1" applyAlignment="1">
      <alignment vertical="center" wrapText="1"/>
    </xf>
    <xf numFmtId="0" fontId="74" fillId="0" borderId="0" xfId="15" applyFont="1" applyAlignment="1">
      <alignment vertical="center" wrapText="1"/>
    </xf>
    <xf numFmtId="0" fontId="14" fillId="0" borderId="1" xfId="15" applyFont="1" applyBorder="1" applyAlignment="1">
      <alignment vertical="center"/>
    </xf>
    <xf numFmtId="0" fontId="15" fillId="0" borderId="1" xfId="15" applyNumberFormat="1" applyFont="1" applyFill="1" applyBorder="1" applyAlignment="1" applyProtection="1">
      <alignment vertical="center"/>
    </xf>
    <xf numFmtId="0" fontId="15" fillId="0" borderId="1" xfId="15" applyFont="1" applyBorder="1" applyAlignment="1">
      <alignment vertical="center"/>
    </xf>
    <xf numFmtId="0" fontId="15" fillId="21" borderId="1" xfId="15" applyFont="1" applyFill="1" applyBorder="1" applyAlignment="1">
      <alignment vertical="center"/>
    </xf>
    <xf numFmtId="0" fontId="10" fillId="0" borderId="0" xfId="0" applyFont="1" applyAlignment="1">
      <alignment vertical="center" wrapText="1"/>
    </xf>
    <xf numFmtId="0" fontId="10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0" xfId="0" applyFont="1" applyAlignment="1">
      <alignment horizontal="center" vertical="center"/>
    </xf>
    <xf numFmtId="0" fontId="10" fillId="0" borderId="38" xfId="0" applyFont="1" applyBorder="1" applyAlignment="1">
      <alignment vertical="center"/>
    </xf>
    <xf numFmtId="0" fontId="10" fillId="10" borderId="0" xfId="0" applyFont="1" applyFill="1" applyAlignment="1">
      <alignment vertical="center"/>
    </xf>
    <xf numFmtId="0" fontId="12" fillId="0" borderId="0" xfId="0" applyFont="1" applyAlignment="1">
      <alignment vertical="center" wrapText="1"/>
    </xf>
    <xf numFmtId="0" fontId="9" fillId="0" borderId="1" xfId="0" applyFont="1" applyBorder="1" applyAlignment="1">
      <alignment vertical="center"/>
    </xf>
    <xf numFmtId="2" fontId="9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2" fontId="10" fillId="0" borderId="0" xfId="0" applyNumberFormat="1" applyFont="1" applyAlignment="1">
      <alignment vertical="center"/>
    </xf>
    <xf numFmtId="0" fontId="12" fillId="10" borderId="0" xfId="0" applyFont="1" applyFill="1" applyAlignment="1">
      <alignment vertical="center"/>
    </xf>
    <xf numFmtId="0" fontId="10" fillId="10" borderId="0" xfId="0" applyFont="1" applyFill="1" applyAlignment="1">
      <alignment horizontal="center" vertical="center"/>
    </xf>
    <xf numFmtId="2" fontId="10" fillId="10" borderId="0" xfId="0" applyNumberFormat="1" applyFont="1" applyFill="1" applyAlignment="1">
      <alignment vertical="center"/>
    </xf>
    <xf numFmtId="0" fontId="9" fillId="12" borderId="1" xfId="0" applyFont="1" applyFill="1" applyBorder="1" applyAlignment="1">
      <alignment vertical="center"/>
    </xf>
    <xf numFmtId="2" fontId="9" fillId="12" borderId="1" xfId="0" applyNumberFormat="1" applyFont="1" applyFill="1" applyBorder="1" applyAlignment="1">
      <alignment horizontal="center" vertical="center"/>
    </xf>
    <xf numFmtId="1" fontId="9" fillId="12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201" fontId="10" fillId="0" borderId="1" xfId="3" applyNumberFormat="1" applyFont="1" applyFill="1" applyBorder="1" applyAlignment="1">
      <alignment horizontal="center" vertical="center"/>
    </xf>
    <xf numFmtId="2" fontId="10" fillId="0" borderId="1" xfId="0" applyNumberFormat="1" applyFont="1" applyFill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 vertical="center"/>
    </xf>
    <xf numFmtId="0" fontId="10" fillId="0" borderId="23" xfId="0" applyFont="1" applyBorder="1" applyAlignment="1">
      <alignment vertical="center"/>
    </xf>
    <xf numFmtId="0" fontId="9" fillId="0" borderId="29" xfId="0" applyFont="1" applyBorder="1" applyAlignment="1">
      <alignment horizontal="center" vertical="center"/>
    </xf>
    <xf numFmtId="10" fontId="9" fillId="0" borderId="0" xfId="0" applyNumberFormat="1" applyFont="1" applyAlignment="1">
      <alignment vertical="center"/>
    </xf>
    <xf numFmtId="203" fontId="10" fillId="0" borderId="1" xfId="0" applyNumberFormat="1" applyFont="1" applyBorder="1" applyAlignment="1">
      <alignment horizontal="left" vertical="center" wrapText="1"/>
    </xf>
    <xf numFmtId="203" fontId="10" fillId="0" borderId="0" xfId="0" applyNumberFormat="1" applyFont="1" applyAlignment="1">
      <alignment horizontal="left" vertical="center" wrapText="1"/>
    </xf>
    <xf numFmtId="203" fontId="10" fillId="10" borderId="0" xfId="0" applyNumberFormat="1" applyFont="1" applyFill="1" applyAlignment="1">
      <alignment horizontal="left" vertical="center" wrapText="1"/>
    </xf>
    <xf numFmtId="203" fontId="10" fillId="12" borderId="0" xfId="0" applyNumberFormat="1" applyFont="1" applyFill="1" applyAlignment="1">
      <alignment horizontal="left" vertical="center" wrapText="1"/>
    </xf>
    <xf numFmtId="0" fontId="10" fillId="12" borderId="0" xfId="0" applyFont="1" applyFill="1" applyBorder="1" applyAlignment="1">
      <alignment vertical="center"/>
    </xf>
    <xf numFmtId="10" fontId="10" fillId="10" borderId="0" xfId="3" applyNumberFormat="1" applyFont="1" applyFill="1" applyAlignment="1">
      <alignment horizontal="left" vertical="center" wrapText="1"/>
    </xf>
    <xf numFmtId="192" fontId="10" fillId="12" borderId="0" xfId="0" applyNumberFormat="1" applyFont="1" applyFill="1" applyBorder="1" applyAlignment="1">
      <alignment horizontal="left" vertical="center" wrapText="1"/>
    </xf>
    <xf numFmtId="10" fontId="10" fillId="0" borderId="0" xfId="3" applyNumberFormat="1" applyFont="1">
      <alignment vertical="center"/>
    </xf>
    <xf numFmtId="0" fontId="10" fillId="12" borderId="0" xfId="0" applyFont="1" applyFill="1" applyAlignment="1">
      <alignment vertical="center"/>
    </xf>
    <xf numFmtId="0" fontId="9" fillId="22" borderId="1" xfId="0" applyFont="1" applyFill="1" applyBorder="1" applyAlignment="1">
      <alignment horizontal="center" vertical="center"/>
    </xf>
    <xf numFmtId="199" fontId="10" fillId="0" borderId="1" xfId="0" applyNumberFormat="1" applyFont="1" applyBorder="1" applyAlignment="1">
      <alignment horizontal="left" vertical="center" wrapText="1"/>
    </xf>
    <xf numFmtId="203" fontId="10" fillId="22" borderId="1" xfId="0" applyNumberFormat="1" applyFont="1" applyFill="1" applyBorder="1" applyAlignment="1">
      <alignment horizontal="left" vertical="center" wrapText="1"/>
    </xf>
    <xf numFmtId="203" fontId="9" fillId="12" borderId="1" xfId="0" applyNumberFormat="1" applyFont="1" applyFill="1" applyBorder="1" applyAlignment="1">
      <alignment horizontal="left" vertical="center" wrapText="1"/>
    </xf>
    <xf numFmtId="199" fontId="9" fillId="12" borderId="1" xfId="0" applyNumberFormat="1" applyFont="1" applyFill="1" applyBorder="1" applyAlignment="1">
      <alignment horizontal="left" vertical="center" wrapText="1"/>
    </xf>
    <xf numFmtId="187" fontId="10" fillId="0" borderId="1" xfId="0" applyNumberFormat="1" applyFont="1" applyBorder="1" applyAlignment="1">
      <alignment horizontal="left" vertical="center" wrapText="1"/>
    </xf>
    <xf numFmtId="203" fontId="10" fillId="0" borderId="1" xfId="0" applyNumberFormat="1" applyFont="1" applyFill="1" applyBorder="1" applyAlignment="1">
      <alignment horizontal="left" vertical="center" wrapText="1"/>
    </xf>
    <xf numFmtId="199" fontId="10" fillId="0" borderId="1" xfId="0" applyNumberFormat="1" applyFont="1" applyFill="1" applyBorder="1" applyAlignment="1">
      <alignment horizontal="left" vertical="center" wrapText="1"/>
    </xf>
    <xf numFmtId="203" fontId="9" fillId="22" borderId="1" xfId="0" applyNumberFormat="1" applyFont="1" applyFill="1" applyBorder="1" applyAlignment="1">
      <alignment horizontal="left" vertical="center" wrapText="1"/>
    </xf>
    <xf numFmtId="0" fontId="9" fillId="0" borderId="0" xfId="0" applyFont="1" applyBorder="1" applyAlignment="1">
      <alignment horizontal="center" vertical="center"/>
    </xf>
    <xf numFmtId="0" fontId="30" fillId="0" borderId="32" xfId="0" applyFont="1" applyBorder="1" applyAlignment="1">
      <alignment vertical="center"/>
    </xf>
    <xf numFmtId="0" fontId="9" fillId="0" borderId="33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33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 wrapText="1"/>
    </xf>
    <xf numFmtId="2" fontId="10" fillId="0" borderId="0" xfId="0" applyNumberFormat="1" applyFont="1" applyBorder="1" applyAlignment="1">
      <alignment horizontal="center" vertical="center" wrapText="1"/>
    </xf>
    <xf numFmtId="0" fontId="10" fillId="0" borderId="33" xfId="0" applyFont="1" applyBorder="1" applyAlignment="1">
      <alignment vertical="center"/>
    </xf>
    <xf numFmtId="2" fontId="10" fillId="0" borderId="0" xfId="0" applyNumberFormat="1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202" fontId="9" fillId="0" borderId="0" xfId="0" applyNumberFormat="1" applyFont="1" applyAlignment="1">
      <alignment vertical="center"/>
    </xf>
    <xf numFmtId="0" fontId="10" fillId="0" borderId="36" xfId="0" applyFont="1" applyBorder="1" applyAlignment="1">
      <alignment vertical="center"/>
    </xf>
    <xf numFmtId="0" fontId="10" fillId="0" borderId="9" xfId="0" applyFont="1" applyBorder="1" applyAlignment="1">
      <alignment vertical="center"/>
    </xf>
    <xf numFmtId="0" fontId="9" fillId="0" borderId="31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1" fontId="10" fillId="0" borderId="4" xfId="0" applyNumberFormat="1" applyFont="1" applyBorder="1" applyAlignment="1">
      <alignment horizontal="center" vertical="center"/>
    </xf>
    <xf numFmtId="203" fontId="10" fillId="0" borderId="8" xfId="0" applyNumberFormat="1" applyFont="1" applyBorder="1" applyAlignment="1">
      <alignment horizontal="left" vertical="center" wrapText="1"/>
    </xf>
    <xf numFmtId="199" fontId="10" fillId="0" borderId="29" xfId="0" applyNumberFormat="1" applyFont="1" applyBorder="1" applyAlignment="1">
      <alignment horizontal="left" vertical="center" wrapText="1"/>
    </xf>
    <xf numFmtId="1" fontId="9" fillId="0" borderId="4" xfId="0" applyNumberFormat="1" applyFont="1" applyBorder="1" applyAlignment="1">
      <alignment horizontal="center" vertical="center"/>
    </xf>
    <xf numFmtId="203" fontId="9" fillId="0" borderId="1" xfId="0" applyNumberFormat="1" applyFont="1" applyBorder="1" applyAlignment="1">
      <alignment horizontal="left" vertical="center"/>
    </xf>
    <xf numFmtId="203" fontId="10" fillId="0" borderId="29" xfId="0" applyNumberFormat="1" applyFont="1" applyBorder="1" applyAlignment="1">
      <alignment horizontal="left" vertical="center" wrapText="1"/>
    </xf>
    <xf numFmtId="0" fontId="10" fillId="0" borderId="5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203" fontId="10" fillId="0" borderId="6" xfId="0" applyNumberFormat="1" applyFont="1" applyFill="1" applyBorder="1" applyAlignment="1">
      <alignment horizontal="left" vertical="center"/>
    </xf>
    <xf numFmtId="203" fontId="9" fillId="22" borderId="19" xfId="0" applyNumberFormat="1" applyFont="1" applyFill="1" applyBorder="1" applyAlignment="1">
      <alignment horizontal="left" vertical="center" wrapText="1"/>
    </xf>
    <xf numFmtId="203" fontId="10" fillId="0" borderId="44" xfId="0" applyNumberFormat="1" applyFont="1" applyBorder="1" applyAlignment="1">
      <alignment horizontal="left" vertical="center" wrapText="1"/>
    </xf>
    <xf numFmtId="203" fontId="10" fillId="0" borderId="43" xfId="0" applyNumberFormat="1" applyFont="1" applyBorder="1" applyAlignment="1">
      <alignment horizontal="left" vertical="center" wrapText="1"/>
    </xf>
    <xf numFmtId="203" fontId="10" fillId="0" borderId="0" xfId="0" applyNumberFormat="1" applyFont="1" applyBorder="1" applyAlignment="1">
      <alignment horizontal="left" vertical="center" wrapText="1"/>
    </xf>
    <xf numFmtId="199" fontId="10" fillId="0" borderId="0" xfId="0" applyNumberFormat="1" applyFont="1" applyBorder="1" applyAlignment="1">
      <alignment horizontal="left" vertical="center" wrapText="1"/>
    </xf>
    <xf numFmtId="0" fontId="10" fillId="0" borderId="0" xfId="0" applyFont="1" applyBorder="1" applyAlignment="1">
      <alignment vertical="center"/>
    </xf>
    <xf numFmtId="196" fontId="0" fillId="0" borderId="0" xfId="0" applyNumberFormat="1"/>
    <xf numFmtId="195" fontId="0" fillId="0" borderId="0" xfId="0" applyNumberFormat="1"/>
    <xf numFmtId="0" fontId="10" fillId="0" borderId="1" xfId="0" applyFont="1" applyFill="1" applyBorder="1" applyAlignment="1">
      <alignment horizontal="center" vertical="center"/>
    </xf>
    <xf numFmtId="203" fontId="10" fillId="0" borderId="1" xfId="0" applyNumberFormat="1" applyFont="1" applyFill="1" applyBorder="1" applyAlignment="1">
      <alignment horizontal="left" vertical="center"/>
    </xf>
    <xf numFmtId="0" fontId="83" fillId="0" borderId="0" xfId="0" applyFont="1" applyAlignment="1">
      <alignment vertical="center"/>
    </xf>
    <xf numFmtId="0" fontId="30" fillId="0" borderId="34" xfId="0" applyFont="1" applyBorder="1" applyAlignment="1">
      <alignment vertical="center"/>
    </xf>
    <xf numFmtId="0" fontId="9" fillId="0" borderId="31" xfId="0" applyFont="1" applyBorder="1" applyAlignment="1">
      <alignment vertical="center"/>
    </xf>
    <xf numFmtId="0" fontId="9" fillId="0" borderId="35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35" xfId="0" applyFont="1" applyBorder="1" applyAlignment="1">
      <alignment horizontal="center" vertical="center" wrapText="1"/>
    </xf>
    <xf numFmtId="0" fontId="51" fillId="0" borderId="33" xfId="0" applyFont="1" applyBorder="1" applyAlignment="1">
      <alignment horizontal="center" vertical="center" wrapText="1"/>
    </xf>
    <xf numFmtId="2" fontId="10" fillId="0" borderId="35" xfId="0" applyNumberFormat="1" applyFont="1" applyBorder="1" applyAlignment="1">
      <alignment horizontal="center" vertical="center" wrapText="1"/>
    </xf>
    <xf numFmtId="1" fontId="10" fillId="0" borderId="33" xfId="0" applyNumberFormat="1" applyFont="1" applyBorder="1" applyAlignment="1">
      <alignment horizontal="center" vertical="center" wrapText="1"/>
    </xf>
    <xf numFmtId="1" fontId="10" fillId="0" borderId="33" xfId="0" applyNumberFormat="1" applyFont="1" applyBorder="1" applyAlignment="1">
      <alignment horizontal="center" vertical="center"/>
    </xf>
    <xf numFmtId="2" fontId="10" fillId="0" borderId="35" xfId="0" applyNumberFormat="1" applyFont="1" applyBorder="1" applyAlignment="1">
      <alignment horizontal="center" vertical="center"/>
    </xf>
    <xf numFmtId="1" fontId="9" fillId="0" borderId="33" xfId="0" applyNumberFormat="1" applyFont="1" applyBorder="1" applyAlignment="1">
      <alignment horizontal="center" vertical="center"/>
    </xf>
    <xf numFmtId="2" fontId="9" fillId="0" borderId="35" xfId="0" applyNumberFormat="1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7" xfId="0" applyFont="1" applyBorder="1" applyAlignment="1">
      <alignment vertical="center"/>
    </xf>
    <xf numFmtId="0" fontId="84" fillId="0" borderId="0" xfId="0" applyFont="1" applyAlignment="1">
      <alignment vertical="center"/>
    </xf>
    <xf numFmtId="0" fontId="24" fillId="0" borderId="31" xfId="17" applyFont="1" applyBorder="1" applyAlignment="1">
      <alignment horizontal="center" vertical="center"/>
    </xf>
    <xf numFmtId="0" fontId="5" fillId="0" borderId="32" xfId="17" applyBorder="1" applyAlignment="1">
      <alignment horizontal="center" vertical="center" wrapText="1"/>
    </xf>
    <xf numFmtId="0" fontId="5" fillId="0" borderId="34" xfId="17" applyBorder="1" applyAlignment="1">
      <alignment horizontal="center" vertical="center" wrapText="1"/>
    </xf>
    <xf numFmtId="1" fontId="5" fillId="23" borderId="0" xfId="17" applyNumberFormat="1" applyFill="1" applyAlignment="1">
      <alignment horizontal="center" vertical="center"/>
    </xf>
    <xf numFmtId="2" fontId="5" fillId="0" borderId="0" xfId="17" applyNumberFormat="1" applyAlignment="1">
      <alignment horizontal="center" vertical="center"/>
    </xf>
    <xf numFmtId="1" fontId="5" fillId="0" borderId="35" xfId="17" applyNumberFormat="1" applyBorder="1" applyAlignment="1">
      <alignment horizontal="center" vertical="center"/>
    </xf>
    <xf numFmtId="1" fontId="5" fillId="0" borderId="9" xfId="17" applyNumberFormat="1" applyBorder="1" applyAlignment="1">
      <alignment horizontal="center" vertical="center"/>
    </xf>
    <xf numFmtId="1" fontId="5" fillId="23" borderId="9" xfId="17" applyNumberFormat="1" applyFill="1" applyBorder="1" applyAlignment="1">
      <alignment horizontal="center" vertical="center"/>
    </xf>
    <xf numFmtId="2" fontId="5" fillId="0" borderId="9" xfId="17" applyNumberFormat="1" applyBorder="1" applyAlignment="1">
      <alignment horizontal="center" vertical="center"/>
    </xf>
    <xf numFmtId="1" fontId="5" fillId="0" borderId="37" xfId="17" applyNumberFormat="1" applyBorder="1" applyAlignment="1">
      <alignment horizontal="center" vertical="center"/>
    </xf>
    <xf numFmtId="1" fontId="85" fillId="0" borderId="0" xfId="0" applyNumberFormat="1" applyFont="1" applyAlignment="1">
      <alignment horizontal="center" vertical="center"/>
    </xf>
    <xf numFmtId="199" fontId="10" fillId="0" borderId="0" xfId="0" applyNumberFormat="1" applyFont="1" applyAlignment="1">
      <alignment horizontal="center" vertical="center"/>
    </xf>
    <xf numFmtId="0" fontId="86" fillId="0" borderId="0" xfId="0" applyFont="1" applyAlignment="1">
      <alignment vertical="center"/>
    </xf>
    <xf numFmtId="0" fontId="45" fillId="0" borderId="0" xfId="0" applyFont="1" applyAlignment="1">
      <alignment vertical="center" wrapText="1"/>
    </xf>
    <xf numFmtId="0" fontId="9" fillId="0" borderId="32" xfId="0" applyFont="1" applyBorder="1" applyAlignment="1">
      <alignment vertical="center"/>
    </xf>
    <xf numFmtId="0" fontId="51" fillId="0" borderId="0" xfId="0" applyFont="1" applyBorder="1" applyAlignment="1">
      <alignment horizontal="center" vertical="center" wrapText="1"/>
    </xf>
    <xf numFmtId="1" fontId="10" fillId="0" borderId="0" xfId="0" applyNumberFormat="1" applyFont="1" applyBorder="1" applyAlignment="1">
      <alignment horizontal="center" vertical="center" wrapText="1"/>
    </xf>
    <xf numFmtId="1" fontId="10" fillId="0" borderId="0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9" fillId="0" borderId="34" xfId="0" applyFont="1" applyBorder="1" applyAlignment="1">
      <alignment vertical="center"/>
    </xf>
    <xf numFmtId="0" fontId="10" fillId="0" borderId="35" xfId="0" applyFont="1" applyBorder="1" applyAlignment="1">
      <alignment vertical="center" wrapText="1"/>
    </xf>
    <xf numFmtId="0" fontId="51" fillId="0" borderId="35" xfId="0" applyFont="1" applyBorder="1" applyAlignment="1">
      <alignment horizontal="center" vertical="center" wrapText="1"/>
    </xf>
    <xf numFmtId="1" fontId="10" fillId="0" borderId="0" xfId="0" applyNumberFormat="1" applyFont="1" applyAlignment="1">
      <alignment vertical="center" wrapText="1"/>
    </xf>
    <xf numFmtId="0" fontId="10" fillId="0" borderId="35" xfId="0" applyFont="1" applyBorder="1" applyAlignment="1">
      <alignment vertical="center"/>
    </xf>
    <xf numFmtId="0" fontId="9" fillId="0" borderId="35" xfId="0" applyFont="1" applyBorder="1" applyAlignment="1">
      <alignment horizontal="center" vertical="center"/>
    </xf>
    <xf numFmtId="1" fontId="9" fillId="0" borderId="35" xfId="0" applyNumberFormat="1" applyFont="1" applyBorder="1" applyAlignment="1">
      <alignment horizontal="center" vertical="center"/>
    </xf>
    <xf numFmtId="0" fontId="26" fillId="0" borderId="0" xfId="0" applyFont="1" applyFill="1" applyAlignment="1">
      <alignment vertical="center"/>
    </xf>
    <xf numFmtId="0" fontId="25" fillId="24" borderId="0" xfId="0" applyFont="1" applyFill="1" applyAlignment="1">
      <alignment vertical="center"/>
    </xf>
    <xf numFmtId="0" fontId="10" fillId="24" borderId="0" xfId="0" applyFont="1" applyFill="1" applyAlignment="1">
      <alignment vertical="center"/>
    </xf>
    <xf numFmtId="202" fontId="10" fillId="24" borderId="0" xfId="0" applyNumberFormat="1" applyFont="1" applyFill="1" applyAlignment="1">
      <alignment vertical="center"/>
    </xf>
    <xf numFmtId="211" fontId="10" fillId="24" borderId="0" xfId="0" applyNumberFormat="1" applyFont="1" applyFill="1" applyAlignment="1">
      <alignment horizontal="center" vertical="center"/>
    </xf>
    <xf numFmtId="2" fontId="10" fillId="24" borderId="0" xfId="0" applyNumberFormat="1" applyFont="1" applyFill="1" applyAlignment="1">
      <alignment vertical="center"/>
    </xf>
    <xf numFmtId="0" fontId="51" fillId="24" borderId="0" xfId="0" applyFont="1" applyFill="1" applyAlignment="1">
      <alignment vertical="center"/>
    </xf>
    <xf numFmtId="2" fontId="46" fillId="0" borderId="1" xfId="0" applyNumberFormat="1" applyFont="1" applyBorder="1" applyAlignment="1">
      <alignment horizontal="center" vertical="center"/>
    </xf>
    <xf numFmtId="2" fontId="45" fillId="0" borderId="1" xfId="0" applyNumberFormat="1" applyFont="1" applyBorder="1" applyAlignment="1">
      <alignment horizontal="center" vertical="center"/>
    </xf>
    <xf numFmtId="0" fontId="45" fillId="0" borderId="1" xfId="0" applyFont="1" applyBorder="1" applyAlignment="1">
      <alignment vertical="center"/>
    </xf>
    <xf numFmtId="0" fontId="10" fillId="0" borderId="0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vertical="center"/>
    </xf>
    <xf numFmtId="2" fontId="45" fillId="0" borderId="0" xfId="0" applyNumberFormat="1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 vertical="center"/>
    </xf>
    <xf numFmtId="192" fontId="45" fillId="0" borderId="1" xfId="0" applyNumberFormat="1" applyFont="1" applyBorder="1" applyAlignment="1">
      <alignment horizontal="left" vertical="center" wrapText="1"/>
    </xf>
    <xf numFmtId="192" fontId="45" fillId="0" borderId="0" xfId="0" applyNumberFormat="1" applyFont="1" applyBorder="1" applyAlignment="1">
      <alignment horizontal="left" vertical="center" wrapText="1"/>
    </xf>
    <xf numFmtId="10" fontId="10" fillId="24" borderId="0" xfId="0" applyNumberFormat="1" applyFont="1" applyFill="1" applyAlignment="1">
      <alignment vertical="center"/>
    </xf>
    <xf numFmtId="197" fontId="45" fillId="0" borderId="0" xfId="6" applyNumberFormat="1" applyFont="1" applyFill="1" applyBorder="1" applyAlignment="1">
      <alignment horizontal="left" vertical="center" wrapText="1"/>
    </xf>
    <xf numFmtId="1" fontId="15" fillId="0" borderId="0" xfId="15" applyNumberFormat="1" applyFont="1" applyFill="1" applyAlignment="1">
      <alignment vertical="center"/>
    </xf>
    <xf numFmtId="10" fontId="10" fillId="0" borderId="0" xfId="0" applyNumberFormat="1" applyFont="1" applyAlignment="1">
      <alignment vertical="center"/>
    </xf>
    <xf numFmtId="10" fontId="10" fillId="0" borderId="0" xfId="0" applyNumberFormat="1" applyFont="1" applyFill="1" applyAlignment="1">
      <alignment vertical="center"/>
    </xf>
    <xf numFmtId="1" fontId="14" fillId="0" borderId="0" xfId="0" applyNumberFormat="1" applyFont="1" applyFill="1" applyAlignment="1">
      <alignment horizontal="center" vertical="center"/>
    </xf>
    <xf numFmtId="180" fontId="46" fillId="0" borderId="0" xfId="6" applyNumberFormat="1" applyFont="1" applyFill="1" applyAlignment="1">
      <alignment horizontal="left" vertical="center" wrapText="1"/>
    </xf>
    <xf numFmtId="0" fontId="45" fillId="0" borderId="0" xfId="0" applyFont="1" applyBorder="1" applyAlignment="1">
      <alignment vertical="center"/>
    </xf>
    <xf numFmtId="2" fontId="45" fillId="0" borderId="0" xfId="0" applyNumberFormat="1" applyFont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10" fillId="25" borderId="0" xfId="0" applyFont="1" applyFill="1" applyAlignment="1">
      <alignment vertical="center"/>
    </xf>
    <xf numFmtId="191" fontId="45" fillId="0" borderId="1" xfId="12" applyNumberFormat="1" applyFont="1" applyBorder="1" applyAlignment="1">
      <alignment horizontal="left" vertical="center" wrapText="1"/>
    </xf>
    <xf numFmtId="1" fontId="10" fillId="26" borderId="1" xfId="0" applyNumberFormat="1" applyFont="1" applyFill="1" applyBorder="1" applyAlignment="1">
      <alignment horizontal="center" vertical="center"/>
    </xf>
    <xf numFmtId="191" fontId="46" fillId="0" borderId="1" xfId="12" applyNumberFormat="1" applyFont="1" applyBorder="1" applyAlignment="1">
      <alignment horizontal="center" vertical="center" wrapText="1"/>
    </xf>
    <xf numFmtId="0" fontId="46" fillId="0" borderId="1" xfId="12" applyFont="1" applyBorder="1" applyAlignment="1">
      <alignment horizontal="center" vertical="center"/>
    </xf>
    <xf numFmtId="191" fontId="45" fillId="0" borderId="1" xfId="12" applyNumberFormat="1" applyFont="1" applyBorder="1" applyAlignment="1">
      <alignment horizontal="center" vertical="center" wrapText="1"/>
    </xf>
    <xf numFmtId="0" fontId="45" fillId="0" borderId="1" xfId="12" applyFont="1" applyBorder="1" applyAlignment="1">
      <alignment horizontal="center" vertical="center"/>
    </xf>
    <xf numFmtId="0" fontId="46" fillId="0" borderId="1" xfId="0" applyFont="1" applyBorder="1" applyAlignment="1">
      <alignment horizontal="center" vertical="center" wrapText="1"/>
    </xf>
    <xf numFmtId="1" fontId="14" fillId="0" borderId="0" xfId="0" applyNumberFormat="1" applyFont="1" applyFill="1" applyBorder="1" applyAlignment="1">
      <alignment horizontal="center" vertical="center"/>
    </xf>
    <xf numFmtId="197" fontId="46" fillId="0" borderId="0" xfId="6" applyNumberFormat="1" applyFont="1" applyFill="1" applyBorder="1" applyAlignment="1">
      <alignment horizontal="left" vertical="center" wrapText="1"/>
    </xf>
    <xf numFmtId="210" fontId="10" fillId="0" borderId="1" xfId="0" applyNumberFormat="1" applyFont="1" applyBorder="1" applyAlignment="1">
      <alignment horizontal="left" vertical="center"/>
    </xf>
    <xf numFmtId="210" fontId="9" fillId="0" borderId="1" xfId="0" applyNumberFormat="1" applyFont="1" applyBorder="1" applyAlignment="1">
      <alignment horizontal="left" vertical="center"/>
    </xf>
    <xf numFmtId="207" fontId="9" fillId="0" borderId="1" xfId="0" applyNumberFormat="1" applyFont="1" applyBorder="1" applyAlignment="1">
      <alignment horizontal="left" vertical="center"/>
    </xf>
    <xf numFmtId="2" fontId="9" fillId="0" borderId="0" xfId="0" applyNumberFormat="1" applyFont="1" applyAlignment="1">
      <alignment horizontal="center" vertical="center"/>
    </xf>
    <xf numFmtId="10" fontId="9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45" fillId="0" borderId="1" xfId="0" applyFont="1" applyBorder="1" applyAlignment="1">
      <alignment vertical="center" wrapText="1"/>
    </xf>
    <xf numFmtId="1" fontId="45" fillId="0" borderId="1" xfId="0" applyNumberFormat="1" applyFont="1" applyBorder="1" applyAlignment="1">
      <alignment horizontal="center" vertical="center" wrapText="1"/>
    </xf>
    <xf numFmtId="0" fontId="46" fillId="27" borderId="1" xfId="0" applyFont="1" applyFill="1" applyBorder="1" applyAlignment="1">
      <alignment horizontal="center" vertical="center"/>
    </xf>
    <xf numFmtId="0" fontId="46" fillId="27" borderId="1" xfId="0" applyFont="1" applyFill="1" applyBorder="1" applyAlignment="1">
      <alignment vertical="center"/>
    </xf>
    <xf numFmtId="0" fontId="45" fillId="27" borderId="1" xfId="0" applyFont="1" applyFill="1" applyBorder="1" applyAlignment="1">
      <alignment horizontal="center" vertical="center"/>
    </xf>
    <xf numFmtId="1" fontId="46" fillId="27" borderId="1" xfId="0" applyNumberFormat="1" applyFont="1" applyFill="1" applyBorder="1" applyAlignment="1">
      <alignment horizontal="center" vertical="center"/>
    </xf>
    <xf numFmtId="199" fontId="46" fillId="0" borderId="1" xfId="0" applyNumberFormat="1" applyFont="1" applyBorder="1" applyAlignment="1">
      <alignment horizontal="left" vertical="center"/>
    </xf>
    <xf numFmtId="0" fontId="45" fillId="27" borderId="1" xfId="0" applyFont="1" applyFill="1" applyBorder="1" applyAlignment="1">
      <alignment vertical="center"/>
    </xf>
    <xf numFmtId="10" fontId="45" fillId="27" borderId="1" xfId="0" applyNumberFormat="1" applyFont="1" applyFill="1" applyBorder="1" applyAlignment="1">
      <alignment horizontal="center" vertical="center"/>
    </xf>
    <xf numFmtId="1" fontId="45" fillId="27" borderId="1" xfId="0" applyNumberFormat="1" applyFont="1" applyFill="1" applyBorder="1" applyAlignment="1">
      <alignment horizontal="center" vertical="center"/>
    </xf>
    <xf numFmtId="199" fontId="45" fillId="0" borderId="1" xfId="0" applyNumberFormat="1" applyFont="1" applyBorder="1" applyAlignment="1">
      <alignment horizontal="left" vertical="center"/>
    </xf>
    <xf numFmtId="0" fontId="46" fillId="28" borderId="1" xfId="0" applyFont="1" applyFill="1" applyBorder="1" applyAlignment="1">
      <alignment horizontal="center" vertical="center"/>
    </xf>
    <xf numFmtId="1" fontId="46" fillId="28" borderId="1" xfId="0" applyNumberFormat="1" applyFont="1" applyFill="1" applyBorder="1" applyAlignment="1">
      <alignment horizontal="center" vertical="center"/>
    </xf>
    <xf numFmtId="199" fontId="46" fillId="28" borderId="1" xfId="0" applyNumberFormat="1" applyFont="1" applyFill="1" applyBorder="1" applyAlignment="1">
      <alignment horizontal="left" vertical="center"/>
    </xf>
    <xf numFmtId="0" fontId="44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vertical="center" wrapText="1"/>
    </xf>
    <xf numFmtId="2" fontId="44" fillId="0" borderId="1" xfId="0" applyNumberFormat="1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vertical="center"/>
    </xf>
    <xf numFmtId="2" fontId="43" fillId="0" borderId="1" xfId="0" applyNumberFormat="1" applyFont="1" applyBorder="1" applyAlignment="1">
      <alignment horizontal="center" vertical="center"/>
    </xf>
    <xf numFmtId="1" fontId="43" fillId="0" borderId="1" xfId="0" applyNumberFormat="1" applyFont="1" applyBorder="1" applyAlignment="1">
      <alignment horizontal="center" vertical="center"/>
    </xf>
    <xf numFmtId="2" fontId="39" fillId="0" borderId="1" xfId="0" applyNumberFormat="1" applyFont="1" applyBorder="1" applyAlignment="1">
      <alignment horizontal="center" vertical="center"/>
    </xf>
    <xf numFmtId="0" fontId="43" fillId="0" borderId="1" xfId="0" applyFont="1" applyBorder="1" applyAlignment="1">
      <alignment vertical="center" wrapText="1"/>
    </xf>
    <xf numFmtId="203" fontId="45" fillId="0" borderId="1" xfId="0" applyNumberFormat="1" applyFont="1" applyBorder="1" applyAlignment="1">
      <alignment horizontal="left" vertical="center"/>
    </xf>
    <xf numFmtId="0" fontId="45" fillId="0" borderId="0" xfId="0" applyFont="1"/>
    <xf numFmtId="1" fontId="45" fillId="0" borderId="0" xfId="0" applyNumberFormat="1" applyFont="1"/>
    <xf numFmtId="1" fontId="10" fillId="0" borderId="0" xfId="0" applyNumberFormat="1" applyFont="1" applyAlignment="1"/>
    <xf numFmtId="203" fontId="10" fillId="0" borderId="1" xfId="0" applyNumberFormat="1" applyFont="1" applyBorder="1" applyAlignment="1">
      <alignment horizontal="left" vertical="center"/>
    </xf>
    <xf numFmtId="199" fontId="10" fillId="0" borderId="1" xfId="0" applyNumberFormat="1" applyFont="1" applyBorder="1" applyAlignment="1">
      <alignment horizontal="left" vertical="center"/>
    </xf>
    <xf numFmtId="0" fontId="0" fillId="0" borderId="1" xfId="0" applyBorder="1"/>
    <xf numFmtId="211" fontId="10" fillId="0" borderId="1" xfId="0" applyNumberFormat="1" applyFont="1" applyBorder="1" applyAlignment="1">
      <alignment horizontal="center" vertical="center"/>
    </xf>
    <xf numFmtId="211" fontId="10" fillId="0" borderId="0" xfId="0" applyNumberFormat="1" applyFont="1" applyAlignment="1">
      <alignment vertical="center"/>
    </xf>
    <xf numFmtId="203" fontId="10" fillId="0" borderId="0" xfId="0" applyNumberFormat="1" applyFont="1" applyAlignment="1">
      <alignment vertical="center"/>
    </xf>
    <xf numFmtId="199" fontId="0" fillId="0" borderId="0" xfId="0" applyNumberFormat="1"/>
    <xf numFmtId="199" fontId="10" fillId="0" borderId="0" xfId="0" applyNumberFormat="1" applyFont="1" applyAlignment="1">
      <alignment vertical="center"/>
    </xf>
    <xf numFmtId="0" fontId="89" fillId="0" borderId="0" xfId="0" applyFont="1" applyAlignment="1">
      <alignment horizontal="center" vertical="center"/>
    </xf>
    <xf numFmtId="0" fontId="90" fillId="0" borderId="0" xfId="0" applyFont="1" applyAlignment="1">
      <alignment horizontal="right" vertical="center"/>
    </xf>
    <xf numFmtId="0" fontId="90" fillId="0" borderId="0" xfId="0" applyFont="1" applyBorder="1" applyAlignment="1">
      <alignment horizontal="center" vertical="center"/>
    </xf>
    <xf numFmtId="0" fontId="90" fillId="0" borderId="0" xfId="0" applyFont="1" applyBorder="1" applyAlignment="1">
      <alignment horizontal="center" vertical="center" wrapText="1"/>
    </xf>
    <xf numFmtId="203" fontId="91" fillId="0" borderId="0" xfId="0" applyNumberFormat="1" applyFont="1" applyBorder="1" applyAlignment="1">
      <alignment horizontal="left" vertical="center"/>
    </xf>
    <xf numFmtId="2" fontId="10" fillId="23" borderId="0" xfId="0" applyNumberFormat="1" applyFont="1" applyFill="1" applyBorder="1" applyAlignment="1">
      <alignment vertical="center"/>
    </xf>
    <xf numFmtId="203" fontId="45" fillId="0" borderId="0" xfId="0" applyNumberFormat="1" applyFont="1" applyBorder="1" applyAlignment="1">
      <alignment horizontal="left" vertical="center"/>
    </xf>
    <xf numFmtId="0" fontId="10" fillId="0" borderId="38" xfId="0" applyFont="1" applyBorder="1" applyAlignment="1">
      <alignment horizontal="center" vertical="center"/>
    </xf>
    <xf numFmtId="0" fontId="92" fillId="0" borderId="20" xfId="1" applyFont="1" applyBorder="1" applyAlignment="1">
      <alignment horizontal="center" vertical="center"/>
    </xf>
    <xf numFmtId="0" fontId="51" fillId="30" borderId="21" xfId="1" applyFont="1" applyFill="1" applyBorder="1" applyAlignment="1">
      <alignment vertical="center"/>
    </xf>
    <xf numFmtId="0" fontId="51" fillId="30" borderId="20" xfId="1" applyFont="1" applyFill="1" applyBorder="1" applyAlignment="1">
      <alignment vertical="center"/>
    </xf>
    <xf numFmtId="0" fontId="51" fillId="0" borderId="20" xfId="1" applyFont="1" applyBorder="1" applyAlignment="1">
      <alignment vertical="center"/>
    </xf>
    <xf numFmtId="0" fontId="93" fillId="0" borderId="0" xfId="1" applyFont="1" applyAlignment="1">
      <alignment vertical="center"/>
    </xf>
    <xf numFmtId="0" fontId="93" fillId="0" borderId="20" xfId="1" applyFont="1" applyBorder="1" applyAlignment="1">
      <alignment vertical="center"/>
    </xf>
    <xf numFmtId="0" fontId="21" fillId="0" borderId="0" xfId="1" applyFont="1" applyAlignment="1">
      <alignment vertical="center"/>
    </xf>
    <xf numFmtId="0" fontId="92" fillId="0" borderId="0" xfId="1" applyFont="1" applyAlignment="1">
      <alignment vertical="center"/>
    </xf>
    <xf numFmtId="190" fontId="92" fillId="0" borderId="0" xfId="3" applyNumberFormat="1" applyFont="1" applyAlignment="1">
      <alignment vertical="center"/>
    </xf>
    <xf numFmtId="0" fontId="51" fillId="0" borderId="0" xfId="1" applyFont="1" applyAlignment="1">
      <alignment vertical="center"/>
    </xf>
    <xf numFmtId="0" fontId="51" fillId="0" borderId="0" xfId="1" applyFont="1" applyAlignment="1">
      <alignment horizontal="left" vertical="center"/>
    </xf>
    <xf numFmtId="0" fontId="51" fillId="0" borderId="0" xfId="1" applyFont="1" applyAlignment="1">
      <alignment horizontal="center" vertical="center"/>
    </xf>
    <xf numFmtId="0" fontId="21" fillId="0" borderId="20" xfId="1" applyFont="1" applyBorder="1" applyAlignment="1">
      <alignment horizontal="center" vertical="center"/>
    </xf>
    <xf numFmtId="0" fontId="94" fillId="30" borderId="21" xfId="1" applyFont="1" applyFill="1" applyBorder="1" applyAlignment="1">
      <alignment horizontal="left" vertical="center"/>
    </xf>
    <xf numFmtId="1" fontId="94" fillId="30" borderId="21" xfId="1" applyNumberFormat="1" applyFont="1" applyFill="1" applyBorder="1" applyAlignment="1">
      <alignment horizontal="center" vertical="center"/>
    </xf>
    <xf numFmtId="0" fontId="94" fillId="30" borderId="20" xfId="1" applyFont="1" applyFill="1" applyBorder="1" applyAlignment="1">
      <alignment horizontal="left" vertical="center"/>
    </xf>
    <xf numFmtId="1" fontId="94" fillId="30" borderId="20" xfId="1" applyNumberFormat="1" applyFont="1" applyFill="1" applyBorder="1" applyAlignment="1">
      <alignment horizontal="center" vertical="center"/>
    </xf>
    <xf numFmtId="1" fontId="51" fillId="0" borderId="0" xfId="1" applyNumberFormat="1" applyFont="1" applyAlignment="1">
      <alignment horizontal="center" vertical="center"/>
    </xf>
    <xf numFmtId="0" fontId="51" fillId="0" borderId="0" xfId="1" applyFont="1" applyAlignment="1">
      <alignment horizontal="left" vertical="center" wrapText="1"/>
    </xf>
    <xf numFmtId="1" fontId="51" fillId="0" borderId="0" xfId="7" applyNumberFormat="1" applyFont="1" applyAlignment="1">
      <alignment horizontal="center" vertical="center"/>
    </xf>
    <xf numFmtId="0" fontId="51" fillId="0" borderId="20" xfId="1" applyFont="1" applyBorder="1" applyAlignment="1">
      <alignment horizontal="left" vertical="center" wrapText="1"/>
    </xf>
    <xf numFmtId="1" fontId="51" fillId="0" borderId="20" xfId="1" applyNumberFormat="1" applyFont="1" applyBorder="1" applyAlignment="1">
      <alignment horizontal="center" vertical="center"/>
    </xf>
    <xf numFmtId="1" fontId="51" fillId="0" borderId="0" xfId="7" applyNumberFormat="1" applyFont="1" applyAlignment="1">
      <alignment horizontal="center" vertical="center" wrapText="1"/>
    </xf>
    <xf numFmtId="0" fontId="51" fillId="0" borderId="20" xfId="1" applyFont="1" applyBorder="1" applyAlignment="1">
      <alignment horizontal="left" vertical="center"/>
    </xf>
    <xf numFmtId="0" fontId="94" fillId="0" borderId="0" xfId="1" applyFont="1" applyAlignment="1">
      <alignment horizontal="left" vertical="center"/>
    </xf>
    <xf numFmtId="1" fontId="94" fillId="0" borderId="0" xfId="1" applyNumberFormat="1" applyFont="1" applyAlignment="1">
      <alignment horizontal="center" vertical="center"/>
    </xf>
    <xf numFmtId="1" fontId="51" fillId="0" borderId="0" xfId="1" applyNumberFormat="1" applyFont="1" applyAlignment="1">
      <alignment horizontal="center" vertical="center" wrapText="1"/>
    </xf>
    <xf numFmtId="1" fontId="51" fillId="0" borderId="20" xfId="7" applyNumberFormat="1" applyFont="1" applyBorder="1" applyAlignment="1">
      <alignment horizontal="center" vertical="center"/>
    </xf>
    <xf numFmtId="1" fontId="51" fillId="0" borderId="20" xfId="7" applyNumberFormat="1" applyFont="1" applyBorder="1" applyAlignment="1">
      <alignment horizontal="center" vertical="center" wrapText="1"/>
    </xf>
    <xf numFmtId="1" fontId="51" fillId="0" borderId="20" xfId="1" applyNumberFormat="1" applyFont="1" applyBorder="1" applyAlignment="1">
      <alignment horizontal="center" vertical="center" wrapText="1"/>
    </xf>
    <xf numFmtId="1" fontId="94" fillId="0" borderId="0" xfId="1" applyNumberFormat="1" applyFont="1" applyAlignment="1">
      <alignment horizontal="center" vertical="center" wrapText="1"/>
    </xf>
    <xf numFmtId="1" fontId="51" fillId="0" borderId="0" xfId="15" applyNumberFormat="1" applyFont="1" applyAlignment="1">
      <alignment horizontal="center" vertical="center" wrapText="1"/>
    </xf>
    <xf numFmtId="191" fontId="51" fillId="0" borderId="0" xfId="1" applyNumberFormat="1" applyFont="1" applyAlignment="1">
      <alignment horizontal="center" vertical="center"/>
    </xf>
    <xf numFmtId="1" fontId="51" fillId="0" borderId="0" xfId="0" applyNumberFormat="1" applyFont="1" applyAlignment="1">
      <alignment horizontal="center" vertical="center"/>
    </xf>
    <xf numFmtId="191" fontId="51" fillId="0" borderId="20" xfId="1" applyNumberFormat="1" applyFont="1" applyBorder="1" applyAlignment="1">
      <alignment horizontal="center" vertical="center"/>
    </xf>
    <xf numFmtId="1" fontId="51" fillId="0" borderId="20" xfId="15" applyNumberFormat="1" applyFont="1" applyBorder="1" applyAlignment="1">
      <alignment horizontal="center" vertical="center" wrapText="1"/>
    </xf>
    <xf numFmtId="191" fontId="94" fillId="0" borderId="0" xfId="1" applyNumberFormat="1" applyFont="1" applyAlignment="1">
      <alignment horizontal="center" vertical="center"/>
    </xf>
    <xf numFmtId="1" fontId="94" fillId="0" borderId="0" xfId="15" applyNumberFormat="1" applyFont="1" applyAlignment="1">
      <alignment horizontal="center" vertical="center" wrapText="1"/>
    </xf>
    <xf numFmtId="1" fontId="94" fillId="0" borderId="0" xfId="7" applyNumberFormat="1" applyFont="1" applyAlignment="1">
      <alignment horizontal="center" vertical="center"/>
    </xf>
    <xf numFmtId="1" fontId="94" fillId="0" borderId="20" xfId="1" applyNumberFormat="1" applyFont="1" applyFill="1" applyBorder="1" applyAlignment="1">
      <alignment horizontal="center" vertical="center"/>
    </xf>
    <xf numFmtId="191" fontId="95" fillId="0" borderId="1" xfId="7" applyNumberFormat="1" applyFont="1" applyFill="1" applyBorder="1" applyAlignment="1">
      <alignment horizontal="center" vertical="center"/>
    </xf>
    <xf numFmtId="191" fontId="51" fillId="0" borderId="0" xfId="1" applyNumberFormat="1" applyFont="1" applyAlignment="1">
      <alignment vertical="center"/>
    </xf>
    <xf numFmtId="191" fontId="51" fillId="0" borderId="20" xfId="1" applyNumberFormat="1" applyFont="1" applyBorder="1" applyAlignment="1">
      <alignment vertical="center"/>
    </xf>
    <xf numFmtId="1" fontId="94" fillId="0" borderId="21" xfId="1" applyNumberFormat="1" applyFont="1" applyFill="1" applyBorder="1" applyAlignment="1">
      <alignment horizontal="center" vertical="center"/>
    </xf>
    <xf numFmtId="191" fontId="94" fillId="0" borderId="23" xfId="1" applyNumberFormat="1" applyFont="1" applyBorder="1" applyAlignment="1">
      <alignment horizontal="center" vertical="center"/>
    </xf>
    <xf numFmtId="191" fontId="94" fillId="0" borderId="0" xfId="1" applyNumberFormat="1" applyFont="1" applyAlignment="1">
      <alignment vertical="center"/>
    </xf>
    <xf numFmtId="189" fontId="96" fillId="0" borderId="1" xfId="1" applyNumberFormat="1" applyFont="1" applyFill="1" applyBorder="1" applyAlignment="1">
      <alignment horizontal="center" vertical="center"/>
    </xf>
    <xf numFmtId="189" fontId="96" fillId="2" borderId="1" xfId="1" applyNumberFormat="1" applyFont="1" applyFill="1" applyBorder="1" applyAlignment="1">
      <alignment horizontal="center" vertical="center"/>
    </xf>
    <xf numFmtId="189" fontId="97" fillId="31" borderId="1" xfId="1" applyNumberFormat="1" applyFont="1" applyFill="1" applyBorder="1" applyAlignment="1">
      <alignment horizontal="center" vertical="center"/>
    </xf>
    <xf numFmtId="189" fontId="98" fillId="31" borderId="1" xfId="1" applyNumberFormat="1" applyFont="1" applyFill="1" applyBorder="1" applyAlignment="1">
      <alignment horizontal="center" vertical="center"/>
    </xf>
    <xf numFmtId="189" fontId="99" fillId="0" borderId="0" xfId="1" applyNumberFormat="1" applyFont="1" applyFill="1" applyAlignment="1">
      <alignment horizontal="center" vertical="center"/>
    </xf>
    <xf numFmtId="189" fontId="100" fillId="31" borderId="1" xfId="1" applyNumberFormat="1" applyFont="1" applyFill="1" applyBorder="1" applyAlignment="1">
      <alignment horizontal="center" vertical="center"/>
    </xf>
    <xf numFmtId="189" fontId="96" fillId="0" borderId="1" xfId="7" applyNumberFormat="1" applyFont="1" applyFill="1" applyBorder="1" applyAlignment="1">
      <alignment horizontal="center" vertical="center"/>
    </xf>
    <xf numFmtId="191" fontId="96" fillId="2" borderId="1" xfId="7" applyNumberFormat="1" applyFont="1" applyFill="1" applyBorder="1" applyAlignment="1">
      <alignment horizontal="center" vertical="center" wrapText="1"/>
    </xf>
    <xf numFmtId="189" fontId="95" fillId="2" borderId="1" xfId="1" applyNumberFormat="1" applyFont="1" applyFill="1" applyBorder="1" applyAlignment="1">
      <alignment horizontal="center" vertical="center"/>
    </xf>
    <xf numFmtId="190" fontId="95" fillId="2" borderId="1" xfId="1" applyNumberFormat="1" applyFont="1" applyFill="1" applyBorder="1" applyAlignment="1">
      <alignment horizontal="center" vertical="center"/>
    </xf>
    <xf numFmtId="191" fontId="95" fillId="2" borderId="1" xfId="1" applyNumberFormat="1" applyFont="1" applyFill="1" applyBorder="1" applyAlignment="1">
      <alignment horizontal="center" vertical="center"/>
    </xf>
    <xf numFmtId="189" fontId="95" fillId="0" borderId="1" xfId="1" applyNumberFormat="1" applyFont="1" applyFill="1" applyBorder="1" applyAlignment="1">
      <alignment horizontal="center" vertical="center"/>
    </xf>
    <xf numFmtId="190" fontId="95" fillId="0" borderId="1" xfId="1" applyNumberFormat="1" applyFont="1" applyFill="1" applyBorder="1" applyAlignment="1">
      <alignment horizontal="center" vertical="center"/>
    </xf>
    <xf numFmtId="1" fontId="51" fillId="0" borderId="0" xfId="1" applyNumberFormat="1" applyFont="1" applyAlignment="1">
      <alignment vertical="center"/>
    </xf>
    <xf numFmtId="191" fontId="95" fillId="0" borderId="1" xfId="1" applyNumberFormat="1" applyFont="1" applyFill="1" applyBorder="1" applyAlignment="1">
      <alignment horizontal="center" vertical="center"/>
    </xf>
    <xf numFmtId="1" fontId="51" fillId="0" borderId="20" xfId="1" applyNumberFormat="1" applyFont="1" applyBorder="1" applyAlignment="1">
      <alignment vertical="center"/>
    </xf>
    <xf numFmtId="189" fontId="101" fillId="0" borderId="67" xfId="0" applyNumberFormat="1" applyFont="1" applyFill="1" applyBorder="1" applyAlignment="1">
      <alignment horizontal="center" vertical="center" wrapText="1"/>
    </xf>
    <xf numFmtId="189" fontId="95" fillId="0" borderId="1" xfId="7" applyNumberFormat="1" applyFont="1" applyFill="1" applyBorder="1" applyAlignment="1">
      <alignment horizontal="center" vertical="center"/>
    </xf>
    <xf numFmtId="189" fontId="101" fillId="2" borderId="67" xfId="0" applyNumberFormat="1" applyFont="1" applyFill="1" applyBorder="1" applyAlignment="1">
      <alignment horizontal="center" vertical="center" wrapText="1"/>
    </xf>
    <xf numFmtId="189" fontId="100" fillId="32" borderId="67" xfId="0" applyNumberFormat="1" applyFont="1" applyFill="1" applyBorder="1" applyAlignment="1">
      <alignment horizontal="center" vertical="center" wrapText="1"/>
    </xf>
    <xf numFmtId="189" fontId="102" fillId="32" borderId="67" xfId="0" applyNumberFormat="1" applyFont="1" applyFill="1" applyBorder="1" applyAlignment="1">
      <alignment horizontal="center" vertical="center" wrapText="1"/>
    </xf>
    <xf numFmtId="189" fontId="103" fillId="0" borderId="1" xfId="7" applyNumberFormat="1" applyFont="1" applyFill="1" applyBorder="1" applyAlignment="1">
      <alignment horizontal="center" vertical="center"/>
    </xf>
    <xf numFmtId="189" fontId="97" fillId="31" borderId="1" xfId="7" applyNumberFormat="1" applyFont="1" applyFill="1" applyBorder="1" applyAlignment="1">
      <alignment horizontal="center" vertical="center"/>
    </xf>
    <xf numFmtId="189" fontId="98" fillId="31" borderId="1" xfId="7" applyNumberFormat="1" applyFont="1" applyFill="1" applyBorder="1" applyAlignment="1">
      <alignment horizontal="center" vertical="center"/>
    </xf>
    <xf numFmtId="0" fontId="94" fillId="0" borderId="20" xfId="1" applyFont="1" applyBorder="1" applyAlignment="1">
      <alignment horizontal="left" vertical="center"/>
    </xf>
    <xf numFmtId="1" fontId="94" fillId="0" borderId="20" xfId="1" applyNumberFormat="1" applyFont="1" applyBorder="1" applyAlignment="1">
      <alignment horizontal="center" vertical="center"/>
    </xf>
    <xf numFmtId="1" fontId="51" fillId="0" borderId="20" xfId="1" applyNumberFormat="1" applyFont="1" applyBorder="1" applyAlignment="1">
      <alignment horizontal="center"/>
    </xf>
    <xf numFmtId="0" fontId="52" fillId="0" borderId="0" xfId="1" applyFont="1" applyAlignment="1">
      <alignment horizontal="left" vertical="center"/>
    </xf>
    <xf numFmtId="1" fontId="52" fillId="0" borderId="0" xfId="1" applyNumberFormat="1" applyFont="1" applyAlignment="1">
      <alignment horizontal="center" vertical="center"/>
    </xf>
    <xf numFmtId="0" fontId="93" fillId="0" borderId="0" xfId="1" applyFont="1" applyAlignment="1">
      <alignment horizontal="left" vertical="center"/>
    </xf>
    <xf numFmtId="1" fontId="93" fillId="0" borderId="0" xfId="1" applyNumberFormat="1" applyFont="1" applyAlignment="1">
      <alignment horizontal="center" vertical="center"/>
    </xf>
    <xf numFmtId="0" fontId="93" fillId="0" borderId="20" xfId="1" applyFont="1" applyBorder="1" applyAlignment="1">
      <alignment horizontal="left" vertical="center"/>
    </xf>
    <xf numFmtId="1" fontId="93" fillId="0" borderId="20" xfId="1" applyNumberFormat="1" applyFont="1" applyBorder="1" applyAlignment="1">
      <alignment horizontal="center" vertical="center"/>
    </xf>
    <xf numFmtId="0" fontId="92" fillId="0" borderId="0" xfId="1" applyFont="1" applyAlignment="1">
      <alignment horizontal="left" vertical="center"/>
    </xf>
    <xf numFmtId="0" fontId="92" fillId="0" borderId="0" xfId="1" applyFont="1" applyAlignment="1">
      <alignment horizontal="center" vertical="center"/>
    </xf>
    <xf numFmtId="190" fontId="92" fillId="0" borderId="0" xfId="3" applyNumberFormat="1" applyFont="1" applyAlignment="1">
      <alignment horizontal="left" vertical="center"/>
    </xf>
    <xf numFmtId="190" fontId="92" fillId="0" borderId="0" xfId="3" applyNumberFormat="1" applyFont="1" applyAlignment="1">
      <alignment horizontal="center" vertical="center"/>
    </xf>
    <xf numFmtId="183" fontId="51" fillId="0" borderId="0" xfId="1" applyNumberFormat="1" applyFont="1" applyAlignment="1">
      <alignment horizontal="center" vertical="center"/>
    </xf>
    <xf numFmtId="1" fontId="51" fillId="0" borderId="0" xfId="15" applyNumberFormat="1" applyFont="1" applyAlignment="1">
      <alignment horizontal="center" vertical="center"/>
    </xf>
    <xf numFmtId="1" fontId="94" fillId="0" borderId="20" xfId="1" applyNumberFormat="1" applyFont="1" applyBorder="1" applyAlignment="1">
      <alignment horizontal="center" vertical="center" wrapText="1"/>
    </xf>
    <xf numFmtId="1" fontId="94" fillId="0" borderId="20" xfId="15" applyNumberFormat="1" applyFont="1" applyBorder="1" applyAlignment="1">
      <alignment horizontal="center" vertical="center" wrapText="1"/>
    </xf>
    <xf numFmtId="1" fontId="94" fillId="0" borderId="20" xfId="7" applyNumberFormat="1" applyFont="1" applyBorder="1" applyAlignment="1">
      <alignment horizontal="center" vertical="center"/>
    </xf>
    <xf numFmtId="191" fontId="94" fillId="0" borderId="20" xfId="1" applyNumberFormat="1" applyFont="1" applyBorder="1" applyAlignment="1">
      <alignment horizontal="center" vertical="center"/>
    </xf>
    <xf numFmtId="0" fontId="94" fillId="0" borderId="0" xfId="1" applyFont="1" applyAlignment="1">
      <alignment horizontal="center" vertical="center"/>
    </xf>
    <xf numFmtId="1" fontId="51" fillId="0" borderId="20" xfId="15" applyNumberFormat="1" applyFont="1" applyBorder="1" applyAlignment="1">
      <alignment horizontal="center" vertical="center"/>
    </xf>
    <xf numFmtId="1" fontId="51" fillId="0" borderId="20" xfId="15" applyNumberFormat="1" applyFont="1" applyBorder="1" applyAlignment="1">
      <alignment horizontal="center"/>
    </xf>
    <xf numFmtId="0" fontId="94" fillId="0" borderId="20" xfId="1" applyFont="1" applyBorder="1" applyAlignment="1">
      <alignment horizontal="center" vertical="center"/>
    </xf>
    <xf numFmtId="2" fontId="21" fillId="0" borderId="0" xfId="1" applyNumberFormat="1" applyFont="1" applyAlignment="1">
      <alignment horizontal="center" vertical="center"/>
    </xf>
    <xf numFmtId="2" fontId="92" fillId="0" borderId="0" xfId="1" applyNumberFormat="1" applyFont="1" applyAlignment="1">
      <alignment horizontal="center" vertical="center"/>
    </xf>
    <xf numFmtId="2" fontId="92" fillId="0" borderId="0" xfId="3" applyNumberFormat="1" applyFont="1" applyAlignment="1">
      <alignment horizontal="center" vertical="center"/>
    </xf>
    <xf numFmtId="189" fontId="104" fillId="0" borderId="1" xfId="7" applyNumberFormat="1" applyFont="1" applyFill="1" applyBorder="1" applyAlignment="1">
      <alignment horizontal="center" vertical="center"/>
    </xf>
    <xf numFmtId="189" fontId="104" fillId="0" borderId="1" xfId="1" applyNumberFormat="1" applyFont="1" applyFill="1" applyBorder="1" applyAlignment="1">
      <alignment horizontal="center" vertical="center"/>
    </xf>
    <xf numFmtId="1" fontId="52" fillId="0" borderId="0" xfId="1" applyNumberFormat="1" applyFont="1" applyFill="1" applyAlignment="1">
      <alignment horizontal="center" vertical="center"/>
    </xf>
    <xf numFmtId="1" fontId="93" fillId="0" borderId="0" xfId="1" applyNumberFormat="1" applyFont="1" applyFill="1" applyAlignment="1">
      <alignment horizontal="center" vertical="center"/>
    </xf>
    <xf numFmtId="1" fontId="93" fillId="0" borderId="20" xfId="1" applyNumberFormat="1" applyFont="1" applyFill="1" applyBorder="1" applyAlignment="1">
      <alignment horizontal="center" vertical="center"/>
    </xf>
    <xf numFmtId="0" fontId="51" fillId="0" borderId="0" xfId="1" applyNumberFormat="1" applyFont="1" applyFill="1" applyBorder="1" applyAlignment="1" applyProtection="1">
      <alignment vertical="center"/>
    </xf>
    <xf numFmtId="2" fontId="51" fillId="0" borderId="20" xfId="1" applyNumberFormat="1" applyFont="1" applyBorder="1" applyAlignment="1">
      <alignment vertical="center"/>
    </xf>
    <xf numFmtId="189" fontId="98" fillId="0" borderId="1" xfId="7" applyNumberFormat="1" applyFont="1" applyFill="1" applyBorder="1" applyAlignment="1">
      <alignment horizontal="center" vertical="center"/>
    </xf>
    <xf numFmtId="189" fontId="100" fillId="31" borderId="1" xfId="7" applyNumberFormat="1" applyFont="1" applyFill="1" applyBorder="1" applyAlignment="1">
      <alignment horizontal="center" vertical="center"/>
    </xf>
    <xf numFmtId="189" fontId="102" fillId="32" borderId="0" xfId="0" applyNumberFormat="1" applyFont="1" applyFill="1" applyBorder="1" applyAlignment="1">
      <alignment horizontal="center" vertical="center" wrapText="1"/>
    </xf>
    <xf numFmtId="2" fontId="21" fillId="0" borderId="0" xfId="1" applyNumberFormat="1" applyFont="1" applyAlignment="1">
      <alignment vertical="center"/>
    </xf>
    <xf numFmtId="2" fontId="92" fillId="0" borderId="0" xfId="1" applyNumberFormat="1" applyFont="1" applyAlignment="1">
      <alignment vertical="center"/>
    </xf>
    <xf numFmtId="2" fontId="92" fillId="0" borderId="0" xfId="3" applyNumberFormat="1" applyFont="1" applyAlignment="1">
      <alignment vertical="center"/>
    </xf>
    <xf numFmtId="0" fontId="47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94" fillId="5" borderId="1" xfId="0" applyFont="1" applyFill="1" applyBorder="1" applyAlignment="1">
      <alignment horizontal="left" vertical="center" readingOrder="1"/>
    </xf>
    <xf numFmtId="1" fontId="50" fillId="5" borderId="1" xfId="0" applyNumberFormat="1" applyFont="1" applyFill="1" applyBorder="1" applyAlignment="1">
      <alignment horizontal="center" vertical="center"/>
    </xf>
    <xf numFmtId="180" fontId="50" fillId="5" borderId="1" xfId="0" applyNumberFormat="1" applyFont="1" applyFill="1" applyBorder="1" applyAlignment="1">
      <alignment horizontal="left" vertical="center"/>
    </xf>
    <xf numFmtId="0" fontId="51" fillId="0" borderId="1" xfId="0" applyFont="1" applyBorder="1" applyAlignment="1">
      <alignment horizontal="left" vertical="center" indent="1"/>
    </xf>
    <xf numFmtId="1" fontId="47" fillId="0" borderId="1" xfId="0" applyNumberFormat="1" applyFont="1" applyBorder="1" applyAlignment="1">
      <alignment horizontal="center" vertical="center"/>
    </xf>
    <xf numFmtId="1" fontId="47" fillId="0" borderId="1" xfId="0" applyNumberFormat="1" applyFont="1" applyFill="1" applyBorder="1" applyAlignment="1">
      <alignment horizontal="center" vertical="center"/>
    </xf>
    <xf numFmtId="180" fontId="47" fillId="0" borderId="1" xfId="0" applyNumberFormat="1" applyFont="1" applyFill="1" applyBorder="1" applyAlignment="1">
      <alignment horizontal="left" vertical="center"/>
    </xf>
    <xf numFmtId="1" fontId="50" fillId="9" borderId="1" xfId="0" applyNumberFormat="1" applyFont="1" applyFill="1" applyBorder="1" applyAlignment="1">
      <alignment horizontal="center" vertical="center"/>
    </xf>
    <xf numFmtId="180" fontId="50" fillId="9" borderId="1" xfId="0" applyNumberFormat="1" applyFont="1" applyFill="1" applyBorder="1" applyAlignment="1">
      <alignment horizontal="left" vertical="center"/>
    </xf>
    <xf numFmtId="0" fontId="51" fillId="0" borderId="1" xfId="0" applyFont="1" applyBorder="1" applyAlignment="1">
      <alignment horizontal="left" vertical="center" indent="1" readingOrder="1"/>
    </xf>
    <xf numFmtId="0" fontId="51" fillId="0" borderId="0" xfId="18" applyNumberFormat="1" applyFont="1" applyAlignment="1">
      <alignment horizontal="left" vertical="center" shrinkToFit="1"/>
    </xf>
    <xf numFmtId="0" fontId="51" fillId="0" borderId="1" xfId="0" applyFont="1" applyFill="1" applyBorder="1" applyAlignment="1">
      <alignment horizontal="left" vertical="center" indent="1" readingOrder="1"/>
    </xf>
    <xf numFmtId="1" fontId="47" fillId="2" borderId="1" xfId="0" applyNumberFormat="1" applyFont="1" applyFill="1" applyBorder="1" applyAlignment="1">
      <alignment horizontal="center" vertical="center"/>
    </xf>
    <xf numFmtId="0" fontId="50" fillId="10" borderId="1" xfId="0" applyFont="1" applyFill="1" applyBorder="1" applyAlignment="1">
      <alignment horizontal="center" vertical="center"/>
    </xf>
    <xf numFmtId="1" fontId="50" fillId="10" borderId="1" xfId="0" applyNumberFormat="1" applyFont="1" applyFill="1" applyBorder="1" applyAlignment="1">
      <alignment horizontal="center" vertical="center"/>
    </xf>
    <xf numFmtId="180" fontId="50" fillId="10" borderId="1" xfId="0" applyNumberFormat="1" applyFont="1" applyFill="1" applyBorder="1" applyAlignment="1">
      <alignment horizontal="left" vertical="center"/>
    </xf>
    <xf numFmtId="1" fontId="47" fillId="0" borderId="0" xfId="0" applyNumberFormat="1" applyFont="1" applyAlignment="1">
      <alignment horizontal="center" vertical="center"/>
    </xf>
    <xf numFmtId="0" fontId="105" fillId="33" borderId="0" xfId="0" applyFont="1" applyFill="1" applyAlignment="1">
      <alignment horizontal="left" vertical="center"/>
    </xf>
    <xf numFmtId="0" fontId="50" fillId="0" borderId="30" xfId="0" applyFont="1" applyBorder="1" applyAlignment="1">
      <alignment horizontal="center" vertical="center"/>
    </xf>
    <xf numFmtId="0" fontId="50" fillId="0" borderId="31" xfId="0" applyFont="1" applyBorder="1" applyAlignment="1">
      <alignment horizontal="center" vertical="center"/>
    </xf>
    <xf numFmtId="0" fontId="50" fillId="0" borderId="32" xfId="0" applyFont="1" applyBorder="1" applyAlignment="1">
      <alignment horizontal="center" vertical="center"/>
    </xf>
    <xf numFmtId="180" fontId="50" fillId="5" borderId="30" xfId="0" applyNumberFormat="1" applyFont="1" applyFill="1" applyBorder="1" applyAlignment="1">
      <alignment horizontal="left" vertical="center"/>
    </xf>
    <xf numFmtId="0" fontId="50" fillId="5" borderId="1" xfId="0" applyFont="1" applyFill="1" applyBorder="1" applyAlignment="1">
      <alignment vertical="center"/>
    </xf>
    <xf numFmtId="0" fontId="50" fillId="0" borderId="33" xfId="0" applyFont="1" applyBorder="1" applyAlignment="1">
      <alignment horizontal="center" vertical="center"/>
    </xf>
    <xf numFmtId="0" fontId="50" fillId="0" borderId="0" xfId="0" applyFont="1" applyBorder="1" applyAlignment="1">
      <alignment horizontal="center" vertical="center"/>
    </xf>
    <xf numFmtId="180" fontId="47" fillId="0" borderId="30" xfId="0" applyNumberFormat="1" applyFont="1" applyFill="1" applyBorder="1" applyAlignment="1">
      <alignment horizontal="left" vertical="center"/>
    </xf>
    <xf numFmtId="180" fontId="50" fillId="9" borderId="30" xfId="0" applyNumberFormat="1" applyFont="1" applyFill="1" applyBorder="1" applyAlignment="1">
      <alignment horizontal="left" vertical="center"/>
    </xf>
    <xf numFmtId="1" fontId="50" fillId="0" borderId="0" xfId="0" applyNumberFormat="1" applyFont="1" applyAlignment="1">
      <alignment horizontal="center" vertical="center"/>
    </xf>
    <xf numFmtId="1" fontId="47" fillId="0" borderId="0" xfId="0" applyNumberFormat="1" applyFont="1" applyBorder="1" applyAlignment="1">
      <alignment horizontal="center" vertical="center"/>
    </xf>
    <xf numFmtId="1" fontId="47" fillId="0" borderId="33" xfId="0" applyNumberFormat="1" applyFont="1" applyBorder="1" applyAlignment="1">
      <alignment horizontal="center" vertical="center"/>
    </xf>
    <xf numFmtId="1" fontId="12" fillId="0" borderId="0" xfId="0" applyNumberFormat="1" applyFont="1" applyBorder="1" applyAlignment="1">
      <alignment horizontal="center" vertical="center"/>
    </xf>
    <xf numFmtId="1" fontId="50" fillId="0" borderId="0" xfId="0" applyNumberFormat="1" applyFont="1" applyBorder="1" applyAlignment="1">
      <alignment horizontal="center" vertical="center"/>
    </xf>
    <xf numFmtId="1" fontId="12" fillId="2" borderId="0" xfId="0" applyNumberFormat="1" applyFont="1" applyFill="1" applyBorder="1" applyAlignment="1">
      <alignment horizontal="center" vertical="center"/>
    </xf>
    <xf numFmtId="180" fontId="47" fillId="0" borderId="30" xfId="0" applyNumberFormat="1" applyFont="1" applyBorder="1" applyAlignment="1">
      <alignment horizontal="left" vertical="center"/>
    </xf>
    <xf numFmtId="180" fontId="50" fillId="10" borderId="30" xfId="0" applyNumberFormat="1" applyFont="1" applyFill="1" applyBorder="1" applyAlignment="1">
      <alignment horizontal="left" vertical="center"/>
    </xf>
    <xf numFmtId="0" fontId="12" fillId="0" borderId="0" xfId="0" applyFont="1" applyBorder="1" applyAlignment="1">
      <alignment horizontal="center" vertical="center"/>
    </xf>
    <xf numFmtId="0" fontId="47" fillId="0" borderId="33" xfId="0" applyFont="1" applyBorder="1" applyAlignment="1">
      <alignment horizontal="center" vertical="center"/>
    </xf>
    <xf numFmtId="0" fontId="47" fillId="0" borderId="1" xfId="0" applyFont="1" applyBorder="1" applyAlignment="1">
      <alignment vertical="center" wrapText="1"/>
    </xf>
    <xf numFmtId="1" fontId="47" fillId="0" borderId="36" xfId="0" applyNumberFormat="1" applyFont="1" applyBorder="1" applyAlignment="1">
      <alignment horizontal="center" vertical="center"/>
    </xf>
    <xf numFmtId="1" fontId="12" fillId="0" borderId="9" xfId="0" applyNumberFormat="1" applyFont="1" applyBorder="1" applyAlignment="1">
      <alignment horizontal="center" vertical="center"/>
    </xf>
    <xf numFmtId="0" fontId="50" fillId="0" borderId="34" xfId="0" applyFont="1" applyBorder="1" applyAlignment="1">
      <alignment horizontal="center" vertical="center"/>
    </xf>
    <xf numFmtId="0" fontId="50" fillId="0" borderId="35" xfId="0" applyFont="1" applyBorder="1" applyAlignment="1">
      <alignment horizontal="center" vertical="center"/>
    </xf>
    <xf numFmtId="0" fontId="50" fillId="0" borderId="0" xfId="0" applyFont="1" applyBorder="1" applyAlignment="1">
      <alignment vertical="center"/>
    </xf>
    <xf numFmtId="0" fontId="50" fillId="0" borderId="35" xfId="0" applyFont="1" applyBorder="1" applyAlignment="1">
      <alignment vertical="center"/>
    </xf>
    <xf numFmtId="1" fontId="12" fillId="0" borderId="35" xfId="0" applyNumberFormat="1" applyFont="1" applyBorder="1" applyAlignment="1">
      <alignment horizontal="center" vertical="center"/>
    </xf>
    <xf numFmtId="1" fontId="12" fillId="2" borderId="35" xfId="0" applyNumberFormat="1" applyFont="1" applyFill="1" applyBorder="1" applyAlignment="1">
      <alignment horizontal="center" vertical="center"/>
    </xf>
    <xf numFmtId="0" fontId="47" fillId="0" borderId="0" xfId="0" applyFont="1" applyBorder="1" applyAlignment="1">
      <alignment vertical="center"/>
    </xf>
    <xf numFmtId="0" fontId="47" fillId="0" borderId="35" xfId="0" applyFont="1" applyBorder="1" applyAlignment="1">
      <alignment vertical="center"/>
    </xf>
    <xf numFmtId="1" fontId="47" fillId="0" borderId="9" xfId="0" applyNumberFormat="1" applyFont="1" applyBorder="1" applyAlignment="1">
      <alignment horizontal="center" vertical="center"/>
    </xf>
    <xf numFmtId="1" fontId="12" fillId="0" borderId="37" xfId="0" applyNumberFormat="1" applyFont="1" applyBorder="1" applyAlignment="1">
      <alignment horizontal="center" vertical="center"/>
    </xf>
    <xf numFmtId="0" fontId="0" fillId="0" borderId="0" xfId="12" applyFont="1" applyAlignment="1">
      <alignment vertical="center"/>
    </xf>
    <xf numFmtId="0" fontId="63" fillId="0" borderId="0" xfId="12" applyFont="1" applyAlignment="1">
      <alignment vertical="center"/>
    </xf>
    <xf numFmtId="0" fontId="15" fillId="0" borderId="0" xfId="12" applyFont="1" applyBorder="1" applyAlignment="1">
      <alignment horizontal="center" vertical="center"/>
    </xf>
    <xf numFmtId="0" fontId="47" fillId="0" borderId="0" xfId="12" applyFont="1" applyBorder="1" applyAlignment="1">
      <alignment horizontal="center" vertical="center"/>
    </xf>
    <xf numFmtId="0" fontId="47" fillId="0" borderId="20" xfId="12" applyFont="1" applyBorder="1" applyAlignment="1">
      <alignment horizontal="center" vertical="center"/>
    </xf>
    <xf numFmtId="0" fontId="22" fillId="0" borderId="1" xfId="12" applyFont="1" applyBorder="1" applyAlignment="1">
      <alignment horizontal="center" vertical="center"/>
    </xf>
    <xf numFmtId="0" fontId="22" fillId="0" borderId="1" xfId="12" applyFont="1" applyBorder="1" applyAlignment="1">
      <alignment vertical="center"/>
    </xf>
    <xf numFmtId="2" fontId="106" fillId="0" borderId="1" xfId="12" applyNumberFormat="1" applyFont="1" applyBorder="1" applyAlignment="1">
      <alignment horizontal="center" vertical="center"/>
    </xf>
    <xf numFmtId="2" fontId="107" fillId="0" borderId="1" xfId="12" applyNumberFormat="1" applyFont="1" applyBorder="1" applyAlignment="1">
      <alignment horizontal="center" vertical="center"/>
    </xf>
    <xf numFmtId="207" fontId="106" fillId="0" borderId="1" xfId="12" applyNumberFormat="1" applyFont="1" applyBorder="1" applyAlignment="1">
      <alignment horizontal="left" vertical="center"/>
    </xf>
    <xf numFmtId="0" fontId="23" fillId="0" borderId="1" xfId="12" applyFont="1" applyBorder="1" applyAlignment="1">
      <alignment vertical="center"/>
    </xf>
    <xf numFmtId="0" fontId="23" fillId="0" borderId="1" xfId="12" applyFont="1" applyBorder="1" applyAlignment="1">
      <alignment horizontal="center" vertical="center"/>
    </xf>
    <xf numFmtId="2" fontId="108" fillId="0" borderId="1" xfId="12" applyNumberFormat="1" applyFont="1" applyBorder="1" applyAlignment="1">
      <alignment horizontal="center" vertical="center"/>
    </xf>
    <xf numFmtId="2" fontId="109" fillId="0" borderId="1" xfId="12" applyNumberFormat="1" applyFont="1" applyBorder="1" applyAlignment="1">
      <alignment horizontal="center" vertical="center"/>
    </xf>
    <xf numFmtId="207" fontId="108" fillId="0" borderId="1" xfId="12" applyNumberFormat="1" applyFont="1" applyBorder="1" applyAlignment="1">
      <alignment horizontal="left" vertical="center"/>
    </xf>
    <xf numFmtId="0" fontId="22" fillId="0" borderId="0" xfId="12" applyFont="1" applyBorder="1" applyAlignment="1">
      <alignment horizontal="center" vertical="center"/>
    </xf>
    <xf numFmtId="0" fontId="23" fillId="0" borderId="0" xfId="12" applyFont="1" applyBorder="1" applyAlignment="1">
      <alignment horizontal="center" vertical="center"/>
    </xf>
    <xf numFmtId="2" fontId="108" fillId="0" borderId="0" xfId="12" applyNumberFormat="1" applyFont="1" applyBorder="1" applyAlignment="1">
      <alignment horizontal="center" vertical="center"/>
    </xf>
    <xf numFmtId="2" fontId="109" fillId="0" borderId="0" xfId="12" applyNumberFormat="1" applyFont="1" applyBorder="1" applyAlignment="1">
      <alignment horizontal="center" vertical="center"/>
    </xf>
    <xf numFmtId="207" fontId="108" fillId="0" borderId="0" xfId="12" applyNumberFormat="1" applyFont="1" applyBorder="1" applyAlignment="1">
      <alignment horizontal="center" vertical="center"/>
    </xf>
    <xf numFmtId="0" fontId="109" fillId="0" borderId="0" xfId="12" applyFont="1" applyBorder="1" applyAlignment="1">
      <alignment horizontal="center" vertical="center"/>
    </xf>
    <xf numFmtId="0" fontId="109" fillId="34" borderId="0" xfId="12" applyFont="1" applyFill="1" applyBorder="1" applyAlignment="1">
      <alignment horizontal="center" vertical="center"/>
    </xf>
    <xf numFmtId="2" fontId="108" fillId="34" borderId="0" xfId="12" applyNumberFormat="1" applyFont="1" applyFill="1" applyBorder="1" applyAlignment="1">
      <alignment horizontal="center" vertical="center"/>
    </xf>
    <xf numFmtId="2" fontId="109" fillId="34" borderId="0" xfId="12" applyNumberFormat="1" applyFont="1" applyFill="1" applyBorder="1" applyAlignment="1">
      <alignment horizontal="center" vertical="center"/>
    </xf>
    <xf numFmtId="207" fontId="108" fillId="34" borderId="0" xfId="12" applyNumberFormat="1" applyFont="1" applyFill="1" applyBorder="1" applyAlignment="1">
      <alignment horizontal="center" vertical="center"/>
    </xf>
    <xf numFmtId="0" fontId="47" fillId="34" borderId="0" xfId="12" applyFont="1" applyFill="1" applyBorder="1" applyAlignment="1">
      <alignment horizontal="center" vertical="center"/>
    </xf>
    <xf numFmtId="4" fontId="47" fillId="34" borderId="0" xfId="12" applyNumberFormat="1" applyFont="1" applyFill="1" applyBorder="1" applyAlignment="1">
      <alignment horizontal="center" vertical="center"/>
    </xf>
    <xf numFmtId="0" fontId="47" fillId="34" borderId="20" xfId="12" applyFont="1" applyFill="1" applyBorder="1" applyAlignment="1">
      <alignment horizontal="center" vertical="center"/>
    </xf>
    <xf numFmtId="4" fontId="47" fillId="34" borderId="20" xfId="12" applyNumberFormat="1" applyFont="1" applyFill="1" applyBorder="1" applyAlignment="1">
      <alignment horizontal="center" vertical="center"/>
    </xf>
    <xf numFmtId="206" fontId="5" fillId="0" borderId="0" xfId="12" applyNumberFormat="1" applyAlignment="1">
      <alignment vertical="center"/>
    </xf>
    <xf numFmtId="207" fontId="78" fillId="0" borderId="0" xfId="12" applyNumberFormat="1" applyFont="1" applyAlignment="1">
      <alignment horizontal="left" vertical="center"/>
    </xf>
    <xf numFmtId="188" fontId="5" fillId="0" borderId="0" xfId="12" applyNumberFormat="1" applyAlignment="1">
      <alignment vertical="center"/>
    </xf>
    <xf numFmtId="0" fontId="110" fillId="0" borderId="0" xfId="12" applyFont="1" applyAlignment="1">
      <alignment vertical="center" wrapText="1"/>
    </xf>
    <xf numFmtId="0" fontId="110" fillId="0" borderId="0" xfId="12" applyFont="1" applyAlignment="1">
      <alignment horizontal="left" vertical="center" wrapText="1"/>
    </xf>
    <xf numFmtId="0" fontId="110" fillId="0" borderId="0" xfId="12" applyFont="1" applyAlignment="1">
      <alignment horizontal="left" vertical="center"/>
    </xf>
    <xf numFmtId="0" fontId="109" fillId="0" borderId="1" xfId="12" applyFont="1" applyBorder="1" applyAlignment="1">
      <alignment horizontal="center" vertical="center"/>
    </xf>
    <xf numFmtId="2" fontId="109" fillId="34" borderId="0" xfId="12" applyNumberFormat="1" applyFont="1" applyFill="1" applyBorder="1" applyAlignment="1" applyProtection="1">
      <alignment horizontal="center" vertical="center"/>
    </xf>
    <xf numFmtId="4" fontId="47" fillId="34" borderId="0" xfId="12" applyNumberFormat="1" applyFont="1" applyFill="1" applyBorder="1" applyAlignment="1" applyProtection="1">
      <alignment horizontal="center" vertical="center"/>
    </xf>
    <xf numFmtId="0" fontId="47" fillId="34" borderId="0" xfId="12" applyNumberFormat="1" applyFont="1" applyFill="1" applyBorder="1" applyAlignment="1" applyProtection="1">
      <alignment horizontal="center" vertical="center"/>
    </xf>
    <xf numFmtId="4" fontId="47" fillId="34" borderId="20" xfId="12" applyNumberFormat="1" applyFont="1" applyFill="1" applyBorder="1" applyAlignment="1" applyProtection="1">
      <alignment horizontal="center" vertical="center"/>
    </xf>
    <xf numFmtId="0" fontId="110" fillId="0" borderId="0" xfId="12" applyFont="1" applyAlignment="1">
      <alignment vertical="center"/>
    </xf>
    <xf numFmtId="0" fontId="113" fillId="0" borderId="1" xfId="12" applyFont="1" applyBorder="1" applyAlignment="1">
      <alignment horizontal="center" vertical="center"/>
    </xf>
    <xf numFmtId="2" fontId="47" fillId="35" borderId="1" xfId="0" applyNumberFormat="1" applyFont="1" applyFill="1" applyBorder="1" applyAlignment="1">
      <alignment horizontal="center" vertical="center"/>
    </xf>
    <xf numFmtId="1" fontId="47" fillId="35" borderId="1" xfId="0" applyNumberFormat="1" applyFont="1" applyFill="1" applyBorder="1" applyAlignment="1">
      <alignment horizontal="center" vertical="center"/>
    </xf>
    <xf numFmtId="211" fontId="47" fillId="35" borderId="1" xfId="0" applyNumberFormat="1" applyFont="1" applyFill="1" applyBorder="1" applyAlignment="1">
      <alignment horizontal="center" vertical="center"/>
    </xf>
    <xf numFmtId="207" fontId="108" fillId="0" borderId="43" xfId="12" applyNumberFormat="1" applyFont="1" applyBorder="1" applyAlignment="1">
      <alignment horizontal="left" vertical="center"/>
    </xf>
    <xf numFmtId="2" fontId="109" fillId="0" borderId="0" xfId="12" applyNumberFormat="1" applyFont="1" applyFill="1" applyBorder="1" applyAlignment="1" applyProtection="1">
      <alignment horizontal="center" vertical="center"/>
    </xf>
    <xf numFmtId="3" fontId="47" fillId="0" borderId="0" xfId="12" applyNumberFormat="1" applyFont="1" applyFill="1" applyBorder="1" applyAlignment="1" applyProtection="1">
      <alignment horizontal="center" vertical="center"/>
    </xf>
    <xf numFmtId="3" fontId="47" fillId="0" borderId="20" xfId="12" applyNumberFormat="1" applyFont="1" applyFill="1" applyBorder="1" applyAlignment="1" applyProtection="1">
      <alignment horizontal="center" vertical="center"/>
    </xf>
    <xf numFmtId="2" fontId="109" fillId="0" borderId="43" xfId="12" applyNumberFormat="1" applyFont="1" applyBorder="1" applyAlignment="1">
      <alignment horizontal="center" vertical="center"/>
    </xf>
    <xf numFmtId="207" fontId="106" fillId="0" borderId="0" xfId="12" applyNumberFormat="1" applyFont="1" applyBorder="1" applyAlignment="1">
      <alignment horizontal="center" vertical="center"/>
    </xf>
    <xf numFmtId="2" fontId="108" fillId="0" borderId="43" xfId="12" applyNumberFormat="1" applyFont="1" applyBorder="1" applyAlignment="1">
      <alignment horizontal="center" vertical="center"/>
    </xf>
    <xf numFmtId="0" fontId="114" fillId="0" borderId="1" xfId="12" applyFont="1" applyBorder="1" applyAlignment="1">
      <alignment horizontal="center" vertical="center" wrapText="1"/>
    </xf>
    <xf numFmtId="0" fontId="46" fillId="0" borderId="1" xfId="12" applyFont="1" applyBorder="1" applyAlignment="1">
      <alignment horizontal="center" vertical="center" wrapText="1"/>
    </xf>
    <xf numFmtId="0" fontId="116" fillId="0" borderId="1" xfId="12" applyFont="1" applyBorder="1" applyAlignment="1">
      <alignment horizontal="center" vertical="center"/>
    </xf>
    <xf numFmtId="0" fontId="116" fillId="3" borderId="1" xfId="12" applyFont="1" applyFill="1" applyBorder="1" applyAlignment="1">
      <alignment horizontal="center" vertical="center"/>
    </xf>
    <xf numFmtId="0" fontId="46" fillId="3" borderId="1" xfId="12" applyFont="1" applyFill="1" applyBorder="1" applyAlignment="1">
      <alignment horizontal="center" vertical="center" wrapText="1"/>
    </xf>
    <xf numFmtId="0" fontId="108" fillId="0" borderId="1" xfId="12" applyFont="1" applyBorder="1" applyAlignment="1">
      <alignment horizontal="center" vertical="center"/>
    </xf>
    <xf numFmtId="183" fontId="108" fillId="0" borderId="1" xfId="12" applyNumberFormat="1" applyFont="1" applyBorder="1" applyAlignment="1">
      <alignment horizontal="center" vertical="center"/>
    </xf>
    <xf numFmtId="183" fontId="78" fillId="0" borderId="1" xfId="12" applyNumberFormat="1" applyFont="1" applyBorder="1" applyAlignment="1">
      <alignment horizontal="center" vertical="center"/>
    </xf>
    <xf numFmtId="183" fontId="78" fillId="3" borderId="1" xfId="12" applyNumberFormat="1" applyFont="1" applyFill="1" applyBorder="1" applyAlignment="1">
      <alignment horizontal="center" vertical="center"/>
    </xf>
    <xf numFmtId="176" fontId="5" fillId="0" borderId="0" xfId="12" applyNumberFormat="1" applyAlignment="1">
      <alignment vertical="center"/>
    </xf>
    <xf numFmtId="0" fontId="114" fillId="0" borderId="1" xfId="12" applyFont="1" applyBorder="1" applyAlignment="1">
      <alignment horizontal="center" vertical="center"/>
    </xf>
    <xf numFmtId="0" fontId="5" fillId="0" borderId="1" xfId="12" applyFont="1" applyBorder="1" applyAlignment="1">
      <alignment vertical="center"/>
    </xf>
    <xf numFmtId="0" fontId="14" fillId="0" borderId="0" xfId="12" applyFont="1" applyAlignment="1">
      <alignment vertical="center"/>
    </xf>
    <xf numFmtId="0" fontId="15" fillId="0" borderId="0" xfId="12" applyFont="1" applyAlignment="1">
      <alignment vertical="center"/>
    </xf>
    <xf numFmtId="0" fontId="46" fillId="0" borderId="1" xfId="12" applyFont="1" applyBorder="1" applyAlignment="1">
      <alignment vertical="center" wrapText="1"/>
    </xf>
    <xf numFmtId="0" fontId="9" fillId="0" borderId="1" xfId="12" applyFont="1" applyBorder="1" applyAlignment="1">
      <alignment horizontal="center" vertical="center"/>
    </xf>
    <xf numFmtId="191" fontId="45" fillId="0" borderId="1" xfId="12" applyNumberFormat="1" applyFont="1" applyBorder="1" applyAlignment="1">
      <alignment horizontal="center" vertical="center"/>
    </xf>
    <xf numFmtId="0" fontId="14" fillId="0" borderId="1" xfId="12" applyFont="1" applyBorder="1" applyAlignment="1">
      <alignment horizontal="center" vertical="center"/>
    </xf>
    <xf numFmtId="189" fontId="14" fillId="0" borderId="1" xfId="12" applyNumberFormat="1" applyFont="1" applyBorder="1" applyAlignment="1">
      <alignment horizontal="center" vertical="center"/>
    </xf>
    <xf numFmtId="189" fontId="77" fillId="0" borderId="1" xfId="12" applyNumberFormat="1" applyFont="1" applyBorder="1" applyAlignment="1">
      <alignment horizontal="center" vertical="center"/>
    </xf>
    <xf numFmtId="0" fontId="15" fillId="0" borderId="1" xfId="12" applyFont="1" applyBorder="1" applyAlignment="1">
      <alignment horizontal="center" vertical="center"/>
    </xf>
    <xf numFmtId="0" fontId="15" fillId="0" borderId="1" xfId="12" applyFont="1" applyBorder="1" applyAlignment="1">
      <alignment vertical="center"/>
    </xf>
    <xf numFmtId="0" fontId="14" fillId="0" borderId="1" xfId="12" applyFont="1" applyBorder="1" applyAlignment="1">
      <alignment vertical="center"/>
    </xf>
    <xf numFmtId="191" fontId="46" fillId="3" borderId="1" xfId="12" applyNumberFormat="1" applyFont="1" applyFill="1" applyBorder="1" applyAlignment="1">
      <alignment horizontal="center" vertical="center" wrapText="1"/>
    </xf>
    <xf numFmtId="185" fontId="117" fillId="0" borderId="1" xfId="2" applyNumberFormat="1" applyFont="1" applyBorder="1" applyAlignment="1">
      <alignment horizontal="right"/>
    </xf>
    <xf numFmtId="191" fontId="46" fillId="0" borderId="1" xfId="4" applyNumberFormat="1" applyFont="1" applyBorder="1" applyAlignment="1">
      <alignment horizontal="center" vertical="center" wrapText="1"/>
    </xf>
    <xf numFmtId="0" fontId="0" fillId="0" borderId="20" xfId="0" applyBorder="1"/>
    <xf numFmtId="0" fontId="0" fillId="0" borderId="23" xfId="0" applyBorder="1"/>
    <xf numFmtId="183" fontId="0" fillId="0" borderId="0" xfId="0" applyNumberFormat="1"/>
    <xf numFmtId="2" fontId="0" fillId="0" borderId="20" xfId="0" applyNumberFormat="1" applyBorder="1"/>
    <xf numFmtId="183" fontId="0" fillId="0" borderId="20" xfId="0" applyNumberFormat="1" applyBorder="1"/>
    <xf numFmtId="2" fontId="0" fillId="0" borderId="0" xfId="0" applyNumberFormat="1" applyBorder="1"/>
    <xf numFmtId="0" fontId="118" fillId="0" borderId="0" xfId="1" applyFont="1" applyAlignment="1">
      <alignment horizontal="center" vertical="center"/>
    </xf>
    <xf numFmtId="0" fontId="118" fillId="0" borderId="20" xfId="1" applyFont="1" applyBorder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9" fillId="0" borderId="20" xfId="1" applyFont="1" applyBorder="1" applyAlignment="1">
      <alignment horizontal="center" vertical="center"/>
    </xf>
    <xf numFmtId="0" fontId="39" fillId="0" borderId="0" xfId="0" applyFont="1"/>
    <xf numFmtId="0" fontId="40" fillId="0" borderId="20" xfId="0" applyFont="1" applyBorder="1"/>
    <xf numFmtId="0" fontId="12" fillId="0" borderId="0" xfId="0" applyFont="1"/>
    <xf numFmtId="0" fontId="40" fillId="17" borderId="0" xfId="0" applyFont="1" applyFill="1"/>
    <xf numFmtId="0" fontId="40" fillId="17" borderId="20" xfId="0" applyFont="1" applyFill="1" applyBorder="1"/>
    <xf numFmtId="0" fontId="40" fillId="37" borderId="0" xfId="0" applyFont="1" applyFill="1"/>
    <xf numFmtId="0" fontId="40" fillId="0" borderId="0" xfId="0" applyFont="1"/>
    <xf numFmtId="0" fontId="9" fillId="0" borderId="0" xfId="0" applyFont="1"/>
    <xf numFmtId="0" fontId="10" fillId="0" borderId="20" xfId="0" applyFont="1" applyBorder="1"/>
    <xf numFmtId="0" fontId="10" fillId="17" borderId="0" xfId="0" applyFont="1" applyFill="1"/>
    <xf numFmtId="0" fontId="9" fillId="2" borderId="0" xfId="1" applyFont="1" applyFill="1" applyAlignment="1">
      <alignment horizontal="center" vertical="center"/>
    </xf>
    <xf numFmtId="0" fontId="9" fillId="2" borderId="20" xfId="1" applyFont="1" applyFill="1" applyBorder="1" applyAlignment="1">
      <alignment horizontal="center" vertical="center"/>
    </xf>
    <xf numFmtId="0" fontId="40" fillId="2" borderId="0" xfId="0" applyFont="1" applyFill="1"/>
    <xf numFmtId="0" fontId="40" fillId="2" borderId="20" xfId="0" applyFont="1" applyFill="1" applyBorder="1"/>
    <xf numFmtId="0" fontId="10" fillId="17" borderId="20" xfId="0" applyFont="1" applyFill="1" applyBorder="1"/>
    <xf numFmtId="0" fontId="40" fillId="3" borderId="0" xfId="0" applyFont="1" applyFill="1"/>
    <xf numFmtId="0" fontId="40" fillId="3" borderId="20" xfId="0" applyFont="1" applyFill="1" applyBorder="1"/>
    <xf numFmtId="182" fontId="40" fillId="0" borderId="0" xfId="0" applyNumberFormat="1" applyFont="1"/>
    <xf numFmtId="0" fontId="10" fillId="37" borderId="0" xfId="0" applyFont="1" applyFill="1"/>
    <xf numFmtId="1" fontId="39" fillId="0" borderId="0" xfId="0" applyNumberFormat="1" applyFont="1"/>
    <xf numFmtId="0" fontId="15" fillId="0" borderId="0" xfId="0" applyFont="1" applyAlignment="1">
      <alignment horizontal="left" indent="2"/>
    </xf>
    <xf numFmtId="1" fontId="40" fillId="0" borderId="0" xfId="0" applyNumberFormat="1" applyFont="1"/>
    <xf numFmtId="0" fontId="119" fillId="0" borderId="0" xfId="0" applyFont="1"/>
    <xf numFmtId="0" fontId="120" fillId="0" borderId="38" xfId="0" applyFont="1" applyBorder="1"/>
    <xf numFmtId="0" fontId="33" fillId="38" borderId="0" xfId="0" applyFont="1" applyFill="1"/>
    <xf numFmtId="0" fontId="33" fillId="39" borderId="20" xfId="0" applyFont="1" applyFill="1" applyBorder="1"/>
    <xf numFmtId="0" fontId="33" fillId="39" borderId="0" xfId="0" applyFont="1" applyFill="1"/>
    <xf numFmtId="0" fontId="33" fillId="39" borderId="0" xfId="0" applyFont="1" applyFill="1" applyBorder="1"/>
    <xf numFmtId="0" fontId="33" fillId="0" borderId="20" xfId="0" applyFont="1" applyBorder="1"/>
    <xf numFmtId="0" fontId="33" fillId="38" borderId="0" xfId="0" applyFont="1" applyFill="1" applyAlignment="1">
      <alignment horizontal="center"/>
    </xf>
    <xf numFmtId="0" fontId="33" fillId="0" borderId="0" xfId="0" applyFont="1" applyBorder="1"/>
    <xf numFmtId="0" fontId="121" fillId="0" borderId="38" xfId="0" applyFont="1" applyBorder="1"/>
    <xf numFmtId="1" fontId="33" fillId="38" borderId="0" xfId="0" applyNumberFormat="1" applyFont="1" applyFill="1"/>
    <xf numFmtId="1" fontId="33" fillId="39" borderId="20" xfId="0" applyNumberFormat="1" applyFont="1" applyFill="1" applyBorder="1"/>
    <xf numFmtId="1" fontId="33" fillId="39" borderId="0" xfId="0" applyNumberFormat="1" applyFont="1" applyFill="1"/>
    <xf numFmtId="1" fontId="33" fillId="39" borderId="0" xfId="0" applyNumberFormat="1" applyFont="1" applyFill="1" applyBorder="1"/>
    <xf numFmtId="1" fontId="33" fillId="0" borderId="0" xfId="0" applyNumberFormat="1" applyFont="1"/>
    <xf numFmtId="1" fontId="33" fillId="0" borderId="20" xfId="0" applyNumberFormat="1" applyFont="1" applyBorder="1"/>
    <xf numFmtId="0" fontId="33" fillId="38" borderId="0" xfId="0" applyFont="1" applyFill="1" applyAlignment="1">
      <alignment horizontal="left" vertical="center"/>
    </xf>
    <xf numFmtId="0" fontId="33" fillId="38" borderId="0" xfId="0" applyFont="1" applyFill="1" applyAlignment="1">
      <alignment vertical="center"/>
    </xf>
    <xf numFmtId="1" fontId="33" fillId="38" borderId="0" xfId="15" applyNumberFormat="1" applyFont="1" applyFill="1" applyAlignment="1">
      <alignment vertical="center"/>
    </xf>
    <xf numFmtId="2" fontId="33" fillId="38" borderId="0" xfId="15" applyNumberFormat="1" applyFont="1" applyFill="1" applyAlignment="1">
      <alignment vertical="center"/>
    </xf>
    <xf numFmtId="1" fontId="33" fillId="0" borderId="0" xfId="0" applyNumberFormat="1" applyFont="1" applyBorder="1"/>
    <xf numFmtId="0" fontId="119" fillId="0" borderId="0" xfId="0" applyFont="1" applyAlignment="1">
      <alignment horizontal="center" vertical="center"/>
    </xf>
    <xf numFmtId="0" fontId="120" fillId="0" borderId="38" xfId="0" applyFont="1" applyBorder="1" applyAlignment="1">
      <alignment horizontal="center" vertical="center"/>
    </xf>
    <xf numFmtId="1" fontId="33" fillId="38" borderId="0" xfId="0" applyNumberFormat="1" applyFont="1" applyFill="1" applyAlignment="1">
      <alignment horizontal="center" vertical="center"/>
    </xf>
    <xf numFmtId="1" fontId="58" fillId="38" borderId="0" xfId="0" applyNumberFormat="1" applyFont="1" applyFill="1" applyBorder="1" applyAlignment="1">
      <alignment horizontal="center" vertical="center"/>
    </xf>
    <xf numFmtId="1" fontId="33" fillId="39" borderId="20" xfId="0" applyNumberFormat="1" applyFont="1" applyFill="1" applyBorder="1" applyAlignment="1">
      <alignment horizontal="center" vertical="center"/>
    </xf>
    <xf numFmtId="1" fontId="33" fillId="39" borderId="0" xfId="0" applyNumberFormat="1" applyFont="1" applyFill="1" applyAlignment="1">
      <alignment horizontal="center" vertical="center"/>
    </xf>
    <xf numFmtId="1" fontId="33" fillId="39" borderId="0" xfId="0" applyNumberFormat="1" applyFont="1" applyFill="1" applyBorder="1" applyAlignment="1"/>
    <xf numFmtId="1" fontId="33" fillId="39" borderId="0" xfId="0" applyNumberFormat="1" applyFont="1" applyFill="1" applyBorder="1" applyAlignment="1">
      <alignment horizontal="center" vertical="center"/>
    </xf>
    <xf numFmtId="1" fontId="73" fillId="39" borderId="20" xfId="0" applyNumberFormat="1" applyFont="1" applyFill="1" applyBorder="1" applyAlignment="1">
      <alignment vertical="center"/>
    </xf>
    <xf numFmtId="1" fontId="33" fillId="0" borderId="0" xfId="0" applyNumberFormat="1" applyFont="1" applyAlignment="1">
      <alignment horizontal="center" vertical="center"/>
    </xf>
    <xf numFmtId="1" fontId="33" fillId="0" borderId="20" xfId="0" applyNumberFormat="1" applyFont="1" applyBorder="1" applyAlignment="1">
      <alignment horizontal="center" vertical="center"/>
    </xf>
    <xf numFmtId="1" fontId="58" fillId="39" borderId="1" xfId="0" applyNumberFormat="1" applyFont="1" applyFill="1" applyBorder="1"/>
    <xf numFmtId="0" fontId="33" fillId="38" borderId="0" xfId="0" applyFont="1" applyFill="1" applyAlignment="1">
      <alignment horizontal="center" vertical="center"/>
    </xf>
    <xf numFmtId="1" fontId="33" fillId="38" borderId="0" xfId="15" applyNumberFormat="1" applyFont="1" applyFill="1" applyAlignment="1">
      <alignment horizontal="center" vertical="center"/>
    </xf>
    <xf numFmtId="2" fontId="33" fillId="38" borderId="0" xfId="15" applyNumberFormat="1" applyFont="1" applyFill="1" applyAlignment="1">
      <alignment horizontal="center" vertical="center"/>
    </xf>
    <xf numFmtId="1" fontId="33" fillId="0" borderId="0" xfId="0" applyNumberFormat="1" applyFont="1" applyBorder="1" applyAlignment="1">
      <alignment horizontal="center" vertical="center"/>
    </xf>
    <xf numFmtId="0" fontId="33" fillId="39" borderId="20" xfId="0" applyFont="1" applyFill="1" applyBorder="1" applyAlignment="1">
      <alignment horizontal="center" vertical="center"/>
    </xf>
    <xf numFmtId="4" fontId="33" fillId="39" borderId="20" xfId="0" applyNumberFormat="1" applyFont="1" applyFill="1" applyBorder="1"/>
    <xf numFmtId="0" fontId="33" fillId="39" borderId="0" xfId="0" applyFont="1" applyFill="1" applyAlignment="1">
      <alignment horizontal="center" vertical="center"/>
    </xf>
    <xf numFmtId="4" fontId="33" fillId="39" borderId="0" xfId="0" applyNumberFormat="1" applyFont="1" applyFill="1"/>
    <xf numFmtId="0" fontId="33" fillId="39" borderId="0" xfId="0" applyFont="1" applyFill="1" applyBorder="1" applyAlignment="1">
      <alignment horizontal="center" vertical="center"/>
    </xf>
    <xf numFmtId="3" fontId="33" fillId="39" borderId="20" xfId="0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right" vertical="center"/>
    </xf>
    <xf numFmtId="1" fontId="33" fillId="0" borderId="0" xfId="0" applyNumberFormat="1" applyFont="1" applyAlignment="1">
      <alignment horizontal="right" vertical="center"/>
    </xf>
    <xf numFmtId="1" fontId="33" fillId="2" borderId="0" xfId="0" applyNumberFormat="1" applyFont="1" applyFill="1" applyAlignment="1">
      <alignment horizontal="center" vertical="center"/>
    </xf>
    <xf numFmtId="1" fontId="33" fillId="2" borderId="20" xfId="0" applyNumberFormat="1" applyFont="1" applyFill="1" applyBorder="1" applyAlignment="1">
      <alignment horizontal="center" vertical="center"/>
    </xf>
    <xf numFmtId="0" fontId="33" fillId="0" borderId="20" xfId="0" applyFont="1" applyBorder="1" applyAlignment="1">
      <alignment horizontal="center" vertical="center"/>
    </xf>
    <xf numFmtId="0" fontId="33" fillId="40" borderId="0" xfId="0" applyFont="1" applyFill="1" applyAlignment="1">
      <alignment horizontal="center"/>
    </xf>
    <xf numFmtId="0" fontId="33" fillId="0" borderId="0" xfId="0" applyFont="1" applyBorder="1" applyAlignment="1">
      <alignment horizontal="center" vertical="center"/>
    </xf>
    <xf numFmtId="0" fontId="122" fillId="0" borderId="0" xfId="0" applyFont="1" applyFill="1" applyAlignment="1">
      <alignment vertical="center"/>
    </xf>
    <xf numFmtId="0" fontId="29" fillId="0" borderId="0" xfId="0" applyFont="1" applyFill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9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122" fillId="0" borderId="0" xfId="0" applyFont="1" applyFill="1" applyAlignment="1">
      <alignment horizontal="center" vertical="center"/>
    </xf>
    <xf numFmtId="0" fontId="123" fillId="0" borderId="0" xfId="0" applyFont="1"/>
    <xf numFmtId="0" fontId="29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24" fillId="0" borderId="0" xfId="0" applyFont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63" fillId="0" borderId="0" xfId="0" applyFont="1" applyAlignment="1">
      <alignment vertical="center"/>
    </xf>
    <xf numFmtId="0" fontId="63" fillId="0" borderId="0" xfId="0" applyFont="1" applyAlignment="1">
      <alignment horizontal="right" vertical="center"/>
    </xf>
    <xf numFmtId="0" fontId="63" fillId="0" borderId="2" xfId="0" applyFont="1" applyBorder="1" applyAlignment="1">
      <alignment horizontal="center" vertical="center"/>
    </xf>
    <xf numFmtId="0" fontId="63" fillId="0" borderId="7" xfId="0" applyFont="1" applyBorder="1" applyAlignment="1">
      <alignment horizontal="center" vertical="center"/>
    </xf>
    <xf numFmtId="0" fontId="63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191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0" fontId="63" fillId="0" borderId="4" xfId="0" applyFont="1" applyBorder="1" applyAlignment="1">
      <alignment vertical="center"/>
    </xf>
    <xf numFmtId="191" fontId="63" fillId="0" borderId="1" xfId="0" applyNumberFormat="1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7" fillId="11" borderId="5" xfId="0" applyFont="1" applyFill="1" applyBorder="1" applyAlignment="1">
      <alignment horizontal="center" vertical="center"/>
    </xf>
    <xf numFmtId="189" fontId="7" fillId="11" borderId="6" xfId="0" applyNumberFormat="1" applyFont="1" applyFill="1" applyBorder="1" applyAlignment="1">
      <alignment horizontal="center" vertical="center"/>
    </xf>
    <xf numFmtId="189" fontId="7" fillId="0" borderId="0" xfId="0" applyNumberFormat="1" applyFont="1" applyAlignment="1">
      <alignment horizontal="center" vertical="center"/>
    </xf>
    <xf numFmtId="0" fontId="63" fillId="0" borderId="3" xfId="0" applyFont="1" applyBorder="1" applyAlignment="1">
      <alignment horizontal="center" vertical="center"/>
    </xf>
    <xf numFmtId="0" fontId="63" fillId="0" borderId="4" xfId="0" applyFont="1" applyBorder="1" applyAlignment="1">
      <alignment horizontal="center" vertical="center"/>
    </xf>
    <xf numFmtId="2" fontId="0" fillId="23" borderId="1" xfId="0" applyNumberFormat="1" applyFill="1" applyBorder="1" applyAlignment="1">
      <alignment horizontal="center" vertical="center"/>
    </xf>
    <xf numFmtId="9" fontId="5" fillId="0" borderId="0" xfId="0" applyNumberFormat="1" applyFont="1" applyFill="1" applyBorder="1" applyAlignment="1">
      <alignment horizontal="center" vertical="center"/>
    </xf>
    <xf numFmtId="199" fontId="0" fillId="0" borderId="1" xfId="0" applyNumberFormat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0" fontId="63" fillId="0" borderId="5" xfId="0" applyFon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191" fontId="0" fillId="0" borderId="0" xfId="0" applyNumberFormat="1" applyAlignment="1">
      <alignment vertical="center"/>
    </xf>
    <xf numFmtId="0" fontId="5" fillId="0" borderId="0" xfId="0" applyFont="1" applyAlignment="1">
      <alignment horizontal="left" vertical="center"/>
    </xf>
    <xf numFmtId="199" fontId="0" fillId="0" borderId="0" xfId="0" applyNumberFormat="1" applyBorder="1" applyAlignment="1">
      <alignment horizontal="center" vertical="center"/>
    </xf>
    <xf numFmtId="1" fontId="0" fillId="0" borderId="0" xfId="0" applyNumberFormat="1" applyBorder="1" applyAlignment="1">
      <alignment vertical="center"/>
    </xf>
    <xf numFmtId="0" fontId="0" fillId="0" borderId="0" xfId="0" applyBorder="1" applyAlignment="1">
      <alignment vertical="center"/>
    </xf>
    <xf numFmtId="0" fontId="124" fillId="0" borderId="0" xfId="0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2" fontId="0" fillId="0" borderId="0" xfId="0" applyNumberFormat="1" applyFill="1" applyAlignment="1">
      <alignment vertical="center"/>
    </xf>
    <xf numFmtId="0" fontId="7" fillId="0" borderId="7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91" fontId="0" fillId="0" borderId="8" xfId="0" applyNumberFormat="1" applyBorder="1" applyAlignment="1">
      <alignment horizontal="center" vertical="center"/>
    </xf>
    <xf numFmtId="191" fontId="0" fillId="0" borderId="0" xfId="0" applyNumberFormat="1" applyBorder="1" applyAlignment="1">
      <alignment horizontal="center" vertical="center"/>
    </xf>
    <xf numFmtId="202" fontId="0" fillId="0" borderId="0" xfId="0" applyNumberFormat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191" fontId="63" fillId="0" borderId="8" xfId="0" applyNumberFormat="1" applyFont="1" applyBorder="1" applyAlignment="1">
      <alignment horizontal="center" vertical="center"/>
    </xf>
    <xf numFmtId="191" fontId="63" fillId="0" borderId="0" xfId="0" applyNumberFormat="1" applyFont="1" applyBorder="1" applyAlignment="1">
      <alignment horizontal="center" vertical="center"/>
    </xf>
    <xf numFmtId="191" fontId="63" fillId="0" borderId="0" xfId="0" applyNumberFormat="1" applyFont="1" applyAlignment="1">
      <alignment vertical="center"/>
    </xf>
    <xf numFmtId="9" fontId="0" fillId="0" borderId="0" xfId="0" applyNumberFormat="1" applyFill="1" applyAlignment="1">
      <alignment vertical="center"/>
    </xf>
    <xf numFmtId="189" fontId="7" fillId="11" borderId="1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99" fontId="0" fillId="0" borderId="8" xfId="0" applyNumberFormat="1" applyBorder="1" applyAlignment="1">
      <alignment horizontal="center" vertical="center"/>
    </xf>
    <xf numFmtId="199" fontId="0" fillId="0" borderId="19" xfId="0" applyNumberFormat="1" applyBorder="1" applyAlignment="1">
      <alignment horizontal="center" vertical="center"/>
    </xf>
    <xf numFmtId="1" fontId="0" fillId="0" borderId="0" xfId="0" applyNumberFormat="1" applyAlignment="1">
      <alignment vertical="center"/>
    </xf>
    <xf numFmtId="1" fontId="0" fillId="0" borderId="0" xfId="0" applyNumberFormat="1" applyFill="1" applyAlignment="1">
      <alignment horizontal="center" vertical="center"/>
    </xf>
    <xf numFmtId="0" fontId="19" fillId="0" borderId="0" xfId="0" applyFont="1" applyAlignment="1">
      <alignment vertic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46" fillId="41" borderId="1" xfId="0" applyFont="1" applyFill="1" applyBorder="1" applyAlignment="1">
      <alignment horizontal="center" vertical="center"/>
    </xf>
    <xf numFmtId="0" fontId="46" fillId="41" borderId="1" xfId="0" applyFont="1" applyFill="1" applyBorder="1" applyAlignment="1">
      <alignment horizontal="center" vertical="center" wrapText="1"/>
    </xf>
    <xf numFmtId="0" fontId="45" fillId="0" borderId="1" xfId="18" applyNumberFormat="1" applyFont="1" applyBorder="1" applyAlignment="1">
      <alignment horizontal="left" vertical="center" shrinkToFit="1"/>
    </xf>
    <xf numFmtId="1" fontId="45" fillId="41" borderId="1" xfId="0" applyNumberFormat="1" applyFont="1" applyFill="1" applyBorder="1" applyAlignment="1">
      <alignment horizontal="center" vertical="center"/>
    </xf>
    <xf numFmtId="0" fontId="45" fillId="0" borderId="1" xfId="18" applyNumberFormat="1" applyFont="1" applyBorder="1" applyAlignment="1">
      <alignment vertical="center" shrinkToFit="1"/>
    </xf>
    <xf numFmtId="0" fontId="46" fillId="0" borderId="1" xfId="18" applyNumberFormat="1" applyFont="1" applyBorder="1" applyAlignment="1">
      <alignment horizontal="center" vertical="center" shrinkToFit="1"/>
    </xf>
    <xf numFmtId="1" fontId="46" fillId="41" borderId="1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vertical="center"/>
    </xf>
    <xf numFmtId="0" fontId="45" fillId="0" borderId="20" xfId="0" applyFont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9" fillId="0" borderId="23" xfId="0" applyFont="1" applyBorder="1" applyAlignment="1">
      <alignment horizontal="center" vertical="center"/>
    </xf>
    <xf numFmtId="2" fontId="48" fillId="0" borderId="0" xfId="0" applyNumberFormat="1" applyFont="1" applyAlignment="1">
      <alignment horizontal="center" vertical="center"/>
    </xf>
    <xf numFmtId="0" fontId="48" fillId="0" borderId="20" xfId="0" applyFont="1" applyBorder="1" applyAlignment="1">
      <alignment vertical="center"/>
    </xf>
    <xf numFmtId="0" fontId="48" fillId="0" borderId="20" xfId="0" applyFont="1" applyBorder="1" applyAlignment="1">
      <alignment horizontal="center" vertical="center"/>
    </xf>
    <xf numFmtId="1" fontId="45" fillId="26" borderId="1" xfId="0" applyNumberFormat="1" applyFont="1" applyFill="1" applyBorder="1" applyAlignment="1">
      <alignment horizontal="center" vertical="center"/>
    </xf>
    <xf numFmtId="210" fontId="45" fillId="0" borderId="1" xfId="0" applyNumberFormat="1" applyFont="1" applyBorder="1" applyAlignment="1">
      <alignment horizontal="left" vertical="center"/>
    </xf>
    <xf numFmtId="210" fontId="45" fillId="41" borderId="1" xfId="0" applyNumberFormat="1" applyFont="1" applyFill="1" applyBorder="1" applyAlignment="1">
      <alignment horizontal="left" vertical="center"/>
    </xf>
    <xf numFmtId="0" fontId="45" fillId="26" borderId="1" xfId="0" applyFont="1" applyFill="1" applyBorder="1" applyAlignment="1">
      <alignment horizontal="center" vertical="center"/>
    </xf>
    <xf numFmtId="210" fontId="45" fillId="41" borderId="1" xfId="0" applyNumberFormat="1" applyFont="1" applyFill="1" applyBorder="1" applyAlignment="1">
      <alignment horizontal="center" vertical="center"/>
    </xf>
    <xf numFmtId="191" fontId="45" fillId="26" borderId="1" xfId="0" applyNumberFormat="1" applyFont="1" applyFill="1" applyBorder="1" applyAlignment="1">
      <alignment horizontal="center" vertical="center"/>
    </xf>
    <xf numFmtId="191" fontId="45" fillId="0" borderId="1" xfId="0" applyNumberFormat="1" applyFont="1" applyBorder="1" applyAlignment="1">
      <alignment horizontal="center" vertical="center"/>
    </xf>
    <xf numFmtId="210" fontId="45" fillId="0" borderId="1" xfId="0" applyNumberFormat="1" applyFont="1" applyBorder="1" applyAlignment="1">
      <alignment horizontal="center" vertical="center"/>
    </xf>
    <xf numFmtId="0" fontId="45" fillId="4" borderId="1" xfId="0" applyFont="1" applyFill="1" applyBorder="1" applyAlignment="1">
      <alignment horizontal="center" vertical="center"/>
    </xf>
    <xf numFmtId="1" fontId="45" fillId="4" borderId="1" xfId="0" applyNumberFormat="1" applyFont="1" applyFill="1" applyBorder="1" applyAlignment="1">
      <alignment horizontal="center" vertical="center"/>
    </xf>
    <xf numFmtId="210" fontId="46" fillId="0" borderId="1" xfId="0" applyNumberFormat="1" applyFont="1" applyBorder="1" applyAlignment="1">
      <alignment horizontal="left" vertical="center"/>
    </xf>
    <xf numFmtId="210" fontId="46" fillId="41" borderId="1" xfId="0" applyNumberFormat="1" applyFont="1" applyFill="1" applyBorder="1" applyAlignment="1">
      <alignment horizontal="left" vertical="center"/>
    </xf>
    <xf numFmtId="1" fontId="19" fillId="0" borderId="23" xfId="0" applyNumberFormat="1" applyFont="1" applyBorder="1" applyAlignment="1">
      <alignment horizontal="center" vertical="center"/>
    </xf>
    <xf numFmtId="207" fontId="19" fillId="0" borderId="0" xfId="0" applyNumberFormat="1" applyFont="1" applyAlignment="1">
      <alignment horizontal="left" vertical="center"/>
    </xf>
    <xf numFmtId="207" fontId="48" fillId="0" borderId="0" xfId="0" applyNumberFormat="1" applyFont="1" applyAlignment="1">
      <alignment horizontal="left" vertical="center"/>
    </xf>
    <xf numFmtId="207" fontId="48" fillId="23" borderId="20" xfId="0" applyNumberFormat="1" applyFont="1" applyFill="1" applyBorder="1" applyAlignment="1">
      <alignment horizontal="left" vertical="center"/>
    </xf>
    <xf numFmtId="0" fontId="45" fillId="0" borderId="1" xfId="0" applyFont="1" applyFill="1" applyBorder="1" applyAlignment="1">
      <alignment vertical="center" wrapText="1"/>
    </xf>
    <xf numFmtId="1" fontId="46" fillId="0" borderId="0" xfId="0" applyNumberFormat="1" applyFont="1" applyAlignment="1">
      <alignment horizontal="center" vertical="center"/>
    </xf>
    <xf numFmtId="1" fontId="79" fillId="0" borderId="1" xfId="0" applyNumberFormat="1" applyFont="1" applyBorder="1" applyAlignment="1">
      <alignment horizontal="center" vertical="center"/>
    </xf>
    <xf numFmtId="0" fontId="79" fillId="0" borderId="1" xfId="0" applyFont="1" applyBorder="1" applyAlignment="1">
      <alignment horizontal="center" vertical="center"/>
    </xf>
    <xf numFmtId="1" fontId="76" fillId="0" borderId="1" xfId="0" applyNumberFormat="1" applyFont="1" applyBorder="1" applyAlignment="1">
      <alignment horizontal="center" vertical="center"/>
    </xf>
    <xf numFmtId="0" fontId="9" fillId="0" borderId="1" xfId="15" applyFont="1" applyBorder="1" applyAlignment="1">
      <alignment horizontal="left" vertical="center" wrapText="1" indent="2"/>
    </xf>
    <xf numFmtId="0" fontId="9" fillId="42" borderId="1" xfId="15" applyFont="1" applyFill="1" applyBorder="1" applyAlignment="1">
      <alignment vertical="center" wrapText="1"/>
    </xf>
    <xf numFmtId="1" fontId="46" fillId="42" borderId="1" xfId="0" applyNumberFormat="1" applyFont="1" applyFill="1" applyBorder="1" applyAlignment="1">
      <alignment horizontal="center" vertical="center"/>
    </xf>
    <xf numFmtId="0" fontId="14" fillId="42" borderId="1" xfId="0" applyFont="1" applyFill="1" applyBorder="1"/>
    <xf numFmtId="2" fontId="45" fillId="0" borderId="0" xfId="0" applyNumberFormat="1" applyFont="1" applyAlignment="1">
      <alignment horizontal="center" vertical="center"/>
    </xf>
    <xf numFmtId="10" fontId="15" fillId="0" borderId="0" xfId="3" applyNumberFormat="1" applyFont="1" applyAlignment="1"/>
    <xf numFmtId="1" fontId="46" fillId="0" borderId="1" xfId="0" applyNumberFormat="1" applyFont="1" applyBorder="1" applyAlignment="1">
      <alignment horizontal="right"/>
    </xf>
    <xf numFmtId="1" fontId="45" fillId="0" borderId="1" xfId="0" applyNumberFormat="1" applyFont="1" applyBorder="1" applyAlignment="1">
      <alignment horizontal="right"/>
    </xf>
    <xf numFmtId="1" fontId="79" fillId="0" borderId="1" xfId="0" applyNumberFormat="1" applyFont="1" applyBorder="1" applyAlignment="1">
      <alignment horizontal="right" vertical="center"/>
    </xf>
    <xf numFmtId="1" fontId="45" fillId="0" borderId="1" xfId="0" applyNumberFormat="1" applyFont="1" applyBorder="1" applyAlignment="1">
      <alignment horizontal="right" vertical="center"/>
    </xf>
    <xf numFmtId="1" fontId="45" fillId="0" borderId="0" xfId="0" applyNumberFormat="1" applyFont="1" applyBorder="1"/>
    <xf numFmtId="212" fontId="15" fillId="0" borderId="0" xfId="0" applyNumberFormat="1" applyFont="1"/>
    <xf numFmtId="10" fontId="15" fillId="0" borderId="0" xfId="0" applyNumberFormat="1" applyFont="1"/>
    <xf numFmtId="0" fontId="45" fillId="0" borderId="0" xfId="0" applyFont="1" applyAlignment="1">
      <alignment horizontal="center" vertical="center"/>
    </xf>
    <xf numFmtId="1" fontId="42" fillId="0" borderId="1" xfId="0" applyNumberFormat="1" applyFont="1" applyBorder="1" applyAlignment="1">
      <alignment horizontal="center" vertical="center" wrapText="1"/>
    </xf>
    <xf numFmtId="1" fontId="46" fillId="43" borderId="1" xfId="0" applyNumberFormat="1" applyFont="1" applyFill="1" applyBorder="1" applyAlignment="1">
      <alignment horizontal="center" vertical="center"/>
    </xf>
    <xf numFmtId="199" fontId="46" fillId="43" borderId="1" xfId="0" applyNumberFormat="1" applyFont="1" applyFill="1" applyBorder="1" applyAlignment="1">
      <alignment horizontal="left" vertical="center"/>
    </xf>
    <xf numFmtId="1" fontId="45" fillId="0" borderId="0" xfId="15" applyNumberFormat="1" applyFont="1" applyAlignment="1">
      <alignment horizontal="center" vertical="center"/>
    </xf>
    <xf numFmtId="199" fontId="45" fillId="0" borderId="0" xfId="0" applyNumberFormat="1" applyFont="1" applyAlignment="1">
      <alignment horizontal="left" vertical="center"/>
    </xf>
    <xf numFmtId="1" fontId="45" fillId="23" borderId="0" xfId="0" applyNumberFormat="1" applyFont="1" applyFill="1" applyAlignment="1">
      <alignment vertical="center"/>
    </xf>
    <xf numFmtId="191" fontId="45" fillId="0" borderId="0" xfId="0" applyNumberFormat="1" applyFont="1" applyAlignment="1">
      <alignment vertical="center"/>
    </xf>
    <xf numFmtId="0" fontId="45" fillId="24" borderId="0" xfId="0" applyFont="1" applyFill="1" applyAlignment="1">
      <alignment horizontal="center" vertical="center"/>
    </xf>
    <xf numFmtId="1" fontId="45" fillId="24" borderId="0" xfId="0" applyNumberFormat="1" applyFont="1" applyFill="1" applyAlignment="1">
      <alignment horizontal="center" vertical="center"/>
    </xf>
    <xf numFmtId="0" fontId="45" fillId="23" borderId="0" xfId="0" applyFont="1" applyFill="1" applyAlignment="1">
      <alignment vertical="center"/>
    </xf>
    <xf numFmtId="0" fontId="63" fillId="0" borderId="0" xfId="0" applyFont="1"/>
    <xf numFmtId="0" fontId="63" fillId="0" borderId="0" xfId="0" applyFont="1" applyAlignment="1">
      <alignment horizontal="center"/>
    </xf>
    <xf numFmtId="0" fontId="46" fillId="0" borderId="0" xfId="0" applyFont="1"/>
    <xf numFmtId="0" fontId="45" fillId="0" borderId="0" xfId="0" applyFont="1" applyBorder="1"/>
    <xf numFmtId="0" fontId="51" fillId="0" borderId="0" xfId="0" applyFont="1" applyBorder="1"/>
    <xf numFmtId="0" fontId="0" fillId="0" borderId="38" xfId="0" applyBorder="1"/>
    <xf numFmtId="0" fontId="126" fillId="0" borderId="0" xfId="0" applyFont="1"/>
    <xf numFmtId="0" fontId="45" fillId="0" borderId="1" xfId="0" applyFont="1" applyBorder="1" applyAlignment="1">
      <alignment horizontal="left" vertical="center"/>
    </xf>
    <xf numFmtId="0" fontId="46" fillId="0" borderId="0" xfId="0" applyFont="1" applyAlignment="1">
      <alignment horizontal="center" vertical="center" wrapText="1"/>
    </xf>
    <xf numFmtId="0" fontId="46" fillId="0" borderId="1" xfId="0" applyFont="1" applyBorder="1" applyAlignment="1">
      <alignment vertical="center" wrapText="1"/>
    </xf>
    <xf numFmtId="0" fontId="45" fillId="0" borderId="38" xfId="0" applyFont="1" applyBorder="1"/>
    <xf numFmtId="203" fontId="46" fillId="0" borderId="1" xfId="0" applyNumberFormat="1" applyFont="1" applyBorder="1" applyAlignment="1">
      <alignment horizontal="left" vertical="center"/>
    </xf>
    <xf numFmtId="2" fontId="15" fillId="23" borderId="1" xfId="0" applyNumberFormat="1" applyFont="1" applyFill="1" applyBorder="1" applyAlignment="1">
      <alignment horizontal="center" vertical="center"/>
    </xf>
    <xf numFmtId="2" fontId="14" fillId="23" borderId="1" xfId="0" applyNumberFormat="1" applyFont="1" applyFill="1" applyBorder="1" applyAlignment="1">
      <alignment horizontal="center" vertical="center"/>
    </xf>
    <xf numFmtId="183" fontId="45" fillId="0" borderId="0" xfId="0" applyNumberFormat="1" applyFont="1"/>
    <xf numFmtId="2" fontId="45" fillId="0" borderId="0" xfId="0" applyNumberFormat="1" applyFont="1"/>
    <xf numFmtId="0" fontId="48" fillId="0" borderId="69" xfId="0" applyFont="1" applyBorder="1"/>
    <xf numFmtId="0" fontId="45" fillId="0" borderId="69" xfId="0" applyFont="1" applyBorder="1"/>
    <xf numFmtId="0" fontId="48" fillId="0" borderId="23" xfId="0" applyFont="1" applyBorder="1"/>
    <xf numFmtId="0" fontId="45" fillId="0" borderId="23" xfId="0" applyFont="1" applyBorder="1"/>
    <xf numFmtId="0" fontId="45" fillId="0" borderId="23" xfId="0" applyFont="1" applyBorder="1" applyAlignment="1">
      <alignment horizontal="center" vertical="center"/>
    </xf>
    <xf numFmtId="1" fontId="45" fillId="0" borderId="38" xfId="0" applyNumberFormat="1" applyFont="1" applyBorder="1"/>
    <xf numFmtId="0" fontId="0" fillId="2" borderId="0" xfId="0" applyFill="1"/>
    <xf numFmtId="0" fontId="128" fillId="0" borderId="49" xfId="0" applyFont="1" applyBorder="1" applyAlignment="1">
      <alignment horizontal="center" vertical="center"/>
    </xf>
    <xf numFmtId="0" fontId="128" fillId="0" borderId="50" xfId="0" applyFont="1" applyBorder="1" applyAlignment="1">
      <alignment horizontal="center" vertical="center"/>
    </xf>
    <xf numFmtId="0" fontId="128" fillId="0" borderId="51" xfId="0" applyFont="1" applyBorder="1" applyAlignment="1">
      <alignment horizontal="center" vertical="center"/>
    </xf>
    <xf numFmtId="0" fontId="128" fillId="0" borderId="52" xfId="0" applyFont="1" applyBorder="1" applyAlignment="1">
      <alignment horizontal="center" vertical="center"/>
    </xf>
    <xf numFmtId="0" fontId="129" fillId="0" borderId="54" xfId="0" applyFont="1" applyBorder="1" applyAlignment="1">
      <alignment vertical="center"/>
    </xf>
    <xf numFmtId="2" fontId="129" fillId="0" borderId="56" xfId="0" applyNumberFormat="1" applyFont="1" applyBorder="1" applyAlignment="1">
      <alignment horizontal="center" vertical="center"/>
    </xf>
    <xf numFmtId="1" fontId="129" fillId="0" borderId="57" xfId="0" applyNumberFormat="1" applyFont="1" applyBorder="1" applyAlignment="1">
      <alignment horizontal="center" vertical="center"/>
    </xf>
    <xf numFmtId="0" fontId="129" fillId="0" borderId="59" xfId="0" applyFont="1" applyBorder="1" applyAlignment="1">
      <alignment vertical="center"/>
    </xf>
    <xf numFmtId="2" fontId="129" fillId="0" borderId="60" xfId="0" applyNumberFormat="1" applyFont="1" applyBorder="1" applyAlignment="1">
      <alignment horizontal="center" vertical="center"/>
    </xf>
    <xf numFmtId="2" fontId="129" fillId="0" borderId="61" xfId="0" applyNumberFormat="1" applyFont="1" applyBorder="1" applyAlignment="1">
      <alignment horizontal="center" vertical="center"/>
    </xf>
    <xf numFmtId="2" fontId="129" fillId="0" borderId="59" xfId="0" applyNumberFormat="1" applyFont="1" applyBorder="1" applyAlignment="1">
      <alignment horizontal="center" vertical="center"/>
    </xf>
    <xf numFmtId="1" fontId="129" fillId="0" borderId="62" xfId="0" applyNumberFormat="1" applyFont="1" applyBorder="1" applyAlignment="1">
      <alignment horizontal="center" vertical="center"/>
    </xf>
    <xf numFmtId="0" fontId="129" fillId="0" borderId="51" xfId="0" applyFont="1" applyBorder="1" applyAlignment="1">
      <alignment vertical="center"/>
    </xf>
    <xf numFmtId="2" fontId="129" fillId="0" borderId="49" xfId="0" applyNumberFormat="1" applyFont="1" applyBorder="1" applyAlignment="1">
      <alignment horizontal="center" vertical="center"/>
    </xf>
    <xf numFmtId="2" fontId="129" fillId="0" borderId="50" xfId="0" applyNumberFormat="1" applyFont="1" applyBorder="1" applyAlignment="1">
      <alignment horizontal="center" vertical="center"/>
    </xf>
    <xf numFmtId="2" fontId="129" fillId="0" borderId="51" xfId="0" applyNumberFormat="1" applyFont="1" applyBorder="1" applyAlignment="1">
      <alignment horizontal="center" vertical="center"/>
    </xf>
    <xf numFmtId="1" fontId="129" fillId="0" borderId="52" xfId="0" applyNumberFormat="1" applyFont="1" applyBorder="1" applyAlignment="1">
      <alignment horizontal="center" vertical="center"/>
    </xf>
    <xf numFmtId="0" fontId="129" fillId="0" borderId="63" xfId="0" applyFont="1" applyBorder="1" applyAlignment="1">
      <alignment vertical="center"/>
    </xf>
    <xf numFmtId="2" fontId="129" fillId="0" borderId="64" xfId="0" applyNumberFormat="1" applyFont="1" applyBorder="1" applyAlignment="1">
      <alignment horizontal="center" vertical="center"/>
    </xf>
    <xf numFmtId="2" fontId="129" fillId="0" borderId="65" xfId="0" applyNumberFormat="1" applyFont="1" applyBorder="1" applyAlignment="1">
      <alignment horizontal="center" vertical="center"/>
    </xf>
    <xf numFmtId="2" fontId="129" fillId="0" borderId="63" xfId="0" applyNumberFormat="1" applyFont="1" applyBorder="1" applyAlignment="1">
      <alignment horizontal="center" vertical="center"/>
    </xf>
    <xf numFmtId="1" fontId="129" fillId="0" borderId="66" xfId="0" applyNumberFormat="1" applyFont="1" applyBorder="1" applyAlignment="1">
      <alignment horizontal="center" vertical="center"/>
    </xf>
    <xf numFmtId="0" fontId="129" fillId="0" borderId="51" xfId="0" applyFont="1" applyBorder="1" applyAlignment="1">
      <alignment horizontal="left" vertical="center"/>
    </xf>
    <xf numFmtId="2" fontId="45" fillId="0" borderId="0" xfId="0" applyNumberFormat="1" applyFont="1" applyAlignment="1">
      <alignment horizontal="center" vertical="center" wrapText="1"/>
    </xf>
    <xf numFmtId="203" fontId="84" fillId="0" borderId="0" xfId="0" applyNumberFormat="1" applyFont="1" applyAlignment="1">
      <alignment horizontal="left" vertical="center" wrapText="1"/>
    </xf>
    <xf numFmtId="192" fontId="75" fillId="0" borderId="0" xfId="0" applyNumberFormat="1" applyFont="1" applyAlignment="1">
      <alignment horizontal="left" vertical="center" wrapText="1"/>
    </xf>
    <xf numFmtId="0" fontId="88" fillId="0" borderId="0" xfId="0" applyFont="1" applyAlignment="1">
      <alignment horizontal="right" vertical="center"/>
    </xf>
    <xf numFmtId="0" fontId="128" fillId="29" borderId="50" xfId="0" applyFont="1" applyFill="1" applyBorder="1" applyAlignment="1">
      <alignment horizontal="center" vertical="center"/>
    </xf>
    <xf numFmtId="0" fontId="128" fillId="0" borderId="50" xfId="0" applyFont="1" applyBorder="1" applyAlignment="1">
      <alignment horizontal="center" vertical="center" wrapText="1"/>
    </xf>
    <xf numFmtId="0" fontId="128" fillId="0" borderId="51" xfId="0" applyFont="1" applyBorder="1" applyAlignment="1">
      <alignment horizontal="center" vertical="center" wrapText="1"/>
    </xf>
    <xf numFmtId="2" fontId="129" fillId="29" borderId="56" xfId="0" applyNumberFormat="1" applyFont="1" applyFill="1" applyBorder="1" applyAlignment="1">
      <alignment horizontal="center" vertical="center"/>
    </xf>
    <xf numFmtId="203" fontId="129" fillId="0" borderId="56" xfId="0" applyNumberFormat="1" applyFont="1" applyBorder="1" applyAlignment="1">
      <alignment horizontal="left" vertical="center"/>
    </xf>
    <xf numFmtId="203" fontId="129" fillId="0" borderId="54" xfId="0" applyNumberFormat="1" applyFont="1" applyBorder="1" applyAlignment="1">
      <alignment horizontal="left" vertical="center"/>
    </xf>
    <xf numFmtId="2" fontId="129" fillId="29" borderId="61" xfId="0" applyNumberFormat="1" applyFont="1" applyFill="1" applyBorder="1" applyAlignment="1">
      <alignment horizontal="center" vertical="center"/>
    </xf>
    <xf numFmtId="203" fontId="129" fillId="0" borderId="61" xfId="0" applyNumberFormat="1" applyFont="1" applyBorder="1" applyAlignment="1">
      <alignment horizontal="left" vertical="center"/>
    </xf>
    <xf numFmtId="203" fontId="129" fillId="0" borderId="59" xfId="0" applyNumberFormat="1" applyFont="1" applyBorder="1" applyAlignment="1">
      <alignment horizontal="left" vertical="center"/>
    </xf>
    <xf numFmtId="2" fontId="129" fillId="29" borderId="50" xfId="0" applyNumberFormat="1" applyFont="1" applyFill="1" applyBorder="1" applyAlignment="1">
      <alignment horizontal="center" vertical="center"/>
    </xf>
    <xf numFmtId="203" fontId="129" fillId="0" borderId="50" xfId="0" applyNumberFormat="1" applyFont="1" applyBorder="1" applyAlignment="1">
      <alignment horizontal="left" vertical="center"/>
    </xf>
    <xf numFmtId="203" fontId="129" fillId="0" borderId="51" xfId="0" applyNumberFormat="1" applyFont="1" applyBorder="1" applyAlignment="1">
      <alignment horizontal="left" vertical="center"/>
    </xf>
    <xf numFmtId="2" fontId="129" fillId="29" borderId="65" xfId="0" applyNumberFormat="1" applyFont="1" applyFill="1" applyBorder="1" applyAlignment="1">
      <alignment horizontal="center" vertical="center"/>
    </xf>
    <xf numFmtId="203" fontId="129" fillId="0" borderId="65" xfId="0" applyNumberFormat="1" applyFont="1" applyBorder="1" applyAlignment="1">
      <alignment horizontal="left" vertical="center"/>
    </xf>
    <xf numFmtId="203" fontId="129" fillId="0" borderId="63" xfId="0" applyNumberFormat="1" applyFont="1" applyBorder="1" applyAlignment="1">
      <alignment horizontal="left" vertical="center"/>
    </xf>
    <xf numFmtId="0" fontId="45" fillId="2" borderId="0" xfId="0" applyFont="1" applyFill="1"/>
    <xf numFmtId="0" fontId="45" fillId="0" borderId="1" xfId="0" quotePrefix="1" applyFont="1" applyBorder="1" applyAlignment="1">
      <alignment horizontal="center" vertical="center"/>
    </xf>
    <xf numFmtId="1" fontId="45" fillId="2" borderId="1" xfId="0" applyNumberFormat="1" applyFont="1" applyFill="1" applyBorder="1" applyAlignment="1">
      <alignment horizontal="center" vertical="center"/>
    </xf>
    <xf numFmtId="1" fontId="45" fillId="0" borderId="1" xfId="0" applyNumberFormat="1" applyFont="1" applyFill="1" applyBorder="1" applyAlignment="1">
      <alignment horizontal="center" vertical="center"/>
    </xf>
    <xf numFmtId="1" fontId="45" fillId="23" borderId="0" xfId="0" applyNumberFormat="1" applyFont="1" applyFill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2" fontId="33" fillId="0" borderId="0" xfId="0" applyNumberFormat="1" applyFont="1"/>
    <xf numFmtId="0" fontId="33" fillId="39" borderId="20" xfId="0" applyNumberFormat="1" applyFont="1" applyFill="1" applyBorder="1"/>
    <xf numFmtId="0" fontId="114" fillId="11" borderId="1" xfId="12" applyFont="1" applyFill="1" applyBorder="1" applyAlignment="1">
      <alignment horizontal="center" vertical="center" wrapText="1"/>
    </xf>
    <xf numFmtId="0" fontId="46" fillId="11" borderId="1" xfId="12" applyFont="1" applyFill="1" applyBorder="1" applyAlignment="1">
      <alignment horizontal="center" vertical="center" wrapText="1"/>
    </xf>
    <xf numFmtId="1" fontId="10" fillId="44" borderId="0" xfId="15" applyNumberFormat="1" applyFont="1" applyFill="1" applyAlignment="1">
      <alignment vertical="center"/>
    </xf>
    <xf numFmtId="0" fontId="40" fillId="0" borderId="23" xfId="15" applyFont="1" applyBorder="1" applyAlignment="1">
      <alignment vertical="center"/>
    </xf>
    <xf numFmtId="0" fontId="40" fillId="0" borderId="44" xfId="15" applyFont="1" applyBorder="1" applyAlignment="1">
      <alignment vertical="center"/>
    </xf>
    <xf numFmtId="191" fontId="40" fillId="0" borderId="73" xfId="15" applyNumberFormat="1" applyFont="1" applyBorder="1" applyAlignment="1">
      <alignment vertical="center"/>
    </xf>
    <xf numFmtId="180" fontId="39" fillId="0" borderId="73" xfId="0" applyNumberFormat="1" applyFont="1" applyBorder="1" applyAlignment="1">
      <alignment horizontal="left" vertical="center"/>
    </xf>
    <xf numFmtId="0" fontId="40" fillId="0" borderId="0" xfId="15" applyFont="1" applyBorder="1" applyAlignment="1">
      <alignment horizontal="center" vertical="center"/>
    </xf>
    <xf numFmtId="0" fontId="39" fillId="0" borderId="20" xfId="15" applyFont="1" applyBorder="1" applyAlignment="1">
      <alignment vertical="center"/>
    </xf>
    <xf numFmtId="191" fontId="39" fillId="0" borderId="20" xfId="15" applyNumberFormat="1" applyFont="1" applyBorder="1" applyAlignment="1">
      <alignment vertical="center"/>
    </xf>
    <xf numFmtId="1" fontId="15" fillId="0" borderId="1" xfId="0" applyNumberFormat="1" applyFont="1" applyBorder="1"/>
    <xf numFmtId="1" fontId="15" fillId="0" borderId="1" xfId="0" applyNumberFormat="1" applyFont="1" applyBorder="1" applyAlignment="1">
      <alignment horizontal="left"/>
    </xf>
    <xf numFmtId="1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0" fillId="45" borderId="0" xfId="15" applyFont="1" applyFill="1" applyAlignment="1">
      <alignment vertical="center"/>
    </xf>
    <xf numFmtId="1" fontId="10" fillId="0" borderId="0" xfId="15" applyNumberFormat="1" applyFont="1" applyFill="1" applyAlignment="1">
      <alignment horizontal="right" vertical="center" wrapText="1"/>
    </xf>
    <xf numFmtId="1" fontId="10" fillId="0" borderId="0" xfId="15" applyNumberFormat="1" applyFont="1" applyFill="1" applyAlignment="1">
      <alignment vertical="center"/>
    </xf>
    <xf numFmtId="0" fontId="9" fillId="0" borderId="1" xfId="0" applyFont="1" applyBorder="1" applyAlignment="1">
      <alignment horizontal="center" vertical="center"/>
    </xf>
    <xf numFmtId="207" fontId="15" fillId="0" borderId="1" xfId="0" applyNumberFormat="1" applyFont="1" applyBorder="1" applyAlignment="1">
      <alignment horizontal="center" vertical="center"/>
    </xf>
    <xf numFmtId="0" fontId="20" fillId="0" borderId="0" xfId="15" applyFont="1" applyAlignment="1">
      <alignment vertical="center"/>
    </xf>
    <xf numFmtId="0" fontId="136" fillId="16" borderId="0" xfId="15" applyFont="1" applyFill="1" applyAlignment="1">
      <alignment vertical="center"/>
    </xf>
    <xf numFmtId="0" fontId="14" fillId="0" borderId="1" xfId="15" applyFont="1" applyBorder="1" applyAlignment="1">
      <alignment horizontal="center" vertical="center"/>
    </xf>
    <xf numFmtId="0" fontId="14" fillId="0" borderId="30" xfId="15" applyFont="1" applyBorder="1" applyAlignment="1">
      <alignment horizontal="center" vertical="center"/>
    </xf>
    <xf numFmtId="0" fontId="14" fillId="0" borderId="21" xfId="15" applyFont="1" applyBorder="1" applyAlignment="1">
      <alignment horizontal="center" vertical="center"/>
    </xf>
    <xf numFmtId="0" fontId="14" fillId="0" borderId="29" xfId="15" applyFont="1" applyBorder="1" applyAlignment="1">
      <alignment horizontal="center" vertical="center"/>
    </xf>
    <xf numFmtId="0" fontId="14" fillId="46" borderId="30" xfId="15" applyFont="1" applyFill="1" applyBorder="1" applyAlignment="1">
      <alignment horizontal="center" vertical="center"/>
    </xf>
    <xf numFmtId="0" fontId="14" fillId="46" borderId="21" xfId="15" applyFont="1" applyFill="1" applyBorder="1" applyAlignment="1">
      <alignment horizontal="center" vertical="center"/>
    </xf>
    <xf numFmtId="0" fontId="14" fillId="46" borderId="29" xfId="15" applyFont="1" applyFill="1" applyBorder="1" applyAlignment="1">
      <alignment horizontal="center" vertical="center"/>
    </xf>
    <xf numFmtId="0" fontId="14" fillId="46" borderId="1" xfId="15" applyFont="1" applyFill="1" applyBorder="1" applyAlignment="1">
      <alignment horizontal="center" vertical="center"/>
    </xf>
    <xf numFmtId="0" fontId="15" fillId="0" borderId="1" xfId="15" applyFont="1" applyBorder="1" applyAlignment="1">
      <alignment horizontal="center" vertical="center"/>
    </xf>
    <xf numFmtId="2" fontId="15" fillId="0" borderId="1" xfId="15" applyNumberFormat="1" applyFont="1" applyBorder="1" applyAlignment="1">
      <alignment horizontal="center" vertical="center"/>
    </xf>
    <xf numFmtId="1" fontId="15" fillId="0" borderId="1" xfId="15" applyNumberFormat="1" applyFont="1" applyBorder="1" applyAlignment="1">
      <alignment horizontal="center" vertical="center"/>
    </xf>
    <xf numFmtId="2" fontId="15" fillId="46" borderId="1" xfId="15" applyNumberFormat="1" applyFont="1" applyFill="1" applyBorder="1" applyAlignment="1">
      <alignment horizontal="center" vertical="center"/>
    </xf>
    <xf numFmtId="1" fontId="15" fillId="46" borderId="1" xfId="15" applyNumberFormat="1" applyFont="1" applyFill="1" applyBorder="1" applyAlignment="1">
      <alignment horizontal="center" vertical="center"/>
    </xf>
    <xf numFmtId="197" fontId="45" fillId="46" borderId="1" xfId="6" applyNumberFormat="1" applyFont="1" applyFill="1" applyBorder="1" applyAlignment="1">
      <alignment horizontal="left" vertical="center" wrapText="1"/>
    </xf>
    <xf numFmtId="180" fontId="45" fillId="46" borderId="1" xfId="6" applyNumberFormat="1" applyFont="1" applyFill="1" applyBorder="1" applyAlignment="1">
      <alignment horizontal="left" vertical="center" wrapText="1"/>
    </xf>
    <xf numFmtId="180" fontId="45" fillId="0" borderId="1" xfId="6" applyNumberFormat="1" applyFont="1" applyBorder="1" applyAlignment="1">
      <alignment horizontal="left" vertical="center" wrapText="1"/>
    </xf>
    <xf numFmtId="1" fontId="15" fillId="0" borderId="1" xfId="15" applyNumberFormat="1" applyFont="1" applyBorder="1" applyAlignment="1">
      <alignment vertical="center"/>
    </xf>
    <xf numFmtId="2" fontId="14" fillId="0" borderId="1" xfId="15" applyNumberFormat="1" applyFont="1" applyBorder="1" applyAlignment="1">
      <alignment horizontal="center" vertical="center"/>
    </xf>
    <xf numFmtId="1" fontId="14" fillId="0" borderId="1" xfId="15" applyNumberFormat="1" applyFont="1" applyBorder="1" applyAlignment="1">
      <alignment horizontal="center" vertical="center"/>
    </xf>
    <xf numFmtId="2" fontId="14" fillId="46" borderId="1" xfId="15" applyNumberFormat="1" applyFont="1" applyFill="1" applyBorder="1" applyAlignment="1">
      <alignment horizontal="center" vertical="center"/>
    </xf>
    <xf numFmtId="1" fontId="14" fillId="46" borderId="1" xfId="15" applyNumberFormat="1" applyFont="1" applyFill="1" applyBorder="1" applyAlignment="1">
      <alignment horizontal="center" vertical="center"/>
    </xf>
    <xf numFmtId="197" fontId="46" fillId="46" borderId="1" xfId="6" applyNumberFormat="1" applyFont="1" applyFill="1" applyBorder="1" applyAlignment="1">
      <alignment horizontal="left" vertical="center" wrapText="1"/>
    </xf>
    <xf numFmtId="180" fontId="46" fillId="46" borderId="1" xfId="6" applyNumberFormat="1" applyFont="1" applyFill="1" applyBorder="1" applyAlignment="1">
      <alignment horizontal="left" vertical="center" wrapText="1"/>
    </xf>
    <xf numFmtId="1" fontId="9" fillId="0" borderId="1" xfId="0" applyNumberFormat="1" applyFont="1" applyBorder="1" applyAlignment="1">
      <alignment vertical="center"/>
    </xf>
    <xf numFmtId="0" fontId="137" fillId="0" borderId="0" xfId="15" applyFont="1" applyAlignment="1">
      <alignment vertical="center"/>
    </xf>
    <xf numFmtId="0" fontId="15" fillId="0" borderId="0" xfId="15" applyFont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2" fontId="15" fillId="0" borderId="0" xfId="15" applyNumberFormat="1" applyFont="1" applyAlignment="1">
      <alignment horizontal="center" vertical="center"/>
    </xf>
    <xf numFmtId="0" fontId="14" fillId="0" borderId="74" xfId="15" applyFont="1" applyBorder="1" applyAlignment="1">
      <alignment horizontal="center" vertical="center"/>
    </xf>
    <xf numFmtId="183" fontId="14" fillId="0" borderId="74" xfId="15" applyNumberFormat="1" applyFont="1" applyBorder="1" applyAlignment="1">
      <alignment horizontal="center" vertical="center"/>
    </xf>
    <xf numFmtId="0" fontId="14" fillId="0" borderId="74" xfId="15" applyFont="1" applyBorder="1" applyAlignment="1">
      <alignment vertical="center"/>
    </xf>
    <xf numFmtId="0" fontId="47" fillId="0" borderId="0" xfId="15" applyFont="1" applyAlignment="1">
      <alignment vertical="center"/>
    </xf>
    <xf numFmtId="0" fontId="17" fillId="0" borderId="0" xfId="15" applyFont="1" applyAlignment="1">
      <alignment vertical="center" wrapText="1"/>
    </xf>
    <xf numFmtId="2" fontId="14" fillId="0" borderId="74" xfId="15" applyNumberFormat="1" applyFont="1" applyBorder="1" applyAlignment="1">
      <alignment horizontal="center" vertical="center"/>
    </xf>
    <xf numFmtId="0" fontId="17" fillId="0" borderId="74" xfId="15" applyFont="1" applyBorder="1" applyAlignment="1">
      <alignment vertical="center" wrapText="1"/>
    </xf>
    <xf numFmtId="183" fontId="15" fillId="0" borderId="0" xfId="15" applyNumberFormat="1" applyFont="1" applyAlignment="1">
      <alignment horizontal="center" vertical="center"/>
    </xf>
    <xf numFmtId="183" fontId="14" fillId="0" borderId="0" xfId="15" applyNumberFormat="1" applyFont="1" applyAlignment="1">
      <alignment horizontal="center" vertical="center"/>
    </xf>
    <xf numFmtId="0" fontId="74" fillId="0" borderId="0" xfId="15" applyFont="1" applyAlignment="1">
      <alignment vertical="center"/>
    </xf>
    <xf numFmtId="0" fontId="138" fillId="0" borderId="0" xfId="15" applyFont="1" applyAlignment="1">
      <alignment vertical="center"/>
    </xf>
    <xf numFmtId="197" fontId="15" fillId="0" borderId="0" xfId="15" applyNumberFormat="1" applyFont="1" applyAlignment="1">
      <alignment horizontal="left" vertical="center"/>
    </xf>
    <xf numFmtId="180" fontId="15" fillId="0" borderId="0" xfId="15" applyNumberFormat="1" applyFont="1" applyAlignment="1">
      <alignment horizontal="left" vertical="center"/>
    </xf>
    <xf numFmtId="0" fontId="15" fillId="0" borderId="74" xfId="15" applyFont="1" applyBorder="1" applyAlignment="1">
      <alignment vertical="center"/>
    </xf>
    <xf numFmtId="0" fontId="74" fillId="0" borderId="74" xfId="15" applyFont="1" applyBorder="1" applyAlignment="1">
      <alignment vertical="center"/>
    </xf>
    <xf numFmtId="0" fontId="138" fillId="0" borderId="74" xfId="15" applyFont="1" applyBorder="1" applyAlignment="1">
      <alignment vertical="center"/>
    </xf>
    <xf numFmtId="197" fontId="15" fillId="0" borderId="74" xfId="15" applyNumberFormat="1" applyFont="1" applyBorder="1" applyAlignment="1">
      <alignment horizontal="left" vertical="center"/>
    </xf>
    <xf numFmtId="183" fontId="14" fillId="0" borderId="1" xfId="15" applyNumberFormat="1" applyFont="1" applyBorder="1" applyAlignment="1">
      <alignment horizontal="center" vertical="center"/>
    </xf>
    <xf numFmtId="10" fontId="15" fillId="0" borderId="0" xfId="3" applyNumberFormat="1" applyFont="1" applyBorder="1" applyAlignment="1">
      <alignment horizontal="center" vertical="center"/>
    </xf>
    <xf numFmtId="1" fontId="15" fillId="0" borderId="0" xfId="15" applyNumberFormat="1" applyFont="1" applyAlignment="1">
      <alignment horizontal="center" vertical="center"/>
    </xf>
    <xf numFmtId="197" fontId="45" fillId="0" borderId="0" xfId="6" applyNumberFormat="1" applyFont="1" applyAlignment="1">
      <alignment horizontal="left" vertical="center" wrapText="1"/>
    </xf>
    <xf numFmtId="180" fontId="45" fillId="0" borderId="0" xfId="6" applyNumberFormat="1" applyFont="1" applyAlignment="1">
      <alignment horizontal="left" vertical="center" wrapText="1"/>
    </xf>
    <xf numFmtId="183" fontId="14" fillId="0" borderId="74" xfId="15" applyNumberFormat="1" applyFont="1" applyBorder="1" applyAlignment="1">
      <alignment vertical="center"/>
    </xf>
    <xf numFmtId="2" fontId="137" fillId="0" borderId="0" xfId="15" applyNumberFormat="1" applyFont="1" applyAlignment="1">
      <alignment vertical="center"/>
    </xf>
    <xf numFmtId="0" fontId="74" fillId="0" borderId="0" xfId="15" applyFont="1" applyAlignment="1">
      <alignment horizontal="left" vertical="center"/>
    </xf>
    <xf numFmtId="197" fontId="14" fillId="0" borderId="74" xfId="15" applyNumberFormat="1" applyFont="1" applyBorder="1" applyAlignment="1">
      <alignment horizontal="left" vertical="center"/>
    </xf>
    <xf numFmtId="0" fontId="75" fillId="0" borderId="75" xfId="15" applyFont="1" applyBorder="1" applyAlignment="1">
      <alignment vertical="center"/>
    </xf>
    <xf numFmtId="0" fontId="75" fillId="0" borderId="75" xfId="15" applyFont="1" applyBorder="1" applyAlignment="1">
      <alignment horizontal="center" vertical="center"/>
    </xf>
    <xf numFmtId="0" fontId="16" fillId="0" borderId="75" xfId="15" applyFont="1" applyBorder="1" applyAlignment="1">
      <alignment vertical="center"/>
    </xf>
    <xf numFmtId="0" fontId="15" fillId="0" borderId="75" xfId="15" applyFont="1" applyBorder="1" applyAlignment="1">
      <alignment vertical="center"/>
    </xf>
    <xf numFmtId="0" fontId="139" fillId="0" borderId="75" xfId="15" applyFont="1" applyBorder="1" applyAlignment="1">
      <alignment vertical="center"/>
    </xf>
    <xf numFmtId="0" fontId="16" fillId="0" borderId="75" xfId="15" applyFont="1" applyBorder="1" applyAlignment="1">
      <alignment vertical="center" wrapText="1"/>
    </xf>
    <xf numFmtId="0" fontId="15" fillId="0" borderId="75" xfId="0" applyFont="1" applyBorder="1"/>
    <xf numFmtId="0" fontId="139" fillId="0" borderId="75" xfId="15" applyFont="1" applyBorder="1" applyAlignment="1">
      <alignment vertical="center" wrapText="1"/>
    </xf>
    <xf numFmtId="0" fontId="17" fillId="0" borderId="0" xfId="15" applyFont="1" applyAlignment="1">
      <alignment vertical="center"/>
    </xf>
    <xf numFmtId="0" fontId="140" fillId="0" borderId="0" xfId="15" applyFont="1" applyAlignment="1">
      <alignment vertical="center"/>
    </xf>
    <xf numFmtId="0" fontId="140" fillId="0" borderId="0" xfId="15" applyFont="1" applyAlignment="1">
      <alignment vertical="center" wrapText="1"/>
    </xf>
    <xf numFmtId="0" fontId="17" fillId="0" borderId="74" xfId="15" applyFont="1" applyBorder="1" applyAlignment="1">
      <alignment vertical="center"/>
    </xf>
    <xf numFmtId="0" fontId="140" fillId="0" borderId="74" xfId="15" applyFont="1" applyBorder="1" applyAlignment="1">
      <alignment vertical="center"/>
    </xf>
    <xf numFmtId="0" fontId="15" fillId="0" borderId="74" xfId="0" applyFont="1" applyBorder="1"/>
    <xf numFmtId="0" fontId="140" fillId="0" borderId="74" xfId="15" applyFont="1" applyBorder="1" applyAlignment="1">
      <alignment vertical="center" wrapText="1"/>
    </xf>
    <xf numFmtId="197" fontId="15" fillId="0" borderId="0" xfId="15" applyNumberFormat="1" applyFont="1" applyAlignment="1">
      <alignment vertical="center"/>
    </xf>
    <xf numFmtId="183" fontId="15" fillId="0" borderId="0" xfId="15" applyNumberFormat="1" applyFont="1" applyAlignment="1">
      <alignment vertical="center"/>
    </xf>
    <xf numFmtId="180" fontId="15" fillId="0" borderId="0" xfId="15" applyNumberFormat="1" applyFont="1" applyAlignment="1">
      <alignment vertical="center"/>
    </xf>
    <xf numFmtId="196" fontId="15" fillId="0" borderId="0" xfId="15" applyNumberFormat="1" applyFont="1" applyAlignment="1">
      <alignment vertical="center"/>
    </xf>
    <xf numFmtId="2" fontId="15" fillId="46" borderId="0" xfId="15" applyNumberFormat="1" applyFont="1" applyFill="1" applyAlignment="1">
      <alignment horizontal="center" vertical="center"/>
    </xf>
    <xf numFmtId="1" fontId="15" fillId="46" borderId="0" xfId="15" applyNumberFormat="1" applyFont="1" applyFill="1" applyAlignment="1">
      <alignment horizontal="center" vertical="center"/>
    </xf>
    <xf numFmtId="180" fontId="46" fillId="0" borderId="1" xfId="0" applyNumberFormat="1" applyFont="1" applyBorder="1" applyAlignment="1">
      <alignment horizontal="center" vertical="center" wrapText="1"/>
    </xf>
    <xf numFmtId="0" fontId="5" fillId="23" borderId="0" xfId="15" applyFill="1" applyAlignment="1">
      <alignment vertical="center"/>
    </xf>
    <xf numFmtId="1" fontId="5" fillId="45" borderId="0" xfId="15" applyNumberFormat="1" applyFill="1" applyAlignment="1">
      <alignment horizontal="center" vertical="center"/>
    </xf>
    <xf numFmtId="0" fontId="5" fillId="45" borderId="0" xfId="15" applyFill="1" applyAlignment="1">
      <alignment vertical="center"/>
    </xf>
    <xf numFmtId="0" fontId="37" fillId="0" borderId="27" xfId="0" applyFont="1" applyBorder="1" applyAlignment="1">
      <alignment horizontal="center" vertical="center" wrapText="1"/>
    </xf>
    <xf numFmtId="0" fontId="34" fillId="47" borderId="4" xfId="15" applyFont="1" applyFill="1" applyBorder="1" applyAlignment="1">
      <alignment horizontal="center" vertical="center" wrapText="1"/>
    </xf>
    <xf numFmtId="1" fontId="35" fillId="47" borderId="4" xfId="0" applyNumberFormat="1" applyFont="1" applyFill="1" applyBorder="1" applyAlignment="1">
      <alignment horizontal="center" vertical="center"/>
    </xf>
    <xf numFmtId="1" fontId="37" fillId="47" borderId="4" xfId="0" applyNumberFormat="1" applyFont="1" applyFill="1" applyBorder="1" applyAlignment="1">
      <alignment horizontal="center" vertical="center"/>
    </xf>
    <xf numFmtId="1" fontId="37" fillId="47" borderId="2" xfId="0" applyNumberFormat="1" applyFont="1" applyFill="1" applyBorder="1" applyAlignment="1">
      <alignment horizontal="center" vertical="center"/>
    </xf>
    <xf numFmtId="1" fontId="35" fillId="47" borderId="5" xfId="0" applyNumberFormat="1" applyFont="1" applyFill="1" applyBorder="1" applyAlignment="1">
      <alignment horizontal="center" vertical="center"/>
    </xf>
    <xf numFmtId="0" fontId="34" fillId="47" borderId="29" xfId="15" applyFont="1" applyFill="1" applyBorder="1" applyAlignment="1">
      <alignment horizontal="center" vertical="center" wrapText="1"/>
    </xf>
    <xf numFmtId="1" fontId="35" fillId="47" borderId="29" xfId="0" applyNumberFormat="1" applyFont="1" applyFill="1" applyBorder="1" applyAlignment="1">
      <alignment horizontal="center" vertical="center"/>
    </xf>
    <xf numFmtId="1" fontId="37" fillId="47" borderId="29" xfId="0" applyNumberFormat="1" applyFont="1" applyFill="1" applyBorder="1" applyAlignment="1">
      <alignment horizontal="center" vertical="center"/>
    </xf>
    <xf numFmtId="185" fontId="45" fillId="23" borderId="0" xfId="0" applyNumberFormat="1" applyFont="1" applyFill="1" applyAlignment="1">
      <alignment horizontal="center" vertical="center"/>
    </xf>
    <xf numFmtId="0" fontId="33" fillId="39" borderId="20" xfId="0" applyFont="1" applyFill="1" applyBorder="1" applyAlignment="1">
      <alignment horizontal="right"/>
    </xf>
    <xf numFmtId="2" fontId="29" fillId="0" borderId="0" xfId="0" applyNumberFormat="1" applyFont="1"/>
    <xf numFmtId="211" fontId="0" fillId="0" borderId="0" xfId="0" applyNumberFormat="1" applyBorder="1"/>
    <xf numFmtId="0" fontId="10" fillId="2" borderId="0" xfId="15" applyFont="1" applyFill="1" applyBorder="1" applyAlignment="1">
      <alignment vertical="center"/>
    </xf>
    <xf numFmtId="2" fontId="5" fillId="0" borderId="0" xfId="15" applyNumberFormat="1" applyAlignment="1">
      <alignment vertical="center"/>
    </xf>
    <xf numFmtId="207" fontId="106" fillId="0" borderId="1" xfId="12" applyNumberFormat="1" applyFont="1" applyBorder="1" applyAlignment="1">
      <alignment horizontal="center" vertical="center"/>
    </xf>
    <xf numFmtId="207" fontId="108" fillId="0" borderId="1" xfId="12" applyNumberFormat="1" applyFont="1" applyBorder="1" applyAlignment="1">
      <alignment horizontal="center" vertical="center"/>
    </xf>
    <xf numFmtId="207" fontId="108" fillId="0" borderId="43" xfId="12" applyNumberFormat="1" applyFont="1" applyBorder="1" applyAlignment="1">
      <alignment horizontal="center" vertical="center"/>
    </xf>
    <xf numFmtId="43" fontId="45" fillId="23" borderId="0" xfId="0" applyNumberFormat="1" applyFont="1" applyFill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185" fontId="15" fillId="0" borderId="0" xfId="0" applyNumberFormat="1" applyFont="1"/>
    <xf numFmtId="191" fontId="0" fillId="0" borderId="0" xfId="0" applyNumberFormat="1" applyAlignment="1">
      <alignment horizontal="center" vertical="center"/>
    </xf>
    <xf numFmtId="191" fontId="0" fillId="0" borderId="0" xfId="0" applyNumberFormat="1" applyFill="1" applyAlignment="1">
      <alignment vertical="center"/>
    </xf>
    <xf numFmtId="191" fontId="0" fillId="0" borderId="0" xfId="0" applyNumberFormat="1" applyFill="1" applyAlignment="1">
      <alignment horizontal="center" vertical="center"/>
    </xf>
    <xf numFmtId="191" fontId="0" fillId="2" borderId="0" xfId="0" applyNumberFormat="1" applyFill="1" applyAlignment="1">
      <alignment horizontal="center" vertical="center"/>
    </xf>
    <xf numFmtId="9" fontId="0" fillId="0" borderId="0" xfId="0" applyNumberFormat="1" applyAlignment="1">
      <alignment vertical="center"/>
    </xf>
    <xf numFmtId="0" fontId="15" fillId="0" borderId="29" xfId="12" applyFont="1" applyBorder="1" applyAlignment="1">
      <alignment vertical="center"/>
    </xf>
    <xf numFmtId="1" fontId="15" fillId="0" borderId="1" xfId="12" applyNumberFormat="1" applyFont="1" applyBorder="1" applyAlignment="1">
      <alignment vertical="center"/>
    </xf>
    <xf numFmtId="191" fontId="15" fillId="0" borderId="1" xfId="12" applyNumberFormat="1" applyFont="1" applyBorder="1" applyAlignment="1">
      <alignment vertical="center"/>
    </xf>
    <xf numFmtId="0" fontId="14" fillId="0" borderId="29" xfId="12" applyFont="1" applyBorder="1" applyAlignment="1">
      <alignment vertical="center"/>
    </xf>
    <xf numFmtId="1" fontId="15" fillId="0" borderId="29" xfId="12" applyNumberFormat="1" applyFont="1" applyBorder="1" applyAlignment="1">
      <alignment vertical="center"/>
    </xf>
    <xf numFmtId="191" fontId="46" fillId="0" borderId="29" xfId="12" applyNumberFormat="1" applyFont="1" applyBorder="1" applyAlignment="1">
      <alignment horizontal="center" vertical="center" wrapText="1"/>
    </xf>
    <xf numFmtId="43" fontId="40" fillId="0" borderId="0" xfId="15" applyNumberFormat="1" applyFont="1" applyAlignment="1">
      <alignment vertical="center"/>
    </xf>
    <xf numFmtId="43" fontId="0" fillId="0" borderId="0" xfId="0" applyNumberFormat="1"/>
    <xf numFmtId="0" fontId="9" fillId="2" borderId="0" xfId="15" applyFont="1" applyFill="1" applyAlignment="1">
      <alignment vertical="center"/>
    </xf>
    <xf numFmtId="0" fontId="39" fillId="11" borderId="0" xfId="0" applyFont="1" applyFill="1" applyAlignment="1">
      <alignment vertical="center"/>
    </xf>
    <xf numFmtId="0" fontId="30" fillId="11" borderId="0" xfId="0" applyFont="1" applyFill="1" applyAlignment="1">
      <alignment vertical="center"/>
    </xf>
    <xf numFmtId="43" fontId="45" fillId="23" borderId="0" xfId="0" applyNumberFormat="1" applyFont="1" applyFill="1" applyAlignment="1">
      <alignment horizontal="left" vertical="center"/>
    </xf>
    <xf numFmtId="185" fontId="45" fillId="23" borderId="0" xfId="0" applyNumberFormat="1" applyFont="1" applyFill="1" applyAlignment="1">
      <alignment horizontal="left" vertical="center"/>
    </xf>
    <xf numFmtId="1" fontId="45" fillId="23" borderId="0" xfId="0" applyNumberFormat="1" applyFont="1" applyFill="1" applyAlignment="1">
      <alignment horizontal="left" vertical="center"/>
    </xf>
    <xf numFmtId="43" fontId="15" fillId="0" borderId="0" xfId="0" applyNumberFormat="1" applyFont="1"/>
    <xf numFmtId="0" fontId="46" fillId="0" borderId="1" xfId="0" applyFont="1" applyBorder="1" applyAlignment="1">
      <alignment horizontal="center" vertical="center"/>
    </xf>
    <xf numFmtId="0" fontId="76" fillId="0" borderId="1" xfId="0" applyFont="1" applyBorder="1" applyAlignment="1">
      <alignment horizontal="center" vertical="center"/>
    </xf>
    <xf numFmtId="191" fontId="9" fillId="0" borderId="0" xfId="15" applyNumberFormat="1" applyFont="1" applyAlignment="1">
      <alignment vertical="center"/>
    </xf>
    <xf numFmtId="1" fontId="14" fillId="0" borderId="0" xfId="15" applyNumberFormat="1" applyFont="1" applyFill="1" applyAlignment="1">
      <alignment vertical="center"/>
    </xf>
    <xf numFmtId="1" fontId="75" fillId="0" borderId="1" xfId="15" applyNumberFormat="1" applyFont="1" applyBorder="1" applyAlignment="1">
      <alignment horizontal="center" vertical="center"/>
    </xf>
    <xf numFmtId="0" fontId="15" fillId="0" borderId="1" xfId="15" applyFont="1" applyFill="1" applyBorder="1" applyAlignment="1">
      <alignment horizontal="center" vertical="center"/>
    </xf>
    <xf numFmtId="1" fontId="47" fillId="0" borderId="0" xfId="0" applyNumberFormat="1" applyFont="1" applyAlignment="1">
      <alignment vertical="center"/>
    </xf>
    <xf numFmtId="4" fontId="0" fillId="0" borderId="0" xfId="0" applyNumberFormat="1"/>
    <xf numFmtId="214" fontId="0" fillId="0" borderId="0" xfId="0" applyNumberFormat="1"/>
    <xf numFmtId="1" fontId="0" fillId="0" borderId="0" xfId="0" applyNumberFormat="1" applyFill="1" applyBorder="1" applyAlignment="1">
      <alignment horizontal="center"/>
    </xf>
    <xf numFmtId="206" fontId="45" fillId="0" borderId="0" xfId="0" applyNumberFormat="1" applyFont="1"/>
    <xf numFmtId="0" fontId="76" fillId="0" borderId="1" xfId="0" applyFont="1" applyBorder="1" applyAlignment="1">
      <alignment horizontal="center" vertical="center"/>
    </xf>
    <xf numFmtId="0" fontId="46" fillId="0" borderId="102" xfId="0" applyFont="1" applyBorder="1" applyAlignment="1">
      <alignment vertical="center"/>
    </xf>
    <xf numFmtId="199" fontId="45" fillId="0" borderId="102" xfId="0" applyNumberFormat="1" applyFont="1" applyBorder="1" applyAlignment="1">
      <alignment horizontal="left" vertical="center"/>
    </xf>
    <xf numFmtId="0" fontId="46" fillId="0" borderId="102" xfId="0" applyFont="1" applyBorder="1" applyAlignment="1">
      <alignment horizontal="center" vertical="center"/>
    </xf>
    <xf numFmtId="0" fontId="46" fillId="0" borderId="0" xfId="0" applyFont="1" applyBorder="1" applyAlignment="1">
      <alignment vertical="center"/>
    </xf>
    <xf numFmtId="199" fontId="45" fillId="0" borderId="0" xfId="0" applyNumberFormat="1" applyFont="1" applyBorder="1" applyAlignment="1">
      <alignment horizontal="left" vertical="center"/>
    </xf>
    <xf numFmtId="0" fontId="46" fillId="0" borderId="0" xfId="0" applyFont="1" applyBorder="1" applyAlignment="1">
      <alignment horizontal="center" vertical="center"/>
    </xf>
    <xf numFmtId="199" fontId="46" fillId="0" borderId="0" xfId="0" applyNumberFormat="1" applyFont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199" fontId="46" fillId="0" borderId="102" xfId="0" applyNumberFormat="1" applyFont="1" applyBorder="1" applyAlignment="1">
      <alignment horizontal="center" vertical="center"/>
    </xf>
    <xf numFmtId="1" fontId="14" fillId="0" borderId="102" xfId="0" applyNumberFormat="1" applyFont="1" applyBorder="1"/>
    <xf numFmtId="199" fontId="46" fillId="0" borderId="102" xfId="0" applyNumberFormat="1" applyFont="1" applyBorder="1" applyAlignment="1">
      <alignment horizontal="left" vertical="center"/>
    </xf>
    <xf numFmtId="0" fontId="15" fillId="0" borderId="102" xfId="0" applyFont="1" applyBorder="1" applyAlignment="1">
      <alignment horizontal="left" indent="1"/>
    </xf>
    <xf numFmtId="199" fontId="45" fillId="0" borderId="102" xfId="0" applyNumberFormat="1" applyFont="1" applyBorder="1" applyAlignment="1">
      <alignment horizontal="left" vertical="center" indent="1"/>
    </xf>
    <xf numFmtId="0" fontId="45" fillId="0" borderId="102" xfId="0" applyFont="1" applyBorder="1" applyAlignment="1">
      <alignment horizontal="left" vertical="center" indent="1"/>
    </xf>
    <xf numFmtId="180" fontId="45" fillId="0" borderId="0" xfId="0" applyNumberFormat="1" applyFont="1" applyAlignment="1">
      <alignment vertical="center"/>
    </xf>
    <xf numFmtId="180" fontId="45" fillId="0" borderId="0" xfId="0" applyNumberFormat="1" applyFont="1" applyAlignment="1">
      <alignment horizontal="center" vertical="center"/>
    </xf>
    <xf numFmtId="180" fontId="46" fillId="0" borderId="0" xfId="0" applyNumberFormat="1" applyFont="1" applyAlignment="1">
      <alignment vertical="center"/>
    </xf>
    <xf numFmtId="180" fontId="46" fillId="0" borderId="0" xfId="0" applyNumberFormat="1" applyFont="1" applyAlignment="1">
      <alignment horizontal="center" vertical="center"/>
    </xf>
    <xf numFmtId="180" fontId="45" fillId="0" borderId="102" xfId="0" applyNumberFormat="1" applyFont="1" applyBorder="1" applyAlignment="1">
      <alignment horizontal="left" vertical="center" indent="1"/>
    </xf>
    <xf numFmtId="199" fontId="45" fillId="0" borderId="102" xfId="0" applyNumberFormat="1" applyFont="1" applyBorder="1" applyAlignment="1">
      <alignment horizontal="left" vertical="center" wrapText="1"/>
    </xf>
    <xf numFmtId="180" fontId="46" fillId="0" borderId="102" xfId="0" applyNumberFormat="1" applyFont="1" applyBorder="1" applyAlignment="1">
      <alignment horizontal="left" vertical="center"/>
    </xf>
    <xf numFmtId="0" fontId="45" fillId="0" borderId="102" xfId="0" applyFont="1" applyBorder="1" applyAlignment="1">
      <alignment vertical="center" wrapText="1"/>
    </xf>
    <xf numFmtId="0" fontId="15" fillId="0" borderId="102" xfId="0" applyFont="1" applyBorder="1" applyAlignment="1">
      <alignment horizontal="left" vertical="center" indent="1"/>
    </xf>
    <xf numFmtId="0" fontId="14" fillId="0" borderId="0" xfId="0" applyFont="1" applyAlignment="1">
      <alignment horizontal="center"/>
    </xf>
    <xf numFmtId="2" fontId="9" fillId="0" borderId="102" xfId="0" applyNumberFormat="1" applyFont="1" applyBorder="1" applyAlignment="1">
      <alignment horizontal="center" vertical="center"/>
    </xf>
    <xf numFmtId="0" fontId="9" fillId="0" borderId="102" xfId="0" applyFont="1" applyBorder="1" applyAlignment="1">
      <alignment horizontal="center" vertical="center"/>
    </xf>
    <xf numFmtId="203" fontId="46" fillId="0" borderId="102" xfId="0" applyNumberFormat="1" applyFont="1" applyBorder="1" applyAlignment="1">
      <alignment horizontal="left" vertical="center"/>
    </xf>
    <xf numFmtId="2" fontId="10" fillId="0" borderId="102" xfId="0" applyNumberFormat="1" applyFont="1" applyBorder="1" applyAlignment="1">
      <alignment horizontal="center" vertical="center"/>
    </xf>
    <xf numFmtId="0" fontId="10" fillId="0" borderId="102" xfId="0" applyFont="1" applyBorder="1" applyAlignment="1">
      <alignment horizontal="center" vertical="center"/>
    </xf>
    <xf numFmtId="203" fontId="45" fillId="0" borderId="102" xfId="0" applyNumberFormat="1" applyFont="1" applyBorder="1" applyAlignment="1">
      <alignment horizontal="left" vertical="center"/>
    </xf>
    <xf numFmtId="183" fontId="10" fillId="0" borderId="102" xfId="0" applyNumberFormat="1" applyFont="1" applyBorder="1" applyAlignment="1">
      <alignment horizontal="center" vertical="center"/>
    </xf>
    <xf numFmtId="203" fontId="45" fillId="0" borderId="0" xfId="0" applyNumberFormat="1" applyFont="1" applyAlignment="1">
      <alignment horizontal="left" vertical="center"/>
    </xf>
    <xf numFmtId="2" fontId="45" fillId="23" borderId="0" xfId="0" applyNumberFormat="1" applyFont="1" applyFill="1"/>
    <xf numFmtId="2" fontId="45" fillId="0" borderId="38" xfId="0" applyNumberFormat="1" applyFont="1" applyBorder="1"/>
    <xf numFmtId="203" fontId="45" fillId="0" borderId="38" xfId="0" applyNumberFormat="1" applyFont="1" applyBorder="1" applyAlignment="1">
      <alignment horizontal="left" vertical="center"/>
    </xf>
    <xf numFmtId="2" fontId="10" fillId="174" borderId="0" xfId="0" applyNumberFormat="1" applyFont="1" applyFill="1" applyAlignment="1">
      <alignment vertical="center"/>
    </xf>
    <xf numFmtId="2" fontId="10" fillId="0" borderId="0" xfId="0" applyNumberFormat="1" applyFont="1" applyAlignment="1">
      <alignment horizontal="left" vertical="center"/>
    </xf>
    <xf numFmtId="2" fontId="15" fillId="23" borderId="0" xfId="0" applyNumberFormat="1" applyFont="1" applyFill="1" applyAlignment="1">
      <alignment horizontal="center" vertical="center"/>
    </xf>
    <xf numFmtId="2" fontId="10" fillId="23" borderId="0" xfId="0" applyNumberFormat="1" applyFont="1" applyFill="1" applyAlignment="1">
      <alignment horizontal="center" vertical="center"/>
    </xf>
    <xf numFmtId="2" fontId="45" fillId="23" borderId="38" xfId="0" applyNumberFormat="1" applyFont="1" applyFill="1" applyBorder="1" applyAlignment="1">
      <alignment horizontal="center" vertical="center"/>
    </xf>
    <xf numFmtId="0" fontId="9" fillId="0" borderId="102" xfId="0" applyFont="1" applyBorder="1" applyAlignment="1">
      <alignment vertical="center"/>
    </xf>
    <xf numFmtId="10" fontId="45" fillId="0" borderId="0" xfId="0" applyNumberFormat="1" applyFont="1"/>
    <xf numFmtId="2" fontId="45" fillId="0" borderId="102" xfId="0" applyNumberFormat="1" applyFont="1" applyBorder="1" applyAlignment="1">
      <alignment horizontal="center" vertical="center"/>
    </xf>
    <xf numFmtId="183" fontId="10" fillId="0" borderId="0" xfId="0" applyNumberFormat="1" applyFont="1" applyAlignment="1">
      <alignment horizontal="center" vertical="center"/>
    </xf>
    <xf numFmtId="0" fontId="9" fillId="0" borderId="102" xfId="0" applyFont="1" applyBorder="1" applyAlignment="1">
      <alignment horizontal="center" vertical="center" wrapText="1"/>
    </xf>
    <xf numFmtId="0" fontId="10" fillId="0" borderId="102" xfId="0" applyFont="1" applyBorder="1" applyAlignment="1">
      <alignment horizontal="center" vertical="center" wrapText="1"/>
    </xf>
    <xf numFmtId="0" fontId="45" fillId="0" borderId="102" xfId="0" applyFont="1" applyBorder="1" applyAlignment="1">
      <alignment horizontal="center" vertical="center" wrapText="1"/>
    </xf>
    <xf numFmtId="2" fontId="45" fillId="0" borderId="102" xfId="0" applyNumberFormat="1" applyFont="1" applyBorder="1" applyAlignment="1">
      <alignment horizontal="center" vertical="center" wrapText="1"/>
    </xf>
    <xf numFmtId="2" fontId="15" fillId="23" borderId="102" xfId="0" applyNumberFormat="1" applyFont="1" applyFill="1" applyBorder="1" applyAlignment="1">
      <alignment horizontal="center" vertical="center"/>
    </xf>
    <xf numFmtId="203" fontId="84" fillId="0" borderId="102" xfId="0" applyNumberFormat="1" applyFont="1" applyBorder="1" applyAlignment="1">
      <alignment horizontal="left" vertical="center" wrapText="1"/>
    </xf>
    <xf numFmtId="192" fontId="75" fillId="0" borderId="102" xfId="0" applyNumberFormat="1" applyFont="1" applyBorder="1" applyAlignment="1">
      <alignment horizontal="left" vertical="center" wrapText="1"/>
    </xf>
    <xf numFmtId="183" fontId="45" fillId="23" borderId="0" xfId="0" applyNumberFormat="1" applyFont="1" applyFill="1" applyAlignment="1">
      <alignment horizontal="center" vertical="center"/>
    </xf>
    <xf numFmtId="197" fontId="45" fillId="0" borderId="0" xfId="0" applyNumberFormat="1" applyFont="1" applyAlignment="1">
      <alignment horizontal="left" vertical="center"/>
    </xf>
    <xf numFmtId="192" fontId="45" fillId="0" borderId="0" xfId="0" applyNumberFormat="1" applyFont="1" applyAlignment="1">
      <alignment horizontal="left" vertical="center"/>
    </xf>
    <xf numFmtId="0" fontId="27" fillId="0" borderId="0" xfId="0" applyFont="1"/>
    <xf numFmtId="183" fontId="45" fillId="0" borderId="0" xfId="0" applyNumberFormat="1" applyFont="1" applyAlignment="1">
      <alignment horizontal="center" vertical="center"/>
    </xf>
    <xf numFmtId="0" fontId="45" fillId="0" borderId="102" xfId="0" applyFont="1" applyBorder="1" applyAlignment="1">
      <alignment horizontal="center" vertical="center"/>
    </xf>
    <xf numFmtId="0" fontId="51" fillId="0" borderId="0" xfId="0" applyFont="1"/>
    <xf numFmtId="0" fontId="47" fillId="29" borderId="0" xfId="0" applyFont="1" applyFill="1" applyAlignment="1">
      <alignment vertical="center"/>
    </xf>
    <xf numFmtId="0" fontId="51" fillId="29" borderId="0" xfId="0" applyFont="1" applyFill="1"/>
    <xf numFmtId="0" fontId="49" fillId="29" borderId="0" xfId="0" applyFont="1" applyFill="1" applyAlignment="1">
      <alignment horizontal="center"/>
    </xf>
    <xf numFmtId="1" fontId="10" fillId="0" borderId="102" xfId="0" applyNumberFormat="1" applyFont="1" applyBorder="1" applyAlignment="1">
      <alignment horizontal="center" vertical="center"/>
    </xf>
    <xf numFmtId="0" fontId="257" fillId="0" borderId="107" xfId="0" applyFont="1" applyBorder="1" applyAlignment="1">
      <alignment horizontal="center" vertical="center" wrapText="1"/>
    </xf>
    <xf numFmtId="0" fontId="257" fillId="27" borderId="106" xfId="0" applyFont="1" applyFill="1" applyBorder="1" applyAlignment="1">
      <alignment horizontal="center" vertical="center" wrapText="1"/>
    </xf>
    <xf numFmtId="0" fontId="258" fillId="0" borderId="107" xfId="0" applyFont="1" applyBorder="1" applyAlignment="1">
      <alignment horizontal="center" vertical="center" wrapText="1"/>
    </xf>
    <xf numFmtId="0" fontId="259" fillId="0" borderId="107" xfId="0" applyFont="1" applyBorder="1" applyAlignment="1">
      <alignment horizontal="center" vertical="center" wrapText="1"/>
    </xf>
    <xf numFmtId="0" fontId="260" fillId="0" borderId="107" xfId="0" applyFont="1" applyBorder="1" applyAlignment="1">
      <alignment horizontal="center" vertical="center" wrapText="1"/>
    </xf>
    <xf numFmtId="0" fontId="260" fillId="0" borderId="106" xfId="0" applyFont="1" applyBorder="1" applyAlignment="1">
      <alignment horizontal="center" vertical="center" wrapText="1"/>
    </xf>
    <xf numFmtId="0" fontId="258" fillId="0" borderId="108" xfId="0" applyFont="1" applyBorder="1" applyAlignment="1">
      <alignment horizontal="center" vertical="center" wrapText="1"/>
    </xf>
    <xf numFmtId="0" fontId="259" fillId="0" borderId="108" xfId="0" applyFont="1" applyBorder="1" applyAlignment="1">
      <alignment horizontal="center" vertical="center" wrapText="1"/>
    </xf>
    <xf numFmtId="0" fontId="258" fillId="0" borderId="105" xfId="0" applyFont="1" applyBorder="1" applyAlignment="1">
      <alignment horizontal="center" vertical="center" wrapText="1"/>
    </xf>
    <xf numFmtId="0" fontId="259" fillId="0" borderId="105" xfId="0" applyFont="1" applyBorder="1" applyAlignment="1">
      <alignment horizontal="center" vertical="center" wrapText="1"/>
    </xf>
    <xf numFmtId="0" fontId="263" fillId="2" borderId="102" xfId="0" applyFont="1" applyFill="1" applyBorder="1" applyAlignment="1">
      <alignment horizontal="center" vertical="center"/>
    </xf>
    <xf numFmtId="0" fontId="263" fillId="2" borderId="102" xfId="0" applyFont="1" applyFill="1" applyBorder="1" applyAlignment="1">
      <alignment horizontal="center" vertical="center" wrapText="1"/>
    </xf>
    <xf numFmtId="0" fontId="0" fillId="2" borderId="102" xfId="0" applyFill="1" applyBorder="1" applyAlignment="1">
      <alignment horizontal="center" vertical="center"/>
    </xf>
    <xf numFmtId="0" fontId="19" fillId="0" borderId="0" xfId="15" applyFont="1" applyAlignment="1">
      <alignment horizontal="center" vertical="center"/>
    </xf>
    <xf numFmtId="0" fontId="14" fillId="0" borderId="102" xfId="12" applyFont="1" applyBorder="1" applyAlignment="1">
      <alignment vertical="center"/>
    </xf>
    <xf numFmtId="1" fontId="15" fillId="0" borderId="102" xfId="12" applyNumberFormat="1" applyFont="1" applyBorder="1" applyAlignment="1">
      <alignment vertical="center"/>
    </xf>
    <xf numFmtId="0" fontId="15" fillId="0" borderId="102" xfId="12" applyFont="1" applyBorder="1" applyAlignment="1">
      <alignment vertical="center"/>
    </xf>
    <xf numFmtId="191" fontId="46" fillId="0" borderId="102" xfId="12" applyNumberFormat="1" applyFont="1" applyBorder="1" applyAlignment="1">
      <alignment horizontal="center" vertical="center" wrapText="1"/>
    </xf>
    <xf numFmtId="43" fontId="10" fillId="0" borderId="0" xfId="15" applyNumberFormat="1" applyFont="1" applyAlignment="1">
      <alignment vertical="center"/>
    </xf>
    <xf numFmtId="1" fontId="15" fillId="0" borderId="0" xfId="12" applyNumberFormat="1" applyFont="1" applyAlignment="1">
      <alignment vertical="center"/>
    </xf>
    <xf numFmtId="189" fontId="104" fillId="0" borderId="102" xfId="1" applyNumberFormat="1" applyFont="1" applyFill="1" applyBorder="1" applyAlignment="1">
      <alignment horizontal="center" vertical="center"/>
    </xf>
    <xf numFmtId="180" fontId="40" fillId="0" borderId="73" xfId="0" applyNumberFormat="1" applyFont="1" applyBorder="1" applyAlignment="1">
      <alignment horizontal="left" vertical="center"/>
    </xf>
    <xf numFmtId="1" fontId="10" fillId="2" borderId="0" xfId="15" applyNumberFormat="1" applyFont="1" applyFill="1" applyAlignment="1">
      <alignment horizontal="right" vertical="center"/>
    </xf>
    <xf numFmtId="1" fontId="10" fillId="2" borderId="0" xfId="15" applyNumberFormat="1" applyFont="1" applyFill="1" applyBorder="1" applyAlignment="1">
      <alignment horizontal="right" vertical="center"/>
    </xf>
    <xf numFmtId="0" fontId="30" fillId="0" borderId="0" xfId="15" applyFont="1" applyAlignment="1">
      <alignment horizontal="center" vertical="center"/>
    </xf>
    <xf numFmtId="0" fontId="40" fillId="0" borderId="0" xfId="15" applyFont="1" applyAlignment="1">
      <alignment horizontal="center" vertical="center"/>
    </xf>
    <xf numFmtId="1" fontId="39" fillId="0" borderId="0" xfId="15" applyNumberFormat="1" applyFont="1" applyAlignment="1">
      <alignment horizontal="center" vertical="center"/>
    </xf>
    <xf numFmtId="1" fontId="40" fillId="0" borderId="0" xfId="15" applyNumberFormat="1" applyFont="1" applyAlignment="1">
      <alignment horizontal="center" vertical="center"/>
    </xf>
    <xf numFmtId="1" fontId="45" fillId="0" borderId="102" xfId="0" applyNumberFormat="1" applyFont="1" applyBorder="1" applyAlignment="1">
      <alignment horizontal="center" vertical="center" wrapText="1"/>
    </xf>
    <xf numFmtId="1" fontId="45" fillId="27" borderId="102" xfId="0" applyNumberFormat="1" applyFont="1" applyFill="1" applyBorder="1" applyAlignment="1">
      <alignment horizontal="center" vertical="center"/>
    </xf>
    <xf numFmtId="1" fontId="45" fillId="0" borderId="102" xfId="0" applyNumberFormat="1" applyFont="1" applyBorder="1" applyAlignment="1">
      <alignment horizontal="center" vertical="center"/>
    </xf>
    <xf numFmtId="0" fontId="15" fillId="0" borderId="0" xfId="0" applyNumberFormat="1" applyFont="1" applyFill="1" applyBorder="1" applyAlignment="1" applyProtection="1">
      <alignment vertical="center"/>
    </xf>
    <xf numFmtId="1" fontId="18" fillId="0" borderId="0" xfId="0" applyNumberFormat="1" applyFont="1" applyAlignment="1">
      <alignment horizontal="right" vertical="top"/>
    </xf>
    <xf numFmtId="0" fontId="45" fillId="0" borderId="102" xfId="0" applyFont="1" applyBorder="1" applyAlignment="1">
      <alignment vertical="center"/>
    </xf>
    <xf numFmtId="0" fontId="264" fillId="2" borderId="38" xfId="15" applyFont="1" applyFill="1" applyBorder="1" applyAlignment="1">
      <alignment vertical="center"/>
    </xf>
    <xf numFmtId="2" fontId="0" fillId="2" borderId="0" xfId="0" applyNumberFormat="1" applyFill="1"/>
    <xf numFmtId="10" fontId="0" fillId="0" borderId="0" xfId="0" applyNumberFormat="1"/>
    <xf numFmtId="191" fontId="15" fillId="0" borderId="0" xfId="0" applyNumberFormat="1" applyFont="1"/>
    <xf numFmtId="1" fontId="265" fillId="0" borderId="0" xfId="0" applyNumberFormat="1" applyFont="1" applyAlignment="1">
      <alignment vertical="center"/>
    </xf>
    <xf numFmtId="1" fontId="10" fillId="0" borderId="0" xfId="0" applyNumberFormat="1" applyFont="1" applyAlignment="1">
      <alignment vertical="center"/>
    </xf>
    <xf numFmtId="1" fontId="80" fillId="0" borderId="0" xfId="15" applyNumberFormat="1" applyFont="1" applyAlignment="1">
      <alignment vertical="center"/>
    </xf>
    <xf numFmtId="0" fontId="76" fillId="0" borderId="0" xfId="15" applyFont="1" applyBorder="1" applyAlignment="1">
      <alignment horizontal="center" vertical="center" wrapText="1"/>
    </xf>
    <xf numFmtId="57" fontId="76" fillId="0" borderId="0" xfId="15" applyNumberFormat="1" applyFont="1" applyFill="1" applyBorder="1" applyAlignment="1">
      <alignment horizontal="center" vertical="center" wrapText="1"/>
    </xf>
    <xf numFmtId="1" fontId="77" fillId="0" borderId="0" xfId="15" applyNumberFormat="1" applyFont="1" applyFill="1" applyBorder="1" applyAlignment="1">
      <alignment horizontal="center" vertical="center" wrapText="1"/>
    </xf>
    <xf numFmtId="0" fontId="15" fillId="0" borderId="102" xfId="15" applyFont="1" applyBorder="1" applyAlignment="1">
      <alignment vertical="center"/>
    </xf>
    <xf numFmtId="0" fontId="15" fillId="0" borderId="102" xfId="15" applyFont="1" applyBorder="1" applyAlignment="1">
      <alignment horizontal="center" vertical="center"/>
    </xf>
    <xf numFmtId="1" fontId="15" fillId="0" borderId="102" xfId="15" applyNumberFormat="1" applyFont="1" applyBorder="1" applyAlignment="1">
      <alignment horizontal="center" vertical="center"/>
    </xf>
    <xf numFmtId="0" fontId="14" fillId="0" borderId="102" xfId="15" applyFont="1" applyBorder="1" applyAlignment="1">
      <alignment horizontal="center" vertical="center"/>
    </xf>
    <xf numFmtId="1" fontId="77" fillId="0" borderId="102" xfId="0" applyNumberFormat="1" applyFont="1" applyFill="1" applyBorder="1" applyAlignment="1">
      <alignment horizontal="center" vertical="center" wrapText="1"/>
    </xf>
    <xf numFmtId="180" fontId="14" fillId="0" borderId="102" xfId="15" applyNumberFormat="1" applyFont="1" applyBorder="1" applyAlignment="1">
      <alignment horizontal="left" vertical="center"/>
    </xf>
    <xf numFmtId="0" fontId="15" fillId="0" borderId="102" xfId="15" applyFont="1" applyBorder="1" applyAlignment="1">
      <alignment horizontal="left" vertical="center" indent="1"/>
    </xf>
    <xf numFmtId="180" fontId="15" fillId="0" borderId="102" xfId="15" applyNumberFormat="1" applyFont="1" applyBorder="1" applyAlignment="1">
      <alignment horizontal="left" vertical="center" indent="1"/>
    </xf>
    <xf numFmtId="0" fontId="0" fillId="0" borderId="102" xfId="0" applyBorder="1"/>
    <xf numFmtId="0" fontId="15" fillId="0" borderId="0" xfId="15" applyFont="1" applyBorder="1" applyAlignment="1">
      <alignment vertical="center"/>
    </xf>
    <xf numFmtId="0" fontId="14" fillId="0" borderId="0" xfId="15" applyFont="1" applyBorder="1" applyAlignment="1">
      <alignment vertical="center"/>
    </xf>
    <xf numFmtId="0" fontId="15" fillId="0" borderId="102" xfId="15" applyFont="1" applyBorder="1" applyAlignment="1">
      <alignment vertical="center" wrapText="1"/>
    </xf>
    <xf numFmtId="0" fontId="14" fillId="0" borderId="102" xfId="15" applyFont="1" applyFill="1" applyBorder="1" applyAlignment="1">
      <alignment horizontal="left" vertical="center"/>
    </xf>
    <xf numFmtId="0" fontId="15" fillId="0" borderId="102" xfId="15" applyFont="1" applyFill="1" applyBorder="1" applyAlignment="1">
      <alignment horizontal="left" vertical="center"/>
    </xf>
    <xf numFmtId="0" fontId="15" fillId="2" borderId="102" xfId="15" applyFont="1" applyFill="1" applyBorder="1" applyAlignment="1">
      <alignment horizontal="left" vertical="center"/>
    </xf>
    <xf numFmtId="180" fontId="14" fillId="0" borderId="102" xfId="0" applyNumberFormat="1" applyFont="1" applyBorder="1" applyAlignment="1">
      <alignment horizontal="left" vertical="center"/>
    </xf>
    <xf numFmtId="180" fontId="15" fillId="0" borderId="102" xfId="0" applyNumberFormat="1" applyFont="1" applyBorder="1" applyAlignment="1">
      <alignment horizontal="left" vertical="center"/>
    </xf>
    <xf numFmtId="180" fontId="15" fillId="2" borderId="102" xfId="0" applyNumberFormat="1" applyFont="1" applyFill="1" applyBorder="1" applyAlignment="1">
      <alignment horizontal="left" vertical="center"/>
    </xf>
    <xf numFmtId="180" fontId="15" fillId="0" borderId="102" xfId="0" applyNumberFormat="1" applyFont="1" applyBorder="1" applyAlignment="1">
      <alignment horizontal="left" vertical="center" indent="1"/>
    </xf>
    <xf numFmtId="0" fontId="5" fillId="0" borderId="0" xfId="0" applyNumberFormat="1" applyFont="1" applyAlignment="1">
      <alignment horizontal="center" vertical="center"/>
    </xf>
    <xf numFmtId="0" fontId="14" fillId="0" borderId="102" xfId="0" applyFont="1" applyFill="1" applyBorder="1" applyAlignment="1">
      <alignment vertical="center"/>
    </xf>
    <xf numFmtId="1" fontId="14" fillId="0" borderId="102" xfId="0" applyNumberFormat="1" applyFont="1" applyFill="1" applyBorder="1" applyAlignment="1">
      <alignment horizontal="center" vertical="center"/>
    </xf>
    <xf numFmtId="180" fontId="45" fillId="0" borderId="102" xfId="6" applyNumberFormat="1" applyFont="1" applyFill="1" applyBorder="1" applyAlignment="1">
      <alignment horizontal="left" vertical="center" wrapText="1"/>
    </xf>
    <xf numFmtId="0" fontId="15" fillId="0" borderId="102" xfId="0" applyFont="1" applyFill="1" applyBorder="1" applyAlignment="1">
      <alignment vertical="center"/>
    </xf>
    <xf numFmtId="1" fontId="15" fillId="0" borderId="102" xfId="0" applyNumberFormat="1" applyFont="1" applyFill="1" applyBorder="1" applyAlignment="1">
      <alignment horizontal="center" vertical="center"/>
    </xf>
    <xf numFmtId="0" fontId="15" fillId="0" borderId="102" xfId="0" applyFont="1" applyFill="1" applyBorder="1" applyAlignment="1">
      <alignment horizontal="center" vertical="center"/>
    </xf>
    <xf numFmtId="0" fontId="14" fillId="24" borderId="102" xfId="0" applyFont="1" applyFill="1" applyBorder="1" applyAlignment="1">
      <alignment horizontal="center" vertical="center"/>
    </xf>
    <xf numFmtId="1" fontId="14" fillId="24" borderId="102" xfId="0" applyNumberFormat="1" applyFont="1" applyFill="1" applyBorder="1" applyAlignment="1">
      <alignment horizontal="center" vertical="center"/>
    </xf>
    <xf numFmtId="180" fontId="46" fillId="24" borderId="102" xfId="6" applyNumberFormat="1" applyFont="1" applyFill="1" applyBorder="1" applyAlignment="1">
      <alignment horizontal="left" vertical="center" wrapText="1"/>
    </xf>
    <xf numFmtId="180" fontId="46" fillId="0" borderId="102" xfId="6" applyNumberFormat="1" applyFont="1" applyFill="1" applyBorder="1" applyAlignment="1">
      <alignment horizontal="left" vertical="center" wrapText="1"/>
    </xf>
    <xf numFmtId="0" fontId="14" fillId="0" borderId="102" xfId="0" applyFont="1" applyFill="1" applyBorder="1" applyAlignment="1">
      <alignment horizontal="left" vertical="center" indent="1"/>
    </xf>
    <xf numFmtId="1" fontId="45" fillId="0" borderId="0" xfId="0" applyNumberFormat="1" applyFont="1" applyAlignment="1">
      <alignment horizontal="center"/>
    </xf>
    <xf numFmtId="1" fontId="10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1" fontId="29" fillId="0" borderId="0" xfId="0" applyNumberFormat="1" applyFont="1" applyAlignment="1">
      <alignment horizontal="center" vertical="center"/>
    </xf>
    <xf numFmtId="1" fontId="41" fillId="0" borderId="102" xfId="15" applyNumberFormat="1" applyFont="1" applyBorder="1" applyAlignment="1">
      <alignment horizontal="center" vertical="center" wrapText="1"/>
    </xf>
    <xf numFmtId="0" fontId="39" fillId="10" borderId="102" xfId="15" applyFont="1" applyFill="1" applyBorder="1" applyAlignment="1">
      <alignment vertical="center"/>
    </xf>
    <xf numFmtId="0" fontId="14" fillId="0" borderId="102" xfId="0" applyFont="1" applyBorder="1" applyAlignment="1">
      <alignment horizontal="center" vertical="center"/>
    </xf>
    <xf numFmtId="207" fontId="15" fillId="4" borderId="1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 applyAlignment="1">
      <alignment horizontal="center" vertical="center"/>
    </xf>
    <xf numFmtId="1" fontId="9" fillId="2" borderId="0" xfId="15" applyNumberFormat="1" applyFont="1" applyFill="1" applyAlignment="1">
      <alignment vertical="center"/>
    </xf>
    <xf numFmtId="0" fontId="46" fillId="0" borderId="102" xfId="0" applyFont="1" applyBorder="1" applyAlignment="1">
      <alignment horizontal="center" vertical="center"/>
    </xf>
    <xf numFmtId="2" fontId="46" fillId="0" borderId="102" xfId="0" applyNumberFormat="1" applyFont="1" applyBorder="1" applyAlignment="1">
      <alignment horizontal="center" vertical="center"/>
    </xf>
    <xf numFmtId="2" fontId="14" fillId="0" borderId="1" xfId="0" applyNumberFormat="1" applyFont="1" applyFill="1" applyBorder="1" applyAlignment="1">
      <alignment horizontal="center" vertical="center"/>
    </xf>
    <xf numFmtId="2" fontId="14" fillId="0" borderId="102" xfId="0" applyNumberFormat="1" applyFont="1" applyFill="1" applyBorder="1" applyAlignment="1">
      <alignment horizontal="center" vertical="center"/>
    </xf>
    <xf numFmtId="211" fontId="46" fillId="0" borderId="102" xfId="0" applyNumberFormat="1" applyFont="1" applyBorder="1" applyAlignment="1">
      <alignment horizontal="center" vertical="center"/>
    </xf>
    <xf numFmtId="1" fontId="46" fillId="0" borderId="102" xfId="0" applyNumberFormat="1" applyFont="1" applyBorder="1" applyAlignment="1">
      <alignment horizontal="center" vertical="center"/>
    </xf>
    <xf numFmtId="211" fontId="45" fillId="0" borderId="102" xfId="0" applyNumberFormat="1" applyFont="1" applyBorder="1" applyAlignment="1">
      <alignment horizontal="center" vertical="center"/>
    </xf>
    <xf numFmtId="2" fontId="45" fillId="2" borderId="102" xfId="0" applyNumberFormat="1" applyFont="1" applyFill="1" applyBorder="1" applyAlignment="1">
      <alignment horizontal="center" vertical="center"/>
    </xf>
    <xf numFmtId="2" fontId="45" fillId="0" borderId="102" xfId="0" applyNumberFormat="1" applyFont="1" applyFill="1" applyBorder="1" applyAlignment="1">
      <alignment horizontal="center" vertical="center"/>
    </xf>
    <xf numFmtId="0" fontId="76" fillId="0" borderId="1" xfId="0" applyFont="1" applyBorder="1" applyAlignment="1">
      <alignment horizontal="center" vertical="center"/>
    </xf>
    <xf numFmtId="2" fontId="0" fillId="0" borderId="20" xfId="0" applyNumberFormat="1" applyFont="1" applyBorder="1"/>
    <xf numFmtId="0" fontId="0" fillId="3" borderId="0" xfId="0" applyFill="1"/>
    <xf numFmtId="0" fontId="0" fillId="3" borderId="20" xfId="0" applyFill="1" applyBorder="1"/>
    <xf numFmtId="0" fontId="29" fillId="3" borderId="0" xfId="0" applyFont="1" applyFill="1"/>
    <xf numFmtId="211" fontId="0" fillId="3" borderId="0" xfId="0" applyNumberFormat="1" applyFill="1" applyBorder="1"/>
    <xf numFmtId="0" fontId="0" fillId="0" borderId="0" xfId="0" applyFill="1"/>
    <xf numFmtId="0" fontId="0" fillId="0" borderId="20" xfId="0" applyFill="1" applyBorder="1"/>
    <xf numFmtId="0" fontId="29" fillId="0" borderId="0" xfId="0" applyFont="1" applyFill="1"/>
    <xf numFmtId="1" fontId="45" fillId="2" borderId="0" xfId="0" applyNumberFormat="1" applyFont="1" applyFill="1" applyAlignment="1">
      <alignment vertical="center"/>
    </xf>
    <xf numFmtId="0" fontId="45" fillId="0" borderId="102" xfId="18" applyNumberFormat="1" applyFont="1" applyBorder="1" applyAlignment="1">
      <alignment horizontal="left" vertical="center" shrinkToFit="1"/>
    </xf>
    <xf numFmtId="1" fontId="45" fillId="41" borderId="102" xfId="0" applyNumberFormat="1" applyFont="1" applyFill="1" applyBorder="1" applyAlignment="1">
      <alignment horizontal="center" vertical="center"/>
    </xf>
    <xf numFmtId="1" fontId="45" fillId="26" borderId="102" xfId="0" applyNumberFormat="1" applyFont="1" applyFill="1" applyBorder="1" applyAlignment="1">
      <alignment horizontal="center" vertical="center"/>
    </xf>
    <xf numFmtId="0" fontId="45" fillId="26" borderId="102" xfId="0" applyFont="1" applyFill="1" applyBorder="1" applyAlignment="1">
      <alignment horizontal="center" vertical="center"/>
    </xf>
    <xf numFmtId="210" fontId="45" fillId="0" borderId="102" xfId="0" applyNumberFormat="1" applyFont="1" applyBorder="1" applyAlignment="1">
      <alignment horizontal="left" vertical="center"/>
    </xf>
    <xf numFmtId="210" fontId="45" fillId="41" borderId="102" xfId="0" applyNumberFormat="1" applyFont="1" applyFill="1" applyBorder="1" applyAlignment="1">
      <alignment horizontal="left" vertical="center"/>
    </xf>
    <xf numFmtId="1" fontId="45" fillId="2" borderId="102" xfId="0" applyNumberFormat="1" applyFont="1" applyFill="1" applyBorder="1" applyAlignment="1">
      <alignment horizontal="center" vertical="center"/>
    </xf>
    <xf numFmtId="0" fontId="15" fillId="0" borderId="102" xfId="0" applyFont="1" applyBorder="1"/>
    <xf numFmtId="1" fontId="15" fillId="0" borderId="102" xfId="0" applyNumberFormat="1" applyFont="1" applyBorder="1" applyAlignment="1">
      <alignment horizontal="center" vertical="center"/>
    </xf>
    <xf numFmtId="0" fontId="46" fillId="0" borderId="102" xfId="0" applyFont="1" applyBorder="1" applyAlignment="1">
      <alignment horizontal="left" vertical="center"/>
    </xf>
    <xf numFmtId="0" fontId="76" fillId="0" borderId="102" xfId="0" applyFont="1" applyBorder="1" applyAlignment="1">
      <alignment horizontal="center" vertical="center"/>
    </xf>
    <xf numFmtId="0" fontId="9" fillId="43" borderId="1" xfId="15" applyFont="1" applyFill="1" applyBorder="1" applyAlignment="1">
      <alignment horizontal="left" vertical="center" wrapText="1" indent="1"/>
    </xf>
    <xf numFmtId="0" fontId="10" fillId="0" borderId="1" xfId="15" applyFont="1" applyBorder="1" applyAlignment="1">
      <alignment horizontal="left" vertical="center" wrapText="1" indent="2"/>
    </xf>
    <xf numFmtId="0" fontId="10" fillId="0" borderId="1" xfId="0" applyFont="1" applyBorder="1" applyAlignment="1">
      <alignment horizontal="left" vertical="center" wrapText="1" indent="2"/>
    </xf>
    <xf numFmtId="0" fontId="51" fillId="0" borderId="1" xfId="0" applyFont="1" applyBorder="1" applyAlignment="1">
      <alignment horizontal="left" vertical="center" wrapText="1" indent="2"/>
    </xf>
    <xf numFmtId="0" fontId="9" fillId="11" borderId="1" xfId="15" applyFont="1" applyFill="1" applyBorder="1" applyAlignment="1">
      <alignment horizontal="left" vertical="center" wrapText="1" indent="1"/>
    </xf>
    <xf numFmtId="1" fontId="46" fillId="11" borderId="1" xfId="0" applyNumberFormat="1" applyFont="1" applyFill="1" applyBorder="1" applyAlignment="1">
      <alignment horizontal="center" vertical="center"/>
    </xf>
    <xf numFmtId="199" fontId="46" fillId="11" borderId="1" xfId="0" applyNumberFormat="1" applyFont="1" applyFill="1" applyBorder="1" applyAlignment="1">
      <alignment horizontal="left" vertical="center"/>
    </xf>
    <xf numFmtId="0" fontId="9" fillId="11" borderId="102" xfId="15" applyFont="1" applyFill="1" applyBorder="1" applyAlignment="1">
      <alignment horizontal="left" vertical="center" wrapText="1" indent="1"/>
    </xf>
    <xf numFmtId="1" fontId="46" fillId="11" borderId="102" xfId="0" applyNumberFormat="1" applyFont="1" applyFill="1" applyBorder="1" applyAlignment="1">
      <alignment horizontal="center" vertical="center"/>
    </xf>
    <xf numFmtId="199" fontId="46" fillId="11" borderId="102" xfId="0" applyNumberFormat="1" applyFont="1" applyFill="1" applyBorder="1" applyAlignment="1">
      <alignment horizontal="left" vertical="center"/>
    </xf>
    <xf numFmtId="1" fontId="9" fillId="0" borderId="102" xfId="0" applyNumberFormat="1" applyFont="1" applyBorder="1" applyAlignment="1">
      <alignment horizontal="center" vertical="center"/>
    </xf>
    <xf numFmtId="0" fontId="9" fillId="0" borderId="102" xfId="0" applyFont="1" applyBorder="1" applyAlignment="1">
      <alignment horizontal="left" vertical="center" indent="1"/>
    </xf>
    <xf numFmtId="0" fontId="10" fillId="0" borderId="102" xfId="0" applyFont="1" applyBorder="1" applyAlignment="1">
      <alignment horizontal="left" vertical="center" indent="1"/>
    </xf>
    <xf numFmtId="1" fontId="45" fillId="0" borderId="0" xfId="0" applyNumberFormat="1" applyFont="1" applyBorder="1" applyAlignment="1">
      <alignment horizontal="right"/>
    </xf>
    <xf numFmtId="0" fontId="9" fillId="0" borderId="30" xfId="15" applyFont="1" applyBorder="1" applyAlignment="1">
      <alignment horizontal="left" vertical="center" wrapText="1" indent="3"/>
    </xf>
    <xf numFmtId="0" fontId="10" fillId="0" borderId="30" xfId="15" applyFont="1" applyBorder="1" applyAlignment="1">
      <alignment horizontal="left" vertical="center" wrapText="1" indent="3"/>
    </xf>
    <xf numFmtId="0" fontId="10" fillId="0" borderId="30" xfId="0" applyFont="1" applyBorder="1" applyAlignment="1">
      <alignment horizontal="left" vertical="center" wrapText="1" indent="3"/>
    </xf>
    <xf numFmtId="0" fontId="9" fillId="0" borderId="1" xfId="15" applyFont="1" applyBorder="1" applyAlignment="1">
      <alignment horizontal="left" vertical="center" wrapText="1" indent="3"/>
    </xf>
    <xf numFmtId="0" fontId="9" fillId="11" borderId="102" xfId="15" applyFont="1" applyFill="1" applyBorder="1" applyAlignment="1">
      <alignment horizontal="left" vertical="center" wrapText="1" indent="2"/>
    </xf>
    <xf numFmtId="1" fontId="76" fillId="0" borderId="102" xfId="0" applyNumberFormat="1" applyFont="1" applyBorder="1" applyAlignment="1">
      <alignment horizontal="center" vertical="center"/>
    </xf>
    <xf numFmtId="0" fontId="9" fillId="11" borderId="30" xfId="15" applyFont="1" applyFill="1" applyBorder="1" applyAlignment="1">
      <alignment horizontal="left" vertical="center" wrapText="1" indent="1"/>
    </xf>
    <xf numFmtId="0" fontId="14" fillId="11" borderId="102" xfId="0" applyFont="1" applyFill="1" applyBorder="1" applyAlignment="1">
      <alignment horizontal="center"/>
    </xf>
    <xf numFmtId="1" fontId="14" fillId="11" borderId="102" xfId="0" applyNumberFormat="1" applyFont="1" applyFill="1" applyBorder="1" applyAlignment="1">
      <alignment horizontal="center"/>
    </xf>
    <xf numFmtId="1" fontId="76" fillId="11" borderId="102" xfId="0" applyNumberFormat="1" applyFont="1" applyFill="1" applyBorder="1" applyAlignment="1">
      <alignment horizontal="center" vertical="center"/>
    </xf>
    <xf numFmtId="1" fontId="46" fillId="2" borderId="1" xfId="0" applyNumberFormat="1" applyFont="1" applyFill="1" applyBorder="1" applyAlignment="1">
      <alignment horizontal="center" vertical="center"/>
    </xf>
    <xf numFmtId="0" fontId="10" fillId="0" borderId="43" xfId="0" applyFont="1" applyBorder="1" applyAlignment="1">
      <alignment horizontal="center" vertical="center"/>
    </xf>
    <xf numFmtId="0" fontId="9" fillId="0" borderId="101" xfId="15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10" fillId="0" borderId="110" xfId="0" applyFont="1" applyBorder="1" applyAlignment="1">
      <alignment horizontal="left" vertical="center" indent="1"/>
    </xf>
    <xf numFmtId="0" fontId="10" fillId="2" borderId="43" xfId="0" applyFont="1" applyFill="1" applyBorder="1" applyAlignment="1">
      <alignment horizontal="center" vertical="center"/>
    </xf>
    <xf numFmtId="191" fontId="10" fillId="3" borderId="43" xfId="0" applyNumberFormat="1" applyFont="1" applyFill="1" applyBorder="1" applyAlignment="1">
      <alignment horizontal="center" vertical="center"/>
    </xf>
    <xf numFmtId="183" fontId="10" fillId="3" borderId="43" xfId="0" applyNumberFormat="1" applyFont="1" applyFill="1" applyBorder="1" applyAlignment="1">
      <alignment horizontal="center" vertical="center"/>
    </xf>
    <xf numFmtId="0" fontId="10" fillId="3" borderId="43" xfId="0" applyFont="1" applyFill="1" applyBorder="1" applyAlignment="1">
      <alignment horizontal="center" vertical="center"/>
    </xf>
    <xf numFmtId="189" fontId="10" fillId="3" borderId="43" xfId="0" applyNumberFormat="1" applyFont="1" applyFill="1" applyBorder="1" applyAlignment="1">
      <alignment horizontal="center" vertical="center"/>
    </xf>
    <xf numFmtId="183" fontId="9" fillId="3" borderId="43" xfId="0" applyNumberFormat="1" applyFont="1" applyFill="1" applyBorder="1" applyAlignment="1">
      <alignment horizontal="center" vertical="center"/>
    </xf>
    <xf numFmtId="191" fontId="10" fillId="0" borderId="43" xfId="0" applyNumberFormat="1" applyFont="1" applyBorder="1" applyAlignment="1">
      <alignment horizontal="center" vertical="center"/>
    </xf>
    <xf numFmtId="1" fontId="10" fillId="0" borderId="43" xfId="0" applyNumberFormat="1" applyFont="1" applyBorder="1" applyAlignment="1">
      <alignment horizontal="center" vertical="center"/>
    </xf>
    <xf numFmtId="0" fontId="46" fillId="0" borderId="102" xfId="0" applyFont="1" applyBorder="1"/>
    <xf numFmtId="0" fontId="45" fillId="0" borderId="102" xfId="0" applyNumberFormat="1" applyFont="1" applyBorder="1" applyAlignment="1">
      <alignment horizontal="center" vertical="center"/>
    </xf>
    <xf numFmtId="0" fontId="45" fillId="0" borderId="102" xfId="0" applyFont="1" applyBorder="1" applyAlignment="1">
      <alignment horizontal="left" vertical="center"/>
    </xf>
    <xf numFmtId="0" fontId="46" fillId="0" borderId="102" xfId="0" applyNumberFormat="1" applyFont="1" applyBorder="1" applyAlignment="1">
      <alignment horizontal="center" vertical="center"/>
    </xf>
    <xf numFmtId="2" fontId="129" fillId="0" borderId="49" xfId="0" applyNumberFormat="1" applyFont="1" applyFill="1" applyBorder="1" applyAlignment="1">
      <alignment horizontal="center" vertical="center"/>
    </xf>
    <xf numFmtId="202" fontId="45" fillId="0" borderId="0" xfId="0" applyNumberFormat="1" applyFont="1"/>
    <xf numFmtId="2" fontId="129" fillId="0" borderId="64" xfId="0" applyNumberFormat="1" applyFont="1" applyFill="1" applyBorder="1" applyAlignment="1">
      <alignment horizontal="center" vertical="center"/>
    </xf>
    <xf numFmtId="2" fontId="129" fillId="0" borderId="60" xfId="0" applyNumberFormat="1" applyFont="1" applyFill="1" applyBorder="1" applyAlignment="1">
      <alignment horizontal="center" vertical="center"/>
    </xf>
    <xf numFmtId="2" fontId="129" fillId="0" borderId="65" xfId="0" applyNumberFormat="1" applyFont="1" applyFill="1" applyBorder="1" applyAlignment="1">
      <alignment horizontal="center" vertical="center"/>
    </xf>
    <xf numFmtId="2" fontId="129" fillId="0" borderId="63" xfId="0" applyNumberFormat="1" applyFont="1" applyFill="1" applyBorder="1" applyAlignment="1">
      <alignment horizontal="center" vertical="center"/>
    </xf>
    <xf numFmtId="2" fontId="129" fillId="0" borderId="61" xfId="0" applyNumberFormat="1" applyFont="1" applyFill="1" applyBorder="1" applyAlignment="1">
      <alignment horizontal="center" vertical="center"/>
    </xf>
    <xf numFmtId="2" fontId="129" fillId="0" borderId="59" xfId="0" applyNumberFormat="1" applyFont="1" applyFill="1" applyBorder="1" applyAlignment="1">
      <alignment horizontal="center" vertical="center"/>
    </xf>
    <xf numFmtId="2" fontId="129" fillId="0" borderId="50" xfId="0" applyNumberFormat="1" applyFont="1" applyFill="1" applyBorder="1" applyAlignment="1">
      <alignment horizontal="center" vertical="center"/>
    </xf>
    <xf numFmtId="2" fontId="129" fillId="0" borderId="51" xfId="0" applyNumberFormat="1" applyFont="1" applyFill="1" applyBorder="1" applyAlignment="1">
      <alignment horizontal="center" vertical="center"/>
    </xf>
    <xf numFmtId="1" fontId="129" fillId="0" borderId="66" xfId="0" applyNumberFormat="1" applyFont="1" applyFill="1" applyBorder="1" applyAlignment="1">
      <alignment horizontal="center" vertical="center"/>
    </xf>
    <xf numFmtId="1" fontId="129" fillId="0" borderId="62" xfId="0" applyNumberFormat="1" applyFont="1" applyFill="1" applyBorder="1" applyAlignment="1">
      <alignment horizontal="center" vertical="center"/>
    </xf>
    <xf numFmtId="1" fontId="129" fillId="0" borderId="52" xfId="0" applyNumberFormat="1" applyFont="1" applyFill="1" applyBorder="1" applyAlignment="1">
      <alignment horizontal="center" vertical="center"/>
    </xf>
    <xf numFmtId="203" fontId="129" fillId="0" borderId="65" xfId="0" applyNumberFormat="1" applyFont="1" applyFill="1" applyBorder="1" applyAlignment="1">
      <alignment horizontal="left" vertical="center"/>
    </xf>
    <xf numFmtId="203" fontId="129" fillId="0" borderId="61" xfId="0" applyNumberFormat="1" applyFont="1" applyFill="1" applyBorder="1" applyAlignment="1">
      <alignment horizontal="left" vertical="center"/>
    </xf>
    <xf numFmtId="203" fontId="129" fillId="0" borderId="50" xfId="0" applyNumberFormat="1" applyFont="1" applyFill="1" applyBorder="1" applyAlignment="1">
      <alignment horizontal="left" vertical="center"/>
    </xf>
    <xf numFmtId="2" fontId="129" fillId="47" borderId="65" xfId="0" applyNumberFormat="1" applyFont="1" applyFill="1" applyBorder="1" applyAlignment="1">
      <alignment horizontal="center" vertical="center"/>
    </xf>
    <xf numFmtId="2" fontId="129" fillId="47" borderId="61" xfId="0" applyNumberFormat="1" applyFont="1" applyFill="1" applyBorder="1" applyAlignment="1">
      <alignment horizontal="center" vertical="center"/>
    </xf>
    <xf numFmtId="2" fontId="129" fillId="47" borderId="50" xfId="0" applyNumberFormat="1" applyFont="1" applyFill="1" applyBorder="1" applyAlignment="1">
      <alignment horizontal="center" vertical="center"/>
    </xf>
    <xf numFmtId="203" fontId="129" fillId="3" borderId="65" xfId="0" applyNumberFormat="1" applyFont="1" applyFill="1" applyBorder="1" applyAlignment="1">
      <alignment horizontal="left" vertical="center"/>
    </xf>
    <xf numFmtId="203" fontId="129" fillId="3" borderId="61" xfId="0" applyNumberFormat="1" applyFont="1" applyFill="1" applyBorder="1" applyAlignment="1">
      <alignment horizontal="left" vertical="center"/>
    </xf>
    <xf numFmtId="203" fontId="129" fillId="3" borderId="50" xfId="0" applyNumberFormat="1" applyFont="1" applyFill="1" applyBorder="1" applyAlignment="1">
      <alignment horizontal="left" vertical="center"/>
    </xf>
    <xf numFmtId="203" fontId="129" fillId="3" borderId="63" xfId="0" applyNumberFormat="1" applyFont="1" applyFill="1" applyBorder="1" applyAlignment="1">
      <alignment horizontal="left" vertical="center"/>
    </xf>
    <xf numFmtId="203" fontId="129" fillId="3" borderId="59" xfId="0" applyNumberFormat="1" applyFont="1" applyFill="1" applyBorder="1" applyAlignment="1">
      <alignment horizontal="left" vertical="center"/>
    </xf>
    <xf numFmtId="203" fontId="129" fillId="3" borderId="51" xfId="0" applyNumberFormat="1" applyFont="1" applyFill="1" applyBorder="1" applyAlignment="1">
      <alignment horizontal="left" vertical="center"/>
    </xf>
    <xf numFmtId="191" fontId="41" fillId="0" borderId="102" xfId="15" applyNumberFormat="1" applyFont="1" applyBorder="1" applyAlignment="1">
      <alignment horizontal="center" vertical="center" wrapText="1"/>
    </xf>
    <xf numFmtId="191" fontId="42" fillId="0" borderId="102" xfId="15" applyNumberFormat="1" applyFont="1" applyBorder="1" applyAlignment="1">
      <alignment horizontal="center" vertical="center" wrapText="1"/>
    </xf>
    <xf numFmtId="191" fontId="30" fillId="0" borderId="0" xfId="15" applyNumberFormat="1" applyFont="1" applyAlignment="1">
      <alignment horizontal="center" vertical="center"/>
    </xf>
    <xf numFmtId="1" fontId="15" fillId="0" borderId="30" xfId="12" applyNumberFormat="1" applyFont="1" applyBorder="1" applyAlignment="1">
      <alignment vertical="center"/>
    </xf>
    <xf numFmtId="191" fontId="46" fillId="0" borderId="21" xfId="12" applyNumberFormat="1" applyFont="1" applyBorder="1" applyAlignment="1">
      <alignment horizontal="center" vertical="center" wrapText="1"/>
    </xf>
    <xf numFmtId="0" fontId="14" fillId="0" borderId="30" xfId="12" applyFont="1" applyBorder="1" applyAlignment="1">
      <alignment vertical="center"/>
    </xf>
    <xf numFmtId="0" fontId="114" fillId="0" borderId="102" xfId="12" applyFont="1" applyBorder="1" applyAlignment="1">
      <alignment horizontal="center" vertical="center" wrapText="1"/>
    </xf>
    <xf numFmtId="0" fontId="46" fillId="0" borderId="102" xfId="12" applyFont="1" applyBorder="1" applyAlignment="1">
      <alignment horizontal="center" vertical="center" wrapText="1"/>
    </xf>
    <xf numFmtId="0" fontId="114" fillId="3" borderId="102" xfId="12" applyFont="1" applyFill="1" applyBorder="1" applyAlignment="1">
      <alignment horizontal="center" vertical="center" wrapText="1"/>
    </xf>
    <xf numFmtId="203" fontId="9" fillId="0" borderId="102" xfId="0" applyNumberFormat="1" applyFont="1" applyBorder="1" applyAlignment="1">
      <alignment horizontal="left" vertical="center" wrapText="1"/>
    </xf>
    <xf numFmtId="192" fontId="9" fillId="0" borderId="102" xfId="0" applyNumberFormat="1" applyFont="1" applyBorder="1" applyAlignment="1">
      <alignment horizontal="left" vertical="center" wrapText="1"/>
    </xf>
    <xf numFmtId="0" fontId="10" fillId="0" borderId="102" xfId="0" applyFont="1" applyBorder="1" applyAlignment="1">
      <alignment vertical="center"/>
    </xf>
    <xf numFmtId="203" fontId="10" fillId="0" borderId="102" xfId="0" applyNumberFormat="1" applyFont="1" applyBorder="1" applyAlignment="1">
      <alignment horizontal="left" vertical="center" wrapText="1"/>
    </xf>
    <xf numFmtId="192" fontId="10" fillId="0" borderId="102" xfId="0" applyNumberFormat="1" applyFont="1" applyBorder="1" applyAlignment="1">
      <alignment horizontal="left" vertical="center" wrapText="1"/>
    </xf>
    <xf numFmtId="183" fontId="9" fillId="0" borderId="102" xfId="0" applyNumberFormat="1" applyFont="1" applyBorder="1" applyAlignment="1">
      <alignment horizontal="center" vertical="center"/>
    </xf>
    <xf numFmtId="202" fontId="9" fillId="0" borderId="102" xfId="0" applyNumberFormat="1" applyFont="1" applyBorder="1" applyAlignment="1">
      <alignment horizontal="center" vertical="center"/>
    </xf>
    <xf numFmtId="0" fontId="14" fillId="23" borderId="0" xfId="0" applyFont="1" applyFill="1" applyBorder="1" applyAlignment="1">
      <alignment horizontal="center"/>
    </xf>
    <xf numFmtId="0" fontId="15" fillId="23" borderId="0" xfId="0" applyFont="1" applyFill="1" applyBorder="1" applyAlignment="1">
      <alignment horizontal="center"/>
    </xf>
    <xf numFmtId="180" fontId="46" fillId="0" borderId="102" xfId="6" applyNumberFormat="1" applyFont="1" applyBorder="1" applyAlignment="1">
      <alignment horizontal="left" vertical="center" wrapText="1"/>
    </xf>
    <xf numFmtId="180" fontId="46" fillId="0" borderId="0" xfId="6" applyNumberFormat="1" applyFont="1" applyBorder="1" applyAlignment="1">
      <alignment horizontal="left" vertical="center" wrapText="1"/>
    </xf>
    <xf numFmtId="1" fontId="77" fillId="11" borderId="1" xfId="15" applyNumberFormat="1" applyFont="1" applyFill="1" applyBorder="1" applyAlignment="1">
      <alignment horizontal="center" vertical="center" wrapText="1"/>
    </xf>
    <xf numFmtId="1" fontId="41" fillId="11" borderId="1" xfId="15" applyNumberFormat="1" applyFont="1" applyFill="1" applyBorder="1" applyAlignment="1">
      <alignment horizontal="center" vertical="center" wrapText="1"/>
    </xf>
    <xf numFmtId="1" fontId="76" fillId="11" borderId="1" xfId="15" applyNumberFormat="1" applyFont="1" applyFill="1" applyBorder="1" applyAlignment="1">
      <alignment horizontal="center" vertical="center" wrapText="1"/>
    </xf>
    <xf numFmtId="180" fontId="46" fillId="11" borderId="1" xfId="6" applyNumberFormat="1" applyFont="1" applyFill="1" applyBorder="1" applyAlignment="1">
      <alignment horizontal="left" vertical="center" wrapText="1"/>
    </xf>
    <xf numFmtId="1" fontId="41" fillId="11" borderId="102" xfId="15" applyNumberFormat="1" applyFont="1" applyFill="1" applyBorder="1" applyAlignment="1">
      <alignment horizontal="center" vertical="center" wrapText="1"/>
    </xf>
    <xf numFmtId="180" fontId="46" fillId="11" borderId="102" xfId="6" applyNumberFormat="1" applyFont="1" applyFill="1" applyBorder="1" applyAlignment="1">
      <alignment horizontal="left" vertical="center" wrapText="1"/>
    </xf>
    <xf numFmtId="1" fontId="14" fillId="11" borderId="102" xfId="15" applyNumberFormat="1" applyFont="1" applyFill="1" applyBorder="1" applyAlignment="1">
      <alignment horizontal="center" vertical="center"/>
    </xf>
    <xf numFmtId="1" fontId="76" fillId="0" borderId="10" xfId="15" applyNumberFormat="1" applyFont="1" applyBorder="1" applyAlignment="1">
      <alignment horizontal="center" vertical="center" wrapText="1"/>
    </xf>
    <xf numFmtId="1" fontId="9" fillId="11" borderId="1" xfId="15" applyNumberFormat="1" applyFont="1" applyFill="1" applyBorder="1" applyAlignment="1">
      <alignment horizontal="center" vertical="center" wrapText="1"/>
    </xf>
    <xf numFmtId="1" fontId="47" fillId="44" borderId="1" xfId="0" applyNumberFormat="1" applyFont="1" applyFill="1" applyBorder="1" applyAlignment="1">
      <alignment horizontal="center" vertical="center"/>
    </xf>
    <xf numFmtId="0" fontId="47" fillId="0" borderId="0" xfId="0" applyFont="1" applyAlignment="1">
      <alignment horizontal="left" vertical="center"/>
    </xf>
    <xf numFmtId="2" fontId="33" fillId="39" borderId="0" xfId="0" applyNumberFormat="1" applyFont="1" applyFill="1"/>
    <xf numFmtId="0" fontId="9" fillId="0" borderId="1" xfId="0" applyFont="1" applyBorder="1" applyAlignment="1">
      <alignment horizontal="center" vertical="center"/>
    </xf>
    <xf numFmtId="1" fontId="262" fillId="44" borderId="102" xfId="0" applyNumberFormat="1" applyFont="1" applyFill="1" applyBorder="1" applyAlignment="1">
      <alignment horizontal="center" vertical="center"/>
    </xf>
    <xf numFmtId="1" fontId="265" fillId="0" borderId="0" xfId="0" applyNumberFormat="1" applyFont="1"/>
    <xf numFmtId="0" fontId="267" fillId="0" borderId="0" xfId="0" applyFont="1"/>
    <xf numFmtId="0" fontId="268" fillId="0" borderId="0" xfId="0" applyFont="1"/>
    <xf numFmtId="0" fontId="269" fillId="0" borderId="104" xfId="0" applyFont="1" applyBorder="1" applyAlignment="1">
      <alignment horizontal="center" vertical="center" wrapText="1"/>
    </xf>
    <xf numFmtId="0" fontId="269" fillId="0" borderId="105" xfId="0" applyFont="1" applyBorder="1" applyAlignment="1">
      <alignment horizontal="center" vertical="center" wrapText="1"/>
    </xf>
    <xf numFmtId="0" fontId="272" fillId="0" borderId="104" xfId="0" applyFont="1" applyBorder="1" applyAlignment="1">
      <alignment horizontal="center" vertical="center" wrapText="1"/>
    </xf>
    <xf numFmtId="0" fontId="273" fillId="0" borderId="106" xfId="0" applyFont="1" applyBorder="1" applyAlignment="1">
      <alignment horizontal="center" vertical="center" wrapText="1"/>
    </xf>
    <xf numFmtId="0" fontId="274" fillId="0" borderId="106" xfId="0" applyFont="1" applyBorder="1" applyAlignment="1">
      <alignment horizontal="center" vertical="center" wrapText="1"/>
    </xf>
    <xf numFmtId="0" fontId="275" fillId="0" borderId="106" xfId="0" applyFont="1" applyBorder="1" applyAlignment="1">
      <alignment horizontal="center" vertical="center" wrapText="1"/>
    </xf>
    <xf numFmtId="0" fontId="276" fillId="0" borderId="104" xfId="0" applyFont="1" applyBorder="1" applyAlignment="1">
      <alignment horizontal="center" vertical="center" wrapText="1"/>
    </xf>
    <xf numFmtId="191" fontId="84" fillId="3" borderId="1" xfId="0" applyNumberFormat="1" applyFont="1" applyFill="1" applyBorder="1" applyAlignment="1">
      <alignment horizontal="center" vertical="center"/>
    </xf>
    <xf numFmtId="0" fontId="0" fillId="3" borderId="0" xfId="0" applyFill="1" applyBorder="1"/>
    <xf numFmtId="211" fontId="20" fillId="0" borderId="0" xfId="0" applyNumberFormat="1" applyFont="1"/>
    <xf numFmtId="1" fontId="47" fillId="44" borderId="102" xfId="0" applyNumberFormat="1" applyFont="1" applyFill="1" applyBorder="1" applyAlignment="1">
      <alignment horizontal="center" vertical="center"/>
    </xf>
    <xf numFmtId="0" fontId="51" fillId="23" borderId="102" xfId="0" applyFont="1" applyFill="1" applyBorder="1" applyAlignment="1">
      <alignment vertical="center" wrapText="1"/>
    </xf>
    <xf numFmtId="0" fontId="262" fillId="23" borderId="102" xfId="0" applyFont="1" applyFill="1" applyBorder="1" applyAlignment="1">
      <alignment vertical="center" wrapText="1"/>
    </xf>
    <xf numFmtId="0" fontId="47" fillId="23" borderId="102" xfId="0" applyFont="1" applyFill="1" applyBorder="1" applyAlignment="1">
      <alignment vertical="center" wrapText="1"/>
    </xf>
    <xf numFmtId="0" fontId="50" fillId="5" borderId="102" xfId="0" applyFont="1" applyFill="1" applyBorder="1" applyAlignment="1">
      <alignment vertical="center"/>
    </xf>
    <xf numFmtId="0" fontId="47" fillId="23" borderId="102" xfId="0" applyFont="1" applyFill="1" applyBorder="1" applyAlignment="1">
      <alignment horizontal="left" vertical="center" wrapText="1"/>
    </xf>
    <xf numFmtId="0" fontId="261" fillId="23" borderId="102" xfId="0" applyFont="1" applyFill="1" applyBorder="1" applyAlignment="1">
      <alignment horizontal="left" vertical="center" wrapText="1"/>
    </xf>
    <xf numFmtId="0" fontId="261" fillId="23" borderId="102" xfId="0" applyFont="1" applyFill="1" applyBorder="1" applyAlignment="1">
      <alignment vertical="center" wrapText="1"/>
    </xf>
    <xf numFmtId="0" fontId="47" fillId="0" borderId="102" xfId="0" applyFont="1" applyBorder="1" applyAlignment="1">
      <alignment vertical="center"/>
    </xf>
    <xf numFmtId="0" fontId="50" fillId="10" borderId="102" xfId="0" applyFont="1" applyFill="1" applyBorder="1" applyAlignment="1">
      <alignment vertical="center"/>
    </xf>
    <xf numFmtId="0" fontId="112" fillId="0" borderId="0" xfId="12" applyFont="1" applyAlignment="1">
      <alignment vertical="center" wrapText="1"/>
    </xf>
    <xf numFmtId="0" fontId="111" fillId="0" borderId="0" xfId="12" applyFont="1" applyAlignment="1">
      <alignment vertical="center" wrapText="1"/>
    </xf>
    <xf numFmtId="0" fontId="110" fillId="0" borderId="0" xfId="12" applyFont="1" applyAlignment="1">
      <alignment vertical="center" wrapText="1"/>
    </xf>
    <xf numFmtId="0" fontId="110" fillId="0" borderId="0" xfId="12" applyFont="1" applyAlignment="1">
      <alignment horizontal="left" vertical="center" wrapText="1"/>
    </xf>
    <xf numFmtId="207" fontId="106" fillId="0" borderId="102" xfId="12" applyNumberFormat="1" applyFont="1" applyBorder="1" applyAlignment="1">
      <alignment horizontal="left" vertical="center"/>
    </xf>
    <xf numFmtId="207" fontId="108" fillId="0" borderId="102" xfId="12" applyNumberFormat="1" applyFont="1" applyBorder="1" applyAlignment="1">
      <alignment horizontal="left" vertical="center"/>
    </xf>
    <xf numFmtId="1" fontId="9" fillId="8" borderId="0" xfId="15" applyNumberFormat="1" applyFont="1" applyFill="1" applyAlignment="1">
      <alignment vertical="center"/>
    </xf>
    <xf numFmtId="180" fontId="46" fillId="0" borderId="102" xfId="15" applyNumberFormat="1" applyFont="1" applyBorder="1" applyAlignment="1">
      <alignment horizontal="left" vertical="center" wrapText="1"/>
    </xf>
    <xf numFmtId="0" fontId="281" fillId="5" borderId="102" xfId="0" applyFont="1" applyFill="1" applyBorder="1" applyAlignment="1">
      <alignment vertical="center"/>
    </xf>
    <xf numFmtId="1" fontId="14" fillId="10" borderId="0" xfId="15" applyNumberFormat="1" applyFont="1" applyFill="1" applyAlignment="1">
      <alignment vertical="center"/>
    </xf>
    <xf numFmtId="1" fontId="10" fillId="135" borderId="1" xfId="0" applyNumberFormat="1" applyFont="1" applyFill="1" applyBorder="1" applyAlignment="1">
      <alignment horizontal="center" vertical="center"/>
    </xf>
    <xf numFmtId="210" fontId="10" fillId="0" borderId="1" xfId="0" applyNumberFormat="1" applyFont="1" applyBorder="1" applyAlignment="1">
      <alignment horizontal="center" vertical="center"/>
    </xf>
    <xf numFmtId="211" fontId="264" fillId="2" borderId="38" xfId="15" applyNumberFormat="1" applyFont="1" applyFill="1" applyBorder="1" applyAlignment="1">
      <alignment vertical="center"/>
    </xf>
    <xf numFmtId="1" fontId="15" fillId="0" borderId="1" xfId="0" applyNumberFormat="1" applyFont="1" applyFill="1" applyBorder="1" applyAlignment="1">
      <alignment horizontal="center" vertical="center"/>
    </xf>
    <xf numFmtId="1" fontId="10" fillId="135" borderId="1" xfId="0" applyNumberFormat="1" applyFont="1" applyFill="1" applyBorder="1" applyAlignment="1">
      <alignment horizontal="left" vertical="center" wrapText="1"/>
    </xf>
    <xf numFmtId="1" fontId="40" fillId="0" borderId="1" xfId="0" applyNumberFormat="1" applyFont="1" applyFill="1" applyBorder="1" applyAlignment="1">
      <alignment horizontal="center" vertical="center"/>
    </xf>
    <xf numFmtId="0" fontId="40" fillId="0" borderId="102" xfId="0" applyFont="1" applyFill="1" applyBorder="1" applyAlignment="1">
      <alignment horizontal="left" vertical="center" indent="1"/>
    </xf>
    <xf numFmtId="189" fontId="10" fillId="0" borderId="102" xfId="0" applyNumberFormat="1" applyFont="1" applyFill="1" applyBorder="1" applyAlignment="1">
      <alignment horizontal="left" vertical="center" indent="1" readingOrder="1"/>
    </xf>
    <xf numFmtId="1" fontId="10" fillId="135" borderId="1" xfId="0" applyNumberFormat="1" applyFont="1" applyFill="1" applyBorder="1" applyAlignment="1">
      <alignment horizontal="left" vertical="center"/>
    </xf>
    <xf numFmtId="202" fontId="78" fillId="0" borderId="102" xfId="12" applyNumberFormat="1" applyFont="1" applyBorder="1" applyAlignment="1">
      <alignment horizontal="center" vertical="center"/>
    </xf>
    <xf numFmtId="0" fontId="40" fillId="10" borderId="102" xfId="15" applyFont="1" applyFill="1" applyBorder="1" applyAlignment="1">
      <alignment vertical="center"/>
    </xf>
    <xf numFmtId="1" fontId="43" fillId="10" borderId="102" xfId="15" applyNumberFormat="1" applyFont="1" applyFill="1" applyBorder="1" applyAlignment="1">
      <alignment horizontal="center" vertical="center" wrapText="1"/>
    </xf>
    <xf numFmtId="191" fontId="40" fillId="10" borderId="102" xfId="15" applyNumberFormat="1" applyFont="1" applyFill="1" applyBorder="1" applyAlignment="1">
      <alignment vertical="center"/>
    </xf>
    <xf numFmtId="1" fontId="40" fillId="10" borderId="102" xfId="15" applyNumberFormat="1" applyFont="1" applyFill="1" applyBorder="1" applyAlignment="1">
      <alignment vertical="center"/>
    </xf>
    <xf numFmtId="191" fontId="40" fillId="10" borderId="102" xfId="15" applyNumberFormat="1" applyFont="1" applyFill="1" applyBorder="1" applyAlignment="1">
      <alignment horizontal="center" vertical="center"/>
    </xf>
    <xf numFmtId="4" fontId="40" fillId="10" borderId="102" xfId="15" applyNumberFormat="1" applyFont="1" applyFill="1" applyBorder="1" applyAlignment="1">
      <alignment vertical="center"/>
    </xf>
    <xf numFmtId="1" fontId="44" fillId="10" borderId="102" xfId="15" applyNumberFormat="1" applyFont="1" applyFill="1" applyBorder="1" applyAlignment="1">
      <alignment horizontal="center" vertical="center" wrapText="1"/>
    </xf>
    <xf numFmtId="191" fontId="39" fillId="10" borderId="102" xfId="15" applyNumberFormat="1" applyFont="1" applyFill="1" applyBorder="1" applyAlignment="1">
      <alignment vertical="center"/>
    </xf>
    <xf numFmtId="191" fontId="41" fillId="10" borderId="102" xfId="15" applyNumberFormat="1" applyFont="1" applyFill="1" applyBorder="1" applyAlignment="1">
      <alignment horizontal="center" vertical="center" wrapText="1"/>
    </xf>
    <xf numFmtId="191" fontId="39" fillId="10" borderId="102" xfId="15" applyNumberFormat="1" applyFont="1" applyFill="1" applyBorder="1" applyAlignment="1">
      <alignment horizontal="center" vertical="center"/>
    </xf>
    <xf numFmtId="0" fontId="39" fillId="11" borderId="102" xfId="15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indent="2" readingOrder="1"/>
    </xf>
    <xf numFmtId="0" fontId="9" fillId="0" borderId="102" xfId="0" applyFont="1" applyBorder="1" applyAlignment="1">
      <alignment horizontal="left" vertical="center" indent="1" readingOrder="1"/>
    </xf>
    <xf numFmtId="1" fontId="19" fillId="0" borderId="102" xfId="0" applyNumberFormat="1" applyFont="1" applyBorder="1" applyAlignment="1">
      <alignment horizontal="center" vertical="center"/>
    </xf>
    <xf numFmtId="1" fontId="14" fillId="0" borderId="102" xfId="0" applyNumberFormat="1" applyFont="1" applyBorder="1" applyAlignment="1">
      <alignment horizontal="center" vertical="center"/>
    </xf>
    <xf numFmtId="1" fontId="48" fillId="0" borderId="1" xfId="0" applyNumberFormat="1" applyFont="1" applyFill="1" applyBorder="1" applyAlignment="1">
      <alignment horizontal="center" vertical="center"/>
    </xf>
    <xf numFmtId="180" fontId="15" fillId="0" borderId="1" xfId="0" applyNumberFormat="1" applyFont="1" applyFill="1" applyBorder="1" applyAlignment="1">
      <alignment horizontal="left" vertical="center"/>
    </xf>
    <xf numFmtId="9" fontId="25" fillId="0" borderId="1" xfId="3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102" xfId="0" applyFont="1" applyFill="1" applyBorder="1" applyAlignment="1">
      <alignment horizontal="center" vertical="center"/>
    </xf>
    <xf numFmtId="1" fontId="76" fillId="0" borderId="10" xfId="15" applyNumberFormat="1" applyFont="1" applyFill="1" applyBorder="1" applyAlignment="1">
      <alignment horizontal="center" vertical="center" wrapText="1"/>
    </xf>
    <xf numFmtId="1" fontId="51" fillId="2" borderId="0" xfId="1" applyNumberFormat="1" applyFont="1" applyFill="1" applyAlignment="1">
      <alignment vertical="center"/>
    </xf>
    <xf numFmtId="0" fontId="41" fillId="0" borderId="1" xfId="15" applyFont="1" applyFill="1" applyBorder="1" applyAlignment="1">
      <alignment horizontal="left" vertical="center" wrapText="1" indent="3"/>
    </xf>
    <xf numFmtId="202" fontId="78" fillId="23" borderId="1" xfId="12" applyNumberFormat="1" applyFont="1" applyFill="1" applyBorder="1" applyAlignment="1">
      <alignment horizontal="center" vertical="center"/>
    </xf>
    <xf numFmtId="202" fontId="78" fillId="11" borderId="1" xfId="12" applyNumberFormat="1" applyFont="1" applyFill="1" applyBorder="1" applyAlignment="1">
      <alignment horizontal="center" vertical="center"/>
    </xf>
    <xf numFmtId="191" fontId="78" fillId="0" borderId="102" xfId="12" applyNumberFormat="1" applyFont="1" applyBorder="1" applyAlignment="1">
      <alignment horizontal="center" vertical="center"/>
    </xf>
    <xf numFmtId="1" fontId="51" fillId="0" borderId="0" xfId="1" applyNumberFormat="1" applyFont="1" applyBorder="1" applyAlignment="1">
      <alignment vertical="center"/>
    </xf>
    <xf numFmtId="1" fontId="51" fillId="0" borderId="0" xfId="1" applyNumberFormat="1" applyFont="1" applyBorder="1" applyAlignment="1">
      <alignment horizontal="center" vertical="center"/>
    </xf>
    <xf numFmtId="0" fontId="51" fillId="0" borderId="0" xfId="1" applyFont="1" applyBorder="1" applyAlignment="1">
      <alignment vertical="center"/>
    </xf>
    <xf numFmtId="0" fontId="14" fillId="0" borderId="102" xfId="0" applyFont="1" applyFill="1" applyBorder="1" applyAlignment="1">
      <alignment horizontal="left" vertical="center"/>
    </xf>
    <xf numFmtId="207" fontId="14" fillId="0" borderId="102" xfId="0" applyNumberFormat="1" applyFont="1" applyBorder="1" applyAlignment="1">
      <alignment horizontal="left" vertical="center"/>
    </xf>
    <xf numFmtId="207" fontId="14" fillId="0" borderId="102" xfId="0" applyNumberFormat="1" applyFont="1" applyFill="1" applyBorder="1" applyAlignment="1">
      <alignment horizontal="left" vertical="center"/>
    </xf>
    <xf numFmtId="0" fontId="14" fillId="47" borderId="1" xfId="0" applyFont="1" applyFill="1" applyBorder="1" applyAlignment="1">
      <alignment horizontal="left" vertical="center"/>
    </xf>
    <xf numFmtId="211" fontId="14" fillId="47" borderId="1" xfId="0" applyNumberFormat="1" applyFont="1" applyFill="1" applyBorder="1" applyAlignment="1">
      <alignment horizontal="center" vertical="center"/>
    </xf>
    <xf numFmtId="2" fontId="14" fillId="47" borderId="1" xfId="0" applyNumberFormat="1" applyFont="1" applyFill="1" applyBorder="1" applyAlignment="1">
      <alignment horizontal="center" vertical="center"/>
    </xf>
    <xf numFmtId="1" fontId="14" fillId="47" borderId="1" xfId="0" applyNumberFormat="1" applyFont="1" applyFill="1" applyBorder="1" applyAlignment="1">
      <alignment horizontal="center" vertical="center"/>
    </xf>
    <xf numFmtId="207" fontId="14" fillId="47" borderId="1" xfId="0" applyNumberFormat="1" applyFont="1" applyFill="1" applyBorder="1" applyAlignment="1">
      <alignment horizontal="left" vertical="center"/>
    </xf>
    <xf numFmtId="0" fontId="46" fillId="47" borderId="1" xfId="0" applyFont="1" applyFill="1" applyBorder="1" applyAlignment="1">
      <alignment vertical="center"/>
    </xf>
    <xf numFmtId="2" fontId="46" fillId="47" borderId="1" xfId="0" applyNumberFormat="1" applyFont="1" applyFill="1" applyBorder="1" applyAlignment="1">
      <alignment horizontal="center" vertical="center"/>
    </xf>
    <xf numFmtId="0" fontId="46" fillId="47" borderId="1" xfId="0" applyFont="1" applyFill="1" applyBorder="1" applyAlignment="1">
      <alignment horizontal="center" vertical="center"/>
    </xf>
    <xf numFmtId="197" fontId="46" fillId="47" borderId="1" xfId="6" applyNumberFormat="1" applyFont="1" applyFill="1" applyBorder="1" applyAlignment="1">
      <alignment horizontal="left" vertical="center" wrapText="1"/>
    </xf>
    <xf numFmtId="1" fontId="46" fillId="47" borderId="1" xfId="0" applyNumberFormat="1" applyFont="1" applyFill="1" applyBorder="1" applyAlignment="1">
      <alignment horizontal="center" vertical="center"/>
    </xf>
    <xf numFmtId="0" fontId="9" fillId="11" borderId="1" xfId="0" applyFont="1" applyFill="1" applyBorder="1" applyAlignment="1">
      <alignment horizontal="center" vertical="center"/>
    </xf>
    <xf numFmtId="0" fontId="14" fillId="11" borderId="102" xfId="0" applyFont="1" applyFill="1" applyBorder="1" applyAlignment="1">
      <alignment horizontal="center" vertical="center"/>
    </xf>
    <xf numFmtId="0" fontId="14" fillId="47" borderId="102" xfId="0" applyFont="1" applyFill="1" applyBorder="1" applyAlignment="1">
      <alignment vertical="center"/>
    </xf>
    <xf numFmtId="1" fontId="14" fillId="47" borderId="102" xfId="0" applyNumberFormat="1" applyFont="1" applyFill="1" applyBorder="1" applyAlignment="1">
      <alignment horizontal="center" vertical="center"/>
    </xf>
    <xf numFmtId="180" fontId="45" fillId="47" borderId="102" xfId="6" applyNumberFormat="1" applyFont="1" applyFill="1" applyBorder="1" applyAlignment="1">
      <alignment horizontal="left" vertical="center" wrapText="1"/>
    </xf>
    <xf numFmtId="0" fontId="14" fillId="47" borderId="102" xfId="0" applyFont="1" applyFill="1" applyBorder="1" applyAlignment="1">
      <alignment horizontal="center" vertical="center"/>
    </xf>
    <xf numFmtId="1" fontId="40" fillId="0" borderId="0" xfId="15" applyNumberFormat="1" applyFont="1" applyAlignment="1">
      <alignment vertical="center"/>
    </xf>
    <xf numFmtId="183" fontId="78" fillId="0" borderId="102" xfId="12" applyNumberFormat="1" applyFont="1" applyBorder="1" applyAlignment="1">
      <alignment horizontal="center" vertical="center"/>
    </xf>
    <xf numFmtId="180" fontId="15" fillId="0" borderId="114" xfId="15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 wrapText="1"/>
    </xf>
    <xf numFmtId="210" fontId="9" fillId="0" borderId="1" xfId="0" applyNumberFormat="1" applyFont="1" applyBorder="1" applyAlignment="1">
      <alignment horizontal="left" vertical="center" wrapText="1"/>
    </xf>
    <xf numFmtId="0" fontId="10" fillId="0" borderId="1" xfId="0" applyFont="1" applyBorder="1" applyAlignment="1">
      <alignment vertical="center" wrapText="1"/>
    </xf>
    <xf numFmtId="9" fontId="10" fillId="0" borderId="1" xfId="0" applyNumberFormat="1" applyFont="1" applyBorder="1" applyAlignment="1">
      <alignment horizontal="center"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210" fontId="10" fillId="0" borderId="1" xfId="0" applyNumberFormat="1" applyFont="1" applyBorder="1" applyAlignment="1">
      <alignment horizontal="left" vertical="center" wrapText="1"/>
    </xf>
    <xf numFmtId="0" fontId="10" fillId="0" borderId="102" xfId="0" applyFont="1" applyBorder="1" applyAlignment="1">
      <alignment vertical="center" wrapText="1"/>
    </xf>
    <xf numFmtId="9" fontId="10" fillId="0" borderId="102" xfId="0" applyNumberFormat="1" applyFont="1" applyBorder="1" applyAlignment="1">
      <alignment horizontal="center" vertical="center" wrapText="1"/>
    </xf>
    <xf numFmtId="1" fontId="10" fillId="0" borderId="102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1" fontId="14" fillId="11" borderId="1" xfId="0" applyNumberFormat="1" applyFont="1" applyFill="1" applyBorder="1" applyAlignment="1">
      <alignment horizontal="center" vertical="center"/>
    </xf>
    <xf numFmtId="1" fontId="19" fillId="11" borderId="1" xfId="0" applyNumberFormat="1" applyFont="1" applyFill="1" applyBorder="1" applyAlignment="1">
      <alignment horizontal="center" vertical="center"/>
    </xf>
    <xf numFmtId="180" fontId="14" fillId="11" borderId="1" xfId="0" applyNumberFormat="1" applyFont="1" applyFill="1" applyBorder="1" applyAlignment="1">
      <alignment horizontal="left" vertical="center"/>
    </xf>
    <xf numFmtId="9" fontId="14" fillId="11" borderId="1" xfId="3" applyFont="1" applyFill="1" applyBorder="1" applyAlignment="1">
      <alignment horizontal="center" vertical="center"/>
    </xf>
    <xf numFmtId="189" fontId="9" fillId="11" borderId="1" xfId="0" applyNumberFormat="1" applyFont="1" applyFill="1" applyBorder="1" applyAlignment="1">
      <alignment horizontal="left" vertical="center" readingOrder="1"/>
    </xf>
    <xf numFmtId="189" fontId="9" fillId="47" borderId="1" xfId="0" applyNumberFormat="1" applyFont="1" applyFill="1" applyBorder="1" applyAlignment="1">
      <alignment horizontal="left" vertical="center" readingOrder="1"/>
    </xf>
    <xf numFmtId="1" fontId="19" fillId="47" borderId="1" xfId="0" applyNumberFormat="1" applyFont="1" applyFill="1" applyBorder="1" applyAlignment="1">
      <alignment horizontal="center" vertical="center"/>
    </xf>
    <xf numFmtId="180" fontId="14" fillId="47" borderId="1" xfId="0" applyNumberFormat="1" applyFont="1" applyFill="1" applyBorder="1" applyAlignment="1">
      <alignment horizontal="left" vertical="center"/>
    </xf>
    <xf numFmtId="183" fontId="9" fillId="0" borderId="102" xfId="0" applyNumberFormat="1" applyFont="1" applyFill="1" applyBorder="1" applyAlignment="1">
      <alignment horizontal="center" vertical="center"/>
    </xf>
    <xf numFmtId="10" fontId="10" fillId="0" borderId="0" xfId="3" applyNumberFormat="1" applyFont="1" applyAlignment="1">
      <alignment vertical="center"/>
    </xf>
    <xf numFmtId="10" fontId="15" fillId="0" borderId="0" xfId="3" applyNumberFormat="1" applyFont="1" applyFill="1" applyAlignment="1">
      <alignment vertical="center"/>
    </xf>
    <xf numFmtId="10" fontId="51" fillId="0" borderId="0" xfId="3" applyNumberFormat="1" applyFont="1" applyAlignment="1">
      <alignment vertical="center"/>
    </xf>
    <xf numFmtId="0" fontId="39" fillId="0" borderId="102" xfId="0" applyFont="1" applyBorder="1" applyAlignment="1">
      <alignment vertical="center"/>
    </xf>
    <xf numFmtId="0" fontId="40" fillId="0" borderId="102" xfId="0" applyFont="1" applyBorder="1" applyAlignment="1">
      <alignment vertical="center"/>
    </xf>
    <xf numFmtId="0" fontId="40" fillId="0" borderId="102" xfId="0" applyFont="1" applyBorder="1" applyAlignment="1">
      <alignment horizontal="center" vertical="center"/>
    </xf>
    <xf numFmtId="2" fontId="39" fillId="0" borderId="102" xfId="0" applyNumberFormat="1" applyFont="1" applyBorder="1" applyAlignment="1">
      <alignment horizontal="center" vertical="center"/>
    </xf>
    <xf numFmtId="2" fontId="40" fillId="0" borderId="102" xfId="0" applyNumberFormat="1" applyFont="1" applyBorder="1" applyAlignment="1">
      <alignment horizontal="center" vertical="center"/>
    </xf>
    <xf numFmtId="2" fontId="46" fillId="0" borderId="102" xfId="0" applyNumberFormat="1" applyFont="1" applyFill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5" fillId="0" borderId="1" xfId="0" applyFont="1" applyFill="1" applyBorder="1" applyAlignment="1">
      <alignment vertical="center"/>
    </xf>
    <xf numFmtId="0" fontId="46" fillId="0" borderId="0" xfId="0" applyFont="1" applyBorder="1"/>
    <xf numFmtId="2" fontId="46" fillId="0" borderId="0" xfId="0" applyNumberFormat="1" applyFont="1" applyBorder="1" applyAlignment="1">
      <alignment horizontal="center" vertical="center"/>
    </xf>
    <xf numFmtId="0" fontId="46" fillId="0" borderId="0" xfId="0" applyNumberFormat="1" applyFont="1" applyBorder="1" applyAlignment="1">
      <alignment horizontal="center" vertical="center"/>
    </xf>
    <xf numFmtId="183" fontId="46" fillId="0" borderId="102" xfId="0" applyNumberFormat="1" applyFont="1" applyBorder="1" applyAlignment="1">
      <alignment horizontal="center" vertical="center"/>
    </xf>
    <xf numFmtId="0" fontId="282" fillId="0" borderId="102" xfId="0" applyFont="1" applyBorder="1" applyAlignment="1">
      <alignment vertical="center" wrapText="1"/>
    </xf>
    <xf numFmtId="183" fontId="45" fillId="0" borderId="102" xfId="0" applyNumberFormat="1" applyFont="1" applyBorder="1" applyAlignment="1">
      <alignment horizontal="center" vertical="center"/>
    </xf>
    <xf numFmtId="1" fontId="45" fillId="0" borderId="102" xfId="0" applyNumberFormat="1" applyFont="1" applyFill="1" applyBorder="1" applyAlignment="1">
      <alignment horizontal="center" vertical="center"/>
    </xf>
    <xf numFmtId="211" fontId="9" fillId="0" borderId="102" xfId="0" applyNumberFormat="1" applyFont="1" applyBorder="1" applyAlignment="1">
      <alignment horizontal="center" vertical="center"/>
    </xf>
    <xf numFmtId="211" fontId="10" fillId="0" borderId="102" xfId="0" applyNumberFormat="1" applyFont="1" applyBorder="1" applyAlignment="1">
      <alignment horizontal="center" vertical="center"/>
    </xf>
    <xf numFmtId="251" fontId="46" fillId="0" borderId="102" xfId="0" applyNumberFormat="1" applyFont="1" applyBorder="1" applyAlignment="1">
      <alignment horizontal="left" vertical="center"/>
    </xf>
    <xf numFmtId="251" fontId="45" fillId="0" borderId="102" xfId="0" applyNumberFormat="1" applyFont="1" applyBorder="1" applyAlignment="1">
      <alignment horizontal="left" vertical="center"/>
    </xf>
    <xf numFmtId="1" fontId="14" fillId="0" borderId="0" xfId="0" applyNumberFormat="1" applyFont="1"/>
    <xf numFmtId="211" fontId="9" fillId="0" borderId="102" xfId="0" applyNumberFormat="1" applyFont="1" applyFill="1" applyBorder="1" applyAlignment="1">
      <alignment horizontal="center" vertical="center"/>
    </xf>
    <xf numFmtId="192" fontId="283" fillId="0" borderId="102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29" xfId="0" applyFont="1" applyBorder="1" applyAlignment="1">
      <alignment horizontal="center" vertical="center" wrapText="1"/>
    </xf>
    <xf numFmtId="0" fontId="10" fillId="3" borderId="29" xfId="0" applyFont="1" applyFill="1" applyBorder="1" applyAlignment="1">
      <alignment horizontal="center" vertical="center" wrapText="1"/>
    </xf>
    <xf numFmtId="191" fontId="10" fillId="3" borderId="29" xfId="0" applyNumberFormat="1" applyFont="1" applyFill="1" applyBorder="1" applyAlignment="1">
      <alignment horizontal="center" vertical="center"/>
    </xf>
    <xf numFmtId="183" fontId="10" fillId="3" borderId="29" xfId="0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181" fontId="10" fillId="3" borderId="6" xfId="0" applyNumberFormat="1" applyFont="1" applyFill="1" applyBorder="1" applyAlignment="1">
      <alignment horizontal="center" vertical="center"/>
    </xf>
    <xf numFmtId="191" fontId="10" fillId="3" borderId="115" xfId="0" applyNumberFormat="1" applyFont="1" applyFill="1" applyBorder="1" applyAlignment="1">
      <alignment horizontal="center" vertical="center"/>
    </xf>
    <xf numFmtId="43" fontId="9" fillId="0" borderId="0" xfId="15" applyNumberFormat="1" applyFont="1" applyAlignment="1">
      <alignment vertical="center"/>
    </xf>
    <xf numFmtId="0" fontId="275" fillId="0" borderId="0" xfId="0" applyNumberFormat="1" applyFont="1"/>
    <xf numFmtId="210" fontId="10" fillId="0" borderId="102" xfId="0" applyNumberFormat="1" applyFont="1" applyBorder="1" applyAlignment="1">
      <alignment horizontal="center" vertical="center" wrapText="1"/>
    </xf>
    <xf numFmtId="210" fontId="10" fillId="0" borderId="1" xfId="0" applyNumberFormat="1" applyFont="1" applyBorder="1" applyAlignment="1">
      <alignment horizontal="center" vertical="center" wrapText="1"/>
    </xf>
    <xf numFmtId="181" fontId="10" fillId="3" borderId="102" xfId="0" applyNumberFormat="1" applyFont="1" applyFill="1" applyBorder="1" applyAlignment="1">
      <alignment horizontal="center" vertical="center"/>
    </xf>
    <xf numFmtId="43" fontId="9" fillId="0" borderId="0" xfId="15" applyNumberFormat="1" applyFont="1" applyFill="1" applyAlignment="1">
      <alignment vertical="center"/>
    </xf>
    <xf numFmtId="0" fontId="277" fillId="0" borderId="103" xfId="0" applyFont="1" applyBorder="1" applyAlignment="1">
      <alignment horizontal="center" vertical="center" wrapText="1"/>
    </xf>
    <xf numFmtId="0" fontId="277" fillId="0" borderId="34" xfId="0" applyFont="1" applyBorder="1" applyAlignment="1">
      <alignment horizontal="center" vertical="center" wrapText="1"/>
    </xf>
    <xf numFmtId="0" fontId="277" fillId="27" borderId="103" xfId="0" applyFont="1" applyFill="1" applyBorder="1" applyAlignment="1">
      <alignment horizontal="center" vertical="center" wrapText="1"/>
    </xf>
    <xf numFmtId="0" fontId="269" fillId="0" borderId="103" xfId="0" applyFont="1" applyBorder="1" applyAlignment="1">
      <alignment horizontal="center" vertical="center" wrapText="1"/>
    </xf>
    <xf numFmtId="0" fontId="277" fillId="0" borderId="104" xfId="0" applyFont="1" applyBorder="1" applyAlignment="1">
      <alignment horizontal="center" vertical="center" wrapText="1"/>
    </xf>
    <xf numFmtId="0" fontId="277" fillId="0" borderId="106" xfId="0" applyFont="1" applyBorder="1" applyAlignment="1">
      <alignment horizontal="center" vertical="center" wrapText="1"/>
    </xf>
    <xf numFmtId="0" fontId="277" fillId="27" borderId="104" xfId="0" applyFont="1" applyFill="1" applyBorder="1" applyAlignment="1">
      <alignment horizontal="center" vertical="center" wrapText="1"/>
    </xf>
    <xf numFmtId="0" fontId="277" fillId="0" borderId="116" xfId="0" applyFont="1" applyBorder="1" applyAlignment="1">
      <alignment horizontal="center" vertical="center" wrapText="1"/>
    </xf>
    <xf numFmtId="0" fontId="277" fillId="0" borderId="105" xfId="0" applyFont="1" applyBorder="1" applyAlignment="1">
      <alignment horizontal="center" vertical="center" wrapText="1"/>
    </xf>
    <xf numFmtId="0" fontId="277" fillId="27" borderId="105" xfId="0" applyFont="1" applyFill="1" applyBorder="1" applyAlignment="1">
      <alignment horizontal="center" vertical="center" wrapText="1"/>
    </xf>
    <xf numFmtId="0" fontId="278" fillId="27" borderId="106" xfId="0" applyFont="1" applyFill="1" applyBorder="1" applyAlignment="1">
      <alignment horizontal="center" vertical="center" wrapText="1"/>
    </xf>
    <xf numFmtId="0" fontId="259" fillId="0" borderId="106" xfId="0" applyFont="1" applyBorder="1" applyAlignment="1">
      <alignment horizontal="center" vertical="center" wrapText="1"/>
    </xf>
    <xf numFmtId="0" fontId="279" fillId="0" borderId="106" xfId="0" applyFont="1" applyBorder="1" applyAlignment="1">
      <alignment horizontal="center" vertical="center" wrapText="1"/>
    </xf>
    <xf numFmtId="0" fontId="280" fillId="0" borderId="106" xfId="0" applyFont="1" applyBorder="1" applyAlignment="1">
      <alignment horizontal="center" vertical="center" wrapText="1"/>
    </xf>
    <xf numFmtId="0" fontId="262" fillId="0" borderId="0" xfId="0" applyFont="1" applyAlignment="1">
      <alignment vertical="center"/>
    </xf>
    <xf numFmtId="180" fontId="75" fillId="0" borderId="0" xfId="15" applyNumberFormat="1" applyFont="1" applyAlignment="1">
      <alignment vertical="center"/>
    </xf>
    <xf numFmtId="1" fontId="79" fillId="0" borderId="102" xfId="0" applyNumberFormat="1" applyFont="1" applyFill="1" applyBorder="1" applyAlignment="1" applyProtection="1">
      <alignment horizontal="center" vertical="center" wrapText="1"/>
    </xf>
    <xf numFmtId="0" fontId="41" fillId="0" borderId="102" xfId="15" applyFont="1" applyBorder="1" applyAlignment="1">
      <alignment horizontal="center" vertical="center" wrapText="1"/>
    </xf>
    <xf numFmtId="0" fontId="41" fillId="0" borderId="102" xfId="15" applyFont="1" applyFill="1" applyBorder="1" applyAlignment="1">
      <alignment horizontal="center" vertical="center" wrapText="1"/>
    </xf>
    <xf numFmtId="0" fontId="9" fillId="0" borderId="102" xfId="15" applyFont="1" applyBorder="1" applyAlignment="1">
      <alignment horizontal="center" vertical="center" wrapText="1"/>
    </xf>
    <xf numFmtId="191" fontId="41" fillId="11" borderId="102" xfId="15" applyNumberFormat="1" applyFont="1" applyFill="1" applyBorder="1" applyAlignment="1">
      <alignment horizontal="center" vertical="center" wrapText="1"/>
    </xf>
    <xf numFmtId="0" fontId="41" fillId="0" borderId="102" xfId="15" applyFont="1" applyBorder="1" applyAlignment="1">
      <alignment vertical="center" wrapText="1"/>
    </xf>
    <xf numFmtId="0" fontId="42" fillId="0" borderId="102" xfId="15" applyFont="1" applyBorder="1" applyAlignment="1">
      <alignment vertical="center" wrapText="1"/>
    </xf>
    <xf numFmtId="1" fontId="43" fillId="0" borderId="102" xfId="15" applyNumberFormat="1" applyFont="1" applyBorder="1" applyAlignment="1">
      <alignment horizontal="center" vertical="center" wrapText="1"/>
    </xf>
    <xf numFmtId="191" fontId="10" fillId="0" borderId="102" xfId="15" applyNumberFormat="1" applyFont="1" applyBorder="1" applyAlignment="1">
      <alignment horizontal="center" vertical="center" wrapText="1"/>
    </xf>
    <xf numFmtId="0" fontId="40" fillId="0" borderId="102" xfId="15" applyFont="1" applyBorder="1" applyAlignment="1">
      <alignment horizontal="center" vertical="center"/>
    </xf>
    <xf numFmtId="1" fontId="42" fillId="0" borderId="102" xfId="15" applyNumberFormat="1" applyFont="1" applyBorder="1" applyAlignment="1">
      <alignment horizontal="center" vertical="center" wrapText="1"/>
    </xf>
    <xf numFmtId="0" fontId="41" fillId="0" borderId="102" xfId="15" applyFont="1" applyBorder="1" applyAlignment="1">
      <alignment horizontal="left" vertical="center" wrapText="1"/>
    </xf>
    <xf numFmtId="1" fontId="44" fillId="0" borderId="102" xfId="15" applyNumberFormat="1" applyFont="1" applyBorder="1" applyAlignment="1">
      <alignment horizontal="center" vertical="center" wrapText="1"/>
    </xf>
    <xf numFmtId="191" fontId="9" fillId="0" borderId="102" xfId="15" applyNumberFormat="1" applyFont="1" applyBorder="1" applyAlignment="1">
      <alignment horizontal="center" vertical="center" wrapText="1"/>
    </xf>
    <xf numFmtId="191" fontId="40" fillId="0" borderId="73" xfId="15" applyNumberFormat="1" applyFont="1" applyBorder="1" applyAlignment="1">
      <alignment horizontal="center" vertical="center"/>
    </xf>
    <xf numFmtId="209" fontId="15" fillId="2" borderId="0" xfId="0" applyNumberFormat="1" applyFont="1" applyFill="1"/>
    <xf numFmtId="1" fontId="40" fillId="0" borderId="0" xfId="15" applyNumberFormat="1" applyFont="1" applyBorder="1" applyAlignment="1">
      <alignment vertical="center"/>
    </xf>
    <xf numFmtId="1" fontId="40" fillId="0" borderId="20" xfId="15" applyNumberFormat="1" applyFont="1" applyBorder="1" applyAlignment="1">
      <alignment vertical="center"/>
    </xf>
    <xf numFmtId="1" fontId="40" fillId="2" borderId="0" xfId="15" applyNumberFormat="1" applyFont="1" applyFill="1" applyBorder="1" applyAlignment="1">
      <alignment vertical="center"/>
    </xf>
    <xf numFmtId="1" fontId="40" fillId="7" borderId="0" xfId="15" applyNumberFormat="1" applyFont="1" applyFill="1" applyBorder="1" applyAlignment="1">
      <alignment vertical="center"/>
    </xf>
    <xf numFmtId="1" fontId="40" fillId="7" borderId="20" xfId="15" applyNumberFormat="1" applyFont="1" applyFill="1" applyBorder="1" applyAlignment="1">
      <alignment vertical="center"/>
    </xf>
    <xf numFmtId="209" fontId="20" fillId="0" borderId="0" xfId="0" applyNumberFormat="1" applyFont="1"/>
    <xf numFmtId="1" fontId="10" fillId="3" borderId="1" xfId="0" applyNumberFormat="1" applyFont="1" applyFill="1" applyBorder="1" applyAlignment="1">
      <alignment horizontal="left" vertical="center" wrapText="1"/>
    </xf>
    <xf numFmtId="1" fontId="264" fillId="2" borderId="38" xfId="15" applyNumberFormat="1" applyFont="1" applyFill="1" applyBorder="1" applyAlignment="1">
      <alignment vertical="center"/>
    </xf>
    <xf numFmtId="0" fontId="10" fillId="0" borderId="102" xfId="0" applyFont="1" applyFill="1" applyBorder="1" applyAlignment="1">
      <alignment horizontal="center" vertical="center"/>
    </xf>
    <xf numFmtId="1" fontId="10" fillId="0" borderId="102" xfId="0" applyNumberFormat="1" applyFont="1" applyFill="1" applyBorder="1" applyAlignment="1">
      <alignment horizontal="center" vertical="center"/>
    </xf>
    <xf numFmtId="1" fontId="283" fillId="0" borderId="102" xfId="0" applyNumberFormat="1" applyFont="1" applyBorder="1" applyAlignment="1">
      <alignment horizontal="center" vertical="center"/>
    </xf>
    <xf numFmtId="0" fontId="283" fillId="0" borderId="0" xfId="0" applyFont="1" applyAlignment="1">
      <alignment vertical="center"/>
    </xf>
    <xf numFmtId="180" fontId="10" fillId="0" borderId="102" xfId="0" applyNumberFormat="1" applyFont="1" applyFill="1" applyBorder="1" applyAlignment="1">
      <alignment horizontal="left" vertical="center" wrapText="1"/>
    </xf>
    <xf numFmtId="1" fontId="14" fillId="2" borderId="1" xfId="0" applyNumberFormat="1" applyFont="1" applyFill="1" applyBorder="1" applyAlignment="1">
      <alignment horizontal="center" vertical="center"/>
    </xf>
    <xf numFmtId="0" fontId="10" fillId="0" borderId="102" xfId="0" applyNumberFormat="1" applyFont="1" applyBorder="1" applyAlignment="1">
      <alignment horizontal="center" vertical="center"/>
    </xf>
    <xf numFmtId="207" fontId="108" fillId="0" borderId="102" xfId="12" applyNumberFormat="1" applyFont="1" applyBorder="1" applyAlignment="1">
      <alignment horizontal="center" vertical="center"/>
    </xf>
    <xf numFmtId="207" fontId="106" fillId="0" borderId="102" xfId="12" applyNumberFormat="1" applyFont="1" applyBorder="1" applyAlignment="1">
      <alignment horizontal="center" vertical="center"/>
    </xf>
    <xf numFmtId="197" fontId="9" fillId="11" borderId="102" xfId="6" applyNumberFormat="1" applyFont="1" applyFill="1" applyBorder="1" applyAlignment="1">
      <alignment horizontal="center" vertical="center" wrapText="1"/>
    </xf>
    <xf numFmtId="0" fontId="9" fillId="11" borderId="102" xfId="0" applyFont="1" applyFill="1" applyBorder="1" applyAlignment="1">
      <alignment horizontal="center" vertical="center"/>
    </xf>
    <xf numFmtId="1" fontId="283" fillId="0" borderId="10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top"/>
    </xf>
    <xf numFmtId="2" fontId="0" fillId="14" borderId="0" xfId="0" applyNumberFormat="1" applyFill="1" applyAlignment="1">
      <alignment horizontal="center" vertical="top"/>
    </xf>
    <xf numFmtId="10" fontId="10" fillId="0" borderId="0" xfId="0" applyNumberFormat="1" applyFont="1" applyAlignment="1">
      <alignment horizontal="center" vertical="center"/>
    </xf>
    <xf numFmtId="212" fontId="63" fillId="0" borderId="1" xfId="0" applyNumberFormat="1" applyFont="1" applyBorder="1" applyAlignment="1">
      <alignment horizontal="center" vertical="center"/>
    </xf>
    <xf numFmtId="212" fontId="63" fillId="0" borderId="8" xfId="0" applyNumberFormat="1" applyFont="1" applyBorder="1" applyAlignment="1">
      <alignment horizontal="center" vertical="center"/>
    </xf>
    <xf numFmtId="191" fontId="6" fillId="0" borderId="1" xfId="0" applyNumberFormat="1" applyFont="1" applyBorder="1" applyAlignment="1">
      <alignment horizontal="center" vertical="center"/>
    </xf>
    <xf numFmtId="191" fontId="6" fillId="0" borderId="8" xfId="0" applyNumberFormat="1" applyFont="1" applyBorder="1" applyAlignment="1">
      <alignment horizontal="center" vertical="center"/>
    </xf>
    <xf numFmtId="191" fontId="0" fillId="0" borderId="1" xfId="3" applyNumberFormat="1" applyFont="1" applyBorder="1" applyAlignment="1">
      <alignment horizontal="center" vertical="center"/>
    </xf>
    <xf numFmtId="1" fontId="28" fillId="0" borderId="0" xfId="0" applyNumberFormat="1" applyFont="1" applyAlignment="1">
      <alignment horizontal="center"/>
    </xf>
    <xf numFmtId="1" fontId="39" fillId="11" borderId="102" xfId="15" applyNumberFormat="1" applyFont="1" applyFill="1" applyBorder="1" applyAlignment="1">
      <alignment horizontal="center" vertical="center"/>
    </xf>
    <xf numFmtId="1" fontId="40" fillId="2" borderId="0" xfId="0" applyNumberFormat="1" applyFont="1" applyFill="1"/>
    <xf numFmtId="9" fontId="15" fillId="0" borderId="1" xfId="3" applyFont="1" applyFill="1" applyBorder="1" applyAlignment="1">
      <alignment horizontal="center" vertical="center"/>
    </xf>
    <xf numFmtId="9" fontId="14" fillId="47" borderId="1" xfId="3" applyFont="1" applyFill="1" applyBorder="1" applyAlignment="1">
      <alignment horizontal="center" vertical="center"/>
    </xf>
    <xf numFmtId="0" fontId="27" fillId="44" borderId="20" xfId="0" applyFont="1" applyFill="1" applyBorder="1"/>
    <xf numFmtId="1" fontId="29" fillId="44" borderId="20" xfId="0" applyNumberFormat="1" applyFont="1" applyFill="1" applyBorder="1"/>
    <xf numFmtId="0" fontId="39" fillId="0" borderId="102" xfId="0" applyFont="1" applyBorder="1" applyAlignment="1">
      <alignment horizontal="center" vertical="center"/>
    </xf>
    <xf numFmtId="1" fontId="39" fillId="0" borderId="102" xfId="0" applyNumberFormat="1" applyFont="1" applyBorder="1" applyAlignment="1">
      <alignment horizontal="center" vertical="center"/>
    </xf>
    <xf numFmtId="199" fontId="9" fillId="0" borderId="102" xfId="0" applyNumberFormat="1" applyFont="1" applyBorder="1" applyAlignment="1">
      <alignment horizontal="left" vertical="center" wrapText="1"/>
    </xf>
    <xf numFmtId="0" fontId="39" fillId="175" borderId="102" xfId="0" applyFont="1" applyFill="1" applyBorder="1" applyAlignment="1">
      <alignment horizontal="center" vertical="center"/>
    </xf>
    <xf numFmtId="1" fontId="39" fillId="175" borderId="102" xfId="0" applyNumberFormat="1" applyFont="1" applyFill="1" applyBorder="1" applyAlignment="1">
      <alignment horizontal="center" vertical="center"/>
    </xf>
    <xf numFmtId="199" fontId="9" fillId="175" borderId="102" xfId="0" applyNumberFormat="1" applyFont="1" applyFill="1" applyBorder="1" applyAlignment="1">
      <alignment horizontal="left" vertical="center" wrapText="1"/>
    </xf>
    <xf numFmtId="0" fontId="39" fillId="11" borderId="102" xfId="0" applyFont="1" applyFill="1" applyBorder="1" applyAlignment="1">
      <alignment horizontal="center" vertical="center"/>
    </xf>
    <xf numFmtId="1" fontId="39" fillId="11" borderId="102" xfId="0" applyNumberFormat="1" applyFont="1" applyFill="1" applyBorder="1" applyAlignment="1">
      <alignment horizontal="center" vertical="center"/>
    </xf>
    <xf numFmtId="199" fontId="9" fillId="11" borderId="102" xfId="0" applyNumberFormat="1" applyFont="1" applyFill="1" applyBorder="1" applyAlignment="1">
      <alignment horizontal="left" vertical="center" wrapText="1"/>
    </xf>
    <xf numFmtId="0" fontId="40" fillId="0" borderId="102" xfId="0" applyFont="1" applyFill="1" applyBorder="1" applyAlignment="1">
      <alignment horizontal="center" vertical="center"/>
    </xf>
    <xf numFmtId="0" fontId="40" fillId="175" borderId="102" xfId="0" applyFont="1" applyFill="1" applyBorder="1" applyAlignment="1">
      <alignment horizontal="center" vertical="center"/>
    </xf>
    <xf numFmtId="1" fontId="40" fillId="0" borderId="102" xfId="0" applyNumberFormat="1" applyFont="1" applyBorder="1" applyAlignment="1">
      <alignment horizontal="center" vertical="center"/>
    </xf>
    <xf numFmtId="199" fontId="10" fillId="0" borderId="102" xfId="0" applyNumberFormat="1" applyFont="1" applyBorder="1" applyAlignment="1">
      <alignment horizontal="left" vertical="center" wrapText="1"/>
    </xf>
    <xf numFmtId="0" fontId="284" fillId="0" borderId="0" xfId="0" applyFont="1"/>
    <xf numFmtId="0" fontId="285" fillId="0" borderId="0" xfId="0" applyFont="1"/>
    <xf numFmtId="183" fontId="78" fillId="11" borderId="1" xfId="12" applyNumberFormat="1" applyFont="1" applyFill="1" applyBorder="1" applyAlignment="1">
      <alignment horizontal="center" vertical="center"/>
    </xf>
    <xf numFmtId="0" fontId="15" fillId="0" borderId="102" xfId="0" applyFont="1" applyBorder="1" applyAlignment="1">
      <alignment horizontal="center" vertical="center"/>
    </xf>
    <xf numFmtId="0" fontId="39" fillId="0" borderId="102" xfId="0" applyFont="1" applyBorder="1" applyAlignment="1">
      <alignment horizontal="center" vertical="center"/>
    </xf>
    <xf numFmtId="2" fontId="15" fillId="0" borderId="102" xfId="0" applyNumberFormat="1" applyFont="1" applyBorder="1" applyAlignment="1">
      <alignment horizontal="center" vertical="center"/>
    </xf>
    <xf numFmtId="10" fontId="15" fillId="0" borderId="102" xfId="3" applyNumberFormat="1" applyFont="1" applyBorder="1" applyAlignment="1">
      <alignment horizontal="center" vertical="center"/>
    </xf>
    <xf numFmtId="0" fontId="39" fillId="0" borderId="102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 wrapText="1"/>
    </xf>
    <xf numFmtId="0" fontId="0" fillId="44" borderId="0" xfId="0" applyFill="1"/>
    <xf numFmtId="0" fontId="39" fillId="0" borderId="0" xfId="0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199" fontId="9" fillId="0" borderId="0" xfId="0" applyNumberFormat="1" applyFont="1" applyBorder="1" applyAlignment="1">
      <alignment horizontal="left" vertical="center" wrapText="1"/>
    </xf>
    <xf numFmtId="0" fontId="285" fillId="44" borderId="0" xfId="0" applyFont="1" applyFill="1"/>
    <xf numFmtId="1" fontId="39" fillId="44" borderId="102" xfId="0" applyNumberFormat="1" applyFont="1" applyFill="1" applyBorder="1" applyAlignment="1">
      <alignment horizontal="center" vertical="center"/>
    </xf>
    <xf numFmtId="0" fontId="39" fillId="0" borderId="102" xfId="0" applyFont="1" applyFill="1" applyBorder="1" applyAlignment="1">
      <alignment horizontal="left" vertical="center"/>
    </xf>
    <xf numFmtId="1" fontId="39" fillId="0" borderId="102" xfId="0" applyNumberFormat="1" applyFont="1" applyFill="1" applyBorder="1" applyAlignment="1">
      <alignment horizontal="center" vertical="center"/>
    </xf>
    <xf numFmtId="0" fontId="40" fillId="0" borderId="102" xfId="0" applyFont="1" applyBorder="1" applyAlignment="1">
      <alignment horizontal="center" vertical="center" wrapText="1"/>
    </xf>
    <xf numFmtId="211" fontId="15" fillId="0" borderId="102" xfId="0" applyNumberFormat="1" applyFont="1" applyBorder="1" applyAlignment="1">
      <alignment horizontal="center" vertical="center"/>
    </xf>
    <xf numFmtId="0" fontId="285" fillId="0" borderId="0" xfId="0" applyFont="1" applyAlignment="1">
      <alignment horizontal="left" vertical="center"/>
    </xf>
    <xf numFmtId="0" fontId="63" fillId="2" borderId="0" xfId="0" applyFont="1" applyFill="1"/>
    <xf numFmtId="2" fontId="39" fillId="0" borderId="102" xfId="0" applyNumberFormat="1" applyFont="1" applyFill="1" applyBorder="1" applyAlignment="1">
      <alignment horizontal="center" vertical="center"/>
    </xf>
    <xf numFmtId="203" fontId="9" fillId="0" borderId="102" xfId="0" applyNumberFormat="1" applyFont="1" applyFill="1" applyBorder="1" applyAlignment="1">
      <alignment horizontal="left" vertical="center" wrapText="1"/>
    </xf>
    <xf numFmtId="2" fontId="40" fillId="0" borderId="102" xfId="0" applyNumberFormat="1" applyFont="1" applyFill="1" applyBorder="1" applyAlignment="1">
      <alignment horizontal="center" vertical="center"/>
    </xf>
    <xf numFmtId="0" fontId="44" fillId="0" borderId="43" xfId="0" applyFont="1" applyBorder="1" applyAlignment="1">
      <alignment horizontal="center" vertical="center" wrapText="1"/>
    </xf>
    <xf numFmtId="0" fontId="44" fillId="0" borderId="1" xfId="0" applyFont="1" applyFill="1" applyBorder="1" applyAlignment="1">
      <alignment horizontal="center" vertical="center" wrapText="1"/>
    </xf>
    <xf numFmtId="189" fontId="76" fillId="0" borderId="1" xfId="0" applyNumberFormat="1" applyFont="1" applyBorder="1" applyAlignment="1">
      <alignment horizontal="center" vertical="center" wrapText="1"/>
    </xf>
    <xf numFmtId="252" fontId="41" fillId="0" borderId="1" xfId="0" applyNumberFormat="1" applyFont="1" applyBorder="1" applyAlignment="1">
      <alignment horizontal="left"/>
    </xf>
    <xf numFmtId="190" fontId="79" fillId="0" borderId="1" xfId="0" applyNumberFormat="1" applyFont="1" applyBorder="1" applyAlignment="1">
      <alignment horizontal="center" vertical="center" wrapText="1"/>
    </xf>
    <xf numFmtId="253" fontId="42" fillId="0" borderId="1" xfId="0" applyNumberFormat="1" applyFont="1" applyBorder="1" applyAlignment="1">
      <alignment horizontal="left"/>
    </xf>
    <xf numFmtId="0" fontId="43" fillId="0" borderId="1" xfId="0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left" vertical="center" wrapText="1"/>
    </xf>
    <xf numFmtId="189" fontId="79" fillId="44" borderId="1" xfId="0" applyNumberFormat="1" applyFont="1" applyFill="1" applyBorder="1" applyAlignment="1">
      <alignment horizontal="center" vertical="center" wrapText="1"/>
    </xf>
    <xf numFmtId="189" fontId="79" fillId="0" borderId="1" xfId="0" applyNumberFormat="1" applyFont="1" applyBorder="1" applyAlignment="1">
      <alignment horizontal="center" vertical="center" wrapText="1"/>
    </xf>
    <xf numFmtId="252" fontId="42" fillId="0" borderId="1" xfId="0" applyNumberFormat="1" applyFont="1" applyBorder="1" applyAlignment="1">
      <alignment horizontal="left"/>
    </xf>
    <xf numFmtId="0" fontId="43" fillId="0" borderId="1" xfId="0" applyFont="1" applyBorder="1" applyAlignment="1">
      <alignment horizontal="center" vertical="center" wrapText="1"/>
    </xf>
    <xf numFmtId="0" fontId="39" fillId="0" borderId="102" xfId="0" applyFont="1" applyBorder="1" applyAlignment="1">
      <alignment horizontal="left" vertical="center"/>
    </xf>
    <xf numFmtId="0" fontId="40" fillId="0" borderId="102" xfId="0" applyFont="1" applyBorder="1" applyAlignment="1">
      <alignment horizontal="left" vertical="center"/>
    </xf>
    <xf numFmtId="1" fontId="40" fillId="0" borderId="102" xfId="0" applyNumberFormat="1" applyFont="1" applyFill="1" applyBorder="1" applyAlignment="1">
      <alignment horizontal="center" vertical="center"/>
    </xf>
    <xf numFmtId="0" fontId="40" fillId="44" borderId="102" xfId="0" applyFont="1" applyFill="1" applyBorder="1" applyAlignment="1">
      <alignment horizontal="center" vertical="center"/>
    </xf>
    <xf numFmtId="0" fontId="40" fillId="44" borderId="102" xfId="0" applyFont="1" applyFill="1" applyBorder="1" applyAlignment="1">
      <alignment horizontal="left" vertical="center"/>
    </xf>
    <xf numFmtId="0" fontId="6" fillId="0" borderId="1" xfId="0" applyFont="1" applyBorder="1"/>
    <xf numFmtId="0" fontId="40" fillId="0" borderId="1" xfId="0" applyFont="1" applyBorder="1" applyAlignment="1">
      <alignment horizontal="center" vertical="center"/>
    </xf>
    <xf numFmtId="0" fontId="15" fillId="0" borderId="0" xfId="0" applyFont="1" applyFill="1" applyBorder="1"/>
    <xf numFmtId="1" fontId="46" fillId="0" borderId="0" xfId="0" applyNumberFormat="1" applyFont="1" applyBorder="1" applyAlignment="1">
      <alignment horizontal="right"/>
    </xf>
    <xf numFmtId="1" fontId="10" fillId="2" borderId="0" xfId="15" applyNumberFormat="1" applyFont="1" applyFill="1" applyBorder="1" applyAlignment="1">
      <alignment vertical="center"/>
    </xf>
    <xf numFmtId="189" fontId="0" fillId="0" borderId="0" xfId="0" applyNumberFormat="1" applyAlignment="1">
      <alignment vertical="center"/>
    </xf>
    <xf numFmtId="1" fontId="46" fillId="24" borderId="0" xfId="0" applyNumberFormat="1" applyFont="1" applyFill="1" applyAlignment="1">
      <alignment horizontal="center" vertical="center"/>
    </xf>
    <xf numFmtId="0" fontId="14" fillId="0" borderId="102" xfId="0" applyFont="1" applyBorder="1"/>
    <xf numFmtId="199" fontId="63" fillId="0" borderId="0" xfId="0" applyNumberFormat="1" applyFont="1"/>
    <xf numFmtId="1" fontId="0" fillId="0" borderId="0" xfId="0" applyNumberFormat="1" applyFill="1" applyBorder="1" applyAlignment="1">
      <alignment vertical="center"/>
    </xf>
    <xf numFmtId="189" fontId="0" fillId="0" borderId="0" xfId="0" applyNumberFormat="1"/>
    <xf numFmtId="0" fontId="31" fillId="0" borderId="102" xfId="27667" applyFont="1" applyBorder="1" applyAlignment="1">
      <alignment horizontal="center" vertical="center"/>
    </xf>
    <xf numFmtId="0" fontId="31" fillId="0" borderId="102" xfId="27667" applyFont="1" applyBorder="1" applyAlignment="1">
      <alignment horizontal="center" vertical="center" wrapText="1"/>
    </xf>
    <xf numFmtId="0" fontId="31" fillId="47" borderId="102" xfId="27667" applyFont="1" applyFill="1" applyBorder="1" applyAlignment="1">
      <alignment horizontal="center" vertical="center" wrapText="1"/>
    </xf>
    <xf numFmtId="0" fontId="31" fillId="0" borderId="0" xfId="27667" applyFont="1" applyAlignment="1">
      <alignment horizontal="center" vertical="center"/>
    </xf>
    <xf numFmtId="0" fontId="31" fillId="47" borderId="102" xfId="27667" applyFont="1" applyFill="1" applyBorder="1" applyAlignment="1">
      <alignment vertical="center"/>
    </xf>
    <xf numFmtId="1" fontId="31" fillId="47" borderId="102" xfId="27667" applyNumberFormat="1" applyFont="1" applyFill="1" applyBorder="1" applyAlignment="1">
      <alignment horizontal="center" vertical="center"/>
    </xf>
    <xf numFmtId="210" fontId="288" fillId="47" borderId="102" xfId="15" applyNumberFormat="1" applyFont="1" applyFill="1" applyBorder="1" applyAlignment="1">
      <alignment horizontal="left" vertical="center" wrapText="1" readingOrder="1"/>
    </xf>
    <xf numFmtId="1" fontId="31" fillId="0" borderId="0" xfId="27667" applyNumberFormat="1" applyFont="1" applyAlignment="1">
      <alignment horizontal="center" vertical="center"/>
    </xf>
    <xf numFmtId="1" fontId="31" fillId="47" borderId="0" xfId="27667" applyNumberFormat="1" applyFont="1" applyFill="1" applyAlignment="1">
      <alignment horizontal="center" vertical="center"/>
    </xf>
    <xf numFmtId="0" fontId="31" fillId="0" borderId="0" xfId="27667" applyFont="1" applyAlignment="1">
      <alignment vertical="center"/>
    </xf>
    <xf numFmtId="0" fontId="289" fillId="0" borderId="102" xfId="27667" applyFont="1" applyBorder="1" applyAlignment="1">
      <alignment horizontal="left" vertical="center" indent="1"/>
    </xf>
    <xf numFmtId="1" fontId="289" fillId="0" borderId="102" xfId="27667" applyNumberFormat="1" applyFont="1" applyBorder="1" applyAlignment="1">
      <alignment horizontal="center" vertical="center"/>
    </xf>
    <xf numFmtId="210" fontId="58" fillId="0" borderId="102" xfId="15" applyNumberFormat="1" applyFont="1" applyBorder="1" applyAlignment="1">
      <alignment horizontal="left" vertical="center" wrapText="1" readingOrder="1"/>
    </xf>
    <xf numFmtId="210" fontId="58" fillId="47" borderId="102" xfId="15" applyNumberFormat="1" applyFont="1" applyFill="1" applyBorder="1" applyAlignment="1">
      <alignment horizontal="left" vertical="center" wrapText="1" readingOrder="1"/>
    </xf>
    <xf numFmtId="1" fontId="289" fillId="0" borderId="0" xfId="27667" applyNumberFormat="1" applyFont="1" applyAlignment="1">
      <alignment horizontal="center" vertical="center"/>
    </xf>
    <xf numFmtId="0" fontId="289" fillId="0" borderId="0" xfId="27667" applyFont="1" applyAlignment="1">
      <alignment horizontal="center" vertical="center"/>
    </xf>
    <xf numFmtId="0" fontId="289" fillId="0" borderId="0" xfId="27667" applyFont="1" applyAlignment="1">
      <alignment vertical="center"/>
    </xf>
    <xf numFmtId="0" fontId="31" fillId="0" borderId="102" xfId="27667" applyFont="1" applyBorder="1" applyAlignment="1">
      <alignment horizontal="left" vertical="center" indent="1"/>
    </xf>
    <xf numFmtId="1" fontId="31" fillId="0" borderId="102" xfId="27667" applyNumberFormat="1" applyFont="1" applyBorder="1" applyAlignment="1">
      <alignment horizontal="center" vertical="center"/>
    </xf>
    <xf numFmtId="210" fontId="288" fillId="0" borderId="102" xfId="15" applyNumberFormat="1" applyFont="1" applyBorder="1" applyAlignment="1">
      <alignment horizontal="left" vertical="center" wrapText="1" readingOrder="1"/>
    </xf>
    <xf numFmtId="0" fontId="31" fillId="47" borderId="31" xfId="27667" applyFont="1" applyFill="1" applyBorder="1" applyAlignment="1">
      <alignment vertical="center"/>
    </xf>
    <xf numFmtId="0" fontId="289" fillId="0" borderId="102" xfId="27667" applyFont="1" applyBorder="1" applyAlignment="1">
      <alignment horizontal="left" vertical="center" indent="2"/>
    </xf>
    <xf numFmtId="0" fontId="289" fillId="0" borderId="33" xfId="27667" applyFont="1" applyBorder="1" applyAlignment="1">
      <alignment vertical="center"/>
    </xf>
    <xf numFmtId="0" fontId="289" fillId="0" borderId="35" xfId="27667" applyFont="1" applyBorder="1" applyAlignment="1">
      <alignment horizontal="center" vertical="center"/>
    </xf>
    <xf numFmtId="1" fontId="289" fillId="0" borderId="0" xfId="27667" applyNumberFormat="1" applyFont="1" applyAlignment="1">
      <alignment vertical="center"/>
    </xf>
    <xf numFmtId="0" fontId="289" fillId="0" borderId="117" xfId="27667" applyFont="1" applyBorder="1" applyAlignment="1">
      <alignment vertical="center"/>
    </xf>
    <xf numFmtId="0" fontId="289" fillId="0" borderId="31" xfId="27667" applyFont="1" applyBorder="1" applyAlignment="1">
      <alignment vertical="center"/>
    </xf>
    <xf numFmtId="210" fontId="288" fillId="47" borderId="102" xfId="15" applyNumberFormat="1" applyFont="1" applyFill="1" applyBorder="1" applyAlignment="1">
      <alignment horizontal="center" vertical="center" wrapText="1" readingOrder="1"/>
    </xf>
    <xf numFmtId="0" fontId="289" fillId="0" borderId="102" xfId="27667" applyFont="1" applyBorder="1" applyAlignment="1">
      <alignment vertical="center"/>
    </xf>
    <xf numFmtId="1" fontId="289" fillId="0" borderId="35" xfId="27667" applyNumberFormat="1" applyFont="1" applyBorder="1" applyAlignment="1">
      <alignment horizontal="center" vertical="center"/>
    </xf>
    <xf numFmtId="0" fontId="31" fillId="0" borderId="0" xfId="27667" applyFont="1" applyAlignment="1">
      <alignment horizontal="center" vertical="center" wrapText="1"/>
    </xf>
    <xf numFmtId="210" fontId="58" fillId="0" borderId="0" xfId="15" applyNumberFormat="1" applyFont="1" applyAlignment="1">
      <alignment horizontal="left" vertical="center" wrapText="1" readingOrder="1"/>
    </xf>
    <xf numFmtId="1" fontId="289" fillId="144" borderId="0" xfId="27667" applyNumberFormat="1" applyFont="1" applyFill="1" applyAlignment="1">
      <alignment horizontal="center" vertical="center"/>
    </xf>
    <xf numFmtId="0" fontId="31" fillId="0" borderId="0" xfId="27667" applyFont="1" applyAlignment="1">
      <alignment vertical="center" wrapText="1"/>
    </xf>
    <xf numFmtId="1" fontId="289" fillId="0" borderId="35" xfId="27667" applyNumberFormat="1" applyFont="1" applyBorder="1" applyAlignment="1">
      <alignment vertical="center"/>
    </xf>
    <xf numFmtId="0" fontId="0" fillId="47" borderId="102" xfId="0" applyFill="1" applyBorder="1" applyAlignment="1">
      <alignment horizontal="center" vertical="center"/>
    </xf>
    <xf numFmtId="0" fontId="10" fillId="47" borderId="102" xfId="15" applyFont="1" applyFill="1" applyBorder="1" applyAlignment="1">
      <alignment vertical="center" wrapText="1" readingOrder="1"/>
    </xf>
    <xf numFmtId="0" fontId="10" fillId="47" borderId="102" xfId="15" applyFont="1" applyFill="1" applyBorder="1" applyAlignment="1">
      <alignment horizontal="center" vertical="center"/>
    </xf>
    <xf numFmtId="0" fontId="10" fillId="47" borderId="102" xfId="15" applyFont="1" applyFill="1" applyBorder="1" applyAlignment="1">
      <alignment horizontal="right" vertical="center"/>
    </xf>
    <xf numFmtId="0" fontId="10" fillId="47" borderId="102" xfId="15" applyFont="1" applyFill="1" applyBorder="1" applyAlignment="1">
      <alignment vertical="center"/>
    </xf>
    <xf numFmtId="1" fontId="10" fillId="47" borderId="102" xfId="15" applyNumberFormat="1" applyFont="1" applyFill="1" applyBorder="1" applyAlignment="1">
      <alignment vertical="center"/>
    </xf>
    <xf numFmtId="191" fontId="9" fillId="47" borderId="102" xfId="15" applyNumberFormat="1" applyFont="1" applyFill="1" applyBorder="1" applyAlignment="1">
      <alignment vertical="center"/>
    </xf>
    <xf numFmtId="0" fontId="0" fillId="47" borderId="102" xfId="0" applyFill="1" applyBorder="1"/>
    <xf numFmtId="1" fontId="10" fillId="47" borderId="102" xfId="15" applyNumberFormat="1" applyFont="1" applyFill="1" applyBorder="1" applyAlignment="1">
      <alignment vertical="center" wrapText="1" readingOrder="1"/>
    </xf>
    <xf numFmtId="1" fontId="10" fillId="47" borderId="102" xfId="15" applyNumberFormat="1" applyFont="1" applyFill="1" applyBorder="1" applyAlignment="1">
      <alignment horizontal="center" vertical="center"/>
    </xf>
    <xf numFmtId="1" fontId="10" fillId="47" borderId="102" xfId="15" applyNumberFormat="1" applyFont="1" applyFill="1" applyBorder="1" applyAlignment="1">
      <alignment horizontal="right" vertical="center"/>
    </xf>
    <xf numFmtId="1" fontId="31" fillId="47" borderId="0" xfId="27667" applyNumberFormat="1" applyFont="1" applyFill="1" applyBorder="1" applyAlignment="1">
      <alignment horizontal="center" vertical="center"/>
    </xf>
    <xf numFmtId="1" fontId="31" fillId="0" borderId="0" xfId="27667" applyNumberFormat="1" applyFont="1" applyBorder="1" applyAlignment="1">
      <alignment horizontal="center" vertical="center"/>
    </xf>
    <xf numFmtId="1" fontId="289" fillId="0" borderId="0" xfId="27667" applyNumberFormat="1" applyFont="1" applyBorder="1" applyAlignment="1">
      <alignment horizontal="center" vertical="center"/>
    </xf>
    <xf numFmtId="0" fontId="255" fillId="27" borderId="105" xfId="0" applyFont="1" applyFill="1" applyBorder="1" applyAlignment="1">
      <alignment horizontal="center" vertical="center" wrapText="1"/>
    </xf>
    <xf numFmtId="0" fontId="256" fillId="27" borderId="105" xfId="0" applyFont="1" applyFill="1" applyBorder="1" applyAlignment="1">
      <alignment horizontal="center" vertical="center" wrapText="1"/>
    </xf>
    <xf numFmtId="0" fontId="271" fillId="0" borderId="105" xfId="0" applyFont="1" applyBorder="1" applyAlignment="1">
      <alignment horizontal="center" vertical="center" wrapText="1"/>
    </xf>
    <xf numFmtId="0" fontId="270" fillId="0" borderId="105" xfId="0" applyFont="1" applyBorder="1" applyAlignment="1">
      <alignment horizontal="center" vertical="center" wrapText="1"/>
    </xf>
    <xf numFmtId="0" fontId="253" fillId="0" borderId="105" xfId="0" applyFont="1" applyBorder="1" applyAlignment="1">
      <alignment horizontal="center" vertical="center" wrapText="1"/>
    </xf>
    <xf numFmtId="0" fontId="259" fillId="27" borderId="106" xfId="0" applyFont="1" applyFill="1" applyBorder="1" applyAlignment="1">
      <alignment horizontal="center" vertical="center" wrapText="1"/>
    </xf>
    <xf numFmtId="0" fontId="275" fillId="0" borderId="0" xfId="0" applyFont="1"/>
    <xf numFmtId="1" fontId="31" fillId="47" borderId="34" xfId="27667" applyNumberFormat="1" applyFont="1" applyFill="1" applyBorder="1" applyAlignment="1">
      <alignment horizontal="center" vertical="center"/>
    </xf>
    <xf numFmtId="0" fontId="289" fillId="0" borderId="0" xfId="27667" applyFont="1" applyBorder="1" applyAlignment="1">
      <alignment vertical="center"/>
    </xf>
    <xf numFmtId="0" fontId="289" fillId="0" borderId="0" xfId="27667" applyFont="1" applyBorder="1" applyAlignment="1">
      <alignment horizontal="center" vertical="center"/>
    </xf>
    <xf numFmtId="210" fontId="58" fillId="0" borderId="102" xfId="15" applyNumberFormat="1" applyFont="1" applyBorder="1" applyAlignment="1">
      <alignment horizontal="center" vertical="center" wrapText="1" readingOrder="1"/>
    </xf>
    <xf numFmtId="1" fontId="31" fillId="0" borderId="0" xfId="27667" applyNumberFormat="1" applyFont="1" applyFill="1" applyBorder="1" applyAlignment="1">
      <alignment horizontal="center" vertical="center"/>
    </xf>
    <xf numFmtId="1" fontId="31" fillId="0" borderId="0" xfId="27667" applyNumberFormat="1" applyFont="1" applyFill="1" applyAlignment="1">
      <alignment horizontal="center" vertical="center"/>
    </xf>
    <xf numFmtId="0" fontId="289" fillId="0" borderId="35" xfId="27667" applyFont="1" applyFill="1" applyBorder="1" applyAlignment="1">
      <alignment horizontal="center" vertical="center"/>
    </xf>
    <xf numFmtId="1" fontId="289" fillId="0" borderId="106" xfId="27667" applyNumberFormat="1" applyFont="1" applyBorder="1" applyAlignment="1">
      <alignment horizontal="center" vertical="center"/>
    </xf>
    <xf numFmtId="1" fontId="289" fillId="0" borderId="106" xfId="27667" applyNumberFormat="1" applyFont="1" applyBorder="1" applyAlignment="1">
      <alignment vertical="center"/>
    </xf>
    <xf numFmtId="0" fontId="0" fillId="0" borderId="0" xfId="0" applyFill="1" applyBorder="1"/>
    <xf numFmtId="197" fontId="45" fillId="0" borderId="102" xfId="6" applyNumberFormat="1" applyFont="1" applyBorder="1" applyAlignment="1">
      <alignment horizontal="left" vertical="center" wrapText="1"/>
    </xf>
    <xf numFmtId="1" fontId="9" fillId="0" borderId="0" xfId="0" applyNumberFormat="1" applyFont="1" applyFill="1" applyBorder="1" applyAlignment="1" applyProtection="1">
      <alignment vertical="center"/>
    </xf>
    <xf numFmtId="0" fontId="289" fillId="0" borderId="0" xfId="27667" applyFont="1" applyAlignment="1">
      <alignment horizontal="left" vertical="center"/>
    </xf>
    <xf numFmtId="0" fontId="31" fillId="0" borderId="0" xfId="27667" applyFont="1" applyAlignment="1">
      <alignment horizontal="left" vertical="center"/>
    </xf>
    <xf numFmtId="0" fontId="39" fillId="0" borderId="102" xfId="27667" applyFont="1" applyBorder="1" applyAlignment="1">
      <alignment horizontal="center" vertical="center"/>
    </xf>
    <xf numFmtId="0" fontId="39" fillId="0" borderId="102" xfId="27667" applyFont="1" applyBorder="1" applyAlignment="1">
      <alignment horizontal="center" vertical="center" wrapText="1"/>
    </xf>
    <xf numFmtId="0" fontId="39" fillId="0" borderId="102" xfId="27667" applyFont="1" applyFill="1" applyBorder="1" applyAlignment="1">
      <alignment horizontal="center" vertical="center" wrapText="1"/>
    </xf>
    <xf numFmtId="0" fontId="39" fillId="47" borderId="102" xfId="27667" applyFont="1" applyFill="1" applyBorder="1" applyAlignment="1">
      <alignment vertical="center"/>
    </xf>
    <xf numFmtId="1" fontId="39" fillId="47" borderId="102" xfId="27667" applyNumberFormat="1" applyFont="1" applyFill="1" applyBorder="1" applyAlignment="1">
      <alignment horizontal="center" vertical="center"/>
    </xf>
    <xf numFmtId="210" fontId="39" fillId="47" borderId="102" xfId="27667" applyNumberFormat="1" applyFont="1" applyFill="1" applyBorder="1" applyAlignment="1">
      <alignment horizontal="left" vertical="center"/>
    </xf>
    <xf numFmtId="0" fontId="40" fillId="0" borderId="102" xfId="27667" applyFont="1" applyBorder="1" applyAlignment="1">
      <alignment horizontal="left" vertical="center" indent="1"/>
    </xf>
    <xf numFmtId="1" fontId="40" fillId="0" borderId="102" xfId="27667" applyNumberFormat="1" applyFont="1" applyBorder="1" applyAlignment="1">
      <alignment horizontal="center" vertical="center"/>
    </xf>
    <xf numFmtId="210" fontId="40" fillId="0" borderId="102" xfId="27667" applyNumberFormat="1" applyFont="1" applyBorder="1" applyAlignment="1">
      <alignment horizontal="left" vertical="center"/>
    </xf>
    <xf numFmtId="210" fontId="40" fillId="0" borderId="102" xfId="27667" applyNumberFormat="1" applyFont="1" applyFill="1" applyBorder="1" applyAlignment="1">
      <alignment horizontal="left" vertical="center"/>
    </xf>
    <xf numFmtId="210" fontId="40" fillId="0" borderId="102" xfId="27667" applyNumberFormat="1" applyFont="1" applyBorder="1" applyAlignment="1">
      <alignment horizontal="center" vertical="center"/>
    </xf>
    <xf numFmtId="210" fontId="39" fillId="47" borderId="102" xfId="27667" applyNumberFormat="1" applyFont="1" applyFill="1" applyBorder="1" applyAlignment="1">
      <alignment horizontal="center" vertical="center"/>
    </xf>
    <xf numFmtId="0" fontId="40" fillId="0" borderId="102" xfId="27667" applyFont="1" applyBorder="1" applyAlignment="1">
      <alignment vertical="center"/>
    </xf>
    <xf numFmtId="210" fontId="9" fillId="47" borderId="102" xfId="15" applyNumberFormat="1" applyFont="1" applyFill="1" applyBorder="1" applyAlignment="1">
      <alignment horizontal="center" vertical="center" wrapText="1" readingOrder="1"/>
    </xf>
    <xf numFmtId="210" fontId="40" fillId="47" borderId="102" xfId="27667" applyNumberFormat="1" applyFont="1" applyFill="1" applyBorder="1" applyAlignment="1">
      <alignment horizontal="left" vertical="center"/>
    </xf>
    <xf numFmtId="1" fontId="39" fillId="0" borderId="102" xfId="27667" applyNumberFormat="1" applyFont="1" applyFill="1" applyBorder="1" applyAlignment="1">
      <alignment horizontal="center" vertical="center"/>
    </xf>
    <xf numFmtId="210" fontId="9" fillId="0" borderId="102" xfId="15" applyNumberFormat="1" applyFont="1" applyFill="1" applyBorder="1" applyAlignment="1">
      <alignment horizontal="left" vertical="center" wrapText="1" readingOrder="1"/>
    </xf>
    <xf numFmtId="210" fontId="9" fillId="0" borderId="102" xfId="15" applyNumberFormat="1" applyFont="1" applyFill="1" applyBorder="1" applyAlignment="1">
      <alignment horizontal="center" vertical="center" wrapText="1" readingOrder="1"/>
    </xf>
    <xf numFmtId="210" fontId="9" fillId="47" borderId="102" xfId="15" applyNumberFormat="1" applyFont="1" applyFill="1" applyBorder="1" applyAlignment="1">
      <alignment horizontal="left" vertical="center" wrapText="1" readingOrder="1"/>
    </xf>
    <xf numFmtId="1" fontId="9" fillId="47" borderId="102" xfId="15" applyNumberFormat="1" applyFont="1" applyFill="1" applyBorder="1" applyAlignment="1">
      <alignment horizontal="center" vertical="center" wrapText="1" readingOrder="1"/>
    </xf>
    <xf numFmtId="0" fontId="80" fillId="0" borderId="0" xfId="15" applyFont="1" applyAlignment="1">
      <alignment horizontal="center" vertical="center"/>
    </xf>
    <xf numFmtId="0" fontId="10" fillId="0" borderId="0" xfId="15" applyFont="1" applyFill="1" applyBorder="1" applyAlignment="1">
      <alignment vertical="center"/>
    </xf>
    <xf numFmtId="2" fontId="10" fillId="0" borderId="20" xfId="15" applyNumberFormat="1" applyFont="1" applyBorder="1" applyAlignment="1">
      <alignment vertical="center"/>
    </xf>
    <xf numFmtId="2" fontId="10" fillId="0" borderId="0" xfId="15" applyNumberFormat="1" applyFont="1" applyBorder="1" applyAlignment="1">
      <alignment vertical="center"/>
    </xf>
    <xf numFmtId="2" fontId="10" fillId="0" borderId="21" xfId="15" applyNumberFormat="1" applyFont="1" applyBorder="1" applyAlignment="1">
      <alignment vertical="center"/>
    </xf>
    <xf numFmtId="2" fontId="10" fillId="0" borderId="0" xfId="15" applyNumberFormat="1" applyFont="1" applyAlignment="1">
      <alignment vertical="center"/>
    </xf>
    <xf numFmtId="1" fontId="10" fillId="0" borderId="0" xfId="0" applyNumberFormat="1" applyFont="1"/>
    <xf numFmtId="203" fontId="10" fillId="0" borderId="0" xfId="0" applyNumberFormat="1" applyFont="1" applyAlignment="1">
      <alignment horizontal="center" vertical="center" wrapText="1"/>
    </xf>
    <xf numFmtId="1" fontId="289" fillId="0" borderId="102" xfId="27667" applyNumberFormat="1" applyFont="1" applyFill="1" applyBorder="1" applyAlignment="1">
      <alignment horizontal="center" vertical="center"/>
    </xf>
    <xf numFmtId="1" fontId="28" fillId="45" borderId="0" xfId="0" applyNumberFormat="1" applyFont="1" applyFill="1" applyBorder="1"/>
    <xf numFmtId="2" fontId="40" fillId="0" borderId="0" xfId="15" applyNumberFormat="1" applyFont="1" applyFill="1" applyAlignment="1">
      <alignment horizontal="center" vertical="center"/>
    </xf>
    <xf numFmtId="2" fontId="40" fillId="0" borderId="0" xfId="15" applyNumberFormat="1" applyFont="1" applyAlignment="1">
      <alignment horizontal="center" vertical="center"/>
    </xf>
    <xf numFmtId="10" fontId="40" fillId="0" borderId="0" xfId="15" applyNumberFormat="1" applyFont="1" applyAlignment="1">
      <alignment horizontal="center" vertical="center"/>
    </xf>
    <xf numFmtId="0" fontId="292" fillId="36" borderId="1" xfId="12" applyFont="1" applyFill="1" applyBorder="1" applyAlignment="1">
      <alignment horizontal="left" vertical="center"/>
    </xf>
    <xf numFmtId="0" fontId="293" fillId="3" borderId="1" xfId="12" applyFont="1" applyFill="1" applyBorder="1" applyAlignment="1">
      <alignment horizontal="justify" vertical="center"/>
    </xf>
    <xf numFmtId="0" fontId="294" fillId="3" borderId="1" xfId="12" applyFont="1" applyFill="1" applyBorder="1" applyAlignment="1">
      <alignment horizontal="justify" vertical="center"/>
    </xf>
    <xf numFmtId="0" fontId="295" fillId="3" borderId="1" xfId="12" applyFont="1" applyFill="1" applyBorder="1" applyAlignment="1">
      <alignment horizontal="justify" vertical="center"/>
    </xf>
    <xf numFmtId="0" fontId="296" fillId="3" borderId="1" xfId="12" applyFont="1" applyFill="1" applyBorder="1" applyAlignment="1">
      <alignment horizontal="justify" vertical="center"/>
    </xf>
    <xf numFmtId="0" fontId="297" fillId="0" borderId="0" xfId="0" applyFont="1" applyAlignment="1">
      <alignment vertical="center"/>
    </xf>
    <xf numFmtId="0" fontId="298" fillId="0" borderId="0" xfId="0" applyFont="1" applyAlignment="1">
      <alignment horizontal="right" vertical="center"/>
    </xf>
    <xf numFmtId="189" fontId="76" fillId="44" borderId="1" xfId="0" applyNumberFormat="1" applyFont="1" applyFill="1" applyBorder="1" applyAlignment="1">
      <alignment horizontal="center" vertical="center" wrapText="1"/>
    </xf>
    <xf numFmtId="2" fontId="43" fillId="0" borderId="1" xfId="0" applyNumberFormat="1" applyFont="1" applyBorder="1" applyAlignment="1">
      <alignment horizontal="center" vertical="center" wrapText="1"/>
    </xf>
    <xf numFmtId="1" fontId="39" fillId="0" borderId="1" xfId="0" applyNumberFormat="1" applyFont="1" applyFill="1" applyBorder="1" applyAlignment="1">
      <alignment horizontal="center" vertical="center"/>
    </xf>
    <xf numFmtId="1" fontId="33" fillId="45" borderId="20" xfId="0" applyNumberFormat="1" applyFont="1" applyFill="1" applyBorder="1" applyAlignment="1">
      <alignment horizontal="center" vertical="center"/>
    </xf>
    <xf numFmtId="0" fontId="33" fillId="45" borderId="20" xfId="0" applyFont="1" applyFill="1" applyBorder="1"/>
    <xf numFmtId="0" fontId="39" fillId="0" borderId="102" xfId="0" applyFont="1" applyBorder="1" applyAlignment="1">
      <alignment horizontal="center" vertical="center"/>
    </xf>
    <xf numFmtId="1" fontId="0" fillId="0" borderId="0" xfId="0" applyNumberFormat="1" applyAlignment="1"/>
    <xf numFmtId="0" fontId="40" fillId="0" borderId="102" xfId="0" applyFont="1" applyFill="1" applyBorder="1" applyAlignment="1">
      <alignment horizontal="left" vertical="center"/>
    </xf>
    <xf numFmtId="0" fontId="285" fillId="0" borderId="0" xfId="0" applyFont="1" applyFill="1"/>
    <xf numFmtId="2" fontId="39" fillId="44" borderId="102" xfId="0" applyNumberFormat="1" applyFont="1" applyFill="1" applyBorder="1" applyAlignment="1">
      <alignment horizontal="center" vertical="center"/>
    </xf>
    <xf numFmtId="0" fontId="39" fillId="0" borderId="102" xfId="27667" applyFont="1" applyBorder="1" applyAlignment="1">
      <alignment horizontal="center" vertical="center"/>
    </xf>
    <xf numFmtId="0" fontId="39" fillId="0" borderId="102" xfId="27667" applyFont="1" applyBorder="1" applyAlignment="1">
      <alignment horizontal="center" vertical="center" wrapText="1"/>
    </xf>
    <xf numFmtId="0" fontId="31" fillId="0" borderId="102" xfId="27667" applyFont="1" applyBorder="1" applyAlignment="1">
      <alignment horizontal="center" vertical="center" wrapText="1"/>
    </xf>
    <xf numFmtId="0" fontId="31" fillId="0" borderId="102" xfId="27667" applyFont="1" applyBorder="1" applyAlignment="1">
      <alignment horizontal="center" vertical="center"/>
    </xf>
    <xf numFmtId="0" fontId="31" fillId="47" borderId="102" xfId="27667" applyFont="1" applyFill="1" applyBorder="1" applyAlignment="1">
      <alignment horizontal="center" vertical="center"/>
    </xf>
    <xf numFmtId="0" fontId="289" fillId="0" borderId="102" xfId="27667" applyFont="1" applyBorder="1" applyAlignment="1">
      <alignment horizontal="left" vertical="center" indent="1"/>
    </xf>
    <xf numFmtId="0" fontId="289" fillId="23" borderId="102" xfId="27667" applyFont="1" applyFill="1" applyBorder="1" applyAlignment="1">
      <alignment horizontal="center" vertical="center"/>
    </xf>
    <xf numFmtId="1" fontId="289" fillId="23" borderId="102" xfId="27667" applyNumberFormat="1" applyFont="1" applyFill="1" applyBorder="1" applyAlignment="1">
      <alignment horizontal="center" vertical="center"/>
    </xf>
    <xf numFmtId="0" fontId="289" fillId="0" borderId="102" xfId="27667" applyFont="1" applyFill="1" applyBorder="1" applyAlignment="1">
      <alignment vertical="center"/>
    </xf>
    <xf numFmtId="1" fontId="31" fillId="0" borderId="102" xfId="0" applyNumberFormat="1" applyFont="1" applyBorder="1" applyAlignment="1">
      <alignment horizontal="center" vertical="center"/>
    </xf>
    <xf numFmtId="1" fontId="289" fillId="0" borderId="102" xfId="0" applyNumberFormat="1" applyFont="1" applyBorder="1" applyAlignment="1">
      <alignment horizontal="center" vertical="center"/>
    </xf>
    <xf numFmtId="0" fontId="289" fillId="0" borderId="102" xfId="27667" applyFont="1" applyBorder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0" fontId="0" fillId="23" borderId="0" xfId="0" applyFill="1"/>
    <xf numFmtId="211" fontId="0" fillId="23" borderId="0" xfId="0" applyNumberFormat="1" applyFill="1" applyAlignment="1">
      <alignment horizontal="center" vertical="center"/>
    </xf>
    <xf numFmtId="1" fontId="0" fillId="23" borderId="0" xfId="0" applyNumberFormat="1" applyFill="1"/>
    <xf numFmtId="0" fontId="0" fillId="23" borderId="0" xfId="0" applyFill="1" applyAlignment="1">
      <alignment horizontal="center" vertical="center"/>
    </xf>
    <xf numFmtId="0" fontId="32" fillId="0" borderId="3" xfId="0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0" fontId="33" fillId="0" borderId="102" xfId="0" applyFont="1" applyBorder="1" applyAlignment="1">
      <alignment horizontal="center" vertical="center"/>
    </xf>
    <xf numFmtId="0" fontId="33" fillId="0" borderId="102" xfId="0" applyFont="1" applyBorder="1"/>
    <xf numFmtId="0" fontId="33" fillId="0" borderId="119" xfId="0" applyFont="1" applyBorder="1" applyAlignment="1">
      <alignment horizontal="center" vertical="center"/>
    </xf>
    <xf numFmtId="1" fontId="33" fillId="0" borderId="102" xfId="0" applyNumberFormat="1" applyFont="1" applyBorder="1" applyAlignment="1">
      <alignment horizontal="center" vertical="center"/>
    </xf>
    <xf numFmtId="1" fontId="33" fillId="0" borderId="119" xfId="0" applyNumberFormat="1" applyFont="1" applyBorder="1" applyAlignment="1">
      <alignment horizontal="center" vertical="center"/>
    </xf>
    <xf numFmtId="10" fontId="33" fillId="0" borderId="122" xfId="0" applyNumberFormat="1" applyFont="1" applyBorder="1" applyAlignment="1">
      <alignment horizontal="center" vertical="center"/>
    </xf>
    <xf numFmtId="0" fontId="33" fillId="0" borderId="102" xfId="0" applyFont="1" applyBorder="1" applyAlignment="1">
      <alignment vertical="center"/>
    </xf>
    <xf numFmtId="0" fontId="33" fillId="0" borderId="102" xfId="0" applyFont="1" applyBorder="1" applyAlignment="1">
      <alignment horizontal="center"/>
    </xf>
    <xf numFmtId="0" fontId="33" fillId="0" borderId="121" xfId="0" applyFont="1" applyBorder="1" applyAlignment="1">
      <alignment horizontal="center"/>
    </xf>
    <xf numFmtId="10" fontId="0" fillId="0" borderId="0" xfId="3" applyNumberFormat="1" applyFont="1" applyAlignment="1">
      <alignment horizontal="center" vertical="center"/>
    </xf>
    <xf numFmtId="10" fontId="33" fillId="0" borderId="121" xfId="0" applyNumberFormat="1" applyFont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10" fontId="33" fillId="0" borderId="102" xfId="3" applyNumberFormat="1" applyFont="1" applyBorder="1" applyAlignment="1">
      <alignment horizontal="center" vertical="center"/>
    </xf>
    <xf numFmtId="10" fontId="33" fillId="0" borderId="119" xfId="0" applyNumberFormat="1" applyFont="1" applyBorder="1" applyAlignment="1">
      <alignment horizontal="center" vertical="center"/>
    </xf>
    <xf numFmtId="0" fontId="33" fillId="0" borderId="118" xfId="0" applyFont="1" applyBorder="1"/>
    <xf numFmtId="0" fontId="33" fillId="0" borderId="119" xfId="0" applyFont="1" applyBorder="1"/>
    <xf numFmtId="0" fontId="63" fillId="0" borderId="102" xfId="0" applyFont="1" applyBorder="1" applyAlignment="1">
      <alignment horizontal="center" vertical="center"/>
    </xf>
    <xf numFmtId="191" fontId="0" fillId="0" borderId="102" xfId="0" applyNumberFormat="1" applyBorder="1" applyAlignment="1">
      <alignment horizontal="center" vertical="center"/>
    </xf>
    <xf numFmtId="191" fontId="6" fillId="0" borderId="102" xfId="0" applyNumberFormat="1" applyFont="1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63" fillId="0" borderId="102" xfId="0" applyFont="1" applyFill="1" applyBorder="1" applyAlignment="1">
      <alignment horizontal="center" vertical="center"/>
    </xf>
    <xf numFmtId="1" fontId="0" fillId="0" borderId="102" xfId="0" applyNumberFormat="1" applyBorder="1" applyAlignment="1">
      <alignment horizontal="center" vertical="center"/>
    </xf>
    <xf numFmtId="0" fontId="0" fillId="44" borderId="102" xfId="0" applyFill="1" applyBorder="1" applyAlignment="1">
      <alignment horizontal="center" vertical="center"/>
    </xf>
    <xf numFmtId="1" fontId="0" fillId="44" borderId="102" xfId="0" applyNumberFormat="1" applyFill="1" applyBorder="1" applyAlignment="1">
      <alignment horizontal="center" vertical="center"/>
    </xf>
    <xf numFmtId="0" fontId="5" fillId="0" borderId="102" xfId="0" applyFont="1" applyBorder="1" applyAlignment="1">
      <alignment horizontal="center" vertical="center"/>
    </xf>
    <xf numFmtId="0" fontId="5" fillId="0" borderId="102" xfId="0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0" fontId="32" fillId="0" borderId="102" xfId="0" applyFont="1" applyFill="1" applyBorder="1" applyAlignment="1">
      <alignment horizontal="center" vertical="center"/>
    </xf>
    <xf numFmtId="0" fontId="5" fillId="47" borderId="102" xfId="0" applyFont="1" applyFill="1" applyBorder="1" applyAlignment="1">
      <alignment horizontal="center" vertical="center"/>
    </xf>
    <xf numFmtId="0" fontId="5" fillId="11" borderId="102" xfId="0" applyFont="1" applyFill="1" applyBorder="1" applyAlignment="1">
      <alignment horizontal="center" vertical="center"/>
    </xf>
    <xf numFmtId="0" fontId="0" fillId="11" borderId="102" xfId="0" applyFill="1" applyBorder="1" applyAlignment="1">
      <alignment horizontal="center" vertical="center"/>
    </xf>
    <xf numFmtId="10" fontId="5" fillId="47" borderId="102" xfId="0" applyNumberFormat="1" applyFont="1" applyFill="1" applyBorder="1" applyAlignment="1">
      <alignment horizontal="center" vertical="center"/>
    </xf>
    <xf numFmtId="10" fontId="0" fillId="0" borderId="102" xfId="0" applyNumberFormat="1" applyBorder="1" applyAlignment="1">
      <alignment horizontal="center" vertical="center"/>
    </xf>
    <xf numFmtId="10" fontId="0" fillId="11" borderId="102" xfId="0" applyNumberFormat="1" applyFill="1" applyBorder="1" applyAlignment="1">
      <alignment horizontal="center" vertical="center"/>
    </xf>
    <xf numFmtId="10" fontId="5" fillId="0" borderId="102" xfId="0" applyNumberFormat="1" applyFont="1" applyBorder="1" applyAlignment="1">
      <alignment horizontal="center" vertical="center"/>
    </xf>
    <xf numFmtId="1" fontId="289" fillId="0" borderId="34" xfId="27667" applyNumberFormat="1" applyFont="1" applyBorder="1" applyAlignment="1">
      <alignment vertical="center"/>
    </xf>
    <xf numFmtId="1" fontId="289" fillId="0" borderId="0" xfId="27667" applyNumberFormat="1" applyFont="1" applyFill="1" applyAlignment="1">
      <alignment horizontal="center" vertical="center"/>
    </xf>
    <xf numFmtId="1" fontId="0" fillId="2" borderId="0" xfId="0" applyNumberFormat="1" applyFill="1"/>
    <xf numFmtId="0" fontId="5" fillId="0" borderId="0" xfId="0" applyFont="1" applyBorder="1"/>
    <xf numFmtId="2" fontId="0" fillId="0" borderId="0" xfId="0" applyNumberFormat="1" applyBorder="1" applyAlignment="1">
      <alignment horizontal="center" vertical="center"/>
    </xf>
    <xf numFmtId="191" fontId="6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ill="1"/>
    <xf numFmtId="211" fontId="0" fillId="0" borderId="0" xfId="0" applyNumberFormat="1" applyFill="1" applyBorder="1" applyAlignment="1">
      <alignment horizontal="center" vertical="center"/>
    </xf>
    <xf numFmtId="211" fontId="6" fillId="0" borderId="0" xfId="0" applyNumberFormat="1" applyFont="1" applyFill="1" applyBorder="1" applyAlignment="1">
      <alignment horizontal="center" vertical="center"/>
    </xf>
    <xf numFmtId="211" fontId="0" fillId="0" borderId="0" xfId="0" applyNumberFormat="1" applyFill="1"/>
    <xf numFmtId="0" fontId="5" fillId="0" borderId="102" xfId="0" applyFont="1" applyBorder="1"/>
    <xf numFmtId="2" fontId="0" fillId="0" borderId="102" xfId="0" applyNumberFormat="1" applyBorder="1" applyAlignment="1">
      <alignment horizontal="center"/>
    </xf>
    <xf numFmtId="1" fontId="0" fillId="0" borderId="102" xfId="0" applyNumberFormat="1" applyBorder="1" applyAlignment="1">
      <alignment horizontal="center"/>
    </xf>
    <xf numFmtId="211" fontId="0" fillId="0" borderId="102" xfId="0" applyNumberFormat="1" applyBorder="1" applyAlignment="1">
      <alignment horizontal="center" vertical="center"/>
    </xf>
    <xf numFmtId="2" fontId="0" fillId="44" borderId="102" xfId="0" applyNumberFormat="1" applyFill="1" applyBorder="1" applyAlignment="1">
      <alignment horizontal="center" vertical="center"/>
    </xf>
    <xf numFmtId="211" fontId="0" fillId="44" borderId="102" xfId="0" applyNumberFormat="1" applyFill="1" applyBorder="1" applyAlignment="1">
      <alignment horizontal="center" vertical="center"/>
    </xf>
    <xf numFmtId="211" fontId="0" fillId="0" borderId="0" xfId="0" applyNumberFormat="1" applyBorder="1" applyAlignment="1">
      <alignment horizontal="center" vertical="center"/>
    </xf>
    <xf numFmtId="0" fontId="30" fillId="2" borderId="0" xfId="0" applyFont="1" applyFill="1" applyAlignment="1">
      <alignment vertical="center"/>
    </xf>
    <xf numFmtId="0" fontId="31" fillId="0" borderId="102" xfId="27667" applyFont="1" applyBorder="1" applyAlignment="1">
      <alignment horizontal="center" vertical="center"/>
    </xf>
    <xf numFmtId="2" fontId="108" fillId="0" borderId="102" xfId="12" applyNumberFormat="1" applyFont="1" applyBorder="1" applyAlignment="1">
      <alignment horizontal="center" vertical="center"/>
    </xf>
    <xf numFmtId="1" fontId="20" fillId="0" borderId="0" xfId="0" applyNumberFormat="1" applyFont="1"/>
    <xf numFmtId="1" fontId="29" fillId="0" borderId="20" xfId="0" applyNumberFormat="1" applyFont="1" applyFill="1" applyBorder="1"/>
    <xf numFmtId="0" fontId="289" fillId="0" borderId="0" xfId="0" applyFont="1" applyAlignment="1">
      <alignment vertical="center"/>
    </xf>
    <xf numFmtId="0" fontId="289" fillId="0" borderId="0" xfId="0" applyFont="1" applyAlignment="1">
      <alignment horizontal="center" vertical="center"/>
    </xf>
    <xf numFmtId="0" fontId="289" fillId="0" borderId="0" xfId="27667" applyNumberFormat="1" applyFont="1" applyAlignment="1">
      <alignment horizontal="center" vertical="center"/>
    </xf>
    <xf numFmtId="0" fontId="0" fillId="135" borderId="0" xfId="0" applyFill="1" applyBorder="1" applyAlignment="1">
      <alignment horizontal="center" vertical="center"/>
    </xf>
    <xf numFmtId="0" fontId="0" fillId="135" borderId="0" xfId="0" applyFill="1"/>
    <xf numFmtId="0" fontId="0" fillId="135" borderId="0" xfId="0" applyFill="1" applyAlignment="1">
      <alignment horizontal="center"/>
    </xf>
    <xf numFmtId="1" fontId="0" fillId="135" borderId="0" xfId="0" applyNumberFormat="1" applyFill="1"/>
    <xf numFmtId="0" fontId="0" fillId="0" borderId="0" xfId="0" applyNumberFormat="1"/>
    <xf numFmtId="0" fontId="0" fillId="0" borderId="0" xfId="0" applyNumberFormat="1" applyFill="1" applyBorder="1" applyAlignment="1"/>
    <xf numFmtId="0" fontId="31" fillId="0" borderId="102" xfId="27667" applyFont="1" applyBorder="1" applyAlignment="1">
      <alignment vertical="center"/>
    </xf>
    <xf numFmtId="2" fontId="289" fillId="0" borderId="102" xfId="27667" applyNumberFormat="1" applyFont="1" applyBorder="1" applyAlignment="1">
      <alignment horizontal="center" vertical="center"/>
    </xf>
    <xf numFmtId="2" fontId="289" fillId="44" borderId="102" xfId="27667" applyNumberFormat="1" applyFont="1" applyFill="1" applyBorder="1" applyAlignment="1">
      <alignment horizontal="center" vertical="center"/>
    </xf>
    <xf numFmtId="0" fontId="5" fillId="0" borderId="0" xfId="0" applyFont="1" applyFill="1" applyBorder="1"/>
    <xf numFmtId="1" fontId="30" fillId="0" borderId="0" xfId="0" applyNumberFormat="1" applyFont="1" applyAlignment="1">
      <alignment horizontal="center" vertical="center"/>
    </xf>
    <xf numFmtId="1" fontId="31" fillId="0" borderId="0" xfId="27667" applyNumberFormat="1" applyFont="1" applyAlignment="1">
      <alignment vertical="center"/>
    </xf>
    <xf numFmtId="183" fontId="10" fillId="0" borderId="0" xfId="0" applyNumberFormat="1" applyFont="1" applyAlignment="1">
      <alignment vertical="center"/>
    </xf>
    <xf numFmtId="10" fontId="45" fillId="0" borderId="1" xfId="0" applyNumberFormat="1" applyFont="1" applyBorder="1" applyAlignment="1">
      <alignment horizontal="center" vertical="center" wrapText="1"/>
    </xf>
    <xf numFmtId="10" fontId="45" fillId="0" borderId="102" xfId="0" applyNumberFormat="1" applyFont="1" applyBorder="1" applyAlignment="1">
      <alignment horizontal="center" vertical="center" wrapText="1"/>
    </xf>
    <xf numFmtId="210" fontId="10" fillId="0" borderId="102" xfId="0" applyNumberFormat="1" applyFont="1" applyBorder="1" applyAlignment="1">
      <alignment horizontal="left" vertical="center" wrapText="1"/>
    </xf>
    <xf numFmtId="10" fontId="45" fillId="27" borderId="102" xfId="0" applyNumberFormat="1" applyFont="1" applyFill="1" applyBorder="1" applyAlignment="1">
      <alignment horizontal="center" vertical="center"/>
    </xf>
    <xf numFmtId="2" fontId="44" fillId="135" borderId="1" xfId="0" applyNumberFormat="1" applyFont="1" applyFill="1" applyBorder="1" applyAlignment="1">
      <alignment horizontal="center" vertical="center"/>
    </xf>
    <xf numFmtId="2" fontId="43" fillId="135" borderId="1" xfId="0" applyNumberFormat="1" applyFont="1" applyFill="1" applyBorder="1" applyAlignment="1">
      <alignment horizontal="center" vertical="center"/>
    </xf>
    <xf numFmtId="0" fontId="301" fillId="0" borderId="102" xfId="0" applyFont="1" applyBorder="1" applyAlignment="1">
      <alignment horizontal="center" vertical="center"/>
    </xf>
    <xf numFmtId="0" fontId="301" fillId="47" borderId="102" xfId="0" applyFont="1" applyFill="1" applyBorder="1" applyAlignment="1">
      <alignment horizontal="center" vertical="center"/>
    </xf>
    <xf numFmtId="0" fontId="301" fillId="0" borderId="102" xfId="0" applyFont="1" applyBorder="1" applyAlignment="1">
      <alignment horizontal="center" vertical="center" wrapText="1"/>
    </xf>
    <xf numFmtId="0" fontId="301" fillId="0" borderId="102" xfId="0" applyFont="1" applyBorder="1" applyAlignment="1">
      <alignment vertical="center"/>
    </xf>
    <xf numFmtId="2" fontId="301" fillId="0" borderId="102" xfId="0" applyNumberFormat="1" applyFont="1" applyBorder="1" applyAlignment="1">
      <alignment horizontal="center" vertical="center"/>
    </xf>
    <xf numFmtId="1" fontId="301" fillId="0" borderId="102" xfId="0" applyNumberFormat="1" applyFont="1" applyBorder="1" applyAlignment="1">
      <alignment horizontal="center" vertical="center"/>
    </xf>
    <xf numFmtId="2" fontId="301" fillId="47" borderId="102" xfId="0" applyNumberFormat="1" applyFont="1" applyFill="1" applyBorder="1" applyAlignment="1">
      <alignment horizontal="center" vertical="center"/>
    </xf>
    <xf numFmtId="203" fontId="301" fillId="0" borderId="102" xfId="0" applyNumberFormat="1" applyFont="1" applyBorder="1" applyAlignment="1">
      <alignment horizontal="left" vertical="center"/>
    </xf>
    <xf numFmtId="0" fontId="302" fillId="0" borderId="102" xfId="0" applyFont="1" applyBorder="1" applyAlignment="1">
      <alignment horizontal="left" vertical="center" indent="2"/>
    </xf>
    <xf numFmtId="2" fontId="302" fillId="0" borderId="102" xfId="0" applyNumberFormat="1" applyFont="1" applyBorder="1" applyAlignment="1">
      <alignment horizontal="center" vertical="center"/>
    </xf>
    <xf numFmtId="1" fontId="302" fillId="0" borderId="102" xfId="0" applyNumberFormat="1" applyFont="1" applyBorder="1" applyAlignment="1">
      <alignment horizontal="center" vertical="center"/>
    </xf>
    <xf numFmtId="2" fontId="302" fillId="47" borderId="102" xfId="0" applyNumberFormat="1" applyFont="1" applyFill="1" applyBorder="1" applyAlignment="1">
      <alignment horizontal="center" vertical="center"/>
    </xf>
    <xf numFmtId="203" fontId="302" fillId="0" borderId="102" xfId="0" applyNumberFormat="1" applyFont="1" applyBorder="1" applyAlignment="1">
      <alignment horizontal="left" vertical="center"/>
    </xf>
    <xf numFmtId="0" fontId="301" fillId="0" borderId="102" xfId="0" applyFont="1" applyBorder="1" applyAlignment="1">
      <alignment horizontal="left" vertical="center"/>
    </xf>
    <xf numFmtId="203" fontId="301" fillId="0" borderId="102" xfId="0" applyNumberFormat="1" applyFont="1" applyFill="1" applyBorder="1" applyAlignment="1">
      <alignment horizontal="left" vertical="center"/>
    </xf>
    <xf numFmtId="203" fontId="302" fillId="0" borderId="102" xfId="0" applyNumberFormat="1" applyFont="1" applyFill="1" applyBorder="1" applyAlignment="1">
      <alignment horizontal="left" vertical="center"/>
    </xf>
    <xf numFmtId="203" fontId="302" fillId="0" borderId="102" xfId="0" applyNumberFormat="1" applyFont="1" applyBorder="1" applyAlignment="1">
      <alignment horizontal="center" vertical="center"/>
    </xf>
    <xf numFmtId="2" fontId="302" fillId="0" borderId="102" xfId="0" applyNumberFormat="1" applyFont="1" applyFill="1" applyBorder="1" applyAlignment="1">
      <alignment horizontal="center" vertical="center"/>
    </xf>
    <xf numFmtId="211" fontId="302" fillId="0" borderId="102" xfId="0" applyNumberFormat="1" applyFont="1" applyBorder="1" applyAlignment="1">
      <alignment horizontal="center" vertical="center"/>
    </xf>
    <xf numFmtId="2" fontId="301" fillId="0" borderId="102" xfId="0" applyNumberFormat="1" applyFont="1" applyFill="1" applyBorder="1" applyAlignment="1">
      <alignment horizontal="center" vertical="center"/>
    </xf>
    <xf numFmtId="0" fontId="302" fillId="0" borderId="102" xfId="0" applyFont="1" applyBorder="1" applyAlignment="1">
      <alignment vertical="center"/>
    </xf>
    <xf numFmtId="0" fontId="302" fillId="0" borderId="102" xfId="0" applyFont="1" applyBorder="1" applyAlignment="1">
      <alignment vertical="center" wrapText="1"/>
    </xf>
    <xf numFmtId="189" fontId="79" fillId="0" borderId="1" xfId="0" applyNumberFormat="1" applyFont="1" applyFill="1" applyBorder="1" applyAlignment="1">
      <alignment horizontal="center" vertical="center" wrapText="1"/>
    </xf>
    <xf numFmtId="2" fontId="40" fillId="44" borderId="102" xfId="0" applyNumberFormat="1" applyFont="1" applyFill="1" applyBorder="1" applyAlignment="1">
      <alignment horizontal="center" vertical="center"/>
    </xf>
    <xf numFmtId="0" fontId="43" fillId="0" borderId="0" xfId="0" applyFont="1" applyFill="1" applyBorder="1" applyAlignment="1">
      <alignment horizontal="center" vertical="center" wrapText="1"/>
    </xf>
    <xf numFmtId="0" fontId="43" fillId="0" borderId="102" xfId="0" applyFont="1" applyFill="1" applyBorder="1" applyAlignment="1">
      <alignment horizontal="center" vertical="center" wrapText="1"/>
    </xf>
    <xf numFmtId="253" fontId="42" fillId="0" borderId="102" xfId="0" applyNumberFormat="1" applyFont="1" applyBorder="1" applyAlignment="1">
      <alignment horizontal="left"/>
    </xf>
    <xf numFmtId="0" fontId="43" fillId="44" borderId="102" xfId="0" applyFont="1" applyFill="1" applyBorder="1" applyAlignment="1">
      <alignment horizontal="center" vertical="center" wrapText="1"/>
    </xf>
    <xf numFmtId="2" fontId="43" fillId="44" borderId="102" xfId="0" applyNumberFormat="1" applyFont="1" applyFill="1" applyBorder="1" applyAlignment="1">
      <alignment horizontal="center" vertical="center" wrapText="1"/>
    </xf>
    <xf numFmtId="253" fontId="42" fillId="0" borderId="102" xfId="0" applyNumberFormat="1" applyFont="1" applyBorder="1" applyAlignment="1">
      <alignment horizontal="center"/>
    </xf>
    <xf numFmtId="255" fontId="10" fillId="0" borderId="0" xfId="0" applyNumberFormat="1" applyFont="1" applyAlignment="1">
      <alignment vertical="center"/>
    </xf>
    <xf numFmtId="211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92" fontId="283" fillId="0" borderId="1" xfId="0" applyNumberFormat="1" applyFont="1" applyBorder="1" applyAlignment="1">
      <alignment horizontal="left" vertical="center" wrapText="1"/>
    </xf>
    <xf numFmtId="0" fontId="45" fillId="0" borderId="102" xfId="0" applyFont="1" applyBorder="1" applyAlignment="1">
      <alignment horizontal="left" vertical="center" indent="5"/>
    </xf>
    <xf numFmtId="0" fontId="289" fillId="44" borderId="102" xfId="27667" applyFont="1" applyFill="1" applyBorder="1" applyAlignment="1">
      <alignment horizontal="center" vertical="center"/>
    </xf>
    <xf numFmtId="1" fontId="289" fillId="44" borderId="102" xfId="27667" applyNumberFormat="1" applyFont="1" applyFill="1" applyBorder="1" applyAlignment="1">
      <alignment horizontal="center" vertical="center"/>
    </xf>
    <xf numFmtId="183" fontId="289" fillId="0" borderId="0" xfId="27667" applyNumberFormat="1" applyFont="1" applyBorder="1" applyAlignment="1">
      <alignment horizontal="center" vertical="center"/>
    </xf>
    <xf numFmtId="2" fontId="289" fillId="0" borderId="0" xfId="27667" applyNumberFormat="1" applyFont="1" applyBorder="1" applyAlignment="1">
      <alignment horizontal="center" vertical="center"/>
    </xf>
    <xf numFmtId="1" fontId="5" fillId="23" borderId="0" xfId="15" applyNumberFormat="1" applyFill="1" applyAlignment="1">
      <alignment vertical="center"/>
    </xf>
    <xf numFmtId="2" fontId="109" fillId="0" borderId="102" xfId="12" applyNumberFormat="1" applyFont="1" applyBorder="1" applyAlignment="1">
      <alignment horizontal="center" vertical="center"/>
    </xf>
    <xf numFmtId="1" fontId="289" fillId="44" borderId="106" xfId="27667" applyNumberFormat="1" applyFont="1" applyFill="1" applyBorder="1" applyAlignment="1">
      <alignment horizontal="center" vertical="center"/>
    </xf>
    <xf numFmtId="1" fontId="10" fillId="11" borderId="0" xfId="15" applyNumberFormat="1" applyFont="1" applyFill="1" applyAlignment="1">
      <alignment vertical="center"/>
    </xf>
    <xf numFmtId="0" fontId="10" fillId="11" borderId="0" xfId="15" applyFont="1" applyFill="1" applyAlignment="1">
      <alignment vertical="center"/>
    </xf>
    <xf numFmtId="1" fontId="43" fillId="2" borderId="102" xfId="15" applyNumberFormat="1" applyFont="1" applyFill="1" applyBorder="1" applyAlignment="1">
      <alignment horizontal="center" vertical="center" wrapText="1"/>
    </xf>
    <xf numFmtId="0" fontId="289" fillId="0" borderId="0" xfId="27667" applyFont="1" applyAlignment="1">
      <alignment vertical="center" wrapText="1"/>
    </xf>
    <xf numFmtId="190" fontId="31" fillId="0" borderId="0" xfId="27667" applyNumberFormat="1" applyFont="1" applyAlignment="1">
      <alignment vertical="center" wrapText="1"/>
    </xf>
    <xf numFmtId="0" fontId="10" fillId="0" borderId="33" xfId="15" applyFont="1" applyBorder="1" applyAlignment="1">
      <alignment horizontal="left" vertical="center" wrapText="1" readingOrder="1"/>
    </xf>
    <xf numFmtId="0" fontId="51" fillId="23" borderId="102" xfId="0" applyFont="1" applyFill="1" applyBorder="1" applyAlignment="1">
      <alignment horizontal="left" vertical="center" wrapText="1"/>
    </xf>
    <xf numFmtId="0" fontId="33" fillId="0" borderId="0" xfId="0" applyNumberFormat="1" applyFont="1"/>
    <xf numFmtId="211" fontId="14" fillId="5" borderId="0" xfId="0" applyNumberFormat="1" applyFont="1" applyFill="1"/>
    <xf numFmtId="0" fontId="306" fillId="0" borderId="0" xfId="27667" applyFont="1" applyAlignment="1">
      <alignment vertical="center"/>
    </xf>
    <xf numFmtId="2" fontId="40" fillId="47" borderId="0" xfId="15" applyNumberFormat="1" applyFont="1" applyFill="1" applyAlignment="1">
      <alignment horizontal="left" vertical="center"/>
    </xf>
    <xf numFmtId="0" fontId="0" fillId="47" borderId="0" xfId="0" applyFill="1"/>
    <xf numFmtId="191" fontId="39" fillId="47" borderId="0" xfId="15" applyNumberFormat="1" applyFont="1" applyFill="1" applyAlignment="1">
      <alignment vertical="center"/>
    </xf>
    <xf numFmtId="183" fontId="46" fillId="47" borderId="1" xfId="0" applyNumberFormat="1" applyFont="1" applyFill="1" applyBorder="1" applyAlignment="1">
      <alignment horizontal="center" vertical="center"/>
    </xf>
    <xf numFmtId="1" fontId="282" fillId="26" borderId="102" xfId="0" applyNumberFormat="1" applyFont="1" applyFill="1" applyBorder="1" applyAlignment="1">
      <alignment horizontal="center" vertical="center"/>
    </xf>
    <xf numFmtId="0" fontId="31" fillId="0" borderId="0" xfId="27667" applyFont="1" applyBorder="1" applyAlignment="1">
      <alignment horizontal="center" vertical="center"/>
    </xf>
    <xf numFmtId="9" fontId="46" fillId="0" borderId="0" xfId="0" applyNumberFormat="1" applyFont="1"/>
    <xf numFmtId="211" fontId="0" fillId="0" borderId="0" xfId="0" applyNumberFormat="1" applyAlignment="1">
      <alignment horizontal="center"/>
    </xf>
    <xf numFmtId="183" fontId="45" fillId="0" borderId="0" xfId="0" applyNumberFormat="1" applyFont="1" applyAlignment="1">
      <alignment vertical="center"/>
    </xf>
    <xf numFmtId="1" fontId="10" fillId="11" borderId="0" xfId="15" applyNumberFormat="1" applyFont="1" applyFill="1" applyBorder="1" applyAlignment="1">
      <alignment vertical="center"/>
    </xf>
    <xf numFmtId="0" fontId="275" fillId="38" borderId="0" xfId="0" applyNumberFormat="1" applyFont="1" applyFill="1"/>
    <xf numFmtId="0" fontId="275" fillId="38" borderId="0" xfId="0" applyFont="1" applyFill="1"/>
    <xf numFmtId="1" fontId="0" fillId="0" borderId="73" xfId="0" applyNumberFormat="1" applyFill="1" applyBorder="1" applyAlignment="1">
      <alignment horizontal="center" vertical="center"/>
    </xf>
    <xf numFmtId="210" fontId="31" fillId="0" borderId="0" xfId="27667" applyNumberFormat="1" applyFont="1" applyAlignment="1">
      <alignment vertical="center"/>
    </xf>
    <xf numFmtId="0" fontId="45" fillId="27" borderId="102" xfId="0" applyFont="1" applyFill="1" applyBorder="1" applyAlignment="1">
      <alignment vertical="center"/>
    </xf>
    <xf numFmtId="43" fontId="120" fillId="0" borderId="38" xfId="0" applyNumberFormat="1" applyFont="1" applyBorder="1"/>
    <xf numFmtId="2" fontId="66" fillId="19" borderId="21" xfId="0" applyNumberFormat="1" applyFont="1" applyFill="1" applyBorder="1" applyAlignment="1">
      <alignment horizontal="right" vertical="center"/>
    </xf>
    <xf numFmtId="191" fontId="0" fillId="44" borderId="102" xfId="0" applyNumberFormat="1" applyFill="1" applyBorder="1" applyAlignment="1">
      <alignment horizontal="center" vertical="center"/>
    </xf>
    <xf numFmtId="191" fontId="6" fillId="44" borderId="102" xfId="0" applyNumberFormat="1" applyFont="1" applyFill="1" applyBorder="1" applyAlignment="1">
      <alignment horizontal="center" vertical="center"/>
    </xf>
    <xf numFmtId="191" fontId="6" fillId="0" borderId="102" xfId="0" applyNumberFormat="1" applyFont="1" applyFill="1" applyBorder="1" applyAlignment="1">
      <alignment horizontal="center" vertical="center"/>
    </xf>
    <xf numFmtId="0" fontId="282" fillId="0" borderId="1" xfId="0" applyFont="1" applyBorder="1" applyAlignment="1">
      <alignment vertical="center" wrapText="1"/>
    </xf>
    <xf numFmtId="0" fontId="289" fillId="23" borderId="0" xfId="27667" applyFont="1" applyFill="1" applyAlignment="1">
      <alignment vertical="center"/>
    </xf>
    <xf numFmtId="1" fontId="275" fillId="38" borderId="0" xfId="0" applyNumberFormat="1" applyFont="1" applyFill="1"/>
    <xf numFmtId="0" fontId="275" fillId="39" borderId="0" xfId="0" applyFont="1" applyFill="1"/>
    <xf numFmtId="0" fontId="29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275" fillId="39" borderId="0" xfId="0" applyNumberFormat="1" applyFont="1" applyFill="1"/>
    <xf numFmtId="0" fontId="10" fillId="0" borderId="0" xfId="15" applyNumberFormat="1" applyFont="1" applyFill="1" applyBorder="1" applyAlignment="1" applyProtection="1">
      <alignment vertical="center"/>
    </xf>
    <xf numFmtId="0" fontId="10" fillId="0" borderId="0" xfId="0" applyNumberFormat="1" applyFont="1" applyFill="1" applyBorder="1" applyAlignment="1" applyProtection="1">
      <alignment vertical="center"/>
    </xf>
    <xf numFmtId="0" fontId="31" fillId="0" borderId="111" xfId="27667" applyFont="1" applyBorder="1" applyAlignment="1">
      <alignment horizontal="center" vertical="center"/>
    </xf>
    <xf numFmtId="1" fontId="31" fillId="47" borderId="111" xfId="27667" applyNumberFormat="1" applyFont="1" applyFill="1" applyBorder="1" applyAlignment="1">
      <alignment horizontal="center" vertical="center"/>
    </xf>
    <xf numFmtId="1" fontId="289" fillId="0" borderId="111" xfId="27667" applyNumberFormat="1" applyFont="1" applyBorder="1" applyAlignment="1">
      <alignment horizontal="center" vertical="center"/>
    </xf>
    <xf numFmtId="1" fontId="31" fillId="0" borderId="111" xfId="27667" applyNumberFormat="1" applyFont="1" applyBorder="1" applyAlignment="1">
      <alignment horizontal="center" vertical="center"/>
    </xf>
    <xf numFmtId="1" fontId="289" fillId="0" borderId="111" xfId="27667" applyNumberFormat="1" applyFont="1" applyFill="1" applyBorder="1" applyAlignment="1">
      <alignment horizontal="center" vertical="center"/>
    </xf>
    <xf numFmtId="210" fontId="288" fillId="47" borderId="0" xfId="15" applyNumberFormat="1" applyFont="1" applyFill="1" applyBorder="1" applyAlignment="1">
      <alignment horizontal="left" vertical="center" wrapText="1" readingOrder="1"/>
    </xf>
    <xf numFmtId="210" fontId="58" fillId="0" borderId="0" xfId="15" applyNumberFormat="1" applyFont="1" applyBorder="1" applyAlignment="1">
      <alignment horizontal="left" vertical="center" wrapText="1" readingOrder="1"/>
    </xf>
    <xf numFmtId="210" fontId="288" fillId="0" borderId="0" xfId="15" applyNumberFormat="1" applyFont="1" applyBorder="1" applyAlignment="1">
      <alignment horizontal="left" vertical="center" wrapText="1" readingOrder="1"/>
    </xf>
    <xf numFmtId="1" fontId="289" fillId="144" borderId="0" xfId="27667" applyNumberFormat="1" applyFont="1" applyFill="1" applyBorder="1" applyAlignment="1">
      <alignment horizontal="center" vertical="center"/>
    </xf>
    <xf numFmtId="1" fontId="289" fillId="0" borderId="35" xfId="27667" applyNumberFormat="1" applyFont="1" applyFill="1" applyBorder="1" applyAlignment="1">
      <alignment horizontal="center" vertical="center"/>
    </xf>
    <xf numFmtId="1" fontId="10" fillId="0" borderId="0" xfId="0" applyNumberFormat="1" applyFont="1" applyFill="1" applyBorder="1" applyAlignment="1" applyProtection="1">
      <alignment vertical="center"/>
    </xf>
    <xf numFmtId="210" fontId="39" fillId="0" borderId="102" xfId="27667" applyNumberFormat="1" applyFont="1" applyFill="1" applyBorder="1" applyAlignment="1">
      <alignment horizontal="left" vertical="center"/>
    </xf>
    <xf numFmtId="1" fontId="9" fillId="0" borderId="102" xfId="15" applyNumberFormat="1" applyFont="1" applyFill="1" applyBorder="1" applyAlignment="1">
      <alignment horizontal="center" vertical="center" wrapText="1" readingOrder="1"/>
    </xf>
    <xf numFmtId="2" fontId="40" fillId="47" borderId="0" xfId="0" applyNumberFormat="1" applyFont="1" applyFill="1" applyAlignment="1">
      <alignment horizontal="left" vertical="center"/>
    </xf>
    <xf numFmtId="0" fontId="51" fillId="0" borderId="0" xfId="0" applyNumberFormat="1" applyFont="1" applyFill="1" applyBorder="1" applyAlignment="1" applyProtection="1">
      <alignment vertical="center"/>
    </xf>
    <xf numFmtId="2" fontId="14" fillId="23" borderId="0" xfId="0" applyNumberFormat="1" applyFont="1" applyFill="1" applyBorder="1" applyAlignment="1">
      <alignment horizontal="center"/>
    </xf>
    <xf numFmtId="2" fontId="15" fillId="23" borderId="0" xfId="0" applyNumberFormat="1" applyFont="1" applyFill="1" applyBorder="1" applyAlignment="1">
      <alignment horizontal="center"/>
    </xf>
    <xf numFmtId="0" fontId="10" fillId="0" borderId="0" xfId="0" applyFont="1" applyFill="1" applyBorder="1"/>
    <xf numFmtId="1" fontId="47" fillId="0" borderId="102" xfId="0" applyNumberFormat="1" applyFont="1" applyBorder="1" applyAlignment="1">
      <alignment horizontal="center" vertical="center"/>
    </xf>
    <xf numFmtId="180" fontId="47" fillId="0" borderId="102" xfId="0" applyNumberFormat="1" applyFont="1" applyBorder="1" applyAlignment="1">
      <alignment horizontal="left" vertical="center"/>
    </xf>
    <xf numFmtId="180" fontId="47" fillId="0" borderId="111" xfId="0" applyNumberFormat="1" applyFont="1" applyBorder="1" applyAlignment="1">
      <alignment horizontal="left" vertical="center"/>
    </xf>
    <xf numFmtId="2" fontId="307" fillId="0" borderId="102" xfId="0" applyNumberFormat="1" applyFont="1" applyBorder="1" applyAlignment="1">
      <alignment horizontal="center" vertical="center" wrapText="1"/>
    </xf>
    <xf numFmtId="2" fontId="43" fillId="0" borderId="102" xfId="0" applyNumberFormat="1" applyFont="1" applyBorder="1" applyAlignment="1">
      <alignment horizontal="center" vertical="center" wrapText="1"/>
    </xf>
    <xf numFmtId="2" fontId="282" fillId="0" borderId="1" xfId="0" applyNumberFormat="1" applyFont="1" applyFill="1" applyBorder="1" applyAlignment="1">
      <alignment horizontal="center" vertical="center"/>
    </xf>
    <xf numFmtId="1" fontId="0" fillId="0" borderId="0" xfId="0" applyNumberFormat="1" applyBorder="1"/>
    <xf numFmtId="0" fontId="289" fillId="0" borderId="32" xfId="27667" applyFont="1" applyBorder="1" applyAlignment="1">
      <alignment vertical="center"/>
    </xf>
    <xf numFmtId="0" fontId="289" fillId="0" borderId="101" xfId="27667" applyFont="1" applyBorder="1" applyAlignment="1">
      <alignment vertical="center"/>
    </xf>
    <xf numFmtId="0" fontId="33" fillId="0" borderId="0" xfId="0" applyFont="1" applyFill="1"/>
    <xf numFmtId="0" fontId="5" fillId="0" borderId="0" xfId="0" applyFont="1" applyFill="1"/>
    <xf numFmtId="0" fontId="31" fillId="176" borderId="102" xfId="27667" applyFont="1" applyFill="1" applyBorder="1" applyAlignment="1">
      <alignment horizontal="center" vertical="center"/>
    </xf>
    <xf numFmtId="210" fontId="288" fillId="176" borderId="102" xfId="15" applyNumberFormat="1" applyFont="1" applyFill="1" applyBorder="1" applyAlignment="1">
      <alignment horizontal="left" vertical="center" wrapText="1" readingOrder="1"/>
    </xf>
    <xf numFmtId="210" fontId="58" fillId="176" borderId="102" xfId="15" applyNumberFormat="1" applyFont="1" applyFill="1" applyBorder="1" applyAlignment="1">
      <alignment horizontal="left" vertical="center" wrapText="1" readingOrder="1"/>
    </xf>
    <xf numFmtId="0" fontId="261" fillId="23" borderId="102" xfId="0" applyNumberFormat="1" applyFont="1" applyFill="1" applyBorder="1" applyAlignment="1" applyProtection="1">
      <alignment vertical="center" wrapText="1"/>
    </xf>
    <xf numFmtId="0" fontId="21" fillId="0" borderId="0" xfId="1" applyNumberFormat="1" applyFont="1" applyFill="1" applyBorder="1" applyAlignment="1" applyProtection="1">
      <alignment vertical="center"/>
    </xf>
    <xf numFmtId="0" fontId="92" fillId="0" borderId="0" xfId="1" applyNumberFormat="1" applyFont="1" applyFill="1" applyBorder="1" applyAlignment="1" applyProtection="1">
      <alignment vertical="center"/>
    </xf>
    <xf numFmtId="190" fontId="92" fillId="0" borderId="0" xfId="0" applyNumberFormat="1" applyFont="1" applyAlignment="1">
      <alignment vertical="center"/>
    </xf>
    <xf numFmtId="0" fontId="261" fillId="0" borderId="0" xfId="0" applyNumberFormat="1" applyFont="1" applyAlignment="1">
      <alignment vertical="center"/>
    </xf>
    <xf numFmtId="1" fontId="51" fillId="0" borderId="0" xfId="1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>
      <alignment horizontal="center" vertical="center"/>
    </xf>
    <xf numFmtId="0" fontId="10" fillId="0" borderId="102" xfId="0" applyFont="1" applyBorder="1" applyAlignment="1">
      <alignment horizontal="center" vertical="center"/>
    </xf>
    <xf numFmtId="0" fontId="10" fillId="2" borderId="102" xfId="0" applyFont="1" applyFill="1" applyBorder="1" applyAlignment="1">
      <alignment vertical="center"/>
    </xf>
    <xf numFmtId="2" fontId="10" fillId="0" borderId="102" xfId="0" applyNumberFormat="1" applyFont="1" applyBorder="1" applyAlignment="1">
      <alignment vertical="center"/>
    </xf>
    <xf numFmtId="0" fontId="9" fillId="0" borderId="30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45" fillId="0" borderId="1" xfId="0" applyFont="1" applyBorder="1" applyAlignment="1">
      <alignment horizontal="center" vertical="center" wrapText="1"/>
    </xf>
    <xf numFmtId="0" fontId="9" fillId="0" borderId="102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39" fillId="0" borderId="102" xfId="0" applyFont="1" applyBorder="1" applyAlignment="1">
      <alignment horizontal="center" vertical="center"/>
    </xf>
    <xf numFmtId="0" fontId="9" fillId="0" borderId="102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129" fillId="0" borderId="64" xfId="0" applyFont="1" applyBorder="1" applyAlignment="1">
      <alignment horizontal="center" vertical="center"/>
    </xf>
    <xf numFmtId="0" fontId="129" fillId="0" borderId="60" xfId="0" applyFont="1" applyBorder="1" applyAlignment="1">
      <alignment horizontal="center" vertical="center"/>
    </xf>
    <xf numFmtId="0" fontId="129" fillId="0" borderId="49" xfId="0" applyFont="1" applyBorder="1" applyAlignment="1">
      <alignment horizontal="center" vertical="center"/>
    </xf>
    <xf numFmtId="0" fontId="129" fillId="0" borderId="55" xfId="0" applyFont="1" applyBorder="1" applyAlignment="1">
      <alignment horizontal="center" vertical="center"/>
    </xf>
    <xf numFmtId="0" fontId="87" fillId="0" borderId="0" xfId="0" applyFont="1" applyAlignment="1">
      <alignment horizontal="center" vertical="center"/>
    </xf>
    <xf numFmtId="0" fontId="128" fillId="0" borderId="64" xfId="0" applyFont="1" applyBorder="1" applyAlignment="1">
      <alignment horizontal="center" vertical="center"/>
    </xf>
    <xf numFmtId="0" fontId="128" fillId="0" borderId="65" xfId="0" applyFont="1" applyBorder="1" applyAlignment="1">
      <alignment horizontal="center" vertical="center"/>
    </xf>
    <xf numFmtId="0" fontId="128" fillId="0" borderId="63" xfId="0" applyFont="1" applyBorder="1" applyAlignment="1">
      <alignment horizontal="center" vertical="center"/>
    </xf>
    <xf numFmtId="0" fontId="128" fillId="0" borderId="66" xfId="0" applyFont="1" applyBorder="1" applyAlignment="1">
      <alignment horizontal="center" vertical="center"/>
    </xf>
    <xf numFmtId="0" fontId="128" fillId="0" borderId="2" xfId="0" applyFont="1" applyBorder="1" applyAlignment="1">
      <alignment horizontal="center" vertical="center"/>
    </xf>
    <xf numFmtId="0" fontId="128" fillId="0" borderId="7" xfId="0" applyFont="1" applyBorder="1" applyAlignment="1">
      <alignment horizontal="center" vertical="center"/>
    </xf>
    <xf numFmtId="0" fontId="128" fillId="0" borderId="5" xfId="0" applyFont="1" applyBorder="1" applyAlignment="1">
      <alignment horizontal="center" vertical="center"/>
    </xf>
    <xf numFmtId="0" fontId="128" fillId="0" borderId="19" xfId="0" applyFont="1" applyBorder="1" applyAlignment="1">
      <alignment horizontal="center" vertical="center"/>
    </xf>
    <xf numFmtId="0" fontId="129" fillId="0" borderId="53" xfId="0" applyFont="1" applyBorder="1" applyAlignment="1">
      <alignment horizontal="center" vertical="center"/>
    </xf>
    <xf numFmtId="0" fontId="129" fillId="0" borderId="58" xfId="0" applyFont="1" applyBorder="1" applyAlignment="1">
      <alignment horizontal="center" vertical="center"/>
    </xf>
    <xf numFmtId="0" fontId="129" fillId="0" borderId="109" xfId="0" applyFont="1" applyBorder="1" applyAlignment="1">
      <alignment horizontal="center" vertical="center"/>
    </xf>
    <xf numFmtId="0" fontId="127" fillId="2" borderId="68" xfId="0" applyFont="1" applyFill="1" applyBorder="1" applyAlignment="1">
      <alignment horizontal="center" vertical="center" wrapText="1"/>
    </xf>
    <xf numFmtId="0" fontId="127" fillId="2" borderId="69" xfId="0" applyFont="1" applyFill="1" applyBorder="1" applyAlignment="1">
      <alignment horizontal="center" vertical="center" wrapText="1"/>
    </xf>
    <xf numFmtId="0" fontId="127" fillId="2" borderId="70" xfId="0" applyFont="1" applyFill="1" applyBorder="1" applyAlignment="1">
      <alignment horizontal="center" vertical="center" wrapText="1"/>
    </xf>
    <xf numFmtId="0" fontId="127" fillId="2" borderId="71" xfId="0" applyFont="1" applyFill="1" applyBorder="1" applyAlignment="1">
      <alignment horizontal="center" vertical="center" wrapText="1"/>
    </xf>
    <xf numFmtId="0" fontId="127" fillId="2" borderId="38" xfId="0" applyFont="1" applyFill="1" applyBorder="1" applyAlignment="1">
      <alignment horizontal="center" vertical="center" wrapText="1"/>
    </xf>
    <xf numFmtId="0" fontId="127" fillId="2" borderId="72" xfId="0" applyFont="1" applyFill="1" applyBorder="1" applyAlignment="1">
      <alignment horizontal="center" vertical="center" wrapText="1"/>
    </xf>
    <xf numFmtId="0" fontId="46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center" vertical="center" wrapText="1"/>
    </xf>
    <xf numFmtId="0" fontId="46" fillId="0" borderId="30" xfId="0" applyFont="1" applyBorder="1" applyAlignment="1">
      <alignment horizontal="center" vertical="center"/>
    </xf>
    <xf numFmtId="0" fontId="46" fillId="0" borderId="21" xfId="0" applyFont="1" applyBorder="1" applyAlignment="1">
      <alignment horizontal="center" vertical="center"/>
    </xf>
    <xf numFmtId="0" fontId="46" fillId="0" borderId="29" xfId="0" applyFont="1" applyBorder="1" applyAlignment="1">
      <alignment horizontal="center" vertical="center"/>
    </xf>
    <xf numFmtId="0" fontId="46" fillId="0" borderId="30" xfId="0" applyFont="1" applyBorder="1" applyAlignment="1">
      <alignment horizontal="center" vertical="center" wrapText="1"/>
    </xf>
    <xf numFmtId="0" fontId="46" fillId="0" borderId="21" xfId="0" applyFont="1" applyBorder="1" applyAlignment="1">
      <alignment horizontal="center" vertical="center" wrapText="1"/>
    </xf>
    <xf numFmtId="0" fontId="46" fillId="0" borderId="29" xfId="0" applyFont="1" applyBorder="1" applyAlignment="1">
      <alignment horizontal="center" vertical="center" wrapText="1"/>
    </xf>
    <xf numFmtId="0" fontId="46" fillId="0" borderId="43" xfId="0" applyFont="1" applyBorder="1" applyAlignment="1">
      <alignment horizontal="center" vertical="center" wrapText="1"/>
    </xf>
    <xf numFmtId="0" fontId="46" fillId="0" borderId="48" xfId="0" applyFont="1" applyBorder="1" applyAlignment="1">
      <alignment horizontal="center" vertical="center" wrapText="1"/>
    </xf>
    <xf numFmtId="0" fontId="46" fillId="0" borderId="10" xfId="0" applyFont="1" applyBorder="1" applyAlignment="1">
      <alignment horizontal="center" vertical="center" wrapText="1"/>
    </xf>
    <xf numFmtId="0" fontId="289" fillId="0" borderId="111" xfId="27667" applyFont="1" applyBorder="1" applyAlignment="1">
      <alignment horizontal="center" vertical="center" wrapText="1"/>
    </xf>
    <xf numFmtId="0" fontId="289" fillId="0" borderId="113" xfId="27667" applyFont="1" applyBorder="1" applyAlignment="1">
      <alignment horizontal="center" vertical="center" wrapText="1"/>
    </xf>
    <xf numFmtId="0" fontId="31" fillId="0" borderId="111" xfId="27667" applyFont="1" applyBorder="1" applyAlignment="1">
      <alignment horizontal="center" vertical="center"/>
    </xf>
    <xf numFmtId="0" fontId="31" fillId="0" borderId="113" xfId="27667" applyFont="1" applyBorder="1" applyAlignment="1">
      <alignment horizontal="center" vertical="center"/>
    </xf>
    <xf numFmtId="0" fontId="39" fillId="0" borderId="102" xfId="27667" applyFont="1" applyBorder="1" applyAlignment="1">
      <alignment horizontal="center" vertical="center"/>
    </xf>
    <xf numFmtId="0" fontId="31" fillId="0" borderId="114" xfId="27667" applyFont="1" applyBorder="1" applyAlignment="1">
      <alignment horizontal="center" vertical="center" wrapText="1"/>
    </xf>
    <xf numFmtId="0" fontId="31" fillId="0" borderId="48" xfId="27667" applyFont="1" applyBorder="1" applyAlignment="1">
      <alignment horizontal="center" vertical="center" wrapText="1"/>
    </xf>
    <xf numFmtId="0" fontId="31" fillId="0" borderId="10" xfId="27667" applyFont="1" applyBorder="1" applyAlignment="1">
      <alignment horizontal="center" vertical="center" wrapText="1"/>
    </xf>
    <xf numFmtId="0" fontId="39" fillId="0" borderId="102" xfId="27667" applyFont="1" applyBorder="1" applyAlignment="1">
      <alignment horizontal="center" vertical="center" wrapText="1"/>
    </xf>
    <xf numFmtId="0" fontId="39" fillId="0" borderId="102" xfId="27667" applyFont="1" applyFill="1" applyBorder="1" applyAlignment="1">
      <alignment horizontal="center" vertical="center"/>
    </xf>
    <xf numFmtId="0" fontId="39" fillId="47" borderId="111" xfId="27667" applyFont="1" applyFill="1" applyBorder="1" applyAlignment="1">
      <alignment horizontal="center" vertical="center"/>
    </xf>
    <xf numFmtId="0" fontId="39" fillId="47" borderId="113" xfId="27667" applyFont="1" applyFill="1" applyBorder="1" applyAlignment="1">
      <alignment horizontal="center" vertical="center"/>
    </xf>
    <xf numFmtId="0" fontId="289" fillId="0" borderId="102" xfId="27667" applyFont="1" applyBorder="1" applyAlignment="1">
      <alignment horizontal="left" vertical="center" wrapText="1" indent="1"/>
    </xf>
    <xf numFmtId="0" fontId="31" fillId="0" borderId="43" xfId="27667" applyFont="1" applyBorder="1" applyAlignment="1">
      <alignment horizontal="center" vertical="center" wrapText="1"/>
    </xf>
    <xf numFmtId="0" fontId="31" fillId="0" borderId="102" xfId="27667" applyFont="1" applyBorder="1" applyAlignment="1">
      <alignment horizontal="center" vertical="center" wrapText="1"/>
    </xf>
    <xf numFmtId="0" fontId="31" fillId="0" borderId="102" xfId="27667" applyFont="1" applyBorder="1" applyAlignment="1">
      <alignment horizontal="center" vertical="center"/>
    </xf>
    <xf numFmtId="0" fontId="31" fillId="47" borderId="102" xfId="27667" applyFont="1" applyFill="1" applyBorder="1" applyAlignment="1">
      <alignment horizontal="center" vertical="center"/>
    </xf>
    <xf numFmtId="0" fontId="289" fillId="0" borderId="102" xfId="27667" applyFont="1" applyBorder="1" applyAlignment="1">
      <alignment horizontal="left" vertical="center" indent="1"/>
    </xf>
    <xf numFmtId="0" fontId="39" fillId="47" borderId="102" xfId="27667" applyFont="1" applyFill="1" applyBorder="1" applyAlignment="1">
      <alignment horizontal="center" vertical="center"/>
    </xf>
    <xf numFmtId="0" fontId="76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46" fillId="41" borderId="1" xfId="0" applyFont="1" applyFill="1" applyBorder="1" applyAlignment="1">
      <alignment horizontal="center" vertical="center"/>
    </xf>
    <xf numFmtId="57" fontId="46" fillId="0" borderId="1" xfId="0" applyNumberFormat="1" applyFont="1" applyBorder="1" applyAlignment="1">
      <alignment horizontal="center" vertical="center"/>
    </xf>
    <xf numFmtId="0" fontId="125" fillId="0" borderId="0" xfId="0" applyFont="1" applyAlignment="1">
      <alignment horizontal="center" vertical="center"/>
    </xf>
    <xf numFmtId="0" fontId="5" fillId="0" borderId="0" xfId="12" applyAlignment="1">
      <alignment horizontal="center" vertical="center"/>
    </xf>
    <xf numFmtId="0" fontId="114" fillId="0" borderId="1" xfId="12" applyFont="1" applyBorder="1" applyAlignment="1">
      <alignment horizontal="center" vertical="center" wrapText="1"/>
    </xf>
    <xf numFmtId="0" fontId="114" fillId="0" borderId="1" xfId="12" applyFont="1" applyBorder="1" applyAlignment="1">
      <alignment horizontal="center" vertical="center"/>
    </xf>
    <xf numFmtId="0" fontId="114" fillId="3" borderId="1" xfId="12" applyFont="1" applyFill="1" applyBorder="1" applyAlignment="1">
      <alignment horizontal="center" vertical="center" wrapText="1"/>
    </xf>
    <xf numFmtId="0" fontId="114" fillId="0" borderId="102" xfId="12" applyFont="1" applyBorder="1" applyAlignment="1">
      <alignment horizontal="center" vertical="center" wrapText="1"/>
    </xf>
    <xf numFmtId="0" fontId="114" fillId="0" borderId="43" xfId="12" applyFont="1" applyBorder="1" applyAlignment="1">
      <alignment horizontal="center" vertical="center" wrapText="1"/>
    </xf>
    <xf numFmtId="0" fontId="114" fillId="0" borderId="10" xfId="12" applyFont="1" applyBorder="1" applyAlignment="1">
      <alignment horizontal="center" vertical="center" wrapText="1"/>
    </xf>
    <xf numFmtId="0" fontId="114" fillId="0" borderId="111" xfId="12" applyFont="1" applyBorder="1" applyAlignment="1">
      <alignment horizontal="center" vertical="center" wrapText="1"/>
    </xf>
    <xf numFmtId="0" fontId="114" fillId="0" borderId="112" xfId="12" applyFont="1" applyBorder="1" applyAlignment="1">
      <alignment horizontal="center" vertical="center" wrapText="1"/>
    </xf>
    <xf numFmtId="0" fontId="114" fillId="0" borderId="113" xfId="12" applyFont="1" applyBorder="1" applyAlignment="1">
      <alignment horizontal="center" vertical="center" wrapText="1"/>
    </xf>
    <xf numFmtId="0" fontId="22" fillId="0" borderId="1" xfId="12" applyFont="1" applyBorder="1" applyAlignment="1">
      <alignment horizontal="center" vertical="center"/>
    </xf>
    <xf numFmtId="0" fontId="110" fillId="0" borderId="0" xfId="12" applyFont="1" applyAlignment="1">
      <alignment vertical="center" wrapText="1"/>
    </xf>
    <xf numFmtId="0" fontId="110" fillId="0" borderId="0" xfId="12" applyFont="1" applyAlignment="1">
      <alignment horizontal="left" vertical="center" wrapText="1"/>
    </xf>
    <xf numFmtId="0" fontId="111" fillId="0" borderId="0" xfId="12" applyFont="1" applyAlignment="1">
      <alignment vertical="center" wrapText="1"/>
    </xf>
    <xf numFmtId="0" fontId="112" fillId="0" borderId="0" xfId="12" applyFont="1" applyAlignment="1">
      <alignment vertical="center" wrapText="1"/>
    </xf>
    <xf numFmtId="0" fontId="22" fillId="0" borderId="43" xfId="12" applyFont="1" applyBorder="1" applyAlignment="1">
      <alignment horizontal="center" vertical="center"/>
    </xf>
    <xf numFmtId="0" fontId="22" fillId="0" borderId="48" xfId="12" applyFont="1" applyBorder="1" applyAlignment="1">
      <alignment horizontal="center" vertical="center"/>
    </xf>
    <xf numFmtId="0" fontId="22" fillId="0" borderId="10" xfId="1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2" borderId="1" xfId="0" applyFont="1" applyFill="1" applyBorder="1" applyAlignment="1">
      <alignment horizontal="center" vertical="center"/>
    </xf>
    <xf numFmtId="0" fontId="82" fillId="16" borderId="31" xfId="0" applyFont="1" applyFill="1" applyBorder="1" applyAlignment="1">
      <alignment horizontal="center" vertical="center"/>
    </xf>
    <xf numFmtId="0" fontId="82" fillId="16" borderId="32" xfId="0" applyFont="1" applyFill="1" applyBorder="1" applyAlignment="1">
      <alignment horizontal="center" vertical="center"/>
    </xf>
    <xf numFmtId="57" fontId="9" fillId="0" borderId="30" xfId="0" applyNumberFormat="1" applyFont="1" applyBorder="1" applyAlignment="1">
      <alignment horizontal="center" vertical="center"/>
    </xf>
    <xf numFmtId="57" fontId="9" fillId="0" borderId="21" xfId="0" applyNumberFormat="1" applyFont="1" applyBorder="1" applyAlignment="1">
      <alignment horizontal="center" vertical="center"/>
    </xf>
    <xf numFmtId="57" fontId="9" fillId="0" borderId="29" xfId="0" applyNumberFormat="1" applyFont="1" applyBorder="1" applyAlignment="1">
      <alignment horizontal="center" vertical="center"/>
    </xf>
    <xf numFmtId="0" fontId="9" fillId="0" borderId="102" xfId="0" applyFont="1" applyFill="1" applyBorder="1" applyAlignment="1">
      <alignment horizontal="center" vertical="center"/>
    </xf>
    <xf numFmtId="57" fontId="14" fillId="11" borderId="102" xfId="0" applyNumberFormat="1" applyFont="1" applyFill="1" applyBorder="1" applyAlignment="1">
      <alignment horizontal="center" vertical="center"/>
    </xf>
    <xf numFmtId="0" fontId="14" fillId="11" borderId="102" xfId="0" applyFont="1" applyFill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11" borderId="30" xfId="0" applyFont="1" applyFill="1" applyBorder="1" applyAlignment="1">
      <alignment horizontal="center" vertical="center"/>
    </xf>
    <xf numFmtId="0" fontId="9" fillId="11" borderId="29" xfId="0" applyFont="1" applyFill="1" applyBorder="1" applyAlignment="1">
      <alignment horizontal="center" vertical="center"/>
    </xf>
    <xf numFmtId="0" fontId="9" fillId="11" borderId="2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46" fillId="27" borderId="1" xfId="0" applyFont="1" applyFill="1" applyBorder="1" applyAlignment="1">
      <alignment horizontal="center" vertical="center"/>
    </xf>
    <xf numFmtId="0" fontId="299" fillId="0" borderId="0" xfId="0" applyFont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 wrapText="1"/>
    </xf>
    <xf numFmtId="0" fontId="44" fillId="0" borderId="30" xfId="0" applyFont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44" fillId="0" borderId="29" xfId="0" applyFont="1" applyBorder="1" applyAlignment="1">
      <alignment horizontal="center" vertical="center"/>
    </xf>
    <xf numFmtId="0" fontId="301" fillId="0" borderId="102" xfId="0" applyFont="1" applyBorder="1" applyAlignment="1">
      <alignment horizontal="center" vertical="center"/>
    </xf>
    <xf numFmtId="0" fontId="10" fillId="0" borderId="43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01" fillId="0" borderId="114" xfId="0" applyFont="1" applyBorder="1" applyAlignment="1">
      <alignment horizontal="center" vertical="center"/>
    </xf>
    <xf numFmtId="0" fontId="301" fillId="0" borderId="48" xfId="0" applyFont="1" applyBorder="1" applyAlignment="1">
      <alignment horizontal="center" vertical="center"/>
    </xf>
    <xf numFmtId="0" fontId="301" fillId="0" borderId="10" xfId="0" applyFont="1" applyBorder="1" applyAlignment="1">
      <alignment horizontal="center" vertical="center"/>
    </xf>
    <xf numFmtId="0" fontId="9" fillId="11" borderId="45" xfId="0" applyFont="1" applyFill="1" applyBorder="1" applyAlignment="1">
      <alignment horizontal="center" vertical="center"/>
    </xf>
    <xf numFmtId="0" fontId="9" fillId="11" borderId="44" xfId="0" applyFont="1" applyFill="1" applyBorder="1" applyAlignment="1">
      <alignment horizontal="center" vertical="center"/>
    </xf>
    <xf numFmtId="0" fontId="9" fillId="11" borderId="46" xfId="0" applyFont="1" applyFill="1" applyBorder="1" applyAlignment="1">
      <alignment horizontal="center" vertical="center"/>
    </xf>
    <xf numFmtId="0" fontId="9" fillId="11" borderId="47" xfId="0" applyFont="1" applyFill="1" applyBorder="1" applyAlignment="1">
      <alignment horizontal="center" vertical="center"/>
    </xf>
    <xf numFmtId="0" fontId="10" fillId="0" borderId="102" xfId="0" applyFont="1" applyBorder="1" applyAlignment="1">
      <alignment horizontal="center" vertical="center"/>
    </xf>
    <xf numFmtId="0" fontId="15" fillId="0" borderId="48" xfId="15" applyFont="1" applyBorder="1" applyAlignment="1">
      <alignment horizontal="left" vertical="top" wrapText="1"/>
    </xf>
    <xf numFmtId="0" fontId="15" fillId="0" borderId="10" xfId="15" applyFont="1" applyBorder="1" applyAlignment="1">
      <alignment horizontal="left" vertical="top" wrapText="1"/>
    </xf>
    <xf numFmtId="0" fontId="76" fillId="0" borderId="30" xfId="15" applyFont="1" applyBorder="1" applyAlignment="1">
      <alignment horizontal="center" vertical="center" wrapText="1"/>
    </xf>
    <xf numFmtId="0" fontId="76" fillId="0" borderId="29" xfId="15" applyFont="1" applyBorder="1" applyAlignment="1">
      <alignment horizontal="center" vertical="center" wrapText="1"/>
    </xf>
    <xf numFmtId="57" fontId="76" fillId="0" borderId="1" xfId="15" applyNumberFormat="1" applyFont="1" applyBorder="1" applyAlignment="1">
      <alignment horizontal="center" vertical="center" wrapText="1"/>
    </xf>
    <xf numFmtId="0" fontId="76" fillId="0" borderId="1" xfId="15" applyFont="1" applyBorder="1" applyAlignment="1">
      <alignment horizontal="center" vertical="center" wrapText="1"/>
    </xf>
    <xf numFmtId="0" fontId="76" fillId="0" borderId="43" xfId="15" applyFont="1" applyBorder="1" applyAlignment="1">
      <alignment horizontal="center" vertical="center" wrapText="1"/>
    </xf>
    <xf numFmtId="0" fontId="76" fillId="0" borderId="10" xfId="15" applyFont="1" applyBorder="1" applyAlignment="1">
      <alignment horizontal="center" vertical="center" wrapText="1"/>
    </xf>
    <xf numFmtId="0" fontId="41" fillId="0" borderId="102" xfId="15" applyFont="1" applyBorder="1" applyAlignment="1">
      <alignment horizontal="center" vertical="center" wrapText="1"/>
    </xf>
    <xf numFmtId="0" fontId="10" fillId="0" borderId="0" xfId="15" applyFont="1" applyAlignment="1">
      <alignment vertical="center" wrapText="1"/>
    </xf>
    <xf numFmtId="0" fontId="40" fillId="0" borderId="0" xfId="15" applyFont="1" applyAlignment="1">
      <alignment vertical="center" wrapText="1"/>
    </xf>
    <xf numFmtId="57" fontId="41" fillId="0" borderId="102" xfId="15" applyNumberFormat="1" applyFont="1" applyBorder="1" applyAlignment="1">
      <alignment horizontal="center" vertical="center" wrapText="1"/>
    </xf>
    <xf numFmtId="0" fontId="39" fillId="0" borderId="111" xfId="0" applyFont="1" applyBorder="1" applyAlignment="1">
      <alignment horizontal="center" vertical="center"/>
    </xf>
    <xf numFmtId="0" fontId="39" fillId="0" borderId="112" xfId="0" applyFont="1" applyBorder="1" applyAlignment="1">
      <alignment horizontal="center" vertical="center"/>
    </xf>
    <xf numFmtId="0" fontId="39" fillId="0" borderId="113" xfId="0" applyFont="1" applyBorder="1" applyAlignment="1">
      <alignment horizontal="center" vertical="center"/>
    </xf>
    <xf numFmtId="0" fontId="39" fillId="0" borderId="102" xfId="0" applyFont="1" applyBorder="1" applyAlignment="1">
      <alignment horizontal="center" vertical="center" wrapText="1"/>
    </xf>
    <xf numFmtId="0" fontId="39" fillId="0" borderId="114" xfId="0" applyFont="1" applyBorder="1" applyAlignment="1">
      <alignment horizontal="center" vertical="center"/>
    </xf>
    <xf numFmtId="0" fontId="39" fillId="0" borderId="10" xfId="0" applyFont="1" applyBorder="1" applyAlignment="1">
      <alignment horizontal="center" vertical="center"/>
    </xf>
    <xf numFmtId="0" fontId="39" fillId="0" borderId="111" xfId="27667" applyFont="1" applyFill="1" applyBorder="1" applyAlignment="1">
      <alignment horizontal="center" vertical="center"/>
    </xf>
    <xf numFmtId="0" fontId="39" fillId="0" borderId="113" xfId="27667" applyFont="1" applyFill="1" applyBorder="1" applyAlignment="1">
      <alignment horizontal="center" vertical="center"/>
    </xf>
    <xf numFmtId="0" fontId="14" fillId="46" borderId="30" xfId="15" applyFont="1" applyFill="1" applyBorder="1" applyAlignment="1">
      <alignment horizontal="center" vertical="center"/>
    </xf>
    <xf numFmtId="0" fontId="14" fillId="46" borderId="21" xfId="15" applyFont="1" applyFill="1" applyBorder="1" applyAlignment="1">
      <alignment horizontal="center" vertical="center"/>
    </xf>
    <xf numFmtId="0" fontId="14" fillId="46" borderId="29" xfId="15" applyFont="1" applyFill="1" applyBorder="1" applyAlignment="1">
      <alignment horizontal="center" vertical="center"/>
    </xf>
    <xf numFmtId="0" fontId="33" fillId="0" borderId="102" xfId="0" applyFont="1" applyBorder="1" applyAlignment="1">
      <alignment horizontal="center" vertical="center"/>
    </xf>
    <xf numFmtId="0" fontId="33" fillId="0" borderId="121" xfId="0" applyFont="1" applyBorder="1" applyAlignment="1">
      <alignment horizontal="center" vertical="center"/>
    </xf>
    <xf numFmtId="0" fontId="32" fillId="0" borderId="118" xfId="0" applyFont="1" applyBorder="1" applyAlignment="1">
      <alignment horizontal="center" vertical="center" wrapText="1"/>
    </xf>
    <xf numFmtId="0" fontId="32" fillId="0" borderId="120" xfId="0" applyFont="1" applyBorder="1" applyAlignment="1">
      <alignment horizontal="center" vertical="center" wrapText="1"/>
    </xf>
    <xf numFmtId="0" fontId="32" fillId="0" borderId="2" xfId="0" applyFont="1" applyBorder="1" applyAlignment="1">
      <alignment horizontal="center" vertical="center"/>
    </xf>
    <xf numFmtId="0" fontId="32" fillId="0" borderId="3" xfId="0" applyFont="1" applyBorder="1" applyAlignment="1">
      <alignment horizontal="center" vertical="center"/>
    </xf>
    <xf numFmtId="0" fontId="32" fillId="0" borderId="118" xfId="0" applyFont="1" applyBorder="1" applyAlignment="1">
      <alignment horizontal="center" vertical="center"/>
    </xf>
    <xf numFmtId="0" fontId="32" fillId="0" borderId="111" xfId="0" applyFont="1" applyFill="1" applyBorder="1" applyAlignment="1">
      <alignment horizontal="center" vertical="center"/>
    </xf>
    <xf numFmtId="0" fontId="32" fillId="0" borderId="112" xfId="0" applyFont="1" applyFill="1" applyBorder="1" applyAlignment="1">
      <alignment horizontal="center" vertical="center"/>
    </xf>
    <xf numFmtId="0" fontId="32" fillId="0" borderId="113" xfId="0" applyFont="1" applyFill="1" applyBorder="1" applyAlignment="1">
      <alignment horizontal="center" vertical="center"/>
    </xf>
    <xf numFmtId="0" fontId="61" fillId="0" borderId="20" xfId="17" applyFont="1" applyBorder="1" applyAlignment="1">
      <alignment horizontal="center" vertical="center"/>
    </xf>
    <xf numFmtId="0" fontId="5" fillId="0" borderId="32" xfId="17" applyBorder="1">
      <alignment vertical="center"/>
    </xf>
    <xf numFmtId="0" fontId="5" fillId="0" borderId="34" xfId="17" applyBorder="1">
      <alignment vertical="center"/>
    </xf>
    <xf numFmtId="0" fontId="5" fillId="0" borderId="0" xfId="17">
      <alignment vertical="center"/>
    </xf>
    <xf numFmtId="0" fontId="5" fillId="0" borderId="35" xfId="17" applyBorder="1">
      <alignment vertical="center"/>
    </xf>
    <xf numFmtId="0" fontId="13" fillId="0" borderId="0" xfId="17" applyFont="1" applyAlignment="1">
      <alignment vertical="center" wrapText="1"/>
    </xf>
    <xf numFmtId="0" fontId="13" fillId="0" borderId="35" xfId="17" applyFont="1" applyBorder="1" applyAlignment="1">
      <alignment vertical="center" wrapText="1"/>
    </xf>
    <xf numFmtId="0" fontId="5" fillId="0" borderId="9" xfId="17" applyBorder="1">
      <alignment vertical="center"/>
    </xf>
    <xf numFmtId="0" fontId="5" fillId="0" borderId="37" xfId="17" applyBorder="1">
      <alignment vertical="center"/>
    </xf>
    <xf numFmtId="0" fontId="34" fillId="0" borderId="3" xfId="15" applyFont="1" applyBorder="1" applyAlignment="1">
      <alignment horizontal="center" vertical="center" wrapText="1"/>
    </xf>
    <xf numFmtId="0" fontId="34" fillId="0" borderId="13" xfId="15" applyFont="1" applyBorder="1" applyAlignment="1">
      <alignment horizontal="center" vertical="center" wrapText="1"/>
    </xf>
    <xf numFmtId="0" fontId="34" fillId="0" borderId="2" xfId="15" applyFont="1" applyBorder="1" applyAlignment="1">
      <alignment horizontal="center" vertical="center" wrapText="1"/>
    </xf>
    <xf numFmtId="0" fontId="34" fillId="0" borderId="7" xfId="15" applyFont="1" applyBorder="1" applyAlignment="1">
      <alignment horizontal="center" vertical="center" wrapText="1"/>
    </xf>
    <xf numFmtId="0" fontId="34" fillId="0" borderId="24" xfId="15" applyFont="1" applyBorder="1" applyAlignment="1">
      <alignment horizontal="center" vertical="center" wrapText="1"/>
    </xf>
    <xf numFmtId="0" fontId="34" fillId="0" borderId="25" xfId="15" applyFont="1" applyBorder="1" applyAlignment="1">
      <alignment horizontal="center" vertical="center" wrapText="1"/>
    </xf>
    <xf numFmtId="0" fontId="34" fillId="0" borderId="15" xfId="15" applyFont="1" applyBorder="1" applyAlignment="1">
      <alignment horizontal="center" vertical="center" wrapText="1"/>
    </xf>
    <xf numFmtId="57" fontId="34" fillId="0" borderId="2" xfId="15" applyNumberFormat="1" applyFont="1" applyBorder="1" applyAlignment="1">
      <alignment horizontal="center" vertical="center" wrapText="1"/>
    </xf>
    <xf numFmtId="57" fontId="34" fillId="0" borderId="3" xfId="15" applyNumberFormat="1" applyFont="1" applyBorder="1" applyAlignment="1">
      <alignment horizontal="center" vertical="center" wrapText="1"/>
    </xf>
    <xf numFmtId="57" fontId="34" fillId="0" borderId="7" xfId="15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7" fillId="0" borderId="10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193" fontId="9" fillId="0" borderId="9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57" fontId="9" fillId="0" borderId="9" xfId="0" applyNumberFormat="1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57" fontId="9" fillId="0" borderId="0" xfId="0" applyNumberFormat="1" applyFont="1" applyAlignment="1">
      <alignment horizontal="center" vertical="center"/>
    </xf>
    <xf numFmtId="0" fontId="51" fillId="2" borderId="0" xfId="1" applyFont="1" applyFill="1" applyAlignment="1">
      <alignment vertical="center"/>
    </xf>
    <xf numFmtId="0" fontId="94" fillId="2" borderId="0" xfId="1" applyFont="1" applyFill="1" applyAlignment="1">
      <alignment horizontal="left" vertical="center"/>
    </xf>
    <xf numFmtId="1" fontId="94" fillId="2" borderId="0" xfId="1" applyNumberFormat="1" applyFont="1" applyFill="1" applyAlignment="1">
      <alignment horizontal="center" vertical="center"/>
    </xf>
    <xf numFmtId="1" fontId="51" fillId="2" borderId="0" xfId="1" applyNumberFormat="1" applyFont="1" applyFill="1" applyAlignment="1">
      <alignment horizontal="center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1" fillId="2" borderId="20" xfId="1" applyFont="1" applyFill="1" applyBorder="1" applyAlignment="1">
      <alignment vertical="center"/>
    </xf>
    <xf numFmtId="0" fontId="51" fillId="2" borderId="20" xfId="1" applyFont="1" applyFill="1" applyBorder="1" applyAlignment="1">
      <alignment horizontal="left" vertical="center"/>
    </xf>
    <xf numFmtId="1" fontId="51" fillId="2" borderId="20" xfId="1" applyNumberFormat="1" applyFont="1" applyFill="1" applyBorder="1" applyAlignment="1">
      <alignment horizontal="center" vertical="center"/>
    </xf>
    <xf numFmtId="0" fontId="51" fillId="2" borderId="20" xfId="1" applyNumberFormat="1" applyFont="1" applyFill="1" applyBorder="1" applyAlignment="1" applyProtection="1">
      <alignment vertical="center"/>
    </xf>
    <xf numFmtId="1" fontId="51" fillId="2" borderId="20" xfId="1" applyNumberFormat="1" applyFont="1" applyFill="1" applyBorder="1" applyAlignment="1">
      <alignment vertical="center"/>
    </xf>
  </cellXfs>
  <cellStyles count="27874">
    <cellStyle name=" 1" xfId="14331" xr:uid="{73D566E5-D4FC-4104-B960-0257EC609FAA}"/>
    <cellStyle name="_x000d__x000a_CCAPI200.DLL=C:\WINDOWS\SYSTEM\, Can't find CCAPI200.DLL_x000d__x000a_XLHELP.DLL=C:\MSOFFICE\EXCEL_x000d__x000a_MAI" xfId="9361" xr:uid="{6874D282-5883-4FD3-8444-5E96BE0EACD5}"/>
    <cellStyle name="_x000d__x000a_CCAPI200.DLL=C:\WINDOWS\SYSTEM\, Can't find CCAPI200.DLL_x000d__x000a_XLHELP.DLL=C:\MSOFFICE\EXCEL_x000d__x000a_MAI 2" xfId="9362" xr:uid="{22E97EC0-0467-464C-A3BA-1BF60F023E4E}"/>
    <cellStyle name="_x000d__x000a_JournalTemplate=C:\COMFO\CTALK\JOURSTD.TPL_x000d__x000a_LbStateAddress=3 3 0 251 1 89 2 311_x000d__x000a_LbStateJou" xfId="9363" xr:uid="{BF7FAE37-4845-4FE4-83AD-27D19F58FC01}"/>
    <cellStyle name="_+936万 正常水平—3.12测算（不考虑库存1）" xfId="14330" xr:uid="{C4D790C6-569A-42C8-8226-E9369ECA530B}"/>
    <cellStyle name="_+936万 正常水平—3.12测算（不考虑库存1）_2009年3月份矿业公司目标成本326" xfId="14329" xr:uid="{9C547B1E-4D32-4CA8-B3A2-B0886935FAA1}"/>
    <cellStyle name="_+936万 正常水平—3.12测算（不考虑库存1）_2009年4月份目标成本分解表-总公司计划" xfId="14328" xr:uid="{0A731A1A-2619-426F-963F-0CC1E99B2B48}"/>
    <cellStyle name="_+936万 正常水平—3.12测算（不考虑库存1）_6月份目标成本表(颁发)090531" xfId="14327" xr:uid="{68B2D045-A2E0-4EF6-BFB3-B45AD1693A1F}"/>
    <cellStyle name="_+936万 正常水平—3.12测算（不考虑库存1）_第三阶段攻关任务" xfId="14326" xr:uid="{651BEC7A-B068-4529-9FFD-65CE3E0782A0}"/>
    <cellStyle name="_08_1-6冷轧板__f" xfId="14325" xr:uid="{CA627C06-737A-490A-A402-7BC18481E78E}"/>
    <cellStyle name="_08年成本变化因素表  8-14" xfId="14324" xr:uid="{D3EC1E7E-1E79-47F9-96BF-E0DA70B2AA23}"/>
    <cellStyle name="_08年成本变化因素表  8-26" xfId="14323" xr:uid="{ADBB0297-BF94-4450-88C2-8B210CF5720C}"/>
    <cellStyle name="_08年成本变化因素表  9-6" xfId="14322" xr:uid="{92DA187D-C16F-4E5D-ABB8-7E1CC7A5AB40}"/>
    <cellStyle name="_08年成本变化因素表8-23" xfId="14321" xr:uid="{09C3884D-3E5E-4C26-9140-4359E4BC9713}"/>
    <cellStyle name="_08年成本计划1月14日" xfId="14320" xr:uid="{DFDD6A52-85DE-4D67-B626-E2DFB80E2417}"/>
    <cellStyle name="_08年成本预算表" xfId="14319" xr:uid="{88C346EB-7E08-4EA1-B90B-695DC70BD351}"/>
    <cellStyle name="_08年成本预算表12.07" xfId="14318" xr:uid="{258EB96E-7D02-4CCF-A166-995EDDB58B71}"/>
    <cellStyle name="_08年第四批增收节支措施(汇总)" xfId="14317" xr:uid="{8A27512A-6985-4839-BCE6-CF8CC10F8815}"/>
    <cellStyle name="_090217-迁钢3月份钢成本测算(总公司2月份价格对接价22)" xfId="14316" xr:uid="{2DF16745-9B43-4052-935F-9283EB5E18E3}"/>
    <cellStyle name="_090217-迁钢3月份钢成本测算(总公司2月份价格对接价22)_0904矿业公司目标成本降低额测算03.27" xfId="14315" xr:uid="{CBE7FF49-34B2-405D-83FF-51E40ABF1B8B}"/>
    <cellStyle name="_090217-迁钢3月份钢成本测算(总公司2月份价格对接价22)_6月份目标成本表(颁发)090531" xfId="14314" xr:uid="{8F443560-7F39-4D94-A6D9-B81ACF3A4122}"/>
    <cellStyle name="_090217-迁钢3月份钢成本测算(总公司2月份价格对接价22)_第三阶段攻关任务" xfId="14313" xr:uid="{5B098DCD-D7E9-4816-A511-429269269DFD}"/>
    <cellStyle name="_090217-迁钢3月份钢成本测算(总公司2月份价格对接价22)_首钢总公司关于颁发《首钢钢铁业2009年3月份目标成本安排》的通知" xfId="14312" xr:uid="{372D3EC1-F808-41C5-9F2D-18D52D04A71A}"/>
    <cellStyle name="_090217-迁钢3月份钢成本测算(总公司2月份价格对接价22)_首钢总公司关于颁发《首钢钢铁业2009年3月份目标成本安排》的通知_2009年3月份矿业公司目标成本326" xfId="14311" xr:uid="{7EB95802-F956-4321-8665-0CA0840654C2}"/>
    <cellStyle name="_090217-迁钢3月份钢成本测算(总公司2月份价格对接价22)_首钢总公司关于颁发《首钢钢铁业2009年3月份目标成本安排》的通知_6月份目标成本表(颁发)090531" xfId="14310" xr:uid="{9287FC7B-5319-45AD-89F1-EE931D2C3FDE}"/>
    <cellStyle name="_090217-迁钢3月份钢成本测算(总公司2月份价格对接价22)_首钢总公司关于颁发《首钢钢铁业2009年3月份目标成本安排》的通知_第三阶段攻关任务" xfId="14309" xr:uid="{D077131C-D832-4891-8E79-9688605D1E96}"/>
    <cellStyle name="_0904矿业公司目标成本降低额测算03.27" xfId="14308" xr:uid="{0C4BD8E5-F8B8-4D24-8262-B00507E8406B}"/>
    <cellStyle name="_0904矿业公司目标成本降低额测算03.27_10月球团产品成本表" xfId="14307" xr:uid="{CE5BDFA9-C8B0-4774-8B48-3C110FD0B9F7}"/>
    <cellStyle name="_0904矿业公司目标成本降低额测算03.27_11月球团产品成本表" xfId="14306" xr:uid="{22742C93-3AC2-4330-9AF0-5F2BAAB38F04}"/>
    <cellStyle name="_0904矿业公司目标成本降低额测算03.27_11月球团产品成本表_1" xfId="14305" xr:uid="{35A6A6F1-496B-4D67-A2FE-30A35CE545E7}"/>
    <cellStyle name="_0904矿业公司目标成本降低额测算03.27_待摊 (自产)" xfId="14304" xr:uid="{8533DF26-6F7A-4204-934E-EB20120389EA}"/>
    <cellStyle name="_0904矿业公司目标成本降低额测算03.27_待摊 (自产)_10月球团产品成本表" xfId="14303" xr:uid="{AD4AB6D1-B77C-4333-8FB2-EF40FE656F81}"/>
    <cellStyle name="_0904矿业公司目标成本降低额测算03.27_待摊 (自产)_11月球团产品成本表" xfId="14302" xr:uid="{AF8E3F57-DF71-4E6E-839C-2E0482CE585B}"/>
    <cellStyle name="_0904矿业公司目标成本降低额测算03.27_待摊 (自产)_11月球团产品成本表_1" xfId="14301" xr:uid="{BED7F4B9-8AA2-4CBD-9520-697A451E72A9}"/>
    <cellStyle name="_0904矿业公司目标成本降低额测算03.27_球团工序" xfId="14300" xr:uid="{18302647-B87D-4BEB-AC74-48239FBD8093}"/>
    <cellStyle name="_09年9月新关联交易太钢不锈与太钢集团日常关联表格式" xfId="24" xr:uid="{CEFFC9F8-BA68-452D-BD1E-0E0F53F6F8E1}"/>
    <cellStyle name="_09年9月新关联交易太钢不锈与太钢集团日常关联表格式 2" xfId="11962" xr:uid="{EF7FB68D-6CCE-42E9-82B6-936D80D01377}"/>
    <cellStyle name="_09年标杆比08年预计" xfId="14299" xr:uid="{FBBAE91D-1AAE-4769-A921-98DE21DBD0F3}"/>
    <cellStyle name="_09年标杆比08年预计（报出）12.24" xfId="14298" xr:uid="{0F5C679D-6F68-442D-86CD-91843976B431}"/>
    <cellStyle name="_09年成本预算汇总表1218" xfId="14297" xr:uid="{B3F5F5AD-B77C-4F0C-A8AE-1F12B6362AB2}"/>
    <cellStyle name="_09年成本预算汇总表1219（修订）" xfId="14296" xr:uid="{30BFB46B-AD0E-422B-9CC9-46866866BDD7}"/>
    <cellStyle name="_09年单位成本12.30" xfId="14295" xr:uid="{7AA3D4C6-D192-4388-A331-CA5010E6659A}"/>
    <cellStyle name="_09年三地成本指标" xfId="14294" xr:uid="{ED359D6B-6ADF-4843-A836-837B6092BAA4}"/>
    <cellStyle name="_10月份成本指标" xfId="14293" xr:uid="{629240CA-F8B5-4057-A614-E60515B7116C}"/>
    <cellStyle name="_10月份预算资料" xfId="14292" xr:uid="{8B727834-1621-4E90-8526-DC3C58AE14B2}"/>
    <cellStyle name="_10月份预算资料 2" xfId="14291" xr:uid="{488D3F09-0BFE-4416-9B39-997B262EDDBB}"/>
    <cellStyle name="_10月份增收节支完成情况汇总表" xfId="14290" xr:uid="{37141648-703C-4D0F-9F33-B43BE2782A99}"/>
    <cellStyle name="_10月矿业计划1023" xfId="14289" xr:uid="{75A73540-5270-4A3A-AC64-7D84281735F5}"/>
    <cellStyle name="_10月矿业计划1023_矿业09年计划12.25" xfId="12256" xr:uid="{C15AB4BB-0C15-4DE6-88D6-290B300CD523}"/>
    <cellStyle name="_10月矿业计划1023_矿业09年计划12.25_6月份目标成本表(颁发)090531" xfId="14288" xr:uid="{0A58FE03-87A3-496C-8BC2-0D381B2B32E5}"/>
    <cellStyle name="_10月矿业计划1023_矿业09年计划12.25_第三阶段攻关任务" xfId="12537" xr:uid="{78621B51-2E14-4908-928A-9A58869A7607}"/>
    <cellStyle name="_10月预测分析10.25－顺义" xfId="12408" xr:uid="{04B6FF18-464D-4F16-A721-245DF0A90D94}"/>
    <cellStyle name="_10月预测分析10.25－顺义_10月球团产品成本表" xfId="13583" xr:uid="{2F175A82-30E6-4E00-BD43-8848E1957676}"/>
    <cellStyle name="_10月预测分析10.25－顺义_11月球团产品成本表" xfId="12735" xr:uid="{C27903CD-5FAF-4ACA-8997-7DC49E5B9F60}"/>
    <cellStyle name="_10月预测分析10.25－顺义_11月球团产品成本表_1" xfId="12531" xr:uid="{4BA0D54D-ACC5-4812-8945-A11A6BFF58AF}"/>
    <cellStyle name="_10月预测分析10.25－顺义_待摊 (自产)" xfId="12806" xr:uid="{66F51C58-3120-4723-BF1E-C0E4AD4F2680}"/>
    <cellStyle name="_10月预测分析10.25－顺义_待摊 (自产)_10月球团产品成本表" xfId="12340" xr:uid="{20EF9453-46A3-49C9-8086-33831A392346}"/>
    <cellStyle name="_10月预测分析10.25－顺义_待摊 (自产)_11月球团产品成本表" xfId="12699" xr:uid="{3C513813-CDD2-4994-B93F-98A5776578C2}"/>
    <cellStyle name="_10月预测分析10.25－顺义_待摊 (自产)_11月球团产品成本表_1" xfId="12404" xr:uid="{6089CD93-C3E5-41A7-826E-88F35552709D}"/>
    <cellStyle name="_10月预测分析10.25－顺义_球团工序" xfId="12411" xr:uid="{CADA0A4D-4D9F-4489-AEAD-5687319DF3E1}"/>
    <cellStyle name="_11(1).5板卷成本测算" xfId="13428" xr:uid="{8A6A9EB7-545C-475C-B5AC-EA8F6CE88FFA}"/>
    <cellStyle name="_11月份修理费预算完成统计台帐" xfId="12135" xr:uid="{D9D8AE59-A3EB-4263-AA5D-6248C88373FB}"/>
    <cellStyle name="_11月份修理费预算完成统计台帐_10月球团产品成本表" xfId="13202" xr:uid="{B948A447-57BC-4CB5-87A8-EBE84E7DF462}"/>
    <cellStyle name="_11月份修理费预算完成统计台帐_11月球团产品成本表" xfId="12797" xr:uid="{468677EE-BF3F-4B71-A6B7-93ACEA7A8866}"/>
    <cellStyle name="_11月份修理费预算完成统计台帐_11月球团产品成本表_1" xfId="12138" xr:uid="{0E5EF55F-92CD-49BA-B292-D4C7F14EF165}"/>
    <cellStyle name="_11月份修理费预算完成统计台帐_待摊 (自产)" xfId="12208" xr:uid="{D03D3B4F-E81F-4567-B1BF-43F6CE128D05}"/>
    <cellStyle name="_11月份修理费预算完成统计台帐_待摊 (自产)_10月球团产品成本表" xfId="12400" xr:uid="{1037CD3A-07F6-4CEB-9967-61C4EA86D0A3}"/>
    <cellStyle name="_11月份修理费预算完成统计台帐_待摊 (自产)_11月球团产品成本表" xfId="12133" xr:uid="{4BC2BCA7-D721-4D0C-9F0E-3E47844BFF3B}"/>
    <cellStyle name="_11月份修理费预算完成统计台帐_待摊 (自产)_11月球团产品成本表_1" xfId="12192" xr:uid="{F87CDAFE-B78F-4991-BB80-E641066B15D8}"/>
    <cellStyle name="_11月份修理费预算完成统计台帐_球团工序" xfId="12475" xr:uid="{428C3667-2786-4C8E-96E7-BCE6BE7EB71C}"/>
    <cellStyle name="_11月份预算资料" xfId="12470" xr:uid="{46C6A7B5-2B89-4BC1-9B1B-BE30DFDC1DD3}"/>
    <cellStyle name="_11月份预算资料 2" xfId="12670" xr:uid="{D1087190-76FF-42FA-9A1E-A63D11AF965D}"/>
    <cellStyle name="_11月矿业计划1029" xfId="12206" xr:uid="{684C2C86-E309-468A-878C-3F964EFAD8C7}"/>
    <cellStyle name="_11月矿业计划1029_（各工序）首秦公司2009年2月成本预测" xfId="12262" xr:uid="{7799F56C-6206-4201-B007-55C8BCE63883}"/>
    <cellStyle name="_11月矿业计划1029_（各工序）首秦公司2009年2月成本预测_0904矿业公司目标成本降低额测算03.27" xfId="13431" xr:uid="{DA56AAE0-2FD0-4255-BAA9-DD3C213C24FE}"/>
    <cellStyle name="_11月矿业计划1029_（各工序）首秦公司2009年2月成本预测_6月份目标成本表(颁发)090531" xfId="13135" xr:uid="{C7119D5B-7B8F-48DB-992A-0A92096B56FA}"/>
    <cellStyle name="_11月矿业计划1029_（各工序）首秦公司2009年2月成本预测_第三阶段攻关任务" xfId="13427" xr:uid="{AA2B5982-CB6E-44AA-A503-F79205A66172}"/>
    <cellStyle name="_11月矿业计划1029_（各工序）首秦公司2009年2月成本预测_首钢总公司关于颁发《首钢钢铁业2009年3月份目标成本安排》的通知" xfId="12576" xr:uid="{271CEF29-3844-4CB3-8383-0B9F931F3803}"/>
    <cellStyle name="_11月矿业计划1029_（各工序）首秦公司2009年2月成本预测_首钢总公司关于颁发《首钢钢铁业2009年3月份目标成本安排》的通知_2009年3月份矿业公司目标成本326" xfId="12442" xr:uid="{B9693ECB-12E2-4CFC-9837-0112ED085CE4}"/>
    <cellStyle name="_11月矿业计划1029_（各工序）首秦公司2009年2月成本预测_首钢总公司关于颁发《首钢钢铁业2009年3月份目标成本安排》的通知_6月份目标成本表(颁发)090531" xfId="12334" xr:uid="{BF0D3804-ED31-43AE-B67B-E13DB9CDDE5C}"/>
    <cellStyle name="_11月矿业计划1029_（各工序）首秦公司2009年2月成本预测_首钢总公司关于颁发《首钢钢铁业2009年3月份目标成本安排》的通知_第三阶段攻关任务" xfId="12277" xr:uid="{8789FFA3-3944-4615-ACF2-4EF471566825}"/>
    <cellStyle name="_11月矿业计划1029_007" xfId="12663" xr:uid="{8BF862F9-56D6-409E-8F13-5D9D6E04BFD0}"/>
    <cellStyle name="_11月矿业计划1029_09年2月成本预测（1.19日测）" xfId="12688" xr:uid="{B17433EA-98B3-44A7-B336-ADA3178FC1F6}"/>
    <cellStyle name="_11月矿业计划1029_09年2月成本预测（1.19日测）_（各工序）首秦公司2009年2月成本预测" xfId="12601" xr:uid="{3DDEDE3E-C6FE-4BD5-8DBB-EC589BEC5693}"/>
    <cellStyle name="_11月矿业计划1029_09年2月成本预测（1.19日测）_（各工序）首秦公司2009年2月成本预测_0904矿业公司目标成本降低额测算03.27" xfId="12278" xr:uid="{E4A07CAC-7295-4C46-A09E-AB034E0165FB}"/>
    <cellStyle name="_11月矿业计划1029_09年2月成本预测（1.19日测）_（各工序）首秦公司2009年2月成本预测_6月份目标成本表(颁发)090531" xfId="12858" xr:uid="{5F5E66C1-32E7-49CB-B997-B795100C1682}"/>
    <cellStyle name="_11月矿业计划1029_09年2月成本预测（1.19日测）_（各工序）首秦公司2009年2月成本预测_第三阶段攻关任务" xfId="12794" xr:uid="{8C238325-4FEF-4EA7-B4AE-5E84A7CBFEF7}"/>
    <cellStyle name="_11月矿业计划1029_09年2月成本预测（1.19日测）_（各工序）首秦公司2009年2月成本预测_首钢总公司关于颁发《首钢钢铁业2009年3月份目标成本安排》的通知" xfId="12127" xr:uid="{759EB88D-6D54-4AD9-ACE2-525C7528E9A5}"/>
    <cellStyle name="_11月矿业计划1029_09年2月成本预测（1.19日测）_（各工序）首秦公司2009年2月成本预测_首钢总公司关于颁发《首钢钢铁业2009年3月份目标成本安排》的通知_2009年3月份矿业公司目标成本326" xfId="12399" xr:uid="{2B728C54-8532-4F71-ACE4-EEA9EA9658BE}"/>
    <cellStyle name="_11月矿业计划1029_09年2月成本预测（1.19日测）_（各工序）首秦公司2009年2月成本预测_首钢总公司关于颁发《首钢钢铁业2009年3月份目标成本安排》的通知_6月份目标成本表(颁发)090531" xfId="12339" xr:uid="{877D1241-9B86-4611-9B67-EC1EEEDA3363}"/>
    <cellStyle name="_11月矿业计划1029_09年2月成本预测（1.19日测）_（各工序）首秦公司2009年2月成本预测_首钢总公司关于颁发《首钢钢铁业2009年3月份目标成本安排》的通知_第三阶段攻关任务" xfId="12809" xr:uid="{87E5853F-16DE-461A-BAEB-E56BA0B6D21E}"/>
    <cellStyle name="_11月矿业计划1029_09年2月成本预测（1.19日测）_报出附表" xfId="12808" xr:uid="{DB744F85-8E67-4A05-B1F1-6C3D84081AF1}"/>
    <cellStyle name="_11月矿业计划1029_09年2月成本预测（1.19日测）_报出附表_0904矿业公司目标成本降低额测算03.27" xfId="12348" xr:uid="{F98DA0C1-300D-4178-B37D-A0709A62C843}"/>
    <cellStyle name="_11月矿业计划1029_09年2月成本预测（1.19日测）_报出附表_6月份目标成本表(颁发)090531" xfId="12804" xr:uid="{E9F83708-E122-4727-83E0-4797BFBDD1C2}"/>
    <cellStyle name="_11月矿业计划1029_09年2月成本预测（1.19日测）_报出附表_第三阶段攻关任务" xfId="12274" xr:uid="{ED90FA1D-CC6B-4949-A831-1DF40835E03E}"/>
    <cellStyle name="_11月矿业计划1029_09年2月成本预测（1.19日测）_报出附表_首钢总公司关于颁发《首钢钢铁业2009年3月份目标成本安排》的通知" xfId="12200" xr:uid="{DB5D00DE-C583-4A6F-A899-A1E5AA230A05}"/>
    <cellStyle name="_11月矿业计划1029_09年2月成本预测（1.19日测）_报出附表_首钢总公司关于颁发《首钢钢铁业2009年3月份目标成本安排》的通知_2009年3月份矿业公司目标成本326" xfId="12593" xr:uid="{3CF1AFF8-E13E-4DDF-A71B-EA7F65A0458D}"/>
    <cellStyle name="_11月矿业计划1029_09年2月成本预测（1.19日测）_报出附表_首钢总公司关于颁发《首钢钢铁业2009年3月份目标成本安排》的通知_6月份目标成本表(颁发)090531" xfId="12195" xr:uid="{ADEEFDA2-BE38-4398-8292-BF881E3A82F2}"/>
    <cellStyle name="_11月矿业计划1029_09年2月成本预测（1.19日测）_报出附表_首钢总公司关于颁发《首钢钢铁业2009年3月份目标成本安排》的通知_第三阶段攻关任务" xfId="14340" xr:uid="{5A3ECB4F-6A9E-4281-8681-C30DCDEBB476}"/>
    <cellStyle name="_11月矿业计划1029_09年2月成本预测（1.19日测）_复件_首秦公司2009标准成本模板（2月）" xfId="14339" xr:uid="{8BC41B60-E345-440F-B84B-097DE089462E}"/>
    <cellStyle name="_11月矿业计划1029_09年2月成本预测（1.19日测）_模板（修订）2" xfId="12726" xr:uid="{EF50AC35-1F4D-4A41-BB0F-64DFAF1A79C6}"/>
    <cellStyle name="_11月矿业计划1029_09年2月成本预测（1.19日测）_模板（修订）2_（各工序）首秦公司2009年2月成本预测" xfId="12536" xr:uid="{38BB5CE2-375E-4571-A834-18C991DAFF19}"/>
    <cellStyle name="_11月矿业计划1029_09年2月成本预测（1.19日测）_模板（修订）2_（各工序）首秦公司2009年2月成本预测_0904矿业公司目标成本降低额测算03.27" xfId="12533" xr:uid="{BB4A418B-B511-4BC8-B2D0-5210AFA95B96}"/>
    <cellStyle name="_11月矿业计划1029_09年2月成本预测（1.19日测）_模板（修订）2_（各工序）首秦公司2009年2月成本预测_6月份目标成本表(颁发)090531" xfId="12341" xr:uid="{E4769903-D43E-4860-A427-9D9B34897767}"/>
    <cellStyle name="_11月矿业计划1029_09年2月成本预测（1.19日测）_模板（修订）2_（各工序）首秦公司2009年2月成本预测_第三阶段攻关任务" xfId="12810" xr:uid="{238DD3EA-98D4-4E66-B157-106EB3A3DC06}"/>
    <cellStyle name="_11月矿业计划1029_09年2月成本预测（1.19日测）_模板（修订）2_（各工序）首秦公司2009年2月成本预测_首钢总公司关于颁发《首钢钢铁业2009年3月份目标成本安排》的通知" xfId="12333" xr:uid="{3C68C73D-6354-4F24-86C5-78DB86D61816}"/>
    <cellStyle name="_11月矿业计划1029_09年2月成本预测（1.19日测）_模板（修订）2_（各工序）首秦公司2009年2月成本预测_首钢总公司关于颁发《首钢钢铁业2009年3月份目标成本安排》的通知_2009年3月份矿业公司目标成本326" xfId="12665" xr:uid="{306EC27E-18BE-4073-8780-F7103B43C75B}"/>
    <cellStyle name="_11月矿业计划1029_09年2月成本预测（1.19日测）_模板（修订）2_（各工序）首秦公司2009年2月成本预测_首钢总公司关于颁发《首钢钢铁业2009年3月份目标成本安排》的通知_6月份目标成本表(颁发)090531" xfId="12268" xr:uid="{83E34DFC-9742-41E2-B14B-D71EBB9569C4}"/>
    <cellStyle name="_11月矿业计划1029_09年2月成本预测（1.19日测）_模板（修订）2_（各工序）首秦公司2009年2月成本预测_首钢总公司关于颁发《首钢钢铁业2009年3月份目标成本安排》的通知_第三阶段攻关任务" xfId="12604" xr:uid="{0AFD587A-CAD3-4308-950C-061149944426}"/>
    <cellStyle name="_11月矿业计划1029_09年2月成本预测（1.19日测）_热轧09年标准成本模板" xfId="12409" xr:uid="{092C6B6E-7A28-4962-967E-2720A5E3BF47}"/>
    <cellStyle name="_11月矿业计划1029_09年2月成本预测（1.19日测）_热轧09年标准成本模板_0904矿业公司目标成本降低额测算03.27" xfId="12669" xr:uid="{7AFD0A05-359C-4BA5-B02A-25F52788F2C1}"/>
    <cellStyle name="_11月矿业计划1029_09年2月成本预测（1.19日测）_热轧09年标准成本模板_6月份目标成本表(颁发)090531" xfId="12847" xr:uid="{71ED2D21-88C7-4C39-BA0C-7A441E2AEFC2}"/>
    <cellStyle name="_11月矿业计划1029_09年2月成本预测（1.19日测）_热轧09年标准成本模板_第三阶段攻关任务" xfId="12865" xr:uid="{5DE6C6C7-FC8E-4565-9909-0CF75D0046E0}"/>
    <cellStyle name="_11月矿业计划1029_09年2月成本预测（1.19日测）_热轧09年标准成本模板_首钢总公司关于颁发《首钢钢铁业2009年3月份目标成本安排》的通知" xfId="12474" xr:uid="{96E9411C-0EB6-460F-A6EE-9B54F882695B}"/>
    <cellStyle name="_11月矿业计划1029_09年2月成本预测（1.19日测）_热轧09年标准成本模板_首钢总公司关于颁发《首钢钢铁业2009年3月份目标成本安排》的通知_2009年3月份矿业公司目标成本326" xfId="12271" xr:uid="{CF1B5F0C-8DBA-4F4A-B563-7DE3A1314DD7}"/>
    <cellStyle name="_11月矿业计划1029_09年2月成本预测（1.19日测）_热轧09年标准成本模板_首钢总公司关于颁发《首钢钢铁业2009年3月份目标成本安排》的通知_6月份目标成本表(颁发)090531" xfId="12136" xr:uid="{C676EB0B-424F-486D-9148-2B0B3BA82246}"/>
    <cellStyle name="_11月矿业计划1029_09年2月成本预测（1.19日测）_热轧09年标准成本模板_首钢总公司关于颁发《首钢钢铁业2009年3月份目标成本安排》的通知_第三阶段攻关任务" xfId="13198" xr:uid="{3B6DD926-B772-45D3-8C0B-20F56B4ED606}"/>
    <cellStyle name="_11月矿业计划1029_09年2月成本预测（1.19日测）_首秦2月成本预测附表1" xfId="12269" xr:uid="{81F4745C-9831-4760-B8C3-421E1A23456E}"/>
    <cellStyle name="_11月矿业计划1029_09年2月成本预测（1.19日测）_首秦2月成本预测附表1_0904矿业公司目标成本降低额测算03.27" xfId="12734" xr:uid="{601945B1-C49B-45C2-8D3B-DF346A347409}"/>
    <cellStyle name="_11月矿业计划1029_09年2月成本预测（1.19日测）_首秦2月成本预测附表1_6月份目标成本表(颁发)090531" xfId="12285" xr:uid="{FA30A2E8-D49D-4141-A7B4-E1E0B4E80081}"/>
    <cellStyle name="_11月矿业计划1029_09年2月成本预测（1.19日测）_首秦2月成本预测附表1_第三阶段攻关任务" xfId="12530" xr:uid="{22E75A69-2658-47FA-BF1A-E97457C7C110}"/>
    <cellStyle name="_11月矿业计划1029_09年2月成本预测（1.19日测）_首秦2月成本预测附表1_首钢总公司关于颁发《首钢钢铁业2009年3月份目标成本安排》的通知" xfId="12710" xr:uid="{27B429C3-A298-451E-9D61-48A3783EED85}"/>
    <cellStyle name="_11月矿业计划1029_09年2月成本预测（1.19日测）_首秦2月成本预测附表1_首钢总公司关于颁发《首钢钢铁业2009年3月份目标成本安排》的通知_2009年3月份矿业公司目标成本326" xfId="12134" xr:uid="{BA84C0F4-3EFB-498F-8C32-AC45E5BB6484}"/>
    <cellStyle name="_11月矿业计划1029_09年2月成本预测（1.19日测）_首秦2月成本预测附表1_首钢总公司关于颁发《首钢钢铁业2009年3月份目标成本安排》的通知_6月份目标成本表(颁发)090531" xfId="12605" xr:uid="{28F8481C-C808-4E71-853F-4EC80A37E74E}"/>
    <cellStyle name="_11月矿业计划1029_09年2月成本预测（1.19日测）_首秦2月成本预测附表1_首钢总公司关于颁发《首钢钢铁业2009年3月份目标成本安排》的通知_第三阶段攻关任务" xfId="12130" xr:uid="{39C2DC5F-A027-4666-A388-8CF4093EFE34}"/>
    <cellStyle name="_11月矿业计划1029_09年2月成本预测（1.19日测）_铁前成本模板" xfId="12131" xr:uid="{BCFE84E5-15B3-4166-9CDE-EFE068C5B641}"/>
    <cellStyle name="_11月矿业计划1029_09年成本-平安夜" xfId="12623" xr:uid="{46293040-695D-4057-8E81-DCD750BBDE79}"/>
    <cellStyle name="_11月矿业计划1029_1月成本分析" xfId="12265" xr:uid="{A0919ED4-B1AE-4749-B434-73F89BDE584D}"/>
    <cellStyle name="_11月矿业计划1029_1月份采购成本完成情况表" xfId="12745" xr:uid="{5D8A58E3-195D-4F81-AECC-F2A28B8EAAE6}"/>
    <cellStyle name="_11月矿业计划1029_1月份采购成本完成情况表_0904矿业公司目标成本降低额测算03.27" xfId="12413" xr:uid="{B7EDA9D6-D47E-481E-8CE9-AB94CEE69D0B}"/>
    <cellStyle name="_11月矿业计划1029_1月份采购成本完成情况表_6月份目标成本表(颁发)090531" xfId="12129" xr:uid="{838B5A5C-B0D3-41D5-980A-BF9EC920BFB9}"/>
    <cellStyle name="_11月矿业计划1029_1月份采购成本完成情况表_第三阶段攻关任务" xfId="12535" xr:uid="{5BB4A83F-AB41-420D-AD11-83518A553D43}"/>
    <cellStyle name="_11月矿业计划1029_1月份采购成本完成情况表_首钢总公司关于颁发《首钢钢铁业2009年3月份目标成本安排》的通知" xfId="12737" xr:uid="{0E82FF38-9EA0-4AB4-B0E5-650009DC5C49}"/>
    <cellStyle name="_11月矿业计划1029_1月份采购成本完成情况表_首钢总公司关于颁发《首钢钢铁业2009年3月份目标成本安排》的通知_2009年3月份矿业公司目标成本326" xfId="12380" xr:uid="{4B602319-105D-459C-9E4E-B80C0AA08F09}"/>
    <cellStyle name="_11月矿业计划1029_1月份采购成本完成情况表_首钢总公司关于颁发《首钢钢铁业2009年3月份目标成本安排》的通知_6月份目标成本表(颁发)090531" xfId="13437" xr:uid="{F75DD7E9-1EC7-4C51-8444-C09F2EA9F24A}"/>
    <cellStyle name="_11月矿业计划1029_1月份采购成本完成情况表_首钢总公司关于颁发《首钢钢铁业2009年3月份目标成本安排》的通知_第三阶段攻关任务" xfId="14341" xr:uid="{C6F5B0A9-509A-4D60-891E-E38BDB2B9BCC}"/>
    <cellStyle name="_11月矿业计划1029_1月份采购成本完成情况表_中板三月成本测算20090307" xfId="12538" xr:uid="{C2F3711F-BE3F-4254-8135-7E5ED96C3A7B}"/>
    <cellStyle name="_11月矿业计划1029_1月份成本三张表" xfId="12565" xr:uid="{BAF2C487-D196-44CD-A72D-1A08B96DEC15}"/>
    <cellStyle name="_11月矿业计划1029_2009年1月预计库存情况汇总表0115" xfId="12204" xr:uid="{CA7C6D76-E4FF-44C5-B9A2-8C444DCDE72C}"/>
    <cellStyle name="_11月矿业计划1029_2009年1月预计库存情况汇总表0115_007" xfId="12193" xr:uid="{C85FB25A-CD5B-430D-BCE7-43F947F3A4C1}"/>
    <cellStyle name="_11月矿业计划1029_2009年1月预计库存情况汇总表0115_0904矿业公司目标成本降低额测算03.27" xfId="12431" xr:uid="{A10241BF-EB53-4EF7-BB84-C179251C9550}"/>
    <cellStyle name="_11月矿业计划1029_2009年1月预计库存情况汇总表0115_3月份计划附表(会后修改稿)" xfId="12534" xr:uid="{810B1BD5-1A60-4580-AAD8-D2EA45B1396D}"/>
    <cellStyle name="_11月矿业计划1029_2009年1月预计库存情况汇总表0115_3月份计划附表(会后修改稿)_第三阶段攻关任务" xfId="12137" xr:uid="{0FF1A1AD-CBBC-4DA8-B40A-6F403187A8B0}"/>
    <cellStyle name="_11月矿业计划1029_2009年1月预计库存情况汇总表0115_3月份生产经营计划" xfId="12666" xr:uid="{89FD8E04-0082-4781-B2AA-720D3580A002}"/>
    <cellStyle name="_11月矿业计划1029_2009年1月预计库存情况汇总表0115_6月份目标成本表(颁发)090531" xfId="12276" xr:uid="{BA0C2E80-F73D-4AA7-9D01-C74181E43526}"/>
    <cellStyle name="_11月矿业计划1029_2009年1月预计库存情况汇总表0115_第三阶段攻关任务" xfId="12733" xr:uid="{78BC977B-2C92-4162-83DF-1363133A6505}"/>
    <cellStyle name="_11月矿业计划1029_2009年1月预计库存情况汇总表0115_建材处3-4月价格预测0319" xfId="12468" xr:uid="{24FC191F-962B-4CAA-B27D-93CC32A7308E}"/>
    <cellStyle name="_11月矿业计划1029_2009年1月预计库存情况汇总表0115_首钢集团2009年2月份增收节支确认情况" xfId="14336" xr:uid="{072EACC7-6D0A-4E6C-9B15-04E5BECDBC6B}"/>
    <cellStyle name="_11月矿业计划1029_2009年1月预计库存情况汇总表0115_首钢总公司关于颁发《首钢钢铁业2009年3月份目标成本安排》的通知" xfId="12128" xr:uid="{8A39714A-0CE6-4324-8E9F-662DA5AACD0F}"/>
    <cellStyle name="_11月矿业计划1029_2009年1月预计库存情况汇总表0115_首钢总公司关于颁发《首钢钢铁业2009年3月份目标成本安排》的通知_2009年3月份矿业公司目标成本326" xfId="12275" xr:uid="{85A6EEE9-B14F-4C5C-83BD-AF4DF8D28746}"/>
    <cellStyle name="_11月矿业计划1029_2009年1月预计库存情况汇总表0115_首钢总公司关于颁发《首钢钢铁业2009年3月份目标成本安排》的通知_6月份目标成本表(颁发)090531" xfId="12595" xr:uid="{D62A0A7D-0D28-4E82-8200-20CAD270001C}"/>
    <cellStyle name="_11月矿业计划1029_2009年1月预计库存情况汇总表0115_首钢总公司关于颁发《首钢钢铁业2009年3月份目标成本安排》的通知_第三阶段攻关任务" xfId="14342" xr:uid="{3D643BD0-8411-4939-B888-7B60C000F2B5}"/>
    <cellStyle name="_11月矿业计划1029_2月份采购成本预测表" xfId="14343" xr:uid="{A6316A08-3BC3-4670-A546-D73934AB5025}"/>
    <cellStyle name="_11月矿业计划1029_2月份成本计划模型" xfId="14344" xr:uid="{5DC28164-0CE1-4C7C-9A9C-0965BAD3F519}"/>
    <cellStyle name="_11月矿业计划1029_2月份成本计划模型2.05" xfId="14345" xr:uid="{48B3F980-B9A8-4E77-9B39-27EBE3D1CE5F}"/>
    <cellStyle name="_11月矿业计划1029_3月份计划附表(会后修改稿)" xfId="14346" xr:uid="{E107D306-4FFE-4C90-9EDE-DA6E7D8F0BA8}"/>
    <cellStyle name="_11月矿业计划1029_3月份计划附表(会后修改稿)_第三阶段攻关任务" xfId="14347" xr:uid="{779C9669-66F6-4004-9050-B8DC4F95C9AB}"/>
    <cellStyle name="_11月矿业计划1029_3月份生产经营计划" xfId="14348" xr:uid="{533CDF02-8C47-418E-B0DE-9226C9259504}"/>
    <cellStyle name="_11月矿业计划1029_4300大类" xfId="14349" xr:uid="{0AE67209-6A52-4DBD-A974-7D41934A3B9A}"/>
    <cellStyle name="_11月矿业计划1029_4300大类_2009年3月份矿业公司目标成本326" xfId="14350" xr:uid="{7B69232F-C091-4441-B45B-F6217D1FD470}"/>
    <cellStyle name="_11月矿业计划1029_4300大类_2009年4月份目标成本分解表-总公司计划" xfId="14351" xr:uid="{57CAFD29-325E-45A9-9190-41DFF9CE03FB}"/>
    <cellStyle name="_11月矿业计划1029_4300大类_6月份目标成本表(颁发)090531" xfId="14352" xr:uid="{A21CEF46-063D-4B03-8027-C788E602F6DC}"/>
    <cellStyle name="_11月矿业计划1029_4300大类_第三阶段攻关任务" xfId="14353" xr:uid="{29143D16-D090-406C-AFB4-8267B1F2CFC1}"/>
    <cellStyle name="_11月矿业计划1029_4月份目标成本表(颁发)090330 (version 1)" xfId="14354" xr:uid="{2EC188BB-0DDD-4C81-98E4-A8779DBAE9F0}"/>
    <cellStyle name="_11月矿业计划1029_6月份目标成本表(颁发)090531" xfId="14355" xr:uid="{8425C706-8D84-4846-9C08-EA91C0D17007}"/>
    <cellStyle name="_11月矿业计划1029_报出附表" xfId="14356" xr:uid="{095F37DD-D2C9-4827-8117-D1FA652A14BB}"/>
    <cellStyle name="_11月矿业计划1029_报出附表_0904矿业公司目标成本降低额测算03.27" xfId="14357" xr:uid="{4CB0663A-36BC-4BB6-B555-D2E87336306C}"/>
    <cellStyle name="_11月矿业计划1029_报出附表_6月份目标成本表(颁发)090531" xfId="14358" xr:uid="{9B083124-D82E-4ADF-A686-4961018B0821}"/>
    <cellStyle name="_11月矿业计划1029_报出附表_第三阶段攻关任务" xfId="14359" xr:uid="{4B42B00C-59DC-41A8-8F32-73352154AEB1}"/>
    <cellStyle name="_11月矿业计划1029_报出附表_首钢总公司关于颁发《首钢钢铁业2009年3月份目标成本安排》的通知" xfId="14360" xr:uid="{72D84D80-7B4D-4E77-B5A6-16C597B90A7D}"/>
    <cellStyle name="_11月矿业计划1029_报出附表_首钢总公司关于颁发《首钢钢铁业2009年3月份目标成本安排》的通知_2009年3月份矿业公司目标成本326" xfId="14361" xr:uid="{E1C0C752-FCC7-43F6-97AA-DDE90C36F1D4}"/>
    <cellStyle name="_11月矿业计划1029_报出附表_首钢总公司关于颁发《首钢钢铁业2009年3月份目标成本安排》的通知_6月份目标成本表(颁发)090531" xfId="14362" xr:uid="{B9192B44-B60F-44AD-957B-381486EBA5B2}"/>
    <cellStyle name="_11月矿业计划1029_报出附表_首钢总公司关于颁发《首钢钢铁业2009年3月份目标成本安排》的通知_第三阶段攻关任务" xfId="14363" xr:uid="{83E387F4-8688-4221-AF7E-AF82D39D6A20}"/>
    <cellStyle name="_11月矿业计划1029_第三阶段攻关任务" xfId="14364" xr:uid="{E753ABE4-D02B-4FC5-943B-1315F7A946D3}"/>
    <cellStyle name="_11月矿业计划1029_复件_首秦公司2009标准成本模板（2月）" xfId="14365" xr:uid="{1B702FAD-6394-42D8-9BAC-B6882FB6A610}"/>
    <cellStyle name="_11月矿业计划1029_供应公司2月份预测" xfId="14366" xr:uid="{7D17CBF8-F56C-4600-9CC3-632323618336}"/>
    <cellStyle name="_11月矿业计划1029_供应公司采购成本修改稿(1)" xfId="14367" xr:uid="{59CA09EA-AFB2-47EB-920E-93EFB6395BBC}"/>
    <cellStyle name="_11月矿业计划1029_供应公司采购成本修改稿(1)_0904矿业公司目标成本降低额测算03.27" xfId="14368" xr:uid="{21AB5B5F-0C70-4A47-A13D-1151653FBDC6}"/>
    <cellStyle name="_11月矿业计划1029_供应公司采购成本修改稿(1)_6月份目标成本表(颁发)090531" xfId="14369" xr:uid="{6201476F-960D-48FF-AABF-3381A305BCED}"/>
    <cellStyle name="_11月矿业计划1029_供应公司采购成本修改稿(1)_第三阶段攻关任务" xfId="14370" xr:uid="{CF4C20EA-55BF-44A3-8E63-23F14690CE09}"/>
    <cellStyle name="_11月矿业计划1029_供应公司采购成本修改稿(1)_首钢总公司关于颁发《首钢钢铁业2009年3月份目标成本安排》的通知" xfId="14371" xr:uid="{6BDA2E4A-3458-4D56-A3BF-E71C23B60658}"/>
    <cellStyle name="_11月矿业计划1029_供应公司采购成本修改稿(1)_首钢总公司关于颁发《首钢钢铁业2009年3月份目标成本安排》的通知_2009年3月份矿业公司目标成本326" xfId="14372" xr:uid="{14A24206-FF06-475E-8C39-6CA5460C5C4A}"/>
    <cellStyle name="_11月矿业计划1029_供应公司采购成本修改稿(1)_首钢总公司关于颁发《首钢钢铁业2009年3月份目标成本安排》的通知_6月份目标成本表(颁发)090531" xfId="14373" xr:uid="{13016766-7C75-4C0C-AAEF-904049CE6E18}"/>
    <cellStyle name="_11月矿业计划1029_供应公司采购成本修改稿(1)_首钢总公司关于颁发《首钢钢铁业2009年3月份目标成本安排》的通知_第三阶段攻关任务" xfId="14374" xr:uid="{9D9DB90F-D28C-49B1-B32F-203427650D16}"/>
    <cellStyle name="_11月矿业计划1029_建材处3-4月价格预测0319" xfId="14375" xr:uid="{19DF6FB6-77E8-4BEA-865F-E7547B193AEF}"/>
    <cellStyle name="_11月矿业计划1029_矿业09年计划12.25" xfId="14376" xr:uid="{97A216C6-1428-45BC-9CA0-735AA339D408}"/>
    <cellStyle name="_11月矿业计划1029_矿业09年计划12.25_6月份目标成本表(颁发)090531" xfId="14377" xr:uid="{7636431D-555A-406D-8627-427B6737C4AD}"/>
    <cellStyle name="_11月矿业计划1029_矿业09年计划12.25_第三阶段攻关任务" xfId="14378" xr:uid="{5D1E8AC5-D002-442F-92C9-6B2888D7432A}"/>
    <cellStyle name="_11月矿业计划1029_模板（修订）2" xfId="14379" xr:uid="{0366B008-E1E8-41F4-B3AD-76DCB50F0D19}"/>
    <cellStyle name="_11月矿业计划1029_模板（修订）2_（各工序）首秦公司2009年2月成本预测" xfId="14380" xr:uid="{3A3CAE73-C3FD-4197-85D6-CF81854E1479}"/>
    <cellStyle name="_11月矿业计划1029_模板（修订）2_（各工序）首秦公司2009年2月成本预测_0904矿业公司目标成本降低额测算03.27" xfId="14381" xr:uid="{68EC59BE-0A6B-4DBB-9ED7-759D562F3DBD}"/>
    <cellStyle name="_11月矿业计划1029_模板（修订）2_（各工序）首秦公司2009年2月成本预测_6月份目标成本表(颁发)090531" xfId="14382" xr:uid="{E227EECC-B3ED-4FF3-B0B0-5EF137D5E85B}"/>
    <cellStyle name="_11月矿业计划1029_模板（修订）2_（各工序）首秦公司2009年2月成本预测_第三阶段攻关任务" xfId="14383" xr:uid="{159D9680-525D-443A-B459-D3E2CED82AD5}"/>
    <cellStyle name="_11月矿业计划1029_模板（修订）2_（各工序）首秦公司2009年2月成本预测_首钢总公司关于颁发《首钢钢铁业2009年3月份目标成本安排》的通知" xfId="14384" xr:uid="{1B24475A-A62A-4C7F-AB4A-ACD6CDFD2C4C}"/>
    <cellStyle name="_11月矿业计划1029_模板（修订）2_（各工序）首秦公司2009年2月成本预测_首钢总公司关于颁发《首钢钢铁业2009年3月份目标成本安排》的通知_2009年3月份矿业公司目标成本326" xfId="14385" xr:uid="{792F9F40-AF2A-4AC1-9F4A-3CCFF6C2B988}"/>
    <cellStyle name="_11月矿业计划1029_模板（修订）2_（各工序）首秦公司2009年2月成本预测_首钢总公司关于颁发《首钢钢铁业2009年3月份目标成本安排》的通知_6月份目标成本表(颁发)090531" xfId="14386" xr:uid="{B1B11D1C-D617-44BC-8BE7-5763D2B27FC8}"/>
    <cellStyle name="_11月矿业计划1029_模板（修订）2_（各工序）首秦公司2009年2月成本预测_首钢总公司关于颁发《首钢钢铁业2009年3月份目标成本安排》的通知_第三阶段攻关任务" xfId="14387" xr:uid="{656C5BE2-4B8C-4C7F-B58B-778CDD3665EE}"/>
    <cellStyle name="_11月矿业计划1029_热轧09年标准成本模板" xfId="14388" xr:uid="{52CFE721-02B2-4739-B41A-F4189E64C037}"/>
    <cellStyle name="_11月矿业计划1029_热轧09年标准成本模板_0904矿业公司目标成本降低额测算03.27" xfId="14389" xr:uid="{BE671DBF-119D-4ABD-A475-C865A26C4BD9}"/>
    <cellStyle name="_11月矿业计划1029_热轧09年标准成本模板_6月份目标成本表(颁发)090531" xfId="14390" xr:uid="{5CBEB649-137A-4EA4-96CC-D541E545DE19}"/>
    <cellStyle name="_11月矿业计划1029_热轧09年标准成本模板_第三阶段攻关任务" xfId="14391" xr:uid="{4AAD0665-FB65-4EDE-9CCC-B72FA187AAEE}"/>
    <cellStyle name="_11月矿业计划1029_热轧09年标准成本模板_首钢总公司关于颁发《首钢钢铁业2009年3月份目标成本安排》的通知" xfId="14392" xr:uid="{8198940D-26DF-48F2-B172-AECA7AA91AA3}"/>
    <cellStyle name="_11月矿业计划1029_热轧09年标准成本模板_首钢总公司关于颁发《首钢钢铁业2009年3月份目标成本安排》的通知_2009年3月份矿业公司目标成本326" xfId="14393" xr:uid="{5FD70826-088D-4A7F-8065-941C78B8ADD2}"/>
    <cellStyle name="_11月矿业计划1029_热轧09年标准成本模板_首钢总公司关于颁发《首钢钢铁业2009年3月份目标成本安排》的通知_6月份目标成本表(颁发)090531" xfId="14394" xr:uid="{625EDA48-F76C-4CDD-BB29-A61DA70A0AED}"/>
    <cellStyle name="_11月矿业计划1029_热轧09年标准成本模板_首钢总公司关于颁发《首钢钢铁业2009年3月份目标成本安排》的通知_第三阶段攻关任务" xfId="14395" xr:uid="{7B3447B3-6C41-4AC6-8F8D-1B12E59A37F0}"/>
    <cellStyle name="_11月矿业计划1029_首钢集团2009年2月份增收节支确认情况" xfId="14396" xr:uid="{674E2907-8B0C-42DD-B7D1-2BF211D4B23D}"/>
    <cellStyle name="_11月矿业计划1029_首秦2009年3月预测（修改）" xfId="14397" xr:uid="{B6000046-593A-48B3-BE81-EDB9D15DC791}"/>
    <cellStyle name="_11月矿业计划1029_首秦2009年3月预测（修改）_2009年3月份矿业公司目标成本326" xfId="14398" xr:uid="{86FFC64E-7E44-4568-9C86-6BF98F79D2CB}"/>
    <cellStyle name="_11月矿业计划1029_首秦2009年3月预测（修改）_2009年4月份目标成本分解表-总公司计划" xfId="14399" xr:uid="{CF6162E9-1E19-4DBC-B064-252672169D1A}"/>
    <cellStyle name="_11月矿业计划1029_首秦2009年3月预测（修改）_6月份目标成本表(颁发)090531" xfId="14400" xr:uid="{0F477E45-0B1F-4972-B8CC-4585A11C3D3A}"/>
    <cellStyle name="_11月矿业计划1029_首秦2009年3月预测（修改）_第三阶段攻关任务" xfId="14401" xr:uid="{AF26C405-A513-4DF3-989C-B0DD3F0E4394}"/>
    <cellStyle name="_11月矿业计划1029_首秦2月成本预测附表1" xfId="14402" xr:uid="{C5B0C3DD-344C-4E72-A7CB-ED56263D8532}"/>
    <cellStyle name="_11月矿业计划1029_首秦2月成本预测附表1_0904矿业公司目标成本降低额测算03.27" xfId="14403" xr:uid="{067812FC-D106-4063-BA0B-65684AE75763}"/>
    <cellStyle name="_11月矿业计划1029_首秦2月成本预测附表1_6月份目标成本表(颁发)090531" xfId="14404" xr:uid="{A574887D-E895-4E47-AC95-E79F78840EB0}"/>
    <cellStyle name="_11月矿业计划1029_首秦2月成本预测附表1_第三阶段攻关任务" xfId="14405" xr:uid="{D996D9AA-B22E-45CF-99AF-56DD5E341437}"/>
    <cellStyle name="_11月矿业计划1029_首秦2月成本预测附表1_首钢总公司关于颁发《首钢钢铁业2009年3月份目标成本安排》的通知" xfId="14406" xr:uid="{5B451F53-43F5-433F-A105-0E12F1F28A79}"/>
    <cellStyle name="_11月矿业计划1029_首秦2月成本预测附表1_首钢总公司关于颁发《首钢钢铁业2009年3月份目标成本安排》的通知_2009年3月份矿业公司目标成本326" xfId="14407" xr:uid="{075B836E-55C5-4F98-83CB-95A1EDB579EE}"/>
    <cellStyle name="_11月矿业计划1029_首秦2月成本预测附表1_首钢总公司关于颁发《首钢钢铁业2009年3月份目标成本安排》的通知_6月份目标成本表(颁发)090531" xfId="14408" xr:uid="{48E7352C-25F8-4D47-B71D-EBFD5737CB98}"/>
    <cellStyle name="_11月矿业计划1029_首秦2月成本预测附表1_首钢总公司关于颁发《首钢钢铁业2009年3月份目标成本安排》的通知_第三阶段攻关任务" xfId="14409" xr:uid="{69042F63-D6F8-476C-A99B-3112A3199A94}"/>
    <cellStyle name="_11月矿业计划1029_铁前成本模板" xfId="14410" xr:uid="{47A44527-4F15-412C-ADC3-434DA9F2A837}"/>
    <cellStyle name="_12集团子公司对集团" xfId="77" xr:uid="{7D91D346-9062-467C-BB1B-70EF453E3906}"/>
    <cellStyle name="_12集团子公司对集团 2" xfId="11963" xr:uid="{DE2FD019-ECC1-4A18-BA70-83D01A5B059E}"/>
    <cellStyle name="_1-2月采购成本" xfId="14411" xr:uid="{9A3D4AEC-C23B-4FAA-A820-864C9F774768}"/>
    <cellStyle name="_1-2月成本指标" xfId="14412" xr:uid="{3DDC899E-7D10-4F38-86EC-15A71FA6940A}"/>
    <cellStyle name="_12月份预算资料" xfId="14413" xr:uid="{71CBF576-0381-441C-8659-0F363105615C}"/>
    <cellStyle name="_12月份预算资料 2" xfId="14414" xr:uid="{22C35DDE-793F-4C0F-96AD-613D08D62DE6}"/>
    <cellStyle name="_12月矿业预测12.4" xfId="14415" xr:uid="{F4544CD3-B571-48ED-A534-B5521AFF16A8}"/>
    <cellStyle name="_12月矿业预测12.4_矿业09年计划12.25" xfId="14416" xr:uid="{40D8494C-DB83-4BA4-B3E1-E94630D50018}"/>
    <cellStyle name="_12月矿业预测12.4_矿业09年计划12.25_6月份目标成本表(颁发)090531" xfId="14417" xr:uid="{B3385DBE-13A7-4D08-B767-D0399BD26B50}"/>
    <cellStyle name="_12月矿业预测12.4_矿业09年计划12.25_第三阶段攻关任务" xfId="14418" xr:uid="{7E24972E-2E51-48B3-9E12-5A34FCC76AA4}"/>
    <cellStyle name="_12月特钢生产吗 11.27-价格有变化" xfId="14419" xr:uid="{603B941C-E89E-48EA-A38E-149FFEC84776}"/>
    <cellStyle name="_12月特钢生产吗 11.27-价格有变化_3月份计划附表(会后修改稿)" xfId="14420" xr:uid="{B60A295E-26CA-4D7F-A366-0DBCBA55A5FD}"/>
    <cellStyle name="_12月特钢生产吗 11.27-价格有变化_3月份计划附表(会后修改稿)_第三阶段攻关任务" xfId="14421" xr:uid="{5EC801BA-AA8A-4062-BE90-125C8BB95676}"/>
    <cellStyle name="_12月特钢生产吗 11.27-价格有变化_3月份生产经营计划" xfId="14422" xr:uid="{87AF048F-D18B-4212-84D6-03109881247C}"/>
    <cellStyle name="_12月特钢生产吗 11.27-价格有变化_第三阶段攻关任务" xfId="14423" xr:uid="{D91BCD6E-45BB-4DD4-BEEB-6712B3B37A5C}"/>
    <cellStyle name="_12月特钢生产吗 11.27-价格有变化_建材处3-4月价格预测0319" xfId="14424" xr:uid="{820F1674-762C-433B-90E1-81C994B302FA}"/>
    <cellStyle name="_12月特钢生产吗 11.27-价格有变化_首钢集团2009年2月份增收节支确认情况" xfId="14425" xr:uid="{53E1CC6F-3F47-4C9E-906E-ADF2C4FA6772}"/>
    <cellStyle name="_1月成本预测汇总(下旬）" xfId="14426" xr:uid="{38ECBBDC-CF4E-4DCB-BC00-FB01D0294708}"/>
    <cellStyle name="_1月份成本三张表" xfId="14427" xr:uid="{A18B1B40-4F00-44A1-B6E8-AF610A70E2F6}"/>
    <cellStyle name="_1月份计划附表" xfId="14428" xr:uid="{6AD9550A-CE42-438E-BEF0-92C91C188BB4}"/>
    <cellStyle name="_1月份计划附表_3月份计划附表(会后修改稿)" xfId="14429" xr:uid="{0B3480CC-DF37-4F01-9ADE-69B7DBA32DB8}"/>
    <cellStyle name="_1月份计划附表_3月份计划附表(会后修改稿)_第三阶段攻关任务" xfId="14430" xr:uid="{5A176480-9A90-43AC-A4B4-83F397107690}"/>
    <cellStyle name="_1月份计划附表_3月份生产经营计划" xfId="14431" xr:uid="{FB6E211F-DCD4-42E9-8DB2-E2749257EE1A}"/>
    <cellStyle name="_1月份计划附表_第三阶段攻关任务" xfId="14432" xr:uid="{680E47BF-9690-4634-9FB1-DA4E93321C8C}"/>
    <cellStyle name="_1月份计划附表_首钢集团2009年2月份增收节支确认情况" xfId="14433" xr:uid="{6D22B2A5-335F-4528-89F0-F759724E2A85}"/>
    <cellStyle name="_1月份预算资料" xfId="14434" xr:uid="{58A2A43C-52D1-4628-A377-2CB09683068B}"/>
    <cellStyle name="_1月份预算资料 2" xfId="14435" xr:uid="{60278145-3A5C-4CD7-A6C3-DC931E006227}"/>
    <cellStyle name="_1月预计（02.05）" xfId="14436" xr:uid="{31DBA3F0-B19E-4B69-9D2E-52EE33B16662}"/>
    <cellStyle name="_2008冷轧厂－11.15－彩涂线持平－价格提高121元" xfId="14437" xr:uid="{73EEDD3D-BE7A-4D8F-8700-252BC40488C3}"/>
    <cellStyle name="_2008冷轧厂－11.15－彩涂线持平－价格提高121元_（各工序）首秦公司2009年2月成本预测" xfId="14438" xr:uid="{FEB6EB10-0C1C-4F8F-A40B-42A9463FD96C}"/>
    <cellStyle name="_2008冷轧厂－11.15－彩涂线持平－价格提高121元_（各工序）首秦公司2009年2月成本预测_0904矿业公司目标成本降低额测算03.27" xfId="14439" xr:uid="{A9A48000-09BA-41C9-8C69-C46850E8FBF1}"/>
    <cellStyle name="_2008冷轧厂－11.15－彩涂线持平－价格提高121元_（各工序）首秦公司2009年2月成本预测_6月份目标成本表(颁发)090531" xfId="14440" xr:uid="{77DC0DEC-A18E-49D2-A280-52672C33A79F}"/>
    <cellStyle name="_2008冷轧厂－11.15－彩涂线持平－价格提高121元_（各工序）首秦公司2009年2月成本预测_第三阶段攻关任务" xfId="14441" xr:uid="{BFCE2D4A-E73A-427C-B48C-2595F4031F20}"/>
    <cellStyle name="_2008冷轧厂－11.15－彩涂线持平－价格提高121元_（各工序）首秦公司2009年2月成本预测_首钢总公司关于颁发《首钢钢铁业2009年3月份目标成本安排》的通知" xfId="14442" xr:uid="{AC0F27EA-953C-4A3A-B9A7-5F8D60149CF0}"/>
    <cellStyle name="_2008冷轧厂－11.15－彩涂线持平－价格提高121元_（各工序）首秦公司2009年2月成本预测_首钢总公司关于颁发《首钢钢铁业2009年3月份目标成本安排》的通知_2009年3月份矿业公司目标成本326" xfId="14443" xr:uid="{0F5A955E-C88B-4AF3-A833-2888370477D3}"/>
    <cellStyle name="_2008冷轧厂－11.15－彩涂线持平－价格提高121元_（各工序）首秦公司2009年2月成本预测_首钢总公司关于颁发《首钢钢铁业2009年3月份目标成本安排》的通知_6月份目标成本表(颁发)090531" xfId="14444" xr:uid="{B77D3AB9-2623-493B-96B1-6702F409AA64}"/>
    <cellStyle name="_2008冷轧厂－11.15－彩涂线持平－价格提高121元_（各工序）首秦公司2009年2月成本预测_首钢总公司关于颁发《首钢钢铁业2009年3月份目标成本安排》的通知_第三阶段攻关任务" xfId="14445" xr:uid="{8B27CBAD-9C71-49DC-9869-A7FCFE7382CB}"/>
    <cellStyle name="_2008冷轧厂－11.15－彩涂线持平－价格提高121元_007" xfId="14446" xr:uid="{DA93AEC7-9993-4D86-B293-79D8C55CD887}"/>
    <cellStyle name="_2008冷轧厂－11.15－彩涂线持平－价格提高121元_0904矿业公司目标成本降低额测算03.27" xfId="14447" xr:uid="{E5C93320-7745-4086-8418-1F9F53795F49}"/>
    <cellStyle name="_2008冷轧厂－11.15－彩涂线持平－价格提高121元_09年2月成本预测（1.19日测）" xfId="14448" xr:uid="{BBB5C318-D8B7-41E6-99F9-3DD84BC47D07}"/>
    <cellStyle name="_2008冷轧厂－11.15－彩涂线持平－价格提高121元_09年2月成本预测（1.19日测）_（各工序）首秦公司2009年2月成本预测" xfId="14449" xr:uid="{2E9E12A9-6E6A-463E-BEDF-93DD1337F81D}"/>
    <cellStyle name="_2008冷轧厂－11.15－彩涂线持平－价格提高121元_09年2月成本预测（1.19日测）_（各工序）首秦公司2009年2月成本预测_0904矿业公司目标成本降低额测算03.27" xfId="14450" xr:uid="{A78F0D54-C6D9-439E-91B9-967AF7D3EC8F}"/>
    <cellStyle name="_2008冷轧厂－11.15－彩涂线持平－价格提高121元_09年2月成本预测（1.19日测）_（各工序）首秦公司2009年2月成本预测_6月份目标成本表(颁发)090531" xfId="14451" xr:uid="{77735FC6-5DCD-42BD-BC5B-2135516D5D56}"/>
    <cellStyle name="_2008冷轧厂－11.15－彩涂线持平－价格提高121元_09年2月成本预测（1.19日测）_（各工序）首秦公司2009年2月成本预测_第三阶段攻关任务" xfId="14452" xr:uid="{9B19EEF1-B7AF-484F-8E25-DCA27C4B7B1D}"/>
    <cellStyle name="_2008冷轧厂－11.15－彩涂线持平－价格提高121元_09年2月成本预测（1.19日测）_（各工序）首秦公司2009年2月成本预测_首钢总公司关于颁发《首钢钢铁业2009年3月份目标成本安排》的通知" xfId="14453" xr:uid="{27DC2958-314D-493F-891E-3A4B18D214C7}"/>
    <cellStyle name="_2008冷轧厂－11.15－彩涂线持平－价格提高121元_09年2月成本预测（1.19日测）_（各工序）首秦公司2009年2月成本预测_首钢总公司关于颁发《首钢钢铁业2009年3月份目标成本安排》的通知_2009年3月份矿业公司目标成本326" xfId="14454" xr:uid="{27631470-1062-49C5-98C9-25AD57030F39}"/>
    <cellStyle name="_2008冷轧厂－11.15－彩涂线持平－价格提高121元_09年2月成本预测（1.19日测）_（各工序）首秦公司2009年2月成本预测_首钢总公司关于颁发《首钢钢铁业2009年3月份目标成本安排》的通知_6月份目标成本表(颁发)090531" xfId="14455" xr:uid="{78D8B84B-2BFB-430D-9C71-526CCD93CA4A}"/>
    <cellStyle name="_2008冷轧厂－11.15－彩涂线持平－价格提高121元_09年2月成本预测（1.19日测）_（各工序）首秦公司2009年2月成本预测_首钢总公司关于颁发《首钢钢铁业2009年3月份目标成本安排》的通知_第三阶段攻关任务" xfId="14456" xr:uid="{A8D79827-69DB-491B-9831-7BD83E97D75B}"/>
    <cellStyle name="_2008冷轧厂－11.15－彩涂线持平－价格提高121元_09年2月成本预测（1.19日测）_报出附表" xfId="14457" xr:uid="{C510D6E3-2896-4EBC-9B75-ED72DA4FE31E}"/>
    <cellStyle name="_2008冷轧厂－11.15－彩涂线持平－价格提高121元_09年2月成本预测（1.19日测）_报出附表_0904矿业公司目标成本降低额测算03.27" xfId="14458" xr:uid="{3B27E011-1683-4499-B2C0-E238C3BDB233}"/>
    <cellStyle name="_2008冷轧厂－11.15－彩涂线持平－价格提高121元_09年2月成本预测（1.19日测）_报出附表_6月份目标成本表(颁发)090531" xfId="14459" xr:uid="{7F7AFF5B-97BD-4C90-B04B-422B02EB0D02}"/>
    <cellStyle name="_2008冷轧厂－11.15－彩涂线持平－价格提高121元_09年2月成本预测（1.19日测）_报出附表_第三阶段攻关任务" xfId="14460" xr:uid="{7791344B-538D-4C4F-85A9-BD592CB43754}"/>
    <cellStyle name="_2008冷轧厂－11.15－彩涂线持平－价格提高121元_09年2月成本预测（1.19日测）_报出附表_首钢总公司关于颁发《首钢钢铁业2009年3月份目标成本安排》的通知" xfId="14461" xr:uid="{5711B306-0189-4A98-80C7-D84F8C23A5CC}"/>
    <cellStyle name="_2008冷轧厂－11.15－彩涂线持平－价格提高121元_09年2月成本预测（1.19日测）_报出附表_首钢总公司关于颁发《首钢钢铁业2009年3月份目标成本安排》的通知_2009年3月份矿业公司目标成本326" xfId="14462" xr:uid="{D5FBB402-85EC-4D6E-A829-780EC487AE64}"/>
    <cellStyle name="_2008冷轧厂－11.15－彩涂线持平－价格提高121元_09年2月成本预测（1.19日测）_报出附表_首钢总公司关于颁发《首钢钢铁业2009年3月份目标成本安排》的通知_6月份目标成本表(颁发)090531" xfId="14463" xr:uid="{1FC7ADF4-EA18-4B94-B6A5-8354A15C1C8E}"/>
    <cellStyle name="_2008冷轧厂－11.15－彩涂线持平－价格提高121元_09年2月成本预测（1.19日测）_报出附表_首钢总公司关于颁发《首钢钢铁业2009年3月份目标成本安排》的通知_第三阶段攻关任务" xfId="14464" xr:uid="{DF73E01C-6DDE-4B49-8BA1-7240716DAF69}"/>
    <cellStyle name="_2008冷轧厂－11.15－彩涂线持平－价格提高121元_09年2月成本预测（1.19日测）_复件_首秦公司2009标准成本模板（2月）" xfId="14465" xr:uid="{1436D5C9-D1CE-4BB3-89B5-961920EC6802}"/>
    <cellStyle name="_2008冷轧厂－11.15－彩涂线持平－价格提高121元_09年2月成本预测（1.19日测）_模板（修订）2" xfId="14466" xr:uid="{6D991F74-DA38-42BF-95CF-6B8D84504B18}"/>
    <cellStyle name="_2008冷轧厂－11.15－彩涂线持平－价格提高121元_09年2月成本预测（1.19日测）_模板（修订）2_（各工序）首秦公司2009年2月成本预测" xfId="14467" xr:uid="{C89F73F4-95D8-4288-896F-AB71A1295ECF}"/>
    <cellStyle name="_2008冷轧厂－11.15－彩涂线持平－价格提高121元_09年2月成本预测（1.19日测）_模板（修订）2_（各工序）首秦公司2009年2月成本预测_0904矿业公司目标成本降低额测算03.27" xfId="14468" xr:uid="{CB592665-AE3D-4F82-9372-6609A2B305C6}"/>
    <cellStyle name="_2008冷轧厂－11.15－彩涂线持平－价格提高121元_09年2月成本预测（1.19日测）_模板（修订）2_（各工序）首秦公司2009年2月成本预测_6月份目标成本表(颁发)090531" xfId="14469" xr:uid="{08A8060E-8B24-4DFA-A2F1-72177871D6DA}"/>
    <cellStyle name="_2008冷轧厂－11.15－彩涂线持平－价格提高121元_09年2月成本预测（1.19日测）_模板（修订）2_（各工序）首秦公司2009年2月成本预测_第三阶段攻关任务" xfId="14470" xr:uid="{FDB8D0FD-BD56-4F76-B7A6-34D33BF4527F}"/>
    <cellStyle name="_2008冷轧厂－11.15－彩涂线持平－价格提高121元_09年2月成本预测（1.19日测）_模板（修订）2_（各工序）首秦公司2009年2月成本预测_首钢总公司关于颁发《首钢钢铁业2009年3月份目标成本安排》的通知" xfId="14471" xr:uid="{38C0B545-93E5-4824-AB0A-082FE09D3D3F}"/>
    <cellStyle name="_2008冷轧厂－11.15－彩涂线持平－价格提高121元_09年2月成本预测（1.19日测）_模板（修订）2_（各工序）首秦公司2009年2月成本预测_首钢总公司关于颁发《首钢钢铁业2009年3月份目标成本安排》的通知_2009年3月份矿业公司目标成本326" xfId="14472" xr:uid="{BCE3AF42-45D0-4250-993F-61E04A3E338A}"/>
    <cellStyle name="_2008冷轧厂－11.15－彩涂线持平－价格提高121元_09年2月成本预测（1.19日测）_模板（修订）2_（各工序）首秦公司2009年2月成本预测_首钢总公司关于颁发《首钢钢铁业2009年3月份目标成本安排》的通知_6月份目标成本表(颁发)090531" xfId="14473" xr:uid="{C7B3F245-C783-4668-89F0-E9C7988EB50B}"/>
    <cellStyle name="_2008冷轧厂－11.15－彩涂线持平－价格提高121元_09年2月成本预测（1.19日测）_模板（修订）2_（各工序）首秦公司2009年2月成本预测_首钢总公司关于颁发《首钢钢铁业2009年3月份目标成本安排》的通知_第三阶段攻关任务" xfId="14474" xr:uid="{615C9802-F52E-4A6D-A93F-17034E0DBC30}"/>
    <cellStyle name="_2008冷轧厂－11.15－彩涂线持平－价格提高121元_09年2月成本预测（1.19日测）_热轧09年标准成本模板" xfId="14475" xr:uid="{C3597313-3C0A-4B1E-B6CB-8F42D54DE53E}"/>
    <cellStyle name="_2008冷轧厂－11.15－彩涂线持平－价格提高121元_09年2月成本预测（1.19日测）_热轧09年标准成本模板_0904矿业公司目标成本降低额测算03.27" xfId="14476" xr:uid="{39A4B420-9028-4D35-BC87-CDC7CF3412DA}"/>
    <cellStyle name="_2008冷轧厂－11.15－彩涂线持平－价格提高121元_09年2月成本预测（1.19日测）_热轧09年标准成本模板_6月份目标成本表(颁发)090531" xfId="14477" xr:uid="{E3C565A9-A31E-4001-BEDC-0D87B4E760FF}"/>
    <cellStyle name="_2008冷轧厂－11.15－彩涂线持平－价格提高121元_09年2月成本预测（1.19日测）_热轧09年标准成本模板_第三阶段攻关任务" xfId="14478" xr:uid="{237E7E38-98FA-4F85-8700-77C5144F47B1}"/>
    <cellStyle name="_2008冷轧厂－11.15－彩涂线持平－价格提高121元_09年2月成本预测（1.19日测）_热轧09年标准成本模板_首钢总公司关于颁发《首钢钢铁业2009年3月份目标成本安排》的通知" xfId="14479" xr:uid="{7B079D38-EC0B-44C6-98E8-8C5F99DBA63A}"/>
    <cellStyle name="_2008冷轧厂－11.15－彩涂线持平－价格提高121元_09年2月成本预测（1.19日测）_热轧09年标准成本模板_首钢总公司关于颁发《首钢钢铁业2009年3月份目标成本安排》的通知_2009年3月份矿业公司目标成本326" xfId="14480" xr:uid="{D1F434E7-A045-42D5-94CB-B4ACE04F5390}"/>
    <cellStyle name="_2008冷轧厂－11.15－彩涂线持平－价格提高121元_09年2月成本预测（1.19日测）_热轧09年标准成本模板_首钢总公司关于颁发《首钢钢铁业2009年3月份目标成本安排》的通知_6月份目标成本表(颁发)090531" xfId="14481" xr:uid="{55CB9833-6356-457F-9A95-CDBCA85C45AA}"/>
    <cellStyle name="_2008冷轧厂－11.15－彩涂线持平－价格提高121元_09年2月成本预测（1.19日测）_热轧09年标准成本模板_首钢总公司关于颁发《首钢钢铁业2009年3月份目标成本安排》的通知_第三阶段攻关任务" xfId="14482" xr:uid="{B15F7F05-AC29-4FC1-8A01-D0A12759FBA5}"/>
    <cellStyle name="_2008冷轧厂－11.15－彩涂线持平－价格提高121元_09年2月成本预测（1.19日测）_首秦2月成本预测附表1" xfId="14483" xr:uid="{E15CA080-026E-467E-AE52-4739BBF24567}"/>
    <cellStyle name="_2008冷轧厂－11.15－彩涂线持平－价格提高121元_09年2月成本预测（1.19日测）_首秦2月成本预测附表1_0904矿业公司目标成本降低额测算03.27" xfId="14484" xr:uid="{C9BAB068-52BF-427B-A093-128514DF8A8C}"/>
    <cellStyle name="_2008冷轧厂－11.15－彩涂线持平－价格提高121元_09年2月成本预测（1.19日测）_首秦2月成本预测附表1_6月份目标成本表(颁发)090531" xfId="14485" xr:uid="{65DB48C3-9A5C-4923-92F8-7AB8BD535329}"/>
    <cellStyle name="_2008冷轧厂－11.15－彩涂线持平－价格提高121元_09年2月成本预测（1.19日测）_首秦2月成本预测附表1_第三阶段攻关任务" xfId="14486" xr:uid="{C9101FD8-1637-43E0-B441-128371C3E3D8}"/>
    <cellStyle name="_2008冷轧厂－11.15－彩涂线持平－价格提高121元_09年2月成本预测（1.19日测）_首秦2月成本预测附表1_首钢总公司关于颁发《首钢钢铁业2009年3月份目标成本安排》的通知" xfId="14487" xr:uid="{7027C555-9761-413A-92B2-4FEF20B62597}"/>
    <cellStyle name="_2008冷轧厂－11.15－彩涂线持平－价格提高121元_09年2月成本预测（1.19日测）_首秦2月成本预测附表1_首钢总公司关于颁发《首钢钢铁业2009年3月份目标成本安排》的通知_2009年3月份矿业公司目标成本326" xfId="14488" xr:uid="{45991F5D-B3BE-48AF-A48B-0187800C0316}"/>
    <cellStyle name="_2008冷轧厂－11.15－彩涂线持平－价格提高121元_09年2月成本预测（1.19日测）_首秦2月成本预测附表1_首钢总公司关于颁发《首钢钢铁业2009年3月份目标成本安排》的通知_6月份目标成本表(颁发)090531" xfId="14489" xr:uid="{49C5B86C-19CD-4A37-8C4A-A1A766B99F67}"/>
    <cellStyle name="_2008冷轧厂－11.15－彩涂线持平－价格提高121元_09年2月成本预测（1.19日测）_首秦2月成本预测附表1_首钢总公司关于颁发《首钢钢铁业2009年3月份目标成本安排》的通知_第三阶段攻关任务" xfId="14490" xr:uid="{C0FDA4CA-9DD3-4098-BEA5-49D04D2C5699}"/>
    <cellStyle name="_2008冷轧厂－11.15－彩涂线持平－价格提高121元_09年2月成本预测（1.19日测）_铁前成本模板" xfId="14491" xr:uid="{09098E60-7761-49F6-84DE-3C5D19B06390}"/>
    <cellStyle name="_2008冷轧厂－11.15－彩涂线持平－价格提高121元_09年4月炉料平衡" xfId="14492" xr:uid="{2C05169F-8F7B-4D94-879D-D28A0296062C}"/>
    <cellStyle name="_2008冷轧厂－11.15－彩涂线持平－价格提高121元_09年4月炉料平衡_6月份目标成本表(颁发)090531" xfId="14493" xr:uid="{5DF4B083-6A7D-43CF-A97A-B9EC179E8D77}"/>
    <cellStyle name="_2008冷轧厂－11.15－彩涂线持平－价格提高121元_09年4月炉料平衡_第三阶段攻关任务" xfId="14494" xr:uid="{46DDD485-F0D9-40B5-91B5-8F15FA020BA1}"/>
    <cellStyle name="_2008冷轧厂－11.15－彩涂线持平－价格提高121元_09年成本-平安夜" xfId="14495" xr:uid="{F2B063C7-2205-4E36-B95F-0D68C503505D}"/>
    <cellStyle name="_2008冷轧厂－11.15－彩涂线持平－价格提高121元_11.11修订标杆" xfId="14496" xr:uid="{4C282C00-BD2C-4780-8CF2-FF222D630BB1}"/>
    <cellStyle name="_2008冷轧厂－11.15－彩涂线持平－价格提高121元_11.11修订标杆_（各工序）首秦公司2009年2月成本预测" xfId="14497" xr:uid="{D5FAE7F9-E69A-4578-8C2A-C519CDACEE98}"/>
    <cellStyle name="_2008冷轧厂－11.15－彩涂线持平－价格提高121元_11.11修订标杆_（各工序）首秦公司2009年2月成本预测_0904矿业公司目标成本降低额测算03.27" xfId="14498" xr:uid="{D4326F18-27FA-4B5F-B26B-390FB87B0007}"/>
    <cellStyle name="_2008冷轧厂－11.15－彩涂线持平－价格提高121元_11.11修订标杆_（各工序）首秦公司2009年2月成本预测_6月份目标成本表(颁发)090531" xfId="14499" xr:uid="{DD5F63B8-BB0F-447D-ABAA-E8C48CAB3CE9}"/>
    <cellStyle name="_2008冷轧厂－11.15－彩涂线持平－价格提高121元_11.11修订标杆_（各工序）首秦公司2009年2月成本预测_第三阶段攻关任务" xfId="14500" xr:uid="{224DB1D1-9BF1-4F1E-BBDC-F60E456E3BD2}"/>
    <cellStyle name="_2008冷轧厂－11.15－彩涂线持平－价格提高121元_11.11修订标杆_（各工序）首秦公司2009年2月成本预测_首钢总公司关于颁发《首钢钢铁业2009年3月份目标成本安排》的通知" xfId="14501" xr:uid="{6B33B102-47BC-4251-96E9-EA15FA8318D1}"/>
    <cellStyle name="_2008冷轧厂－11.15－彩涂线持平－价格提高121元_11.11修订标杆_（各工序）首秦公司2009年2月成本预测_首钢总公司关于颁发《首钢钢铁业2009年3月份目标成本安排》的通知_2009年3月份矿业公司目标成本326" xfId="14502" xr:uid="{0776815A-7C20-49A8-BBF1-982522053483}"/>
    <cellStyle name="_2008冷轧厂－11.15－彩涂线持平－价格提高121元_11.11修订标杆_（各工序）首秦公司2009年2月成本预测_首钢总公司关于颁发《首钢钢铁业2009年3月份目标成本安排》的通知_6月份目标成本表(颁发)090531" xfId="14503" xr:uid="{BB75C562-74D8-4B08-817B-16B7A9342BB6}"/>
    <cellStyle name="_2008冷轧厂－11.15－彩涂线持平－价格提高121元_11.11修订标杆_（各工序）首秦公司2009年2月成本预测_首钢总公司关于颁发《首钢钢铁业2009年3月份目标成本安排》的通知_第三阶段攻关任务" xfId="14504" xr:uid="{A3E6BEA9-DAD6-4892-B37F-CFE664575591}"/>
    <cellStyle name="_2008冷轧厂－11.15－彩涂线持平－价格提高121元_11.11修订标杆_0904矿业公司目标成本降低额测算03.27" xfId="14505" xr:uid="{2DF071A7-13D5-4A82-B6D9-519FE0A6E072}"/>
    <cellStyle name="_2008冷轧厂－11.15－彩涂线持平－价格提高121元_11.11修订标杆_3月份计划附表(会后修改稿)" xfId="14506" xr:uid="{6072C72B-B788-494F-9D95-6CD46897F550}"/>
    <cellStyle name="_2008冷轧厂－11.15－彩涂线持平－价格提高121元_11.11修订标杆_3月份计划附表(会后修改稿)_第三阶段攻关任务" xfId="14507" xr:uid="{B4D34D5F-87A3-43FD-9311-0688649B63A3}"/>
    <cellStyle name="_2008冷轧厂－11.15－彩涂线持平－价格提高121元_11.11修订标杆_3月份生产经营计划" xfId="14508" xr:uid="{2799C6CF-9673-492C-A0D8-F08F30948B12}"/>
    <cellStyle name="_2008冷轧厂－11.15－彩涂线持平－价格提高121元_11.11修订标杆_6月份目标成本表(颁发)090531" xfId="14509" xr:uid="{7FC611B5-9AA5-4F37-AFC4-D7E7A521B34C}"/>
    <cellStyle name="_2008冷轧厂－11.15－彩涂线持平－价格提高121元_11.11修订标杆_报出附表" xfId="14510" xr:uid="{1BFAA2E9-CA2D-4342-82F7-5F6C1C4F8A91}"/>
    <cellStyle name="_2008冷轧厂－11.15－彩涂线持平－价格提高121元_11.11修订标杆_报出附表_0904矿业公司目标成本降低额测算03.27" xfId="14511" xr:uid="{D9D2CADE-A3D7-40D1-8E0A-E459A6D83FCD}"/>
    <cellStyle name="_2008冷轧厂－11.15－彩涂线持平－价格提高121元_11.11修订标杆_报出附表_6月份目标成本表(颁发)090531" xfId="14512" xr:uid="{48A4A136-B880-440D-93C3-6AAC1E930100}"/>
    <cellStyle name="_2008冷轧厂－11.15－彩涂线持平－价格提高121元_11.11修订标杆_报出附表_第三阶段攻关任务" xfId="14513" xr:uid="{499AAA4F-4D8E-4F09-820C-809854A5FC63}"/>
    <cellStyle name="_2008冷轧厂－11.15－彩涂线持平－价格提高121元_11.11修订标杆_报出附表_首钢总公司关于颁发《首钢钢铁业2009年3月份目标成本安排》的通知" xfId="14514" xr:uid="{93C6302B-C255-48B0-831B-48F38140A498}"/>
    <cellStyle name="_2008冷轧厂－11.15－彩涂线持平－价格提高121元_11.11修订标杆_报出附表_首钢总公司关于颁发《首钢钢铁业2009年3月份目标成本安排》的通知_2009年3月份矿业公司目标成本326" xfId="14515" xr:uid="{2F840DD2-F96E-4E50-A074-D3D860C8928E}"/>
    <cellStyle name="_2008冷轧厂－11.15－彩涂线持平－价格提高121元_11.11修订标杆_报出附表_首钢总公司关于颁发《首钢钢铁业2009年3月份目标成本安排》的通知_6月份目标成本表(颁发)090531" xfId="14516" xr:uid="{723E22E2-F006-4223-BCD1-CC91ED2F138F}"/>
    <cellStyle name="_2008冷轧厂－11.15－彩涂线持平－价格提高121元_11.11修订标杆_报出附表_首钢总公司关于颁发《首钢钢铁业2009年3月份目标成本安排》的通知_第三阶段攻关任务" xfId="14517" xr:uid="{1ABF84FF-76C8-479E-9095-D2FD6E20EEF7}"/>
    <cellStyle name="_2008冷轧厂－11.15－彩涂线持平－价格提高121元_11.11修订标杆_倒推成本表-成本计划" xfId="14518" xr:uid="{E4465749-D17D-47CA-AC13-FBB394212180}"/>
    <cellStyle name="_2008冷轧厂－11.15－彩涂线持平－价格提高121元_11.11修订标杆_第三阶段攻关任务" xfId="14519" xr:uid="{DA9DD6F7-D43E-4629-B33E-B4667BC6851B}"/>
    <cellStyle name="_2008冷轧厂－11.15－彩涂线持平－价格提高121元_11.11修订标杆_复件_首秦公司2009标准成本模板（2月）" xfId="14520" xr:uid="{5C669388-4579-46BB-BD3E-3BBBD0D395AE}"/>
    <cellStyle name="_2008冷轧厂－11.15－彩涂线持平－价格提高121元_11.11修订标杆_模板（修订）2" xfId="14521" xr:uid="{5D57740E-7137-41FE-A9F4-48D355CF160F}"/>
    <cellStyle name="_2008冷轧厂－11.15－彩涂线持平－价格提高121元_11.11修订标杆_模板（修订）2_（各工序）首秦公司2009年2月成本预测" xfId="14522" xr:uid="{CFC0934A-D7F2-4AC2-AC3F-8F45799BA84A}"/>
    <cellStyle name="_2008冷轧厂－11.15－彩涂线持平－价格提高121元_11.11修订标杆_模板（修订）2_（各工序）首秦公司2009年2月成本预测_0904矿业公司目标成本降低额测算03.27" xfId="14523" xr:uid="{7BD7AC14-BF8F-49CC-990E-379BB7C149CD}"/>
    <cellStyle name="_2008冷轧厂－11.15－彩涂线持平－价格提高121元_11.11修订标杆_模板（修订）2_（各工序）首秦公司2009年2月成本预测_6月份目标成本表(颁发)090531" xfId="14524" xr:uid="{ABB26B85-D49E-4EA3-8E8D-F77CB00BFD08}"/>
    <cellStyle name="_2008冷轧厂－11.15－彩涂线持平－价格提高121元_11.11修订标杆_模板（修订）2_（各工序）首秦公司2009年2月成本预测_第三阶段攻关任务" xfId="14525" xr:uid="{2E4CB780-DD55-4D96-A5F2-6510D6845D7A}"/>
    <cellStyle name="_2008冷轧厂－11.15－彩涂线持平－价格提高121元_11.11修订标杆_模板（修订）2_（各工序）首秦公司2009年2月成本预测_首钢总公司关于颁发《首钢钢铁业2009年3月份目标成本安排》的通知" xfId="14526" xr:uid="{3EDBC5F9-C3B6-4FE1-ADA8-9513B8BE15C8}"/>
    <cellStyle name="_2008冷轧厂－11.15－彩涂线持平－价格提高121元_11.11修订标杆_模板（修订）2_（各工序）首秦公司2009年2月成本预测_首钢总公司关于颁发《首钢钢铁业2009年3月份目标成本安排》的通知_2009年3月份矿业公司目标成本326" xfId="14527" xr:uid="{86021461-EA0F-4978-A3FF-EC0A6B3716B8}"/>
    <cellStyle name="_2008冷轧厂－11.15－彩涂线持平－价格提高121元_11.11修订标杆_模板（修订）2_（各工序）首秦公司2009年2月成本预测_首钢总公司关于颁发《首钢钢铁业2009年3月份目标成本安排》的通知_6月份目标成本表(颁发)090531" xfId="14528" xr:uid="{9A09DA8D-8521-475E-AA36-43C59155FCC4}"/>
    <cellStyle name="_2008冷轧厂－11.15－彩涂线持平－价格提高121元_11.11修订标杆_模板（修订）2_（各工序）首秦公司2009年2月成本预测_首钢总公司关于颁发《首钢钢铁业2009年3月份目标成本安排》的通知_第三阶段攻关任务" xfId="14529" xr:uid="{AB1CDDF4-B1C3-4E24-AA77-CABA0C0E73DC}"/>
    <cellStyle name="_2008冷轧厂－11.15－彩涂线持平－价格提高121元_11.11修订标杆_热轧09年标准成本模板" xfId="14530" xr:uid="{4EACEE9C-2F0B-4742-AA4F-62F5BA98E03C}"/>
    <cellStyle name="_2008冷轧厂－11.15－彩涂线持平－价格提高121元_11.11修订标杆_热轧09年标准成本模板_0904矿业公司目标成本降低额测算03.27" xfId="14531" xr:uid="{A523BB08-653A-44E3-AC01-A10CBD671CED}"/>
    <cellStyle name="_2008冷轧厂－11.15－彩涂线持平－价格提高121元_11.11修订标杆_热轧09年标准成本模板_6月份目标成本表(颁发)090531" xfId="14532" xr:uid="{6ACE8EF9-B0D9-4B8E-871D-FDC658BAD195}"/>
    <cellStyle name="_2008冷轧厂－11.15－彩涂线持平－价格提高121元_11.11修订标杆_热轧09年标准成本模板_第三阶段攻关任务" xfId="14533" xr:uid="{F3215776-2DF3-44E6-9D05-38312E1957AE}"/>
    <cellStyle name="_2008冷轧厂－11.15－彩涂线持平－价格提高121元_11.11修订标杆_热轧09年标准成本模板_首钢总公司关于颁发《首钢钢铁业2009年3月份目标成本安排》的通知" xfId="14534" xr:uid="{12BC9CF5-174A-4D0C-8CBE-495CAC1FF723}"/>
    <cellStyle name="_2008冷轧厂－11.15－彩涂线持平－价格提高121元_11.11修订标杆_热轧09年标准成本模板_首钢总公司关于颁发《首钢钢铁业2009年3月份目标成本安排》的通知_2009年3月份矿业公司目标成本326" xfId="14535" xr:uid="{4D316A64-4FE3-4BC1-BDC6-AF439A95C2E9}"/>
    <cellStyle name="_2008冷轧厂－11.15－彩涂线持平－价格提高121元_11.11修订标杆_热轧09年标准成本模板_首钢总公司关于颁发《首钢钢铁业2009年3月份目标成本安排》的通知_6月份目标成本表(颁发)090531" xfId="14536" xr:uid="{1D5485B2-61D4-4C71-B03F-BDF0285A8EA1}"/>
    <cellStyle name="_2008冷轧厂－11.15－彩涂线持平－价格提高121元_11.11修订标杆_热轧09年标准成本模板_首钢总公司关于颁发《首钢钢铁业2009年3月份目标成本安排》的通知_第三阶段攻关任务" xfId="14537" xr:uid="{C2C7E313-4040-4A79-AA77-8BADE5CEF12A}"/>
    <cellStyle name="_2008冷轧厂－11.15－彩涂线持平－价格提高121元_11.11修订标杆_首钢集团2009年2月份增收节支确认情况" xfId="14538" xr:uid="{7DA5B5B6-F412-4C88-BB92-4D1020ED2CD9}"/>
    <cellStyle name="_2008冷轧厂－11.15－彩涂线持平－价格提高121元_11.11修订标杆_首钢总公司关于颁发《首钢钢铁业2009年3月份目标成本安排》的通知" xfId="14539" xr:uid="{111E501C-84F7-4220-A7D3-4A2E232C10A7}"/>
    <cellStyle name="_2008冷轧厂－11.15－彩涂线持平－价格提高121元_11.11修订标杆_首钢总公司关于颁发《首钢钢铁业2009年3月份目标成本安排》的通知_2009年3月份矿业公司目标成本326" xfId="14540" xr:uid="{00DB1FA4-729C-4B00-A24B-BEA4B2041FD3}"/>
    <cellStyle name="_2008冷轧厂－11.15－彩涂线持平－价格提高121元_11.11修订标杆_首钢总公司关于颁发《首钢钢铁业2009年3月份目标成本安排》的通知_6月份目标成本表(颁发)090531" xfId="14541" xr:uid="{3270D023-AF3E-4184-99D3-8C9B8B2DCE17}"/>
    <cellStyle name="_2008冷轧厂－11.15－彩涂线持平－价格提高121元_11.11修订标杆_首钢总公司关于颁发《首钢钢铁业2009年3月份目标成本安排》的通知_第三阶段攻关任务" xfId="14542" xr:uid="{1DB75FF7-EB70-4FBA-9D37-F7D2A0FFCCE4}"/>
    <cellStyle name="_2008冷轧厂－11.15－彩涂线持平－价格提高121元_11.11修订标杆_首秦2月成本预测附表1" xfId="14543" xr:uid="{B1DABCFC-98A7-474F-B2A2-3A7A6D10DD64}"/>
    <cellStyle name="_2008冷轧厂－11.15－彩涂线持平－价格提高121元_11.11修订标杆_首秦2月成本预测附表1_0904矿业公司目标成本降低额测算03.27" xfId="14544" xr:uid="{9CD726A9-368E-4917-A13E-1B238B31477A}"/>
    <cellStyle name="_2008冷轧厂－11.15－彩涂线持平－价格提高121元_11.11修订标杆_首秦2月成本预测附表1_6月份目标成本表(颁发)090531" xfId="14545" xr:uid="{FAF4724F-108B-4D2F-884A-A8B6DA3EF403}"/>
    <cellStyle name="_2008冷轧厂－11.15－彩涂线持平－价格提高121元_11.11修订标杆_首秦2月成本预测附表1_第三阶段攻关任务" xfId="14546" xr:uid="{7BF2DB65-D6B8-4218-A5C3-6AEDB869424D}"/>
    <cellStyle name="_2008冷轧厂－11.15－彩涂线持平－价格提高121元_11.11修订标杆_首秦2月成本预测附表1_首钢总公司关于颁发《首钢钢铁业2009年3月份目标成本安排》的通知" xfId="14547" xr:uid="{6D674029-21C7-42CB-AB3D-96DE470EED5D}"/>
    <cellStyle name="_2008冷轧厂－11.15－彩涂线持平－价格提高121元_11.11修订标杆_首秦2月成本预测附表1_首钢总公司关于颁发《首钢钢铁业2009年3月份目标成本安排》的通知_2009年3月份矿业公司目标成本326" xfId="14548" xr:uid="{ABD8DBED-F41F-48F1-B611-B2FD42F697A9}"/>
    <cellStyle name="_2008冷轧厂－11.15－彩涂线持平－价格提高121元_11.11修订标杆_首秦2月成本预测附表1_首钢总公司关于颁发《首钢钢铁业2009年3月份目标成本安排》的通知_6月份目标成本表(颁发)090531" xfId="14549" xr:uid="{5428B1FC-6642-480A-8551-1EEB5C383C7B}"/>
    <cellStyle name="_2008冷轧厂－11.15－彩涂线持平－价格提高121元_11.11修订标杆_首秦2月成本预测附表1_首钢总公司关于颁发《首钢钢铁业2009年3月份目标成本安排》的通知_第三阶段攻关任务" xfId="14550" xr:uid="{1DD7B712-B0A6-4815-8240-4D6B4ABE71BA}"/>
    <cellStyle name="_2008冷轧厂－11.15－彩涂线持平－价格提高121元_11.11修订标杆_铁前成本模板" xfId="14551" xr:uid="{A7CA5B73-DBC6-4982-8EF0-AE9D4F9A69FA}"/>
    <cellStyle name="_2008冷轧厂－11.15－彩涂线持平－价格提高121元_11.11修订标杆_中板三月成本测算20090307" xfId="14552" xr:uid="{EC82E026-5CC9-41CA-B584-773F3AD8F039}"/>
    <cellStyle name="_2008冷轧厂－11.15－彩涂线持平－价格提高121元_1月份影响利润因素测算报公司2-3(1)" xfId="14553" xr:uid="{C5968C13-D909-470D-9128-039BFC0C8C49}"/>
    <cellStyle name="_2008冷轧厂－11.15－彩涂线持平－价格提高121元_2009年1月预计库存情况汇总表0115" xfId="14554" xr:uid="{B86596B7-8460-414E-BBA6-0319FDDBAA0F}"/>
    <cellStyle name="_2008冷轧厂－11.15－彩涂线持平－价格提高121元_2009年1月预计库存情况汇总表0115_007" xfId="14555" xr:uid="{0A8A40D8-086F-4998-B78B-CF80F11B44B5}"/>
    <cellStyle name="_2008冷轧厂－11.15－彩涂线持平－价格提高121元_2009年1月预计库存情况汇总表0115_0904矿业公司目标成本降低额测算03.27" xfId="14556" xr:uid="{EC3ABE0A-A2DE-4DE1-8878-CB4719CEE7EE}"/>
    <cellStyle name="_2008冷轧厂－11.15－彩涂线持平－价格提高121元_2009年1月预计库存情况汇总表0115_3月份计划附表(会后修改稿)" xfId="14557" xr:uid="{AC2CC03D-E77A-43B3-AA1F-5597E326FA3D}"/>
    <cellStyle name="_2008冷轧厂－11.15－彩涂线持平－价格提高121元_2009年1月预计库存情况汇总表0115_3月份计划附表(会后修改稿)_第三阶段攻关任务" xfId="14558" xr:uid="{32E32706-48B8-42E4-BE00-F965E1C15DB5}"/>
    <cellStyle name="_2008冷轧厂－11.15－彩涂线持平－价格提高121元_2009年1月预计库存情况汇总表0115_3月份生产经营计划" xfId="14559" xr:uid="{F949AD7B-79AC-4FE8-BCA7-3E95D38E3E75}"/>
    <cellStyle name="_2008冷轧厂－11.15－彩涂线持平－价格提高121元_2009年1月预计库存情况汇总表0115_6月份目标成本表(颁发)090531" xfId="14560" xr:uid="{FF4632F2-7DC3-48E3-8B0D-7EB5CD36A357}"/>
    <cellStyle name="_2008冷轧厂－11.15－彩涂线持平－价格提高121元_2009年1月预计库存情况汇总表0115_第三阶段攻关任务" xfId="14561" xr:uid="{CE233ADE-526F-475B-84F5-B84E128B762C}"/>
    <cellStyle name="_2008冷轧厂－11.15－彩涂线持平－价格提高121元_2009年1月预计库存情况汇总表0115_建材处3-4月价格预测0319" xfId="14562" xr:uid="{0DEDFB3B-8934-401A-AE55-0C77D6A3BB38}"/>
    <cellStyle name="_2008冷轧厂－11.15－彩涂线持平－价格提高121元_2009年1月预计库存情况汇总表0115_首钢集团2009年2月份增收节支确认情况" xfId="14563" xr:uid="{9F9C35C1-27AC-4964-B2E2-847F47ED2E59}"/>
    <cellStyle name="_2008冷轧厂－11.15－彩涂线持平－价格提高121元_2009年1月预计库存情况汇总表0115_首钢总公司关于颁发《首钢钢铁业2009年3月份目标成本安排》的通知" xfId="14564" xr:uid="{536F896B-0B8F-4528-834B-FAE3B1042088}"/>
    <cellStyle name="_2008冷轧厂－11.15－彩涂线持平－价格提高121元_2009年1月预计库存情况汇总表0115_首钢总公司关于颁发《首钢钢铁业2009年3月份目标成本安排》的通知_2009年3月份矿业公司目标成本326" xfId="14565" xr:uid="{8CDFB43C-4E81-45B4-8322-0A4497E51FB1}"/>
    <cellStyle name="_2008冷轧厂－11.15－彩涂线持平－价格提高121元_2009年1月预计库存情况汇总表0115_首钢总公司关于颁发《首钢钢铁业2009年3月份目标成本安排》的通知_6月份目标成本表(颁发)090531" xfId="14566" xr:uid="{478E319E-4069-41C2-870C-94A3564DC106}"/>
    <cellStyle name="_2008冷轧厂－11.15－彩涂线持平－价格提高121元_2009年1月预计库存情况汇总表0115_首钢总公司关于颁发《首钢钢铁业2009年3月份目标成本安排》的通知_第三阶段攻关任务" xfId="14567" xr:uid="{52209D81-E058-418B-BBD7-3F2CB5F173D2}"/>
    <cellStyle name="_2008冷轧厂－11.15－彩涂线持平－价格提高121元_2月份采购成本预测表" xfId="14568" xr:uid="{FB2FCD38-C6A5-4395-A151-ECD7010DD36A}"/>
    <cellStyle name="_2008冷轧厂－11.15－彩涂线持平－价格提高121元_2月份成本计划模型" xfId="14569" xr:uid="{70E3B39E-AB69-43D9-BB14-801DAE383E66}"/>
    <cellStyle name="_2008冷轧厂－11.15－彩涂线持平－价格提高121元_2月份成本计划模型2.05" xfId="14570" xr:uid="{2428AFB2-5F80-4E18-9B18-090F06A2A737}"/>
    <cellStyle name="_2008冷轧厂－11.15－彩涂线持平－价格提高121元_3月份计划附表(会后修改稿)" xfId="14571" xr:uid="{245B3708-5133-4409-81D4-06500EF85C04}"/>
    <cellStyle name="_2008冷轧厂－11.15－彩涂线持平－价格提高121元_3月份计划附表(会后修改稿)_第三阶段攻关任务" xfId="14572" xr:uid="{000D1C42-21A8-43D4-A8F7-9E0C9B6C0FAD}"/>
    <cellStyle name="_2008冷轧厂－11.15－彩涂线持平－价格提高121元_3月份生产经营计划" xfId="14573" xr:uid="{C81E9C37-C7A5-4A77-937A-CB7F5AE2B871}"/>
    <cellStyle name="_2008冷轧厂－11.15－彩涂线持平－价格提高121元_6月份目标成本表(颁发)090531" xfId="14574" xr:uid="{2CEC16CE-7D4D-48C1-8F0D-76FAD3496E0A}"/>
    <cellStyle name="_2008冷轧厂－11.15－彩涂线持平－价格提高121元_报出附表" xfId="14575" xr:uid="{A3B8BB6D-E767-4C0B-84C8-E2DE849102A6}"/>
    <cellStyle name="_2008冷轧厂－11.15－彩涂线持平－价格提高121元_报出附表_0904矿业公司目标成本降低额测算03.27" xfId="14576" xr:uid="{4B922C3F-8FE7-4FB4-9E86-7EB132ABAFBD}"/>
    <cellStyle name="_2008冷轧厂－11.15－彩涂线持平－价格提高121元_报出附表_6月份目标成本表(颁发)090531" xfId="14577" xr:uid="{8CD668EE-16E8-495D-B2AA-13AD2FFB8985}"/>
    <cellStyle name="_2008冷轧厂－11.15－彩涂线持平－价格提高121元_报出附表_第三阶段攻关任务" xfId="14578" xr:uid="{7B650815-C3A9-4366-9195-A63562D86465}"/>
    <cellStyle name="_2008冷轧厂－11.15－彩涂线持平－价格提高121元_报出附表_首钢总公司关于颁发《首钢钢铁业2009年3月份目标成本安排》的通知" xfId="14579" xr:uid="{7D16FBBF-8D47-47CD-B319-509ABB111D5B}"/>
    <cellStyle name="_2008冷轧厂－11.15－彩涂线持平－价格提高121元_报出附表_首钢总公司关于颁发《首钢钢铁业2009年3月份目标成本安排》的通知_2009年3月份矿业公司目标成本326" xfId="14580" xr:uid="{A2D2A46D-0CC9-4655-814F-3BB1D87D490A}"/>
    <cellStyle name="_2008冷轧厂－11.15－彩涂线持平－价格提高121元_报出附表_首钢总公司关于颁发《首钢钢铁业2009年3月份目标成本安排》的通知_6月份目标成本表(颁发)090531" xfId="14581" xr:uid="{E3BA53F6-431D-417A-A327-036C4C110F95}"/>
    <cellStyle name="_2008冷轧厂－11.15－彩涂线持平－价格提高121元_报出附表_首钢总公司关于颁发《首钢钢铁业2009年3月份目标成本安排》的通知_第三阶段攻关任务" xfId="14582" xr:uid="{38D4FC45-E108-47EB-B795-E339B20C9C06}"/>
    <cellStyle name="_2008冷轧厂－11.15－彩涂线持平－价格提高121元_倒推成本表-成本计划" xfId="14583" xr:uid="{BB078AFE-EA47-416B-A240-34FC2F0E5B89}"/>
    <cellStyle name="_2008冷轧厂－11.15－彩涂线持平－价格提高121元_第三阶段攻关任务" xfId="14584" xr:uid="{A52D30C0-DDFF-4460-802B-C103D9EB2C40}"/>
    <cellStyle name="_2008冷轧厂－11.15－彩涂线持平－价格提高121元_复件_首秦公司2009标准成本模板（2月）" xfId="14585" xr:uid="{119CB2EC-5B50-4E9B-BFF3-0BBE26B1C097}"/>
    <cellStyle name="_2008冷轧厂－11.15－彩涂线持平－价格提高121元_供应公司2月份预测" xfId="14586" xr:uid="{6D8CB5BE-ED7E-4271-8B3B-5195F3EEE67C}"/>
    <cellStyle name="_2008冷轧厂－11.15－彩涂线持平－价格提高121元_建材处3-4月价格预测0319" xfId="14587" xr:uid="{13D7F54A-90D7-4CB8-B089-992AF9B24095}"/>
    <cellStyle name="_2008冷轧厂－11.15－彩涂线持平－价格提高121元_矿业09年计划12.25" xfId="14588" xr:uid="{C8F6664D-6462-4CEC-89CA-1860084F1774}"/>
    <cellStyle name="_2008冷轧厂－11.15－彩涂线持平－价格提高121元_矿业09年计划12.25_6月份目标成本表(颁发)090531" xfId="14589" xr:uid="{4025171F-22D0-4AD1-906C-161009087760}"/>
    <cellStyle name="_2008冷轧厂－11.15－彩涂线持平－价格提高121元_矿业09年计划12.25_第三阶段攻关任务" xfId="14590" xr:uid="{5D472EAF-889F-4E97-B4CE-5C253ECBBDF0}"/>
    <cellStyle name="_2008冷轧厂－11.15－彩涂线持平－价格提高121元_模板（修订）2" xfId="14591" xr:uid="{9B6D8FD4-C553-4FFE-AA9C-C0397140A49D}"/>
    <cellStyle name="_2008冷轧厂－11.15－彩涂线持平－价格提高121元_模板（修订）2_（各工序）首秦公司2009年2月成本预测" xfId="14592" xr:uid="{02DD3FF6-C089-4A5F-A6F5-BB6597523975}"/>
    <cellStyle name="_2008冷轧厂－11.15－彩涂线持平－价格提高121元_模板（修订）2_（各工序）首秦公司2009年2月成本预测_0904矿业公司目标成本降低额测算03.27" xfId="14593" xr:uid="{BBDF099F-6AD4-4FCC-BC80-BFCB613977D1}"/>
    <cellStyle name="_2008冷轧厂－11.15－彩涂线持平－价格提高121元_模板（修订）2_（各工序）首秦公司2009年2月成本预测_6月份目标成本表(颁发)090531" xfId="14594" xr:uid="{A6816DE5-74D0-4EA7-B591-64E846588DC4}"/>
    <cellStyle name="_2008冷轧厂－11.15－彩涂线持平－价格提高121元_模板（修订）2_（各工序）首秦公司2009年2月成本预测_第三阶段攻关任务" xfId="14595" xr:uid="{37EAC4C7-CE52-4F6B-9FC7-9038387B4B46}"/>
    <cellStyle name="_2008冷轧厂－11.15－彩涂线持平－价格提高121元_模板（修订）2_（各工序）首秦公司2009年2月成本预测_首钢总公司关于颁发《首钢钢铁业2009年3月份目标成本安排》的通知" xfId="14596" xr:uid="{3FEA29DA-CC17-4C24-A788-E7364C82A219}"/>
    <cellStyle name="_2008冷轧厂－11.15－彩涂线持平－价格提高121元_模板（修订）2_（各工序）首秦公司2009年2月成本预测_首钢总公司关于颁发《首钢钢铁业2009年3月份目标成本安排》的通知_2009年3月份矿业公司目标成本326" xfId="14597" xr:uid="{DF413B5A-6B8C-4671-87FD-FF70F2D2A3F7}"/>
    <cellStyle name="_2008冷轧厂－11.15－彩涂线持平－价格提高121元_模板（修订）2_（各工序）首秦公司2009年2月成本预测_首钢总公司关于颁发《首钢钢铁业2009年3月份目标成本安排》的通知_6月份目标成本表(颁发)090531" xfId="14598" xr:uid="{D45489B1-E541-4C44-89A5-8DE459904FDB}"/>
    <cellStyle name="_2008冷轧厂－11.15－彩涂线持平－价格提高121元_模板（修订）2_（各工序）首秦公司2009年2月成本预测_首钢总公司关于颁发《首钢钢铁业2009年3月份目标成本安排》的通知_第三阶段攻关任务" xfId="14599" xr:uid="{D379C9E9-4D5B-47D3-A78D-F4BD0DC5DCAA}"/>
    <cellStyle name="_2008冷轧厂－11.15－彩涂线持平－价格提高121元_热轧09年标准成本模板" xfId="14600" xr:uid="{17D792A0-28C9-45A8-9F4D-50DFE293B920}"/>
    <cellStyle name="_2008冷轧厂－11.15－彩涂线持平－价格提高121元_热轧09年标准成本模板_0904矿业公司目标成本降低额测算03.27" xfId="14601" xr:uid="{985F0229-B62A-44C2-9F42-E804C8C66676}"/>
    <cellStyle name="_2008冷轧厂－11.15－彩涂线持平－价格提高121元_热轧09年标准成本模板_6月份目标成本表(颁发)090531" xfId="14602" xr:uid="{3055B0D9-9E9B-49E0-A619-0ABEE7C327E6}"/>
    <cellStyle name="_2008冷轧厂－11.15－彩涂线持平－价格提高121元_热轧09年标准成本模板_第三阶段攻关任务" xfId="14603" xr:uid="{6E9046D5-C010-4C0E-9C01-A7E63DDBF879}"/>
    <cellStyle name="_2008冷轧厂－11.15－彩涂线持平－价格提高121元_热轧09年标准成本模板_首钢总公司关于颁发《首钢钢铁业2009年3月份目标成本安排》的通知" xfId="14604" xr:uid="{5E12035B-52F8-4A72-9988-0B7684EB0F95}"/>
    <cellStyle name="_2008冷轧厂－11.15－彩涂线持平－价格提高121元_热轧09年标准成本模板_首钢总公司关于颁发《首钢钢铁业2009年3月份目标成本安排》的通知_2009年3月份矿业公司目标成本326" xfId="14605" xr:uid="{A3E19FE2-F70B-4680-A1E8-2088E10ACFD5}"/>
    <cellStyle name="_2008冷轧厂－11.15－彩涂线持平－价格提高121元_热轧09年标准成本模板_首钢总公司关于颁发《首钢钢铁业2009年3月份目标成本安排》的通知_6月份目标成本表(颁发)090531" xfId="14606" xr:uid="{B60F5E14-940B-4952-99A9-049FAF811A04}"/>
    <cellStyle name="_2008冷轧厂－11.15－彩涂线持平－价格提高121元_热轧09年标准成本模板_首钢总公司关于颁发《首钢钢铁业2009年3月份目标成本安排》的通知_第三阶段攻关任务" xfId="14607" xr:uid="{FAF7B2DF-D9BD-445B-9C5A-D8F0FA244C8C}"/>
    <cellStyle name="_2008冷轧厂－11.15－彩涂线持平－价格提高121元_首钢集团2009年2月份增收节支确认情况" xfId="14608" xr:uid="{CB8114A7-EA99-44B6-A3C4-0AD34433E55A}"/>
    <cellStyle name="_2008冷轧厂－11.15－彩涂线持平－价格提高121元_首钢总公司关于颁发《首钢钢铁业2009年3月份目标成本安排》的通知" xfId="14609" xr:uid="{D05F7D1A-0EB7-4947-AFD9-FF714D43EE43}"/>
    <cellStyle name="_2008冷轧厂－11.15－彩涂线持平－价格提高121元_首钢总公司关于颁发《首钢钢铁业2009年3月份目标成本安排》的通知_2009年3月份矿业公司目标成本326" xfId="14610" xr:uid="{7DA95154-016C-432C-90AB-4D74EE78F786}"/>
    <cellStyle name="_2008冷轧厂－11.15－彩涂线持平－价格提高121元_首钢总公司关于颁发《首钢钢铁业2009年3月份目标成本安排》的通知_6月份目标成本表(颁发)090531" xfId="14611" xr:uid="{C6CCDD95-F31F-4C11-B16D-A9BFB1D729A7}"/>
    <cellStyle name="_2008冷轧厂－11.15－彩涂线持平－价格提高121元_首钢总公司关于颁发《首钢钢铁业2009年3月份目标成本安排》的通知_第三阶段攻关任务" xfId="14612" xr:uid="{D32BF0BE-AFB9-4ECD-922D-2914376BCD72}"/>
    <cellStyle name="_2008冷轧厂－11.15－彩涂线持平－价格提高121元_首秦2月成本预测附表1" xfId="14613" xr:uid="{2AF1D385-6800-4605-9935-DB8CEA6879B2}"/>
    <cellStyle name="_2008冷轧厂－11.15－彩涂线持平－价格提高121元_首秦2月成本预测附表1_0904矿业公司目标成本降低额测算03.27" xfId="14614" xr:uid="{BC6A62E7-7DA0-447F-9A7C-A080683E810E}"/>
    <cellStyle name="_2008冷轧厂－11.15－彩涂线持平－价格提高121元_首秦2月成本预测附表1_6月份目标成本表(颁发)090531" xfId="14615" xr:uid="{BA7772CE-CBDC-496F-A62C-0F68EAFFF545}"/>
    <cellStyle name="_2008冷轧厂－11.15－彩涂线持平－价格提高121元_首秦2月成本预测附表1_第三阶段攻关任务" xfId="14616" xr:uid="{38582672-ED2D-4D37-8FAA-72BBC2591A45}"/>
    <cellStyle name="_2008冷轧厂－11.15－彩涂线持平－价格提高121元_首秦2月成本预测附表1_首钢总公司关于颁发《首钢钢铁业2009年3月份目标成本安排》的通知" xfId="14617" xr:uid="{8F5EC17B-E16A-4784-85EF-E2EDC5CCAA42}"/>
    <cellStyle name="_2008冷轧厂－11.15－彩涂线持平－价格提高121元_首秦2月成本预测附表1_首钢总公司关于颁发《首钢钢铁业2009年3月份目标成本安排》的通知_2009年3月份矿业公司目标成本326" xfId="14618" xr:uid="{A217D5DA-B079-4AF5-8324-5324D17B31B1}"/>
    <cellStyle name="_2008冷轧厂－11.15－彩涂线持平－价格提高121元_首秦2月成本预测附表1_首钢总公司关于颁发《首钢钢铁业2009年3月份目标成本安排》的通知_6月份目标成本表(颁发)090531" xfId="14619" xr:uid="{FEF71F3D-FA1A-4396-9641-4013E7EEE649}"/>
    <cellStyle name="_2008冷轧厂－11.15－彩涂线持平－价格提高121元_首秦2月成本预测附表1_首钢总公司关于颁发《首钢钢铁业2009年3月份目标成本安排》的通知_第三阶段攻关任务" xfId="14620" xr:uid="{B3A7D092-C3CC-4E48-A9EF-7BC20D175AF8}"/>
    <cellStyle name="_2008冷轧厂－11.15－彩涂线持平－价格提高121元_铁前成本模板" xfId="14621" xr:uid="{5E2AAC1C-D543-4B28-B816-57CE70FD44CA}"/>
    <cellStyle name="_2008冷轧厂－11.15－彩涂线持平－价格提高121元_一季度收入、及调价测算" xfId="14622" xr:uid="{7FB5F305-DE34-44F3-82D3-E60760E409DC}"/>
    <cellStyle name="_2008冷轧厂－11.15－彩涂线持平－价格提高121元_一季度收入、及调价测算_6月份目标成本表(颁发)090531" xfId="14623" xr:uid="{4B07ADAB-E461-4E3A-AC35-0FED77FDBFF1}"/>
    <cellStyle name="_2008冷轧厂－11.15－彩涂线持平－价格提高121元_一季度收入、及调价测算_第三阶段攻关任务" xfId="14624" xr:uid="{F48D5CEB-922E-483B-BEBD-2D7063E3E49E}"/>
    <cellStyle name="_2008冷轧厂－11.15－彩涂线持平－价格提高121元_中板三月成本测算20090307" xfId="14625" xr:uid="{F913229E-7BAD-4B7F-BD1B-54132C34F6EC}"/>
    <cellStyle name="_2008冷轧厂－11.15－彩涂线持平－价格提高121元_子公司3月" xfId="14626" xr:uid="{9D16CF11-3C15-4837-923D-0C2FE3034F0C}"/>
    <cellStyle name="_2008冷轧厂－11.15－彩涂线持平－价格提高121元_子公司3月_第三阶段攻关任务" xfId="14627" xr:uid="{8957FCE0-0EC0-47D6-98E4-CF1F674D2488}"/>
    <cellStyle name="_2008年10月分析10.25－冷轧厂" xfId="14628" xr:uid="{C46A02FB-B69F-448B-8F34-3CED6A12ADBD}"/>
    <cellStyle name="_2008年10月分析10.25－冷轧厂_3月份计划附表(会后修改稿)" xfId="14629" xr:uid="{F40A4F9D-ABF5-4E1D-9795-4EDCF9AFA267}"/>
    <cellStyle name="_2008年10月分析10.25－冷轧厂_3月份计划附表(会后修改稿)_第三阶段攻关任务" xfId="14630" xr:uid="{36CAFCCD-3416-42CC-BB41-2BA3AFE5FAD8}"/>
    <cellStyle name="_2008年10月分析10.25－冷轧厂_3月份生产经营计划" xfId="14631" xr:uid="{474D4201-CAB6-41DC-9711-8B04D8206304}"/>
    <cellStyle name="_2008年10月分析10.25－冷轧厂_第三阶段攻关任务" xfId="14632" xr:uid="{9FBFBFCD-FE44-44AA-B560-248592C6E57B}"/>
    <cellStyle name="_2008年10月分析10.25－冷轧厂_建材处3-4月价格预测0319" xfId="14633" xr:uid="{31B486EE-FBFD-439A-9D8F-D17BE07E92BF}"/>
    <cellStyle name="_2008年10月分析10.25－冷轧厂_首钢集团2009年2月份增收节支确认情况" xfId="14634" xr:uid="{5F48ECA8-7AD9-49DA-93FE-61D949B2636E}"/>
    <cellStyle name="_2008年10月份利润完成情况表" xfId="14635" xr:uid="{1B09F648-162B-4CB4-B6A5-654B203BF742}"/>
    <cellStyle name="_2008年10月烧结矿成本报表" xfId="14636" xr:uid="{7EAF2C35-CEA2-433E-B9AF-B6399AAF7988}"/>
    <cellStyle name="_2008年10月烧结矿成本报表_10月球团产品成本表" xfId="14637" xr:uid="{C9FBF568-D4E1-4C66-9352-52B2FCA95060}"/>
    <cellStyle name="_2008年10月烧结矿成本报表_11月球团产品成本表" xfId="14638" xr:uid="{5C3A69EA-063E-469A-A03E-6BEDFBDB3FF3}"/>
    <cellStyle name="_2008年10月烧结矿成本报表_11月球团产品成本表_1" xfId="14639" xr:uid="{EAD4997F-EC09-4886-B524-F1DC94E78E16}"/>
    <cellStyle name="_2008年10月烧结矿成本报表_待摊 (自产)" xfId="14640" xr:uid="{2819B3C1-B9B6-47A6-A919-24174BAD550C}"/>
    <cellStyle name="_2008年10月烧结矿成本报表_待摊 (自产)_10月球团产品成本表" xfId="14641" xr:uid="{5BF3270B-51F4-4B39-983C-9FF8940EBC96}"/>
    <cellStyle name="_2008年10月烧结矿成本报表_待摊 (自产)_11月球团产品成本表" xfId="14642" xr:uid="{CDF90D07-9ED9-42D4-980B-4708ECBE1912}"/>
    <cellStyle name="_2008年10月烧结矿成本报表_待摊 (自产)_11月球团产品成本表_1" xfId="14643" xr:uid="{20E466AC-229E-42D6-A3B8-D30FA11FA10F}"/>
    <cellStyle name="_2008年10月烧结矿成本报表_球团工序" xfId="14644" xr:uid="{0072F7AC-0F59-471D-9085-5F47E2C6375D}"/>
    <cellStyle name="_2008年4月分析-5.20－报出" xfId="14645" xr:uid="{7C8AB2F9-E8BF-4DBD-A5E0-5F4D35352EBC}"/>
    <cellStyle name="_2008年4月分析-5.20－报出_007" xfId="14646" xr:uid="{58330013-576D-4AC8-9AB7-15C2D191BB65}"/>
    <cellStyle name="_2008年4月分析-5.20－报出_0904矿业公司目标成本降低额测算03.27" xfId="14647" xr:uid="{2E56FD13-0365-4298-8901-0B37A55DE93C}"/>
    <cellStyle name="_2008年4月分析-5.20－报出_09年4月炉料平衡" xfId="14648" xr:uid="{B3B454B5-47E8-4969-A189-CFC2D5840466}"/>
    <cellStyle name="_2008年4月分析-5.20－报出_09年4月炉料平衡_6月份目标成本表(颁发)090531" xfId="14649" xr:uid="{E3E02199-302C-43A5-A616-02D7C18E4601}"/>
    <cellStyle name="_2008年4月分析-5.20－报出_09年4月炉料平衡_第三阶段攻关任务" xfId="14650" xr:uid="{258F6C91-DB57-4E7A-A283-B5FD396FD805}"/>
    <cellStyle name="_2008年4月分析-5.20－报出_1月份影响利润因素测算报公司2-3(1)" xfId="14651" xr:uid="{6E7005D8-29F4-4B88-87D5-CBD67C4928E2}"/>
    <cellStyle name="_2008年4月分析-5.20－报出_2009年1月预计库存情况汇总表0115" xfId="14652" xr:uid="{F1F0A340-FF2F-4D2B-8485-4C3E7A57A0C1}"/>
    <cellStyle name="_2008年4月分析-5.20－报出_2009年1月预计库存情况汇总表0115_007" xfId="14653" xr:uid="{C2B9F2DA-29D0-4184-BEEA-9A88C48FF8EA}"/>
    <cellStyle name="_2008年4月分析-5.20－报出_2009年1月预计库存情况汇总表0115_0904矿业公司目标成本降低额测算03.27" xfId="14654" xr:uid="{E5A9A1E0-DA2F-42C8-96A2-7B3B755047BE}"/>
    <cellStyle name="_2008年4月分析-5.20－报出_2009年1月预计库存情况汇总表0115_3月份计划附表(会后修改稿)" xfId="14655" xr:uid="{99347488-EB89-427C-94CD-9AE21B9B2DB1}"/>
    <cellStyle name="_2008年4月分析-5.20－报出_2009年1月预计库存情况汇总表0115_3月份计划附表(会后修改稿)_第三阶段攻关任务" xfId="14656" xr:uid="{14206D35-3514-4495-9767-545CF5B17CE6}"/>
    <cellStyle name="_2008年4月分析-5.20－报出_2009年1月预计库存情况汇总表0115_3月份生产经营计划" xfId="14657" xr:uid="{7DBC9E9B-5242-4163-9D11-2B418D02572C}"/>
    <cellStyle name="_2008年4月分析-5.20－报出_2009年1月预计库存情况汇总表0115_6月份目标成本表(颁发)090531" xfId="14658" xr:uid="{450CF8B7-15D8-4D31-AF4C-9241F5A921CF}"/>
    <cellStyle name="_2008年4月分析-5.20－报出_2009年1月预计库存情况汇总表0115_第三阶段攻关任务" xfId="14659" xr:uid="{A8A87480-7C92-45F5-B78B-DC3AD6186BD7}"/>
    <cellStyle name="_2008年4月分析-5.20－报出_2009年1月预计库存情况汇总表0115_建材处3-4月价格预测0319" xfId="14660" xr:uid="{439CF6AB-713D-4FA4-BA42-733F4C57C8F0}"/>
    <cellStyle name="_2008年4月分析-5.20－报出_2009年1月预计库存情况汇总表0115_首钢集团2009年2月份增收节支确认情况" xfId="14661" xr:uid="{7D70954A-9955-45FA-8C98-E096E755CDBF}"/>
    <cellStyle name="_2008年4月分析-5.20－报出_2009年1月预计库存情况汇总表0115_首钢总公司关于颁发《首钢钢铁业2009年3月份目标成本安排》的通知" xfId="14662" xr:uid="{F3F21158-C449-4602-9EFE-6CB87679636C}"/>
    <cellStyle name="_2008年4月分析-5.20－报出_2009年1月预计库存情况汇总表0115_首钢总公司关于颁发《首钢钢铁业2009年3月份目标成本安排》的通知_2009年3月份矿业公司目标成本326" xfId="14663" xr:uid="{ED3CA296-518D-49DC-9494-A83A17B48321}"/>
    <cellStyle name="_2008年4月分析-5.20－报出_2009年1月预计库存情况汇总表0115_首钢总公司关于颁发《首钢钢铁业2009年3月份目标成本安排》的通知_6月份目标成本表(颁发)090531" xfId="14664" xr:uid="{2B803FBB-63D0-4191-9922-B44403F8912B}"/>
    <cellStyle name="_2008年4月分析-5.20－报出_2009年1月预计库存情况汇总表0115_首钢总公司关于颁发《首钢钢铁业2009年3月份目标成本安排》的通知_第三阶段攻关任务" xfId="14665" xr:uid="{605DE281-3DB9-4C7C-B965-ABB47C25187F}"/>
    <cellStyle name="_2008年4月分析-5.20－报出_2月份采购成本预测表" xfId="14666" xr:uid="{4A97E7A4-43EE-489E-A5F4-08DAA607A166}"/>
    <cellStyle name="_2008年4月分析-5.20－报出_3月份计划附表(会后修改稿)" xfId="14667" xr:uid="{DAB1B201-B90B-4E7E-9AB6-7C36CC5267B7}"/>
    <cellStyle name="_2008年4月分析-5.20－报出_3月份计划附表(会后修改稿)_第三阶段攻关任务" xfId="14668" xr:uid="{6ADD2E11-C1AE-48AD-946C-CB22C4EF95CE}"/>
    <cellStyle name="_2008年4月分析-5.20－报出_3月份生产经营计划" xfId="14669" xr:uid="{029B6359-F996-4EA4-A313-97EF54ECF6BD}"/>
    <cellStyle name="_2008年4月分析-5.20－报出_6月份目标成本表(颁发)090531" xfId="14670" xr:uid="{77B6385C-2224-42B9-804C-212600465348}"/>
    <cellStyle name="_2008年4月分析-5.20－报出_第三阶段攻关任务" xfId="14671" xr:uid="{C0E5F0AB-DD3C-40E3-AF97-4BF0E7E4ABC5}"/>
    <cellStyle name="_2008年4月分析-5.20－报出_供应公司2月份预测" xfId="14672" xr:uid="{E204FF61-BF24-40B0-83E4-F0F3AE7E6A5F}"/>
    <cellStyle name="_2008年4月分析-5.20－报出_建材处3-4月价格预测0319" xfId="14673" xr:uid="{48D5E573-C5EA-40B2-B2B5-1A572A9EAB2F}"/>
    <cellStyle name="_2008年4月分析-5.20－报出_首钢集团2009年2月份增收节支确认情况" xfId="14674" xr:uid="{36CE5A94-0006-40A1-93C8-5D91F8DDF6E8}"/>
    <cellStyle name="_2008年4月分析-5.20－报出_首钢总公司关于颁发《首钢钢铁业2009年3月份目标成本安排》的通知" xfId="14675" xr:uid="{30833873-999A-47FB-87C4-49564CE6B0B0}"/>
    <cellStyle name="_2008年4月分析-5.20－报出_首钢总公司关于颁发《首钢钢铁业2009年3月份目标成本安排》的通知_2009年3月份矿业公司目标成本326" xfId="14676" xr:uid="{BF36DA8B-2764-40B1-92F0-4DAF2CF98172}"/>
    <cellStyle name="_2008年4月分析-5.20－报出_首钢总公司关于颁发《首钢钢铁业2009年3月份目标成本安排》的通知_6月份目标成本表(颁发)090531" xfId="14677" xr:uid="{CC753E70-EE86-4987-8367-4802CA4289D1}"/>
    <cellStyle name="_2008年4月分析-5.20－报出_首钢总公司关于颁发《首钢钢铁业2009年3月份目标成本安排》的通知_第三阶段攻关任务" xfId="14678" xr:uid="{79DDB1F4-3E13-4EAA-848A-8354F88AE639}"/>
    <cellStyle name="_2008年4月分析-5.20－报出_一季度收入、及调价测算" xfId="14679" xr:uid="{B7A747FE-05D9-4D8B-8AA9-2ED509F70FD5}"/>
    <cellStyle name="_2008年4月分析-5.20－报出_一季度收入、及调价测算_6月份目标成本表(颁发)090531" xfId="14680" xr:uid="{A8EC145C-35EC-47D6-A6B7-E793B46AFD3D}"/>
    <cellStyle name="_2008年4月分析-5.20－报出_一季度收入、及调价测算_第三阶段攻关任务" xfId="14681" xr:uid="{7632F0A5-7684-4E6B-A570-BCD662FF6104}"/>
    <cellStyle name="_2008年4月分析-5.20－报出_中板三月成本测算20090307" xfId="14682" xr:uid="{9EA444B0-D193-4C72-BE7F-A3F473779743}"/>
    <cellStyle name="_2008年4月分析-5.20－报出_子公司3月" xfId="14683" xr:uid="{BAB45600-095C-422C-9800-31BE07468723}"/>
    <cellStyle name="_2008年4月分析-5.20－报出_子公司3月_第三阶段攻关任务" xfId="14684" xr:uid="{734E88A2-7908-4671-9AED-B3FF364F9763}"/>
    <cellStyle name="_2008年迁钢1季度分月计划" xfId="14685" xr:uid="{C33D27B3-668C-4023-A5D3-38E62FFBD266}"/>
    <cellStyle name="_2008年迁钢1季度分月计划1.8" xfId="14686" xr:uid="{6C827698-F249-4751-B853-9FE17C85F62A}"/>
    <cellStyle name="_2008年迁钢2季度分月计划" xfId="14687" xr:uid="{8C6D5AAB-28DF-4BA3-A367-E78A66FE23CB}"/>
    <cellStyle name="_2008年迁钢3季度分月计划6.23" xfId="14688" xr:uid="{D20DB3AF-2C1E-4DEC-981F-3700380B87A1}"/>
    <cellStyle name="_2008三季度特部-6.22－成本有变化" xfId="14689" xr:uid="{D66CFDE0-FA0D-4F58-AE8C-8C2B77609C7D}"/>
    <cellStyle name="_2008三季度特部-6.22－成本有变化_007" xfId="14690" xr:uid="{2DE5086C-3DBD-45DF-9CF2-F8944CB78C68}"/>
    <cellStyle name="_2008三季度特部-6.22－成本有变化_0904矿业公司目标成本降低额测算03.27" xfId="14691" xr:uid="{5C363164-9F22-4F37-B4DE-8AB73795B3BB}"/>
    <cellStyle name="_2008三季度特部-6.22－成本有变化_09年4月炉料平衡" xfId="14692" xr:uid="{98066A7A-581E-49BB-81D0-C231AA662B42}"/>
    <cellStyle name="_2008三季度特部-6.22－成本有变化_09年4月炉料平衡_6月份目标成本表(颁发)090531" xfId="14693" xr:uid="{DD2EFFB5-1E97-4DB7-9B5B-C88ABDADE5F4}"/>
    <cellStyle name="_2008三季度特部-6.22－成本有变化_09年4月炉料平衡_第三阶段攻关任务" xfId="14694" xr:uid="{4F192C74-6E6A-4F0F-B34B-71C7E449955A}"/>
    <cellStyle name="_2008三季度特部-6.22－成本有变化_1月份影响利润因素测算报公司2-3(1)" xfId="14695" xr:uid="{6DCBA727-0A41-44F2-B683-A4A4F16B705C}"/>
    <cellStyle name="_2008三季度特部-6.22－成本有变化_2009年1月预计库存情况汇总表0115" xfId="14696" xr:uid="{025DCE5A-DE7A-485B-9427-519B7950316B}"/>
    <cellStyle name="_2008三季度特部-6.22－成本有变化_2009年1月预计库存情况汇总表0115_007" xfId="14697" xr:uid="{C0F84004-4929-498D-B404-E55875BD7C6E}"/>
    <cellStyle name="_2008三季度特部-6.22－成本有变化_2009年1月预计库存情况汇总表0115_0904矿业公司目标成本降低额测算03.27" xfId="14698" xr:uid="{A221D694-DAC4-4E9F-A423-921C466C424C}"/>
    <cellStyle name="_2008三季度特部-6.22－成本有变化_2009年1月预计库存情况汇总表0115_3月份计划附表(会后修改稿)" xfId="14699" xr:uid="{A4753989-532E-438C-8215-252D03E1E962}"/>
    <cellStyle name="_2008三季度特部-6.22－成本有变化_2009年1月预计库存情况汇总表0115_3月份计划附表(会后修改稿)_第三阶段攻关任务" xfId="14700" xr:uid="{9FC46660-E0B6-4FB8-B927-A1029DBDE9C2}"/>
    <cellStyle name="_2008三季度特部-6.22－成本有变化_2009年1月预计库存情况汇总表0115_3月份生产经营计划" xfId="14701" xr:uid="{897F1175-4437-49A3-AAA2-A523FA4C9ECF}"/>
    <cellStyle name="_2008三季度特部-6.22－成本有变化_2009年1月预计库存情况汇总表0115_6月份目标成本表(颁发)090531" xfId="14702" xr:uid="{827EB746-909D-49B4-90A3-9D82666FDF60}"/>
    <cellStyle name="_2008三季度特部-6.22－成本有变化_2009年1月预计库存情况汇总表0115_第三阶段攻关任务" xfId="14703" xr:uid="{62DA252A-7567-43B4-9A4E-1FFE5FF24A91}"/>
    <cellStyle name="_2008三季度特部-6.22－成本有变化_2009年1月预计库存情况汇总表0115_建材处3-4月价格预测0319" xfId="14704" xr:uid="{0CCDA33C-A760-46B9-9913-3227E0299B57}"/>
    <cellStyle name="_2008三季度特部-6.22－成本有变化_2009年1月预计库存情况汇总表0115_首钢集团2009年2月份增收节支确认情况" xfId="14705" xr:uid="{9D0458AF-D0B1-485C-8221-54F1241551E3}"/>
    <cellStyle name="_2008三季度特部-6.22－成本有变化_2009年1月预计库存情况汇总表0115_首钢总公司关于颁发《首钢钢铁业2009年3月份目标成本安排》的通知" xfId="14706" xr:uid="{EDFF23D7-B29E-4ED6-B83F-8290199263DA}"/>
    <cellStyle name="_2008三季度特部-6.22－成本有变化_2009年1月预计库存情况汇总表0115_首钢总公司关于颁发《首钢钢铁业2009年3月份目标成本安排》的通知_2009年3月份矿业公司目标成本326" xfId="14707" xr:uid="{7BB7AEC5-556E-4050-9684-6AF41B308E65}"/>
    <cellStyle name="_2008三季度特部-6.22－成本有变化_2009年1月预计库存情况汇总表0115_首钢总公司关于颁发《首钢钢铁业2009年3月份目标成本安排》的通知_6月份目标成本表(颁发)090531" xfId="14708" xr:uid="{FBCAD1EB-5AB4-49C2-AD61-41AE0003618F}"/>
    <cellStyle name="_2008三季度特部-6.22－成本有变化_2009年1月预计库存情况汇总表0115_首钢总公司关于颁发《首钢钢铁业2009年3月份目标成本安排》的通知_第三阶段攻关任务" xfId="14709" xr:uid="{D790918A-27EC-4B4F-8DB5-040D3D61C0E7}"/>
    <cellStyle name="_2008三季度特部-6.22－成本有变化_2月份采购成本预测表" xfId="14710" xr:uid="{17F29777-1F38-4948-8F79-64A87481DE8F}"/>
    <cellStyle name="_2008三季度特部-6.22－成本有变化_3月份计划附表(会后修改稿)" xfId="14711" xr:uid="{6DA81B37-C5BA-4473-9280-28F6E7860EC3}"/>
    <cellStyle name="_2008三季度特部-6.22－成本有变化_3月份计划附表(会后修改稿)_第三阶段攻关任务" xfId="14712" xr:uid="{6F035A74-5202-4B31-8EAC-5ECFC9872134}"/>
    <cellStyle name="_2008三季度特部-6.22－成本有变化_3月份生产经营计划" xfId="14713" xr:uid="{1815C63A-07B8-4971-9177-4654933C9A3A}"/>
    <cellStyle name="_2008三季度特部-6.22－成本有变化_6月份目标成本表(颁发)090531" xfId="14714" xr:uid="{D117D925-FE72-45D7-B2C2-0E662EC31DDE}"/>
    <cellStyle name="_2008三季度特部-6.22－成本有变化_第三阶段攻关任务" xfId="14715" xr:uid="{8579D3CD-6429-4988-9479-81BC1E429196}"/>
    <cellStyle name="_2008三季度特部-6.22－成本有变化_供应公司2月份预测" xfId="14716" xr:uid="{640B9736-D0EE-4013-A5E0-969C5D8D4ADB}"/>
    <cellStyle name="_2008三季度特部-6.22－成本有变化_建材处3-4月价格预测0319" xfId="14717" xr:uid="{CC783BC8-05D5-40EC-B561-78A67B6A25B7}"/>
    <cellStyle name="_2008三季度特部-6.22－成本有变化_首钢集团2009年2月份增收节支确认情况" xfId="14718" xr:uid="{D7A2A79C-AC0B-43C0-9281-B31B3467B1C3}"/>
    <cellStyle name="_2008三季度特部-6.22－成本有变化_首钢总公司关于颁发《首钢钢铁业2009年3月份目标成本安排》的通知" xfId="14719" xr:uid="{D1C3BD67-F810-407D-8AAB-9C04C3A848CF}"/>
    <cellStyle name="_2008三季度特部-6.22－成本有变化_首钢总公司关于颁发《首钢钢铁业2009年3月份目标成本安排》的通知_2009年3月份矿业公司目标成本326" xfId="14720" xr:uid="{238A4D9B-20DA-4F81-8568-A7F25D4B6098}"/>
    <cellStyle name="_2008三季度特部-6.22－成本有变化_首钢总公司关于颁发《首钢钢铁业2009年3月份目标成本安排》的通知_6月份目标成本表(颁发)090531" xfId="14721" xr:uid="{9BB04B1E-8911-4A53-90CC-3F32E32AA608}"/>
    <cellStyle name="_2008三季度特部-6.22－成本有变化_首钢总公司关于颁发《首钢钢铁业2009年3月份目标成本安排》的通知_第三阶段攻关任务" xfId="14722" xr:uid="{83CC7FEC-2EBD-406C-BCF9-DDF7DEFE4DA4}"/>
    <cellStyle name="_2008三季度特部-6.22－成本有变化_一季度收入、及调价测算" xfId="14723" xr:uid="{E007851E-5180-45B0-A150-921301708236}"/>
    <cellStyle name="_2008三季度特部-6.22－成本有变化_一季度收入、及调价测算_6月份目标成本表(颁发)090531" xfId="14724" xr:uid="{DA9BC270-A5E7-4B92-AEAB-D526AA228EF1}"/>
    <cellStyle name="_2008三季度特部-6.22－成本有变化_一季度收入、及调价测算_第三阶段攻关任务" xfId="14725" xr:uid="{D232FBA1-7128-4F4D-B24D-CDC0230874B3}"/>
    <cellStyle name="_2008三季度特部-6.22－成本有变化_中板三月成本测算20090307" xfId="14726" xr:uid="{58A36AC2-8C90-4E43-AE19-977BC69F0B56}"/>
    <cellStyle name="_2008三季度特部-6.22－成本有变化_子公司3月" xfId="14727" xr:uid="{01E73065-424B-4FEC-B48E-3C390E199D03}"/>
    <cellStyle name="_2008三季度特部-6.22－成本有变化_子公司3月_第三阶段攻关任务" xfId="14728" xr:uid="{45F77A95-614F-45AD-8FC9-9373DBCD2D50}"/>
    <cellStyle name="_2009年板卷标准成本预算" xfId="14729" xr:uid="{97FD1426-9ACC-45AF-864F-CF1F8C284F7C}"/>
    <cellStyle name="_2009年成本计划（调返矿价12.13）" xfId="14730" xr:uid="{06830610-E3AE-4B8E-91C8-57DE999C2DF2}"/>
    <cellStyle name="_2009年降1%完成情况" xfId="14731" xr:uid="{901AB30A-93F2-44A6-8C46-151FF3330972}"/>
    <cellStyle name="_2009年矿业公司投资项目表（按单位）" xfId="14732" xr:uid="{55BA1A96-3C6E-4A4A-9295-67F873C7F8CE}"/>
    <cellStyle name="_2009年矿业公司投资项目表（按单位） 2" xfId="14733" xr:uid="{122BAA5E-DD7E-4DE1-8757-878ACCBAE22F}"/>
    <cellStyle name="_2009年矿业公司投资项目表（按单位）_14年预算降本措施11.22" xfId="14734" xr:uid="{EE43FC41-3475-46F1-8B16-C55F8A7A6413}"/>
    <cellStyle name="_2009年矿业公司投资项目表（按单位）_14年预算降本措施11.22 2" xfId="14735" xr:uid="{7E801B26-ACFC-44E9-8B1D-5C16F4B35B16}"/>
    <cellStyle name="_2009年矿业公司投资项目表（按单位）_14年预算降本措施11.22_动力部" xfId="14736" xr:uid="{E54BE709-5096-4AF3-B681-C2E254CA13A9}"/>
    <cellStyle name="_2009年矿业公司投资项目表（按单位）_2012厂各单位预算指标分解2012.3.31" xfId="14737" xr:uid="{E68794C4-BEDB-4C39-B45E-2CAC33A6DED5}"/>
    <cellStyle name="_2009年矿业公司投资项目表（按单位）_2013" xfId="14738" xr:uid="{476521B6-206C-431D-8C7E-E968AFE49F5C}"/>
    <cellStyle name="_2009年矿业公司投资项目表（按单位）_2013 2" xfId="14739" xr:uid="{130742B4-2D80-4E2D-B205-BEFB90A9BF30}"/>
    <cellStyle name="_2009年矿业公司投资项目表（按单位）_2013_动力部" xfId="14740" xr:uid="{48081C22-DB08-40DC-8D8A-20F764E20EF1}"/>
    <cellStyle name="_2009年矿业公司投资项目表（按单位）_2013年复合材料厂产能及降本预算10" xfId="14741" xr:uid="{749FBADC-61B2-42A5-B444-9D38A7C53A32}"/>
    <cellStyle name="_2009年矿业公司投资项目表（按单位）_2013年复合材料厂产能及降本预算10.29" xfId="14742" xr:uid="{5BA23C9C-B212-4A8F-83F2-E0129407BD98}"/>
    <cellStyle name="_2009年矿业公司投资项目表（按单位）_2013年尖山铁矿全面预算11.07" xfId="14743" xr:uid="{D24999B4-D13F-4BD5-8012-42A34ACD77D6}"/>
    <cellStyle name="_2009年矿业公司投资项目表（按单位）_2014产能预算初稿12.18.1(1)" xfId="14744" xr:uid="{04C19744-3042-473A-BAFD-2650E45572BD}"/>
    <cellStyle name="_2009年矿业公司投资项目表（按单位）_2014年产量预算初稿" xfId="14745" xr:uid="{D13D6086-3B60-4646-A136-92A998AD8177}"/>
    <cellStyle name="_2009年矿业公司投资项目表（按单位）_2014年产量预算初稿 2" xfId="14746" xr:uid="{302C473B-78DD-4674-A6AE-3B5E06CD0D4F}"/>
    <cellStyle name="_2009年矿业公司投资项目表（按单位）_2014年产量预算初稿_动力部" xfId="14747" xr:uid="{24BC7183-D310-4519-B718-E9CA094819FB}"/>
    <cellStyle name="_2009年矿业公司投资项目表（按单位）_复合材料厂2013年预算12.12 (version 1)" xfId="14748" xr:uid="{CFEF9C4D-BFC8-4725-AA26-315AC74B8636}"/>
    <cellStyle name="_2009年矿业公司投资项目表（按单位）_复合材料厂2013年预算12.12 (version 1) 2" xfId="14749" xr:uid="{CC6901B5-FD30-4515-8515-045DD4FD01A9}"/>
    <cellStyle name="_2009年矿业公司投资项目表（按单位）_复合材料厂2013年预算12.12 (version 1)_动力部" xfId="14750" xr:uid="{E5CD9E9F-BD1F-4127-A966-8F0DF5308834}"/>
    <cellStyle name="_2009年矿业公司投资项目表（按单位）_复合材料厂2013年预算13.02.20" xfId="14751" xr:uid="{C6F816B8-1D2B-42CD-88D1-CFF98951846A}"/>
    <cellStyle name="_2009年矿业公司投资项目表（按单位）_复合材料厂2013年预算13.02.20 2" xfId="14752" xr:uid="{F880393F-A44B-40AC-AEA5-DBFC6BC4923E}"/>
    <cellStyle name="_2009年矿业公司投资项目表（按单位）_复合材料厂2013年预算13.02.20_动力部" xfId="14753" xr:uid="{AC12CF53-3EE1-4431-9EF4-7FBB7679689F}"/>
    <cellStyle name="_2009年矿业公司投资项目表（按单位）_复合材料厂2014年预算1.15" xfId="14754" xr:uid="{E9014437-9FB0-4AEE-9765-7BC142608191}"/>
    <cellStyle name="_2009年矿业公司投资项目表（按单位）_复合材料厂2014年预算1.15 2" xfId="14755" xr:uid="{EC609C43-7B52-40DA-8D73-8937FE68C556}"/>
    <cellStyle name="_2009年矿业公司投资项目表（按单位）_复合材料厂2014年预算1.15_动力部" xfId="14756" xr:uid="{CB1FE59B-3E08-4D35-B777-8E9E6DFF10EB}"/>
    <cellStyle name="_2009年矿业公司投资项目表（按单位）_复件 复合材料厂2014年预算12.13" xfId="14757" xr:uid="{70F089E5-B798-47A5-8870-EE8953E73021}"/>
    <cellStyle name="_2009年矿业公司投资项目表（按单位）_复件 复合材料厂2014年预算12.13 2" xfId="14758" xr:uid="{797ACDE8-FAEC-4850-A332-239DE3237D42}"/>
    <cellStyle name="_2009年矿业公司投资项目表（按单位）_复件 复合材料厂2014年预算12.13_动力部" xfId="14759" xr:uid="{6E498400-BEA0-45E6-969A-5CC007C3090F}"/>
    <cellStyle name="_2009年矿业公司投资项目表（按单位）_副本2013年复合材料厂产能及降本预算10.25" xfId="14760" xr:uid="{252EFF97-85BE-4E31-AC83-8A8C08E755A4}"/>
    <cellStyle name="_2009年矿业公司投资项目表（按单位）_副本矿业公司汇总及汇报初稿（复合材料厂）" xfId="14761" xr:uid="{C9CA3352-6354-45E7-AD59-9DADDC2EA14A}"/>
    <cellStyle name="_2009年矿业公司投资项目表（按单位）_副本太钢复合材料厂2013修理费预算12.13" xfId="14762" xr:uid="{BC347E73-61D0-4752-A2A1-E9FCFAA79DD8}"/>
    <cellStyle name="_2009年矿业公司投资项目表（按单位）_副本太钢复合材料厂2014修理费预算及分解10.17(修改后)" xfId="14763" xr:uid="{3D659BFE-0A5B-4302-A728-79931AB88DAD}"/>
    <cellStyle name="_2009年矿业公司投资项目表（按单位）_尖山2014年全面预算稿" xfId="14764" xr:uid="{8D12BB68-F833-49ED-95B0-01719040858B}"/>
    <cellStyle name="_2009年矿业公司投资项目表（按单位）_尖山2015年全面预算稿10.20" xfId="14765" xr:uid="{F799C567-8DD9-4D10-BA1E-5CBD8B5FF33D}"/>
    <cellStyle name="_2009年矿业公司投资项目表（按单位）_上报复合材料厂2013年预算10.20" xfId="14766" xr:uid="{79C02762-3FF2-4296-B865-8188D64C3526}"/>
    <cellStyle name="_2009年矿业公司投资项目表（按单位）_上报复合材料厂2013年预算10.20 2" xfId="14767" xr:uid="{3E46D7A4-AA61-423D-A560-D60F99CC26A4}"/>
    <cellStyle name="_2009年矿业公司投资项目表（按单位）_上报复合材料厂2013年预算10.20_动力部" xfId="14768" xr:uid="{6F1D2200-03D2-4ADD-9E4F-F2FACF35C114}"/>
    <cellStyle name="_2009年矿业公司投资项目表（按单位）_太钢复合材料厂2013修理费预算10.27改" xfId="14769" xr:uid="{197B477A-943B-491A-8810-E385855C9516}"/>
    <cellStyle name="_2009年提供责任制考核指标提供090306" xfId="14770" xr:uid="{48BD0FAF-14B9-4175-B77A-B05D2F5EC301}"/>
    <cellStyle name="_2009年增收节支措施（第一批）" xfId="14771" xr:uid="{EC4F8DE1-92DB-4884-9E5B-7B7492B43007}"/>
    <cellStyle name="_2009-顺义-12.28－原料价格变了" xfId="14772" xr:uid="{B6605DC8-78D4-458C-B673-8AAB64B68AF2}"/>
    <cellStyle name="_2009-顺义-12.28－原料价格变了_10月球团产品成本表" xfId="14773" xr:uid="{D024E37D-1945-4494-AC2F-4DADA306185C}"/>
    <cellStyle name="_2009-顺义-12.28－原料价格变了_11月球团产品成本表" xfId="14774" xr:uid="{3C37F12D-ED6C-4948-BCC1-D3CBFFF3AB9D}"/>
    <cellStyle name="_2009-顺义-12.28－原料价格变了_11月球团产品成本表_1" xfId="14775" xr:uid="{97732AA2-E6F5-41AA-9CC0-7601907CDF21}"/>
    <cellStyle name="_2009-顺义-12.28－原料价格变了_待摊 (自产)" xfId="14776" xr:uid="{6AD354BC-0336-474C-A807-D12AB1542A54}"/>
    <cellStyle name="_2009-顺义-12.28－原料价格变了_待摊 (自产)_10月球团产品成本表" xfId="14777" xr:uid="{A0BC750D-F6F1-4DD2-990C-72C688D5A378}"/>
    <cellStyle name="_2009-顺义-12.28－原料价格变了_待摊 (自产)_11月球团产品成本表" xfId="14778" xr:uid="{F457668C-06DD-4FD1-B7F1-729B413D8CB5}"/>
    <cellStyle name="_2009-顺义-12.28－原料价格变了_待摊 (自产)_11月球团产品成本表_1" xfId="14779" xr:uid="{744F3268-4193-43C0-867F-EEBE1F18D442}"/>
    <cellStyle name="_2009-顺义-12.28－原料价格变了_球团工序" xfId="14780" xr:uid="{2ADA828F-18F5-4432-89D9-2B3C0CE86BDF}"/>
    <cellStyle name="_2009特部-11.27" xfId="14781" xr:uid="{114891F8-DE1B-4E9D-88F9-A09D7B4999EA}"/>
    <cellStyle name="_2009特部-11.27_3月份计划附表(会后修改稿)" xfId="14782" xr:uid="{0FAA3AB1-E546-48C6-976A-E6F1F3195CA8}"/>
    <cellStyle name="_2009特部-11.27_3月份计划附表(会后修改稿)_第三阶段攻关任务" xfId="14783" xr:uid="{DAD60B05-52CC-4065-809A-A2FD5A39EEE2}"/>
    <cellStyle name="_2009特部-11.27_3月份生产经营计划" xfId="14784" xr:uid="{0C2DC856-4C96-4388-9CC3-3433532E868C}"/>
    <cellStyle name="_2009特部-11.27_第三阶段攻关任务" xfId="14785" xr:uid="{F1F806AE-76CB-44A9-8AF0-B6FBC245B84B}"/>
    <cellStyle name="_2009特部-11.27_首钢集团2009年2月份增收节支确认情况" xfId="14786" xr:uid="{5F9C66E3-0374-4C6F-8766-27EACD83ABCD}"/>
    <cellStyle name="_20100326高清市院遂宁检察院1080P配置清单26日改" xfId="14787" xr:uid="{BA388C2F-5B11-4036-9211-597EDF2AE0F2}"/>
    <cellStyle name="_20100326高清市院遂宁检察院1080P配置清单26日改 2" xfId="14788" xr:uid="{2B5D26A5-E402-413C-98D3-D5B7C627D77A}"/>
    <cellStyle name="_2011.1.13" xfId="14789" xr:uid="{AA62AB35-E44E-4C61-881C-67E17DCA7A5D}"/>
    <cellStyle name="_2011.1.13 2" xfId="14790" xr:uid="{A9A4BD1A-EE6D-4BFF-B70C-1CCA6B865328}"/>
    <cellStyle name="_2011.1.13_2014年工艺类消耗指标统计" xfId="14791" xr:uid="{9C05D951-0080-448E-853D-C639CD830868}"/>
    <cellStyle name="_2011.1.13_2014年工艺类消耗指标统计_工艺科2017年全面预算20161010" xfId="14792" xr:uid="{EB8AA00A-8033-4D9E-A679-3471BDDD57EA}"/>
    <cellStyle name="_2011.1.13_尖山2014年全面预算稿" xfId="14793" xr:uid="{C7173D23-58B4-4F58-87C4-62C8E88DFF7F}"/>
    <cellStyle name="_2011.1.13_尖山2015年全面预算稿10.20" xfId="14794" xr:uid="{ABCB6700-58C6-4A51-A155-0E793BBB2435}"/>
    <cellStyle name="_2011年设备投资框架计划（初稿）" xfId="14795" xr:uid="{167FB350-1320-427A-8C74-948ECFC73C1D}"/>
    <cellStyle name="_2011年设备投资框架计划（初稿） 2" xfId="14796" xr:uid="{55DB93B8-6015-4683-B266-426BED386487}"/>
    <cellStyle name="_2011年设备投资框架计划（初稿）_2012厂各单位预算指标分解2012.3.31" xfId="14797" xr:uid="{DFF8A9D5-F1DB-434C-B3BF-42DCA80C2CBD}"/>
    <cellStyle name="_2011年设备投资框架计划（初稿）_2012厂内部预算指标下达(2)2.20" xfId="14798" xr:uid="{35BB1F2D-0EB2-4DA2-95E9-64E26A655322}"/>
    <cellStyle name="_2011年设备投资框架计划（初稿）_2013年复合材料厂产能及降本预算10" xfId="14799" xr:uid="{4E1DFB75-732A-4A17-9F29-CC026E03ED97}"/>
    <cellStyle name="_2011年设备投资框架计划（初稿）_2013年复合材料厂产能及降本预算10 2" xfId="14800" xr:uid="{9AB9A02C-CD06-4A45-BF39-E6FBB3D70218}"/>
    <cellStyle name="_2011年设备投资框架计划（初稿）_2013年复合材料厂产能及降本预算10_动力部" xfId="14801" xr:uid="{C720A860-3DBB-47AA-BA05-F40B0464D5AE}"/>
    <cellStyle name="_2011年设备投资框架计划（初稿）_2013年尖山铁矿全面预算11.07" xfId="14802" xr:uid="{82772B8A-A512-497C-8099-026AE32A1686}"/>
    <cellStyle name="_2011年设备投资框架计划（初稿）_复合2015年全面预算稿10.29" xfId="14803" xr:uid="{FDC21102-C12D-4E5C-964F-5D97C4C1BD8F}"/>
    <cellStyle name="_2011年设备投资框架计划（初稿）_复合2015年全面预算稿10.29 2" xfId="14804" xr:uid="{801393EB-CE09-4529-A1F0-49E020DD639F}"/>
    <cellStyle name="_2011年设备投资框架计划（初稿）_复合2015年全面预算稿10.29_动力部" xfId="14805" xr:uid="{903EF982-CF46-4D6D-AECB-AFB8E08C4274}"/>
    <cellStyle name="_2011年设备投资框架计划（初稿）_复合材料厂2013年预算12.12 (version 1)" xfId="14806" xr:uid="{CE63F97A-0225-48B5-8496-B7DE9B6BEE7B}"/>
    <cellStyle name="_2011年设备投资框架计划（初稿）_复合材料厂2013年预算12.12 (version 1) 2" xfId="14807" xr:uid="{1F6D5AF1-A1F8-442D-8AB4-492C71D69F8E}"/>
    <cellStyle name="_2011年设备投资框架计划（初稿）_复合材料厂2013年预算12.12 (version 1)_动力部" xfId="14808" xr:uid="{5FED7E69-FF81-49F0-8C6B-018BFD9BBAC8}"/>
    <cellStyle name="_2011年设备投资框架计划（初稿）_复合材料厂2013年预算13.02.20" xfId="14809" xr:uid="{E2DCAD41-707F-4DC3-824A-BE8AC0547293}"/>
    <cellStyle name="_2011年设备投资框架计划（初稿）_复合材料厂2013年预算13.02.20 2" xfId="14810" xr:uid="{C546B295-0B40-4B43-B61C-9325B7F618FD}"/>
    <cellStyle name="_2011年设备投资框架计划（初稿）_复合材料厂2013年预算13.02.20_动力部" xfId="14811" xr:uid="{B5F03833-F153-4351-AF78-0C4E9CF39B24}"/>
    <cellStyle name="_2011年设备投资框架计划（初稿）_复件 复合材料厂2014年预算12.13" xfId="14812" xr:uid="{B48CD77A-FBEB-49E4-A86C-0DE4173A2094}"/>
    <cellStyle name="_2011年设备投资框架计划（初稿）_复件 复合材料厂2014年预算12.13 2" xfId="14813" xr:uid="{53EE7016-8633-43A7-81D6-712A8DF6F49F}"/>
    <cellStyle name="_2011年设备投资框架计划（初稿）_复件 复合材料厂2014年预算12.13_动力部" xfId="14814" xr:uid="{B0E3BF32-A773-4B92-9237-A84F31409D19}"/>
    <cellStyle name="_2011年设备投资框架计划（初稿）_副本矿业公司汇总及汇报初稿（复合材料厂）" xfId="14815" xr:uid="{1CF8971F-0EE1-4101-9D27-73505F5EF7A2}"/>
    <cellStyle name="_2011年设备投资框架计划（初稿）_副本太钢复合材料厂2013修理费预算12.13" xfId="14816" xr:uid="{675AA036-C20E-4693-9AAB-3FF3D89ED87D}"/>
    <cellStyle name="_2011年设备投资框架计划（初稿）_副本太钢复合材料厂2014修理费预算及分解10.17(修改后)" xfId="14817" xr:uid="{BA031B49-6BF1-42C8-8D54-99A09A1FF3EE}"/>
    <cellStyle name="_2011年设备投资框架计划（初稿）_尖山2014年全面预算稿" xfId="14818" xr:uid="{38C840B4-5320-4AA0-B46B-F87FC81E281E}"/>
    <cellStyle name="_2011年设备投资框架计划（初稿）_尖山2015年全面预算稿10.20" xfId="14819" xr:uid="{3B75CFF9-9CE5-49F7-AB16-44F5F6DB1904}"/>
    <cellStyle name="_2011年设备投资框架计划（初稿）_上报复合材料厂2013年预算10.20" xfId="14820" xr:uid="{AFD332AE-3462-45FB-BA03-D1D4D64B6D75}"/>
    <cellStyle name="_2011年设备投资框架计划（初稿）_上报复合材料厂2013年预算10.20 2" xfId="14821" xr:uid="{AF3BAA3F-7173-4E31-A6DC-8160118A054E}"/>
    <cellStyle name="_2011年设备投资框架计划（初稿）_上报复合材料厂2013年预算10.20_动力部" xfId="14822" xr:uid="{D712D17A-B772-4866-9C30-EC49D12F0F1F}"/>
    <cellStyle name="_2011年设备投资框架计划（初稿）_太钢复合材料厂2013修理费预算10.27改" xfId="14823" xr:uid="{DF4C4474-9965-4B50-907E-8778CCB774EC}"/>
    <cellStyle name="_201210" xfId="9364" xr:uid="{2F691D3F-7272-4385-92AD-F18854386D1F}"/>
    <cellStyle name="_2014降费用2014.1.2" xfId="14824" xr:uid="{A3968591-5F96-454C-824F-74060CC00A20}"/>
    <cellStyle name="_2014年12月成本报表" xfId="14825" xr:uid="{A836DE66-B732-494F-9C54-82FCCADF4B80}"/>
    <cellStyle name="_2014年6月成本报表" xfId="14826" xr:uid="{E056EF2E-F75C-4CBE-BAC2-C3CB6D71C998}"/>
    <cellStyle name="_2014年7月成本报表" xfId="14827" xr:uid="{E9392AF7-C298-4542-8E5B-035AC153B858}"/>
    <cellStyle name="_2014年8月成本报表" xfId="14828" xr:uid="{218FBA14-54B5-4812-BDF8-9B6F45431A6E}"/>
    <cellStyle name="_2014年成本信息统计" xfId="14829" xr:uid="{59D9F3AA-A7DE-4098-8974-FE58AF7E114B}"/>
    <cellStyle name="_2014年尖山成本预算（报365万吨-不含胶带)11.4" xfId="14830" xr:uid="{8AB8CC2A-439E-478F-97CD-ADD2C0B0C149}"/>
    <cellStyle name="_2014外协费用2014.1.8" xfId="14831" xr:uid="{51461E14-8036-457D-A5A3-F9D6671EB87F}"/>
    <cellStyle name="_2016年9月成本报表" xfId="14832" xr:uid="{4C4C6FFB-7567-40EC-AC34-3C5531435DE1}"/>
    <cellStyle name="_2016年成本信息统计10地xxx" xfId="14833" xr:uid="{63BC327B-12BE-4EC0-90A6-7D1CA1349A0F}"/>
    <cellStyle name="_2016年水电锅炉区报表" xfId="14834" xr:uid="{0CBFFC59-8757-412E-87F0-2185F44C1A59}"/>
    <cellStyle name="_2月1-14日成本指标预测" xfId="14835" xr:uid="{A9DC4148-444D-4DD1-8EA8-B1863F192D07}"/>
    <cellStyle name="_2月成本预测" xfId="14836" xr:uid="{413CE615-03B1-482D-9D89-1540312495F0}"/>
    <cellStyle name="_2月第二周指标预测" xfId="14837" xr:uid="{486DFF84-A7E2-4531-A16A-D224C5EDF72F}"/>
    <cellStyle name="_2月份采购成本预测表" xfId="14838" xr:uid="{21F38843-2F6E-4C12-88F2-9D5462AA49D7}"/>
    <cellStyle name="_2月份预算资料" xfId="14839" xr:uid="{066819CD-3773-4C54-84EC-BF62B24A3225}"/>
    <cellStyle name="_2月份预算资料 2" xfId="14840" xr:uid="{62BC6E19-A6B6-4B74-80D9-B73EFBA0BBDC}"/>
    <cellStyle name="_3.20" xfId="14841" xr:uid="{8F5437C3-EAD1-4E17-9FD0-2BFD9F5FA7FE}"/>
    <cellStyle name="_3.20_10月球团产品成本表" xfId="14842" xr:uid="{606CF40A-CE92-4170-9E80-513760935ED3}"/>
    <cellStyle name="_3.20_11月球团产品成本表" xfId="14843" xr:uid="{A82A2FC3-AD30-4826-85D3-D0B7258D7BC5}"/>
    <cellStyle name="_3.20_11月球团产品成本表_1" xfId="14844" xr:uid="{4D502A60-5A39-4A17-9D83-103BA5B01202}"/>
    <cellStyle name="_3.20_待摊 (自产)" xfId="14845" xr:uid="{382D2547-BC90-4528-8013-167052DB3AC4}"/>
    <cellStyle name="_3.20_待摊 (自产)_10月球团产品成本表" xfId="14846" xr:uid="{AE2A7F1E-6201-4AD3-8B85-A303C135F6A6}"/>
    <cellStyle name="_3.20_待摊 (自产)_11月球团产品成本表" xfId="14847" xr:uid="{054B8914-C3BA-4247-BA7A-9E3AD629F209}"/>
    <cellStyle name="_3.20_待摊 (自产)_11月球团产品成本表_1" xfId="14848" xr:uid="{4721D6C8-DB8F-4825-9A99-0B6027BC40D0}"/>
    <cellStyle name="_3.20_球团工序" xfId="14849" xr:uid="{8551FA34-259E-4A6C-8B7E-D311CAE9B4C4}"/>
    <cellStyle name="_3季度成本预算" xfId="14850" xr:uid="{A930547D-742E-4E87-AAF9-3E59C5E0C103}"/>
    <cellStyle name="_3月20日上午成本分析（比原稿下调整17.14元）" xfId="14851" xr:uid="{43C574F0-2DF2-4C66-AC63-D907C408EF3D}"/>
    <cellStyle name="_3月份倒推成本" xfId="14852" xr:uid="{CD05D94A-23E9-40E6-8591-8E6285EF638C}"/>
    <cellStyle name="_3月预测三张汇总表" xfId="14853" xr:uid="{FE63DADB-19EA-4C45-8365-F55AB7B0A623}"/>
    <cellStyle name="_4300大类" xfId="14854" xr:uid="{8BD70D94-20E3-408C-960E-13D61805DCBA}"/>
    <cellStyle name="_4季度、达到1月及22日价格成本" xfId="14855" xr:uid="{7EE3CFA5-6510-43D8-BB94-A7C6F1267E35}"/>
    <cellStyle name="_4季度分一二三高炉19.30" xfId="14856" xr:uid="{D46876EF-8755-4691-BCF4-F624180581DD}"/>
    <cellStyle name="_4月成本分析" xfId="14857" xr:uid="{434848E7-4820-4E79-BBE4-FADB0561B51C}"/>
    <cellStyle name="_4月份目标成本表(颁发)090330 (version 1)" xfId="14858" xr:uid="{DB40AB14-3F51-4ED4-BFF9-5658E672B86C}"/>
    <cellStyle name="_4月份预算资料" xfId="14859" xr:uid="{DBDC900E-814D-4F55-849B-FEB997AB6A19}"/>
    <cellStyle name="_4月份预算资料 2" xfId="14860" xr:uid="{74EF12CD-008D-4F76-B12D-43BC929C0504}"/>
    <cellStyle name="_5月份预算资料" xfId="14861" xr:uid="{2B9B5A6B-A57B-42B2-AF96-7302CF90DA2B}"/>
    <cellStyle name="_5月份预算资料 2" xfId="14862" xr:uid="{76AEE07E-DB20-4C76-96BE-7FA24789F5C3}"/>
    <cellStyle name="_5月上旬成本预测" xfId="14863" xr:uid="{69C6350D-5B07-41C6-B276-4D39CAE159F6}"/>
    <cellStyle name="_6月份预算资料" xfId="14864" xr:uid="{0F867BE4-D174-4616-8EFD-25BEF1BC7319}"/>
    <cellStyle name="_6月份预算资料 2" xfId="14865" xr:uid="{1B6B1AD7-511A-426B-A39F-43A8AC382726}"/>
    <cellStyle name="_7月份预算资料" xfId="14866" xr:uid="{59608947-D3F1-4473-B0C0-CD3F7803EEF8}"/>
    <cellStyle name="_7月份预算资料 2" xfId="14867" xr:uid="{A6D0D48A-6E6D-4C36-B6EF-0CE20C8FD17B}"/>
    <cellStyle name="_7月上旬成本预测" xfId="14868" xr:uid="{3328BB88-D6A0-4D19-B241-EE5438BF3FA9}"/>
    <cellStyle name="_8月份预算资料" xfId="14869" xr:uid="{F5C2518B-2449-4CC0-8F46-C3A68B090988}"/>
    <cellStyle name="_8月份预算资料 2" xfId="14870" xr:uid="{5966C858-C301-4C96-8719-A36816131C30}"/>
    <cellStyle name="_8月中旬成本预测8.20" xfId="14871" xr:uid="{DD39D0C5-6946-4423-8910-BE965C54156B}"/>
    <cellStyle name="_9-12月成本测算(1)" xfId="14872" xr:uid="{35FD6ECA-A9A6-47A4-99F3-AD09939A62E9}"/>
    <cellStyle name="_9-12月成本测算(1)_0904矿业公司目标成本降低额测算03.27" xfId="14873" xr:uid="{D3233109-3445-41CB-BF36-DB0DE4C84680}"/>
    <cellStyle name="_9-12月成本测算(1)_6月份目标成本表(颁发)090531" xfId="14874" xr:uid="{2186C26F-5F4C-4BCE-8E58-CA882CBB2149}"/>
    <cellStyle name="_9-12月成本测算(1)_第三阶段攻关任务" xfId="14875" xr:uid="{285B8F59-BB29-4EF4-84DB-708163E53B20}"/>
    <cellStyle name="_9-12月成本测算(1)_首钢总公司关于颁发《首钢钢铁业2009年3月份目标成本安排》的通知" xfId="14876" xr:uid="{11D2D14A-11A8-4808-9F16-72AFA8ABC0B0}"/>
    <cellStyle name="_9-12月成本测算(1)_首钢总公司关于颁发《首钢钢铁业2009年3月份目标成本安排》的通知_2009年3月份矿业公司目标成本326" xfId="14877" xr:uid="{AB3D9B5E-5E50-4A76-9BE1-CC96A6B62643}"/>
    <cellStyle name="_9-12月成本测算(1)_首钢总公司关于颁发《首钢钢铁业2009年3月份目标成本安排》的通知_6月份目标成本表(颁发)090531" xfId="14878" xr:uid="{E1A6900C-95B0-4749-BEAB-95724D22AF0D}"/>
    <cellStyle name="_9-12月成本测算(1)_首钢总公司关于颁发《首钢钢铁业2009年3月份目标成本安排》的通知_第三阶段攻关任务" xfId="14879" xr:uid="{1AD88467-5A60-48FC-9C5D-99D9EB4C008B}"/>
    <cellStyle name="_9月份预算资料" xfId="14880" xr:uid="{5702D07A-1BC4-4341-9C56-2B835E63737C}"/>
    <cellStyle name="_9月份预算资料 2" xfId="14881" xr:uid="{0E74E85D-A5EE-4709-8C35-F3757098A520}"/>
    <cellStyle name="_Book1" xfId="74" xr:uid="{41C1BE27-EB14-4BCD-B8BD-6FF8BE443F2B}"/>
    <cellStyle name="_Book1 2" xfId="11964" xr:uid="{9EB59D75-3463-430F-96DA-208B63CA637B}"/>
    <cellStyle name="_Book1 2 2" xfId="14883" xr:uid="{F7497040-360B-4B6B-AA4E-778306991033}"/>
    <cellStyle name="_Book1 3" xfId="14884" xr:uid="{655B1254-97F6-431A-8F03-89CB1DA7149D}"/>
    <cellStyle name="_Book1 4" xfId="14882" xr:uid="{E8B1CF22-FB63-4ADC-9472-2292DEC3E6F6}"/>
    <cellStyle name="_Book1_1" xfId="84" xr:uid="{FE098AB6-5846-459F-BCBF-B1AE775701E8}"/>
    <cellStyle name="_Book1_1 2" xfId="11965" xr:uid="{715C3D3A-5F32-45C3-961B-F2715CE9E363}"/>
    <cellStyle name="_Book1_1 2 2" xfId="14886" xr:uid="{F29E4FD6-4914-4205-AE7E-46C9AA99C18F}"/>
    <cellStyle name="_Book1_1 3" xfId="14887" xr:uid="{E1906E98-9111-4321-A781-B50708876939}"/>
    <cellStyle name="_Book1_1 4" xfId="14885" xr:uid="{41E5A8F7-8741-41E2-89F4-C0D3957E54D8}"/>
    <cellStyle name="_Book1_1_2015年利润预算汇总表" xfId="14888" xr:uid="{94702C29-4697-4F10-B716-7562EA42EE50}"/>
    <cellStyle name="_Book1_1_2015年利润预算汇总表 2" xfId="14889" xr:uid="{145E2B34-8672-494B-9A36-CEBC618B3209}"/>
    <cellStyle name="_Book1_1_Book1" xfId="14890" xr:uid="{144D4463-569B-4871-AA6E-21DD7F207E49}"/>
    <cellStyle name="_Book1_1_Book1_1" xfId="14891" xr:uid="{1007AE24-0F09-4971-9A70-E88D7E050B22}"/>
    <cellStyle name="_Book1_1_Book1_1 2" xfId="14892" xr:uid="{D2384603-E495-41DA-A26B-58CE06D957E5}"/>
    <cellStyle name="_Book1_1_Book1_1 3" xfId="14893" xr:uid="{2D02D78D-C612-41EE-A062-506BC37FF2A8}"/>
    <cellStyle name="_Book1_1_Book1_1 4" xfId="14894" xr:uid="{C71C2BBD-C035-4161-A6CE-E0ECCD5B8961}"/>
    <cellStyle name="_Book1_1_Book1_1 5" xfId="14895" xr:uid="{DACED147-91AF-459B-813E-262DC86B6073}"/>
    <cellStyle name="_Book1_1_Book1_1 6" xfId="14896" xr:uid="{CCE79A60-441D-4C86-9B3A-B00B3618737F}"/>
    <cellStyle name="_Book1_1_Book1_1 7" xfId="14897" xr:uid="{7728BE6F-E64C-411A-904C-4846CD16C754}"/>
    <cellStyle name="_Book1_1_矿业公司2014年全面预算稿（机关费用）" xfId="14898" xr:uid="{3EE81FFB-C05D-47C1-85CF-0EC5AC996A8B}"/>
    <cellStyle name="_Book1_1_矿业公司2014年全面预算稿（机关费用） 2" xfId="14899" xr:uid="{BBC72D82-3457-42E0-B2EB-1A5D0F1F958D}"/>
    <cellStyle name="_Book1_1_利润表(4)" xfId="14900" xr:uid="{226967B9-5E77-45A4-8867-E577991BD961}"/>
    <cellStyle name="_Book1_1_收入利润18" xfId="14901" xr:uid="{68BD0AE2-13FD-4AD1-A158-E629C69F62F6}"/>
    <cellStyle name="_Book1_1_收入利润18 2" xfId="14902" xr:uid="{1102A178-4C1C-4316-B51B-B600CD01C47A}"/>
    <cellStyle name="_Book1_1_收入利润18 3" xfId="14903" xr:uid="{A8452FAD-BA12-49F0-A905-BC0BB6B538A5}"/>
    <cellStyle name="_Book1_1_收入利润18 4" xfId="14904" xr:uid="{AAC5EDE0-38CF-41E5-B836-86DABACA1B74}"/>
    <cellStyle name="_Book1_1_收入利润18 5" xfId="14905" xr:uid="{F74E86B5-DE58-4D8F-8895-7B3209F93F16}"/>
    <cellStyle name="_Book1_1_收入利润18 6" xfId="14906" xr:uid="{A3238DED-0E81-416B-B153-6A16150AE792}"/>
    <cellStyle name="_Book1_1_收入利润18 7" xfId="14907" xr:uid="{B3CD250B-AE91-445D-9E21-F632F4A748F7}"/>
    <cellStyle name="_Book1_2" xfId="14908" xr:uid="{699B27D6-87E2-44C9-B881-A576F0F2B601}"/>
    <cellStyle name="_Book1_2 2" xfId="14909" xr:uid="{D441045B-32DA-4368-A55B-246EB7CE7172}"/>
    <cellStyle name="_Book1_2 2 10" xfId="14910" xr:uid="{B11F7C85-D9DA-4028-B7DA-00EF370B0547}"/>
    <cellStyle name="_Book1_2 2 2" xfId="14911" xr:uid="{244E3A7F-D958-4977-A114-5404FB790713}"/>
    <cellStyle name="_Book1_2 2 2 2" xfId="14912" xr:uid="{4718B371-6296-458D-B637-8B89B59FAAE0}"/>
    <cellStyle name="_Book1_2 2 2_11月球团产品成本表" xfId="14913" xr:uid="{C16C260F-8C92-4DB5-8ED0-5CB1626B9BD6}"/>
    <cellStyle name="_Book1_2 2 3" xfId="14914" xr:uid="{F713C88C-454E-4D11-A292-78EA806B1749}"/>
    <cellStyle name="_Book1_2 2 3_11月球团产品成本表" xfId="14915" xr:uid="{012A35A2-E04B-4DEB-8B9E-90DA9C1C7CD0}"/>
    <cellStyle name="_Book1_2 2 4" xfId="14916" xr:uid="{BFCF7636-584F-4D64-A88B-5D74F6CA6BAC}"/>
    <cellStyle name="_Book1_2 2 4_11月球团产品成本表" xfId="14917" xr:uid="{BE11B1A3-2BC3-4003-843E-451C5252DE4B}"/>
    <cellStyle name="_Book1_2 2 5" xfId="14918" xr:uid="{99856BA6-70D3-4A73-B270-91DC766C0EAB}"/>
    <cellStyle name="_Book1_2 2 6" xfId="14919" xr:uid="{F76C9D4B-75B9-43F9-9AC2-D16D3E99D477}"/>
    <cellStyle name="_Book1_2 2 7" xfId="14920" xr:uid="{0477A9CE-C9DA-46F3-84BE-E1CBCA8B31D2}"/>
    <cellStyle name="_Book1_2 2 8" xfId="14921" xr:uid="{632A76B5-883F-4AFB-BBE6-3492D0BF7D56}"/>
    <cellStyle name="_Book1_2 2 9" xfId="14922" xr:uid="{14661396-7C76-4D50-8A3F-C0FAA6B67966}"/>
    <cellStyle name="_Book1_2 2_11月球团产品成本表" xfId="14923" xr:uid="{9D38292E-AFFB-4CDF-8A04-3FB404F3209E}"/>
    <cellStyle name="_Book1_2 2_球团工序" xfId="14924" xr:uid="{04BD6737-0510-4BC1-A44D-4941945F24B5}"/>
    <cellStyle name="_Book1_2 3" xfId="14925" xr:uid="{0DA6209B-ABDA-4A1B-BA5F-DEDF8F22F055}"/>
    <cellStyle name="_Book1_2 3 2" xfId="14926" xr:uid="{087E40D9-BFC6-461C-A3AC-E7101C515FC3}"/>
    <cellStyle name="_Book1_2 3 3" xfId="14927" xr:uid="{8133C0C6-C58F-4C7A-92D4-B4D774CFC5FB}"/>
    <cellStyle name="_Book1_2 3 4" xfId="14928" xr:uid="{6CDC9AB6-BC2E-4062-8927-2150C63D5D02}"/>
    <cellStyle name="_Book1_2 3 5" xfId="14929" xr:uid="{D18364FD-6934-472A-BC4D-6E3D77EA5D46}"/>
    <cellStyle name="_Book1_2 3 6" xfId="14930" xr:uid="{E42A8796-D8B3-4A36-87D4-7A39DD643E9E}"/>
    <cellStyle name="_Book1_2 3 7" xfId="14931" xr:uid="{AE2A32CD-F6EC-4CD4-92C4-A976F2101165}"/>
    <cellStyle name="_Book1_2 4" xfId="14932" xr:uid="{C66B3F1C-DD6F-48A7-9A80-0A62A37A57D9}"/>
    <cellStyle name="_Book1_2 4 2" xfId="14933" xr:uid="{B1F365B5-E6A6-483E-89ED-384F4E5BB916}"/>
    <cellStyle name="_Book1_2_07月球团产品成本表" xfId="14934" xr:uid="{BEB7C930-21A5-44E0-ADA4-649AA75741AC}"/>
    <cellStyle name="_Book1_2_07月球团产品成本表_09月球团产品成本表 " xfId="14935" xr:uid="{223584DF-9CCF-4D9A-8068-C0B06AC966A0}"/>
    <cellStyle name="_Book1_2_07月球团产品成本表_09月球团产品成本表 _10月球团产品成本表" xfId="14936" xr:uid="{83F1DD9D-84DE-4FFB-835E-0EF636B57934}"/>
    <cellStyle name="_Book1_2_07月球团产品成本表_09月球团产品成本表 _11月球团产品成本表" xfId="14937" xr:uid="{DACB90FE-3091-4953-B8E6-3A8C6D15D8A1}"/>
    <cellStyle name="_Book1_2_07月球团产品成本表_09月球团产品成本表 _11月球团产品成本表_1" xfId="14938" xr:uid="{2B6BB1A8-C8A4-4611-AB63-68097CDFE9D1}"/>
    <cellStyle name="_Book1_2_07月球团产品成本表_10月球团产品成本表" xfId="14939" xr:uid="{2E2A7895-0388-4327-A21E-106C14EADF6F}"/>
    <cellStyle name="_Book1_2_07月球团产品成本表_11月球团产品成本表" xfId="14940" xr:uid="{0EFF0EB7-ABB3-4337-B4EE-66C5B9A7CDCA}"/>
    <cellStyle name="_Book1_2_07月球团产品成本表_11月球团产品成本表_1" xfId="14941" xr:uid="{875E0142-8D0A-461E-8EE4-19B17DF58363}"/>
    <cellStyle name="_Book1_2_07月球团产品成本表_Sheet5" xfId="14942" xr:uid="{2A5E79CE-7D7D-4D51-B277-E3E58BC79D06}"/>
    <cellStyle name="_Book1_2_07月球团产品成本表_待摊 (自产)" xfId="14943" xr:uid="{B7182B46-8A30-48B8-9E9F-0E5FFFAF4A30}"/>
    <cellStyle name="_Book1_2_07月球团产品成本表_待摊 (自产)_1" xfId="14944" xr:uid="{927D8507-0713-4BE4-BB35-C9B80543AF0C}"/>
    <cellStyle name="_Book1_2_07月球团产品成本表_待摊 (自产)_1_10月球团产品成本表" xfId="14945" xr:uid="{D96A391F-AEA5-4FE5-BD7B-D1FD641E04BA}"/>
    <cellStyle name="_Book1_2_07月球团产品成本表_待摊 (自产)_1_11月球团产品成本表" xfId="14946" xr:uid="{3B28F490-6D0E-44DF-BEDC-01967F445CBC}"/>
    <cellStyle name="_Book1_2_07月球团产品成本表_待摊 (自产)_1_11月球团产品成本表_1" xfId="14947" xr:uid="{4FB27C23-E074-4EDB-BA5D-122E421F967A}"/>
    <cellStyle name="_Book1_2_07月球团产品成本表_待摊 (自产)_10月球团产品成本表" xfId="14948" xr:uid="{2B579DCC-8EF2-492D-ACF4-E569043335B9}"/>
    <cellStyle name="_Book1_2_07月球团产品成本表_待摊 (自产)_11月球团产品成本表" xfId="14949" xr:uid="{4B3947FE-5995-4124-BEFE-8B8726B9C366}"/>
    <cellStyle name="_Book1_2_07月球团产品成本表_待摊 (自产)_11月球团产品成本表_1" xfId="14950" xr:uid="{561C7569-96F5-472D-B017-22B3708D3218}"/>
    <cellStyle name="_Book1_2_07月球团产品成本表_待摊 (自产)_待摊 (自产)" xfId="14951" xr:uid="{9766EB65-210D-4BBE-A7D9-CD0C0C1011EF}"/>
    <cellStyle name="_Book1_2_07月球团产品成本表_待摊 (自产)_待摊 (自产)_10月球团产品成本表" xfId="14952" xr:uid="{85F89F15-0615-465C-BFBB-AB9732F4B78A}"/>
    <cellStyle name="_Book1_2_07月球团产品成本表_待摊 (自产)_待摊 (自产)_11月球团产品成本表" xfId="14953" xr:uid="{56CC3B0A-6A85-462D-96D1-80E2ECD687B6}"/>
    <cellStyle name="_Book1_2_07月球团产品成本表_待摊 (自产)_待摊 (自产)_11月球团产品成本表_1" xfId="14954" xr:uid="{9ADD0FC5-14F8-491D-A544-BBC7436A13F2}"/>
    <cellStyle name="_Book1_2_07月球团产品成本表_预提 (自产)" xfId="14955" xr:uid="{81EC9A90-66D3-498A-A1B4-1307ACD3AFEF}"/>
    <cellStyle name="_Book1_2_07月球团产品成本表_预提 (自产)_10月球团产品成本表" xfId="14956" xr:uid="{9B4AFF57-2560-4862-A3E9-341876AA624E}"/>
    <cellStyle name="_Book1_2_07月球团产品成本表_预提 (自产)_11月球团产品成本表" xfId="14957" xr:uid="{3248C631-1708-449C-B153-04FAD5193EBC}"/>
    <cellStyle name="_Book1_2_07月球团产品成本表_预提 (自产)_11月球团产品成本表_1" xfId="14958" xr:uid="{FCFD2E9F-DA27-4CA3-B765-44CF49300C13}"/>
    <cellStyle name="_Book1_2_07月球团产品成本表_预提 (自产)_待摊 (自产)" xfId="14959" xr:uid="{B83D3DA4-522F-4EA5-9B0B-7D25EEBA1057}"/>
    <cellStyle name="_Book1_2_07月球团产品成本表_预提 (自产)_待摊 (自产)_10月球团产品成本表" xfId="14960" xr:uid="{6687A3A2-CB7B-4DA7-855D-F88A53722D01}"/>
    <cellStyle name="_Book1_2_07月球团产品成本表_预提 (自产)_待摊 (自产)_11月球团产品成本表" xfId="14961" xr:uid="{6A0F948C-D764-4F0B-AC2D-796775C806E8}"/>
    <cellStyle name="_Book1_2_07月球团产品成本表_预提 (自产)_待摊 (自产)_11月球团产品成本表_1" xfId="14962" xr:uid="{95D82B1B-A7A9-4655-BED5-4E70050F9C22}"/>
    <cellStyle name="_Book1_2_09月球团产品成本表 " xfId="14963" xr:uid="{87B4860E-4D4B-4D39-835F-50E2C8BEAB5D}"/>
    <cellStyle name="_Book1_2_09月球团产品成本表 _10月球团产品成本表" xfId="14964" xr:uid="{4D44F578-72ED-466D-A1F0-D6C58D24012C}"/>
    <cellStyle name="_Book1_2_09月球团产品成本表 _11月球团产品成本表" xfId="14965" xr:uid="{E28B8088-23FF-4C7B-A8D8-10E5D43B29C7}"/>
    <cellStyle name="_Book1_2_09月球团产品成本表 _11月球团产品成本表_1" xfId="14966" xr:uid="{0041B024-3718-499E-A0D3-AA9D90DC6841}"/>
    <cellStyle name="_Book1_2_10月球团产品成本表" xfId="14967" xr:uid="{00719E36-B506-44FF-836C-E1E03945A0AE}"/>
    <cellStyle name="_Book1_2_11月球团产品成本表" xfId="14968" xr:uid="{3D2BD0FF-9707-4B8E-8F54-628026BD45EE}"/>
    <cellStyle name="_Book1_2_11月球团产品成本表_1" xfId="14969" xr:uid="{7F15A363-2DDF-45A5-BFD0-164956F184D4}"/>
    <cellStyle name="_Book1_2_2015年利润预算汇总表" xfId="14970" xr:uid="{652F5912-2C70-4D27-BC4C-085DB82113B3}"/>
    <cellStyle name="_Book1_2_2015年利润预算汇总表 2" xfId="14971" xr:uid="{443BAB44-E04F-46F2-B54E-CDD1EFF89EE0}"/>
    <cellStyle name="_Book1_2_Book1" xfId="14972" xr:uid="{C1BE5AC1-C5B8-4D2E-8818-52C838E176C8}"/>
    <cellStyle name="_Book1_2_Sheet5" xfId="14973" xr:uid="{21FD4BF6-2B08-45A0-9B55-8113EA6DA495}"/>
    <cellStyle name="_Book1_2_待摊 (自产)" xfId="14974" xr:uid="{86E98EAF-20B2-4A91-8444-02F6C54F7463}"/>
    <cellStyle name="_Book1_2_待摊 (自产)_1" xfId="14975" xr:uid="{37C9A9D5-9554-48FE-B7A1-453D974FB68D}"/>
    <cellStyle name="_Book1_2_待摊 (自产)_1_10月球团产品成本表" xfId="14976" xr:uid="{1C230BCB-CA2B-40B5-BA18-4F193E1A57D8}"/>
    <cellStyle name="_Book1_2_待摊 (自产)_1_11月球团产品成本表" xfId="14977" xr:uid="{E0635563-7B7F-447A-9A70-8C7907E2A8F3}"/>
    <cellStyle name="_Book1_2_待摊 (自产)_1_11月球团产品成本表_1" xfId="14978" xr:uid="{D125013A-DDB8-45C1-8697-3C4D6C77C557}"/>
    <cellStyle name="_Book1_2_待摊 (自产)_10月球团产品成本表" xfId="14979" xr:uid="{5E06B7F6-3795-44EF-9075-5AEE175CDEDF}"/>
    <cellStyle name="_Book1_2_待摊 (自产)_11月球团产品成本表" xfId="14980" xr:uid="{5D17408C-720A-4AD4-81F7-C5452EF75A2F}"/>
    <cellStyle name="_Book1_2_待摊 (自产)_11月球团产品成本表_1" xfId="14981" xr:uid="{E24381D7-8C1B-42B2-8C0A-96951259ACCA}"/>
    <cellStyle name="_Book1_2_待摊 (自产)_待摊 (自产)" xfId="14982" xr:uid="{82C00D1F-6B32-4846-AA26-10BD437A1932}"/>
    <cellStyle name="_Book1_2_待摊 (自产)_待摊 (自产)_10月球团产品成本表" xfId="14983" xr:uid="{2620FC0B-5ADF-44BC-ABAC-03626DBF04DC}"/>
    <cellStyle name="_Book1_2_待摊 (自产)_待摊 (自产)_11月球团产品成本表" xfId="14984" xr:uid="{1D07EECE-4180-44C9-9CE8-2E3829B22734}"/>
    <cellStyle name="_Book1_2_待摊 (自产)_待摊 (自产)_11月球团产品成本表_1" xfId="14985" xr:uid="{6AE80E97-CB91-4108-8379-D221410F71E4}"/>
    <cellStyle name="_Book1_2_动力预提" xfId="14986" xr:uid="{FFFC7B8F-9010-4966-BEC5-D8430DCB10F2}"/>
    <cellStyle name="_Book1_2_动力预提_11月球团产品成本表" xfId="14987" xr:uid="{F15B1613-63D9-4DE4-ACD0-FB2810A6E399}"/>
    <cellStyle name="_Book1_2_矿业公司2014年全面预算稿（机关费用）" xfId="14988" xr:uid="{EF2A6E3F-D977-4115-905E-9DD2AAC5C66C}"/>
    <cellStyle name="_Book1_2_矿业公司2014年全面预算稿（机关费用） 2" xfId="14989" xr:uid="{E1B6EA75-D539-498F-950A-CC4C6A64A115}"/>
    <cellStyle name="_Book1_2_矿业公司2014年全面预算稿（机关费用） 2 2" xfId="14990" xr:uid="{03F10581-7183-4D72-BD34-76E90278F384}"/>
    <cellStyle name="_Book1_2_矿业公司2014年全面预算稿（机关费用） 2 3" xfId="14991" xr:uid="{0C5D8483-ED89-4673-AD7D-DE8586CAB647}"/>
    <cellStyle name="_Book1_2_矿业公司2014年全面预算稿（机关费用） 2 4" xfId="14992" xr:uid="{62EA1675-0CC1-4FB9-9741-8D758B06ED06}"/>
    <cellStyle name="_Book1_2_矿业公司2014年全面预算稿（机关费用） 2 5" xfId="14993" xr:uid="{3AC930B4-7781-4175-BF7B-F43971F6F311}"/>
    <cellStyle name="_Book1_2_矿业公司2014年全面预算稿（机关费用） 2 6" xfId="14994" xr:uid="{B5267D97-99BE-4BB3-BD43-D0040D03C4A5}"/>
    <cellStyle name="_Book1_2_矿业公司2014年全面预算稿（机关费用） 2 7" xfId="14995" xr:uid="{5D0983FE-0685-4B9E-8B64-AEEC545040A3}"/>
    <cellStyle name="_Book1_2_矿业公司2014年全面预算稿（机关费用） 3" xfId="14996" xr:uid="{3F1A2C3E-35CD-421C-8528-7DE19B49DA5F}"/>
    <cellStyle name="_Book1_2_矿业公司2014年全面预算稿（机关费用） 4" xfId="14997" xr:uid="{1C1A8037-ED41-4A46-88C4-F4E46B6B4D9A}"/>
    <cellStyle name="_Book1_2_矿业公司2014年全面预算稿（机关费用） 5" xfId="14998" xr:uid="{A06EDAB8-EE87-4496-BA08-CC76099C16C6}"/>
    <cellStyle name="_Book1_2_矿业公司2014年全面预算稿（机关费用） 6" xfId="14999" xr:uid="{B3F00719-28B8-4897-AB85-EE3BAB3DBF77}"/>
    <cellStyle name="_Book1_2_矿业公司2014年全面预算稿（机关费用） 7" xfId="15000" xr:uid="{9E9A2392-25CA-40E3-982F-191A86065D84}"/>
    <cellStyle name="_Book1_2_矿业公司2014年全面预算稿（机关费用） 8" xfId="15001" xr:uid="{0CCDB27D-FACB-46B1-AF78-06F19ABC257B}"/>
    <cellStyle name="_Book1_2_利润表(4)" xfId="15002" xr:uid="{EBA183CE-3FB8-4F0D-95C0-2C77E2469391}"/>
    <cellStyle name="_Book1_2_球团工序" xfId="15003" xr:uid="{955759A6-3B72-4A23-BF90-B6FA1DADD230}"/>
    <cellStyle name="_Book1_2_收入利润18" xfId="15004" xr:uid="{00130673-7A6B-437D-ADFA-3893B391A2C0}"/>
    <cellStyle name="_Book1_2_预提 (自产)" xfId="15005" xr:uid="{7EB48802-79BD-4B51-9DF7-3BF03670A044}"/>
    <cellStyle name="_Book1_2_预提 (自产)_09月球团产品成本表 " xfId="15006" xr:uid="{15355C1E-4CE5-475C-BA72-1414821213A2}"/>
    <cellStyle name="_Book1_2_预提 (自产)_09月球团产品成本表 _10月球团产品成本表" xfId="15007" xr:uid="{67DBF748-A5B1-4D1C-B9E0-759A95B49E5C}"/>
    <cellStyle name="_Book1_2_预提 (自产)_09月球团产品成本表 _11月球团产品成本表" xfId="15008" xr:uid="{46CF8511-4380-4675-9D38-0FFF94A56700}"/>
    <cellStyle name="_Book1_2_预提 (自产)_09月球团产品成本表 _11月球团产品成本表_1" xfId="15009" xr:uid="{8A6BAAC9-DBEF-4E6E-9FF9-122F9BF6DAE6}"/>
    <cellStyle name="_Book1_2_预提 (自产)_1" xfId="15010" xr:uid="{6182F48E-BBA3-4B93-B5A0-838CE7CD2CBF}"/>
    <cellStyle name="_Book1_2_预提 (自产)_1_10月球团产品成本表" xfId="15011" xr:uid="{332AD0F2-4750-4AB3-8462-480EA9AAF943}"/>
    <cellStyle name="_Book1_2_预提 (自产)_1_11月球团产品成本表" xfId="15012" xr:uid="{5119B896-F9D2-4D83-81A9-15E82EE303E5}"/>
    <cellStyle name="_Book1_2_预提 (自产)_1_11月球团产品成本表_1" xfId="15013" xr:uid="{27C57508-6DFC-4F45-B812-5627C41825C1}"/>
    <cellStyle name="_Book1_2_预提 (自产)_1_待摊 (自产)" xfId="15014" xr:uid="{A962154B-A7DA-4E86-AFED-4ED6A0080565}"/>
    <cellStyle name="_Book1_2_预提 (自产)_1_待摊 (自产)_10月球团产品成本表" xfId="15015" xr:uid="{878DA1B4-051E-4372-B4FE-A24758B6D656}"/>
    <cellStyle name="_Book1_2_预提 (自产)_1_待摊 (自产)_11月球团产品成本表" xfId="15016" xr:uid="{406CFE47-D00B-492A-A92B-E7C39B67C5C3}"/>
    <cellStyle name="_Book1_2_预提 (自产)_1_待摊 (自产)_11月球团产品成本表_1" xfId="15017" xr:uid="{4968428E-FFBC-4C8B-833E-89D0A30155A9}"/>
    <cellStyle name="_Book1_2_预提 (自产)_10月球团产品成本表" xfId="15018" xr:uid="{2EF34ADE-790F-4F7B-AE06-F2825C64086A}"/>
    <cellStyle name="_Book1_2_预提 (自产)_11月球团产品成本表" xfId="15019" xr:uid="{772D49DB-3F56-4615-945F-5DC066A3F5CA}"/>
    <cellStyle name="_Book1_2_预提 (自产)_11月球团产品成本表_1" xfId="15020" xr:uid="{077ACCD8-8ADB-4945-A168-ACF8663443F9}"/>
    <cellStyle name="_Book1_2_预提 (自产)_Sheet5" xfId="15021" xr:uid="{931A7E83-1759-4C37-BD20-57D4C9C6556E}"/>
    <cellStyle name="_Book1_2_预提 (自产)_待摊 (自产)" xfId="15022" xr:uid="{9E6121FF-77FF-448D-B07C-3A447EE8168D}"/>
    <cellStyle name="_Book1_2_预提 (自产)_待摊 (自产)_1" xfId="15023" xr:uid="{8CD7EEEC-D495-4FE7-8AEC-49F5CABF9427}"/>
    <cellStyle name="_Book1_2_预提 (自产)_待摊 (自产)_1_10月球团产品成本表" xfId="15024" xr:uid="{890827BD-7389-4DF8-9BAD-4A773CD702F9}"/>
    <cellStyle name="_Book1_2_预提 (自产)_待摊 (自产)_1_11月球团产品成本表" xfId="15025" xr:uid="{BCD40FFA-20FE-4356-9E18-BD35ADFFF61D}"/>
    <cellStyle name="_Book1_2_预提 (自产)_待摊 (自产)_1_11月球团产品成本表_1" xfId="15026" xr:uid="{095FCE70-117F-4DF0-9209-ED98EBD70A59}"/>
    <cellStyle name="_Book1_2_预提 (自产)_待摊 (自产)_10月球团产品成本表" xfId="15027" xr:uid="{CF5AE11F-E915-4503-9AE8-BA6C2CD52153}"/>
    <cellStyle name="_Book1_2_预提 (自产)_待摊 (自产)_11月球团产品成本表" xfId="15028" xr:uid="{46022A5C-BA80-470A-95F7-36C8CC7B82D3}"/>
    <cellStyle name="_Book1_2_预提 (自产)_待摊 (自产)_11月球团产品成本表_1" xfId="15029" xr:uid="{1EE31446-C718-41F4-BA09-D61942783FB5}"/>
    <cellStyle name="_Book1_2_预提 (自产)_待摊 (自产)_待摊 (自产)" xfId="15030" xr:uid="{FDEEDB92-3EAD-4607-9366-FE34F7A4A2AC}"/>
    <cellStyle name="_Book1_2_预提 (自产)_待摊 (自产)_待摊 (自产)_10月球团产品成本表" xfId="15031" xr:uid="{824749CD-18EE-49AE-B946-046F269AB4F7}"/>
    <cellStyle name="_Book1_2_预提 (自产)_待摊 (自产)_待摊 (自产)_11月球团产品成本表" xfId="15032" xr:uid="{F3A69CF0-209F-45B7-821E-6590F7ED89B3}"/>
    <cellStyle name="_Book1_2_预提 (自产)_待摊 (自产)_待摊 (自产)_11月球团产品成本表_1" xfId="15033" xr:uid="{89859C34-39F7-43B6-B8A9-858ADDE6A844}"/>
    <cellStyle name="_Book1_2_预提 (自产)_预提 (自产)" xfId="15034" xr:uid="{151DE8ED-6CB3-40FC-81E8-4BB1E6E13D1E}"/>
    <cellStyle name="_Book1_2_预提 (自产)_预提 (自产)_10月球团产品成本表" xfId="15035" xr:uid="{940C2F20-0A8A-4C85-BB01-F93BBC1CBF1F}"/>
    <cellStyle name="_Book1_2_预提 (自产)_预提 (自产)_11月球团产品成本表" xfId="15036" xr:uid="{FC7D41A3-55C8-4CD5-B761-D72863AFB7A8}"/>
    <cellStyle name="_Book1_2_预提 (自产)_预提 (自产)_11月球团产品成本表_1" xfId="15037" xr:uid="{4E53BCF2-2835-40C4-B49A-5EDE573F1D45}"/>
    <cellStyle name="_Book1_2_预提 (自产)_预提 (自产)_待摊 (自产)" xfId="15038" xr:uid="{F96503DD-DF0D-40F9-BB4D-89E25A1035A9}"/>
    <cellStyle name="_Book1_2_预提 (自产)_预提 (自产)_待摊 (自产)_10月球团产品成本表" xfId="15039" xr:uid="{A44619A8-8C7D-4E83-B4BD-CE89694A6CCF}"/>
    <cellStyle name="_Book1_2_预提 (自产)_预提 (自产)_待摊 (自产)_11月球团产品成本表" xfId="15040" xr:uid="{EBB384A0-1F89-4668-9B04-ED5E93482D14}"/>
    <cellStyle name="_Book1_2_预提 (自产)_预提 (自产)_待摊 (自产)_11月球团产品成本表_1" xfId="15041" xr:uid="{BAD34588-58FF-42B6-B7F3-3D8268D7B480}"/>
    <cellStyle name="_Book1_2_作业区报表 (2)" xfId="15042" xr:uid="{6D57377E-E39E-44FD-9D33-38E821721644}"/>
    <cellStyle name="_Book1_2_作业区报表 (2)_11月球团产品成本表" xfId="15043" xr:uid="{84374570-D8E1-4139-8D39-9237F0695914}"/>
    <cellStyle name="_Book1_2015年利润预算汇总表" xfId="15044" xr:uid="{1C54454E-35C3-444B-AD0F-5043D62E3DF2}"/>
    <cellStyle name="_Book1_2015年利润预算汇总表 2" xfId="15045" xr:uid="{0BFAB2EB-016D-4041-A6EE-B78198503A76}"/>
    <cellStyle name="_Book1_3" xfId="15046" xr:uid="{0AF1E2CD-42BD-492D-B071-584B54358695}"/>
    <cellStyle name="_Book1_3 2" xfId="15047" xr:uid="{BC3066B0-9457-4E09-AEAE-249216C50380}"/>
    <cellStyle name="_Book1_3 2 2" xfId="15048" xr:uid="{00ECB2AF-F02C-4F17-9A5C-887AD99CF401}"/>
    <cellStyle name="_Book1_3 2 3" xfId="15049" xr:uid="{760D033D-969F-4B20-AD7A-14FECD6E1D52}"/>
    <cellStyle name="_Book1_3 2 4" xfId="15050" xr:uid="{CE89602F-6131-4C1B-B20B-ED9C7E30BA55}"/>
    <cellStyle name="_Book1_3 2 5" xfId="15051" xr:uid="{033FF1E0-B159-4E0E-98B8-79238F4F839E}"/>
    <cellStyle name="_Book1_3 2 6" xfId="15052" xr:uid="{5FF11BB9-FD1E-416E-A7D4-C2509D5391DB}"/>
    <cellStyle name="_Book1_3 2 7" xfId="15053" xr:uid="{30AED2E5-CE75-4D28-81A8-D23E8C9E8999}"/>
    <cellStyle name="_Book1_3 2_球团工序" xfId="15054" xr:uid="{6DFE7646-14D9-443E-B6AE-21E0FAFBABCA}"/>
    <cellStyle name="_Book1_3 3" xfId="15055" xr:uid="{A75FFD97-E327-4773-A6D9-2AED73E1AD72}"/>
    <cellStyle name="_Book1_3 4" xfId="15056" xr:uid="{A423D9C8-F21E-4443-A3EE-E2FC3B6D9C70}"/>
    <cellStyle name="_Book1_3_2015年利润预算汇总表" xfId="15057" xr:uid="{4606A0D0-8B6A-4D76-A0FB-B0B0A1A8AE52}"/>
    <cellStyle name="_Book1_3_2015年利润预算汇总表 2" xfId="15058" xr:uid="{E4B03D0A-1CDA-4B72-8912-19892A24015D}"/>
    <cellStyle name="_Book1_3_2015年利润预算汇总表 2 2" xfId="15059" xr:uid="{F8916C06-5B87-4AAE-BE60-5BC0FADAEF99}"/>
    <cellStyle name="_Book1_3_2015年利润预算汇总表 2 3" xfId="15060" xr:uid="{6664D58D-1D74-4273-88CE-B018247B5444}"/>
    <cellStyle name="_Book1_3_2015年利润预算汇总表 2 4" xfId="15061" xr:uid="{54915A35-74F3-407A-B569-140FD6CD074D}"/>
    <cellStyle name="_Book1_3_2015年利润预算汇总表 2 5" xfId="15062" xr:uid="{77ED5E7C-45B7-4731-AD61-2BC139B83DBC}"/>
    <cellStyle name="_Book1_3_2015年利润预算汇总表 2 6" xfId="15063" xr:uid="{658EC745-BB71-43D7-BF23-CAF994987F08}"/>
    <cellStyle name="_Book1_3_2015年利润预算汇总表 2 7" xfId="15064" xr:uid="{5A7F7A91-5E69-4AAD-857F-FD7836F312B9}"/>
    <cellStyle name="_Book1_3_2015年利润预算汇总表 3" xfId="15065" xr:uid="{83FAD62D-D8D5-434E-8114-01C94390BAB3}"/>
    <cellStyle name="_Book1_3_2015年利润预算汇总表 4" xfId="15066" xr:uid="{777F8A39-2E69-4F39-AFE8-294BE43E5AA9}"/>
    <cellStyle name="_Book1_3_2015年利润预算汇总表 5" xfId="15067" xr:uid="{12A06B62-22E7-488C-909E-4E3289DC7774}"/>
    <cellStyle name="_Book1_3_2015年利润预算汇总表 6" xfId="15068" xr:uid="{286696C2-EB86-47D0-AA60-5FBEB6EB0236}"/>
    <cellStyle name="_Book1_3_2015年利润预算汇总表 7" xfId="15069" xr:uid="{3DC962E3-85CF-4A51-BBB9-2EA73EE7A519}"/>
    <cellStyle name="_Book1_3_2015年利润预算汇总表 8" xfId="15070" xr:uid="{0E2BE031-1D7C-48EB-B163-D2BAFFA0E51D}"/>
    <cellStyle name="_Book1_3_矿业公司2014年全面预算稿（机关费用）" xfId="15071" xr:uid="{C3BB10C7-746E-4EEE-81C5-37510B4BF53D}"/>
    <cellStyle name="_Book1_3_矿业公司2014年全面预算稿（机关费用） 2" xfId="15072" xr:uid="{C5EF5AAE-1319-4070-A0CB-99AA9C04D74A}"/>
    <cellStyle name="_Book1_3_利润表(4)" xfId="15073" xr:uid="{2403C257-5DA7-43D0-856B-A7FEDF05E1EC}"/>
    <cellStyle name="_Book1_3_利润表(4)_10月球团产品成本表" xfId="15074" xr:uid="{6940B471-BD3F-4C43-952B-99A40D0BE07F}"/>
    <cellStyle name="_Book1_3_利润表(4)_11月球团产品成本表" xfId="15075" xr:uid="{94692476-0EE1-4DB6-8F28-1AE1BBFA3E51}"/>
    <cellStyle name="_Book1_3_利润表(4)_11月球团产品成本表_1" xfId="15076" xr:uid="{30879A0F-F799-4C92-B739-D181D7D6B1B7}"/>
    <cellStyle name="_Book1_3_利润表(4)_待摊 (自产)" xfId="15077" xr:uid="{2FFA7ACB-20D9-406C-B7CE-EF0400E3067D}"/>
    <cellStyle name="_Book1_3_利润表(4)_待摊 (自产)_10月球团产品成本表" xfId="15078" xr:uid="{ABA9AF6E-346F-4002-8BAD-ACB7C2C779A9}"/>
    <cellStyle name="_Book1_3_利润表(4)_待摊 (自产)_11月球团产品成本表" xfId="15079" xr:uid="{F0EBD7CF-2D65-4168-B758-0FA9E64695DF}"/>
    <cellStyle name="_Book1_3_利润表(4)_待摊 (自产)_11月球团产品成本表_1" xfId="15080" xr:uid="{13384796-0669-4CAC-B93C-5028238A265E}"/>
    <cellStyle name="_Book1_3_利润表(4)_球团工序" xfId="15081" xr:uid="{CCC4B8D1-F17D-4E4B-8E27-E46A00324BE8}"/>
    <cellStyle name="_Book1_4" xfId="15082" xr:uid="{B4B81E43-F9C6-4211-A961-D4A55231644E}"/>
    <cellStyle name="_Book1_4 2" xfId="15083" xr:uid="{941C31B8-ED1F-4B37-B63F-F12E2D9597AC}"/>
    <cellStyle name="_Book1_Book1" xfId="15084" xr:uid="{D9186002-961E-4156-8EC1-B51479B52406}"/>
    <cellStyle name="_Book1_Book1_1" xfId="15085" xr:uid="{FE8A3F25-39B0-49F3-B1A9-FE8E9969DF39}"/>
    <cellStyle name="_Book1_矿业公司2014年全面预算稿（机关费用）" xfId="15086" xr:uid="{DB8A2FDB-CE69-475C-AD61-677F351CD2FD}"/>
    <cellStyle name="_Book1_矿业公司2014年全面预算稿（机关费用） 2" xfId="15087" xr:uid="{6292C269-4504-4CBB-8119-9A8A7F17FBE0}"/>
    <cellStyle name="_Book1_利润表(4)" xfId="15088" xr:uid="{88713F51-9E7C-4119-8EA7-B9AB17772C89}"/>
    <cellStyle name="_Book1_利润表(4)_2014年降本增效指标完成情况" xfId="15089" xr:uid="{F7573B55-0148-427B-9727-C1C9B004900E}"/>
    <cellStyle name="_Book1_收入利润18" xfId="15090" xr:uid="{3496D865-6E04-4601-A0EB-F989627F9015}"/>
    <cellStyle name="_Book11123432" xfId="15091" xr:uid="{75BEFA1D-8243-4041-8CBB-066308D44812}"/>
    <cellStyle name="_Book2" xfId="15092" xr:uid="{5C54492A-2484-4D15-A84A-CC67732CFD09}"/>
    <cellStyle name="_Book4" xfId="15093" xr:uid="{2D4F6B2A-6E84-47D7-AEA2-00FCEFE3E9FA}"/>
    <cellStyle name="_Book4_2009年3月份矿业公司目标成本326" xfId="15094" xr:uid="{E0181483-ECCC-47E5-9F40-097849A24F6B}"/>
    <cellStyle name="_Book4_2009年4月份目标成本分解表-总公司计划" xfId="15095" xr:uid="{E197EC85-9659-49F3-831E-E827E8229F6E}"/>
    <cellStyle name="_Book4_6月份目标成本表(颁发)090531" xfId="15096" xr:uid="{CCB5FE74-A19C-4718-9C99-09A25C2D9A35}"/>
    <cellStyle name="_Book4_第三阶段攻关任务" xfId="15097" xr:uid="{B5DE2A8C-AD32-42C3-82BC-8B6A0ED10104}"/>
    <cellStyle name="_ET_STYLE_NoName_00_" xfId="69" xr:uid="{E2563270-C170-431D-B31C-0395A41CC527}"/>
    <cellStyle name="_ET_STYLE_NoName_00_ 2" xfId="96" xr:uid="{B0995169-7849-4F7B-ABF8-B03FF86235AF}"/>
    <cellStyle name="_ET_STYLE_NoName_00_ 2 2" xfId="15100" xr:uid="{93C23175-8BD8-4BBC-B6D3-68374E56CBC5}"/>
    <cellStyle name="_ET_STYLE_NoName_00_ 2 3" xfId="15099" xr:uid="{4384150D-21B8-440B-9D02-1EA00C412C03}"/>
    <cellStyle name="_ET_STYLE_NoName_00_ 2 4" xfId="27268" xr:uid="{AC3B828B-57FE-4277-8980-AD9E0DAC09A6}"/>
    <cellStyle name="_ET_STYLE_NoName_00_ 3" xfId="97" xr:uid="{7319179E-0B85-46E9-90A3-0630CCB7318F}"/>
    <cellStyle name="_ET_STYLE_NoName_00_ 3 2" xfId="15101" xr:uid="{F18A3E65-EFB8-48A5-9D27-DAFC7408F2E7}"/>
    <cellStyle name="_ET_STYLE_NoName_00_ 3_动力部" xfId="15102" xr:uid="{482AE067-8082-4E80-A77A-242E983FC5EF}"/>
    <cellStyle name="_ET_STYLE_NoName_00_ 4" xfId="9365" xr:uid="{1A43C1C6-2CCF-41A9-8784-A9B64B46B8EF}"/>
    <cellStyle name="_ET_STYLE_NoName_00_ 5" xfId="11966" xr:uid="{027B3BA8-BC38-4E5B-B14B-DE594DFA9A8F}"/>
    <cellStyle name="_ET_STYLE_NoName_00_ 6" xfId="14338" xr:uid="{2BC21656-51ED-4D1C-A290-E01FEC534EF5}"/>
    <cellStyle name="_ET_STYLE_NoName_00_ 7" xfId="15098" xr:uid="{D6B4C1AB-C29A-46B6-AFDD-5A5E45F5C205}"/>
    <cellStyle name="_ET_STYLE_NoName_00_ 8" xfId="27133" xr:uid="{2E82FCE6-E146-4B1A-BB7A-11750B9AF4B4}"/>
    <cellStyle name="_ET_STYLE_NoName_00__09年4月分析底表" xfId="15103" xr:uid="{4811582C-6434-4517-9CF4-53DD1B3E6953}"/>
    <cellStyle name="_ET_STYLE_NoName_00__09年4月分析底表 2" xfId="15104" xr:uid="{074A5177-71C5-4F14-88B6-77EAA799D7C6}"/>
    <cellStyle name="_ET_STYLE_NoName_00__09年4月分析底表_14年预算降本措施11.22" xfId="15105" xr:uid="{6B5B60EE-E2ED-4171-BEAB-6DEC462320F0}"/>
    <cellStyle name="_ET_STYLE_NoName_00__09年4月分析底表_14年预算降本措施11.22 2" xfId="15106" xr:uid="{BBFD4A19-9B0B-47B4-8F16-FD0694CA2E29}"/>
    <cellStyle name="_ET_STYLE_NoName_00__09年4月分析底表_14年预算降本措施11.22_动力部" xfId="15107" xr:uid="{CE8FFE22-9872-4007-A371-5A6EE94CBE5B}"/>
    <cellStyle name="_ET_STYLE_NoName_00__09年4月分析底表_2012厂各单位预算指标分解2012.3.31" xfId="15108" xr:uid="{E7976C68-4BE2-46F9-84C4-94F91F31905B}"/>
    <cellStyle name="_ET_STYLE_NoName_00__09年4月分析底表_2013" xfId="15109" xr:uid="{B2474341-4E6C-4737-89E2-7CC794B66F28}"/>
    <cellStyle name="_ET_STYLE_NoName_00__09年4月分析底表_2013 2" xfId="15110" xr:uid="{D4272C8F-256E-430B-9935-68911E1E5D80}"/>
    <cellStyle name="_ET_STYLE_NoName_00__09年4月分析底表_2013_动力部" xfId="15111" xr:uid="{F6F77132-29F5-459D-B9EC-3C8C1A1D8EDD}"/>
    <cellStyle name="_ET_STYLE_NoName_00__09年4月分析底表_2013年复合材料厂产能及降本预算10" xfId="15112" xr:uid="{37EC2C8E-973C-47D1-8FF6-C24165EF40CF}"/>
    <cellStyle name="_ET_STYLE_NoName_00__09年4月分析底表_2013年复合材料厂产能及降本预算10.29" xfId="15113" xr:uid="{CE8E2C9F-43E6-4D9D-8C45-BED4843CDBD3}"/>
    <cellStyle name="_ET_STYLE_NoName_00__09年4月分析底表_2013年尖山铁矿全面预算11.07" xfId="15114" xr:uid="{A200EF4C-3710-43A2-931E-DE68FD47E173}"/>
    <cellStyle name="_ET_STYLE_NoName_00__09年4月分析底表_2014产能预算初稿12.18.1(1)" xfId="15115" xr:uid="{7CF67FEC-24DC-4A3D-9658-AD4640F7B6C0}"/>
    <cellStyle name="_ET_STYLE_NoName_00__09年4月分析底表_2014年产量预算初稿" xfId="15116" xr:uid="{1D179888-1400-40F9-9B80-B2DF8F3326B1}"/>
    <cellStyle name="_ET_STYLE_NoName_00__09年4月分析底表_2014年产量预算初稿 2" xfId="15117" xr:uid="{B504AF92-0856-417C-BD0B-2E129B20CEEF}"/>
    <cellStyle name="_ET_STYLE_NoName_00__09年4月分析底表_2014年产量预算初稿_动力部" xfId="15118" xr:uid="{12BAAED3-5143-4B29-9B77-4EDF38BFB31E}"/>
    <cellStyle name="_ET_STYLE_NoName_00__09年4月分析底表_复合材料厂2013年预算12.12 (version 1)" xfId="15119" xr:uid="{11CB57C5-248C-4632-9A12-12B9C80B2F67}"/>
    <cellStyle name="_ET_STYLE_NoName_00__09年4月分析底表_复合材料厂2013年预算12.12 (version 1) 2" xfId="15120" xr:uid="{27857CC0-AF91-4AF8-A86D-2549D6BCB9EB}"/>
    <cellStyle name="_ET_STYLE_NoName_00__09年4月分析底表_复合材料厂2013年预算12.12 (version 1)_动力部" xfId="15121" xr:uid="{EAD4536F-33FF-46DE-892A-26ABD1E2A6EA}"/>
    <cellStyle name="_ET_STYLE_NoName_00__09年4月分析底表_复合材料厂2013年预算13.02.20" xfId="15122" xr:uid="{24C34566-9C60-4089-8F46-E36D073AED24}"/>
    <cellStyle name="_ET_STYLE_NoName_00__09年4月分析底表_复合材料厂2013年预算13.02.20 2" xfId="15123" xr:uid="{F00BCCA5-7D76-41FB-9173-8460CD41CF9F}"/>
    <cellStyle name="_ET_STYLE_NoName_00__09年4月分析底表_复合材料厂2013年预算13.02.20_动力部" xfId="15124" xr:uid="{892D3724-AF0C-44CB-B523-4828D43E0A9E}"/>
    <cellStyle name="_ET_STYLE_NoName_00__09年4月分析底表_复合材料厂2014年预算1.15" xfId="15125" xr:uid="{024F0BA2-0ADC-4C55-B633-0B10E50FE57A}"/>
    <cellStyle name="_ET_STYLE_NoName_00__09年4月分析底表_复合材料厂2014年预算1.15 2" xfId="15126" xr:uid="{12894943-E192-4D6B-9B28-811214B63A6F}"/>
    <cellStyle name="_ET_STYLE_NoName_00__09年4月分析底表_复合材料厂2014年预算1.15_动力部" xfId="15127" xr:uid="{61FEEC19-BD38-4C42-9604-1A5D6D549F7A}"/>
    <cellStyle name="_ET_STYLE_NoName_00__09年4月分析底表_复件 复合材料厂2014年预算12.13" xfId="15128" xr:uid="{E01ACD8D-BC0F-4FEA-8AC4-E1ED49F65D65}"/>
    <cellStyle name="_ET_STYLE_NoName_00__09年4月分析底表_复件 复合材料厂2014年预算12.13 2" xfId="15129" xr:uid="{C6939CC0-B480-4FFC-93DC-8F6C056DD6DB}"/>
    <cellStyle name="_ET_STYLE_NoName_00__09年4月分析底表_复件 复合材料厂2014年预算12.13_动力部" xfId="15130" xr:uid="{9D6CDE63-42D8-438D-A8CD-45DDEBC73E3F}"/>
    <cellStyle name="_ET_STYLE_NoName_00__09年4月分析底表_副本2013年复合材料厂产能及降本预算10.25" xfId="15131" xr:uid="{D773A113-2556-433D-845D-F93DA8852957}"/>
    <cellStyle name="_ET_STYLE_NoName_00__09年4月分析底表_副本矿业公司汇总及汇报初稿（复合材料厂）" xfId="15132" xr:uid="{93E25643-F718-42B9-AD89-FE4D080E5910}"/>
    <cellStyle name="_ET_STYLE_NoName_00__09年4月分析底表_副本太钢复合材料厂2013修理费预算12.13" xfId="15133" xr:uid="{154BACF1-4491-4844-8685-A1E8135CD6B3}"/>
    <cellStyle name="_ET_STYLE_NoName_00__09年4月分析底表_副本太钢复合材料厂2014修理费预算及分解10.17(修改后)" xfId="15134" xr:uid="{B8010FA0-1F07-4941-B924-5FDDCB6A581F}"/>
    <cellStyle name="_ET_STYLE_NoName_00__09年4月分析底表_上报复合材料厂2013年预算10.20" xfId="15135" xr:uid="{4E77155E-6DB6-4E6C-96A3-950C3D9E08F8}"/>
    <cellStyle name="_ET_STYLE_NoName_00__09年4月分析底表_上报复合材料厂2013年预算10.20 2" xfId="15136" xr:uid="{5F4AD9E4-0DCF-4FC8-80F2-7EAA59D4D1BA}"/>
    <cellStyle name="_ET_STYLE_NoName_00__09年4月分析底表_上报复合材料厂2013年预算10.20_动力部" xfId="15137" xr:uid="{1D35EB33-5507-48B8-9449-5CD021C01573}"/>
    <cellStyle name="_ET_STYLE_NoName_00__09年4月分析底表_太钢复合材料厂2013修理费预算10.27改" xfId="15138" xr:uid="{CA12F5D7-A3F8-4BFA-B216-11351FD276CF}"/>
    <cellStyle name="_ET_STYLE_NoName_00__12月尖山铁矿作业区评价(孙工)" xfId="15139" xr:uid="{9FAC30B8-5CCC-4E89-B88E-C1BC650247A1}"/>
    <cellStyle name="_ET_STYLE_NoName_00__14年预算降本措施11.22" xfId="15140" xr:uid="{665CC7AC-6607-447E-A80B-437127F28F13}"/>
    <cellStyle name="_ET_STYLE_NoName_00__14年预算降本措施11.22 2" xfId="15141" xr:uid="{EC32DDF8-0B12-4D63-8B7E-C1A815A10998}"/>
    <cellStyle name="_ET_STYLE_NoName_00__14年预算降本措施11.22_动力部" xfId="15142" xr:uid="{3FF829D1-8CAE-445B-A608-C6CA06ED1F24}"/>
    <cellStyle name="_ET_STYLE_NoName_00__1月外协费用报表" xfId="15143" xr:uid="{8FBA1FD8-8C30-4476-B967-963BF2721EF8}"/>
    <cellStyle name="_ET_STYLE_NoName_00__200905尖山单位成本结构分析表" xfId="15144" xr:uid="{F6E0AAEB-31FD-4505-8706-7AF51C99F60A}"/>
    <cellStyle name="_ET_STYLE_NoName_00__200905尖山单位成本结构分析表 2" xfId="15145" xr:uid="{28C68F83-BEA0-4E8A-9F97-976D7AD61A61}"/>
    <cellStyle name="_ET_STYLE_NoName_00__200905尖山单位成本结构分析表_14年预算降本措施11.22" xfId="15146" xr:uid="{E510DCEA-F07A-4A46-A839-CDBE6BFB09A3}"/>
    <cellStyle name="_ET_STYLE_NoName_00__200905尖山单位成本结构分析表_14年预算降本措施11.22 2" xfId="15147" xr:uid="{AD1B302F-FFC1-4C1F-AD9F-830A49561057}"/>
    <cellStyle name="_ET_STYLE_NoName_00__200905尖山单位成本结构分析表_14年预算降本措施11.22_动力部" xfId="15148" xr:uid="{953E1949-F40E-43DA-BA4D-EC507FAA4952}"/>
    <cellStyle name="_ET_STYLE_NoName_00__200905尖山单位成本结构分析表_2012厂各单位预算指标分解2012.3.31" xfId="15149" xr:uid="{97C7ACB7-3BCC-46CB-AF77-28B15480864E}"/>
    <cellStyle name="_ET_STYLE_NoName_00__200905尖山单位成本结构分析表_2013" xfId="15150" xr:uid="{6E40D06D-E1E8-4E47-99AD-1091205E4282}"/>
    <cellStyle name="_ET_STYLE_NoName_00__200905尖山单位成本结构分析表_2013 2" xfId="15151" xr:uid="{021DAD40-2B5A-4715-97B3-51EB4390A89E}"/>
    <cellStyle name="_ET_STYLE_NoName_00__200905尖山单位成本结构分析表_2013_动力部" xfId="15152" xr:uid="{16008629-0DE1-4F15-A05F-2DEB7F7C38E6}"/>
    <cellStyle name="_ET_STYLE_NoName_00__200905尖山单位成本结构分析表_2013年复合材料厂产能及降本预算10" xfId="15153" xr:uid="{6D4A8749-D597-4EB7-859E-CB18113404EF}"/>
    <cellStyle name="_ET_STYLE_NoName_00__200905尖山单位成本结构分析表_2013年复合材料厂产能及降本预算10.29" xfId="15154" xr:uid="{41655290-4457-4381-A7D6-7DB9C6CC5737}"/>
    <cellStyle name="_ET_STYLE_NoName_00__200905尖山单位成本结构分析表_2013年尖山铁矿全面预算11.07" xfId="15155" xr:uid="{903A864B-9A4D-47D6-816E-A29ACB47EC02}"/>
    <cellStyle name="_ET_STYLE_NoName_00__200905尖山单位成本结构分析表_2014产能预算初稿12.18.1(1)" xfId="15156" xr:uid="{BDA716CA-CE53-4585-A73A-5A7F1306ED37}"/>
    <cellStyle name="_ET_STYLE_NoName_00__200905尖山单位成本结构分析表_2014年产量预算初稿" xfId="15157" xr:uid="{5CC2BA25-F9C3-47CC-ABBB-EA2A5BB35D3C}"/>
    <cellStyle name="_ET_STYLE_NoName_00__200905尖山单位成本结构分析表_2014年产量预算初稿 2" xfId="15158" xr:uid="{54409218-4318-49D0-AE03-38267698A465}"/>
    <cellStyle name="_ET_STYLE_NoName_00__200905尖山单位成本结构分析表_2014年产量预算初稿_动力部" xfId="15159" xr:uid="{8211C992-DBD7-42F4-A216-D103C5D0216C}"/>
    <cellStyle name="_ET_STYLE_NoName_00__200905尖山单位成本结构分析表_复合材料厂2013年预算12.12 (version 1)" xfId="15160" xr:uid="{0BAD63BC-954D-4967-B730-CFC217AFD27A}"/>
    <cellStyle name="_ET_STYLE_NoName_00__200905尖山单位成本结构分析表_复合材料厂2013年预算12.12 (version 1) 2" xfId="15161" xr:uid="{02CEF56D-2F99-435D-A825-C154163EBD28}"/>
    <cellStyle name="_ET_STYLE_NoName_00__200905尖山单位成本结构分析表_复合材料厂2013年预算12.12 (version 1)_动力部" xfId="15162" xr:uid="{706F63F3-2DCB-4579-9CCC-568D65AB1BAB}"/>
    <cellStyle name="_ET_STYLE_NoName_00__200905尖山单位成本结构分析表_复合材料厂2013年预算13.02.20" xfId="15163" xr:uid="{3127E830-5DFE-4A6A-89E5-04C204F931BE}"/>
    <cellStyle name="_ET_STYLE_NoName_00__200905尖山单位成本结构分析表_复合材料厂2013年预算13.02.20 2" xfId="15164" xr:uid="{4DAE63B3-6BDE-48FA-86B7-C75FD9C805DE}"/>
    <cellStyle name="_ET_STYLE_NoName_00__200905尖山单位成本结构分析表_复合材料厂2013年预算13.02.20_动力部" xfId="15165" xr:uid="{CC3826FA-31B2-40BD-A8F7-A41E85136272}"/>
    <cellStyle name="_ET_STYLE_NoName_00__200905尖山单位成本结构分析表_复合材料厂2014年预算1.15" xfId="15166" xr:uid="{0CCB3597-853E-4E5F-8D2D-9827C6B9C0CF}"/>
    <cellStyle name="_ET_STYLE_NoName_00__200905尖山单位成本结构分析表_复合材料厂2014年预算1.15 2" xfId="15167" xr:uid="{E10F301C-526F-494F-978F-69E0E5A94D5C}"/>
    <cellStyle name="_ET_STYLE_NoName_00__200905尖山单位成本结构分析表_复合材料厂2014年预算1.15_动力部" xfId="15168" xr:uid="{DDA5C21F-73EE-4C6C-B085-19B344F9619F}"/>
    <cellStyle name="_ET_STYLE_NoName_00__200905尖山单位成本结构分析表_复件 复合材料厂2014年预算12.13" xfId="15169" xr:uid="{EBB09131-4AB6-4CA0-B1EA-C40D76FB8E72}"/>
    <cellStyle name="_ET_STYLE_NoName_00__200905尖山单位成本结构分析表_复件 复合材料厂2014年预算12.13 2" xfId="15170" xr:uid="{B7D73271-0983-469D-9B64-8A48E712E2FB}"/>
    <cellStyle name="_ET_STYLE_NoName_00__200905尖山单位成本结构分析表_复件 复合材料厂2014年预算12.13_动力部" xfId="15171" xr:uid="{CE800982-AEF8-41B3-A439-10E5B075C13E}"/>
    <cellStyle name="_ET_STYLE_NoName_00__200905尖山单位成本结构分析表_副本2013年复合材料厂产能及降本预算10.25" xfId="15172" xr:uid="{1269E191-4946-40C0-A145-FA175E3CF1F8}"/>
    <cellStyle name="_ET_STYLE_NoName_00__200905尖山单位成本结构分析表_副本矿业公司汇总及汇报初稿（复合材料厂）" xfId="15173" xr:uid="{5241A745-F2B4-46C4-B43A-DE9AF49A3E8B}"/>
    <cellStyle name="_ET_STYLE_NoName_00__200905尖山单位成本结构分析表_副本太钢复合材料厂2013修理费预算12.13" xfId="15174" xr:uid="{F51F89FC-0F5F-427A-A70C-717D233F4B22}"/>
    <cellStyle name="_ET_STYLE_NoName_00__200905尖山单位成本结构分析表_副本太钢复合材料厂2014修理费预算及分解10.17(修改后)" xfId="15175" xr:uid="{82B6ED43-D9CA-40FC-8DBD-6892F9D3C19C}"/>
    <cellStyle name="_ET_STYLE_NoName_00__200905尖山单位成本结构分析表_尖山2014年全面预算稿" xfId="15176" xr:uid="{B3A23B72-256D-4418-827E-2DB552190F6F}"/>
    <cellStyle name="_ET_STYLE_NoName_00__200905尖山单位成本结构分析表_尖山2015年全面预算稿10.20" xfId="15177" xr:uid="{2A28F104-335B-430B-962C-3EF08DE78F03}"/>
    <cellStyle name="_ET_STYLE_NoName_00__200905尖山单位成本结构分析表_上报复合材料厂2013年预算10.20" xfId="15178" xr:uid="{678E06AC-38BE-4E6B-A2EB-B6E82853C28A}"/>
    <cellStyle name="_ET_STYLE_NoName_00__200905尖山单位成本结构分析表_上报复合材料厂2013年预算10.20 2" xfId="15179" xr:uid="{3F227AC1-00E9-4744-A8D3-A92136325A12}"/>
    <cellStyle name="_ET_STYLE_NoName_00__200905尖山单位成本结构分析表_上报复合材料厂2013年预算10.20_动力部" xfId="15180" xr:uid="{DB77C7BB-4334-48E8-B48E-8C206CE9C773}"/>
    <cellStyle name="_ET_STYLE_NoName_00__200905尖山单位成本结构分析表_太钢复合材料厂2013修理费预算10.27改" xfId="15181" xr:uid="{F4BE9727-0542-4487-961E-317D1CA4317D}"/>
    <cellStyle name="_ET_STYLE_NoName_00__201006计划" xfId="15182" xr:uid="{4944CD94-64E0-480B-9FB2-FB1D7C7C6B8E}"/>
    <cellStyle name="_ET_STYLE_NoName_00__2010年10月尖山铁矿作业区评价(孙工)" xfId="15183" xr:uid="{536F2931-19F6-4A65-8B49-9E3B0A8D048B}"/>
    <cellStyle name="_ET_STYLE_NoName_00__2010年10月统计台账(矿业要求)" xfId="15184" xr:uid="{D292F00A-A7CA-49E4-96B7-925EF007B29A}"/>
    <cellStyle name="_ET_STYLE_NoName_00__2010年11月尖山铁矿作业区评价(孙工)" xfId="15185" xr:uid="{AAB28795-0A71-4FF6-9F5E-9FEAE8E5416F}"/>
    <cellStyle name="_ET_STYLE_NoName_00__2010年尖山铁矿全面预算（成稿）" xfId="15186" xr:uid="{3B1137BD-5185-4890-B28D-EA577AEC0F2D}"/>
    <cellStyle name="_ET_STYLE_NoName_00__2011矿业核定项目" xfId="15187" xr:uid="{CFF65F2F-4A26-49CA-AB0E-2766766D8B85}"/>
    <cellStyle name="_ET_STYLE_NoName_00__2011矿业核定项目（最终核定有单价）" xfId="15188" xr:uid="{D1B3B802-618E-49E8-B5A8-D4AEDC4E802F}"/>
    <cellStyle name="_ET_STYLE_NoName_00__2011年投资估算" xfId="15189" xr:uid="{845905A5-122D-4F2E-A793-BA532B17519D}"/>
    <cellStyle name="_ET_STYLE_NoName_00__2012厂各单位预算指标分解2012.3.31" xfId="15190" xr:uid="{8867500F-B9F7-4F03-A31D-71EDEC6C73C0}"/>
    <cellStyle name="_ET_STYLE_NoName_00__2012年产量预算及工序产能预算20111012" xfId="15191" xr:uid="{8E69E206-0F34-44B5-85B0-60588524A7A8}"/>
    <cellStyle name="_ET_STYLE_NoName_00__2012年产量预算及工序产能预算20111012 2" xfId="15192" xr:uid="{B41EFC5D-5FFC-4E48-B3A9-E9094D462138}"/>
    <cellStyle name="_ET_STYLE_NoName_00__2012年产量预算及工序产能预算20111012_尖山2014年全面预算稿" xfId="15193" xr:uid="{CC02CB1C-0555-4C1C-B71E-B1E9E75C5160}"/>
    <cellStyle name="_ET_STYLE_NoName_00__2012年产量预算及工序产能预算20111012_尖山2015年全面预算稿10.20" xfId="15194" xr:uid="{22167CAE-DC51-4CC7-8263-2A492E5EFE6E}"/>
    <cellStyle name="_ET_STYLE_NoName_00__2012年矿业公司分析表样(程燕)" xfId="15195" xr:uid="{C5EFF514-4333-444F-913F-F1174AAA1F40}"/>
    <cellStyle name="_ET_STYLE_NoName_00__2012年矿业公司分析表样(程燕) 2" xfId="15196" xr:uid="{F2655DA4-022B-4E9B-8C64-FBC3AA4F33AE}"/>
    <cellStyle name="_ET_STYLE_NoName_00__2013" xfId="15197" xr:uid="{E8B5C325-4B40-4C6A-9639-308A05382855}"/>
    <cellStyle name="_ET_STYLE_NoName_00__2013 2" xfId="15198" xr:uid="{385F4C49-1993-47AB-8E65-7DCACA8FD3AA}"/>
    <cellStyle name="_ET_STYLE_NoName_00__2013_动力部" xfId="15199" xr:uid="{A39CACE7-DABE-4712-88F4-9590CE7CD4E7}"/>
    <cellStyle name="_ET_STYLE_NoName_00__2013年复合材料厂产能及降本预算10" xfId="15200" xr:uid="{8BBC7603-AEBA-441C-B24E-C43A86F6DC28}"/>
    <cellStyle name="_ET_STYLE_NoName_00__2013年复合材料厂产能及降本预算10.29" xfId="15201" xr:uid="{2B939BC6-2223-4BA6-B9D8-F8E9B18C10EA}"/>
    <cellStyle name="_ET_STYLE_NoName_00__2013年尖山铁矿全面预算11.07" xfId="15202" xr:uid="{79024A8B-B825-4E94-9E35-00B4AD6902DE}"/>
    <cellStyle name="_ET_STYLE_NoName_00__2014产能预算初稿12.18.1(1)" xfId="15203" xr:uid="{C4D14EBC-F76F-49EA-8EFD-2F6F1982C64C}"/>
    <cellStyle name="_ET_STYLE_NoName_00__2014年产量检修工序产能预算(张永定10.23)" xfId="15204" xr:uid="{17E278FA-2A7B-46C2-838A-74445C364DA9}"/>
    <cellStyle name="_ET_STYLE_NoName_00__2014年产量预算初稿" xfId="15205" xr:uid="{B4EC073A-D064-4D84-9D5B-DBB6E752DE89}"/>
    <cellStyle name="_ET_STYLE_NoName_00__2014年产量预算初稿 2" xfId="15206" xr:uid="{2FAF0724-BB08-42BF-864D-50AE69D9C110}"/>
    <cellStyle name="_ET_STYLE_NoName_00__2014年产量预算初稿_动力部" xfId="15207" xr:uid="{B8AEC301-0207-4961-BC55-3692B7436161}"/>
    <cellStyle name="_ET_STYLE_NoName_00__2014年对标指标预算10.30" xfId="15208" xr:uid="{58A23373-DABA-4642-AE28-0DA1E0207E52}"/>
    <cellStyle name="_ET_STYLE_NoName_00__2014年工艺类消耗指标统计" xfId="15209" xr:uid="{4E0EECC7-CE0C-4E6C-AC45-A0374DC8375B}"/>
    <cellStyle name="_ET_STYLE_NoName_00__2014年尖山成本预算（报365万吨-不含胶带)11.4" xfId="15210" xr:uid="{560015C7-2980-497D-8CC1-F3BA42046796}"/>
    <cellStyle name="_ET_STYLE_NoName_00__2014年降本增效指标完成情况" xfId="15211" xr:uid="{A647F89A-6085-44A0-A2A8-934660419428}"/>
    <cellStyle name="_ET_STYLE_NoName_00__2014年质量、技经指标预算" xfId="15212" xr:uid="{5EC57B23-1C0B-4074-A2D8-71E81F22FECA}"/>
    <cellStyle name="_ET_STYLE_NoName_00__2014折旧预算（交付资产折旧）(2)" xfId="15213" xr:uid="{9C08303E-F272-4728-83FD-DACB59133AB3}"/>
    <cellStyle name="_ET_STYLE_NoName_00__2014折旧预算（交付资产折旧）(2)_尖山2014年全面预算稿" xfId="15214" xr:uid="{FF6E8047-2004-4691-90A3-4D7AA9F79AFB}"/>
    <cellStyle name="_ET_STYLE_NoName_00__2014折旧预算（交付资产折旧）(2)_尖山2015年全面预算稿10.20" xfId="15215" xr:uid="{EDDAE9E7-BB25-4585-81D2-ABAF8667CE2E}"/>
    <cellStyle name="_ET_STYLE_NoName_00__2015不利因素分析及整改措施" xfId="15216" xr:uid="{54BEC193-E5FE-46FE-A72F-1C85A03DCAE6}"/>
    <cellStyle name="_ET_STYLE_NoName_00__2015产量及技经预算二稿成本科9.29" xfId="15217" xr:uid="{95BC4F96-5482-4BE8-93D8-013B64DE2DD1}"/>
    <cellStyle name="_ET_STYLE_NoName_00__2015年9月作业区成本" xfId="15218" xr:uid="{B599F13C-B1D5-4921-A2BA-F5F40EEFF28C}"/>
    <cellStyle name="_ET_STYLE_NoName_00__2015年9月作业区成本_尖山铁矿2017年全面预算1.26" xfId="15219" xr:uid="{1F2E9271-1321-47DB-A727-93562CE79B55}"/>
    <cellStyle name="_ET_STYLE_NoName_00__2015年矿业公司工资预算" xfId="15220" xr:uid="{25691842-0B62-4E56-8F5F-23604081ADAE}"/>
    <cellStyle name="_ET_STYLE_NoName_00__2015年矿业公司工资预算 2" xfId="15221" xr:uid="{88D91BE3-7E4B-4220-B492-8DC7C8A8AD39}"/>
    <cellStyle name="_ET_STYLE_NoName_00__2015年利润预算汇总表" xfId="15222" xr:uid="{922DC044-A278-4053-96FE-A9BB409F89DE}"/>
    <cellStyle name="_ET_STYLE_NoName_00__2015年利润预算汇总表 2" xfId="15223" xr:uid="{6CD2D53C-37AB-4065-96C5-429CCD7EC01D}"/>
    <cellStyle name="_ET_STYLE_NoName_00__2015折旧预算（交付资产折旧）" xfId="15224" xr:uid="{FC60217F-447B-4AE2-8654-7A49EBE6EC4E}"/>
    <cellStyle name="_ET_STYLE_NoName_00__2017年12月财务报表（山西太钢鑫磊资源有限公司）12" xfId="15225" xr:uid="{83A94B98-FCAE-434F-A848-9B88A2B0C7CB}"/>
    <cellStyle name="_ET_STYLE_NoName_00__2017年12月成本报表-峨口" xfId="15226" xr:uid="{FE31C25A-BDD4-4866-A5BD-5C8DD0F2D15F}"/>
    <cellStyle name="_ET_STYLE_NoName_00__2017年1月矿业公司（鑫磊）外协费用报表." xfId="15227" xr:uid="{CD6551B4-CB7C-467C-BBF8-7C6D43FF03AB}"/>
    <cellStyle name="_ET_STYLE_NoName_00__2017年全面预算新增表样" xfId="15228" xr:uid="{A206F018-721F-492C-9138-89642D0A50BB}"/>
    <cellStyle name="_ET_STYLE_NoName_00__2017年全面预算新增指标" xfId="15229" xr:uid="{C123170E-207B-41EE-B6B8-87314F5EFD66}"/>
    <cellStyle name="_ET_STYLE_NoName_00__Book1" xfId="15230" xr:uid="{02F956A0-572C-4423-BF1B-AB1ABD6940BC}"/>
    <cellStyle name="_ET_STYLE_NoName_00__Book1 2" xfId="15231" xr:uid="{6D45E18A-15DC-41DB-AF85-BF663F24AD04}"/>
    <cellStyle name="_ET_STYLE_NoName_00__Book1 2 2" xfId="15232" xr:uid="{BF72EBBB-840C-42CD-9BC5-E50C55BE2B25}"/>
    <cellStyle name="_ET_STYLE_NoName_00__Book1 2 3" xfId="15233" xr:uid="{8F97C5B0-0FB3-4DFD-AD90-D75D9977248D}"/>
    <cellStyle name="_ET_STYLE_NoName_00__Book1 2 4" xfId="15234" xr:uid="{267028B0-1F04-47B6-AB17-D69562C14877}"/>
    <cellStyle name="_ET_STYLE_NoName_00__Book1 2 5" xfId="15235" xr:uid="{D35AE815-8974-4D96-84E8-C5E2192AAB96}"/>
    <cellStyle name="_ET_STYLE_NoName_00__Book1 2 6" xfId="15236" xr:uid="{70D6FCDA-AB75-4DB0-89CD-7085E48527AA}"/>
    <cellStyle name="_ET_STYLE_NoName_00__Book1 2 7" xfId="15237" xr:uid="{5675E04E-B14A-4BF7-A5F7-76E431D973AC}"/>
    <cellStyle name="_ET_STYLE_NoName_00__Book1 2_球团工序" xfId="15238" xr:uid="{17994516-5E6C-4856-B4F5-CD701E01F088}"/>
    <cellStyle name="_ET_STYLE_NoName_00__Book1 3" xfId="15239" xr:uid="{60BE4057-2277-46B3-85A1-064CDD9B6AFF}"/>
    <cellStyle name="_ET_STYLE_NoName_00__Book1 4" xfId="15240" xr:uid="{A9BD4DF7-78C4-45EC-8580-A6802BA84D43}"/>
    <cellStyle name="_ET_STYLE_NoName_00__Book1_1" xfId="15241" xr:uid="{2A7E5D99-2BC0-4D6C-867A-4A8335AB5990}"/>
    <cellStyle name="_ET_STYLE_NoName_00__Book1_1 2" xfId="15242" xr:uid="{DCAD83C0-DF76-4378-98EB-BE09AC7DBE48}"/>
    <cellStyle name="_ET_STYLE_NoName_00__Book1_1 2 2" xfId="15243" xr:uid="{D7D7F4C6-84A4-456E-9B3C-F5A596D1E698}"/>
    <cellStyle name="_ET_STYLE_NoName_00__Book1_1 2 3" xfId="15244" xr:uid="{445145A8-EE64-4125-BB49-EFCD9F37A73C}"/>
    <cellStyle name="_ET_STYLE_NoName_00__Book1_1 2 4" xfId="15245" xr:uid="{8CFC3F08-B90F-42DC-A11D-DD9181CB8EAA}"/>
    <cellStyle name="_ET_STYLE_NoName_00__Book1_1 2 5" xfId="15246" xr:uid="{20B8EA6B-F5A3-40FC-9D4D-08E5A562126E}"/>
    <cellStyle name="_ET_STYLE_NoName_00__Book1_1 2 6" xfId="15247" xr:uid="{4AE19C84-7225-42F4-A6B4-DB723419AFFE}"/>
    <cellStyle name="_ET_STYLE_NoName_00__Book1_1 2 7" xfId="15248" xr:uid="{C486A071-F907-450F-99B1-C7CA336D7E7F}"/>
    <cellStyle name="_ET_STYLE_NoName_00__Book1_1 2_球团工序" xfId="15249" xr:uid="{B54EF58C-15EC-4245-9F92-D3F2F1AA928E}"/>
    <cellStyle name="_ET_STYLE_NoName_00__Book1_1 3" xfId="15250" xr:uid="{A459FF1E-1AD6-4445-A550-37A9C669013A}"/>
    <cellStyle name="_ET_STYLE_NoName_00__Book1_1_2015年工艺质量科全面预算" xfId="15251" xr:uid="{E0BFAFF4-2F99-485A-BE17-BE4D1B91EA88}"/>
    <cellStyle name="_ET_STYLE_NoName_00__Book1_1_2015年利润预算汇总表" xfId="15252" xr:uid="{F8823B35-7C41-452B-9E39-00A46040E242}"/>
    <cellStyle name="_ET_STYLE_NoName_00__Book1_1_2015年利润预算汇总表 2" xfId="15253" xr:uid="{3FAF9476-E189-49ED-8037-4E9AC60C2038}"/>
    <cellStyle name="_ET_STYLE_NoName_00__Book1_1_2015年利润预算汇总表 2 2" xfId="15254" xr:uid="{EC502002-7F03-4392-BC52-4CC9BA5D1367}"/>
    <cellStyle name="_ET_STYLE_NoName_00__Book1_1_2015年利润预算汇总表 2 3" xfId="15255" xr:uid="{73426688-193D-447B-B06D-E9CDAAD3B937}"/>
    <cellStyle name="_ET_STYLE_NoName_00__Book1_1_2015年利润预算汇总表 2 4" xfId="15256" xr:uid="{198ABF9A-BC5C-4A33-8E99-2EF1B70C327D}"/>
    <cellStyle name="_ET_STYLE_NoName_00__Book1_1_2015年利润预算汇总表 2 5" xfId="15257" xr:uid="{6BF90831-C8A8-4809-AA8B-7144166BA8CC}"/>
    <cellStyle name="_ET_STYLE_NoName_00__Book1_1_2015年利润预算汇总表 2 6" xfId="15258" xr:uid="{EA1A7FE7-E728-46A5-96B4-BA4CB6CDEA5D}"/>
    <cellStyle name="_ET_STYLE_NoName_00__Book1_1_2015年利润预算汇总表 2 7" xfId="15259" xr:uid="{9561931D-7433-4498-A66B-3D1F289924F9}"/>
    <cellStyle name="_ET_STYLE_NoName_00__Book1_1_2015年利润预算汇总表 3" xfId="15260" xr:uid="{B71CC251-F852-4FC9-B4A5-D63EE87256D4}"/>
    <cellStyle name="_ET_STYLE_NoName_00__Book1_1_2015年利润预算汇总表 4" xfId="15261" xr:uid="{C2F4C3D9-EF4D-4590-B7B0-C9B891A22964}"/>
    <cellStyle name="_ET_STYLE_NoName_00__Book1_1_2015年利润预算汇总表 5" xfId="15262" xr:uid="{615FF047-A1FA-46CC-A3F2-61B0206CE0A2}"/>
    <cellStyle name="_ET_STYLE_NoName_00__Book1_1_2015年利润预算汇总表 6" xfId="15263" xr:uid="{4B68F72D-6EF6-4290-8027-B6A55FAA04FE}"/>
    <cellStyle name="_ET_STYLE_NoName_00__Book1_1_2015年利润预算汇总表 7" xfId="15264" xr:uid="{AF6E7AF4-26F8-4BC6-8AB3-4AFA8E7A7794}"/>
    <cellStyle name="_ET_STYLE_NoName_00__Book1_1_2015年利润预算汇总表 8" xfId="15265" xr:uid="{CC21276E-3D02-4A8C-8553-C18539299752}"/>
    <cellStyle name="_ET_STYLE_NoName_00__Book1_1_2017年全面预算新增表样" xfId="15266" xr:uid="{234AD0A6-77EE-4B27-9A8F-851750A6EB88}"/>
    <cellStyle name="_ET_STYLE_NoName_00__Book1_1_2017年全面预算新增表样 2" xfId="15267" xr:uid="{093AC7F4-9EDF-4D5A-B838-125736A94200}"/>
    <cellStyle name="_ET_STYLE_NoName_00__Book1_1_2017年全面预算新增表样 3" xfId="15268" xr:uid="{759A7048-3C85-4E63-82D6-CC777B885D0C}"/>
    <cellStyle name="_ET_STYLE_NoName_00__Book1_1_2017年全面预算新增表样 4" xfId="15269" xr:uid="{768C6D62-EA80-4B4F-AB1E-9C895D46F591}"/>
    <cellStyle name="_ET_STYLE_NoName_00__Book1_1_2017年全面预算新增表样 5" xfId="15270" xr:uid="{36F1341C-5751-4FCE-82B5-B4A964E984DC}"/>
    <cellStyle name="_ET_STYLE_NoName_00__Book1_1_2017年全面预算新增表样 6" xfId="15271" xr:uid="{2780EC89-F44D-471E-A334-4EB7FE3F82E3}"/>
    <cellStyle name="_ET_STYLE_NoName_00__Book1_1_2017年全面预算新增表样 7" xfId="15272" xr:uid="{5AE4ECAF-F3E9-4AAA-979B-8528BE23E07B}"/>
    <cellStyle name="_ET_STYLE_NoName_00__Book1_1_2017年全面预算新增指标" xfId="15273" xr:uid="{CD2691CB-FF57-45D5-B7AC-554B35482543}"/>
    <cellStyle name="_ET_STYLE_NoName_00__Book1_1_2017年全面预算新增指标 2" xfId="15274" xr:uid="{8641C1AB-629E-4A01-AF2A-B3EBEDE320B2}"/>
    <cellStyle name="_ET_STYLE_NoName_00__Book1_1_2017年全面预算新增指标 3" xfId="15275" xr:uid="{7DE874DE-A01B-438A-A319-9E41ABEBE986}"/>
    <cellStyle name="_ET_STYLE_NoName_00__Book1_1_2017年全面预算新增指标 4" xfId="15276" xr:uid="{2C96C36E-0D8B-4B87-8AC4-0119197EA363}"/>
    <cellStyle name="_ET_STYLE_NoName_00__Book1_1_2017年全面预算新增指标 5" xfId="15277" xr:uid="{0D2142BB-EFE4-4543-AAF0-EAB0762E7EE1}"/>
    <cellStyle name="_ET_STYLE_NoName_00__Book1_1_2017年全面预算新增指标 6" xfId="15278" xr:uid="{5E5D405C-5D60-432A-A154-44068F2F18CC}"/>
    <cellStyle name="_ET_STYLE_NoName_00__Book1_1_2017年全面预算新增指标 7" xfId="15279" xr:uid="{5A440153-7E2B-44A5-B6E6-7B435A0AD9F5}"/>
    <cellStyle name="_ET_STYLE_NoName_00__Book1_1_Book1" xfId="15280" xr:uid="{DE68C5EF-2BC8-4982-8522-935E551D328B}"/>
    <cellStyle name="_ET_STYLE_NoName_00__Book1_1_Book1 2" xfId="15281" xr:uid="{31C1C94B-7EF8-4092-A6E5-E7C5B845B100}"/>
    <cellStyle name="_ET_STYLE_NoName_00__Book1_1_Book1 3" xfId="15282" xr:uid="{341B6AC4-4522-4D9F-8E64-6929D1FF6DF1}"/>
    <cellStyle name="_ET_STYLE_NoName_00__Book1_1_Book1 4" xfId="15283" xr:uid="{396DA320-3BE7-40F0-AB06-F73524983774}"/>
    <cellStyle name="_ET_STYLE_NoName_00__Book1_1_Book1 5" xfId="15284" xr:uid="{12954F18-52E3-4DD2-AC62-AA6FA1A28ED5}"/>
    <cellStyle name="_ET_STYLE_NoName_00__Book1_1_Book1 6" xfId="15285" xr:uid="{50F32041-1A0D-49F8-A262-503F85EF234F}"/>
    <cellStyle name="_ET_STYLE_NoName_00__Book1_1_Book1 7" xfId="15286" xr:uid="{3BC4B51D-57F9-488F-8410-655C4112B4E2}"/>
    <cellStyle name="_ET_STYLE_NoName_00__Book1_1_Book1_球团工序" xfId="15287" xr:uid="{F19BB2CF-B6EB-4BB7-8E5B-051ED6228D4A}"/>
    <cellStyle name="_ET_STYLE_NoName_00__Book1_1_办公室6月完成7月安排" xfId="15288" xr:uid="{3A8341FA-CF11-42A9-9E83-B4B1400FDCF0}"/>
    <cellStyle name="_ET_STYLE_NoName_00__Book1_1_动力预提" xfId="15289" xr:uid="{F2F6C8E4-3891-4DFA-8B57-FB9665032546}"/>
    <cellStyle name="_ET_STYLE_NoName_00__Book1_1_尖山2014年全面预算12.27" xfId="15290" xr:uid="{8B0C66AE-9104-48CF-9D17-C95423371AF4}"/>
    <cellStyle name="_ET_STYLE_NoName_00__Book1_1_尖山矿2017年产量预算及不利因素影响报" xfId="15291" xr:uid="{44D7E7F8-6503-49FC-BFF7-674DA5BF5ABB}"/>
    <cellStyle name="_ET_STYLE_NoName_00__Book1_1_尖山矿2017年产量预算及不利因素影响报 2" xfId="15292" xr:uid="{BE75CDF3-7439-442C-8337-9B9E220D3B9A}"/>
    <cellStyle name="_ET_STYLE_NoName_00__Book1_1_尖山矿2017年产量预算及不利因素影响报 3" xfId="15293" xr:uid="{EA0414B9-50D2-41DA-B5AB-32CF55EA74B8}"/>
    <cellStyle name="_ET_STYLE_NoName_00__Book1_1_尖山矿2017年产量预算及不利因素影响报 4" xfId="15294" xr:uid="{CC55D97F-0BBE-46D9-993F-BC50D5FC1C90}"/>
    <cellStyle name="_ET_STYLE_NoName_00__Book1_1_尖山矿2017年产量预算及不利因素影响报 5" xfId="15295" xr:uid="{5091E3BE-A4CA-4167-80C4-9892E98D7281}"/>
    <cellStyle name="_ET_STYLE_NoName_00__Book1_1_尖山矿2017年产量预算及不利因素影响报 6" xfId="15296" xr:uid="{C4697F27-0F8B-4204-A485-0310E930EECE}"/>
    <cellStyle name="_ET_STYLE_NoName_00__Book1_1_尖山矿2017年产量预算及不利因素影响报 7" xfId="15297" xr:uid="{18D41A52-D7A5-48D9-AA23-6BE601B9D253}"/>
    <cellStyle name="_ET_STYLE_NoName_00__Book1_1_尖山铁矿2015年全面预算" xfId="15298" xr:uid="{49613315-E19A-429C-BFE6-EDB997F9A143}"/>
    <cellStyle name="_ET_STYLE_NoName_00__Book1_1_尖山铁矿2015年全面预算 2" xfId="15299" xr:uid="{5EC52C01-5F6D-4AF5-B80E-6E1CC85D5C1A}"/>
    <cellStyle name="_ET_STYLE_NoName_00__Book1_1_尖山铁矿2015年全面预算 3" xfId="15300" xr:uid="{3BA8ED66-D0DA-400A-8BFA-9A9A667A7BE8}"/>
    <cellStyle name="_ET_STYLE_NoName_00__Book1_1_尖山铁矿2015年全面预算 4" xfId="15301" xr:uid="{603138A3-C890-4156-9FC6-A4A7C2C1BB56}"/>
    <cellStyle name="_ET_STYLE_NoName_00__Book1_1_尖山铁矿2015年全面预算 5" xfId="15302" xr:uid="{F3641B52-56D3-46F9-8B20-184FDE9FD6D4}"/>
    <cellStyle name="_ET_STYLE_NoName_00__Book1_1_尖山铁矿2015年全面预算 6" xfId="15303" xr:uid="{4525AC22-F083-413C-B4D5-C283C76C5BAC}"/>
    <cellStyle name="_ET_STYLE_NoName_00__Book1_1_尖山铁矿2015年全面预算 7" xfId="15304" xr:uid="{BB6E64C6-2779-4293-8FE3-5B93DFDED17B}"/>
    <cellStyle name="_ET_STYLE_NoName_00__Book1_1_尖山铁矿2015年全面预算--挂在内网的正式稿" xfId="15305" xr:uid="{811164F8-BB8F-4D3F-8A56-F82E30A36345}"/>
    <cellStyle name="_ET_STYLE_NoName_00__Book1_1_尖山铁矿2015年全面预算--挂在内网的正式稿 2" xfId="15306" xr:uid="{9D577E28-1752-4820-BFE0-B3E89C420130}"/>
    <cellStyle name="_ET_STYLE_NoName_00__Book1_1_尖山铁矿2015年全面预算--挂在内网的正式稿 3" xfId="15307" xr:uid="{908371E7-1749-4E3A-A925-3007255A29F9}"/>
    <cellStyle name="_ET_STYLE_NoName_00__Book1_1_尖山铁矿2015年全面预算--挂在内网的正式稿 4" xfId="15308" xr:uid="{49E4C446-80B7-472C-9F85-946EF59C2BC8}"/>
    <cellStyle name="_ET_STYLE_NoName_00__Book1_1_尖山铁矿2015年全面预算--挂在内网的正式稿 5" xfId="15309" xr:uid="{D6910591-6EE2-4D8F-85CB-A58FCEE7E4E1}"/>
    <cellStyle name="_ET_STYLE_NoName_00__Book1_1_尖山铁矿2015年全面预算--挂在内网的正式稿 6" xfId="15310" xr:uid="{AD48D0BB-F159-4FF5-A6BA-2229EC5DBC5A}"/>
    <cellStyle name="_ET_STYLE_NoName_00__Book1_1_尖山铁矿2015年全面预算--挂在内网的正式稿 7" xfId="15311" xr:uid="{C29A9FA4-5676-4357-86AD-D739D104EBB4}"/>
    <cellStyle name="_ET_STYLE_NoName_00__Book1_1_矿业公司2014年全面预算稿（机关费用）" xfId="15312" xr:uid="{80177FF9-F7E9-47A4-A842-8B0149655256}"/>
    <cellStyle name="_ET_STYLE_NoName_00__Book1_1_矿业公司2014年全面预算稿（机关费用） 2" xfId="15313" xr:uid="{8EADE491-73CC-440E-BF9B-4114E58BFBA0}"/>
    <cellStyle name="_ET_STYLE_NoName_00__Book1_1_利润表(4)" xfId="15314" xr:uid="{ECE8D096-0B9A-4399-847B-CA71CBA75368}"/>
    <cellStyle name="_ET_STYLE_NoName_00__Book1_1_利润表(4)_10月球团产品成本表" xfId="15315" xr:uid="{77E17E92-540D-41DC-96C6-2B90E97BD7BF}"/>
    <cellStyle name="_ET_STYLE_NoName_00__Book1_1_利润表(4)_11月球团产品成本表" xfId="15316" xr:uid="{2E861AC2-B40C-4A2B-95D5-64E2B20645EB}"/>
    <cellStyle name="_ET_STYLE_NoName_00__Book1_1_利润表(4)_11月球团产品成本表_1" xfId="15317" xr:uid="{86D4CE44-1A70-4B72-8BF0-E2825914218D}"/>
    <cellStyle name="_ET_STYLE_NoName_00__Book1_1_利润表(4)_待摊 (自产)" xfId="15318" xr:uid="{1AF78EF7-AE24-434C-B592-4BF625225F0E}"/>
    <cellStyle name="_ET_STYLE_NoName_00__Book1_1_利润表(4)_待摊 (自产)_10月球团产品成本表" xfId="15319" xr:uid="{341D8F20-1F4E-4059-A5EC-455641FF98CB}"/>
    <cellStyle name="_ET_STYLE_NoName_00__Book1_1_利润表(4)_待摊 (自产)_11月球团产品成本表" xfId="15320" xr:uid="{E97400F9-52F8-4414-AFC8-B49DB9044F13}"/>
    <cellStyle name="_ET_STYLE_NoName_00__Book1_1_利润表(4)_待摊 (自产)_11月球团产品成本表_1" xfId="15321" xr:uid="{D54410FD-BA08-409C-8D7E-28520922AAA4}"/>
    <cellStyle name="_ET_STYLE_NoName_00__Book1_1_利润表(4)_球团工序" xfId="15322" xr:uid="{94F883C1-5B02-4AA5-B857-167C1B7DA752}"/>
    <cellStyle name="_ET_STYLE_NoName_00__Book1_1_重点工作" xfId="15323" xr:uid="{32FF0D85-2A89-47F2-8A75-AB28E3DBADC2}"/>
    <cellStyle name="_ET_STYLE_NoName_00__Book1_1_专项费用(斤斤)" xfId="15324" xr:uid="{D3B150D9-39AC-48BA-9700-C6A03BEEBC00}"/>
    <cellStyle name="_ET_STYLE_NoName_00__Book1_1_专项费用(斤斤) 2" xfId="15325" xr:uid="{9939826D-92F1-4658-9DF3-593B965412AC}"/>
    <cellStyle name="_ET_STYLE_NoName_00__Book1_1_专项费用(斤斤) 3" xfId="15326" xr:uid="{E7C12E8E-B23B-44E3-B072-F1A65601B16B}"/>
    <cellStyle name="_ET_STYLE_NoName_00__Book1_1_专项费用(斤斤) 4" xfId="15327" xr:uid="{33B70FC3-0F2C-4124-8463-AC7065071BF0}"/>
    <cellStyle name="_ET_STYLE_NoName_00__Book1_1_专项费用(斤斤) 5" xfId="15328" xr:uid="{A748D9ED-34C3-4D4D-BF73-CFD01913BF25}"/>
    <cellStyle name="_ET_STYLE_NoName_00__Book1_1_专项费用(斤斤) 6" xfId="15329" xr:uid="{D1758433-9C77-4273-963E-FF2D197C1DA9}"/>
    <cellStyle name="_ET_STYLE_NoName_00__Book1_1_专项费用(斤斤) 7" xfId="15330" xr:uid="{006EFD9D-190B-44CF-937F-380986253189}"/>
    <cellStyle name="_ET_STYLE_NoName_00__Book1_2" xfId="15331" xr:uid="{40F9C5BA-B439-4B24-BF62-B3EA548EE9AD}"/>
    <cellStyle name="_ET_STYLE_NoName_00__Book1_2 2" xfId="15332" xr:uid="{E18D2203-450D-4FB2-B39A-521E0F094D68}"/>
    <cellStyle name="_ET_STYLE_NoName_00__Book1_2 2 2" xfId="15333" xr:uid="{6FB494C3-10A2-45CD-A0A2-842756832677}"/>
    <cellStyle name="_ET_STYLE_NoName_00__Book1_2 2 3" xfId="15334" xr:uid="{6F20D6B0-367D-4E64-89FA-ACC8D1A91D1F}"/>
    <cellStyle name="_ET_STYLE_NoName_00__Book1_2 2 4" xfId="15335" xr:uid="{37194CF0-8F7B-4796-8473-EB582B67200C}"/>
    <cellStyle name="_ET_STYLE_NoName_00__Book1_2 2 5" xfId="15336" xr:uid="{5BF11035-8DAB-4F66-BC47-593818BA51B1}"/>
    <cellStyle name="_ET_STYLE_NoName_00__Book1_2 2 6" xfId="15337" xr:uid="{7BFEC8D2-5BF2-4605-8CFE-5D1B76DC1170}"/>
    <cellStyle name="_ET_STYLE_NoName_00__Book1_2 2 7" xfId="15338" xr:uid="{3F5062D4-B5A2-4F0B-956C-23B22D4C0E1B}"/>
    <cellStyle name="_ET_STYLE_NoName_00__Book1_2 2_球团工序" xfId="15339" xr:uid="{00F40F83-43AA-441C-94B4-916724687589}"/>
    <cellStyle name="_ET_STYLE_NoName_00__Book1_2_07月球团产品成本表" xfId="15340" xr:uid="{BF42B919-3005-4EB5-BEE2-29B1833D2E67}"/>
    <cellStyle name="_ET_STYLE_NoName_00__Book1_2_07月球团产品成本表_09月球团产品成本表 " xfId="15341" xr:uid="{7634F447-98A7-4330-81E3-CBDA8690A4AA}"/>
    <cellStyle name="_ET_STYLE_NoName_00__Book1_2_07月球团产品成本表_09月球团产品成本表 _10月球团产品成本表" xfId="15342" xr:uid="{DD57C9B1-C768-43AF-A449-C8846BE6FFCF}"/>
    <cellStyle name="_ET_STYLE_NoName_00__Book1_2_07月球团产品成本表_09月球团产品成本表 _11月球团产品成本表" xfId="15343" xr:uid="{0E09FA94-1FC0-40A6-B831-09B46304B875}"/>
    <cellStyle name="_ET_STYLE_NoName_00__Book1_2_07月球团产品成本表_09月球团产品成本表 _11月球团产品成本表_1" xfId="15344" xr:uid="{4525227E-765C-44FD-BF3E-29290BDD3C07}"/>
    <cellStyle name="_ET_STYLE_NoName_00__Book1_2_07月球团产品成本表_10月球团产品成本表" xfId="15345" xr:uid="{9AF34578-BB90-46C9-9271-122B535B3359}"/>
    <cellStyle name="_ET_STYLE_NoName_00__Book1_2_07月球团产品成本表_11月球团产品成本表" xfId="15346" xr:uid="{81715371-2C4C-4D51-B80C-068B6A2177A6}"/>
    <cellStyle name="_ET_STYLE_NoName_00__Book1_2_07月球团产品成本表_11月球团产品成本表_1" xfId="15347" xr:uid="{44194E80-A4A4-4B2F-A403-E42ADE7CEECB}"/>
    <cellStyle name="_ET_STYLE_NoName_00__Book1_2_07月球团产品成本表_Sheet5" xfId="15348" xr:uid="{9FD86781-C5B2-423A-A769-1AA69E7857C2}"/>
    <cellStyle name="_ET_STYLE_NoName_00__Book1_2_07月球团产品成本表_待摊 (自产)" xfId="15349" xr:uid="{9D4D2C77-3749-4245-9287-ECCB65946A93}"/>
    <cellStyle name="_ET_STYLE_NoName_00__Book1_2_07月球团产品成本表_待摊 (自产)_1" xfId="15350" xr:uid="{18F1EE08-E534-4A5D-8914-5E30F96922D0}"/>
    <cellStyle name="_ET_STYLE_NoName_00__Book1_2_07月球团产品成本表_待摊 (自产)_1_10月球团产品成本表" xfId="15351" xr:uid="{1FE2968F-7856-4FDA-91CC-85C1395FEB28}"/>
    <cellStyle name="_ET_STYLE_NoName_00__Book1_2_07月球团产品成本表_待摊 (自产)_1_11月球团产品成本表" xfId="15352" xr:uid="{96564335-C156-4597-8574-4D1074F33623}"/>
    <cellStyle name="_ET_STYLE_NoName_00__Book1_2_07月球团产品成本表_待摊 (自产)_1_11月球团产品成本表_1" xfId="15353" xr:uid="{F361FB1E-ECA4-45A1-B7BF-3899C798D945}"/>
    <cellStyle name="_ET_STYLE_NoName_00__Book1_2_07月球团产品成本表_待摊 (自产)_10月球团产品成本表" xfId="15354" xr:uid="{90D9B7CA-D6EF-42D4-AD1F-9EF069B98CE4}"/>
    <cellStyle name="_ET_STYLE_NoName_00__Book1_2_07月球团产品成本表_待摊 (自产)_11月球团产品成本表" xfId="15355" xr:uid="{A9B00B4D-FA64-4C2F-A1CB-5489FBD2CB2F}"/>
    <cellStyle name="_ET_STYLE_NoName_00__Book1_2_07月球团产品成本表_待摊 (自产)_11月球团产品成本表_1" xfId="15356" xr:uid="{CBBDA41E-69DD-4B53-93D3-967D28F92ACB}"/>
    <cellStyle name="_ET_STYLE_NoName_00__Book1_2_07月球团产品成本表_待摊 (自产)_待摊 (自产)" xfId="15357" xr:uid="{3939F876-E308-413A-AD43-94C04F65AD7D}"/>
    <cellStyle name="_ET_STYLE_NoName_00__Book1_2_07月球团产品成本表_待摊 (自产)_待摊 (自产)_10月球团产品成本表" xfId="15358" xr:uid="{8C294161-FDBB-4398-9868-8359C44BF7F5}"/>
    <cellStyle name="_ET_STYLE_NoName_00__Book1_2_07月球团产品成本表_待摊 (自产)_待摊 (自产)_11月球团产品成本表" xfId="15359" xr:uid="{3ECBDCF8-E93B-4755-B44A-A6472254412E}"/>
    <cellStyle name="_ET_STYLE_NoName_00__Book1_2_07月球团产品成本表_待摊 (自产)_待摊 (自产)_11月球团产品成本表_1" xfId="15360" xr:uid="{62532446-8FBA-4152-9EB3-C16AFE6506B1}"/>
    <cellStyle name="_ET_STYLE_NoName_00__Book1_2_07月球团产品成本表_预提 (自产)" xfId="15361" xr:uid="{E57242D6-1FA6-49A6-AE63-3D4B25F9E6E2}"/>
    <cellStyle name="_ET_STYLE_NoName_00__Book1_2_07月球团产品成本表_预提 (自产)_10月球团产品成本表" xfId="15362" xr:uid="{32371C69-7CCB-4859-836F-B767F94FE9FE}"/>
    <cellStyle name="_ET_STYLE_NoName_00__Book1_2_07月球团产品成本表_预提 (自产)_11月球团产品成本表" xfId="15363" xr:uid="{883C1D5E-A132-40EA-A21C-B5F6CCD4B050}"/>
    <cellStyle name="_ET_STYLE_NoName_00__Book1_2_07月球团产品成本表_预提 (自产)_11月球团产品成本表_1" xfId="15364" xr:uid="{E3315F43-BBBC-4A21-9D3F-1B262F002CC6}"/>
    <cellStyle name="_ET_STYLE_NoName_00__Book1_2_07月球团产品成本表_预提 (自产)_待摊 (自产)" xfId="15365" xr:uid="{311EDA95-AF59-4802-BE39-071B65F12835}"/>
    <cellStyle name="_ET_STYLE_NoName_00__Book1_2_07月球团产品成本表_预提 (自产)_待摊 (自产)_10月球团产品成本表" xfId="15366" xr:uid="{D1A35C03-C6EC-445D-B7D8-A7710301A264}"/>
    <cellStyle name="_ET_STYLE_NoName_00__Book1_2_07月球团产品成本表_预提 (自产)_待摊 (自产)_11月球团产品成本表" xfId="15367" xr:uid="{B2F1990D-D283-487D-990C-D874964715B3}"/>
    <cellStyle name="_ET_STYLE_NoName_00__Book1_2_07月球团产品成本表_预提 (自产)_待摊 (自产)_11月球团产品成本表_1" xfId="15368" xr:uid="{F2846039-FA68-46C2-A1B4-15DA652C5BB0}"/>
    <cellStyle name="_ET_STYLE_NoName_00__Book1_2_09月球团产品成本表 " xfId="15369" xr:uid="{19B19BE8-6AE2-409E-9E22-A6CA459EC5AF}"/>
    <cellStyle name="_ET_STYLE_NoName_00__Book1_2_09月球团产品成本表 _10月球团产品成本表" xfId="15370" xr:uid="{7BC25B2A-4350-4AEC-B0AD-978429053FB3}"/>
    <cellStyle name="_ET_STYLE_NoName_00__Book1_2_09月球团产品成本表 _11月球团产品成本表" xfId="15371" xr:uid="{B02A93B7-5C3B-4167-9475-AC4D7369D0D1}"/>
    <cellStyle name="_ET_STYLE_NoName_00__Book1_2_09月球团产品成本表 _11月球团产品成本表_1" xfId="15372" xr:uid="{5D6204FD-A8C7-4B9B-A028-8477F47A26C2}"/>
    <cellStyle name="_ET_STYLE_NoName_00__Book1_2_10月球团产品成本表" xfId="15373" xr:uid="{24BC21D4-BC19-4E40-8D62-35E30F2B81B9}"/>
    <cellStyle name="_ET_STYLE_NoName_00__Book1_2_11月球团产品成本表" xfId="15374" xr:uid="{27AE9D4F-41FA-4F36-B969-6C69D1FBD038}"/>
    <cellStyle name="_ET_STYLE_NoName_00__Book1_2_11月球团产品成本表_1" xfId="15375" xr:uid="{D5E3B446-1932-40E2-B531-84979E33593A}"/>
    <cellStyle name="_ET_STYLE_NoName_00__Book1_2_Book1" xfId="15376" xr:uid="{D78ABCBB-7586-43B5-B89A-264AD5132DE9}"/>
    <cellStyle name="_ET_STYLE_NoName_00__Book1_2_Book1 2" xfId="15377" xr:uid="{7AEFCC11-0E5C-4FDD-8F09-E0DEA1820F01}"/>
    <cellStyle name="_ET_STYLE_NoName_00__Book1_2_Book1 2 2" xfId="15378" xr:uid="{0CB476EC-4D73-4AAE-A816-28CA43DC93FB}"/>
    <cellStyle name="_ET_STYLE_NoName_00__Book1_2_Book1 2 2 2" xfId="15379" xr:uid="{A784348B-FDDB-4E5C-B5A0-E0BE3C94B1C6}"/>
    <cellStyle name="_ET_STYLE_NoName_00__Book1_2_Book1 2 2_11月球团产品成本表" xfId="15380" xr:uid="{7632C03A-A62C-48EE-AD28-23C15123C70C}"/>
    <cellStyle name="_ET_STYLE_NoName_00__Book1_2_Book1 2 3" xfId="15381" xr:uid="{150223BA-4182-4426-BFD0-92623239340E}"/>
    <cellStyle name="_ET_STYLE_NoName_00__Book1_2_Book1 2 3_11月球团产品成本表" xfId="15382" xr:uid="{423A8995-4777-4D36-A336-AAEA37E1AAE0}"/>
    <cellStyle name="_ET_STYLE_NoName_00__Book1_2_Book1 2 4" xfId="15383" xr:uid="{5F644EC2-18CF-434B-8FE3-F8300F8A935E}"/>
    <cellStyle name="_ET_STYLE_NoName_00__Book1_2_Book1 2 4_11月球团产品成本表" xfId="15384" xr:uid="{E40F1AFA-D7FD-48AC-8CC2-51C90629CE8F}"/>
    <cellStyle name="_ET_STYLE_NoName_00__Book1_2_Book1 2_11月球团产品成本表" xfId="15385" xr:uid="{BCCBB308-0E5E-4E28-A037-B53FA51C1312}"/>
    <cellStyle name="_ET_STYLE_NoName_00__Book1_2_Book1 3" xfId="15386" xr:uid="{B1F66C56-FAAD-4182-9CCE-13FA65304057}"/>
    <cellStyle name="_ET_STYLE_NoName_00__Book1_2_Book1 3 2" xfId="15387" xr:uid="{27FB0818-3BA7-434E-80E0-0A52B792CBBB}"/>
    <cellStyle name="_ET_STYLE_NoName_00__Book1_2_Book1 4" xfId="15388" xr:uid="{125C3F0D-4CF4-4A0F-B7D3-C3C90EE5D977}"/>
    <cellStyle name="_ET_STYLE_NoName_00__Book1_2_Book1 4 2" xfId="15389" xr:uid="{C5CAB553-9386-4E69-91D3-2EF837DE5AEF}"/>
    <cellStyle name="_ET_STYLE_NoName_00__Book1_2_Book1_11月球团产品成本表" xfId="15390" xr:uid="{3E766153-4CA1-4D01-8E24-F310FA8D39CC}"/>
    <cellStyle name="_ET_STYLE_NoName_00__Book1_2_Book1_作业区报表 (2)" xfId="15391" xr:uid="{A92F97AB-8692-468A-8251-6F9BFACF7C7B}"/>
    <cellStyle name="_ET_STYLE_NoName_00__Book1_2_Book1_作业区报表 (2)_11月球团产品成本表" xfId="15392" xr:uid="{A5220E05-5413-4371-979F-F3743CC38476}"/>
    <cellStyle name="_ET_STYLE_NoName_00__Book1_2_Sheet5" xfId="15393" xr:uid="{B176F50D-801F-440A-B189-5C084A054CD2}"/>
    <cellStyle name="_ET_STYLE_NoName_00__Book1_2_待摊 (自产)" xfId="15394" xr:uid="{060134B1-E37E-4A50-808E-88CB94393352}"/>
    <cellStyle name="_ET_STYLE_NoName_00__Book1_2_待摊 (自产)_1" xfId="15395" xr:uid="{8B868637-FC5D-42C0-A5D1-6518BD64AF3D}"/>
    <cellStyle name="_ET_STYLE_NoName_00__Book1_2_待摊 (自产)_1_10月球团产品成本表" xfId="15396" xr:uid="{887A1DBC-8594-4688-B3E1-545AD2660036}"/>
    <cellStyle name="_ET_STYLE_NoName_00__Book1_2_待摊 (自产)_1_11月球团产品成本表" xfId="15397" xr:uid="{BC4E50CE-E6F9-4892-850F-E881D953E455}"/>
    <cellStyle name="_ET_STYLE_NoName_00__Book1_2_待摊 (自产)_1_11月球团产品成本表_1" xfId="15398" xr:uid="{A345E42D-9713-4C83-A683-D52192589120}"/>
    <cellStyle name="_ET_STYLE_NoName_00__Book1_2_待摊 (自产)_10月球团产品成本表" xfId="15399" xr:uid="{2D8A3337-9035-4F25-AB7E-02611422B2E6}"/>
    <cellStyle name="_ET_STYLE_NoName_00__Book1_2_待摊 (自产)_11月球团产品成本表" xfId="15400" xr:uid="{5DE9D79B-DB99-424F-A422-C5CA1B38ADBD}"/>
    <cellStyle name="_ET_STYLE_NoName_00__Book1_2_待摊 (自产)_11月球团产品成本表_1" xfId="15401" xr:uid="{12E7F11E-B0FB-4B89-8E45-69E279C6858C}"/>
    <cellStyle name="_ET_STYLE_NoName_00__Book1_2_待摊 (自产)_待摊 (自产)" xfId="15402" xr:uid="{2E0FBD21-8448-4A40-A5A8-8AAAC0D9B2D9}"/>
    <cellStyle name="_ET_STYLE_NoName_00__Book1_2_待摊 (自产)_待摊 (自产)_10月球团产品成本表" xfId="15403" xr:uid="{2287B8CE-1031-454B-AEA5-2D346CD59654}"/>
    <cellStyle name="_ET_STYLE_NoName_00__Book1_2_待摊 (自产)_待摊 (自产)_11月球团产品成本表" xfId="15404" xr:uid="{3B386883-5633-421A-8401-128DA848E4E7}"/>
    <cellStyle name="_ET_STYLE_NoName_00__Book1_2_待摊 (自产)_待摊 (自产)_11月球团产品成本表_1" xfId="15405" xr:uid="{1F9E5CE1-81A4-4446-BE1E-B173CA3602EC}"/>
    <cellStyle name="_ET_STYLE_NoName_00__Book1_2_动力预提" xfId="15406" xr:uid="{C6DC3D48-1F15-4632-8CCD-5D14F04B2964}"/>
    <cellStyle name="_ET_STYLE_NoName_00__Book1_2_球团工序" xfId="15407" xr:uid="{9406C973-4155-4763-A41A-AA5F6508805A}"/>
    <cellStyle name="_ET_STYLE_NoName_00__Book1_2_预提 (自产)" xfId="15408" xr:uid="{E9379698-533B-4116-A620-63B85DA8752C}"/>
    <cellStyle name="_ET_STYLE_NoName_00__Book1_2_预提 (自产)_09月球团产品成本表 " xfId="15409" xr:uid="{B413961C-001B-4392-BB11-54BBF8B71864}"/>
    <cellStyle name="_ET_STYLE_NoName_00__Book1_2_预提 (自产)_09月球团产品成本表 _10月球团产品成本表" xfId="15410" xr:uid="{2FE1C7C4-72E0-4EEA-9334-FD063CA3E020}"/>
    <cellStyle name="_ET_STYLE_NoName_00__Book1_2_预提 (自产)_09月球团产品成本表 _11月球团产品成本表" xfId="15411" xr:uid="{07B1739C-35E8-4F80-873B-4CA2BAE2A47C}"/>
    <cellStyle name="_ET_STYLE_NoName_00__Book1_2_预提 (自产)_09月球团产品成本表 _11月球团产品成本表_1" xfId="15412" xr:uid="{41ACAC6F-EC5C-4DF5-BBEF-FE3062B8AA3C}"/>
    <cellStyle name="_ET_STYLE_NoName_00__Book1_2_预提 (自产)_1" xfId="15413" xr:uid="{A195CD89-C264-4026-9801-7B4BE01A7D88}"/>
    <cellStyle name="_ET_STYLE_NoName_00__Book1_2_预提 (自产)_1_10月球团产品成本表" xfId="15414" xr:uid="{8E31D712-DA97-4BC7-B7E7-D0C3D4D1E7E3}"/>
    <cellStyle name="_ET_STYLE_NoName_00__Book1_2_预提 (自产)_1_11月球团产品成本表" xfId="15415" xr:uid="{7C436D9B-62AE-45A3-86F9-D70FB5414760}"/>
    <cellStyle name="_ET_STYLE_NoName_00__Book1_2_预提 (自产)_1_11月球团产品成本表_1" xfId="15416" xr:uid="{D4EC54AB-9266-456E-B727-E21B33105043}"/>
    <cellStyle name="_ET_STYLE_NoName_00__Book1_2_预提 (自产)_1_待摊 (自产)" xfId="15417" xr:uid="{AF7845BA-A8BB-40CE-85E3-448694C3E6FD}"/>
    <cellStyle name="_ET_STYLE_NoName_00__Book1_2_预提 (自产)_1_待摊 (自产)_10月球团产品成本表" xfId="15418" xr:uid="{017C9E5F-7918-4D4D-AFAA-B9B2B6A5145D}"/>
    <cellStyle name="_ET_STYLE_NoName_00__Book1_2_预提 (自产)_1_待摊 (自产)_11月球团产品成本表" xfId="15419" xr:uid="{7F002A8E-BC1C-4316-95FC-A6794817070B}"/>
    <cellStyle name="_ET_STYLE_NoName_00__Book1_2_预提 (自产)_1_待摊 (自产)_11月球团产品成本表_1" xfId="15420" xr:uid="{1352F35E-F16A-45FB-AFA3-0DF88779EBF2}"/>
    <cellStyle name="_ET_STYLE_NoName_00__Book1_2_预提 (自产)_10月球团产品成本表" xfId="15421" xr:uid="{D48E2726-5801-4079-A522-5E53F5C1000A}"/>
    <cellStyle name="_ET_STYLE_NoName_00__Book1_2_预提 (自产)_11月球团产品成本表" xfId="15422" xr:uid="{1C350711-9679-4A28-9902-5DE1BFEF4452}"/>
    <cellStyle name="_ET_STYLE_NoName_00__Book1_2_预提 (自产)_11月球团产品成本表_1" xfId="15423" xr:uid="{BC35D6B5-8AC0-4BA0-BD6C-EA97FDA06E19}"/>
    <cellStyle name="_ET_STYLE_NoName_00__Book1_2_预提 (自产)_Sheet5" xfId="15424" xr:uid="{3E8FD9A6-CB79-43C5-8A47-6FB1CF71FA23}"/>
    <cellStyle name="_ET_STYLE_NoName_00__Book1_2_预提 (自产)_待摊 (自产)" xfId="15425" xr:uid="{D9AF2962-8281-4A94-ADEE-432C352527E5}"/>
    <cellStyle name="_ET_STYLE_NoName_00__Book1_2_预提 (自产)_待摊 (自产)_1" xfId="15426" xr:uid="{50247BB3-1F6D-4112-94F8-718F80987D06}"/>
    <cellStyle name="_ET_STYLE_NoName_00__Book1_2_预提 (自产)_待摊 (自产)_1_10月球团产品成本表" xfId="15427" xr:uid="{DF5F06A2-B959-473D-A479-D839EF3EED75}"/>
    <cellStyle name="_ET_STYLE_NoName_00__Book1_2_预提 (自产)_待摊 (自产)_1_11月球团产品成本表" xfId="15428" xr:uid="{CC6BA910-C00F-4118-985F-CD57066B45CE}"/>
    <cellStyle name="_ET_STYLE_NoName_00__Book1_2_预提 (自产)_待摊 (自产)_1_11月球团产品成本表_1" xfId="15429" xr:uid="{AA410C86-8D18-497D-8BE3-C2D9D1BA3262}"/>
    <cellStyle name="_ET_STYLE_NoName_00__Book1_2_预提 (自产)_待摊 (自产)_10月球团产品成本表" xfId="15430" xr:uid="{1B41076B-E545-41F8-BA8E-6110D36B153C}"/>
    <cellStyle name="_ET_STYLE_NoName_00__Book1_2_预提 (自产)_待摊 (自产)_11月球团产品成本表" xfId="15431" xr:uid="{23F3C942-14AA-401A-8ACF-C486D33847DE}"/>
    <cellStyle name="_ET_STYLE_NoName_00__Book1_2_预提 (自产)_待摊 (自产)_11月球团产品成本表_1" xfId="15432" xr:uid="{91E6ED44-0F6F-4506-B83E-7566A475DA77}"/>
    <cellStyle name="_ET_STYLE_NoName_00__Book1_2_预提 (自产)_待摊 (自产)_待摊 (自产)" xfId="15433" xr:uid="{FDE3FB22-9E6B-4A7A-81C9-4F22E206FA2F}"/>
    <cellStyle name="_ET_STYLE_NoName_00__Book1_2_预提 (自产)_待摊 (自产)_待摊 (自产)_10月球团产品成本表" xfId="15434" xr:uid="{94233F17-F7F9-4135-948B-DC44F2AFC3DE}"/>
    <cellStyle name="_ET_STYLE_NoName_00__Book1_2_预提 (自产)_待摊 (自产)_待摊 (自产)_11月球团产品成本表" xfId="15435" xr:uid="{CF2BF218-F97C-4063-B78E-761520E6E51A}"/>
    <cellStyle name="_ET_STYLE_NoName_00__Book1_2_预提 (自产)_待摊 (自产)_待摊 (自产)_11月球团产品成本表_1" xfId="15436" xr:uid="{A3A7016E-03B7-4D4F-B880-BBED21BF6AC1}"/>
    <cellStyle name="_ET_STYLE_NoName_00__Book1_2_预提 (自产)_预提 (自产)" xfId="15437" xr:uid="{98FB0832-D980-4220-8AE0-A0B22B35C8E3}"/>
    <cellStyle name="_ET_STYLE_NoName_00__Book1_2_预提 (自产)_预提 (自产)_10月球团产品成本表" xfId="15438" xr:uid="{CF0CB826-2B6E-4C24-9873-38C5E89AC8CB}"/>
    <cellStyle name="_ET_STYLE_NoName_00__Book1_2_预提 (自产)_预提 (自产)_11月球团产品成本表" xfId="15439" xr:uid="{E95FE9AB-8EA8-485F-82C0-1B102C57F53E}"/>
    <cellStyle name="_ET_STYLE_NoName_00__Book1_2_预提 (自产)_预提 (自产)_11月球团产品成本表_1" xfId="15440" xr:uid="{B0D7DA70-E52E-40F5-B6C6-31BF55F81810}"/>
    <cellStyle name="_ET_STYLE_NoName_00__Book1_2_预提 (自产)_预提 (自产)_待摊 (自产)" xfId="15441" xr:uid="{5A0DE80E-F4D6-425D-83E7-67C84C41200C}"/>
    <cellStyle name="_ET_STYLE_NoName_00__Book1_2_预提 (自产)_预提 (自产)_待摊 (自产)_10月球团产品成本表" xfId="15442" xr:uid="{9D096374-01D6-4E01-BE2D-ABC1BA8B49E6}"/>
    <cellStyle name="_ET_STYLE_NoName_00__Book1_2_预提 (自产)_预提 (自产)_待摊 (自产)_11月球团产品成本表" xfId="15443" xr:uid="{51CD4AED-007D-416E-86FC-A0E48BC3179A}"/>
    <cellStyle name="_ET_STYLE_NoName_00__Book1_2_预提 (自产)_预提 (自产)_待摊 (自产)_11月球团产品成本表_1" xfId="15444" xr:uid="{B54F57AC-C461-471A-8DAD-994FEFF20B79}"/>
    <cellStyle name="_ET_STYLE_NoName_00__Book1_2012年6月份能耗预算" xfId="15445" xr:uid="{3120C1C4-8CBD-4A57-ABCB-02804A653EC6}"/>
    <cellStyle name="_ET_STYLE_NoName_00__Book1_2012年7月产量技经计划" xfId="15446" xr:uid="{4746FDC6-E8F8-49F7-A4E4-B733C3E4D644}"/>
    <cellStyle name="_ET_STYLE_NoName_00__Book1_2012年8月份能耗预算" xfId="15447" xr:uid="{B0FA35D2-41B8-4C72-93FB-025DC9E68032}"/>
    <cellStyle name="_ET_STYLE_NoName_00__Book1_2012年9月份能耗预算" xfId="15448" xr:uid="{37335FA2-EA69-4313-83A3-BF58DEF91F67}"/>
    <cellStyle name="_ET_STYLE_NoName_00__Book1_2012年三季度和7月份能耗预算" xfId="15449" xr:uid="{62EB37FC-E0A2-404A-95A3-F4AAD1B17A61}"/>
    <cellStyle name="_ET_STYLE_NoName_00__Book1_2012年十二月份能耗预算" xfId="15450" xr:uid="{9A960410-DCEB-488D-946E-44F18F941AD4}"/>
    <cellStyle name="_ET_STYLE_NoName_00__Book1_2012年四季度和十月份能耗预算" xfId="15451" xr:uid="{E37F409A-FD8D-4A1C-B120-44108C5A1ECE}"/>
    <cellStyle name="_ET_STYLE_NoName_00__Book1_2014年1月份能耗预算" xfId="15452" xr:uid="{441517D3-D82B-4EB6-B813-87EB300EE5E0}"/>
    <cellStyle name="_ET_STYLE_NoName_00__Book1_2014年4月份内部预算" xfId="15453" xr:uid="{6FBA8B66-8FC1-4208-9064-FCAF7A8946FC}"/>
    <cellStyle name="_ET_STYLE_NoName_00__Book1_2014年降本增效指标完成情况" xfId="15454" xr:uid="{309936E3-E9B3-4E36-9281-283ADE9970F5}"/>
    <cellStyle name="_ET_STYLE_NoName_00__Book1_2015年利润预算汇总表" xfId="15455" xr:uid="{6B1C1CCD-86A6-4BC3-8896-8A17C798A26F}"/>
    <cellStyle name="_ET_STYLE_NoName_00__Book1_2015年利润预算汇总表 2" xfId="15456" xr:uid="{DD594556-F208-4D26-A80B-18E8C640BB9A}"/>
    <cellStyle name="_ET_STYLE_NoName_00__Book1_2月份产量技经指标" xfId="15457" xr:uid="{970D853B-F5AB-4706-A6B6-521F43BA83F5}"/>
    <cellStyle name="_ET_STYLE_NoName_00__Book1_3" xfId="15458" xr:uid="{FD3A8D50-6E34-4A47-B8C1-601F40FB2913}"/>
    <cellStyle name="_ET_STYLE_NoName_00__Book1_3 2" xfId="15459" xr:uid="{203EE79C-6739-4945-8C7F-5AC2B921AEBB}"/>
    <cellStyle name="_ET_STYLE_NoName_00__Book1_3 2 2" xfId="15460" xr:uid="{8B491FDA-E1CF-47F1-8954-13DF2AB60046}"/>
    <cellStyle name="_ET_STYLE_NoName_00__Book1_3 2 2 2" xfId="15461" xr:uid="{64C66F54-CB7B-46A9-B168-3CCAF10EF249}"/>
    <cellStyle name="_ET_STYLE_NoName_00__Book1_3 2 2_11月球团产品成本表" xfId="15462" xr:uid="{7C02408F-F22C-4462-AE85-3AEC00B42C41}"/>
    <cellStyle name="_ET_STYLE_NoName_00__Book1_3 2 3" xfId="15463" xr:uid="{54281222-59F1-4163-AD88-C36855968B30}"/>
    <cellStyle name="_ET_STYLE_NoName_00__Book1_3 2 3_11月球团产品成本表" xfId="15464" xr:uid="{4C1784F8-D7AA-4C92-BCEB-B99819CB73D9}"/>
    <cellStyle name="_ET_STYLE_NoName_00__Book1_3 2 4" xfId="15465" xr:uid="{E5A92437-6117-4C08-92BF-612BCE0DFF5A}"/>
    <cellStyle name="_ET_STYLE_NoName_00__Book1_3 2 4_11月球团产品成本表" xfId="15466" xr:uid="{28B259DB-EDA8-4669-BC22-A9A059B52B92}"/>
    <cellStyle name="_ET_STYLE_NoName_00__Book1_3 2_11月球团产品成本表" xfId="15467" xr:uid="{AC62A81D-1E8A-4B45-963E-4D62B217F528}"/>
    <cellStyle name="_ET_STYLE_NoName_00__Book1_3 3" xfId="15468" xr:uid="{6EE04832-2EC3-41D8-90B8-FEFB78696AB7}"/>
    <cellStyle name="_ET_STYLE_NoName_00__Book1_3 3 2" xfId="15469" xr:uid="{8644270C-5BF1-4356-864D-D0BFEA9202EB}"/>
    <cellStyle name="_ET_STYLE_NoName_00__Book1_3 4" xfId="15470" xr:uid="{75D210D3-5215-4ABC-A0D6-1139BC394EDD}"/>
    <cellStyle name="_ET_STYLE_NoName_00__Book1_3 4 2" xfId="15471" xr:uid="{15573A66-9262-4D95-9348-0A9BAD7273A6}"/>
    <cellStyle name="_ET_STYLE_NoName_00__Book1_3_11月球团产品成本表" xfId="15472" xr:uid="{89463C78-88CE-4F30-A38C-42106C4536D8}"/>
    <cellStyle name="_ET_STYLE_NoName_00__Book1_3_作业区报表 (2)" xfId="15473" xr:uid="{975DD951-C619-4A29-AB3C-2917E98BE6E9}"/>
    <cellStyle name="_ET_STYLE_NoName_00__Book1_3_作业区报表 (2)_11月球团产品成本表" xfId="15474" xr:uid="{9742D17B-F018-43C9-9BCF-74BDBF387D44}"/>
    <cellStyle name="_ET_STYLE_NoName_00__Book1_5月产量技经1" xfId="15475" xr:uid="{D8A56853-3683-459D-AAE1-B8A83B5E5482}"/>
    <cellStyle name="_ET_STYLE_NoName_00__Book1_Book1" xfId="15476" xr:uid="{C2F99BC3-389E-440B-A25F-7B839C57F31E}"/>
    <cellStyle name="_ET_STYLE_NoName_00__Book1_动力预提" xfId="15477" xr:uid="{F4C0D731-6105-4963-9B4C-2ED5B78B8724}"/>
    <cellStyle name="_ET_STYLE_NoName_00__Book1_峨口分析台帐" xfId="15478" xr:uid="{52687B29-F2B9-4D91-8F70-41FCA8F723AD}"/>
    <cellStyle name="_ET_STYLE_NoName_00__Book1_峨矿1月份成本报表(管理)" xfId="15479" xr:uid="{96C40081-3C2E-4CA7-B0B6-09F9F9664D4F}"/>
    <cellStyle name="_ET_STYLE_NoName_00__Book1_降本增效简报底表(杜占杰9.1)" xfId="15480" xr:uid="{3FDFBF34-C1AE-4A12-94CB-423DB4E53DC0}"/>
    <cellStyle name="_ET_STYLE_NoName_00__Book1_矿业公司2014年全面预算稿（机关费用）" xfId="15481" xr:uid="{C265C953-5448-4B79-821F-DB618206F610}"/>
    <cellStyle name="_ET_STYLE_NoName_00__Book1_矿业公司2014年全面预算稿（机关费用） 2" xfId="15482" xr:uid="{8C0D0208-C0CA-49D7-840E-E51014B12062}"/>
    <cellStyle name="_ET_STYLE_NoName_00__Book1_利润表(4)" xfId="15483" xr:uid="{67C8FA69-01B4-4294-83B0-401B59084998}"/>
    <cellStyle name="_ET_STYLE_NoName_00__Book1_十一月份能耗预算" xfId="15484" xr:uid="{0DD4F51E-A805-404F-A934-43FC514C39C0}"/>
    <cellStyle name="_ET_STYLE_NoName_00__Book1_收入利润18" xfId="15485" xr:uid="{38865D3B-4B68-4CA0-B54F-4469A9C21575}"/>
    <cellStyle name="_ET_STYLE_NoName_00__Book1_一月份能耗预算" xfId="15486" xr:uid="{4F2EC74A-D115-4891-BBB5-35CECC7F185A}"/>
    <cellStyle name="_ET_STYLE_NoName_00__Book2" xfId="15487" xr:uid="{67FBB265-F9A9-4407-BCBE-E5DDA1C54991}"/>
    <cellStyle name="_ET_STYLE_NoName_00__Sheet1" xfId="15488" xr:uid="{D45C4A1F-9E6C-40F3-910E-6270F5A3426E}"/>
    <cellStyle name="_ET_STYLE_NoName_00__Sheet1 2" xfId="15489" xr:uid="{252DF6A7-9CFD-4F8C-A059-3F9B40930813}"/>
    <cellStyle name="_ET_STYLE_NoName_00__Sheet2" xfId="15490" xr:uid="{4B2BF3F7-4F0C-46B3-8245-187C11022EAE}"/>
    <cellStyle name="_ET_STYLE_NoName_00__Sheet2 2" xfId="15491" xr:uid="{F4C842A6-45BE-4B02-A973-C73927827E38}"/>
    <cellStyle name="_ET_STYLE_NoName_00__Sheet3" xfId="15492" xr:uid="{5FA24BA9-8F80-464E-B77D-A7CF2BD76059}"/>
    <cellStyle name="_ET_STYLE_NoName_00__Sheet3 2" xfId="15493" xr:uid="{DD1B269B-5C6A-49BC-8322-C96FD330617A}"/>
    <cellStyle name="_ET_STYLE_NoName_00__Sheet3 3" xfId="15494" xr:uid="{246AB296-89E2-45DE-AAA4-CF7C148DF44C}"/>
    <cellStyle name="_ET_STYLE_NoName_00__Sheet3_2014年降本增效指标完成情况" xfId="15495" xr:uid="{52524C84-8E76-4DC1-8156-41C28A2A1C9E}"/>
    <cellStyle name="_ET_STYLE_NoName_00__Sheet3_2015年工艺质量科全面预算" xfId="15496" xr:uid="{7D0CC064-93B0-4D4D-A53C-F268240A7215}"/>
    <cellStyle name="_ET_STYLE_NoName_00__Sheet3_2015年利润预算汇总表" xfId="15497" xr:uid="{DB4DE92F-B8FE-45F1-B3A8-3320B9B88E10}"/>
    <cellStyle name="_ET_STYLE_NoName_00__Sheet3_2015年利润预算汇总表 2" xfId="15498" xr:uid="{DA59F2F9-52A0-431A-9F82-7BE167540D00}"/>
    <cellStyle name="_ET_STYLE_NoName_00__Sheet3_2015年预算责任" xfId="15499" xr:uid="{96B6A830-48A1-478F-8EFC-EA8D939ED0D5}"/>
    <cellStyle name="_ET_STYLE_NoName_00__Sheet3_2015年预算责任 2" xfId="15500" xr:uid="{460E5342-5FF9-4433-8A7C-E1AC223DE2F6}"/>
    <cellStyle name="_ET_STYLE_NoName_00__Sheet3_2017年全面预算新增表样" xfId="15501" xr:uid="{881C63DF-45BA-4B86-B1F0-CA0704498334}"/>
    <cellStyle name="_ET_STYLE_NoName_00__Sheet3_2017年全面预算新增指标" xfId="15502" xr:uid="{67FEFFB3-C98A-498C-8202-B491C1039C0D}"/>
    <cellStyle name="_ET_STYLE_NoName_00__Sheet3_Book1" xfId="15503" xr:uid="{639D683D-7C42-482F-B18C-D29A96650BFB}"/>
    <cellStyle name="_ET_STYLE_NoName_00__Sheet3_Book3" xfId="15504" xr:uid="{77DF95DC-B53F-4AA7-801D-6EDF1E611792}"/>
    <cellStyle name="_ET_STYLE_NoName_00__Sheet3_峨口分析台帐" xfId="15505" xr:uid="{C2FC4E1E-BCE6-44D7-A61E-41168EB7DAA7}"/>
    <cellStyle name="_ET_STYLE_NoName_00__Sheet3_峨矿1月份成本报表(管理)" xfId="15506" xr:uid="{7C88B7F2-A2C5-4165-927C-434501B91156}"/>
    <cellStyle name="_ET_STYLE_NoName_00__Sheet3_尖山2014年全面预算12.27" xfId="15507" xr:uid="{E9194870-072F-4ACF-84B3-C46A07F2024B}"/>
    <cellStyle name="_ET_STYLE_NoName_00__Sheet3_尖山矿2017年产量预算及不利因素影响报" xfId="15508" xr:uid="{12108845-53B3-4988-96FB-9A38DE5EDD09}"/>
    <cellStyle name="_ET_STYLE_NoName_00__Sheet3_尖山铁矿2015年全面预算" xfId="15509" xr:uid="{07ACEA8B-27E4-4C9C-8473-9CA3E0065E4E}"/>
    <cellStyle name="_ET_STYLE_NoName_00__Sheet3_尖山铁矿2015年全面预算--挂在内网的正式稿" xfId="15510" xr:uid="{CD1F5EE5-4FDF-4F24-9A8B-C49B18DE9C03}"/>
    <cellStyle name="_ET_STYLE_NoName_00__Sheet3_降本增效简报底表(杜占杰9.1)" xfId="15511" xr:uid="{4AB43CCD-0566-471C-9448-B02802AC0242}"/>
    <cellStyle name="_ET_STYLE_NoName_00__Sheet3_矿业公司2014年全面预算稿（机关费用）" xfId="15512" xr:uid="{51C5A38D-B91C-4880-BF72-8766B336A555}"/>
    <cellStyle name="_ET_STYLE_NoName_00__Sheet3_矿业公司2014年全面预算稿（机关费用） 2" xfId="15513" xr:uid="{AFC24595-3DFA-459A-9D7E-DE8FA70B9F82}"/>
    <cellStyle name="_ET_STYLE_NoName_00__Sheet3_预算汇总" xfId="15514" xr:uid="{402956D6-607C-4D13-84D4-6D05AF67D05F}"/>
    <cellStyle name="_ET_STYLE_NoName_00__Sheet3_专项费用(斤斤)" xfId="15515" xr:uid="{AA7F95FB-1E89-4ED9-A96C-8CECC45F98C3}"/>
    <cellStyle name="_ET_STYLE_NoName_00__Sheet4" xfId="15516" xr:uid="{11B3991B-3D93-49DB-9529-A498FA6A78C0}"/>
    <cellStyle name="_ET_STYLE_NoName_00__Sheet4 2" xfId="15517" xr:uid="{88168756-DACD-4AB3-9EBA-64E80E9FC83C}"/>
    <cellStyle name="_ET_STYLE_NoName_00__Xl0000000" xfId="15518" xr:uid="{00596367-FD18-418C-8E52-CE75AD93A870}"/>
    <cellStyle name="_ET_STYLE_NoName_00__部室预算" xfId="15519" xr:uid="{EC07508D-8A4C-479C-AA60-4651F6FA8FAF}"/>
    <cellStyle name="_ET_STYLE_NoName_00__部室预算 2" xfId="15520" xr:uid="{225A76A4-138B-4B1A-BA34-26D547439B91}"/>
    <cellStyle name="_ET_STYLE_NoName_00__采矿、破碎、回转窑等三项工程量清单" xfId="15521" xr:uid="{B1811417-4BDD-4FC7-ADEF-BAB3060B0393}"/>
    <cellStyle name="_ET_STYLE_NoName_00__产量测算" xfId="15522" xr:uid="{55D96233-DF25-4444-BBDD-22503CC0FFC2}"/>
    <cellStyle name="_ET_STYLE_NoName_00__产品成本统计台帐" xfId="15523" xr:uid="{BD808B92-CB78-43EC-BEE2-B1EA7B2D9118}"/>
    <cellStyle name="_ET_STYLE_NoName_00__产品成本统计台帐 2" xfId="15524" xr:uid="{494C49D1-BE70-4E2A-A453-D0F66416F0FD}"/>
    <cellStyle name="_ET_STYLE_NoName_00__产品成本统计台帐_14年预算降本措施11.22" xfId="15525" xr:uid="{04199385-968D-4FF2-B2F8-714688234022}"/>
    <cellStyle name="_ET_STYLE_NoName_00__产品成本统计台帐_14年预算降本措施11.22 2" xfId="15526" xr:uid="{BE224732-1D9D-4C73-808B-C0E58D043F31}"/>
    <cellStyle name="_ET_STYLE_NoName_00__产品成本统计台帐_14年预算降本措施11.22_动力部" xfId="15527" xr:uid="{F2943790-C81B-4708-8835-C16B2D02ECD6}"/>
    <cellStyle name="_ET_STYLE_NoName_00__产品成本统计台帐_2012厂各单位预算指标分解2012.3.31" xfId="15528" xr:uid="{E5070B99-C7B9-4352-BCB7-7E137AC14C69}"/>
    <cellStyle name="_ET_STYLE_NoName_00__产品成本统计台帐_2013" xfId="15529" xr:uid="{7297879D-261F-43A4-B8BC-7946DE838A53}"/>
    <cellStyle name="_ET_STYLE_NoName_00__产品成本统计台帐_2013 2" xfId="15530" xr:uid="{C09D032A-BB9F-4FE7-9EFE-EB7F92721B46}"/>
    <cellStyle name="_ET_STYLE_NoName_00__产品成本统计台帐_2013_动力部" xfId="15531" xr:uid="{99D3F8EE-8F60-4633-9EEC-CC9F18E361AC}"/>
    <cellStyle name="_ET_STYLE_NoName_00__产品成本统计台帐_2013年复合材料厂产能及降本预算10" xfId="15532" xr:uid="{5756D383-0877-4627-AD8D-E65B1F981AD7}"/>
    <cellStyle name="_ET_STYLE_NoName_00__产品成本统计台帐_2013年复合材料厂产能及降本预算10.29" xfId="15533" xr:uid="{FDEBE0F5-3AB1-4523-A931-989DFE41DE17}"/>
    <cellStyle name="_ET_STYLE_NoName_00__产品成本统计台帐_2013年尖山铁矿全面预算11.07" xfId="15534" xr:uid="{25DAAA9B-9610-47A2-9B34-35BC45F20F60}"/>
    <cellStyle name="_ET_STYLE_NoName_00__产品成本统计台帐_2014产能预算初稿12.18.1(1)" xfId="15535" xr:uid="{81BDDFE2-7798-4372-AE9E-8C96E795B929}"/>
    <cellStyle name="_ET_STYLE_NoName_00__产品成本统计台帐_2014年产量预算初稿" xfId="15536" xr:uid="{570127C0-E354-409A-B4CB-F5EF605660D5}"/>
    <cellStyle name="_ET_STYLE_NoName_00__产品成本统计台帐_2014年产量预算初稿 2" xfId="15537" xr:uid="{3D64265E-DD8C-4324-94BE-27D622C658A4}"/>
    <cellStyle name="_ET_STYLE_NoName_00__产品成本统计台帐_2014年产量预算初稿_动力部" xfId="15538" xr:uid="{54A8C2A6-4A2A-4FC0-AC47-9EE8741E0EC6}"/>
    <cellStyle name="_ET_STYLE_NoName_00__产品成本统计台帐_复合材料厂2013年预算12.12 (version 1)" xfId="15539" xr:uid="{249D118C-CAAF-4688-8697-EA1044E56945}"/>
    <cellStyle name="_ET_STYLE_NoName_00__产品成本统计台帐_复合材料厂2013年预算12.12 (version 1) 2" xfId="15540" xr:uid="{339FB598-025B-4319-BB19-FD4D905E4E69}"/>
    <cellStyle name="_ET_STYLE_NoName_00__产品成本统计台帐_复合材料厂2013年预算12.12 (version 1)_动力部" xfId="15541" xr:uid="{9DA22AAB-19F6-4F3B-93D4-C30DA94647C2}"/>
    <cellStyle name="_ET_STYLE_NoName_00__产品成本统计台帐_复合材料厂2013年预算13.02.20" xfId="15542" xr:uid="{0AF0BDD7-E755-4CC7-866E-8F1D3B1C934D}"/>
    <cellStyle name="_ET_STYLE_NoName_00__产品成本统计台帐_复合材料厂2013年预算13.02.20 2" xfId="15543" xr:uid="{3312A604-1E2A-4B5E-BE1A-9A85A1F9B5EC}"/>
    <cellStyle name="_ET_STYLE_NoName_00__产品成本统计台帐_复合材料厂2013年预算13.02.20_动力部" xfId="15544" xr:uid="{D3135C3A-AFFA-487B-B1F9-4CBF1AF75D09}"/>
    <cellStyle name="_ET_STYLE_NoName_00__产品成本统计台帐_复合材料厂2014年预算1.15" xfId="15545" xr:uid="{AEED70EE-AAC2-4832-999F-C953974F10D7}"/>
    <cellStyle name="_ET_STYLE_NoName_00__产品成本统计台帐_复合材料厂2014年预算1.15 2" xfId="15546" xr:uid="{94E1DFC1-7AC4-43F1-A7C2-020EC0F5E1C4}"/>
    <cellStyle name="_ET_STYLE_NoName_00__产品成本统计台帐_复合材料厂2014年预算1.15_动力部" xfId="15547" xr:uid="{C472FAF6-CF34-4F25-A95F-04F7B7C77F4B}"/>
    <cellStyle name="_ET_STYLE_NoName_00__产品成本统计台帐_复件 复合材料厂2014年预算12.13" xfId="15548" xr:uid="{2C0F02AA-70DC-492C-A591-51E3CB9211B7}"/>
    <cellStyle name="_ET_STYLE_NoName_00__产品成本统计台帐_复件 复合材料厂2014年预算12.13 2" xfId="15549" xr:uid="{81DD5E40-6266-47E2-9E3A-442C907E63BD}"/>
    <cellStyle name="_ET_STYLE_NoName_00__产品成本统计台帐_复件 复合材料厂2014年预算12.13_动力部" xfId="15550" xr:uid="{71743413-B2EE-49F1-A83E-CCB37B074E3B}"/>
    <cellStyle name="_ET_STYLE_NoName_00__产品成本统计台帐_副本2013年复合材料厂产能及降本预算10.25" xfId="15551" xr:uid="{1EB0A29B-5125-4862-B165-7C18D76EE784}"/>
    <cellStyle name="_ET_STYLE_NoName_00__产品成本统计台帐_副本矿业公司汇总及汇报初稿（复合材料厂）" xfId="15552" xr:uid="{6CE09FE4-7090-4605-AFCB-3E2ABD6866D5}"/>
    <cellStyle name="_ET_STYLE_NoName_00__产品成本统计台帐_副本太钢复合材料厂2013修理费预算12.13" xfId="15553" xr:uid="{CCE8272D-8D86-43AF-B511-7E4551BA8D84}"/>
    <cellStyle name="_ET_STYLE_NoName_00__产品成本统计台帐_副本太钢复合材料厂2014修理费预算及分解10.17(修改后)" xfId="15554" xr:uid="{4B505A3A-F1D2-4BD1-8CD0-E8E1A3008E2E}"/>
    <cellStyle name="_ET_STYLE_NoName_00__产品成本统计台帐_上报复合材料厂2013年预算10.20" xfId="15555" xr:uid="{FA9D8D4A-59B0-422A-B79C-D96FD28AEF9C}"/>
    <cellStyle name="_ET_STYLE_NoName_00__产品成本统计台帐_上报复合材料厂2013年预算10.20 2" xfId="15556" xr:uid="{A0BE9F44-9C9A-488C-9960-3152A790FEE9}"/>
    <cellStyle name="_ET_STYLE_NoName_00__产品成本统计台帐_上报复合材料厂2013年预算10.20_动力部" xfId="15557" xr:uid="{22818A57-F057-42F0-AE42-6CAFE2BF0E8C}"/>
    <cellStyle name="_ET_STYLE_NoName_00__产品成本统计台帐_太钢复合材料厂2013修理费预算10.27改" xfId="15558" xr:uid="{6D3EC76A-51BC-49EC-AEAC-EF9045F5529F}"/>
    <cellStyle name="_ET_STYLE_NoName_00__东山矿采矿、破碎、回转窑作业区地面维修工程项目" xfId="15559" xr:uid="{39B3A8D5-B6CA-429F-A191-65B1D14F679F}"/>
    <cellStyle name="_ET_STYLE_NoName_00__东山矿采矿作业区洪子峪桥锥坡安全隐患处理投资估算" xfId="15560" xr:uid="{2E697DC5-82A0-4E64-B914-2206C1053F50}"/>
    <cellStyle name="_ET_STYLE_NoName_00__动力预提" xfId="15561" xr:uid="{BD92700C-017B-4AE4-B951-1A1FF7A2261C}"/>
    <cellStyle name="_ET_STYLE_NoName_00__对标挖潜增效指标明细表（峨矿）" xfId="15562" xr:uid="{F0AE79B2-64D1-4ED5-ACF8-27AEDF25C4C6}"/>
    <cellStyle name="_ET_STYLE_NoName_00__对标挖潜增效指标明细表（峨矿） 2" xfId="15563" xr:uid="{2D7C7AF6-7820-40DD-9AC5-F510CE7BED62}"/>
    <cellStyle name="_ET_STYLE_NoName_00__峨口分析台帐" xfId="15564" xr:uid="{07FC5AAD-8379-4B60-9664-4C009FDAD8DF}"/>
    <cellStyle name="_ET_STYLE_NoName_00__峨口铁矿工程科在建工程" xfId="15565" xr:uid="{00891D2A-9C21-4C3B-ACDF-09328D95F252}"/>
    <cellStyle name="_ET_STYLE_NoName_00__峨矿1月份成本报表(管理)" xfId="15566" xr:uid="{792F8228-FFAA-455C-82B0-8EA5249DCA86}"/>
    <cellStyle name="_ET_STYLE_NoName_00__峨矿2010年生产经营预算(2.2)" xfId="15567" xr:uid="{46F53134-056B-443D-9A95-A14A91D58DD1}"/>
    <cellStyle name="_ET_STYLE_NoName_00__峨矿2010年生产经营预算(2.2) 2" xfId="15568" xr:uid="{C74C315C-E24D-4DB6-88B7-F6B70C411BF1}"/>
    <cellStyle name="_ET_STYLE_NoName_00__峨矿2012年生产经营预算全稿(10.28)" xfId="15569" xr:uid="{1ACCE76E-0C3E-41AB-98BA-72187FA11FE8}"/>
    <cellStyle name="_ET_STYLE_NoName_00__峨矿2012年生产经营预算全稿(10.28) 2" xfId="15570" xr:uid="{2058CF0A-EA1A-43F2-A65E-9D54C15E96EF}"/>
    <cellStyle name="_ET_STYLE_NoName_00__峨矿2012年生产经营预算全稿(10.28)_尖山2014年全面预算稿" xfId="15571" xr:uid="{A514A3C7-EEA9-465F-9370-DFF25379C4C8}"/>
    <cellStyle name="_ET_STYLE_NoName_00__峨矿2012年生产经营预算全稿(10.28)_尖山2015年全面预算稿10.20" xfId="15572" xr:uid="{5CCAEAE6-4F18-4084-A339-35281A2663DD}"/>
    <cellStyle name="_ET_STYLE_NoName_00__峨矿2012年生产经营预算全稿(10.29)" xfId="15573" xr:uid="{0273A02F-F5BF-421A-9D11-29084BCB357E}"/>
    <cellStyle name="_ET_STYLE_NoName_00__峨矿2012年生产经营预算全稿(10.29) 2" xfId="15574" xr:uid="{D9657AD3-CAF0-498C-A036-0CB17567C661}"/>
    <cellStyle name="_ET_STYLE_NoName_00__峨矿2012年生产经营预算全稿(10.29)_尖山2014年全面预算稿" xfId="15575" xr:uid="{D0888A8B-B440-4667-800F-52D2A82525DA}"/>
    <cellStyle name="_ET_STYLE_NoName_00__峨矿2012年生产经营预算全稿(10.29)_尖山2015年全面预算稿10.20" xfId="15576" xr:uid="{3276A09C-72CE-4381-8F87-006BDB4D5F1B}"/>
    <cellStyle name="_ET_STYLE_NoName_00__峨矿2014年经营预算全稿(2013.11.4)" xfId="15577" xr:uid="{FA4F2E5C-6CEF-4D08-A95C-B82C968F9EAD}"/>
    <cellStyle name="_ET_STYLE_NoName_00__二冶二次澄清报价表" xfId="15578" xr:uid="{1B8BA19F-E0B4-4CEB-9D09-98D83C9F81AA}"/>
    <cellStyle name="_ET_STYLE_NoName_00__复合2012年产量预算第2稿" xfId="15579" xr:uid="{9419032B-AD1A-408B-9621-66A9FBB8CEE1}"/>
    <cellStyle name="_ET_STYLE_NoName_00__复合2012年产量预算第2稿 2" xfId="15580" xr:uid="{4D27DD3A-0D0D-46D1-B6AA-CAE559886A5E}"/>
    <cellStyle name="_ET_STYLE_NoName_00__复合2012年产量预算第2稿_14年预算降本措施11.22" xfId="15581" xr:uid="{45C35EFC-CC41-4426-81AB-06F012543AEC}"/>
    <cellStyle name="_ET_STYLE_NoName_00__复合2012年产量预算第2稿_14年预算降本措施11.22 2" xfId="15582" xr:uid="{A9A7BE67-65A6-4AB6-B8E9-907472BCC11D}"/>
    <cellStyle name="_ET_STYLE_NoName_00__复合2012年产量预算第2稿_14年预算降本措施11.22_动力部" xfId="15583" xr:uid="{338BE974-64F6-4233-AED3-22BD3215447E}"/>
    <cellStyle name="_ET_STYLE_NoName_00__复合2012年产量预算第2稿_2012厂各单位预算指标分解2012.3.31" xfId="15584" xr:uid="{CB2EF729-CAEE-411F-A530-AA0CE67A1F36}"/>
    <cellStyle name="_ET_STYLE_NoName_00__复合2012年产量预算第2稿_2013" xfId="15585" xr:uid="{53AFEE4C-7370-463C-8AF7-BB9BA6B17E27}"/>
    <cellStyle name="_ET_STYLE_NoName_00__复合2012年产量预算第2稿_2013 2" xfId="15586" xr:uid="{1F4105B2-3B39-405A-81CD-1F591650FC8F}"/>
    <cellStyle name="_ET_STYLE_NoName_00__复合2012年产量预算第2稿_2013_动力部" xfId="15587" xr:uid="{B58AF7F6-4D03-47D3-8ACF-47DEB14C8CF6}"/>
    <cellStyle name="_ET_STYLE_NoName_00__复合2012年产量预算第2稿_2013年复合材料厂产能及降本预算10" xfId="15588" xr:uid="{6E4EA48E-5F8A-4F98-8CCC-906C6B10FF8C}"/>
    <cellStyle name="_ET_STYLE_NoName_00__复合2012年产量预算第2稿_2013年复合材料厂产能及降本预算10.29" xfId="15589" xr:uid="{FE58CB74-9FF2-47C9-A166-B35E9E223F8A}"/>
    <cellStyle name="_ET_STYLE_NoName_00__复合2012年产量预算第2稿_2014产能预算初稿12.18.1(1)" xfId="15590" xr:uid="{E0C1D3F3-D748-4F80-8FB2-A2A0F8DAF3AA}"/>
    <cellStyle name="_ET_STYLE_NoName_00__复合2012年产量预算第2稿_2014年产量预算初稿" xfId="15591" xr:uid="{7ED5EBFB-C605-49C4-AAEF-6F33434C22BF}"/>
    <cellStyle name="_ET_STYLE_NoName_00__复合2012年产量预算第2稿_2014年产量预算初稿 2" xfId="15592" xr:uid="{4EB99B6E-4931-4000-8CF9-F080C199C207}"/>
    <cellStyle name="_ET_STYLE_NoName_00__复合2012年产量预算第2稿_2014年产量预算初稿_动力部" xfId="15593" xr:uid="{557634BD-AD4E-43E3-9793-988ACE91E429}"/>
    <cellStyle name="_ET_STYLE_NoName_00__复合2012年产量预算第2稿_复合材料厂2013年预算12.12 (version 1)" xfId="15594" xr:uid="{5E1890DE-1C3D-47C7-A649-6720CAD25A93}"/>
    <cellStyle name="_ET_STYLE_NoName_00__复合2012年产量预算第2稿_复合材料厂2013年预算12.12 (version 1) 2" xfId="15595" xr:uid="{E0D727F5-42A5-4097-A026-67DFB59D55E9}"/>
    <cellStyle name="_ET_STYLE_NoName_00__复合2012年产量预算第2稿_复合材料厂2013年预算12.12 (version 1)_动力部" xfId="15596" xr:uid="{8005A1DA-6B7B-4102-A9ED-ECF436637C15}"/>
    <cellStyle name="_ET_STYLE_NoName_00__复合2012年产量预算第2稿_复合材料厂2013年预算13.02.20" xfId="15597" xr:uid="{4230616E-5ABF-48D4-B7C7-75976EA7CD78}"/>
    <cellStyle name="_ET_STYLE_NoName_00__复合2012年产量预算第2稿_复合材料厂2013年预算13.02.20 2" xfId="15598" xr:uid="{EB679647-8104-46FB-8BD5-6BA745E08134}"/>
    <cellStyle name="_ET_STYLE_NoName_00__复合2012年产量预算第2稿_复合材料厂2013年预算13.02.20_动力部" xfId="15599" xr:uid="{DD517B59-8DBC-4C7C-B952-AE8E1DE26A7E}"/>
    <cellStyle name="_ET_STYLE_NoName_00__复合2012年产量预算第2稿_复合材料厂2014年预算1.15" xfId="15600" xr:uid="{A8687EF1-B350-4B27-8FE6-AA104CCFF9CC}"/>
    <cellStyle name="_ET_STYLE_NoName_00__复合2012年产量预算第2稿_复合材料厂2014年预算1.15 2" xfId="15601" xr:uid="{D3234BDB-87A9-41E7-B769-5FB12B17CCCB}"/>
    <cellStyle name="_ET_STYLE_NoName_00__复合2012年产量预算第2稿_复合材料厂2014年预算1.15_动力部" xfId="15602" xr:uid="{CE71FF5E-AE81-402E-89E2-2EE0D9BD8F3E}"/>
    <cellStyle name="_ET_STYLE_NoName_00__复合2012年产量预算第2稿_复件 复合材料厂2014年预算12.13" xfId="15603" xr:uid="{8AD5B382-3301-4089-B2BE-1CD314BCB7ED}"/>
    <cellStyle name="_ET_STYLE_NoName_00__复合2012年产量预算第2稿_复件 复合材料厂2014年预算12.13 2" xfId="15604" xr:uid="{31D7060A-A157-49B9-978A-DAA03C4C01D7}"/>
    <cellStyle name="_ET_STYLE_NoName_00__复合2012年产量预算第2稿_复件 复合材料厂2014年预算12.13_动力部" xfId="15605" xr:uid="{36291085-D288-4366-90DE-19C0E2BAC0A0}"/>
    <cellStyle name="_ET_STYLE_NoName_00__复合2012年产量预算第2稿_副本2013年复合材料厂产能及降本预算10.25" xfId="15606" xr:uid="{4B4211E6-F3EA-4171-ACD1-F225AD54E21A}"/>
    <cellStyle name="_ET_STYLE_NoName_00__复合2012年产量预算第2稿_副本太钢复合材料厂2013修理费预算12.13" xfId="15607" xr:uid="{0938D451-A6AF-4ABC-9DFA-A7341E923469}"/>
    <cellStyle name="_ET_STYLE_NoName_00__复合2012年产量预算第2稿_副本太钢复合材料厂2014修理费预算及分解10.17(修改后)" xfId="15608" xr:uid="{639D4F8E-26BE-46C5-A8BC-3EBA4C5D4B40}"/>
    <cellStyle name="_ET_STYLE_NoName_00__复合2012年产量预算第2稿_上报复合材料厂2013年预算10.20" xfId="15609" xr:uid="{598A5C5C-9CDA-46B9-B064-41B80C90103F}"/>
    <cellStyle name="_ET_STYLE_NoName_00__复合2012年产量预算第2稿_上报复合材料厂2013年预算10.20 2" xfId="15610" xr:uid="{7636030E-14BD-4FFB-9E4D-D54B04D6E53D}"/>
    <cellStyle name="_ET_STYLE_NoName_00__复合2012年产量预算第2稿_上报复合材料厂2013年预算10.20_动力部" xfId="15611" xr:uid="{17325F03-3C5D-4D05-8206-78AF55E08338}"/>
    <cellStyle name="_ET_STYLE_NoName_00__复合2012年产量预算第2稿_太钢复合材料厂2013修理费预算10.27改" xfId="15612" xr:uid="{FE1C65BF-16E1-4F7A-BA85-B583146F716C}"/>
    <cellStyle name="_ET_STYLE_NoName_00__复合2012年产量预算及工序产能预算" xfId="15613" xr:uid="{C3804099-A5C9-4B51-BB43-A715CC233EE5}"/>
    <cellStyle name="_ET_STYLE_NoName_00__复合2012年产量预算及工序产能预算_14年预算降本措施11.22" xfId="15614" xr:uid="{E8747F27-523E-4CC3-9C17-16F5C287098B}"/>
    <cellStyle name="_ET_STYLE_NoName_00__复合2012年产量预算及工序产能预算_14年预算降本措施11.22 2" xfId="15615" xr:uid="{D92C1899-AFBB-4FC4-95B9-7F27810AFC59}"/>
    <cellStyle name="_ET_STYLE_NoName_00__复合2012年产量预算及工序产能预算_14年预算降本措施11.22_动力部" xfId="15616" xr:uid="{838B1904-855B-42B0-9820-B894CABE6DA4}"/>
    <cellStyle name="_ET_STYLE_NoName_00__复合2012年产量预算及工序产能预算_2012厂各单位预算指标分解2012.3.31" xfId="15617" xr:uid="{DB22A85B-F39F-4D2B-99FB-B9096C01086F}"/>
    <cellStyle name="_ET_STYLE_NoName_00__复合2012年产量预算及工序产能预算_2013" xfId="15618" xr:uid="{AF93A6B0-A637-4225-8C8F-7644E4F46F8A}"/>
    <cellStyle name="_ET_STYLE_NoName_00__复合2012年产量预算及工序产能预算_2013 2" xfId="15619" xr:uid="{53DBAC45-A575-4AD6-94D9-0D55547CAF11}"/>
    <cellStyle name="_ET_STYLE_NoName_00__复合2012年产量预算及工序产能预算_2013_动力部" xfId="15620" xr:uid="{6F08F00F-B657-4B47-9F62-2FC8FA311A02}"/>
    <cellStyle name="_ET_STYLE_NoName_00__复合2012年产量预算及工序产能预算_2013年复合材料厂产能及降本预算10" xfId="15621" xr:uid="{88D42766-2F6B-40D1-A714-3C1115743BA9}"/>
    <cellStyle name="_ET_STYLE_NoName_00__复合2012年产量预算及工序产能预算_2013年复合材料厂产能及降本预算10.29" xfId="15622" xr:uid="{326949BE-9807-437A-AB69-4B8BF93941F2}"/>
    <cellStyle name="_ET_STYLE_NoName_00__复合2012年产量预算及工序产能预算_2014产能预算初稿12.18.1(1)" xfId="15623" xr:uid="{CC6CC8E9-66AD-4322-BA0E-3DB8575340D0}"/>
    <cellStyle name="_ET_STYLE_NoName_00__复合2012年产量预算及工序产能预算_2014年产量预算初稿" xfId="15624" xr:uid="{B72B3FDB-6269-492E-B165-E99F0BEF200C}"/>
    <cellStyle name="_ET_STYLE_NoName_00__复合2012年产量预算及工序产能预算_2014年产量预算初稿 2" xfId="15625" xr:uid="{E95B7F97-57A0-412F-BE36-B4B435EDF740}"/>
    <cellStyle name="_ET_STYLE_NoName_00__复合2012年产量预算及工序产能预算_2014年产量预算初稿_动力部" xfId="15626" xr:uid="{AF8F2B9C-C372-4A2F-ACC4-FE374B101CC8}"/>
    <cellStyle name="_ET_STYLE_NoName_00__复合2012年产量预算及工序产能预算_复合材料厂2013年预算12.12 (version 1)" xfId="15627" xr:uid="{2C900500-26AC-440D-BB2B-62FCAFBE1020}"/>
    <cellStyle name="_ET_STYLE_NoName_00__复合2012年产量预算及工序产能预算_复合材料厂2013年预算12.12 (version 1) 2" xfId="15628" xr:uid="{8DC5D047-6734-4F84-A385-6AB1F15EF1DE}"/>
    <cellStyle name="_ET_STYLE_NoName_00__复合2012年产量预算及工序产能预算_复合材料厂2013年预算12.12 (version 1)_动力部" xfId="15629" xr:uid="{2F567214-1417-4E17-B27D-ED7E897AB0CF}"/>
    <cellStyle name="_ET_STYLE_NoName_00__复合2012年产量预算及工序产能预算_复合材料厂2013年预算13.02.20" xfId="15630" xr:uid="{528BA0A9-B48A-4174-9D3E-A680974FE1E7}"/>
    <cellStyle name="_ET_STYLE_NoName_00__复合2012年产量预算及工序产能预算_复合材料厂2013年预算13.02.20 2" xfId="15631" xr:uid="{4DF571E9-5BF6-4289-BEC2-C732EFB9B445}"/>
    <cellStyle name="_ET_STYLE_NoName_00__复合2012年产量预算及工序产能预算_复合材料厂2013年预算13.02.20_动力部" xfId="15632" xr:uid="{B7855434-1B6C-4497-A9A3-6BB7F3FE2265}"/>
    <cellStyle name="_ET_STYLE_NoName_00__复合2012年产量预算及工序产能预算_复合材料厂2014年预算1.15" xfId="15633" xr:uid="{0C3E3DD4-E18A-48FF-936A-60ACDC5A595E}"/>
    <cellStyle name="_ET_STYLE_NoName_00__复合2012年产量预算及工序产能预算_复合材料厂2014年预算1.15 2" xfId="15634" xr:uid="{73FA48EB-D5DB-4FD3-BD3E-28E1B51E8007}"/>
    <cellStyle name="_ET_STYLE_NoName_00__复合2012年产量预算及工序产能预算_复合材料厂2014年预算1.15_动力部" xfId="15635" xr:uid="{6D2CFDD6-FA1B-4971-B45D-7E5D9C495640}"/>
    <cellStyle name="_ET_STYLE_NoName_00__复合2012年产量预算及工序产能预算_复件 复合材料厂2014年预算12.13" xfId="15636" xr:uid="{B2920AD9-0A48-4A2B-83DF-77C6E8F827C1}"/>
    <cellStyle name="_ET_STYLE_NoName_00__复合2012年产量预算及工序产能预算_复件 复合材料厂2014年预算12.13 2" xfId="15637" xr:uid="{9E6C314E-4442-44E7-ACC4-909B2235A6A9}"/>
    <cellStyle name="_ET_STYLE_NoName_00__复合2012年产量预算及工序产能预算_复件 复合材料厂2014年预算12.13_动力部" xfId="15638" xr:uid="{F00DAC53-FB9E-4BC9-AA78-0BA035834CE9}"/>
    <cellStyle name="_ET_STYLE_NoName_00__复合2012年产量预算及工序产能预算_副本2013年复合材料厂产能及降本预算10.25" xfId="15639" xr:uid="{31496E42-B6FA-4B97-9A62-C208ABF78B48}"/>
    <cellStyle name="_ET_STYLE_NoName_00__复合2012年产量预算及工序产能预算_副本太钢复合材料厂2013修理费预算12.13" xfId="15640" xr:uid="{CC399B62-FFAD-40D2-B696-395EE8ED502E}"/>
    <cellStyle name="_ET_STYLE_NoName_00__复合2012年产量预算及工序产能预算_副本太钢复合材料厂2014修理费预算及分解10.17(修改后)" xfId="15641" xr:uid="{E08C1466-B37D-4495-BF6C-96BA08542512}"/>
    <cellStyle name="_ET_STYLE_NoName_00__复合2012年产量预算及工序产能预算_上报复合材料厂2013年预算10.20" xfId="15642" xr:uid="{502F5D82-D5E6-41E5-9031-B298EA21546F}"/>
    <cellStyle name="_ET_STYLE_NoName_00__复合2012年产量预算及工序产能预算_上报复合材料厂2013年预算10.20 2" xfId="15643" xr:uid="{9E1183C6-82F2-475F-B3FE-FF689716DEC1}"/>
    <cellStyle name="_ET_STYLE_NoName_00__复合2012年产量预算及工序产能预算_上报复合材料厂2013年预算10.20_动力部" xfId="15644" xr:uid="{15433632-3B1D-4FE3-9511-A5C1038F117C}"/>
    <cellStyle name="_ET_STYLE_NoName_00__复合2012年产量预算及工序产能预算_太钢复合材料厂2013修理费预算10.27改" xfId="15645" xr:uid="{04F77604-F88D-41FB-80D4-FFD5736EBB7A}"/>
    <cellStyle name="_ET_STYLE_NoName_00__复合2015年全面预算稿10.29" xfId="15646" xr:uid="{2D0B741F-D9F3-4163-923D-D8029994E8B5}"/>
    <cellStyle name="_ET_STYLE_NoName_00__复合材料厂2013年预算12.12 (version 1)" xfId="15647" xr:uid="{BDFFCB9E-A3AE-4606-8BFB-842998E95D58}"/>
    <cellStyle name="_ET_STYLE_NoName_00__复合材料厂2013年预算12.12 (version 1) 2" xfId="15648" xr:uid="{C9F428A6-BEAC-4170-8A4A-A24BAAB29B06}"/>
    <cellStyle name="_ET_STYLE_NoName_00__复合材料厂2013年预算12.12 (version 1)_动力部" xfId="15649" xr:uid="{730C983D-35DA-41B7-9FD7-EF0B56400FFE}"/>
    <cellStyle name="_ET_STYLE_NoName_00__复合材料厂2013年预算13.02.20" xfId="15650" xr:uid="{427CC03A-E8A9-459D-A4A6-9F7A263BBAE7}"/>
    <cellStyle name="_ET_STYLE_NoName_00__复合材料厂2013年预算13.02.20 2" xfId="15651" xr:uid="{5C9B3CF2-4089-4EC9-8E21-A5BCD800D4A8}"/>
    <cellStyle name="_ET_STYLE_NoName_00__复合材料厂2013年预算13.02.20_动力部" xfId="15652" xr:uid="{D5153B9C-DDA1-4403-81A3-40ECAFC62B82}"/>
    <cellStyle name="_ET_STYLE_NoName_00__复合材料厂2014年预算1.15" xfId="15653" xr:uid="{7C496544-BB33-4CA4-B308-558C52059707}"/>
    <cellStyle name="_ET_STYLE_NoName_00__复合材料厂2014年预算1.15 2" xfId="15654" xr:uid="{BB13A4E1-6506-4706-8870-BDA943D9D07A}"/>
    <cellStyle name="_ET_STYLE_NoName_00__复合材料厂2014年预算1.15_动力部" xfId="15655" xr:uid="{B44B35D3-AE59-4F34-8F74-B11C1DD7CF91}"/>
    <cellStyle name="_ET_STYLE_NoName_00__复件 复合材料厂2012年预算11.23" xfId="15656" xr:uid="{E974B392-4DCB-4B4A-8927-CB1E8BC36426}"/>
    <cellStyle name="_ET_STYLE_NoName_00__复件 复合材料厂2012年预算11.23 2" xfId="15657" xr:uid="{28E56436-ED51-405D-B5A5-762D06445C2D}"/>
    <cellStyle name="_ET_STYLE_NoName_00__复件 复合材料厂2014年预算12.13" xfId="15658" xr:uid="{BF796513-A4AF-4E0F-9DF5-4E63C25D5142}"/>
    <cellStyle name="_ET_STYLE_NoName_00__复件 复合材料厂2014年预算12.13 2" xfId="15659" xr:uid="{9E4505EF-79D8-4C1E-B966-EE6F18D41F83}"/>
    <cellStyle name="_ET_STYLE_NoName_00__复件 复合材料厂2014年预算12.13_动力部" xfId="15660" xr:uid="{37EEC2B5-379E-4CC8-90D2-7864137E862E}"/>
    <cellStyle name="_ET_STYLE_NoName_00__副本2013年复合材料厂产能及降本预算10.25" xfId="15661" xr:uid="{3645C3A5-8F15-443D-8C1E-CEDF9800F925}"/>
    <cellStyle name="_ET_STYLE_NoName_00__副本矿业公司汇总及汇报初稿（复合材料厂）" xfId="15662" xr:uid="{E113CF1E-31F1-4244-952C-14BFBF8A5AC0}"/>
    <cellStyle name="_ET_STYLE_NoName_00__副本太钢复合材料厂2013修理费预算12.13" xfId="15663" xr:uid="{A2E831BE-7035-43C8-BD1B-1AD2E77E5BEE}"/>
    <cellStyle name="_ET_STYLE_NoName_00__副本太钢复合材料厂2014修理费预算及分解10.17(修改后)" xfId="15664" xr:uid="{533E98AD-60AA-4CA8-9BBF-20629AA1E6F4}"/>
    <cellStyle name="_ET_STYLE_NoName_00__各单位成本结构统计台账" xfId="15665" xr:uid="{B57F111A-0B71-4F0C-90A0-E45D39BF8512}"/>
    <cellStyle name="_ET_STYLE_NoName_00__各单位成本结构统计台账 2" xfId="15666" xr:uid="{6215D379-6101-4A8F-8F2E-49C809E2BCCD}"/>
    <cellStyle name="_ET_STYLE_NoName_00__各单位成本结构统计台账_14年预算降本措施11.22" xfId="15667" xr:uid="{2CAA25AD-19C9-4B30-8B73-09117A67BAFD}"/>
    <cellStyle name="_ET_STYLE_NoName_00__各单位成本结构统计台账_14年预算降本措施11.22 2" xfId="15668" xr:uid="{579EFA75-3FC4-4A50-A646-D54BE42375B4}"/>
    <cellStyle name="_ET_STYLE_NoName_00__各单位成本结构统计台账_14年预算降本措施11.22_动力部" xfId="15669" xr:uid="{9E7B6B93-ED09-4034-8396-52A27994B5CE}"/>
    <cellStyle name="_ET_STYLE_NoName_00__各单位成本结构统计台账_2012厂各单位预算指标分解2012.3.31" xfId="15670" xr:uid="{94E29215-2D66-4C9F-98C8-90D8D01F990E}"/>
    <cellStyle name="_ET_STYLE_NoName_00__各单位成本结构统计台账_2013" xfId="15671" xr:uid="{F635AFF0-5D7F-4B81-860F-CBA5D3C7858E}"/>
    <cellStyle name="_ET_STYLE_NoName_00__各单位成本结构统计台账_2013 2" xfId="15672" xr:uid="{C0B1186E-1C15-4B6A-AD96-27023AF7706C}"/>
    <cellStyle name="_ET_STYLE_NoName_00__各单位成本结构统计台账_2013_动力部" xfId="15673" xr:uid="{189C17F2-D01D-4988-A482-EF8CC1E0BFEC}"/>
    <cellStyle name="_ET_STYLE_NoName_00__各单位成本结构统计台账_2013年复合材料厂产能及降本预算10" xfId="15674" xr:uid="{AADD69A8-E91C-46A0-862B-1595AF377B84}"/>
    <cellStyle name="_ET_STYLE_NoName_00__各单位成本结构统计台账_2013年复合材料厂产能及降本预算10.29" xfId="15675" xr:uid="{DE0A11D1-BC02-408D-A49B-C5DC575C75C5}"/>
    <cellStyle name="_ET_STYLE_NoName_00__各单位成本结构统计台账_2013年尖山铁矿全面预算11.07" xfId="15676" xr:uid="{2417447A-A716-47CE-9EEC-946D23B22B34}"/>
    <cellStyle name="_ET_STYLE_NoName_00__各单位成本结构统计台账_2014产能预算初稿12.18.1(1)" xfId="15677" xr:uid="{92B4973B-DF06-4C5B-A945-11387124B36F}"/>
    <cellStyle name="_ET_STYLE_NoName_00__各单位成本结构统计台账_2014年产量预算初稿" xfId="15678" xr:uid="{E1574B47-16BF-47D5-917C-F94AA83C0527}"/>
    <cellStyle name="_ET_STYLE_NoName_00__各单位成本结构统计台账_2014年产量预算初稿 2" xfId="15679" xr:uid="{B0C9A7CC-278B-471B-8516-181B54730C31}"/>
    <cellStyle name="_ET_STYLE_NoName_00__各单位成本结构统计台账_2014年产量预算初稿_动力部" xfId="15680" xr:uid="{16618405-5ED8-4E01-AB7D-4F247443A4CD}"/>
    <cellStyle name="_ET_STYLE_NoName_00__各单位成本结构统计台账_复合材料厂2013年预算12.12 (version 1)" xfId="15681" xr:uid="{21EEB5E4-4DBB-4960-8750-53CE042CE995}"/>
    <cellStyle name="_ET_STYLE_NoName_00__各单位成本结构统计台账_复合材料厂2013年预算12.12 (version 1) 2" xfId="15682" xr:uid="{26B2E000-58A4-4DAB-AD08-B65869EAE8C0}"/>
    <cellStyle name="_ET_STYLE_NoName_00__各单位成本结构统计台账_复合材料厂2013年预算12.12 (version 1)_动力部" xfId="15683" xr:uid="{E3714933-22F6-47E7-8B85-5AE4FE02FB09}"/>
    <cellStyle name="_ET_STYLE_NoName_00__各单位成本结构统计台账_复合材料厂2013年预算13.02.20" xfId="15684" xr:uid="{7642B03A-750E-4442-97FC-FB529F7FD80C}"/>
    <cellStyle name="_ET_STYLE_NoName_00__各单位成本结构统计台账_复合材料厂2013年预算13.02.20 2" xfId="15685" xr:uid="{6B7F5AFD-7DEB-4FA1-9555-F9C710A06E74}"/>
    <cellStyle name="_ET_STYLE_NoName_00__各单位成本结构统计台账_复合材料厂2013年预算13.02.20_动力部" xfId="15686" xr:uid="{0190F1E6-80DA-4600-9A0C-9F10D21240B6}"/>
    <cellStyle name="_ET_STYLE_NoName_00__各单位成本结构统计台账_复合材料厂2014年预算1.15" xfId="15687" xr:uid="{72D8E9A1-4D7B-4C78-BA1A-F5270D376FBA}"/>
    <cellStyle name="_ET_STYLE_NoName_00__各单位成本结构统计台账_复合材料厂2014年预算1.15 2" xfId="15688" xr:uid="{F0B641BD-86E8-45C4-84BE-8D4CB283C70B}"/>
    <cellStyle name="_ET_STYLE_NoName_00__各单位成本结构统计台账_复合材料厂2014年预算1.15_动力部" xfId="15689" xr:uid="{25C7B932-9C56-4646-9136-189487349991}"/>
    <cellStyle name="_ET_STYLE_NoName_00__各单位成本结构统计台账_复件 复合材料厂2014年预算12.13" xfId="15690" xr:uid="{7EA8E557-A18C-4BF8-B806-4BE57EB712FC}"/>
    <cellStyle name="_ET_STYLE_NoName_00__各单位成本结构统计台账_复件 复合材料厂2014年预算12.13 2" xfId="15691" xr:uid="{63DABB03-1BA5-4F7B-B3BB-E95C61F7B5DE}"/>
    <cellStyle name="_ET_STYLE_NoName_00__各单位成本结构统计台账_复件 复合材料厂2014年预算12.13_动力部" xfId="15692" xr:uid="{AF6C96FD-01B2-459F-AD4E-0C5C737527F6}"/>
    <cellStyle name="_ET_STYLE_NoName_00__各单位成本结构统计台账_副本2013年复合材料厂产能及降本预算10.25" xfId="15693" xr:uid="{F59ADAA4-5DC7-4431-AD1A-B1DF0CABA783}"/>
    <cellStyle name="_ET_STYLE_NoName_00__各单位成本结构统计台账_副本矿业公司汇总及汇报初稿（复合材料厂）" xfId="15694" xr:uid="{6236F57C-2423-4127-9BA3-32C35247D8AC}"/>
    <cellStyle name="_ET_STYLE_NoName_00__各单位成本结构统计台账_副本太钢复合材料厂2013修理费预算12.13" xfId="15695" xr:uid="{39393DA6-7C89-4412-955A-B640708A4342}"/>
    <cellStyle name="_ET_STYLE_NoName_00__各单位成本结构统计台账_副本太钢复合材料厂2014修理费预算及分解10.17(修改后)" xfId="15696" xr:uid="{A981AD7B-0EA7-4335-95F3-BB0DD8C1EED1}"/>
    <cellStyle name="_ET_STYLE_NoName_00__各单位成本结构统计台账_尖山2014年全面预算稿" xfId="15697" xr:uid="{A3A18CDC-2874-4AA2-B723-A54586CAA63B}"/>
    <cellStyle name="_ET_STYLE_NoName_00__各单位成本结构统计台账_尖山2015年全面预算稿10.20" xfId="15698" xr:uid="{B8CCBE86-C014-4EB2-867D-3FEE9759425A}"/>
    <cellStyle name="_ET_STYLE_NoName_00__各单位成本结构统计台账_上报复合材料厂2013年预算10.20" xfId="15699" xr:uid="{9FF9C16A-A3E0-4ED2-BC57-5F65758D1E96}"/>
    <cellStyle name="_ET_STYLE_NoName_00__各单位成本结构统计台账_上报复合材料厂2013年预算10.20 2" xfId="15700" xr:uid="{9671D8BF-3158-4CF3-BF62-8C97B54A0F14}"/>
    <cellStyle name="_ET_STYLE_NoName_00__各单位成本结构统计台账_上报复合材料厂2013年预算10.20_动力部" xfId="15701" xr:uid="{182A3E49-8866-42C8-8CB2-FCBC8477BFFA}"/>
    <cellStyle name="_ET_STYLE_NoName_00__各单位成本结构统计台账_太钢复合材料厂2013修理费预算10.27改" xfId="15702" xr:uid="{A633CB61-8239-43E8-9751-F3CD6047FEBE}"/>
    <cellStyle name="_ET_STYLE_NoName_00__各矿2012年预算措分解1.301" xfId="15703" xr:uid="{5827DC19-21B1-49BC-B85C-9583102678F1}"/>
    <cellStyle name="_ET_STYLE_NoName_00__各矿2012年预算措分解1.301 2" xfId="15704" xr:uid="{EB469479-E39A-4370-8F4A-EE0ABCA66B7F}"/>
    <cellStyle name="_ET_STYLE_NoName_00__尖矿成本统计（2009年1季度）" xfId="15705" xr:uid="{C27B2C2E-024A-4506-87C6-4FE4893EAA0B}"/>
    <cellStyle name="_ET_STYLE_NoName_00__尖矿成本统计（2009年1季度） 2" xfId="15706" xr:uid="{B4F689B5-BC61-402F-A914-F41B255BF344}"/>
    <cellStyle name="_ET_STYLE_NoName_00__尖矿成本统计（2009年1季度）_14年预算降本措施11.22" xfId="15707" xr:uid="{994C499A-1938-4EC0-843A-43D1A790941A}"/>
    <cellStyle name="_ET_STYLE_NoName_00__尖矿成本统计（2009年1季度）_14年预算降本措施11.22 2" xfId="15708" xr:uid="{8CC8CC73-71E3-4F82-BA0E-EACD930EB8A8}"/>
    <cellStyle name="_ET_STYLE_NoName_00__尖矿成本统计（2009年1季度）_14年预算降本措施11.22_动力部" xfId="15709" xr:uid="{A67CC456-FF4E-497F-A7A6-78092DD5C05C}"/>
    <cellStyle name="_ET_STYLE_NoName_00__尖矿成本统计（2009年1季度）_2012厂各单位预算指标分解2012.3.31" xfId="15710" xr:uid="{3A9F2032-A1B6-4BDC-88DA-1E22A3B4EB97}"/>
    <cellStyle name="_ET_STYLE_NoName_00__尖矿成本统计（2009年1季度）_2013" xfId="15711" xr:uid="{E2ACF627-FE84-46B2-86B7-B03AA9262A34}"/>
    <cellStyle name="_ET_STYLE_NoName_00__尖矿成本统计（2009年1季度）_2013 2" xfId="15712" xr:uid="{0973D10E-A853-4AEB-BBB1-C302F969FFE5}"/>
    <cellStyle name="_ET_STYLE_NoName_00__尖矿成本统计（2009年1季度）_2013_动力部" xfId="15713" xr:uid="{3E5CBC40-CBBF-430A-AB50-4F332C3107FD}"/>
    <cellStyle name="_ET_STYLE_NoName_00__尖矿成本统计（2009年1季度）_2013年复合材料厂产能及降本预算10" xfId="15714" xr:uid="{0D7CC241-48E0-4C90-9C0B-64609D788B70}"/>
    <cellStyle name="_ET_STYLE_NoName_00__尖矿成本统计（2009年1季度）_2013年复合材料厂产能及降本预算10.29" xfId="15715" xr:uid="{41D8369C-3BAA-4B37-84EA-1377399782EC}"/>
    <cellStyle name="_ET_STYLE_NoName_00__尖矿成本统计（2009年1季度）_2013年尖山铁矿全面预算11.07" xfId="15716" xr:uid="{FACCEC5B-AD69-4560-A981-4BCE3590FA10}"/>
    <cellStyle name="_ET_STYLE_NoName_00__尖矿成本统计（2009年1季度）_2014产能预算初稿12.18.1(1)" xfId="15717" xr:uid="{3035C990-3EC7-4BD4-87B4-1C3338BA32FD}"/>
    <cellStyle name="_ET_STYLE_NoName_00__尖矿成本统计（2009年1季度）_2014年产量预算初稿" xfId="15718" xr:uid="{EAABB058-A4D4-491A-A562-1CB896530383}"/>
    <cellStyle name="_ET_STYLE_NoName_00__尖矿成本统计（2009年1季度）_2014年产量预算初稿 2" xfId="15719" xr:uid="{42DE236E-6A07-4857-B3B3-130EF7E8708C}"/>
    <cellStyle name="_ET_STYLE_NoName_00__尖矿成本统计（2009年1季度）_2014年产量预算初稿_动力部" xfId="15720" xr:uid="{AA91EBA7-79DC-45FD-BCDD-A96ED41BD558}"/>
    <cellStyle name="_ET_STYLE_NoName_00__尖矿成本统计（2009年1季度）_复合材料厂2013年预算12.12 (version 1)" xfId="15721" xr:uid="{E3A0517B-2994-4A29-A405-F8A60791113A}"/>
    <cellStyle name="_ET_STYLE_NoName_00__尖矿成本统计（2009年1季度）_复合材料厂2013年预算12.12 (version 1) 2" xfId="15722" xr:uid="{F8E0B87D-6B4D-4FE0-A089-26E6E281D182}"/>
    <cellStyle name="_ET_STYLE_NoName_00__尖矿成本统计（2009年1季度）_复合材料厂2013年预算12.12 (version 1)_动力部" xfId="15723" xr:uid="{9486CF04-2D35-40C0-AFB0-1450AF992FF7}"/>
    <cellStyle name="_ET_STYLE_NoName_00__尖矿成本统计（2009年1季度）_复合材料厂2013年预算13.02.20" xfId="15724" xr:uid="{650201ED-7C5B-4E7F-9B9E-BC7EF4C76208}"/>
    <cellStyle name="_ET_STYLE_NoName_00__尖矿成本统计（2009年1季度）_复合材料厂2013年预算13.02.20 2" xfId="15725" xr:uid="{E266DE58-B613-4A80-A83E-A871A1EFD8EB}"/>
    <cellStyle name="_ET_STYLE_NoName_00__尖矿成本统计（2009年1季度）_复合材料厂2013年预算13.02.20_动力部" xfId="15726" xr:uid="{0AE1470D-3C6C-4B72-B6D0-806D0C8F3C9E}"/>
    <cellStyle name="_ET_STYLE_NoName_00__尖矿成本统计（2009年1季度）_复合材料厂2014年预算1.15" xfId="15727" xr:uid="{0B5B7DE9-3009-4AE0-9E25-751C19854B43}"/>
    <cellStyle name="_ET_STYLE_NoName_00__尖矿成本统计（2009年1季度）_复合材料厂2014年预算1.15 2" xfId="15728" xr:uid="{67275E82-CA0D-4AE9-B1CD-53A8684E6A39}"/>
    <cellStyle name="_ET_STYLE_NoName_00__尖矿成本统计（2009年1季度）_复合材料厂2014年预算1.15_动力部" xfId="15729" xr:uid="{F791BBF0-4288-4240-9147-89BEE7455E5E}"/>
    <cellStyle name="_ET_STYLE_NoName_00__尖矿成本统计（2009年1季度）_复件 复合材料厂2014年预算12.13" xfId="15730" xr:uid="{A1CA16CA-BDDF-4F19-A707-417A569BADBE}"/>
    <cellStyle name="_ET_STYLE_NoName_00__尖矿成本统计（2009年1季度）_复件 复合材料厂2014年预算12.13 2" xfId="15731" xr:uid="{9AF62597-9973-4A49-9BCF-ADDD7B42A2EA}"/>
    <cellStyle name="_ET_STYLE_NoName_00__尖矿成本统计（2009年1季度）_复件 复合材料厂2014年预算12.13_动力部" xfId="15732" xr:uid="{FE1B273C-51B2-4A1F-BD8F-3100CE4B524F}"/>
    <cellStyle name="_ET_STYLE_NoName_00__尖矿成本统计（2009年1季度）_副本2013年复合材料厂产能及降本预算10.25" xfId="15733" xr:uid="{CB6C0D0E-9AD6-44A8-A5CF-2EA0792426B5}"/>
    <cellStyle name="_ET_STYLE_NoName_00__尖矿成本统计（2009年1季度）_副本矿业公司汇总及汇报初稿（复合材料厂）" xfId="15734" xr:uid="{D08A047A-2794-4462-A9C1-89B2D77E006A}"/>
    <cellStyle name="_ET_STYLE_NoName_00__尖矿成本统计（2009年1季度）_副本太钢复合材料厂2013修理费预算12.13" xfId="15735" xr:uid="{A30BF704-364F-4B0E-AC16-C6F861E33B44}"/>
    <cellStyle name="_ET_STYLE_NoName_00__尖矿成本统计（2009年1季度）_副本太钢复合材料厂2014修理费预算及分解10.17(修改后)" xfId="15736" xr:uid="{AC84FD52-2EB2-4BC4-BD6F-C7612A792E32}"/>
    <cellStyle name="_ET_STYLE_NoName_00__尖矿成本统计（2009年1季度）_上报复合材料厂2013年预算10.20" xfId="15737" xr:uid="{360112ED-3F6B-42F5-803D-05E6612D8433}"/>
    <cellStyle name="_ET_STYLE_NoName_00__尖矿成本统计（2009年1季度）_上报复合材料厂2013年预算10.20 2" xfId="15738" xr:uid="{BAC8849D-6861-4D7C-9F5F-379FA3ABED13}"/>
    <cellStyle name="_ET_STYLE_NoName_00__尖矿成本统计（2009年1季度）_上报复合材料厂2013年预算10.20_动力部" xfId="15739" xr:uid="{00E0A265-928C-4B4E-A197-D4B8D7ACF173}"/>
    <cellStyle name="_ET_STYLE_NoName_00__尖矿成本统计（2009年1季度）_太钢复合材料厂2013修理费预算10.27改" xfId="15740" xr:uid="{E3585E4B-0C90-4ADB-A5A2-45E7710375A3}"/>
    <cellStyle name="_ET_STYLE_NoName_00__尖山2015年全面预算稿10.27(生产科数据修改）" xfId="15741" xr:uid="{61F52E5C-73FA-497B-A16B-6F5AFEA1E2D3}"/>
    <cellStyle name="_ET_STYLE_NoName_00__尖山矿2015年产能预算" xfId="15742" xr:uid="{B5E65518-7420-476A-B276-1B013C25C1D9}"/>
    <cellStyle name="_ET_STYLE_NoName_00__尖山矿2017年产量预算及不利因素影响报" xfId="15743" xr:uid="{FCC937BA-E3E4-4C2B-9B4E-04D24906EEAA}"/>
    <cellStyle name="_ET_STYLE_NoName_00__尖山铁矿2010年预算汇总" xfId="15744" xr:uid="{52A7FC42-DF7D-4F86-A27F-6D663FBDA088}"/>
    <cellStyle name="_ET_STYLE_NoName_00__尖山铁矿2010年预算汇总 2" xfId="15745" xr:uid="{E293667D-862E-45F6-B192-AD28D511F794}"/>
    <cellStyle name="_ET_STYLE_NoName_00__尖山铁矿2010年预算汇总_14年预算降本措施11.22" xfId="15746" xr:uid="{784EF5D3-63D3-4ECE-BB56-EA53CC2B3091}"/>
    <cellStyle name="_ET_STYLE_NoName_00__尖山铁矿2010年预算汇总_14年预算降本措施11.22 2" xfId="15747" xr:uid="{2E0DCA20-E2B4-45D4-BDD3-0B54EB3B0292}"/>
    <cellStyle name="_ET_STYLE_NoName_00__尖山铁矿2010年预算汇总_14年预算降本措施11.22_动力部" xfId="15748" xr:uid="{0A84BDA8-8E30-4E8D-86E8-53089B91959B}"/>
    <cellStyle name="_ET_STYLE_NoName_00__尖山铁矿2010年预算汇总_2012厂各单位预算指标分解2012.3.31" xfId="15749" xr:uid="{700971C5-F992-407B-BC28-F12796AB4585}"/>
    <cellStyle name="_ET_STYLE_NoName_00__尖山铁矿2010年预算汇总_2013" xfId="15750" xr:uid="{91BF498E-EF40-4EEF-9FE3-BEC5B5A6ED85}"/>
    <cellStyle name="_ET_STYLE_NoName_00__尖山铁矿2010年预算汇总_2013 2" xfId="15751" xr:uid="{27285E4D-FB40-4931-A1B1-B79ABCA5906E}"/>
    <cellStyle name="_ET_STYLE_NoName_00__尖山铁矿2010年预算汇总_2013_动力部" xfId="15752" xr:uid="{45AD5660-E2A8-4975-A9E2-004C05F867DA}"/>
    <cellStyle name="_ET_STYLE_NoName_00__尖山铁矿2010年预算汇总_2013年复合材料厂产能及降本预算10" xfId="15753" xr:uid="{F60632CC-B2F9-49B9-905B-34325AA6D4D4}"/>
    <cellStyle name="_ET_STYLE_NoName_00__尖山铁矿2010年预算汇总_2013年复合材料厂产能及降本预算10.29" xfId="15754" xr:uid="{9C5400DD-57B7-4F39-87A6-78EEF665ED83}"/>
    <cellStyle name="_ET_STYLE_NoName_00__尖山铁矿2010年预算汇总_2013年尖山铁矿全面预算11.07" xfId="15755" xr:uid="{2DA4AB66-4950-4821-B24A-1524ED066C4D}"/>
    <cellStyle name="_ET_STYLE_NoName_00__尖山铁矿2010年预算汇总_2014产能预算初稿12.18.1(1)" xfId="15756" xr:uid="{ADDA54C5-8C0E-47E0-91C6-384B481DC6AF}"/>
    <cellStyle name="_ET_STYLE_NoName_00__尖山铁矿2010年预算汇总_2014年产量预算初稿" xfId="15757" xr:uid="{56E340E1-62D8-4BE1-A6A5-FE9C7D785A72}"/>
    <cellStyle name="_ET_STYLE_NoName_00__尖山铁矿2010年预算汇总_2014年产量预算初稿 2" xfId="15758" xr:uid="{99099D8D-CCEF-4D2F-A16D-25E93333AE89}"/>
    <cellStyle name="_ET_STYLE_NoName_00__尖山铁矿2010年预算汇总_2014年产量预算初稿_动力部" xfId="15759" xr:uid="{E7F833D8-2DFC-44ED-97CE-F2B101004805}"/>
    <cellStyle name="_ET_STYLE_NoName_00__尖山铁矿2010年预算汇总_复合材料厂2013年预算12.12 (version 1)" xfId="15760" xr:uid="{D8127D57-11A5-4F53-BCF6-66FF9572DE7D}"/>
    <cellStyle name="_ET_STYLE_NoName_00__尖山铁矿2010年预算汇总_复合材料厂2013年预算12.12 (version 1) 2" xfId="15761" xr:uid="{2EEA007D-6AC3-4CF0-8CE8-D95E63026576}"/>
    <cellStyle name="_ET_STYLE_NoName_00__尖山铁矿2010年预算汇总_复合材料厂2013年预算12.12 (version 1)_动力部" xfId="15762" xr:uid="{8F9CBDD4-7C53-43CD-A06E-7BB0977D5E42}"/>
    <cellStyle name="_ET_STYLE_NoName_00__尖山铁矿2010年预算汇总_复合材料厂2013年预算13.02.20" xfId="15763" xr:uid="{F32A6BB5-F024-4EFF-B5BD-09D74579ECAE}"/>
    <cellStyle name="_ET_STYLE_NoName_00__尖山铁矿2010年预算汇总_复合材料厂2013年预算13.02.20 2" xfId="15764" xr:uid="{C36ADB3D-6E2C-43D5-A4C1-0658785EFA95}"/>
    <cellStyle name="_ET_STYLE_NoName_00__尖山铁矿2010年预算汇总_复合材料厂2013年预算13.02.20_动力部" xfId="15765" xr:uid="{005EF622-BE49-4E7C-B53D-0FDD7AC31E43}"/>
    <cellStyle name="_ET_STYLE_NoName_00__尖山铁矿2010年预算汇总_复合材料厂2014年预算1.15" xfId="15766" xr:uid="{6883FE6A-2A90-4E8B-9D3C-34E25B841882}"/>
    <cellStyle name="_ET_STYLE_NoName_00__尖山铁矿2010年预算汇总_复合材料厂2014年预算1.15 2" xfId="15767" xr:uid="{B2946FE9-5D93-459D-9F70-6C187DBA1DF4}"/>
    <cellStyle name="_ET_STYLE_NoName_00__尖山铁矿2010年预算汇总_复合材料厂2014年预算1.15_动力部" xfId="15768" xr:uid="{068A7D8D-95F3-41FF-9056-EAB04FE5D63D}"/>
    <cellStyle name="_ET_STYLE_NoName_00__尖山铁矿2010年预算汇总_复件 复合材料厂2014年预算12.13" xfId="15769" xr:uid="{9C5F6593-7101-4BF9-852E-983ADF6EBC1D}"/>
    <cellStyle name="_ET_STYLE_NoName_00__尖山铁矿2010年预算汇总_复件 复合材料厂2014年预算12.13 2" xfId="15770" xr:uid="{C42AC6E7-DEF0-481B-81C9-596673EB130D}"/>
    <cellStyle name="_ET_STYLE_NoName_00__尖山铁矿2010年预算汇总_复件 复合材料厂2014年预算12.13_动力部" xfId="15771" xr:uid="{BF45B45D-B59E-4FA2-8CCC-25B1DDCF00A0}"/>
    <cellStyle name="_ET_STYLE_NoName_00__尖山铁矿2010年预算汇总_副本2013年复合材料厂产能及降本预算10.25" xfId="15772" xr:uid="{FE6373C9-431E-427E-A65B-590C17F5866E}"/>
    <cellStyle name="_ET_STYLE_NoName_00__尖山铁矿2010年预算汇总_副本矿业公司汇总及汇报初稿（复合材料厂）" xfId="15773" xr:uid="{3939DE6B-8E12-413B-97E1-D31F194E852C}"/>
    <cellStyle name="_ET_STYLE_NoName_00__尖山铁矿2010年预算汇总_副本太钢复合材料厂2013修理费预算12.13" xfId="15774" xr:uid="{9012795F-0EFF-445C-AF5C-2CC2AD2DE8E2}"/>
    <cellStyle name="_ET_STYLE_NoName_00__尖山铁矿2010年预算汇总_副本太钢复合材料厂2014修理费预算及分解10.17(修改后)" xfId="15775" xr:uid="{D6BB03D8-E3F7-4583-A4F0-E8EE1105A841}"/>
    <cellStyle name="_ET_STYLE_NoName_00__尖山铁矿2010年预算汇总_上报复合材料厂2013年预算10.20" xfId="15776" xr:uid="{CE988087-7E67-4985-BAA6-2EBCC46AB323}"/>
    <cellStyle name="_ET_STYLE_NoName_00__尖山铁矿2010年预算汇总_上报复合材料厂2013年预算10.20 2" xfId="15777" xr:uid="{AE4E5287-8430-4A54-B7B5-800711478CBE}"/>
    <cellStyle name="_ET_STYLE_NoName_00__尖山铁矿2010年预算汇总_上报复合材料厂2013年预算10.20_动力部" xfId="15778" xr:uid="{76D65583-4819-4DD4-9C11-8A9C81CB1B83}"/>
    <cellStyle name="_ET_STYLE_NoName_00__尖山铁矿2010年预算汇总_太钢复合材料厂2013修理费预算10.27改" xfId="15779" xr:uid="{6835A81D-F676-43BC-A90C-7B88F6D66017}"/>
    <cellStyle name="_ET_STYLE_NoName_00__尖山铁矿2012年生产经营预算(12.24)" xfId="15780" xr:uid="{240CC12C-687D-4625-8E48-58E91EC60D81}"/>
    <cellStyle name="_ET_STYLE_NoName_00__尖山铁矿2012年生产经营预算(12.24) 2" xfId="15781" xr:uid="{5B202D31-98E2-4153-BC00-A814C6090EE5}"/>
    <cellStyle name="_ET_STYLE_NoName_00__检修预算" xfId="15782" xr:uid="{A2375A41-0A1B-4FCA-AC56-3CCC40976926}"/>
    <cellStyle name="_ET_STYLE_NoName_00__降本增效简报底表(杜占杰9.1)" xfId="15783" xr:uid="{276B99AE-3FBD-41DD-B7EA-4EEB04701833}"/>
    <cellStyle name="_ET_STYLE_NoName_00__矿业2015年检修及工序产能预算格式(矿业公司2014.10.20)" xfId="15784" xr:uid="{05FC66C2-2356-4B6F-ACF6-E388B737C0B5}"/>
    <cellStyle name="_ET_STYLE_NoName_00__矿业公司2012年全面预算定稿报公司" xfId="15785" xr:uid="{668A5E6E-62B7-48C1-A9D3-C6C9EA49AC08}"/>
    <cellStyle name="_ET_STYLE_NoName_00__矿业公司2012年全面预算定稿报公司_14年预算降本措施11.22" xfId="15786" xr:uid="{287EEDEC-79BA-4C96-AF07-92FD65E653BC}"/>
    <cellStyle name="_ET_STYLE_NoName_00__矿业公司2012年全面预算定稿报公司_14年预算降本措施11.22 2" xfId="15787" xr:uid="{A2CA64D6-EF38-46EF-9294-BC15DB6E073E}"/>
    <cellStyle name="_ET_STYLE_NoName_00__矿业公司2012年全面预算定稿报公司_14年预算降本措施11.22_动力部" xfId="15788" xr:uid="{6BE4B15C-E331-490E-953B-3E79F3FA167A}"/>
    <cellStyle name="_ET_STYLE_NoName_00__矿业公司2012年全面预算定稿报公司_2012厂各单位预算指标分解2012.3.31" xfId="15789" xr:uid="{3409E495-4648-49A4-8DD3-6C83D0635912}"/>
    <cellStyle name="_ET_STYLE_NoName_00__矿业公司2012年全面预算定稿报公司_2013" xfId="15790" xr:uid="{57AC5D36-58A6-468E-BDE9-311B520B3921}"/>
    <cellStyle name="_ET_STYLE_NoName_00__矿业公司2012年全面预算定稿报公司_2013 2" xfId="15791" xr:uid="{5C4FF7AF-4295-49F0-BE80-47172CD77F6C}"/>
    <cellStyle name="_ET_STYLE_NoName_00__矿业公司2012年全面预算定稿报公司_2013_动力部" xfId="15792" xr:uid="{776B6674-F039-4CBC-9A03-6470355BDDF6}"/>
    <cellStyle name="_ET_STYLE_NoName_00__矿业公司2012年全面预算定稿报公司_2013年复合材料厂产能及降本预算10" xfId="15793" xr:uid="{64AD8297-7E70-4D4C-AC43-7C2F506A2D23}"/>
    <cellStyle name="_ET_STYLE_NoName_00__矿业公司2012年全面预算定稿报公司_2013年复合材料厂产能及降本预算10.29" xfId="15794" xr:uid="{1B858690-8756-4867-97E7-FAADEC46FE3B}"/>
    <cellStyle name="_ET_STYLE_NoName_00__矿业公司2012年全面预算定稿报公司_2014产能预算初稿12.18.1(1)" xfId="15795" xr:uid="{A71F3DC8-D091-4094-8BD1-E922182F7FA6}"/>
    <cellStyle name="_ET_STYLE_NoName_00__矿业公司2012年全面预算定稿报公司_2014年产量预算初稿" xfId="15796" xr:uid="{22C939BB-05B5-43D6-99C3-C7825F1082C7}"/>
    <cellStyle name="_ET_STYLE_NoName_00__矿业公司2012年全面预算定稿报公司_2014年产量预算初稿 2" xfId="15797" xr:uid="{1051C7D4-2EF7-4E25-B797-AECA6C70E9F3}"/>
    <cellStyle name="_ET_STYLE_NoName_00__矿业公司2012年全面预算定稿报公司_2014年产量预算初稿_动力部" xfId="15798" xr:uid="{0857881B-1C74-4F9A-BB7C-3707526A629D}"/>
    <cellStyle name="_ET_STYLE_NoName_00__矿业公司2012年全面预算定稿报公司_复合材料厂2013年预算12.12 (version 1)" xfId="15799" xr:uid="{7670A2DA-B48B-4B47-9BDF-0036A5A66126}"/>
    <cellStyle name="_ET_STYLE_NoName_00__矿业公司2012年全面预算定稿报公司_复合材料厂2013年预算12.12 (version 1) 2" xfId="15800" xr:uid="{EF5E5C3F-9730-433C-A389-C89F983AA730}"/>
    <cellStyle name="_ET_STYLE_NoName_00__矿业公司2012年全面预算定稿报公司_复合材料厂2013年预算12.12 (version 1)_动力部" xfId="15801" xr:uid="{D4D0795E-26F9-4355-8BBA-C3A0CB378A62}"/>
    <cellStyle name="_ET_STYLE_NoName_00__矿业公司2012年全面预算定稿报公司_复合材料厂2013年预算13.02.20" xfId="15802" xr:uid="{1318D72A-6D8D-4F07-A676-E47883904C6C}"/>
    <cellStyle name="_ET_STYLE_NoName_00__矿业公司2012年全面预算定稿报公司_复合材料厂2013年预算13.02.20 2" xfId="15803" xr:uid="{D75215BF-F90E-4CBC-B81E-09583E3B981B}"/>
    <cellStyle name="_ET_STYLE_NoName_00__矿业公司2012年全面预算定稿报公司_复合材料厂2013年预算13.02.20_动力部" xfId="15804" xr:uid="{0B085B8D-2A6A-4C35-BB0C-E4EFD171988B}"/>
    <cellStyle name="_ET_STYLE_NoName_00__矿业公司2012年全面预算定稿报公司_复合材料厂2014年预算1.15" xfId="15805" xr:uid="{8DAE46AF-A1A8-4E3E-B731-93872B811190}"/>
    <cellStyle name="_ET_STYLE_NoName_00__矿业公司2012年全面预算定稿报公司_复合材料厂2014年预算1.15 2" xfId="15806" xr:uid="{D8506834-652F-4371-8581-C75E22CA84E4}"/>
    <cellStyle name="_ET_STYLE_NoName_00__矿业公司2012年全面预算定稿报公司_复合材料厂2014年预算1.15_动力部" xfId="15807" xr:uid="{92E20525-129B-489C-91D6-4117B8942FA9}"/>
    <cellStyle name="_ET_STYLE_NoName_00__矿业公司2012年全面预算定稿报公司_复件 复合材料厂2014年预算12.13" xfId="15808" xr:uid="{E78B8662-F99E-47DD-80B6-2B8ED2B5D348}"/>
    <cellStyle name="_ET_STYLE_NoName_00__矿业公司2012年全面预算定稿报公司_复件 复合材料厂2014年预算12.13 2" xfId="15809" xr:uid="{EEF61B19-A8C7-4B34-AF91-5D2CF7EDEDBC}"/>
    <cellStyle name="_ET_STYLE_NoName_00__矿业公司2012年全面预算定稿报公司_复件 复合材料厂2014年预算12.13_动力部" xfId="15810" xr:uid="{BAF63BFA-5892-49E9-AB4A-29FFD95493BD}"/>
    <cellStyle name="_ET_STYLE_NoName_00__矿业公司2012年全面预算定稿报公司_副本2013年复合材料厂产能及降本预算10.25" xfId="15811" xr:uid="{185F1A99-1081-4435-AE6B-ABD973538EE1}"/>
    <cellStyle name="_ET_STYLE_NoName_00__矿业公司2012年全面预算定稿报公司_副本太钢复合材料厂2013修理费预算12.13" xfId="15812" xr:uid="{2D130702-DD28-4284-9806-61C4A65DE5A6}"/>
    <cellStyle name="_ET_STYLE_NoName_00__矿业公司2012年全面预算定稿报公司_副本太钢复合材料厂2014修理费预算及分解10.17(修改后)" xfId="15813" xr:uid="{BD351980-C016-4897-A45A-8E66C12FCEEB}"/>
    <cellStyle name="_ET_STYLE_NoName_00__矿业公司2012年全面预算定稿报公司_上报复合材料厂2013年预算10.20" xfId="15814" xr:uid="{89B650B4-AF30-43EA-87F1-649F61C01FF0}"/>
    <cellStyle name="_ET_STYLE_NoName_00__矿业公司2012年全面预算定稿报公司_上报复合材料厂2013年预算10.20 2" xfId="15815" xr:uid="{45A03001-5767-4D89-990A-9EF2C6D16961}"/>
    <cellStyle name="_ET_STYLE_NoName_00__矿业公司2012年全面预算定稿报公司_上报复合材料厂2013年预算10.20_动力部" xfId="15816" xr:uid="{220C3BC8-5750-4747-A029-0C4FCB0F636D}"/>
    <cellStyle name="_ET_STYLE_NoName_00__矿业公司2012年全面预算定稿报公司_太钢复合材料厂2013修理费预算10.27改" xfId="15817" xr:uid="{81650E97-E737-4CDD-A371-CAF34E1A4537}"/>
    <cellStyle name="_ET_STYLE_NoName_00__矿业公司2014年全面预算稿（机关费用）" xfId="15818" xr:uid="{2462858A-BC2F-47A5-825F-158ADC34E627}"/>
    <cellStyle name="_ET_STYLE_NoName_00__矿业公司2014年全面预算稿（机关费用） 2" xfId="15819" xr:uid="{9DA87910-2FBD-4311-B30F-1AB17F2D1A12}"/>
    <cellStyle name="_ET_STYLE_NoName_00__矿业公司2015年外协预算" xfId="15820" xr:uid="{53411C0E-A580-45A3-AB1C-CFFFA6E17253}"/>
    <cellStyle name="_ET_STYLE_NoName_00__矿业公司2015年外协预算 2" xfId="15821" xr:uid="{90CDEE38-CFF3-4FBE-A99B-66656A1BBFF2}"/>
    <cellStyle name="_ET_STYLE_NoName_00__矿业公司-工会2014" xfId="15822" xr:uid="{5B8B9C97-086D-4574-B24B-EC942AC26BD3}"/>
    <cellStyle name="_ET_STYLE_NoName_00__矿业公司-工会2014 2" xfId="15823" xr:uid="{CCC054D0-FCF1-4AA3-8FDD-59762C3FA4EF}"/>
    <cellStyle name="_ET_STYLE_NoName_00__矿业公司-工会2014-初稿" xfId="15824" xr:uid="{76641989-DA61-4A27-9406-A0F37E8B09A5}"/>
    <cellStyle name="_ET_STYLE_NoName_00__矿业公司-工会2014-初稿 2" xfId="15825" xr:uid="{30E553A1-C8EF-4D44-92C1-50BD1ABE735D}"/>
    <cellStyle name="_ET_STYLE_NoName_00__矿业公司矿产品延伸预算" xfId="15826" xr:uid="{03EE8337-9E20-4222-AB3A-0F43C199FDF4}"/>
    <cellStyle name="_ET_STYLE_NoName_00__矿业公司矿产品延伸预算 2" xfId="15827" xr:uid="{431310B6-01B4-42E8-A90D-98EA18572824}"/>
    <cellStyle name="_ET_STYLE_NoName_00__气力输送606皮带廊及竖窑300t1#皮带廊渗水、漏水工程量估算表" xfId="15828" xr:uid="{5E9A3D42-65D4-4D78-A3D4-1A4A0ED21AF6}"/>
    <cellStyle name="_ET_STYLE_NoName_00__气力输送皮606带廊及竖窑3001#皮带廊渗水、漏水投资估算" xfId="15829" xr:uid="{F9E7D273-B64D-48B7-A5B7-DAB5515BF0B6}"/>
    <cellStyle name="_ET_STYLE_NoName_00__清单xx" xfId="15830" xr:uid="{3E6F66F4-B6C5-430E-976E-2248468ADBD2}"/>
    <cellStyle name="_ET_STYLE_NoName_00__球团工序 (2018)" xfId="15831" xr:uid="{8300DD39-1A81-4830-BE0D-1E5A27CC8C89}"/>
    <cellStyle name="_ET_STYLE_NoName_00__筛分电气清单" xfId="15832" xr:uid="{C5976EF3-7650-4116-BA21-A6454D5B4041}"/>
    <cellStyle name="_ET_STYLE_NoName_00__筛分清单0" xfId="15833" xr:uid="{0E2382A4-EF42-4FF4-831B-56562EF7B943}"/>
    <cellStyle name="_ET_STYLE_NoName_00__上报复合材料厂2013年预算10.20" xfId="15834" xr:uid="{1B4700FA-AE77-48D0-863F-74E79D936C88}"/>
    <cellStyle name="_ET_STYLE_NoName_00__上报复合材料厂2013年预算10.20 2" xfId="15835" xr:uid="{1DA73FC3-8875-453B-80F7-9EC47F53099F}"/>
    <cellStyle name="_ET_STYLE_NoName_00__上报复合材料厂2013年预算10.20_动力部" xfId="15836" xr:uid="{AB8F7662-719D-4405-892E-64950B38E218}"/>
    <cellStyle name="_ET_STYLE_NoName_00__收入利润18" xfId="15837" xr:uid="{8F5BC9CE-CB42-417D-AFC7-D415DF5DEBE6}"/>
    <cellStyle name="_ET_STYLE_NoName_00__竖窑硬化地面等四项工程量清单" xfId="15838" xr:uid="{A6209693-398B-4F33-A0D1-A0C90283533C}"/>
    <cellStyle name="_ET_STYLE_NoName_00__竖窑硬化地面及厕所车棚改造工程" xfId="15839" xr:uid="{3822F545-FE5F-46F2-9053-F2D79DE64DA8}"/>
    <cellStyle name="_ET_STYLE_NoName_00__太钢复合材料厂2013修理费预算10.27改" xfId="15840" xr:uid="{545659BA-84BB-4B8A-A5BF-D3E2C6CA3B83}"/>
    <cellStyle name="_ET_STYLE_NoName_00__太钢鑫磊2017年1月非生产、安全、修理费统计报表" xfId="15841" xr:uid="{4B1819B2-9B35-47CA-B802-54E476C7F2CD}"/>
    <cellStyle name="_ET_STYLE_NoName_00__太钢鑫磊2018年人工成本表" xfId="15842" xr:uid="{55CD5F6E-C5DC-4629-A93E-82C633615A74}"/>
    <cellStyle name="_ET_STYLE_NoName_00__特殊措施费报价" xfId="15843" xr:uid="{0EFC6705-8D47-4BB4-A034-80B5AF0BC025}"/>
    <cellStyle name="_ET_STYLE_NoName_00__通廊堵漏工程量清单" xfId="15844" xr:uid="{1A4E4E93-3250-4443-B485-44CF9FFE2153}"/>
    <cellStyle name="_ET_STYLE_NoName_00__新增项目报价表1" xfId="15845" xr:uid="{3E4BD5A4-D55B-4A63-A990-4930C7DDB87D}"/>
    <cellStyle name="_ET_STYLE_NoName_00__业务党务费安全费、会务费" xfId="15846" xr:uid="{F44EA04E-062E-4331-BFBB-AD67058B1481}"/>
    <cellStyle name="_ET_STYLE_NoName_00__业务党务费安全费、会务费 2" xfId="15847" xr:uid="{E360BFAE-616C-417F-9AE4-A4223E10E84A}"/>
    <cellStyle name="_ET_STYLE_NoName_00__预算汇总" xfId="15848" xr:uid="{006DB231-2538-4DBB-B6E7-4E01DD930FBE}"/>
    <cellStyle name="_ET_STYLE_NoName_00__招标分解（一）" xfId="15849" xr:uid="{623E7515-EB95-47A2-9A97-CA7BBA334564}"/>
    <cellStyle name="_ET_STYLE_NoName_00__重点工作" xfId="15850" xr:uid="{A5039B15-7D26-462E-B2EA-DE9FD1EE29F0}"/>
    <cellStyle name="_ET_STYLE_NoName_00__作业区工序成本完成情况" xfId="15851" xr:uid="{9BF3B375-6737-4618-B8A4-E2B1E37A812E}"/>
    <cellStyle name="_FY07 Sony事业部数据" xfId="101" xr:uid="{F69EF115-A81A-40E2-9440-E5B31C8579CA}"/>
    <cellStyle name="_FY07 Sony事业部数据 2" xfId="11967" xr:uid="{91776782-A5D3-42C1-B607-8FCB41AB1C83}"/>
    <cellStyle name="_Sheet1" xfId="15852" xr:uid="{F969350B-135C-4CF1-B540-ABCAC0AA8EEF}"/>
    <cellStyle name="_Sheet1 2" xfId="15853" xr:uid="{6BB4EE40-9A18-4A17-A3B8-00AB6CD993A8}"/>
    <cellStyle name="_Sheet1_2014年降本增效指标完成情况" xfId="15854" xr:uid="{D402E103-F6ED-4FF7-BB08-D74E31F0BFA9}"/>
    <cellStyle name="_Sheet1_2015年工艺质量科全面预算" xfId="15855" xr:uid="{696CA911-0E87-4CEF-B7F4-65F72A7687F4}"/>
    <cellStyle name="_Sheet1_2016年9月成本报表" xfId="15856" xr:uid="{C0D76F4E-067F-4AF7-B9F9-359519458ECC}"/>
    <cellStyle name="_Sheet1_2016年采矿工序预算" xfId="15857" xr:uid="{B089600D-C5B4-4859-95E4-57EEB85E6710}"/>
    <cellStyle name="_Sheet1_2017年全面预算新增表样" xfId="15858" xr:uid="{3B2AAA10-AC0E-4D51-8B36-DCC8AAC6F8AB}"/>
    <cellStyle name="_Sheet1_采矿部2015年内部工序预算(12.15)" xfId="15859" xr:uid="{55C348AD-1F0C-4BCD-9760-EA3EED73D53F}"/>
    <cellStyle name="_Sheet1_采矿综合组" xfId="15860" xr:uid="{D59E8B38-E07D-4328-A5CC-C177A7EE0A15}"/>
    <cellStyle name="_Sheet1_峨矿1月份成本报表(管理)" xfId="15861" xr:uid="{ECCE13B6-587E-4EE4-8070-568AFE7C9D3C}"/>
    <cellStyle name="_Sheet1_峨矿2015年报表分析06" xfId="15862" xr:uid="{A57E58F9-E557-4587-96B3-9861C1A25092}"/>
    <cellStyle name="_Sheet1_峨矿2015年报表分析09" xfId="15863" xr:uid="{4B1EDBCD-00F6-4475-8C3C-48DA091F3C6C}"/>
    <cellStyle name="_Sheet1_峨矿2015年报表分析11" xfId="15864" xr:uid="{3C91BCB0-7930-4EB8-AEEB-49F69EBCDF59}"/>
    <cellStyle name="_Sheet1_峨矿2015年报表分析12" xfId="15865" xr:uid="{12AF4EB3-9851-4BA1-B528-C54A0F131D3D}"/>
    <cellStyle name="_Sheet1_峨矿2016年报表分析02" xfId="15866" xr:uid="{DDCC5C4A-1A34-4365-A50C-6163EC298802}"/>
    <cellStyle name="_Sheet1_峨矿2016年全面预算(2016.1.28)" xfId="15867" xr:uid="{B67DD724-36C3-4D24-84FA-853D7B92D4A7}"/>
    <cellStyle name="_Sheet1_峨矿6月份成本报表(管理)" xfId="15868" xr:uid="{B52AFECE-C4D9-4C32-B2F0-364071A5C61E}"/>
    <cellStyle name="_Sheet1_峨矿9月份成本报表" xfId="15869" xr:uid="{7C3C73E6-28AE-42B6-B610-1CCAB2216984}"/>
    <cellStyle name="_Sheet1_峨矿外协费用明细统计修订" xfId="15870" xr:uid="{BDC5C010-109B-4432-B128-91EA7E17AC26}"/>
    <cellStyle name="_Sheet1_工作表 在 文件资料数据维护" xfId="15871" xr:uid="{882250CF-D6E8-4537-B1A4-FD72C959AA34}"/>
    <cellStyle name="_Sheet1_机关预算汇总11.19" xfId="15872" xr:uid="{2B42F995-F639-4142-8CED-526CB4BF6EDC}"/>
    <cellStyle name="_Sheet1_机关预算汇总11.19 2" xfId="15873" xr:uid="{7D27214F-74BD-4AF0-B725-ADCE5577FA27}"/>
    <cellStyle name="_Sheet1_加不利2016年预算3稿（内）1106" xfId="15874" xr:uid="{01487C31-386A-499F-8A2C-43569E01D121}"/>
    <cellStyle name="_Sheet1_尖山2015年全面预算稿报矿业稿11.14000" xfId="15875" xr:uid="{78652942-8F31-4D09-88E6-1FE84251598A}"/>
    <cellStyle name="_Sheet1_尖山2015年全面预算稿报矿业稿11.14000_2016年工序质量指标预算" xfId="15876" xr:uid="{1A4CD318-5F24-4104-8F69-696C9A5B6E78}"/>
    <cellStyle name="_Sheet1_尖山2015年全面预算稿报矿业稿11.14000_工艺科2017年全面预算20161010" xfId="15877" xr:uid="{9C4600FE-99CF-4F67-9C51-3186FD334379}"/>
    <cellStyle name="_Sheet1_尖山2015年全面预算稿报矿业稿11.14000_尖山铁矿2017年全面预算1.26" xfId="15878" xr:uid="{29BCBA62-9DA5-4B40-8F61-23FE064CFC61}"/>
    <cellStyle name="_Sheet1_尖山矿2017年产量预算及不利因素影响报" xfId="15879" xr:uid="{9D6FD4E9-D57E-49CA-A2B4-7AE8F0FA523A}"/>
    <cellStyle name="_Sheet1_尖山铁矿2015年全面预算" xfId="15880" xr:uid="{B5BD81F6-5A5F-4563-812E-1F181F87128B}"/>
    <cellStyle name="_Sheet1_尖山铁矿2015年全面预算_尖山铁矿2017年全面预算1.26" xfId="15881" xr:uid="{92665CC4-3A7F-424A-8E80-080E5F987E42}"/>
    <cellStyle name="_Sheet1_尖山铁矿2015年全面预算--挂在内网的正式稿" xfId="15882" xr:uid="{34B72D6C-AE07-4DF1-B411-D43EB68A83F6}"/>
    <cellStyle name="_Sheet1_尖山铁矿2016年预算内部全面预算(129)" xfId="15883" xr:uid="{E67CEF0C-8DE1-414B-94AF-9FB0B53D3E68}"/>
    <cellStyle name="_Sheet1_尖山铁矿2017年全面预算1.26" xfId="15884" xr:uid="{7272C4E1-2AB3-45AA-8FF7-472245C64457}"/>
    <cellStyle name="_Sheet1_降本增效简报底表(杜占杰9.1)" xfId="15885" xr:uid="{D83F201F-DB2A-43AB-969D-A7FCE3C4FBF4}"/>
    <cellStyle name="_Sheet1_矿石完成表" xfId="15886" xr:uid="{6D538AF2-678F-455A-8AB1-82A54052FEC8}"/>
    <cellStyle name="_Sheet1_矿业公司产量、成本利润分析机关本部(1)" xfId="15887" xr:uid="{7B0A185A-4711-4277-84CE-7663DD44E95C}"/>
    <cellStyle name="_Sheet1_矿业公司产量、成本利润分析机关本部(1)_2014年降本增效指标完成情况" xfId="15888" xr:uid="{2579D83D-74CB-4A99-BA5C-873A4A32FBF7}"/>
    <cellStyle name="_Sheet1_维修费用报表(董矿长)" xfId="15889" xr:uid="{7E7FC86C-F19B-455E-9DBC-35E704922C3F}"/>
    <cellStyle name="_Sheet2" xfId="15890" xr:uid="{60241D07-CA2F-467F-9657-DF07F280156E}"/>
    <cellStyle name="_Sheet2 2" xfId="15891" xr:uid="{BDB8BC99-221E-4E69-9A39-3382B907A6DB}"/>
    <cellStyle name="_Sheet2_2014年降本增效指标完成情况" xfId="15892" xr:uid="{A718FACC-488B-4F83-AE13-0CE710EA813A}"/>
    <cellStyle name="_Sheet2_2015年工艺质量科全面预算" xfId="15893" xr:uid="{DE77FEB1-83D9-4EBC-9314-5A635B8FC4C1}"/>
    <cellStyle name="_Sheet2_2016年9月成本报表" xfId="15894" xr:uid="{95EC93BB-4DDC-4291-AEDF-298BAF3F4F0B}"/>
    <cellStyle name="_Sheet2_2016年采矿工序预算" xfId="15895" xr:uid="{516BF4AB-9986-456C-ADBF-78BAAC771CE8}"/>
    <cellStyle name="_Sheet2_2017年全面预算新增表样" xfId="15896" xr:uid="{50A8BE91-2246-4654-8F7C-0C6C9BE3C7BB}"/>
    <cellStyle name="_Sheet2_采矿部2015年内部工序预算(12.15)" xfId="15897" xr:uid="{EC0FC70B-C7C9-44B8-8843-14431CACD1D5}"/>
    <cellStyle name="_Sheet2_采矿综合组" xfId="15898" xr:uid="{947999DD-9C60-43D7-A8C9-492922175878}"/>
    <cellStyle name="_Sheet2_峨矿1月份成本报表(管理)" xfId="15899" xr:uid="{1E49BFD6-D699-4A3A-9D84-5D0D326D1E2D}"/>
    <cellStyle name="_Sheet2_峨矿2015年报表分析06" xfId="15900" xr:uid="{EB2A866A-0DCC-4881-AD9C-38A41C0152C2}"/>
    <cellStyle name="_Sheet2_峨矿2015年报表分析09" xfId="15901" xr:uid="{E133B56A-28D0-4C79-A9E2-58F212F7B683}"/>
    <cellStyle name="_Sheet2_峨矿2015年报表分析11" xfId="15902" xr:uid="{975F071F-36F0-4C14-96CD-FA3660152E32}"/>
    <cellStyle name="_Sheet2_峨矿2015年报表分析12" xfId="15903" xr:uid="{931C1125-1C46-47B4-8833-DE20083296A8}"/>
    <cellStyle name="_Sheet2_峨矿2016年报表分析02" xfId="15904" xr:uid="{D28DC03E-5B1C-4AEE-A1D6-25FED4280655}"/>
    <cellStyle name="_Sheet2_峨矿2016年全面预算(2016.1.28)" xfId="15905" xr:uid="{E1C008AF-A72F-4ED2-9AF9-BAC4D3A7617A}"/>
    <cellStyle name="_Sheet2_峨矿6月份成本报表(管理)" xfId="15906" xr:uid="{AC5960F1-69DD-4E0D-A505-535FBEA667F0}"/>
    <cellStyle name="_Sheet2_峨矿9月份成本报表" xfId="15907" xr:uid="{035F4351-190F-4B56-9E0D-060F200B6E4A}"/>
    <cellStyle name="_Sheet2_峨矿外协费用明细统计修订" xfId="15908" xr:uid="{C2ED668C-3798-44AB-AFD4-459B31737A63}"/>
    <cellStyle name="_Sheet2_机关预算汇总11.19" xfId="15909" xr:uid="{98EA7B3B-A45A-42CA-A3E2-0E1CA586D5DD}"/>
    <cellStyle name="_Sheet2_机关预算汇总11.19 2" xfId="15910" xr:uid="{3AED24D0-351D-4EB8-B675-8AC007F3D636}"/>
    <cellStyle name="_Sheet2_加不利2016年预算3稿（内）1106" xfId="15911" xr:uid="{5CC706A7-A845-4B48-A0D1-782CC0327B2A}"/>
    <cellStyle name="_Sheet2_尖山2015年全面预算稿报矿业稿11.14000" xfId="15912" xr:uid="{C3E02631-1EA4-4F90-93E6-D9536BE03651}"/>
    <cellStyle name="_Sheet2_尖山2015年全面预算稿报矿业稿11.14000_2016年工序质量指标预算" xfId="15913" xr:uid="{0E629527-DD2F-4E78-8C09-814C8B0ECD70}"/>
    <cellStyle name="_Sheet2_尖山2015年全面预算稿报矿业稿11.14000_工艺科2017年全面预算20161010" xfId="15914" xr:uid="{FB4D1CD8-1845-4234-B3F4-3BAF1D1BA43A}"/>
    <cellStyle name="_Sheet2_尖山2015年全面预算稿报矿业稿11.14000_尖山铁矿2017年全面预算1.26" xfId="15915" xr:uid="{BA7E761A-0BCE-415D-A557-15DEB81D5210}"/>
    <cellStyle name="_Sheet2_尖山矿2017年产量预算及不利因素影响报" xfId="15916" xr:uid="{095F9246-3006-49DA-B57B-D78BDCF1F7A9}"/>
    <cellStyle name="_Sheet2_尖山铁矿2015年全面预算" xfId="15917" xr:uid="{8D79DCE0-A450-4BDB-948A-0C8E8C272B39}"/>
    <cellStyle name="_Sheet2_尖山铁矿2015年全面预算_尖山铁矿2017年全面预算1.26" xfId="15918" xr:uid="{FCC066AB-3305-40B4-A40C-A57DD090E4C5}"/>
    <cellStyle name="_Sheet2_尖山铁矿2015年全面预算--挂在内网的正式稿" xfId="15919" xr:uid="{CF13AC13-B961-4078-BB17-47BFA7DA6029}"/>
    <cellStyle name="_Sheet2_尖山铁矿2016年预算内部全面预算(129)" xfId="15920" xr:uid="{A16F8100-AA89-4243-9DD3-B5EFE4A9CD3C}"/>
    <cellStyle name="_Sheet2_尖山铁矿2017年全面预算1.26" xfId="15921" xr:uid="{B1CE0FD3-5D5E-48C4-BBA5-2029B359068B}"/>
    <cellStyle name="_Sheet2_降本增效简报底表(杜占杰9.1)" xfId="15922" xr:uid="{F98EA99E-99E6-4B19-B472-05D53AD27203}"/>
    <cellStyle name="_Sheet2_矿石完成表" xfId="15923" xr:uid="{3F576481-BE72-4AD3-B083-04210295E05A}"/>
    <cellStyle name="_Sheet2_矿业公司产量、成本利润分析机关本部(1)" xfId="15924" xr:uid="{641F38B8-5AD3-4280-855E-03C723581207}"/>
    <cellStyle name="_Sheet2_矿业公司产量、成本利润分析机关本部(1)_2014年降本增效指标完成情况" xfId="15925" xr:uid="{C8B493DE-3DA3-45EE-B7D9-3C17B4B05323}"/>
    <cellStyle name="_Sheet2_维修费用报表(董矿长)" xfId="15926" xr:uid="{B5B320EC-0E09-45A0-8D18-F607AA329F4F}"/>
    <cellStyle name="_Sheet3" xfId="15927" xr:uid="{AD3770CE-6720-4704-82F1-E36AA0DA4D3B}"/>
    <cellStyle name="_Sheet3 2" xfId="15928" xr:uid="{11E500E1-0CA6-4B5E-896E-24DA47FE0EC5}"/>
    <cellStyle name="_Sheet3_2014年降本增效指标完成情况" xfId="15929" xr:uid="{FB9A344C-678F-4C70-80A3-2C03E11674EC}"/>
    <cellStyle name="_Sheet3_2015年工艺质量科全面预算" xfId="15930" xr:uid="{87B9C27A-C45D-499A-9059-2F7B72902A28}"/>
    <cellStyle name="_Sheet3_2016年9月成本报表" xfId="15931" xr:uid="{3C40A32F-B651-4CD4-8A56-3BA52288BB17}"/>
    <cellStyle name="_Sheet3_2016年采矿工序预算" xfId="15932" xr:uid="{BBACA00C-88DB-4F8D-AE7C-401BED86E865}"/>
    <cellStyle name="_Sheet3_2017年全面预算新增表样" xfId="15933" xr:uid="{8FCC9B86-0A55-498C-B4B0-4D520B98358E}"/>
    <cellStyle name="_Sheet3_采矿部2015年内部工序预算(12.15)" xfId="15934" xr:uid="{813914C8-B5FB-44B2-A62E-90F661A0DDD4}"/>
    <cellStyle name="_Sheet3_采矿综合组" xfId="15935" xr:uid="{ECD25836-B396-4182-810C-4B1A0B4F711D}"/>
    <cellStyle name="_Sheet3_峨矿1月份成本报表(管理)" xfId="15936" xr:uid="{19CFE046-B18E-4559-96C9-798BC5CB01CB}"/>
    <cellStyle name="_Sheet3_峨矿2015年报表分析06" xfId="15937" xr:uid="{F970A77C-33D2-418D-970C-F0C7C17C4DC8}"/>
    <cellStyle name="_Sheet3_峨矿2015年报表分析09" xfId="15938" xr:uid="{44CF6D58-61DB-49CB-8E6F-44D8D9E8B51D}"/>
    <cellStyle name="_Sheet3_峨矿2015年报表分析11" xfId="15939" xr:uid="{34A77EEC-E617-4F12-AEDC-1F226DA7143B}"/>
    <cellStyle name="_Sheet3_峨矿2015年报表分析12" xfId="15940" xr:uid="{39B2EB28-4927-4286-A8DF-CBEE59112CF6}"/>
    <cellStyle name="_Sheet3_峨矿2016年报表分析02" xfId="15941" xr:uid="{95F6B456-AAFD-4705-8EA4-F3052A45DD64}"/>
    <cellStyle name="_Sheet3_峨矿2016年全面预算(2016.1.28)" xfId="15942" xr:uid="{AF9DD52C-6A63-42C7-96C5-8920EDDC49AC}"/>
    <cellStyle name="_Sheet3_峨矿6月份成本报表(管理)" xfId="15943" xr:uid="{2E07EEC4-5BC1-41D2-8D75-F2C885DEDE14}"/>
    <cellStyle name="_Sheet3_峨矿9月份成本报表" xfId="15944" xr:uid="{B063A8DC-ED33-44C5-841A-8C5187B8BDA1}"/>
    <cellStyle name="_Sheet3_峨矿外协费用明细统计修订" xfId="15945" xr:uid="{2C0061A5-998E-499F-ACAF-376472219EF0}"/>
    <cellStyle name="_Sheet3_机关预算汇总11.19" xfId="15946" xr:uid="{F4C3AF6A-7A70-460F-A8C0-02EC5C913988}"/>
    <cellStyle name="_Sheet3_机关预算汇总11.19 2" xfId="15947" xr:uid="{87E72DD7-EE05-43AF-B3F3-9163DA912D12}"/>
    <cellStyle name="_Sheet3_加不利2016年预算3稿（内）1106" xfId="15948" xr:uid="{BC7DF10B-F11F-484D-B86E-C6683EE8287D}"/>
    <cellStyle name="_Sheet3_尖山2015年全面预算稿报矿业稿11.14000" xfId="15949" xr:uid="{A946C54B-1216-4E3C-BD45-9ED8D49797EA}"/>
    <cellStyle name="_Sheet3_尖山2015年全面预算稿报矿业稿11.14000_2016年工序质量指标预算" xfId="15950" xr:uid="{298DC5FC-9779-4A56-9249-4F6BEB145ED6}"/>
    <cellStyle name="_Sheet3_尖山2015年全面预算稿报矿业稿11.14000_工艺科2017年全面预算20161010" xfId="15951" xr:uid="{A6F12FBB-BC35-4C10-A41D-F2AE4A031179}"/>
    <cellStyle name="_Sheet3_尖山2015年全面预算稿报矿业稿11.14000_尖山铁矿2017年全面预算1.26" xfId="15952" xr:uid="{557279E2-7105-4F83-802A-76D7B64B046B}"/>
    <cellStyle name="_Sheet3_尖山矿2017年产量预算及不利因素影响报" xfId="15953" xr:uid="{B54320C9-0ACB-45FE-8B56-022B0D46DBF0}"/>
    <cellStyle name="_Sheet3_尖山铁矿2015年全面预算" xfId="15954" xr:uid="{0D9BA126-F8DE-45A7-B9F0-76E073902E53}"/>
    <cellStyle name="_Sheet3_尖山铁矿2015年全面预算_尖山铁矿2017年全面预算1.26" xfId="15955" xr:uid="{49C33C5E-0494-4FF0-A31D-34B8A20BDA23}"/>
    <cellStyle name="_Sheet3_尖山铁矿2015年全面预算--挂在内网的正式稿" xfId="15956" xr:uid="{85D5DCA4-9741-4142-9CBA-7958FD1A1D3C}"/>
    <cellStyle name="_Sheet3_尖山铁矿2016年预算内部全面预算(129)" xfId="15957" xr:uid="{BD4A8775-B3A0-4036-865F-36B9B002DBDE}"/>
    <cellStyle name="_Sheet3_尖山铁矿2017年全面预算1.26" xfId="15958" xr:uid="{87916434-0A90-4091-ADCF-4AC84F299035}"/>
    <cellStyle name="_Sheet3_降本增效简报底表(杜占杰9.1)" xfId="15959" xr:uid="{EED930CD-0760-4383-9F60-5073E8EE5C9F}"/>
    <cellStyle name="_Sheet3_矿石完成表" xfId="15960" xr:uid="{95BDAF91-4B3B-4595-B5F5-69D75A93EAE6}"/>
    <cellStyle name="_Sheet3_矿业公司产量、成本利润分析机关本部(1)" xfId="15961" xr:uid="{56FD9E6C-64A9-4E18-8CD5-F86127AFF6D5}"/>
    <cellStyle name="_Sheet3_矿业公司产量、成本利润分析机关本部(1)_2014年降本增效指标完成情况" xfId="15962" xr:uid="{F63982A7-EBB5-437B-BDD0-DCE82992BE33}"/>
    <cellStyle name="_Sheet3_维修费用报表(董矿长)" xfId="15963" xr:uid="{6E66790A-13EB-4210-B5D3-5DDC4E21CC1D}"/>
    <cellStyle name="_Sheet4" xfId="15964" xr:uid="{6374F7D2-76B1-460C-A4AA-CCA2903D63F0}"/>
    <cellStyle name="_Sheet4 2" xfId="15965" xr:uid="{AEE21491-4FFB-4B22-8FBB-713F03803CA0}"/>
    <cellStyle name="_Sheet4_2014年降本增效指标完成情况" xfId="15966" xr:uid="{299C2F4E-4F85-472D-9E38-08C3F3F6836D}"/>
    <cellStyle name="_Sheet4_2015年工艺质量科全面预算" xfId="15967" xr:uid="{493110C0-B078-487C-B4DD-5066DE5D7F76}"/>
    <cellStyle name="_Sheet4_2016年9月成本报表" xfId="15968" xr:uid="{A4D86871-BB7C-4749-B833-84E9C27EF4C3}"/>
    <cellStyle name="_Sheet4_2016年采矿工序预算" xfId="15969" xr:uid="{5D90D39F-3567-45F6-A97A-13C84A2889B0}"/>
    <cellStyle name="_Sheet4_2017年全面预算新增表样" xfId="15970" xr:uid="{480BAE14-CFA2-45F8-8FD2-FC47B006D0B3}"/>
    <cellStyle name="_Sheet4_采矿部2015年内部工序预算(12.15)" xfId="15971" xr:uid="{540F9ADC-837E-400E-A54D-913CA919A0DA}"/>
    <cellStyle name="_Sheet4_采矿综合组" xfId="15972" xr:uid="{D97403BB-F973-4165-90D6-13BBD660B8F1}"/>
    <cellStyle name="_Sheet4_峨矿1月份成本报表(管理)" xfId="15973" xr:uid="{5ACAC170-FBE0-42B8-A616-4B0785C14A90}"/>
    <cellStyle name="_Sheet4_峨矿2015年报表分析06" xfId="15974" xr:uid="{EBD8E41F-B9F4-4EE2-AF90-BC8CDD4D4974}"/>
    <cellStyle name="_Sheet4_峨矿2015年报表分析09" xfId="15975" xr:uid="{41746309-1500-4878-806B-EC555EEA9F80}"/>
    <cellStyle name="_Sheet4_峨矿2015年报表分析11" xfId="15976" xr:uid="{2947230E-73D8-44A5-9F42-7467D05030DC}"/>
    <cellStyle name="_Sheet4_峨矿2015年报表分析12" xfId="15977" xr:uid="{4357EF8D-3D80-4DA0-89E9-452499088995}"/>
    <cellStyle name="_Sheet4_峨矿2016年报表分析02" xfId="15978" xr:uid="{4D95387B-511B-40F1-8DC1-4D340CD31D8A}"/>
    <cellStyle name="_Sheet4_峨矿2016年全面预算(2016.1.28)" xfId="15979" xr:uid="{1DD06C9E-DE16-440B-ADF4-265CD4F7F826}"/>
    <cellStyle name="_Sheet4_峨矿6月份成本报表(管理)" xfId="15980" xr:uid="{8A68EEA6-84B4-414F-8ECB-8405044E863A}"/>
    <cellStyle name="_Sheet4_峨矿9月份成本报表" xfId="15981" xr:uid="{70112B89-A2D6-45FA-B490-49FF55A951BF}"/>
    <cellStyle name="_Sheet4_峨矿外协费用明细统计修订" xfId="15982" xr:uid="{887100E1-99D7-4E0C-A07E-21582F8526C1}"/>
    <cellStyle name="_Sheet4_机关预算汇总11.19" xfId="15983" xr:uid="{A064B6CB-BE9A-4070-B2AF-C281374C5992}"/>
    <cellStyle name="_Sheet4_机关预算汇总11.19 2" xfId="15984" xr:uid="{2678CE6C-FDEF-481A-B0B8-A520A45EFE69}"/>
    <cellStyle name="_Sheet4_加不利2016年预算3稿（内）1106" xfId="15985" xr:uid="{129D9D8B-C5C6-4079-BDAF-86481347659F}"/>
    <cellStyle name="_Sheet4_尖山2015年全面预算稿报矿业稿11.14000" xfId="15986" xr:uid="{23912D86-F3F1-425C-B753-9E6A9795A66A}"/>
    <cellStyle name="_Sheet4_尖山2015年全面预算稿报矿业稿11.14000_2016年工序质量指标预算" xfId="15987" xr:uid="{17AC4412-9C69-4AD2-9607-58077A45AD41}"/>
    <cellStyle name="_Sheet4_尖山2015年全面预算稿报矿业稿11.14000_工艺科2017年全面预算20161010" xfId="15988" xr:uid="{CA149D39-3A2F-4797-9A2D-846B4CE2A7DD}"/>
    <cellStyle name="_Sheet4_尖山2015年全面预算稿报矿业稿11.14000_尖山铁矿2017年全面预算1.26" xfId="15989" xr:uid="{CBB79BB5-67CA-4564-95A1-F4A64C28C81D}"/>
    <cellStyle name="_Sheet4_尖山矿2017年产量预算及不利因素影响报" xfId="15990" xr:uid="{674A1317-B8B5-40F7-9A34-416B67E404B1}"/>
    <cellStyle name="_Sheet4_尖山铁矿2015年全面预算" xfId="15991" xr:uid="{F5BA7CCD-DC87-42AE-A13A-54FC570157D0}"/>
    <cellStyle name="_Sheet4_尖山铁矿2015年全面预算_尖山铁矿2017年全面预算1.26" xfId="15992" xr:uid="{AE194236-0EFE-4278-AD20-5BB265F504C3}"/>
    <cellStyle name="_Sheet4_尖山铁矿2015年全面预算--挂在内网的正式稿" xfId="15993" xr:uid="{1B0479E0-C52A-4B48-8B09-0BE8A05E1A4A}"/>
    <cellStyle name="_Sheet4_尖山铁矿2016年预算内部全面预算(129)" xfId="15994" xr:uid="{D92C4DA9-4E8B-4A04-852D-1AEF072AA867}"/>
    <cellStyle name="_Sheet4_尖山铁矿2017年全面预算1.26" xfId="15995" xr:uid="{E92F92F0-34C9-4A2A-BDD2-7C8EBB439700}"/>
    <cellStyle name="_Sheet4_降本增效简报底表(杜占杰9.1)" xfId="15996" xr:uid="{FD2CBBF2-7FA1-4512-9F11-FB42C5BFF0BF}"/>
    <cellStyle name="_Sheet4_矿石完成表" xfId="15997" xr:uid="{3B9AFD2B-DE01-4CF7-8E02-DC2BAB2CB92F}"/>
    <cellStyle name="_Sheet4_矿业公司产量、成本利润分析机关本部(1)" xfId="15998" xr:uid="{EDF859D0-BC06-4152-9C79-6726546F170E}"/>
    <cellStyle name="_Sheet4_矿业公司产量、成本利润分析机关本部(1)_2014年降本增效指标完成情况" xfId="15999" xr:uid="{602EDB01-1DE5-4B9B-969F-95561BDB8B98}"/>
    <cellStyle name="_Sheet4_维修费用报表(董矿长)" xfId="16000" xr:uid="{5F0BC691-55F3-4B97-AAF0-EFB3D00F8663}"/>
    <cellStyle name="_zyh" xfId="16001" xr:uid="{1FC4EFBB-3256-4B75-971A-9581AAFB4AA4}"/>
    <cellStyle name="_zyh_10月球团产品成本表" xfId="16002" xr:uid="{EB2C2CCF-5424-45FC-87D7-BE7E8B843EAC}"/>
    <cellStyle name="_zyh_11月球团产品成本表" xfId="16003" xr:uid="{F6A50988-040E-43D7-A008-64CD901A59B5}"/>
    <cellStyle name="_zyh_11月球团产品成本表_1" xfId="16004" xr:uid="{59D985C5-6B76-43C2-8593-5663DA7EA200}"/>
    <cellStyle name="_zyh_待摊 (自产)" xfId="16005" xr:uid="{F10E83C9-24CB-4A51-8076-02AA6562D7FA}"/>
    <cellStyle name="_zyh_待摊 (自产)_10月球团产品成本表" xfId="16006" xr:uid="{621F660E-C6C5-4CE7-82AC-1E902A6F151C}"/>
    <cellStyle name="_zyh_待摊 (自产)_11月球团产品成本表" xfId="16007" xr:uid="{DBBFE6D7-5529-4031-888D-22F5656A90C3}"/>
    <cellStyle name="_zyh_待摊 (自产)_11月球团产品成本表_1" xfId="16008" xr:uid="{136B0DEF-8C2B-4181-978F-B41AA8936595}"/>
    <cellStyle name="_zyh_球团工序" xfId="16009" xr:uid="{E5E2F60C-E71D-4275-9C23-EA70CEDA9A31}"/>
    <cellStyle name="_安全费预算(峨矿)" xfId="16010" xr:uid="{C820B54A-4F78-4A3E-92B3-25D35E1A3ECD}"/>
    <cellStyle name="_安全费预算(峨矿) 2" xfId="16011" xr:uid="{D7B49D30-037A-47D4-AEED-2C75FFE63B8D}"/>
    <cellStyle name="_安全费预算(峨矿)_2014年降本增效指标完成情况" xfId="16012" xr:uid="{E74ECF48-40A4-4DCD-92AF-885FEC9FA105}"/>
    <cellStyle name="_安全费预算(峨矿)_2015年工艺质量科全面预算" xfId="16013" xr:uid="{24BA73C1-89C7-4E5B-9DBA-760B3965F860}"/>
    <cellStyle name="_安全费预算(峨矿)_2016年9月成本报表" xfId="16014" xr:uid="{B927D52A-C1BA-4208-ACA2-D4CF27944259}"/>
    <cellStyle name="_安全费预算(峨矿)_2016年采矿工序预算" xfId="16015" xr:uid="{0DBA9455-F7C1-4505-8F4F-60FB91118AD8}"/>
    <cellStyle name="_安全费预算(峨矿)_2017年全面预算新增表样" xfId="16016" xr:uid="{DC0F5D05-582D-4A2A-A891-1F252DEB6368}"/>
    <cellStyle name="_安全费预算(峨矿)_采矿部2015年内部工序预算(12.15)" xfId="16017" xr:uid="{56899843-6663-4521-BC28-F15DE665C5BF}"/>
    <cellStyle name="_安全费预算(峨矿)_采矿综合组" xfId="16018" xr:uid="{4292DA6F-CC50-4F2E-9BC5-BA45D462D3FD}"/>
    <cellStyle name="_安全费预算(峨矿)_峨矿1月份成本报表(管理)" xfId="16019" xr:uid="{9CCCF566-68BD-4007-81B3-69813A09FF3B}"/>
    <cellStyle name="_安全费预算(峨矿)_峨矿2015年报表分析06" xfId="16020" xr:uid="{205164F0-7A8E-4B04-89E7-565104719407}"/>
    <cellStyle name="_安全费预算(峨矿)_峨矿2015年报表分析09" xfId="16021" xr:uid="{A9AF29CC-7A4D-49B6-9554-B3A2AB9EADC7}"/>
    <cellStyle name="_安全费预算(峨矿)_峨矿2015年报表分析11" xfId="16022" xr:uid="{2D4D1784-FBDF-4A70-8EC2-345E696415D1}"/>
    <cellStyle name="_安全费预算(峨矿)_峨矿2015年报表分析12" xfId="16023" xr:uid="{2ED4222F-787A-4F54-BDDC-FE07A45CEFA4}"/>
    <cellStyle name="_安全费预算(峨矿)_峨矿2016年报表分析02" xfId="16024" xr:uid="{5E176EF8-210E-4E2A-965B-5616DC5A5591}"/>
    <cellStyle name="_安全费预算(峨矿)_峨矿2016年全面预算(2016.1.28)" xfId="16025" xr:uid="{A3D26392-2562-4580-9B14-7AB99C98C8E3}"/>
    <cellStyle name="_安全费预算(峨矿)_峨矿6月份成本报表(管理)" xfId="16026" xr:uid="{5AF2CDFC-E044-448D-A0DC-573386CE60A7}"/>
    <cellStyle name="_安全费预算(峨矿)_峨矿9月份成本报表" xfId="16027" xr:uid="{736F80A3-E5FF-4987-B051-D25FEA28D981}"/>
    <cellStyle name="_安全费预算(峨矿)_峨矿外协费用明细统计修订" xfId="16028" xr:uid="{4A8B79B8-FC8A-4F49-93D0-E2E9B2071FC6}"/>
    <cellStyle name="_安全费预算(峨矿)_机关预算汇总11.19" xfId="16029" xr:uid="{87381909-1F7D-4C27-9569-470D4030B541}"/>
    <cellStyle name="_安全费预算(峨矿)_机关预算汇总11.19 2" xfId="16030" xr:uid="{326C5E2B-BF61-47D4-830D-990886A1608E}"/>
    <cellStyle name="_安全费预算(峨矿)_加不利2016年预算3稿（内）1106" xfId="16031" xr:uid="{C2B32974-9708-4CF3-9CC8-52FD138411A5}"/>
    <cellStyle name="_安全费预算(峨矿)_尖山2015年全面预算稿报矿业稿11.14000" xfId="16032" xr:uid="{B90B7A8A-349A-4F91-9936-FFEE01C34EB8}"/>
    <cellStyle name="_安全费预算(峨矿)_尖山2015年全面预算稿报矿业稿11.14000_2016年工序质量指标预算" xfId="16033" xr:uid="{17AFAFA5-F2B3-4C5C-84AC-8E3C6AC4F8A8}"/>
    <cellStyle name="_安全费预算(峨矿)_尖山2015年全面预算稿报矿业稿11.14000_工艺科2017年全面预算20161010" xfId="16034" xr:uid="{CB54018F-6220-41B3-BC01-4845C1467253}"/>
    <cellStyle name="_安全费预算(峨矿)_尖山2015年全面预算稿报矿业稿11.14000_尖山铁矿2017年全面预算1.26" xfId="16035" xr:uid="{92B4BFAE-DCB9-4A7C-AF05-A2BF07774EEA}"/>
    <cellStyle name="_安全费预算(峨矿)_尖山矿2017年产量预算及不利因素影响报" xfId="16036" xr:uid="{87C47369-7C7F-4B6D-B02B-3F60487AD93A}"/>
    <cellStyle name="_安全费预算(峨矿)_尖山铁矿2015年全面预算" xfId="16037" xr:uid="{3C39FD92-F865-4A1F-8A26-0BEE748F26AA}"/>
    <cellStyle name="_安全费预算(峨矿)_尖山铁矿2015年全面预算_尖山铁矿2017年全面预算1.26" xfId="16038" xr:uid="{40AB162E-8340-4D11-B4D0-220A1E661B6B}"/>
    <cellStyle name="_安全费预算(峨矿)_尖山铁矿2015年全面预算--挂在内网的正式稿" xfId="16039" xr:uid="{017ECC38-94BB-4060-ABD9-064B8CACC948}"/>
    <cellStyle name="_安全费预算(峨矿)_尖山铁矿2016年预算内部全面预算(129)" xfId="16040" xr:uid="{69507277-FDCE-40D1-87D8-AD37D607CD74}"/>
    <cellStyle name="_安全费预算(峨矿)_尖山铁矿2017年全面预算1.26" xfId="16041" xr:uid="{F3D5EDF7-2929-4F3E-AFA9-B0CD24D703B1}"/>
    <cellStyle name="_安全费预算(峨矿)_降本增效简报底表(杜占杰9.1)" xfId="16042" xr:uid="{4443DA2B-C6B9-4FBF-AE52-8ACC2CF65AF4}"/>
    <cellStyle name="_安全费预算(峨矿)_矿石完成表" xfId="16043" xr:uid="{4EF9DF49-8F78-4A87-A0B5-4D2ED4789537}"/>
    <cellStyle name="_安全费预算(峨矿)_矿业公司产量、成本利润分析机关本部(1)" xfId="16044" xr:uid="{4DB0F4E7-791C-4B49-A3E1-088EFAEA9891}"/>
    <cellStyle name="_安全费预算(峨矿)_矿业公司产量、成本利润分析机关本部(1)_2014年降本增效指标完成情况" xfId="16045" xr:uid="{C732982F-21A9-45AF-8556-5C9FC74221B4}"/>
    <cellStyle name="_安全费预算(峨矿)_维修费用报表(董矿长)" xfId="16046" xr:uid="{FCA616CB-AAE1-47EC-8437-EAE7D1B122A9}"/>
    <cellStyle name="_板材新" xfId="16047" xr:uid="{C0911F02-99BD-4B43-AA30-B52B1BE8E8B2}"/>
    <cellStyle name="_板材新_2009年3月份矿业公司目标成本326" xfId="16048" xr:uid="{983E1699-F036-4CF9-8F3E-1F74A8AF54A4}"/>
    <cellStyle name="_板材新_2009年4月份目标成本分解表-总公司计划" xfId="16049" xr:uid="{6B8C1126-D7BE-42F0-A0A0-849C5894708F}"/>
    <cellStyle name="_板材新_6月份目标成本表(颁发)090531" xfId="16050" xr:uid="{ECDCD55E-49CB-4015-A61B-1F35CF99763C}"/>
    <cellStyle name="_板材新_第三阶段攻关任务" xfId="16051" xr:uid="{CAE61A83-5D88-43D6-A1D7-9E47B0BB831E}"/>
    <cellStyle name="_薄板厂2009年计划-11.24整理" xfId="16052" xr:uid="{EA83DDF2-48B5-450B-B7A4-BEA1F26D9C5F}"/>
    <cellStyle name="_薄板厂2009年计划-11.24整理_3月份计划附表(会后修改稿)" xfId="16053" xr:uid="{11E7EE85-1603-42CB-BD89-4C5809CC55E4}"/>
    <cellStyle name="_薄板厂2009年计划-11.24整理_3月份计划附表(会后修改稿)_第三阶段攻关任务" xfId="16054" xr:uid="{255E821C-0CA4-4242-95E9-26AAE7A88DD8}"/>
    <cellStyle name="_薄板厂2009年计划-11.24整理_3月份生产经营计划" xfId="16055" xr:uid="{7BC9C945-126B-4467-A513-E81408746848}"/>
    <cellStyle name="_薄板厂2009年计划-11.24整理_第三阶段攻关任务" xfId="16056" xr:uid="{FFC707EB-2085-4298-98A9-35D778FF465D}"/>
    <cellStyle name="_薄板厂2009年计划-11.24整理_建材处3-4月价格预测0319" xfId="16057" xr:uid="{4362B2BF-7685-4563-829A-DCBD5D7F1953}"/>
    <cellStyle name="_薄板厂2009年计划-11.24整理_首钢集团2009年2月份增收节支确认情况" xfId="16058" xr:uid="{A731E0AA-8BD8-4E67-8A0D-722241FA2D8D}"/>
    <cellStyle name="_北京4月成本预测" xfId="16059" xr:uid="{D941125B-4BF7-4B8B-A713-9ED56E69F665}"/>
    <cellStyle name="_北京地区11月成本预测" xfId="16060" xr:uid="{DAE0FA76-D6C9-4CEB-885F-511F52FA07F9}"/>
    <cellStyle name="_北京地区1月成本分析" xfId="16061" xr:uid="{78F84882-724D-46F7-82E7-EC8121EC7035}"/>
    <cellStyle name="_表27：08 1-3汇总表（冷轧宽钢带）f2" xfId="16062" xr:uid="{BFDB6AC7-8161-4A1A-8E63-27931A859B10}"/>
    <cellStyle name="_采购成本比上月" xfId="16063" xr:uid="{80F092D4-AD20-490C-A4DA-3D713E4D7651}"/>
    <cellStyle name="_采矿1月份报表格式3" xfId="16064" xr:uid="{BE61B082-E2B1-424C-B76B-FEF775BA31F6}"/>
    <cellStyle name="_采矿1月份报表格式3 2" xfId="16065" xr:uid="{F745E8ED-2DD9-4CFF-B45B-03C9150B5817}"/>
    <cellStyle name="_储料间" xfId="16066" xr:uid="{9957E128-4FF6-4790-BCAC-C59F0218D9C4}"/>
    <cellStyle name="_大鹏10.8（迁钢、首自信、铸造厂）" xfId="16067" xr:uid="{3FF9FE2E-4B50-47DF-B07D-673ACB81E9AE}"/>
    <cellStyle name="_大鹏10.8（迁钢、首自信、铸造厂）_10月球团产品成本表" xfId="16068" xr:uid="{E10A30F8-1A53-410D-824A-D4DD91E146EA}"/>
    <cellStyle name="_大鹏10.8（迁钢、首自信、铸造厂）_11月球团产品成本表" xfId="16069" xr:uid="{FDAF434A-F950-4128-AAFA-CB9B2A5BD742}"/>
    <cellStyle name="_大鹏10.8（迁钢、首自信、铸造厂）_11月球团产品成本表_1" xfId="16070" xr:uid="{CDE5AA32-9738-4AFB-91F2-0FA5C36C3FBD}"/>
    <cellStyle name="_大鹏10.8（迁钢、首自信、铸造厂）_待摊 (自产)" xfId="16071" xr:uid="{180FF0F7-44C7-48E3-8CE4-82C247202BEB}"/>
    <cellStyle name="_大鹏10.8（迁钢、首自信、铸造厂）_待摊 (自产)_10月球团产品成本表" xfId="16072" xr:uid="{AF86DFEF-102C-4A80-96DB-0D73149377DD}"/>
    <cellStyle name="_大鹏10.8（迁钢、首自信、铸造厂）_待摊 (自产)_11月球团产品成本表" xfId="16073" xr:uid="{EB65D4F0-57E9-43F7-AB82-3D6F36B4E878}"/>
    <cellStyle name="_大鹏10.8（迁钢、首自信、铸造厂）_待摊 (自产)_11月球团产品成本表_1" xfId="16074" xr:uid="{9EE567F0-64B7-4E7B-B2A5-F9D26D0D8667}"/>
    <cellStyle name="_大鹏10.8（迁钢、首自信、铸造厂）_球团工序" xfId="16075" xr:uid="{9350F857-EEC2-48BB-A045-31EEC4CFFBDA}"/>
    <cellStyle name="_大鹏10.9（迁钢、首自信、铸造厂）" xfId="16076" xr:uid="{789B00C0-2E67-4E1D-9504-945C7E929A9F}"/>
    <cellStyle name="_大鹏10.9（迁钢、首自信、铸造厂）_10月球团产品成本表" xfId="16077" xr:uid="{3EF6308F-6B86-43BD-A1F5-CEFADAC6A7F0}"/>
    <cellStyle name="_大鹏10.9（迁钢、首自信、铸造厂）_11月球团产品成本表" xfId="16078" xr:uid="{DF6FF52B-1DBE-4D5A-930E-C87AD77F4D2A}"/>
    <cellStyle name="_大鹏10.9（迁钢、首自信、铸造厂）_11月球团产品成本表_1" xfId="16079" xr:uid="{2F2F1913-0C9A-4F45-82B8-E6CAB81D8BE4}"/>
    <cellStyle name="_大鹏10.9（迁钢、首自信、铸造厂）_待摊 (自产)" xfId="16080" xr:uid="{E3609A0F-FC2F-48CF-805E-00CC981CB7C5}"/>
    <cellStyle name="_大鹏10.9（迁钢、首自信、铸造厂）_待摊 (自产)_10月球团产品成本表" xfId="16081" xr:uid="{3BE85588-2EF1-4C0B-84E3-04AB77C6E781}"/>
    <cellStyle name="_大鹏10.9（迁钢、首自信、铸造厂）_待摊 (自产)_11月球团产品成本表" xfId="16082" xr:uid="{A5525B0C-DF9B-4193-8E89-A893BC25E56E}"/>
    <cellStyle name="_大鹏10.9（迁钢、首自信、铸造厂）_待摊 (自产)_11月球团产品成本表_1" xfId="16083" xr:uid="{02ECBB9E-2C2A-4628-A077-C7E90EEA2FF0}"/>
    <cellStyle name="_大鹏10.9（迁钢、首自信、铸造厂）_球团工序" xfId="16084" xr:uid="{5C7DB956-4CD9-4731-8379-CE29B4AE0790}"/>
    <cellStyle name="_单利－米－2008.01迁秦" xfId="16085" xr:uid="{8DB3CD76-E26A-4CA9-A922-64D450B86060}"/>
    <cellStyle name="_单利－米－2008.02迁秦" xfId="16086" xr:uid="{E327B08F-B7A3-475B-B69F-C117D0A0ACD4}"/>
    <cellStyle name="_刀片配置方案(anyuan提供)" xfId="105" xr:uid="{CFE28E2F-0931-4CD4-BFF3-A9C325E33D0A}"/>
    <cellStyle name="_刀片配置方案(anyuan提供) 2" xfId="11968" xr:uid="{1055F4E3-EB4C-4DB7-905F-CD6062AEB2A2}"/>
    <cellStyle name="_东山矿破碎作业区11#皮带落料部位及两个储灰棚封闭工程量" xfId="16087" xr:uid="{787B988F-359D-44C7-905E-F6838EEF9E81}"/>
    <cellStyle name="_峨口铁矿2014年安全生产立项费用预算(杨凯10.23)" xfId="16088" xr:uid="{A4D02C79-F6E7-4E95-BBDE-665077722440}"/>
    <cellStyle name="_峨口铁矿2014年安全生产立项费用预算(杨凯10.23)_2015年工艺质量科全面预算" xfId="16089" xr:uid="{08DF1BD9-BF4E-4B48-8352-9B76D9A4BD71}"/>
    <cellStyle name="_峨口铁矿2014年安全生产立项费用预算(杨凯10.23)_2016年9月成本报表" xfId="16090" xr:uid="{EE0044CD-5DE4-462B-986D-AB237E4BA8CD}"/>
    <cellStyle name="_峨口铁矿2014年安全生产立项费用预算(杨凯10.23)_2016年采矿工序预算" xfId="16091" xr:uid="{A5EEDDAC-0FFB-4BD8-8796-04C7C6537F18}"/>
    <cellStyle name="_峨口铁矿2014年安全生产立项费用预算(杨凯10.23)_2017年全面预算新增表样" xfId="16092" xr:uid="{1696CF7D-A69C-40B4-BF2D-2B5E4112EB7E}"/>
    <cellStyle name="_峨口铁矿2014年安全生产立项费用预算(杨凯10.23)_采矿部2015年内部工序预算(12.15)" xfId="16093" xr:uid="{9CEDCFE4-C121-4E58-AFA6-AFBD4FF64B7B}"/>
    <cellStyle name="_峨口铁矿2014年安全生产立项费用预算(杨凯10.23)_采矿综合组" xfId="16094" xr:uid="{A0F34F22-1F3B-4386-A905-2F80AE9AF8AC}"/>
    <cellStyle name="_峨口铁矿2014年安全生产立项费用预算(杨凯10.23)_峨口分析台帐" xfId="16095" xr:uid="{DEE58365-3FAC-47E8-B8C6-2659C0D70281}"/>
    <cellStyle name="_峨口铁矿2014年安全生产立项费用预算(杨凯10.23)_峨矿2015年报表分析06" xfId="16096" xr:uid="{4FE52FF7-5345-4893-9FE2-1F44ABB8571C}"/>
    <cellStyle name="_峨口铁矿2014年安全生产立项费用预算(杨凯10.23)_峨矿2015年报表分析09" xfId="16097" xr:uid="{CE9E04EA-0F1F-42E3-9CA2-EE7E4E616A2A}"/>
    <cellStyle name="_峨口铁矿2014年安全生产立项费用预算(杨凯10.23)_峨矿2015年报表分析11" xfId="16098" xr:uid="{5E4FA9AE-571F-4FE8-8E4E-FB9522D7EC90}"/>
    <cellStyle name="_峨口铁矿2014年安全生产立项费用预算(杨凯10.23)_峨矿2015年报表分析12" xfId="16099" xr:uid="{51052C50-E309-4299-9F85-E290D4A2117C}"/>
    <cellStyle name="_峨口铁矿2014年安全生产立项费用预算(杨凯10.23)_峨矿2016年报表分析02" xfId="16100" xr:uid="{6DF04BC2-BDB1-4998-9767-2713920811FE}"/>
    <cellStyle name="_峨口铁矿2014年安全生产立项费用预算(杨凯10.23)_峨矿6月份成本报表(管理)" xfId="16101" xr:uid="{3EFE7EE8-7D3B-410E-89A5-0EF4A912E29C}"/>
    <cellStyle name="_峨口铁矿2014年安全生产立项费用预算(杨凯10.23)_峨矿9月份成本报表" xfId="16102" xr:uid="{9F98EDF4-6318-4687-8DCD-9395A9E1EF8F}"/>
    <cellStyle name="_峨口铁矿2014年安全生产立项费用预算(杨凯10.23)_加不利2016年预算3稿（内）1106" xfId="16103" xr:uid="{1C503684-3FB4-471E-8CA7-A870927B8A22}"/>
    <cellStyle name="_峨口铁矿2014年安全生产立项费用预算(杨凯10.23)_尖山2015年全面预算稿报矿业稿11.14000" xfId="16104" xr:uid="{606659A5-F049-4A28-AEDE-9949805EF3E8}"/>
    <cellStyle name="_峨口铁矿2014年安全生产立项费用预算(杨凯10.23)_尖山2015年全面预算稿报矿业稿11.14000_2016年工序质量指标预算" xfId="16105" xr:uid="{0115F602-9522-4E34-9C38-369A2A9603A3}"/>
    <cellStyle name="_峨口铁矿2014年安全生产立项费用预算(杨凯10.23)_尖山2015年全面预算稿报矿业稿11.14000_工艺科2017年全面预算20161010" xfId="16106" xr:uid="{EB3A0EC3-C36B-4421-BF77-D29C29EAF913}"/>
    <cellStyle name="_峨口铁矿2014年安全生产立项费用预算(杨凯10.23)_尖山2015年全面预算稿报矿业稿11.14000_尖山铁矿2017年全面预算1.26" xfId="16107" xr:uid="{2FB8634A-3D79-4225-AA92-5ADAD6FB9ACF}"/>
    <cellStyle name="_峨口铁矿2014年安全生产立项费用预算(杨凯10.23)_尖山矿2017年产量预算及不利因素影响报" xfId="16108" xr:uid="{43FF2D59-49DE-44FF-B954-4E8F72FD178E}"/>
    <cellStyle name="_峨口铁矿2014年安全生产立项费用预算(杨凯10.23)_尖山铁矿2015年全面预算" xfId="16109" xr:uid="{2C5F5F8C-CAEB-4EC2-9861-08C03F324F34}"/>
    <cellStyle name="_峨口铁矿2014年安全生产立项费用预算(杨凯10.23)_尖山铁矿2015年全面预算_尖山铁矿2017年全面预算1.26" xfId="16110" xr:uid="{921B652A-B23D-456B-BF24-6628651318FA}"/>
    <cellStyle name="_峨口铁矿2014年安全生产立项费用预算(杨凯10.23)_尖山铁矿2015年全面预算--挂在内网的正式稿" xfId="16111" xr:uid="{B73911F3-4987-4154-ADE6-8BE7F22AACC8}"/>
    <cellStyle name="_峨口铁矿2014年安全生产立项费用预算(杨凯10.23)_尖山铁矿2016年预算内部全面预算(129)" xfId="16112" xr:uid="{E58A65B4-F66C-49A7-BD14-E60EC344B535}"/>
    <cellStyle name="_峨口铁矿2014年安全生产立项费用预算(杨凯10.23)_尖山铁矿2017年全面预算1.26" xfId="16113" xr:uid="{9A600522-12BB-454E-A1A4-610F3F24F6FD}"/>
    <cellStyle name="_峨口铁矿2014年安全生产立项费用预算(杨凯10.23)_矿石完成表" xfId="16114" xr:uid="{547A2757-7B33-4175-935D-11C5D376F9BF}"/>
    <cellStyle name="_峨口铁矿2014年安全生产立项费用预算(杨凯10.23)_维修费用报表(董矿长)" xfId="16115" xr:uid="{A28A96F6-13C9-4235-BD8C-A5C2F7A6763B}"/>
    <cellStyle name="_峨口铁矿工程科在建工程" xfId="16116" xr:uid="{42041711-D6F3-4F84-80E5-60AAD6590EF5}"/>
    <cellStyle name="_峨口外协费用构成汇报" xfId="16117" xr:uid="{5DFC23DB-5ED1-4081-8C46-27AEF6157511}"/>
    <cellStyle name="_峨口外协费用构成汇报 2" xfId="16118" xr:uid="{5594D571-ADC4-459E-8A68-CEE969077008}"/>
    <cellStyle name="_峨矿副职2014年(指标统计)" xfId="16119" xr:uid="{91218996-AFBA-45E6-9C9E-DC14F3A916F5}"/>
    <cellStyle name="_二季度成本预算" xfId="16120" xr:uid="{1EB1DA29-A070-4C60-BDAA-993D7325E1F6}"/>
    <cellStyle name="_二季度成本预算表" xfId="16121" xr:uid="{EA15CC69-0E07-4702-8184-2557ED3B2DB0}"/>
    <cellStyle name="_发电道路测价" xfId="16122" xr:uid="{4F181D59-D446-42CC-A87F-A77694BEABD4}"/>
    <cellStyle name="_方坯板坯成本测算表" xfId="16123" xr:uid="{FEF3C743-08EA-4EA5-B6AA-D1D5EF870D2A}"/>
    <cellStyle name="_费用打包表" xfId="16124" xr:uid="{47BD38F1-369C-431F-8920-68B3AA146F22}"/>
    <cellStyle name="_复件 矿业公司外协费用汇总表（12.26）" xfId="16125" xr:uid="{07CC827A-BA62-43C6-BE4E-9DDE01716A2B}"/>
    <cellStyle name="_复件 矿业公司外协费用汇总表（12.26） 2" xfId="16126" xr:uid="{F0409713-0F6B-4C78-9CA4-8B2BE93D61EE}"/>
    <cellStyle name="_复件_迁钢炼钢标准成本表09年（调整）(2)" xfId="16127" xr:uid="{8573840E-6F57-47EA-96FC-DDD5703C61EE}"/>
    <cellStyle name="_复件_首秦公司2009标准成本模板（2月）" xfId="16128" xr:uid="{62595D78-F529-4E27-8BAD-176628A66BD3}"/>
    <cellStyle name="_副本08年成本变化因素表  8-10" xfId="16129" xr:uid="{35625A6B-60F2-441F-9B5D-3C9E82D286A4}"/>
    <cellStyle name="_副本复合材料厂2012生产辅助外协预算编制表2012.1.10" xfId="16130" xr:uid="{34546CAB-09D8-4A8E-9465-B8FE1A0899F5}"/>
    <cellStyle name="_副本复合材料厂2012生产辅助外协预算编制表2012.1.10 2" xfId="16131" xr:uid="{E482D9D4-CFFE-4C13-9CCD-24015C3DB1FC}"/>
    <cellStyle name="_副本复合材料厂2012生产辅助外协预算编制表2012.1.10 2 2" xfId="16132" xr:uid="{DB196F12-800A-4D3D-A578-701FA1CFA88D}"/>
    <cellStyle name="_副本复合材料厂2012生产辅助外协预算编制表2012.1.10 2 2 2" xfId="16133" xr:uid="{AFA556B5-6178-440C-9B1E-BA69B60CD210}"/>
    <cellStyle name="_副本复合材料厂2012生产辅助外协预算编制表2012.1.10 2 3" xfId="16134" xr:uid="{6E4D6DD6-CD65-46DB-B9D4-7C943B433157}"/>
    <cellStyle name="_副本复合材料厂2012生产辅助外协预算编制表2012.1.10 2 4" xfId="16135" xr:uid="{CBEEDF61-1E87-4826-AFB1-9BDB3EF4AB47}"/>
    <cellStyle name="_副本复合材料厂2012生产辅助外协预算编制表2012.1.10 2 5" xfId="16136" xr:uid="{B3761F8B-913F-4AAB-BF5F-75D957124D3F}"/>
    <cellStyle name="_副本复合材料厂2012生产辅助外协预算编制表2012.1.10 2 6" xfId="16137" xr:uid="{157F0EB2-E744-45BE-9460-1AECAD61C2F7}"/>
    <cellStyle name="_副本复合材料厂2012生产辅助外协预算编制表2012.1.10 2 7" xfId="16138" xr:uid="{2B79DA60-F5CE-4364-A07D-4E368EE627D0}"/>
    <cellStyle name="_副本复合材料厂2012生产辅助外协预算编制表2012.1.10 2_球团工序" xfId="16139" xr:uid="{C5019FC4-81DA-4A07-B997-F9B94452B8BA}"/>
    <cellStyle name="_副本复合材料厂2012生产辅助外协预算编制表2012.1.10 3" xfId="16140" xr:uid="{F5997EB9-0D2A-416D-A419-C31B0E1AA167}"/>
    <cellStyle name="_副本复合材料厂2012生产辅助外协预算编制表2012.1.10 4" xfId="16141" xr:uid="{002BD232-1340-49BC-9A7F-11052CC5240E}"/>
    <cellStyle name="_副本复合材料厂2012生产辅助外协预算编制表2012.1.10 5" xfId="16142" xr:uid="{CC16EA5B-633F-48E0-AAF8-94461FF2E29E}"/>
    <cellStyle name="_副本复合材料厂2012生产辅助外协预算编制表2012.1.10 6" xfId="16143" xr:uid="{312C7C18-9126-4CE3-80AD-30AFFFD715C7}"/>
    <cellStyle name="_副本复合材料厂2012生产辅助外协预算编制表2012.1.10 7" xfId="16144" xr:uid="{A5EA49A5-A59A-456C-85ED-9DE7C8912BFA}"/>
    <cellStyle name="_副本复合材料厂2012生产辅助外协预算编制表2012.1.10 8" xfId="16145" xr:uid="{E345A87A-1DB9-4EFD-81A3-586CE365E8CB}"/>
    <cellStyle name="_副本复合材料厂2012生产辅助外协预算编制表2012.1.10_2012厂各单位预算指标分解2012.3.31" xfId="16146" xr:uid="{7E654B8F-8205-4655-9A27-B6554A0F2FA4}"/>
    <cellStyle name="_副本复合材料厂2012生产辅助外协预算编制表2012.1.10_2012厂内部预算指标下达(2)2.20" xfId="16147" xr:uid="{55D073A5-460F-4681-A37F-060426B23E41}"/>
    <cellStyle name="_副本复合材料厂2012生产辅助外协预算编制表2012.1.10_2013年复合材料厂产能及降本预算10" xfId="16148" xr:uid="{B374E205-2E2F-4ED1-9D7F-A152C17C9206}"/>
    <cellStyle name="_副本复合材料厂2012生产辅助外协预算编制表2012.1.10_2013年复合材料厂产能及降本预算10 2" xfId="16149" xr:uid="{387F6E7E-077F-4557-8D88-DA901FC84714}"/>
    <cellStyle name="_副本复合材料厂2012生产辅助外协预算编制表2012.1.10_2013年复合材料厂产能及降本预算10_动力部" xfId="16150" xr:uid="{0D0B4D6A-43C8-47D1-9643-90FE44B1C948}"/>
    <cellStyle name="_副本复合材料厂2012生产辅助外协预算编制表2012.1.10_动力部" xfId="16151" xr:uid="{89911E5A-6868-4AF8-8851-E17A721489A0}"/>
    <cellStyle name="_副本复合材料厂2012生产辅助外协预算编制表2012.1.10_动力预提" xfId="16152" xr:uid="{0B115C89-4A17-4912-BA7E-49C70828C6AB}"/>
    <cellStyle name="_副本复合材料厂2012生产辅助外协预算编制表2012.1.10_峨矿2016年2月份待摊预提项目" xfId="16153" xr:uid="{39B9ECB5-37B4-4499-B7BC-1006C9598A45}"/>
    <cellStyle name="_副本复合材料厂2012生产辅助外协预算编制表2012.1.10_峨矿2016年2月份待摊预提项目 (version 1)" xfId="16154" xr:uid="{4984362F-0907-4391-B5F8-5A647F383086}"/>
    <cellStyle name="_副本复合材料厂2012生产辅助外协预算编制表2012.1.10_峨矿2016年2月份待摊预提项目 (version 1) 2" xfId="16155" xr:uid="{BAC5C0D9-2359-4A28-AB66-3D709CCBAF32}"/>
    <cellStyle name="_副本复合材料厂2012生产辅助外协预算编制表2012.1.10_峨矿2016年2月份待摊预提项目 10" xfId="16156" xr:uid="{7050E5F9-E2A6-4115-96B9-93D3F112186E}"/>
    <cellStyle name="_副本复合材料厂2012生产辅助外协预算编制表2012.1.10_峨矿2016年2月份待摊预提项目 100" xfId="16157" xr:uid="{68A05531-B787-4ACD-8D02-112C0D21B79D}"/>
    <cellStyle name="_副本复合材料厂2012生产辅助外协预算编制表2012.1.10_峨矿2016年2月份待摊预提项目 101" xfId="16158" xr:uid="{EEF4BD21-1BCD-41AC-A241-3C24BF5E366F}"/>
    <cellStyle name="_副本复合材料厂2012生产辅助外协预算编制表2012.1.10_峨矿2016年2月份待摊预提项目 102" xfId="16159" xr:uid="{BE3E3392-A116-4132-B172-9B2237CE949E}"/>
    <cellStyle name="_副本复合材料厂2012生产辅助外协预算编制表2012.1.10_峨矿2016年2月份待摊预提项目 103" xfId="16160" xr:uid="{3FE40279-52CD-4083-98C6-2E43B2B64941}"/>
    <cellStyle name="_副本复合材料厂2012生产辅助外协预算编制表2012.1.10_峨矿2016年2月份待摊预提项目 104" xfId="16161" xr:uid="{0E970562-278F-41AC-9277-0896549F4323}"/>
    <cellStyle name="_副本复合材料厂2012生产辅助外协预算编制表2012.1.10_峨矿2016年2月份待摊预提项目 105" xfId="16162" xr:uid="{7162AC1C-F945-481F-81CC-F9337389C015}"/>
    <cellStyle name="_副本复合材料厂2012生产辅助外协预算编制表2012.1.10_峨矿2016年2月份待摊预提项目 106" xfId="16163" xr:uid="{3FFB177F-6F10-46E2-AA1A-63FC1C31630F}"/>
    <cellStyle name="_副本复合材料厂2012生产辅助外协预算编制表2012.1.10_峨矿2016年2月份待摊预提项目 107" xfId="16164" xr:uid="{6D13CB6A-6C15-4DF5-8CB6-E28BEDC18E91}"/>
    <cellStyle name="_副本复合材料厂2012生产辅助外协预算编制表2012.1.10_峨矿2016年2月份待摊预提项目 108" xfId="16165" xr:uid="{6457390C-5322-41AF-A3A0-B21F1C3B07CA}"/>
    <cellStyle name="_副本复合材料厂2012生产辅助外协预算编制表2012.1.10_峨矿2016年2月份待摊预提项目 109" xfId="16166" xr:uid="{C3523560-782E-4FA3-B1DA-FEB29B0FD2DC}"/>
    <cellStyle name="_副本复合材料厂2012生产辅助外协预算编制表2012.1.10_峨矿2016年2月份待摊预提项目 11" xfId="16167" xr:uid="{2A4D1721-478D-43E9-B9ED-5B60E513A50F}"/>
    <cellStyle name="_副本复合材料厂2012生产辅助外协预算编制表2012.1.10_峨矿2016年2月份待摊预提项目 110" xfId="16168" xr:uid="{676D65A9-839C-42DD-9E17-4A65A124C578}"/>
    <cellStyle name="_副本复合材料厂2012生产辅助外协预算编制表2012.1.10_峨矿2016年2月份待摊预提项目 111" xfId="16169" xr:uid="{17242544-AE4C-4206-AF82-076E14B76116}"/>
    <cellStyle name="_副本复合材料厂2012生产辅助外协预算编制表2012.1.10_峨矿2016年2月份待摊预提项目 112" xfId="16170" xr:uid="{FDE73687-8494-4593-B0B9-AB42EAD05F46}"/>
    <cellStyle name="_副本复合材料厂2012生产辅助外协预算编制表2012.1.10_峨矿2016年2月份待摊预提项目 113" xfId="16171" xr:uid="{50571743-45D6-45F0-BCA3-C6B07207B531}"/>
    <cellStyle name="_副本复合材料厂2012生产辅助外协预算编制表2012.1.10_峨矿2016年2月份待摊预提项目 114" xfId="16172" xr:uid="{D1202268-93E2-49F0-BC93-428101C3F60F}"/>
    <cellStyle name="_副本复合材料厂2012生产辅助外协预算编制表2012.1.10_峨矿2016年2月份待摊预提项目 115" xfId="16173" xr:uid="{9E2A85A0-C9DF-4133-9DC8-2D1EB0FFF8A2}"/>
    <cellStyle name="_副本复合材料厂2012生产辅助外协预算编制表2012.1.10_峨矿2016年2月份待摊预提项目 116" xfId="16174" xr:uid="{589F42A0-CB8C-4C9A-A8D4-BEF3056A170D}"/>
    <cellStyle name="_副本复合材料厂2012生产辅助外协预算编制表2012.1.10_峨矿2016年2月份待摊预提项目 117" xfId="16175" xr:uid="{6308DCFB-DEC1-4433-9DA9-F9DEF8B378F5}"/>
    <cellStyle name="_副本复合材料厂2012生产辅助外协预算编制表2012.1.10_峨矿2016年2月份待摊预提项目 118" xfId="16176" xr:uid="{ECCF5816-DB39-4B8A-BEF5-912870BBF215}"/>
    <cellStyle name="_副本复合材料厂2012生产辅助外协预算编制表2012.1.10_峨矿2016年2月份待摊预提项目 119" xfId="16177" xr:uid="{7C2AE4B2-83DE-4F21-85E9-BB28A5BA960F}"/>
    <cellStyle name="_副本复合材料厂2012生产辅助外协预算编制表2012.1.10_峨矿2016年2月份待摊预提项目 12" xfId="16178" xr:uid="{5EA288CF-3B90-4AFC-A2C4-49D42F17A912}"/>
    <cellStyle name="_副本复合材料厂2012生产辅助外协预算编制表2012.1.10_峨矿2016年2月份待摊预提项目 120" xfId="16179" xr:uid="{315BB5B0-A315-40F2-900F-0E8486B8E4EF}"/>
    <cellStyle name="_副本复合材料厂2012生产辅助外协预算编制表2012.1.10_峨矿2016年2月份待摊预提项目 121" xfId="16180" xr:uid="{EA9CC240-0650-472C-A1E9-F4770D1E5D3E}"/>
    <cellStyle name="_副本复合材料厂2012生产辅助外协预算编制表2012.1.10_峨矿2016年2月份待摊预提项目 122" xfId="16181" xr:uid="{85D30457-59B6-4040-887C-A6F8C69219D2}"/>
    <cellStyle name="_副本复合材料厂2012生产辅助外协预算编制表2012.1.10_峨矿2016年2月份待摊预提项目 123" xfId="16182" xr:uid="{FEB697C1-2FB0-4A12-8AD4-FD404DE11C72}"/>
    <cellStyle name="_副本复合材料厂2012生产辅助外协预算编制表2012.1.10_峨矿2016年2月份待摊预提项目 124" xfId="16183" xr:uid="{969A6BDE-FC2A-41F2-ADB9-3DDBF199A1C8}"/>
    <cellStyle name="_副本复合材料厂2012生产辅助外协预算编制表2012.1.10_峨矿2016年2月份待摊预提项目 125" xfId="16184" xr:uid="{3E38F814-697A-47D3-BFF9-422A998A9DD2}"/>
    <cellStyle name="_副本复合材料厂2012生产辅助外协预算编制表2012.1.10_峨矿2016年2月份待摊预提项目 126" xfId="16185" xr:uid="{1B3BD9D6-63F1-4839-B712-ADBA5562FE16}"/>
    <cellStyle name="_副本复合材料厂2012生产辅助外协预算编制表2012.1.10_峨矿2016年2月份待摊预提项目 127" xfId="16186" xr:uid="{ABBD669B-EFE3-4D85-95B3-F948D23B7734}"/>
    <cellStyle name="_副本复合材料厂2012生产辅助外协预算编制表2012.1.10_峨矿2016年2月份待摊预提项目 128" xfId="16187" xr:uid="{BB295191-4C9B-4F8E-9300-C324667CBD1E}"/>
    <cellStyle name="_副本复合材料厂2012生产辅助外协预算编制表2012.1.10_峨矿2016年2月份待摊预提项目 129" xfId="16188" xr:uid="{19B9AB54-8637-4D68-8A8E-BB58C3E5FF92}"/>
    <cellStyle name="_副本复合材料厂2012生产辅助外协预算编制表2012.1.10_峨矿2016年2月份待摊预提项目 13" xfId="16189" xr:uid="{EA18ECDC-0058-4BBA-9FCC-5FCF65BCE0DE}"/>
    <cellStyle name="_副本复合材料厂2012生产辅助外协预算编制表2012.1.10_峨矿2016年2月份待摊预提项目 130" xfId="16190" xr:uid="{5DBC3A85-A1D2-4422-ABD0-92A2E305829F}"/>
    <cellStyle name="_副本复合材料厂2012生产辅助外协预算编制表2012.1.10_峨矿2016年2月份待摊预提项目 131" xfId="16191" xr:uid="{5C0C7B0B-2A50-4E3A-85BC-2CE8AE36721F}"/>
    <cellStyle name="_副本复合材料厂2012生产辅助外协预算编制表2012.1.10_峨矿2016年2月份待摊预提项目 132" xfId="16192" xr:uid="{E329757D-C3CB-4633-B742-51E5B80FEC51}"/>
    <cellStyle name="_副本复合材料厂2012生产辅助外协预算编制表2012.1.10_峨矿2016年2月份待摊预提项目 133" xfId="16193" xr:uid="{C926F88E-7CD2-4314-A107-D98525184CB3}"/>
    <cellStyle name="_副本复合材料厂2012生产辅助外协预算编制表2012.1.10_峨矿2016年2月份待摊预提项目 134" xfId="16194" xr:uid="{BF379983-805E-480F-AC2E-B95800C963AD}"/>
    <cellStyle name="_副本复合材料厂2012生产辅助外协预算编制表2012.1.10_峨矿2016年2月份待摊预提项目 135" xfId="16195" xr:uid="{5C26A80D-7BA7-40CD-AE1D-55E7788C61EC}"/>
    <cellStyle name="_副本复合材料厂2012生产辅助外协预算编制表2012.1.10_峨矿2016年2月份待摊预提项目 136" xfId="16196" xr:uid="{D91FABD3-F94C-4FA0-A7B5-D32014AAFD1C}"/>
    <cellStyle name="_副本复合材料厂2012生产辅助外协预算编制表2012.1.10_峨矿2016年2月份待摊预提项目 137" xfId="16197" xr:uid="{46E6F48B-2FAC-44FC-ADAA-2C25094455CB}"/>
    <cellStyle name="_副本复合材料厂2012生产辅助外协预算编制表2012.1.10_峨矿2016年2月份待摊预提项目 138" xfId="16198" xr:uid="{711AB66D-DA3D-4D78-B2E0-BB2ED35B0624}"/>
    <cellStyle name="_副本复合材料厂2012生产辅助外协预算编制表2012.1.10_峨矿2016年2月份待摊预提项目 139" xfId="16199" xr:uid="{8FBA5F01-2C94-434A-B2C7-C5DF27FBA2F0}"/>
    <cellStyle name="_副本复合材料厂2012生产辅助外协预算编制表2012.1.10_峨矿2016年2月份待摊预提项目 14" xfId="16200" xr:uid="{A7F07303-F9CD-4F6E-AF56-FCC7F7311583}"/>
    <cellStyle name="_副本复合材料厂2012生产辅助外协预算编制表2012.1.10_峨矿2016年2月份待摊预提项目 140" xfId="16201" xr:uid="{83FC85CF-8DCD-42B8-897A-457E50FD8F97}"/>
    <cellStyle name="_副本复合材料厂2012生产辅助外协预算编制表2012.1.10_峨矿2016年2月份待摊预提项目 141" xfId="16202" xr:uid="{54F3C9B7-3DE0-49BE-81C5-1BBCE71B4D85}"/>
    <cellStyle name="_副本复合材料厂2012生产辅助外协预算编制表2012.1.10_峨矿2016年2月份待摊预提项目 142" xfId="16203" xr:uid="{AB65D0CA-F953-4CB5-B798-C84AF56FA12F}"/>
    <cellStyle name="_副本复合材料厂2012生产辅助外协预算编制表2012.1.10_峨矿2016年2月份待摊预提项目 143" xfId="16204" xr:uid="{9975EC18-38DF-4A59-A23E-E019EA245DD6}"/>
    <cellStyle name="_副本复合材料厂2012生产辅助外协预算编制表2012.1.10_峨矿2016年2月份待摊预提项目 144" xfId="16205" xr:uid="{58229AEF-8C8E-4FD8-AB04-B0EDEE76F4CA}"/>
    <cellStyle name="_副本复合材料厂2012生产辅助外协预算编制表2012.1.10_峨矿2016年2月份待摊预提项目 145" xfId="16206" xr:uid="{C221A449-B797-44EF-948B-62844F84E4A6}"/>
    <cellStyle name="_副本复合材料厂2012生产辅助外协预算编制表2012.1.10_峨矿2016年2月份待摊预提项目 146" xfId="16207" xr:uid="{9B82958A-52C6-4B7A-9204-5D27364ED3EC}"/>
    <cellStyle name="_副本复合材料厂2012生产辅助外协预算编制表2012.1.10_峨矿2016年2月份待摊预提项目 147" xfId="16208" xr:uid="{48F6CD26-34D0-45FA-AED2-F152D29E9F46}"/>
    <cellStyle name="_副本复合材料厂2012生产辅助外协预算编制表2012.1.10_峨矿2016年2月份待摊预提项目 148" xfId="16209" xr:uid="{9C4F5A9E-4F31-465B-9569-AB750F182BB2}"/>
    <cellStyle name="_副本复合材料厂2012生产辅助外协预算编制表2012.1.10_峨矿2016年2月份待摊预提项目 149" xfId="16210" xr:uid="{D720E623-19F7-4091-8DFF-27FC8CE524B0}"/>
    <cellStyle name="_副本复合材料厂2012生产辅助外协预算编制表2012.1.10_峨矿2016年2月份待摊预提项目 15" xfId="16211" xr:uid="{41CFA2C1-E857-4ACB-B9E2-74EB9A0CA093}"/>
    <cellStyle name="_副本复合材料厂2012生产辅助外协预算编制表2012.1.10_峨矿2016年2月份待摊预提项目 150" xfId="16212" xr:uid="{811BFE13-D516-4115-8F42-FB33D1949A06}"/>
    <cellStyle name="_副本复合材料厂2012生产辅助外协预算编制表2012.1.10_峨矿2016年2月份待摊预提项目 151" xfId="16213" xr:uid="{1DDF1065-7C96-417D-9832-DE3D7A1BC666}"/>
    <cellStyle name="_副本复合材料厂2012生产辅助外协预算编制表2012.1.10_峨矿2016年2月份待摊预提项目 152" xfId="16214" xr:uid="{5490FAFB-E246-4757-B2DD-68BDB83AA40B}"/>
    <cellStyle name="_副本复合材料厂2012生产辅助外协预算编制表2012.1.10_峨矿2016年2月份待摊预提项目 153" xfId="16215" xr:uid="{3022210A-5180-4E3A-80A9-54412FF6D03A}"/>
    <cellStyle name="_副本复合材料厂2012生产辅助外协预算编制表2012.1.10_峨矿2016年2月份待摊预提项目 154" xfId="16216" xr:uid="{E9687152-6D7A-4885-B86F-A14CAAE5342B}"/>
    <cellStyle name="_副本复合材料厂2012生产辅助外协预算编制表2012.1.10_峨矿2016年2月份待摊预提项目 155" xfId="16217" xr:uid="{322718E4-B7E3-4862-9F26-9216918057B5}"/>
    <cellStyle name="_副本复合材料厂2012生产辅助外协预算编制表2012.1.10_峨矿2016年2月份待摊预提项目 156" xfId="16218" xr:uid="{F4097C22-46EC-4D0A-A710-ACE09CF2E545}"/>
    <cellStyle name="_副本复合材料厂2012生产辅助外协预算编制表2012.1.10_峨矿2016年2月份待摊预提项目 157" xfId="16219" xr:uid="{BE7C4DC0-C99D-4A87-89D6-CEAB0CF8ADD5}"/>
    <cellStyle name="_副本复合材料厂2012生产辅助外协预算编制表2012.1.10_峨矿2016年2月份待摊预提项目 16" xfId="16220" xr:uid="{26A3989C-D188-42F6-9E9D-9CEAB6D553C3}"/>
    <cellStyle name="_副本复合材料厂2012生产辅助外协预算编制表2012.1.10_峨矿2016年2月份待摊预提项目 17" xfId="16221" xr:uid="{C9BAFEAF-DC57-4138-80F0-1E5C37CAE5C6}"/>
    <cellStyle name="_副本复合材料厂2012生产辅助外协预算编制表2012.1.10_峨矿2016年2月份待摊预提项目 18" xfId="16222" xr:uid="{7B293140-60B7-4EB2-BC7F-F757AAE83050}"/>
    <cellStyle name="_副本复合材料厂2012生产辅助外协预算编制表2012.1.10_峨矿2016年2月份待摊预提项目 19" xfId="16223" xr:uid="{F770193C-1F17-459A-B625-6DEFF60875FC}"/>
    <cellStyle name="_副本复合材料厂2012生产辅助外协预算编制表2012.1.10_峨矿2016年2月份待摊预提项目 2" xfId="16224" xr:uid="{5C5FFEDB-AB2F-4E0E-A4B4-A372CB89A86B}"/>
    <cellStyle name="_副本复合材料厂2012生产辅助外协预算编制表2012.1.10_峨矿2016年2月份待摊预提项目 20" xfId="16225" xr:uid="{C9DCFFCF-C946-4941-BC66-B4717220815B}"/>
    <cellStyle name="_副本复合材料厂2012生产辅助外协预算编制表2012.1.10_峨矿2016年2月份待摊预提项目 21" xfId="16226" xr:uid="{3C318762-D0F5-4134-8315-E1491293F55E}"/>
    <cellStyle name="_副本复合材料厂2012生产辅助外协预算编制表2012.1.10_峨矿2016年2月份待摊预提项目 22" xfId="16227" xr:uid="{C332CE18-B336-40E3-8728-7F5F2B88DB66}"/>
    <cellStyle name="_副本复合材料厂2012生产辅助外协预算编制表2012.1.10_峨矿2016年2月份待摊预提项目 23" xfId="16228" xr:uid="{D089D34A-165A-46C9-903F-297475150196}"/>
    <cellStyle name="_副本复合材料厂2012生产辅助外协预算编制表2012.1.10_峨矿2016年2月份待摊预提项目 24" xfId="16229" xr:uid="{DED84606-FEA2-4AA6-9D53-512FC63C8675}"/>
    <cellStyle name="_副本复合材料厂2012生产辅助外协预算编制表2012.1.10_峨矿2016年2月份待摊预提项目 25" xfId="16230" xr:uid="{A79855CC-F444-4B6B-8FC9-6FEF6DC4DA16}"/>
    <cellStyle name="_副本复合材料厂2012生产辅助外协预算编制表2012.1.10_峨矿2016年2月份待摊预提项目 26" xfId="16231" xr:uid="{535FE8B7-2C94-4051-A184-685C5D5FB4D9}"/>
    <cellStyle name="_副本复合材料厂2012生产辅助外协预算编制表2012.1.10_峨矿2016年2月份待摊预提项目 27" xfId="16232" xr:uid="{87706D08-456A-4D7C-A5E9-040B796456A5}"/>
    <cellStyle name="_副本复合材料厂2012生产辅助外协预算编制表2012.1.10_峨矿2016年2月份待摊预提项目 28" xfId="16233" xr:uid="{3043B246-E6DF-44A4-A83C-A890FB177EEB}"/>
    <cellStyle name="_副本复合材料厂2012生产辅助外协预算编制表2012.1.10_峨矿2016年2月份待摊预提项目 29" xfId="16234" xr:uid="{EBBA28C4-9050-4110-8845-D88DD3BAAD55}"/>
    <cellStyle name="_副本复合材料厂2012生产辅助外协预算编制表2012.1.10_峨矿2016年2月份待摊预提项目 3" xfId="16235" xr:uid="{7D73A892-B750-4D64-AD2B-36BFB7BA3A54}"/>
    <cellStyle name="_副本复合材料厂2012生产辅助外协预算编制表2012.1.10_峨矿2016年2月份待摊预提项目 30" xfId="16236" xr:uid="{3E4D5B1A-7194-4D0F-839E-109DBF6C69EE}"/>
    <cellStyle name="_副本复合材料厂2012生产辅助外协预算编制表2012.1.10_峨矿2016年2月份待摊预提项目 31" xfId="16237" xr:uid="{C4F15E63-494C-4B16-9325-C5697AA535B0}"/>
    <cellStyle name="_副本复合材料厂2012生产辅助外协预算编制表2012.1.10_峨矿2016年2月份待摊预提项目 32" xfId="16238" xr:uid="{10BBCAAE-4DEB-479E-BF39-C5A0F18D8D40}"/>
    <cellStyle name="_副本复合材料厂2012生产辅助外协预算编制表2012.1.10_峨矿2016年2月份待摊预提项目 33" xfId="16239" xr:uid="{C80EEAF2-521D-4F46-90EB-E835F55D93F8}"/>
    <cellStyle name="_副本复合材料厂2012生产辅助外协预算编制表2012.1.10_峨矿2016年2月份待摊预提项目 34" xfId="16240" xr:uid="{E4FB2034-11DC-40F9-9E10-EFF08A383AC0}"/>
    <cellStyle name="_副本复合材料厂2012生产辅助外协预算编制表2012.1.10_峨矿2016年2月份待摊预提项目 35" xfId="16241" xr:uid="{F41D5D6F-7F26-4CB0-9C47-4014B1984923}"/>
    <cellStyle name="_副本复合材料厂2012生产辅助外协预算编制表2012.1.10_峨矿2016年2月份待摊预提项目 36" xfId="16242" xr:uid="{83EF063F-4B47-4482-B95E-EFE55ECFA43E}"/>
    <cellStyle name="_副本复合材料厂2012生产辅助外协预算编制表2012.1.10_峨矿2016年2月份待摊预提项目 37" xfId="16243" xr:uid="{86AE90C9-BAEB-4CD0-96E4-10EDBBF69C1F}"/>
    <cellStyle name="_副本复合材料厂2012生产辅助外协预算编制表2012.1.10_峨矿2016年2月份待摊预提项目 38" xfId="16244" xr:uid="{C9C74F58-6701-49B1-BDE3-0642D8A71DD9}"/>
    <cellStyle name="_副本复合材料厂2012生产辅助外协预算编制表2012.1.10_峨矿2016年2月份待摊预提项目 39" xfId="16245" xr:uid="{71B8E2F5-1C60-460F-A2B9-372C3FD1500A}"/>
    <cellStyle name="_副本复合材料厂2012生产辅助外协预算编制表2012.1.10_峨矿2016年2月份待摊预提项目 4" xfId="16246" xr:uid="{54FBA21D-6B2C-41A3-9C52-15014EC1B606}"/>
    <cellStyle name="_副本复合材料厂2012生产辅助外协预算编制表2012.1.10_峨矿2016年2月份待摊预提项目 40" xfId="16247" xr:uid="{DF0D00B4-64E6-4C3E-BBB1-BD308470D7CE}"/>
    <cellStyle name="_副本复合材料厂2012生产辅助外协预算编制表2012.1.10_峨矿2016年2月份待摊预提项目 41" xfId="16248" xr:uid="{0540AA6A-1395-4476-93BE-89C262121A21}"/>
    <cellStyle name="_副本复合材料厂2012生产辅助外协预算编制表2012.1.10_峨矿2016年2月份待摊预提项目 42" xfId="16249" xr:uid="{9A7C83A3-DF1A-436A-BAA0-3D89AC0D4871}"/>
    <cellStyle name="_副本复合材料厂2012生产辅助外协预算编制表2012.1.10_峨矿2016年2月份待摊预提项目 43" xfId="16250" xr:uid="{86FD756F-8D06-4DDC-92E2-A649131397CF}"/>
    <cellStyle name="_副本复合材料厂2012生产辅助外协预算编制表2012.1.10_峨矿2016年2月份待摊预提项目 44" xfId="16251" xr:uid="{6954A223-2ACB-46FA-9566-7C2D54367469}"/>
    <cellStyle name="_副本复合材料厂2012生产辅助外协预算编制表2012.1.10_峨矿2016年2月份待摊预提项目 45" xfId="16252" xr:uid="{BDCA8123-0FF3-412A-8947-2CFCA33FC4CA}"/>
    <cellStyle name="_副本复合材料厂2012生产辅助外协预算编制表2012.1.10_峨矿2016年2月份待摊预提项目 46" xfId="16253" xr:uid="{D13D78C2-A65A-407D-A820-2303709591EE}"/>
    <cellStyle name="_副本复合材料厂2012生产辅助外协预算编制表2012.1.10_峨矿2016年2月份待摊预提项目 47" xfId="16254" xr:uid="{08DE69BB-6697-4FD8-A117-04E0EA2DC595}"/>
    <cellStyle name="_副本复合材料厂2012生产辅助外协预算编制表2012.1.10_峨矿2016年2月份待摊预提项目 48" xfId="16255" xr:uid="{16B17DB8-15A3-4792-9891-489BDF02CF2B}"/>
    <cellStyle name="_副本复合材料厂2012生产辅助外协预算编制表2012.1.10_峨矿2016年2月份待摊预提项目 49" xfId="16256" xr:uid="{40A5B652-38EE-4E68-937A-69B9F25FB008}"/>
    <cellStyle name="_副本复合材料厂2012生产辅助外协预算编制表2012.1.10_峨矿2016年2月份待摊预提项目 5" xfId="16257" xr:uid="{167075E6-A3B5-4A99-91DA-83B54D9A53E7}"/>
    <cellStyle name="_副本复合材料厂2012生产辅助外协预算编制表2012.1.10_峨矿2016年2月份待摊预提项目 50" xfId="16258" xr:uid="{D7F0E3B2-6B19-4BF3-AAB3-5D90F2B450DD}"/>
    <cellStyle name="_副本复合材料厂2012生产辅助外协预算编制表2012.1.10_峨矿2016年2月份待摊预提项目 51" xfId="16259" xr:uid="{AE046CF9-F4BE-48A6-AA71-92D3C8E4480F}"/>
    <cellStyle name="_副本复合材料厂2012生产辅助外协预算编制表2012.1.10_峨矿2016年2月份待摊预提项目 52" xfId="16260" xr:uid="{39FEC6EB-3605-48B8-B68A-9DCDBA2DFF74}"/>
    <cellStyle name="_副本复合材料厂2012生产辅助外协预算编制表2012.1.10_峨矿2016年2月份待摊预提项目 53" xfId="16261" xr:uid="{4A1ED3AF-AF6F-4987-A6AF-99AA0B399189}"/>
    <cellStyle name="_副本复合材料厂2012生产辅助外协预算编制表2012.1.10_峨矿2016年2月份待摊预提项目 54" xfId="16262" xr:uid="{A2FE9516-FDDE-4DEE-A573-A0CE744415E2}"/>
    <cellStyle name="_副本复合材料厂2012生产辅助外协预算编制表2012.1.10_峨矿2016年2月份待摊预提项目 55" xfId="16263" xr:uid="{677E9B00-C5EC-4509-A24E-3691F0930C16}"/>
    <cellStyle name="_副本复合材料厂2012生产辅助外协预算编制表2012.1.10_峨矿2016年2月份待摊预提项目 56" xfId="16264" xr:uid="{1234D2BA-3BF3-46B6-8F72-F4D224235DDC}"/>
    <cellStyle name="_副本复合材料厂2012生产辅助外协预算编制表2012.1.10_峨矿2016年2月份待摊预提项目 57" xfId="16265" xr:uid="{CE7F791E-750D-432C-BF7B-229CD0A7F94A}"/>
    <cellStyle name="_副本复合材料厂2012生产辅助外协预算编制表2012.1.10_峨矿2016年2月份待摊预提项目 58" xfId="16266" xr:uid="{B32C05DF-0AEA-448B-ADEF-164C66BD6658}"/>
    <cellStyle name="_副本复合材料厂2012生产辅助外协预算编制表2012.1.10_峨矿2016年2月份待摊预提项目 59" xfId="16267" xr:uid="{4FAFBB50-5FF0-4F64-BEAB-96E596C73F06}"/>
    <cellStyle name="_副本复合材料厂2012生产辅助外协预算编制表2012.1.10_峨矿2016年2月份待摊预提项目 6" xfId="16268" xr:uid="{E20850A9-69F1-44F9-B8A5-8155A84A4DCB}"/>
    <cellStyle name="_副本复合材料厂2012生产辅助外协预算编制表2012.1.10_峨矿2016年2月份待摊预提项目 60" xfId="16269" xr:uid="{66E04B89-7AA8-4E0F-86F1-8B6BFF042049}"/>
    <cellStyle name="_副本复合材料厂2012生产辅助外协预算编制表2012.1.10_峨矿2016年2月份待摊预提项目 61" xfId="16270" xr:uid="{0D958D51-EE52-4397-8A3B-09BA5928B41F}"/>
    <cellStyle name="_副本复合材料厂2012生产辅助外协预算编制表2012.1.10_峨矿2016年2月份待摊预提项目 62" xfId="16271" xr:uid="{B7AC28CB-6FF5-4A23-BCFE-CD6071EE05F1}"/>
    <cellStyle name="_副本复合材料厂2012生产辅助外协预算编制表2012.1.10_峨矿2016年2月份待摊预提项目 63" xfId="16272" xr:uid="{7364570F-D361-4E85-9BDE-173E0CEE8969}"/>
    <cellStyle name="_副本复合材料厂2012生产辅助外协预算编制表2012.1.10_峨矿2016年2月份待摊预提项目 64" xfId="16273" xr:uid="{224A82C8-B2F1-4AF5-B302-13C71A78A82D}"/>
    <cellStyle name="_副本复合材料厂2012生产辅助外协预算编制表2012.1.10_峨矿2016年2月份待摊预提项目 65" xfId="16274" xr:uid="{6E706D47-946A-408E-8436-9BBC9E0AE373}"/>
    <cellStyle name="_副本复合材料厂2012生产辅助外协预算编制表2012.1.10_峨矿2016年2月份待摊预提项目 66" xfId="16275" xr:uid="{E7A04C20-9716-4BE2-B3E9-3FF9FAB2A7CF}"/>
    <cellStyle name="_副本复合材料厂2012生产辅助外协预算编制表2012.1.10_峨矿2016年2月份待摊预提项目 67" xfId="16276" xr:uid="{1961EE59-0E39-4E2B-884B-E221B42EA7AF}"/>
    <cellStyle name="_副本复合材料厂2012生产辅助外协预算编制表2012.1.10_峨矿2016年2月份待摊预提项目 68" xfId="16277" xr:uid="{26DD0DB8-9F91-4497-9E70-3D2D9DBDE972}"/>
    <cellStyle name="_副本复合材料厂2012生产辅助外协预算编制表2012.1.10_峨矿2016年2月份待摊预提项目 69" xfId="16278" xr:uid="{8F8503CC-9397-413D-B576-43D4C8BFEC1F}"/>
    <cellStyle name="_副本复合材料厂2012生产辅助外协预算编制表2012.1.10_峨矿2016年2月份待摊预提项目 7" xfId="16279" xr:uid="{E9DB728C-D3A2-43C0-B830-CDC1C0C83F5D}"/>
    <cellStyle name="_副本复合材料厂2012生产辅助外协预算编制表2012.1.10_峨矿2016年2月份待摊预提项目 70" xfId="16280" xr:uid="{1A0D1230-0591-419F-933A-884B190231A6}"/>
    <cellStyle name="_副本复合材料厂2012生产辅助外协预算编制表2012.1.10_峨矿2016年2月份待摊预提项目 71" xfId="16281" xr:uid="{99FA5667-7A78-41FF-A7EB-F62062F7B774}"/>
    <cellStyle name="_副本复合材料厂2012生产辅助外协预算编制表2012.1.10_峨矿2016年2月份待摊预提项目 72" xfId="16282" xr:uid="{10D91A91-9BFF-4EE0-B27D-AF6C7500DC23}"/>
    <cellStyle name="_副本复合材料厂2012生产辅助外协预算编制表2012.1.10_峨矿2016年2月份待摊预提项目 73" xfId="16283" xr:uid="{02BB133F-99FD-48C1-A0A8-F84813CBE68A}"/>
    <cellStyle name="_副本复合材料厂2012生产辅助外协预算编制表2012.1.10_峨矿2016年2月份待摊预提项目 74" xfId="16284" xr:uid="{1196E22E-1D94-4D8F-86C5-A6F4030176E1}"/>
    <cellStyle name="_副本复合材料厂2012生产辅助外协预算编制表2012.1.10_峨矿2016年2月份待摊预提项目 75" xfId="16285" xr:uid="{47F860C6-BFAC-4070-BE2D-6C86827DD9C4}"/>
    <cellStyle name="_副本复合材料厂2012生产辅助外协预算编制表2012.1.10_峨矿2016年2月份待摊预提项目 76" xfId="16286" xr:uid="{D57183D0-95CC-437C-A789-FF05E9E05378}"/>
    <cellStyle name="_副本复合材料厂2012生产辅助外协预算编制表2012.1.10_峨矿2016年2月份待摊预提项目 77" xfId="16287" xr:uid="{D93F77BC-3F49-447C-BD8D-57A832ED7802}"/>
    <cellStyle name="_副本复合材料厂2012生产辅助外协预算编制表2012.1.10_峨矿2016年2月份待摊预提项目 78" xfId="16288" xr:uid="{C38D9A09-E734-4E77-BCAC-CDE8A06E0354}"/>
    <cellStyle name="_副本复合材料厂2012生产辅助外协预算编制表2012.1.10_峨矿2016年2月份待摊预提项目 79" xfId="16289" xr:uid="{C86D4FDF-A788-41A9-9394-A9451F607887}"/>
    <cellStyle name="_副本复合材料厂2012生产辅助外协预算编制表2012.1.10_峨矿2016年2月份待摊预提项目 8" xfId="16290" xr:uid="{9FB8A95D-620D-4358-A0EF-424F7932BF8E}"/>
    <cellStyle name="_副本复合材料厂2012生产辅助外协预算编制表2012.1.10_峨矿2016年2月份待摊预提项目 80" xfId="16291" xr:uid="{F1677CED-91FB-497D-905C-F2EAEEADE01E}"/>
    <cellStyle name="_副本复合材料厂2012生产辅助外协预算编制表2012.1.10_峨矿2016年2月份待摊预提项目 81" xfId="16292" xr:uid="{74202EBC-CC83-460E-982A-C1EB294BDFDF}"/>
    <cellStyle name="_副本复合材料厂2012生产辅助外协预算编制表2012.1.10_峨矿2016年2月份待摊预提项目 82" xfId="16293" xr:uid="{ADBEA5C8-EF34-4E1D-8A99-FB5D173E1E2F}"/>
    <cellStyle name="_副本复合材料厂2012生产辅助外协预算编制表2012.1.10_峨矿2016年2月份待摊预提项目 83" xfId="16294" xr:uid="{7C2CCC98-B905-49AE-95F8-29C80250E61F}"/>
    <cellStyle name="_副本复合材料厂2012生产辅助外协预算编制表2012.1.10_峨矿2016年2月份待摊预提项目 84" xfId="16295" xr:uid="{9F65AF0F-6138-4EF6-B6CA-3BB22BB343A8}"/>
    <cellStyle name="_副本复合材料厂2012生产辅助外协预算编制表2012.1.10_峨矿2016年2月份待摊预提项目 85" xfId="16296" xr:uid="{8AEFE379-4CFF-4199-808B-448C43980BA0}"/>
    <cellStyle name="_副本复合材料厂2012生产辅助外协预算编制表2012.1.10_峨矿2016年2月份待摊预提项目 86" xfId="16297" xr:uid="{1BBB904D-D6DB-4617-A5A0-BBAC11888037}"/>
    <cellStyle name="_副本复合材料厂2012生产辅助外协预算编制表2012.1.10_峨矿2016年2月份待摊预提项目 87" xfId="16298" xr:uid="{3739BC03-6CDC-4C8D-B59E-0241E0BE2E28}"/>
    <cellStyle name="_副本复合材料厂2012生产辅助外协预算编制表2012.1.10_峨矿2016年2月份待摊预提项目 88" xfId="16299" xr:uid="{96E0093C-41B5-4517-990E-8F01F7F582E2}"/>
    <cellStyle name="_副本复合材料厂2012生产辅助外协预算编制表2012.1.10_峨矿2016年2月份待摊预提项目 89" xfId="16300" xr:uid="{1E29A11F-CA86-4BF4-98D4-7756896F6B15}"/>
    <cellStyle name="_副本复合材料厂2012生产辅助外协预算编制表2012.1.10_峨矿2016年2月份待摊预提项目 9" xfId="16301" xr:uid="{BC1B6614-716E-4BD2-AC4F-77AC2C202635}"/>
    <cellStyle name="_副本复合材料厂2012生产辅助外协预算编制表2012.1.10_峨矿2016年2月份待摊预提项目 90" xfId="16302" xr:uid="{BF9D2F3F-98BB-4ADA-A2F2-76331D93CA41}"/>
    <cellStyle name="_副本复合材料厂2012生产辅助外协预算编制表2012.1.10_峨矿2016年2月份待摊预提项目 91" xfId="16303" xr:uid="{B49458CF-0EBD-432A-88E8-58FDFEC67845}"/>
    <cellStyle name="_副本复合材料厂2012生产辅助外协预算编制表2012.1.10_峨矿2016年2月份待摊预提项目 92" xfId="16304" xr:uid="{4EADD52D-06BC-45C2-B3C3-8635C621B991}"/>
    <cellStyle name="_副本复合材料厂2012生产辅助外协预算编制表2012.1.10_峨矿2016年2月份待摊预提项目 93" xfId="16305" xr:uid="{5F97EF5A-BF5F-4881-9090-FD7513F860BF}"/>
    <cellStyle name="_副本复合材料厂2012生产辅助外协预算编制表2012.1.10_峨矿2016年2月份待摊预提项目 94" xfId="16306" xr:uid="{27D447AB-EAD3-42FE-823D-C402F50D248B}"/>
    <cellStyle name="_副本复合材料厂2012生产辅助外协预算编制表2012.1.10_峨矿2016年2月份待摊预提项目 95" xfId="16307" xr:uid="{5C2C1037-5790-4537-B340-6064612E3AEB}"/>
    <cellStyle name="_副本复合材料厂2012生产辅助外协预算编制表2012.1.10_峨矿2016年2月份待摊预提项目 96" xfId="16308" xr:uid="{6C343BAC-D9A7-422D-B88C-CA3D5B55DD8C}"/>
    <cellStyle name="_副本复合材料厂2012生产辅助外协预算编制表2012.1.10_峨矿2016年2月份待摊预提项目 97" xfId="16309" xr:uid="{3B76EC0B-DD51-4582-BF66-5C8E3DFC259A}"/>
    <cellStyle name="_副本复合材料厂2012生产辅助外协预算编制表2012.1.10_峨矿2016年2月份待摊预提项目 98" xfId="16310" xr:uid="{FF15287F-17E5-47C7-8654-A9FA13266A40}"/>
    <cellStyle name="_副本复合材料厂2012生产辅助外协预算编制表2012.1.10_峨矿2016年2月份待摊预提项目 99" xfId="16311" xr:uid="{1A845862-C0C6-4359-BFE8-76534A0ED845}"/>
    <cellStyle name="_副本复合材料厂2012生产辅助外协预算编制表2012.1.10_峨矿2016年全面预算(2016.1.28)" xfId="16312" xr:uid="{1DACE694-F6BA-4A80-8403-3EA28D81FC0F}"/>
    <cellStyle name="_副本复合材料厂2012生产辅助外协预算编制表2012.1.10_峨矿2016年全面预算(2016.1.28) 2" xfId="16313" xr:uid="{9036144F-3975-4E97-962C-785EBDA1EE9F}"/>
    <cellStyle name="_副本复合材料厂2012生产辅助外协预算编制表2012.1.10_峨矿2月份待摊预提及成本完成情况(1)" xfId="16314" xr:uid="{75E6B111-FFE9-4D93-B565-CEC29A82A2D7}"/>
    <cellStyle name="_副本复合材料厂2012生产辅助外协预算编制表2012.1.10_峨矿成本完成情况" xfId="16315" xr:uid="{690652ED-5971-4E89-9C18-7D25D85D5BE5}"/>
    <cellStyle name="_副本复合材料厂2012生产辅助外协预算编制表2012.1.10_复合材料厂2013年预算12.12 (version 1)" xfId="16316" xr:uid="{9121D5CA-70F9-4D5C-A45F-A193615CD0A1}"/>
    <cellStyle name="_副本复合材料厂2012生产辅助外协预算编制表2012.1.10_复合材料厂2013年预算12.12 (version 1) 2" xfId="16317" xr:uid="{58BDA834-A9B8-4472-B796-1899BCEBC22D}"/>
    <cellStyle name="_副本复合材料厂2012生产辅助外协预算编制表2012.1.10_复合材料厂2013年预算12.12 (version 1)_动力部" xfId="16318" xr:uid="{67F9F647-4D6D-4F04-BBBF-A38D90C3B73E}"/>
    <cellStyle name="_副本复合材料厂2012生产辅助外协预算编制表2012.1.10_复合材料厂2013年预算13.02.20" xfId="16319" xr:uid="{3518DAF1-C6AC-4AF1-AF9E-8CAC2289D66D}"/>
    <cellStyle name="_副本复合材料厂2012生产辅助外协预算编制表2012.1.10_复合材料厂2013年预算13.02.20 2" xfId="16320" xr:uid="{CA86E648-8D69-43CA-B890-8C9840B90C06}"/>
    <cellStyle name="_副本复合材料厂2012生产辅助外协预算编制表2012.1.10_复合材料厂2013年预算13.02.20_动力部" xfId="16321" xr:uid="{7F9C8B1E-7D1D-402F-8491-EAA4910861C6}"/>
    <cellStyle name="_副本复合材料厂2012生产辅助外协预算编制表2012.1.10_复件 复合材料厂2014年预算12.13" xfId="16322" xr:uid="{65281318-6F7C-4E46-B0B1-129B3EDD8AD1}"/>
    <cellStyle name="_副本复合材料厂2012生产辅助外协预算编制表2012.1.10_复件 复合材料厂2014年预算12.13 2" xfId="16323" xr:uid="{97D7CB71-2086-44DC-88FB-EAAB3A055823}"/>
    <cellStyle name="_副本复合材料厂2012生产辅助外协预算编制表2012.1.10_复件 复合材料厂2014年预算12.13_动力部" xfId="16324" xr:uid="{87F0B5D1-9ECF-4E51-B56B-01A82728E8BF}"/>
    <cellStyle name="_副本复合材料厂2012生产辅助外协预算编制表2012.1.10_副本太钢复合材料厂2013修理费预算12.13" xfId="16325" xr:uid="{1601E6E6-4B93-49CE-8912-E7F182E2A1F7}"/>
    <cellStyle name="_副本复合材料厂2012生产辅助外协预算编制表2012.1.10_副本太钢复合材料厂2014修理费预算及分解10.17(修改后)" xfId="16326" xr:uid="{C9152474-674A-4275-8438-CB5F5A753C2B}"/>
    <cellStyle name="_副本复合材料厂2012生产辅助外协预算编制表2012.1.10_球团工序" xfId="16327" xr:uid="{82B418F9-0DB6-481D-A4D1-3F1B06ACC77A}"/>
    <cellStyle name="_副本复合材料厂2012生产辅助外协预算编制表2012.1.10_上报复合材料厂2013年预算10.20" xfId="16328" xr:uid="{37FD9702-2B2C-4AB5-80DD-98FE864DE290}"/>
    <cellStyle name="_副本复合材料厂2012生产辅助外协预算编制表2012.1.10_上报复合材料厂2013年预算10.20 2" xfId="16329" xr:uid="{DBB11890-F186-4950-AD75-377E5B3B57FF}"/>
    <cellStyle name="_副本复合材料厂2012生产辅助外协预算编制表2012.1.10_上报复合材料厂2013年预算10.20_动力部" xfId="16330" xr:uid="{97567FC9-C8F1-495C-A836-12FDE2DE9AC7}"/>
    <cellStyle name="_副本复合材料厂2012生产辅助外协预算编制表2012.1.10_太钢复合材料厂2013修理费预算10.27改" xfId="16331" xr:uid="{C99AC31F-EE06-4CD0-8EAB-137F34F67AC6}"/>
    <cellStyle name="_副本矿业公司汇总及汇报初稿（复合材料厂）" xfId="16332" xr:uid="{6197BFFB-05A0-4CFA-A78E-2AE321C9C394}"/>
    <cellStyle name="_钢材成本及坯材结构8.27" xfId="16333" xr:uid="{8C980C66-C9D2-439C-AC8C-4782F89A33A8}"/>
    <cellStyle name="_钢铁业4月目标成本" xfId="16334" xr:uid="{81BFC89D-D540-4C94-8C43-95A559C465B1}"/>
    <cellStyle name="_工程量清单（三标段）" xfId="16335" xr:uid="{4D41C0D1-1FDD-4119-AD9A-6BC4503CA7B3}"/>
    <cellStyle name="_供应公司2009年1月份采购成本预计完成情况汇总表" xfId="16336" xr:uid="{E7886FA7-32A8-4625-A044-0F2BBB9B3FD5}"/>
    <cellStyle name="_汇报底稿(汇总2011.12.27)" xfId="16337" xr:uid="{507A4A28-E550-47F1-84DD-E758FED91781}"/>
    <cellStyle name="_汇报底稿(汇总2011.12.27) 2" xfId="16338" xr:uid="{96AD280D-4AF4-408A-9BC1-D88E5AA20815}"/>
    <cellStyle name="_汇总" xfId="16339" xr:uid="{53C69828-F4CF-4547-AA8C-3E2EB74C779F}"/>
    <cellStyle name="_汇总 2" xfId="16340" xr:uid="{6D551870-963C-4372-A8EE-49A1264A7E75}"/>
    <cellStyle name="_汇总_2013年尖山铁矿成本预算（报360万吨不含胶带" xfId="16341" xr:uid="{EEB10F30-3EB5-4F3C-9648-3B86390085E7}"/>
    <cellStyle name="_汇总_2013年尖山铁矿全面预算5稿矿业1" xfId="16342" xr:uid="{D1A83CAA-7EC6-48A5-9481-A1D30B1C6CDF}"/>
    <cellStyle name="_汇总_2013年尖山铁矿全面预算5稿矿业1_2015年工艺质量科全面预算" xfId="16343" xr:uid="{5B0C8658-B586-45C1-9F9E-58727C63547F}"/>
    <cellStyle name="_汇总_2013年尖山铁矿全面预算5稿矿业1_2016年9月成本报表" xfId="16344" xr:uid="{54D7427B-C8BA-491D-801F-BC5E43F4981E}"/>
    <cellStyle name="_汇总_2013年尖山铁矿全面预算5稿矿业1_2017年全面预算新增表样" xfId="16345" xr:uid="{6922FACB-0678-4941-82BB-FD271CEE08C4}"/>
    <cellStyle name="_汇总_2013年尖山铁矿全面预算5稿矿业1_采矿部2015年内部工序预算(12.15)" xfId="16346" xr:uid="{4A8C71B6-6AC7-4003-A232-C28658430C5A}"/>
    <cellStyle name="_汇总_2013年尖山铁矿全面预算5稿矿业1_采矿综合组" xfId="16347" xr:uid="{34859133-B85D-42E7-91BA-DEE1B31F0AB8}"/>
    <cellStyle name="_汇总_2013年尖山铁矿全面预算5稿矿业1_加不利2016年预算3稿（内）1106" xfId="16348" xr:uid="{77631AEE-2570-4B65-8368-F9E29090BD20}"/>
    <cellStyle name="_汇总_2013年尖山铁矿全面预算5稿矿业1_尖山2015年全面预算稿报矿业稿11.14000" xfId="16349" xr:uid="{1810FBFF-314E-4545-8C4A-305E8B92FE1F}"/>
    <cellStyle name="_汇总_2013年尖山铁矿全面预算5稿矿业1_尖山2015年全面预算稿报矿业稿11.14000_2016年工序质量指标预算" xfId="16350" xr:uid="{BBD97896-F6A7-427C-BB0C-F13677A5177C}"/>
    <cellStyle name="_汇总_2013年尖山铁矿全面预算5稿矿业1_尖山2015年全面预算稿报矿业稿11.14000_工艺科2017年全面预算20161010" xfId="16351" xr:uid="{A4EAF191-8BCF-422F-9AD4-86C30D9A3928}"/>
    <cellStyle name="_汇总_2013年尖山铁矿全面预算5稿矿业1_尖山2015年全面预算稿报矿业稿11.14000_尖山铁矿2017年全面预算1.26" xfId="16352" xr:uid="{2D99ECF4-5DC0-492B-8F91-99B1FC159D52}"/>
    <cellStyle name="_汇总_2013年尖山铁矿全面预算5稿矿业1_尖山矿2017年产量预算及不利因素影响报" xfId="16353" xr:uid="{BDA5DBAA-DC75-4DE1-9777-6ED089778E62}"/>
    <cellStyle name="_汇总_2013年尖山铁矿全面预算5稿矿业1_尖山铁矿2015年全面预算" xfId="16354" xr:uid="{3F6AF7EB-5EF1-4289-92BF-5F0335C780BE}"/>
    <cellStyle name="_汇总_2013年尖山铁矿全面预算5稿矿业1_尖山铁矿2015年全面预算_尖山铁矿2017年全面预算1.26" xfId="16355" xr:uid="{88D1C1FD-81C8-4602-8644-C4C74D271039}"/>
    <cellStyle name="_汇总_2013年尖山铁矿全面预算5稿矿业1_尖山铁矿2015年全面预算--挂在内网的正式稿" xfId="16356" xr:uid="{24C15698-912D-4D83-8D7B-525833014A67}"/>
    <cellStyle name="_汇总_2013年尖山铁矿全面预算5稿矿业1_尖山铁矿2016年预算内部全面预算(129)" xfId="16357" xr:uid="{ADD67E4D-4943-4ACA-A001-AD8723AB1BD3}"/>
    <cellStyle name="_汇总_2013年尖山铁矿全面预算5稿矿业1_尖山铁矿2017年全面预算1.26" xfId="16358" xr:uid="{CAA69205-A193-4500-9FC0-85A5262DE545}"/>
    <cellStyle name="_汇总_2013年尖山铁矿全面预算5稿矿业1_矿石完成表" xfId="16359" xr:uid="{3A862093-2862-4EED-B81C-696626452C6F}"/>
    <cellStyle name="_汇总_2013年尖山铁矿全面预算6稿内2" xfId="16360" xr:uid="{5E66B657-76E5-43B6-8EBE-2B3C19EC65B3}"/>
    <cellStyle name="_汇总_2013年尖山铁矿全面预算6稿内2_2015年工艺质量科全面预算" xfId="16361" xr:uid="{0605482E-F29A-469B-882F-6C9D94C5E821}"/>
    <cellStyle name="_汇总_2013年尖山铁矿全面预算6稿内2_2016年9月成本报表" xfId="16362" xr:uid="{0CC3C494-9BDA-4C19-8545-7857B8CFD35F}"/>
    <cellStyle name="_汇总_2013年尖山铁矿全面预算6稿内2_2017年全面预算新增表样" xfId="16363" xr:uid="{BF784F91-E465-47CA-A5E7-E5535D0AD1F9}"/>
    <cellStyle name="_汇总_2013年尖山铁矿全面预算6稿内2_采矿部2015年内部工序预算(12.15)" xfId="16364" xr:uid="{93DE90AD-8DA7-4A7B-9EC4-1A905199D23E}"/>
    <cellStyle name="_汇总_2013年尖山铁矿全面预算6稿内2_采矿综合组" xfId="16365" xr:uid="{3CD10B58-DAD7-466B-B404-1BF49066EFE2}"/>
    <cellStyle name="_汇总_2013年尖山铁矿全面预算6稿内2_加不利2016年预算3稿（内）1106" xfId="16366" xr:uid="{E1DEDCAA-B2AD-4101-8295-80AC5053E138}"/>
    <cellStyle name="_汇总_2013年尖山铁矿全面预算6稿内2_尖山2015年全面预算稿报矿业稿11.14000" xfId="16367" xr:uid="{C040CC8F-F690-44CC-B928-60CE8FFCF976}"/>
    <cellStyle name="_汇总_2013年尖山铁矿全面预算6稿内2_尖山2015年全面预算稿报矿业稿11.14000_2016年工序质量指标预算" xfId="16368" xr:uid="{06834514-7C36-48F6-8403-DF0C39F19D14}"/>
    <cellStyle name="_汇总_2013年尖山铁矿全面预算6稿内2_尖山2015年全面预算稿报矿业稿11.14000_工艺科2017年全面预算20161010" xfId="16369" xr:uid="{9022C165-8F28-42F1-9EDB-EA4A1930D9E0}"/>
    <cellStyle name="_汇总_2013年尖山铁矿全面预算6稿内2_尖山2015年全面预算稿报矿业稿11.14000_尖山铁矿2017年全面预算1.26" xfId="16370" xr:uid="{7E2CF79D-AD7E-44FD-B325-C09F299CD3AD}"/>
    <cellStyle name="_汇总_2013年尖山铁矿全面预算6稿内2_尖山矿2017年产量预算及不利因素影响报" xfId="16371" xr:uid="{C420F08C-974F-49BA-822C-370419C3F416}"/>
    <cellStyle name="_汇总_2013年尖山铁矿全面预算6稿内2_尖山铁矿2015年全面预算" xfId="16372" xr:uid="{70E11E95-BD6A-41B4-AE79-4C975C24046B}"/>
    <cellStyle name="_汇总_2013年尖山铁矿全面预算6稿内2_尖山铁矿2015年全面预算_尖山铁矿2017年全面预算1.26" xfId="16373" xr:uid="{AE6EE3B8-3F01-49BF-A530-558490527424}"/>
    <cellStyle name="_汇总_2013年尖山铁矿全面预算6稿内2_尖山铁矿2015年全面预算--挂在内网的正式稿" xfId="16374" xr:uid="{D74F1A06-1C16-4283-AAB6-A58DF7EA4E45}"/>
    <cellStyle name="_汇总_2013年尖山铁矿全面预算6稿内2_尖山铁矿2016年预算内部全面预算(129)" xfId="16375" xr:uid="{4B3569DE-0FC3-44C8-A040-A2240F419795}"/>
    <cellStyle name="_汇总_2013年尖山铁矿全面预算6稿内2_尖山铁矿2017年全面预算1.26" xfId="16376" xr:uid="{272E905C-87F0-45E5-BBA2-56A2A4B8E9F2}"/>
    <cellStyle name="_汇总_2013年尖山铁矿全面预算6稿内2_矿石完成表" xfId="16377" xr:uid="{4C47A2A3-8D0C-4FD4-9777-F46B87E8DA30}"/>
    <cellStyle name="_汇总_2013年全面预算成稿1.25" xfId="16378" xr:uid="{E8917D52-361F-4C90-B491-726FC1ECC8AF}"/>
    <cellStyle name="_汇总_2014年  月外协费用报表" xfId="16379" xr:uid="{053F7271-8670-475A-9FFF-BB5B6EFDD593}"/>
    <cellStyle name="_汇总_2014年尖山成本预算（报365万吨-不含胶带)11.4" xfId="16380" xr:uid="{4C5E32F3-1F8A-403F-B53F-F908DD98FF36}"/>
    <cellStyle name="_汇总_2014年尖山铁矿能耗预算8稿（381产量内部" xfId="16381" xr:uid="{F5CAAD10-E6E6-4896-8E5E-74175845541B}"/>
    <cellStyle name="_汇总_2014年尖山铁矿能耗预算8稿（381产量内部_2015年工艺质量科全面预算" xfId="16382" xr:uid="{0D20AE01-6E75-4A6E-9923-544D0080827A}"/>
    <cellStyle name="_汇总_2014年尖山铁矿能耗预算8稿（381产量内部_2017年全面预算新增指标" xfId="16383" xr:uid="{FC35FBAD-1512-4997-BD2A-7D33262C7F0E}"/>
    <cellStyle name="_汇总_2014年尖山铁矿能耗预算8稿（381产量内部_采矿部2015年内部工序预算(12.15)" xfId="16384" xr:uid="{10FC2F15-A851-4B57-B728-9FC9F428B0EF}"/>
    <cellStyle name="_汇总_2014年尖山铁矿能耗预算8稿（381产量内部_工艺科2017年全面预算20161010" xfId="16385" xr:uid="{35C164DD-7EBF-43A3-A592-26E30E773900}"/>
    <cellStyle name="_汇总_2014年尖山铁矿能耗预算8稿（381产量内部_尖山铁矿2015年全面预算--挂在内网的正式稿" xfId="16386" xr:uid="{8D1EF5B2-2499-4731-B70A-EC186D805D53}"/>
    <cellStyle name="_汇总_2014年尖山铁矿能耗预算8稿（381产量内部_尖山铁矿2017年全面预算1.26" xfId="16387" xr:uid="{B236C966-DAE4-4EB5-AEA3-3F05BCE589EA}"/>
    <cellStyle name="_汇总_2014年尖山铁矿能耗预算9稿（381产量内部" xfId="16388" xr:uid="{7C9754F2-068F-48AB-B59D-C852A3292CFE}"/>
    <cellStyle name="_汇总_2014年尖山铁矿能耗预算9稿（381产量内部_2015年工艺质量科全面预算" xfId="16389" xr:uid="{FCBA375E-618D-4004-B7C3-BAB84381EF63}"/>
    <cellStyle name="_汇总_2014年尖山铁矿能耗预算9稿（381产量内部_2017年全面预算新增指标" xfId="16390" xr:uid="{66745247-09AC-451B-89E0-93BBC98DF8C7}"/>
    <cellStyle name="_汇总_2014年尖山铁矿能耗预算9稿（381产量内部_采矿部2015年内部工序预算(12.15)" xfId="16391" xr:uid="{5295AABA-87CB-4FC8-99FB-9B2B46ABF436}"/>
    <cellStyle name="_汇总_2014年尖山铁矿能耗预算9稿（381产量内部_工艺科2017年全面预算20161010" xfId="16392" xr:uid="{62F82F7E-7DD9-4C52-AB3E-C4224B308A36}"/>
    <cellStyle name="_汇总_2014年尖山铁矿能耗预算9稿（381产量内部_尖山铁矿2015年全面预算--挂在内网的正式稿" xfId="16393" xr:uid="{DEA08EDF-EB62-479D-BC2F-0E03A6CCC774}"/>
    <cellStyle name="_汇总_2014年尖山铁矿能耗预算9稿（381产量内部_尖山铁矿2017年全面预算1.26" xfId="16394" xr:uid="{B9D25043-3FF4-4EBF-B4D6-428FB4D37D24}"/>
    <cellStyle name="_汇总_2014年尖山铁矿能耗预算矿业" xfId="16395" xr:uid="{DBC4F525-CB13-4A65-BA71-D1FDEA858A5D}"/>
    <cellStyle name="_汇总_2014年尖山铁矿能耗预算矿业_2015年工艺质量科全面预算" xfId="16396" xr:uid="{50656745-DB9C-4E3A-B063-031925EF4B49}"/>
    <cellStyle name="_汇总_2014年尖山铁矿能耗预算矿业_2016年9月成本报表" xfId="16397" xr:uid="{164E5A7C-463C-46B0-AECF-C6BD75C12E0D}"/>
    <cellStyle name="_汇总_2014年尖山铁矿能耗预算矿业_2017年全面预算新增表样" xfId="16398" xr:uid="{313B2760-4977-4ED3-A972-3F892D6725B7}"/>
    <cellStyle name="_汇总_2014年尖山铁矿能耗预算矿业_采矿部2015年内部工序预算(12.15)" xfId="16399" xr:uid="{4B31B0AC-9DD8-4772-9812-DF4FD1C0EFA8}"/>
    <cellStyle name="_汇总_2014年尖山铁矿能耗预算矿业_采矿综合组" xfId="16400" xr:uid="{77BB7594-7CF2-4213-BD39-3D2905756887}"/>
    <cellStyle name="_汇总_2014年尖山铁矿能耗预算矿业_加不利2016年预算3稿（内）1106" xfId="16401" xr:uid="{B683C2A2-C755-41E9-9DC4-C01619ABED5C}"/>
    <cellStyle name="_汇总_2014年尖山铁矿能耗预算矿业_尖山2015年全面预算稿报矿业稿11.14000" xfId="16402" xr:uid="{4142BE1B-1A2A-48CB-BD82-A476756940A8}"/>
    <cellStyle name="_汇总_2014年尖山铁矿能耗预算矿业_尖山2015年全面预算稿报矿业稿11.14000_2016年工序质量指标预算" xfId="16403" xr:uid="{FF22AEFF-14EB-43AB-BBBB-E7E6C2BAA1EF}"/>
    <cellStyle name="_汇总_2014年尖山铁矿能耗预算矿业_尖山2015年全面预算稿报矿业稿11.14000_工艺科2017年全面预算20161010" xfId="16404" xr:uid="{FDCA3B02-800D-473B-B80A-D5543EDCFA69}"/>
    <cellStyle name="_汇总_2014年尖山铁矿能耗预算矿业_尖山2015年全面预算稿报矿业稿11.14000_尖山铁矿2017年全面预算1.26" xfId="16405" xr:uid="{13B5D9BD-2EA6-4525-BD97-3480ADF94A06}"/>
    <cellStyle name="_汇总_2014年尖山铁矿能耗预算矿业_尖山矿2017年产量预算及不利因素影响报" xfId="16406" xr:uid="{1654FF42-4268-4366-8EA9-B5EAB76F671F}"/>
    <cellStyle name="_汇总_2014年尖山铁矿能耗预算矿业_尖山铁矿2015年全面预算" xfId="16407" xr:uid="{AE731EC7-2620-4648-BCB5-08022FAF6F74}"/>
    <cellStyle name="_汇总_2014年尖山铁矿能耗预算矿业_尖山铁矿2015年全面预算_尖山铁矿2017年全面预算1.26" xfId="16408" xr:uid="{6387C0F3-7208-4A29-940D-D37C64B755BA}"/>
    <cellStyle name="_汇总_2014年尖山铁矿能耗预算矿业_尖山铁矿2015年全面预算--挂在内网的正式稿" xfId="16409" xr:uid="{896008F9-598D-4739-ABC3-20A954A21889}"/>
    <cellStyle name="_汇总_2014年尖山铁矿能耗预算矿业_尖山铁矿2016年预算内部全面预算(129)" xfId="16410" xr:uid="{B5D88CC5-2093-4726-B3E4-156CDD42A90E}"/>
    <cellStyle name="_汇总_2014年尖山铁矿能耗预算矿业_尖山铁矿2017年全面预算1.26" xfId="16411" xr:uid="{17E72EA4-CDAF-4A74-AD9C-0AE1FCBD2BFA}"/>
    <cellStyle name="_汇总_2014年尖山铁矿能耗预算矿业_矿石完成表" xfId="16412" xr:uid="{6DF07005-80A1-4D0B-92C5-F8EDADE22776}"/>
    <cellStyle name="_汇总_2014年降本增效指标完成情况" xfId="16413" xr:uid="{3C2BE09E-6528-4B26-A62F-E940731CB862}"/>
    <cellStyle name="_汇总_2015年工艺质量科全面预算" xfId="16414" xr:uid="{C6F7A715-B198-4F9F-9157-9BCFEE55F50D}"/>
    <cellStyle name="_汇总_2016年采矿工序预算" xfId="16415" xr:uid="{FB9D9414-F90D-4DDE-A57D-DBF6556490CA}"/>
    <cellStyle name="_汇总_2017年全面预算新增表样" xfId="16416" xr:uid="{5A29BE9B-0792-478E-ACAA-C206E4E17343}"/>
    <cellStyle name="_汇总_采矿部2015年内部工序预算(12.15)" xfId="16417" xr:uid="{9BCD73D8-1455-452A-92A1-5381DBF54C89}"/>
    <cellStyle name="_汇总_峨矿1月份成本报表(管理)" xfId="16418" xr:uid="{CCB3133E-2D50-4EFA-A913-9D75D48C29ED}"/>
    <cellStyle name="_汇总_峨矿2014年经营预算全稿(2013.11.4)" xfId="16419" xr:uid="{C0F17B5E-E42E-46A7-92ED-C53EAE3F280B}"/>
    <cellStyle name="_汇总_峨矿2014年经营预算全稿(2013.11.4)_2015年工艺质量科全面预算" xfId="16420" xr:uid="{A64D60D6-E706-437C-B41D-D206DB999E26}"/>
    <cellStyle name="_汇总_峨矿2014年经营预算全稿(2013.11.4)_2016年9月成本报表" xfId="16421" xr:uid="{BF0DF3EF-49DA-40EC-BFF7-055BA05B727A}"/>
    <cellStyle name="_汇总_峨矿2014年经营预算全稿(2013.11.4)_2017年全面预算新增表样" xfId="16422" xr:uid="{3C9F545B-B5E6-46EC-9641-88B210792F78}"/>
    <cellStyle name="_汇总_峨矿2014年经营预算全稿(2013.11.4)_采矿部2015年内部工序预算(12.15)" xfId="16423" xr:uid="{A870AD49-0151-4BF9-B712-8FA415A89E1A}"/>
    <cellStyle name="_汇总_峨矿2014年经营预算全稿(2013.11.4)_采矿综合组" xfId="16424" xr:uid="{DF639F5D-E0FF-4435-8478-6692F1A5EAC5}"/>
    <cellStyle name="_汇总_峨矿2014年经营预算全稿(2013.11.4)_加不利2016年预算3稿（内）1106" xfId="16425" xr:uid="{37E1433E-6186-493F-A23F-1BDD35DCD7C7}"/>
    <cellStyle name="_汇总_峨矿2014年经营预算全稿(2013.11.4)_尖山2015年全面预算稿报矿业稿11.14000" xfId="16426" xr:uid="{44C118E2-77E1-4CDA-97A9-EB82A394A1A8}"/>
    <cellStyle name="_汇总_峨矿2014年经营预算全稿(2013.11.4)_尖山2015年全面预算稿报矿业稿11.14000_2016年工序质量指标预算" xfId="16427" xr:uid="{8D50D05B-64F7-4C78-94AA-6203C68D8892}"/>
    <cellStyle name="_汇总_峨矿2014年经营预算全稿(2013.11.4)_尖山2015年全面预算稿报矿业稿11.14000_工艺科2017年全面预算20161010" xfId="16428" xr:uid="{705EB1AA-9A64-412C-B4A4-B1E2E952219E}"/>
    <cellStyle name="_汇总_峨矿2014年经营预算全稿(2013.11.4)_尖山2015年全面预算稿报矿业稿11.14000_尖山铁矿2017年全面预算1.26" xfId="16429" xr:uid="{B5CBD7EE-B5D7-4B81-8473-CED11DC8338A}"/>
    <cellStyle name="_汇总_峨矿2014年经营预算全稿(2013.11.4)_尖山矿2017年产量预算及不利因素影响报" xfId="16430" xr:uid="{707CE2F7-3A05-4A5D-B7F7-FA87FB5F8495}"/>
    <cellStyle name="_汇总_峨矿2014年经营预算全稿(2013.11.4)_尖山铁矿2015年全面预算" xfId="16431" xr:uid="{A0A07C8C-65E5-4B3B-A334-42D482CBDE36}"/>
    <cellStyle name="_汇总_峨矿2014年经营预算全稿(2013.11.4)_尖山铁矿2015年全面预算_尖山铁矿2017年全面预算1.26" xfId="16432" xr:uid="{353A13E3-7EB3-422A-9481-65AF61680857}"/>
    <cellStyle name="_汇总_峨矿2014年经营预算全稿(2013.11.4)_尖山铁矿2015年全面预算--挂在内网的正式稿" xfId="16433" xr:uid="{A2C790A2-E3BF-4FCD-8738-12DE29130732}"/>
    <cellStyle name="_汇总_峨矿2014年经营预算全稿(2013.11.4)_尖山铁矿2016年预算内部全面预算(129)" xfId="16434" xr:uid="{8B1C4FA1-0378-4C89-B68D-535DD960CAFB}"/>
    <cellStyle name="_汇总_峨矿2014年经营预算全稿(2013.11.4)_尖山铁矿2017年全面预算1.26" xfId="16435" xr:uid="{1CA28CDC-A83E-428D-A737-1398C24AFB23}"/>
    <cellStyle name="_汇总_峨矿2014年经营预算全稿(2013.11.4)_矿石完成表" xfId="16436" xr:uid="{1B886F91-AFF8-4120-8C20-7A5EA378FDB4}"/>
    <cellStyle name="_汇总_峨矿2015年报表分析06" xfId="16437" xr:uid="{DD24A3BD-DC39-4A5D-BE15-F5592698F77F}"/>
    <cellStyle name="_汇总_峨矿2015年报表分析09" xfId="16438" xr:uid="{2563D091-4D6B-401F-BB6C-A8DB49D8522D}"/>
    <cellStyle name="_汇总_峨矿2015年报表分析11" xfId="16439" xr:uid="{EAE0A6EC-8AFE-4522-AD64-67C57774AF0A}"/>
    <cellStyle name="_汇总_峨矿2015年报表分析12" xfId="16440" xr:uid="{37D0DBBC-30DA-48ED-BCE7-3C5C83D0601D}"/>
    <cellStyle name="_汇总_峨矿2016年报表分析02" xfId="16441" xr:uid="{6E3D8DB8-DB32-4385-BF33-1F8D12730E30}"/>
    <cellStyle name="_汇总_峨矿2016年全面预算(2016.1.28)" xfId="16442" xr:uid="{C5FBE534-FEFF-49F5-B3C8-2EF0547FCBB4}"/>
    <cellStyle name="_汇总_峨矿6月份成本报表(管理)" xfId="16443" xr:uid="{C37B76F0-DBD8-4F7B-9095-FCE0F8B04E6E}"/>
    <cellStyle name="_汇总_峨矿9月份成本报表" xfId="16444" xr:uid="{B7E9E637-FFF0-45C3-BD8D-4B688CBD64DF}"/>
    <cellStyle name="_汇总_峨矿外协费用明细统计修订" xfId="16445" xr:uid="{4BFB7EDE-227D-46B4-AEC7-B0FF91F54A67}"/>
    <cellStyle name="_汇总_复合2015年全面预算稿10.29" xfId="16446" xr:uid="{EF1176D8-35C3-453A-AFF6-2308F8EB338F}"/>
    <cellStyle name="_汇总_副本矿业公司汇总及汇报初稿（复合材料厂）" xfId="16447" xr:uid="{9324B6B5-315F-4773-825A-BD1E1170CFA1}"/>
    <cellStyle name="_汇总_机关预算汇总11.19" xfId="16448" xr:uid="{A9109013-6243-47CD-9D35-3EEE291D3CC3}"/>
    <cellStyle name="_汇总_机关预算汇总11.19 2" xfId="16449" xr:uid="{E7E7BFCE-458E-47F6-9391-A6F30484948F}"/>
    <cellStyle name="_汇总_尖山2014年全面预算12.27" xfId="16450" xr:uid="{94EF829B-38DF-48E0-8402-83ADED9EF7CC}"/>
    <cellStyle name="_汇总_尖山2015年全面预算稿10.27(生产科数据修改）" xfId="16451" xr:uid="{C1F90614-8987-4F30-A21A-4892768CFB79}"/>
    <cellStyle name="_汇总_尖山矿2017年产量预算及不利因素影响报" xfId="16452" xr:uid="{EF7E1C19-33B8-47DE-BD2E-CD389EF20282}"/>
    <cellStyle name="_汇总_尖山铁矿2015年全面预算" xfId="16453" xr:uid="{01AAD21C-0CD7-47D2-A07B-CBE221EF763A}"/>
    <cellStyle name="_汇总_尖山铁矿2015年全面预算_尖山铁矿2017年全面预算1.26" xfId="16454" xr:uid="{296D0B68-95AB-46B4-9C21-04671AD778EF}"/>
    <cellStyle name="_汇总_尖山铁矿2015年全面预算--挂在内网的正式稿" xfId="16455" xr:uid="{53D8E7BA-9E74-4D6F-BEE5-487B9D0EF338}"/>
    <cellStyle name="_汇总_降本增效简报底表(杜占杰9.1)" xfId="16456" xr:uid="{FFF98EA4-1DED-4482-A19C-7E8A13FE3B41}"/>
    <cellStyle name="_汇总_太钢鑫磊2017年1月非生产、安全、修理费统计报表" xfId="16457" xr:uid="{47CDBCFB-AADC-47B9-82FE-1947E1ADCBEB}"/>
    <cellStyle name="_汇总_维修费用报表(董矿长)" xfId="16458" xr:uid="{7F907048-E052-40DA-8C61-BBB0A06271E7}"/>
    <cellStyle name="_汇总_预算汇总" xfId="16459" xr:uid="{9AA5F929-D68D-44BE-B1F1-F606D16AAFA4}"/>
    <cellStyle name="_汇总_预算汇总_矿业公司产量、成本利润分析机关本部(1)" xfId="16460" xr:uid="{6F74160F-9055-4588-BB0F-1B3C206ADE76}"/>
    <cellStyle name="_汇总_预算汇总_矿业公司产量、成本利润分析机关本部(1)_2014年降本增效指标完成情况" xfId="16461" xr:uid="{D0CA23D0-FB63-4A92-AFE3-CCE50FB90D35}"/>
    <cellStyle name="_汇总_专项费用(斤斤)" xfId="16462" xr:uid="{308884D5-B800-4BE9-BD84-FB6803A58D74}"/>
    <cellStyle name="_汇总表" xfId="16463" xr:uid="{665B7122-BF4C-4EBF-8309-3A019B763613}"/>
    <cellStyle name="_尖山2011年修理费预算" xfId="16464" xr:uid="{D55392D3-191F-4669-B5BB-0E4191D25506}"/>
    <cellStyle name="_尖山2011年修理费预算 2" xfId="16465" xr:uid="{A7E19376-3D17-4E51-A948-659F23E6A580}"/>
    <cellStyle name="_尖山2011年修理费预算(10500)1.30" xfId="16466" xr:uid="{C18851F8-830B-4E00-A36B-3D1C482FDEF2}"/>
    <cellStyle name="_尖山2011年修理费预算(10500)1.30 2" xfId="16467" xr:uid="{DBF2063C-BD24-4DD5-AC61-D43FD44A262A}"/>
    <cellStyle name="_尖山2011年修理费预算(10500)1.30_2014年工艺类消耗指标统计" xfId="16468" xr:uid="{BBEC794D-DD28-43CE-9054-17686BCD9E09}"/>
    <cellStyle name="_尖山2011年修理费预算(10500)1.30_2014年工艺类消耗指标统计_工艺科2017年全面预算20161010" xfId="16469" xr:uid="{307B80E8-9257-4A9E-939F-46B274B18071}"/>
    <cellStyle name="_尖山2011年修理费预算(10500)1.30_尖山2014年全面预算稿" xfId="16470" xr:uid="{AF86F45B-02B1-4152-91A1-24460C06FEDA}"/>
    <cellStyle name="_尖山2011年修理费预算(10500)1.30_尖山2015年全面预算稿10.20" xfId="16471" xr:uid="{B1460EEF-04D6-4038-BFF4-FE48053BF82D}"/>
    <cellStyle name="_尖山2011年修理费预算_2014年工艺类消耗指标统计" xfId="16472" xr:uid="{397C1828-A02A-4781-BCF1-2CB370773785}"/>
    <cellStyle name="_尖山2011年修理费预算_2014年工艺类消耗指标统计_工艺科2017年全面预算20161010" xfId="16473" xr:uid="{D998295D-9967-416B-9748-EF24CC8BD20B}"/>
    <cellStyle name="_尖山2011年修理费预算_尖山2014年全面预算稿" xfId="16474" xr:uid="{34D292D1-DFCA-4800-8884-779D4CE99EA1}"/>
    <cellStyle name="_尖山2011年修理费预算_尖山2015年全面预算稿10.20" xfId="16475" xr:uid="{52AAE72E-8A99-4A3F-BCDF-AEF72E59DA65}"/>
    <cellStyle name="_尖山2017年设备修理费预算12.20" xfId="16476" xr:uid="{0945034C-6FDC-451D-B066-C670A69958A5}"/>
    <cellStyle name="_尖山铁矿2010年修理费、机物料费用预算" xfId="16477" xr:uid="{4E11AA98-64AB-41CD-8E72-1A45CE5CCF3E}"/>
    <cellStyle name="_尖山铁矿2010年修理费、机物料费用预算 2" xfId="16478" xr:uid="{AF2B5159-21F0-4614-A4F9-4AB12565E20A}"/>
    <cellStyle name="_尖山铁矿2010年修理费、机物料费用预算_2012年尖山铁矿工艺科预算编制" xfId="16479" xr:uid="{23C8CF30-3845-486F-8410-8528371470CF}"/>
    <cellStyle name="_尖山铁矿2010年修理费、机物料费用预算_2012年尖山铁矿工艺科预算编制 2" xfId="16480" xr:uid="{85E61AA5-FC2D-4CD4-8D5F-35EBB9A5DE6B}"/>
    <cellStyle name="_尖山铁矿2010年修理费、机物料费用预算_2013年尖山铁矿成本预算（报360万吨不含胶带" xfId="16481" xr:uid="{EF454402-E268-4937-96CD-8145427EE31C}"/>
    <cellStyle name="_尖山铁矿2010年修理费、机物料费用预算_2013年尖山铁矿全面预算5稿矿业1" xfId="16482" xr:uid="{303078CC-04FD-4095-9A9A-57C11E6CDF94}"/>
    <cellStyle name="_尖山铁矿2010年修理费、机物料费用预算_2013年尖山铁矿全面预算5稿矿业1_2015年工艺质量科全面预算" xfId="16483" xr:uid="{6C3AC8F3-F5C7-480E-B78A-5C786FBB499C}"/>
    <cellStyle name="_尖山铁矿2010年修理费、机物料费用预算_2013年尖山铁矿全面预算5稿矿业1_2016年9月成本报表" xfId="16484" xr:uid="{F9245FA0-BAD0-4B00-B9A0-E0B38229A0F5}"/>
    <cellStyle name="_尖山铁矿2010年修理费、机物料费用预算_2013年尖山铁矿全面预算5稿矿业1_2017年全面预算新增表样" xfId="16485" xr:uid="{0BFE8F71-A01D-41BD-9585-39F609659709}"/>
    <cellStyle name="_尖山铁矿2010年修理费、机物料费用预算_2013年尖山铁矿全面预算5稿矿业1_采矿部2015年内部工序预算(12.15)" xfId="16486" xr:uid="{09F44DA6-ABA3-4E4B-BE13-48668025597D}"/>
    <cellStyle name="_尖山铁矿2010年修理费、机物料费用预算_2013年尖山铁矿全面预算5稿矿业1_采矿综合组" xfId="16487" xr:uid="{2CD9758A-E576-416C-93B3-E218D50A5C18}"/>
    <cellStyle name="_尖山铁矿2010年修理费、机物料费用预算_2013年尖山铁矿全面预算5稿矿业1_加不利2016年预算3稿（内）1106" xfId="16488" xr:uid="{4DF45F22-1D9E-482D-9443-CAA98E5AF73D}"/>
    <cellStyle name="_尖山铁矿2010年修理费、机物料费用预算_2013年尖山铁矿全面预算5稿矿业1_尖山2015年全面预算稿报矿业稿11.14000" xfId="16489" xr:uid="{A9519AF1-3776-42B8-A6AA-63AC86CE762C}"/>
    <cellStyle name="_尖山铁矿2010年修理费、机物料费用预算_2013年尖山铁矿全面预算5稿矿业1_尖山2015年全面预算稿报矿业稿11.14000_2016年工序质量指标预算" xfId="16490" xr:uid="{406EDE4B-9853-4A25-A38F-97F8E3CC6FBE}"/>
    <cellStyle name="_尖山铁矿2010年修理费、机物料费用预算_2013年尖山铁矿全面预算5稿矿业1_尖山2015年全面预算稿报矿业稿11.14000_工艺科2017年全面预算20161010" xfId="16491" xr:uid="{A0BE1E88-E9C9-4EF3-A001-7475B3D847FF}"/>
    <cellStyle name="_尖山铁矿2010年修理费、机物料费用预算_2013年尖山铁矿全面预算5稿矿业1_尖山2015年全面预算稿报矿业稿11.14000_尖山铁矿2017年全面预算1.26" xfId="16492" xr:uid="{25DAAB38-259B-4EDB-A93E-CD5EED7EAE7A}"/>
    <cellStyle name="_尖山铁矿2010年修理费、机物料费用预算_2013年尖山铁矿全面预算5稿矿业1_尖山矿2017年产量预算及不利因素影响报" xfId="16493" xr:uid="{18AF0A77-F309-42BD-88C5-D93BA755BB6E}"/>
    <cellStyle name="_尖山铁矿2010年修理费、机物料费用预算_2013年尖山铁矿全面预算5稿矿业1_尖山铁矿2015年全面预算" xfId="16494" xr:uid="{E19C7871-08A4-4842-AA13-E2E7C83018E8}"/>
    <cellStyle name="_尖山铁矿2010年修理费、机物料费用预算_2013年尖山铁矿全面预算5稿矿业1_尖山铁矿2015年全面预算_尖山铁矿2017年全面预算1.26" xfId="16495" xr:uid="{56337C3B-469A-4665-B9F5-79DA0EC5FC71}"/>
    <cellStyle name="_尖山铁矿2010年修理费、机物料费用预算_2013年尖山铁矿全面预算5稿矿业1_尖山铁矿2015年全面预算--挂在内网的正式稿" xfId="16496" xr:uid="{FA93153C-D18C-410A-9776-000F69268F27}"/>
    <cellStyle name="_尖山铁矿2010年修理费、机物料费用预算_2013年尖山铁矿全面预算5稿矿业1_尖山铁矿2016年预算内部全面预算(129)" xfId="16497" xr:uid="{C2E99544-4F20-4165-A9D4-2F277D2D1BC9}"/>
    <cellStyle name="_尖山铁矿2010年修理费、机物料费用预算_2013年尖山铁矿全面预算5稿矿业1_尖山铁矿2017年全面预算1.26" xfId="16498" xr:uid="{A0AEF5FC-1BA2-4E56-9D6E-831F6AEA5700}"/>
    <cellStyle name="_尖山铁矿2010年修理费、机物料费用预算_2013年尖山铁矿全面预算5稿矿业1_矿石完成表" xfId="16499" xr:uid="{67C1A792-E953-42AF-B117-41E0D86138A8}"/>
    <cellStyle name="_尖山铁矿2010年修理费、机物料费用预算_2013年尖山铁矿全面预算6稿内2" xfId="16500" xr:uid="{8CE3120C-427A-43B6-B689-F53B7290B490}"/>
    <cellStyle name="_尖山铁矿2010年修理费、机物料费用预算_2013年尖山铁矿全面预算6稿内2_2015年工艺质量科全面预算" xfId="16501" xr:uid="{66AE9681-6BC9-4130-A0BE-486757AEAA22}"/>
    <cellStyle name="_尖山铁矿2010年修理费、机物料费用预算_2013年尖山铁矿全面预算6稿内2_2016年9月成本报表" xfId="16502" xr:uid="{7914600A-3CB3-47BB-BC9E-A77FD25D8BD8}"/>
    <cellStyle name="_尖山铁矿2010年修理费、机物料费用预算_2013年尖山铁矿全面预算6稿内2_2017年全面预算新增表样" xfId="16503" xr:uid="{1575B782-CCBE-4D2B-9636-6FA1DE41356D}"/>
    <cellStyle name="_尖山铁矿2010年修理费、机物料费用预算_2013年尖山铁矿全面预算6稿内2_采矿部2015年内部工序预算(12.15)" xfId="16504" xr:uid="{63578688-B99A-415B-B719-D4E019BB6417}"/>
    <cellStyle name="_尖山铁矿2010年修理费、机物料费用预算_2013年尖山铁矿全面预算6稿内2_采矿综合组" xfId="16505" xr:uid="{5D4D7BF2-4723-48BD-9670-8E681104189F}"/>
    <cellStyle name="_尖山铁矿2010年修理费、机物料费用预算_2013年尖山铁矿全面预算6稿内2_加不利2016年预算3稿（内）1106" xfId="16506" xr:uid="{0E4C4825-CCB3-4B28-B7A1-A10BF75EF94D}"/>
    <cellStyle name="_尖山铁矿2010年修理费、机物料费用预算_2013年尖山铁矿全面预算6稿内2_尖山2015年全面预算稿报矿业稿11.14000" xfId="16507" xr:uid="{5E9BA058-3D77-4FA7-BE67-4D286E7044F9}"/>
    <cellStyle name="_尖山铁矿2010年修理费、机物料费用预算_2013年尖山铁矿全面预算6稿内2_尖山2015年全面预算稿报矿业稿11.14000_2016年工序质量指标预算" xfId="16508" xr:uid="{35BDE514-91B4-47AB-9B17-4F626CEFF17F}"/>
    <cellStyle name="_尖山铁矿2010年修理费、机物料费用预算_2013年尖山铁矿全面预算6稿内2_尖山2015年全面预算稿报矿业稿11.14000_工艺科2017年全面预算20161010" xfId="16509" xr:uid="{8DAD5009-F373-47B5-8B3E-19F1293C4DC8}"/>
    <cellStyle name="_尖山铁矿2010年修理费、机物料费用预算_2013年尖山铁矿全面预算6稿内2_尖山2015年全面预算稿报矿业稿11.14000_尖山铁矿2017年全面预算1.26" xfId="16510" xr:uid="{376E06BB-D87E-4E1C-9848-E3232277C3EE}"/>
    <cellStyle name="_尖山铁矿2010年修理费、机物料费用预算_2013年尖山铁矿全面预算6稿内2_尖山矿2017年产量预算及不利因素影响报" xfId="16511" xr:uid="{A9558F6B-9E2F-48F1-82F2-A4278BB34BB2}"/>
    <cellStyle name="_尖山铁矿2010年修理费、机物料费用预算_2013年尖山铁矿全面预算6稿内2_尖山铁矿2015年全面预算" xfId="16512" xr:uid="{0F7B6177-447E-4001-84AA-9C74B923AC6F}"/>
    <cellStyle name="_尖山铁矿2010年修理费、机物料费用预算_2013年尖山铁矿全面预算6稿内2_尖山铁矿2015年全面预算_尖山铁矿2017年全面预算1.26" xfId="16513" xr:uid="{6C087785-8BD5-425C-BED1-B808604501ED}"/>
    <cellStyle name="_尖山铁矿2010年修理费、机物料费用预算_2013年尖山铁矿全面预算6稿内2_尖山铁矿2015年全面预算--挂在内网的正式稿" xfId="16514" xr:uid="{B22B19CA-0D61-47AC-B719-32DF23159DF4}"/>
    <cellStyle name="_尖山铁矿2010年修理费、机物料费用预算_2013年尖山铁矿全面预算6稿内2_尖山铁矿2016年预算内部全面预算(129)" xfId="16515" xr:uid="{63891C2C-631B-46EB-85D3-0417489A9C01}"/>
    <cellStyle name="_尖山铁矿2010年修理费、机物料费用预算_2013年尖山铁矿全面预算6稿内2_尖山铁矿2017年全面预算1.26" xfId="16516" xr:uid="{DA83D64D-70D8-4A98-9FA1-9E0421A9E32F}"/>
    <cellStyle name="_尖山铁矿2010年修理费、机物料费用预算_2013年尖山铁矿全面预算6稿内2_矿石完成表" xfId="16517" xr:uid="{F82C4EF4-9496-4BFD-ABA4-F28AC2423953}"/>
    <cellStyle name="_尖山铁矿2010年修理费、机物料费用预算_2013年全面预算成稿1.25" xfId="16518" xr:uid="{5EFD003F-6F12-4026-9AD2-A26F9410F1FB}"/>
    <cellStyle name="_尖山铁矿2010年修理费、机物料费用预算_2014年  月外协费用报表" xfId="16519" xr:uid="{4EC5C901-4A68-4544-ACC5-CCFFEFDEAB44}"/>
    <cellStyle name="_尖山铁矿2010年修理费、机物料费用预算_2014年产量、检修、工序产能预算" xfId="16520" xr:uid="{F34F9606-95B5-43B6-A994-E818C4CF8188}"/>
    <cellStyle name="_尖山铁矿2010年修理费、机物料费用预算_2014年产量、检修、工序产能预算_2015年工艺质量科全面预算" xfId="16521" xr:uid="{FD8E40EC-7750-4131-ADB4-6509404B5818}"/>
    <cellStyle name="_尖山铁矿2010年修理费、机物料费用预算_2014年产量、检修、工序产能预算_2016年9月成本报表" xfId="16522" xr:uid="{28013869-53B8-46F6-AD0F-40BB699133F5}"/>
    <cellStyle name="_尖山铁矿2010年修理费、机物料费用预算_2014年产量、检修、工序产能预算_2017年全面预算新增表样" xfId="16523" xr:uid="{3EF6D4DF-D9B8-4757-9973-968F30DBC98F}"/>
    <cellStyle name="_尖山铁矿2010年修理费、机物料费用预算_2014年产量、检修、工序产能预算_采矿部2015年内部工序预算(12.15)" xfId="16524" xr:uid="{EEE1357D-5AEA-44FD-B143-46EC179B05ED}"/>
    <cellStyle name="_尖山铁矿2010年修理费、机物料费用预算_2014年产量、检修、工序产能预算_采矿综合组" xfId="16525" xr:uid="{F6B8E11F-6D75-4F67-9D3F-A486EED0B220}"/>
    <cellStyle name="_尖山铁矿2010年修理费、机物料费用预算_2014年产量、检修、工序产能预算_加不利2016年预算3稿（内）1106" xfId="16526" xr:uid="{C58B3C7C-E5D8-4459-8319-89D355153B56}"/>
    <cellStyle name="_尖山铁矿2010年修理费、机物料费用预算_2014年产量、检修、工序产能预算_尖山2015年全面预算稿报矿业稿11.14000" xfId="16527" xr:uid="{FC312FCC-F6FC-456D-BBF7-6DB05ED05611}"/>
    <cellStyle name="_尖山铁矿2010年修理费、机物料费用预算_2014年产量、检修、工序产能预算_尖山2015年全面预算稿报矿业稿11.14000_2016年工序质量指标预算" xfId="16528" xr:uid="{0A36343E-2534-45E7-9787-813B99A2E373}"/>
    <cellStyle name="_尖山铁矿2010年修理费、机物料费用预算_2014年产量、检修、工序产能预算_尖山2015年全面预算稿报矿业稿11.14000_工艺科2017年全面预算20161010" xfId="16529" xr:uid="{E796B7F0-D1E2-419C-A386-8260642EE05F}"/>
    <cellStyle name="_尖山铁矿2010年修理费、机物料费用预算_2014年产量、检修、工序产能预算_尖山2015年全面预算稿报矿业稿11.14000_尖山铁矿2017年全面预算1.26" xfId="16530" xr:uid="{0ED499C9-20DD-4887-A66B-9EF14BF09D92}"/>
    <cellStyle name="_尖山铁矿2010年修理费、机物料费用预算_2014年产量、检修、工序产能预算_尖山矿2017年产量预算及不利因素影响报" xfId="16531" xr:uid="{129A29D5-05F6-42D5-BF5E-44C2F04C978C}"/>
    <cellStyle name="_尖山铁矿2010年修理费、机物料费用预算_2014年产量、检修、工序产能预算_尖山铁矿2015年全面预算" xfId="16532" xr:uid="{BA03A1C6-E9C2-4EFE-81A1-7F98A326621C}"/>
    <cellStyle name="_尖山铁矿2010年修理费、机物料费用预算_2014年产量、检修、工序产能预算_尖山铁矿2015年全面预算_尖山铁矿2017年全面预算1.26" xfId="16533" xr:uid="{3D5707B6-E86D-49AE-9108-E8A6A9A864EB}"/>
    <cellStyle name="_尖山铁矿2010年修理费、机物料费用预算_2014年产量、检修、工序产能预算_尖山铁矿2015年全面预算--挂在内网的正式稿" xfId="16534" xr:uid="{DDF22A90-E844-4763-9253-E5C4A9238709}"/>
    <cellStyle name="_尖山铁矿2010年修理费、机物料费用预算_2014年产量、检修、工序产能预算_尖山铁矿2016年预算内部全面预算(129)" xfId="16535" xr:uid="{D5AF0A09-9E46-40D7-A44A-70D0A7963D4A}"/>
    <cellStyle name="_尖山铁矿2010年修理费、机物料费用预算_2014年产量、检修、工序产能预算_尖山铁矿2017年全面预算1.26" xfId="16536" xr:uid="{22CB989E-F014-4E71-BE38-030F0B56BA51}"/>
    <cellStyle name="_尖山铁矿2010年修理费、机物料费用预算_2014年产量、检修、工序产能预算_矿石完成表" xfId="16537" xr:uid="{228BDF68-B357-478B-ACB1-D140480FC851}"/>
    <cellStyle name="_尖山铁矿2010年修理费、机物料费用预算_2014年工艺类消耗指标统计" xfId="16538" xr:uid="{6132306F-6FED-4F93-B195-1B8EE3888EA4}"/>
    <cellStyle name="_尖山铁矿2010年修理费、机物料费用预算_2014年尖山成本预算（报365万吨-不含胶带)11.4" xfId="16539" xr:uid="{6D3DFFF3-06BC-467A-A9E9-480C2E685E4C}"/>
    <cellStyle name="_尖山铁矿2010年修理费、机物料费用预算_2014年尖山工序产能预算10.13" xfId="16540" xr:uid="{A752E05A-58AA-4508-AEED-1421D3A21171}"/>
    <cellStyle name="_尖山铁矿2010年修理费、机物料费用预算_2014年尖山工序产能预算10.13_2015年工艺质量科全面预算" xfId="16541" xr:uid="{56CB4519-02DA-4133-9124-8691FEB253A6}"/>
    <cellStyle name="_尖山铁矿2010年修理费、机物料费用预算_2014年尖山工序产能预算10.13_2016年9月成本报表" xfId="16542" xr:uid="{03925A2C-FD60-43F2-8483-CA1A265A6CCC}"/>
    <cellStyle name="_尖山铁矿2010年修理费、机物料费用预算_2014年尖山工序产能预算10.13_2017年全面预算新增表样" xfId="16543" xr:uid="{77EE33BF-035C-4804-8796-ADD8EA742821}"/>
    <cellStyle name="_尖山铁矿2010年修理费、机物料费用预算_2014年尖山工序产能预算10.13_采矿部2015年内部工序预算(12.15)" xfId="16544" xr:uid="{561A03CA-2114-4D03-89C0-7F16D3588261}"/>
    <cellStyle name="_尖山铁矿2010年修理费、机物料费用预算_2014年尖山工序产能预算10.13_采矿综合组" xfId="16545" xr:uid="{5212D312-B076-4675-B841-B5F6C4CEE042}"/>
    <cellStyle name="_尖山铁矿2010年修理费、机物料费用预算_2014年尖山工序产能预算10.13_加不利2016年预算3稿（内）1106" xfId="16546" xr:uid="{3BB2CBC5-7EAB-425B-B2FD-6DCAF13FA3E7}"/>
    <cellStyle name="_尖山铁矿2010年修理费、机物料费用预算_2014年尖山工序产能预算10.13_尖山2015年全面预算稿报矿业稿11.14000" xfId="16547" xr:uid="{A2EB3DBA-00AA-462C-BA80-7D12166F0CE8}"/>
    <cellStyle name="_尖山铁矿2010年修理费、机物料费用预算_2014年尖山工序产能预算10.13_尖山2015年全面预算稿报矿业稿11.14000_2016年工序质量指标预算" xfId="16548" xr:uid="{9B73261D-128E-4C86-ACB7-2F8D5C3B8AD3}"/>
    <cellStyle name="_尖山铁矿2010年修理费、机物料费用预算_2014年尖山工序产能预算10.13_尖山2015年全面预算稿报矿业稿11.14000_工艺科2017年全面预算20161010" xfId="16549" xr:uid="{EC3791D5-C1FF-474C-821D-AEC9D1A35F5F}"/>
    <cellStyle name="_尖山铁矿2010年修理费、机物料费用预算_2014年尖山工序产能预算10.13_尖山2015年全面预算稿报矿业稿11.14000_尖山铁矿2017年全面预算1.26" xfId="16550" xr:uid="{FDF9B920-4796-4D72-AAFB-CD1894C98A83}"/>
    <cellStyle name="_尖山铁矿2010年修理费、机物料费用预算_2014年尖山工序产能预算10.13_尖山矿2017年产量预算及不利因素影响报" xfId="16551" xr:uid="{F570DB76-7A09-4D3A-A646-0EFE8C5FB2B3}"/>
    <cellStyle name="_尖山铁矿2010年修理费、机物料费用预算_2014年尖山工序产能预算10.13_尖山铁矿2015年全面预算" xfId="16552" xr:uid="{D2852B4B-7F6B-4E9E-8898-432B28C78515}"/>
    <cellStyle name="_尖山铁矿2010年修理费、机物料费用预算_2014年尖山工序产能预算10.13_尖山铁矿2015年全面预算_尖山铁矿2017年全面预算1.26" xfId="16553" xr:uid="{FBBF96F9-0995-4CC8-94B1-6722999035E7}"/>
    <cellStyle name="_尖山铁矿2010年修理费、机物料费用预算_2014年尖山工序产能预算10.13_尖山铁矿2015年全面预算--挂在内网的正式稿" xfId="16554" xr:uid="{066D5636-F4E5-448C-BCC3-3B3E76BCB46A}"/>
    <cellStyle name="_尖山铁矿2010年修理费、机物料费用预算_2014年尖山工序产能预算10.13_尖山铁矿2016年预算内部全面预算(129)" xfId="16555" xr:uid="{50BAA07A-334D-4110-BC72-FFD43396B131}"/>
    <cellStyle name="_尖山铁矿2010年修理费、机物料费用预算_2014年尖山工序产能预算10.13_尖山铁矿2017年全面预算1.26" xfId="16556" xr:uid="{D85A0016-B849-49AF-B3E4-F88DBEEA8E0B}"/>
    <cellStyle name="_尖山铁矿2010年修理费、机物料费用预算_2014年尖山工序产能预算10.13_矿石完成表" xfId="16557" xr:uid="{91CB0398-8594-4E59-9569-D50117716FC1}"/>
    <cellStyle name="_尖山铁矿2010年修理费、机物料费用预算_2014年尖山铁矿能耗预算8稿（381产量内部" xfId="16558" xr:uid="{2F907B3A-1A01-42A8-99B9-38BC3DCA8521}"/>
    <cellStyle name="_尖山铁矿2010年修理费、机物料费用预算_2014年尖山铁矿能耗预算8稿（381产量内部_2015年工艺质量科全面预算" xfId="16559" xr:uid="{714F6317-2705-433F-8E76-D4D178A4A4FD}"/>
    <cellStyle name="_尖山铁矿2010年修理费、机物料费用预算_2014年尖山铁矿能耗预算8稿（381产量内部_2017年全面预算新增指标" xfId="16560" xr:uid="{8F1756A3-FDAB-48E7-BC8C-BC054F22EBA8}"/>
    <cellStyle name="_尖山铁矿2010年修理费、机物料费用预算_2014年尖山铁矿能耗预算8稿（381产量内部_采矿部2015年内部工序预算(12.15)" xfId="16561" xr:uid="{D1B8EB40-495A-49D8-BB7F-11177E7B1CB9}"/>
    <cellStyle name="_尖山铁矿2010年修理费、机物料费用预算_2014年尖山铁矿能耗预算8稿（381产量内部_工艺科2017年全面预算20161010" xfId="16562" xr:uid="{90F66E34-9188-4354-8E3D-15D2D30106E4}"/>
    <cellStyle name="_尖山铁矿2010年修理费、机物料费用预算_2014年尖山铁矿能耗预算8稿（381产量内部_尖山铁矿2015年全面预算--挂在内网的正式稿" xfId="16563" xr:uid="{E3F6A9EE-0B99-4C1A-ACA3-DD77EE540456}"/>
    <cellStyle name="_尖山铁矿2010年修理费、机物料费用预算_2014年尖山铁矿能耗预算8稿（381产量内部_尖山铁矿2017年全面预算1.26" xfId="16564" xr:uid="{D0F2D748-FBA2-4E04-BBA8-BD343AE7A765}"/>
    <cellStyle name="_尖山铁矿2010年修理费、机物料费用预算_2014年尖山铁矿能耗预算9稿（381产量内部" xfId="16565" xr:uid="{EC6541EE-5E6E-46F1-BAC6-3B53396FB133}"/>
    <cellStyle name="_尖山铁矿2010年修理费、机物料费用预算_2014年尖山铁矿能耗预算9稿（381产量内部_2015年工艺质量科全面预算" xfId="16566" xr:uid="{F86AD7CB-7647-4A75-80A6-E570ACB91F03}"/>
    <cellStyle name="_尖山铁矿2010年修理费、机物料费用预算_2014年尖山铁矿能耗预算9稿（381产量内部_2017年全面预算新增指标" xfId="16567" xr:uid="{FBB8222F-135F-490A-909A-24334DFF6076}"/>
    <cellStyle name="_尖山铁矿2010年修理费、机物料费用预算_2014年尖山铁矿能耗预算9稿（381产量内部_采矿部2015年内部工序预算(12.15)" xfId="16568" xr:uid="{77BDB048-55C2-409E-B277-70F3ABE23ABE}"/>
    <cellStyle name="_尖山铁矿2010年修理费、机物料费用预算_2014年尖山铁矿能耗预算9稿（381产量内部_工艺科2017年全面预算20161010" xfId="16569" xr:uid="{EBA7D041-CC56-4747-AF40-F66F2E25C8BC}"/>
    <cellStyle name="_尖山铁矿2010年修理费、机物料费用预算_2014年尖山铁矿能耗预算9稿（381产量内部_尖山铁矿2015年全面预算--挂在内网的正式稿" xfId="16570" xr:uid="{EEDF69B9-EB10-442B-9BF9-754C7E00A90C}"/>
    <cellStyle name="_尖山铁矿2010年修理费、机物料费用预算_2014年尖山铁矿能耗预算9稿（381产量内部_尖山铁矿2017年全面预算1.26" xfId="16571" xr:uid="{1750851C-6E31-4E42-9219-56A552DF1C3F}"/>
    <cellStyle name="_尖山铁矿2010年修理费、机物料费用预算_2014年尖山铁矿能耗预算矿业" xfId="16572" xr:uid="{29CA0393-136E-442D-BC7C-A11A349BD540}"/>
    <cellStyle name="_尖山铁矿2010年修理费、机物料费用预算_2014年尖山铁矿能耗预算矿业_2015年工艺质量科全面预算" xfId="16573" xr:uid="{7B78CE2D-C8D4-4E1D-8FEB-323D544BE3F3}"/>
    <cellStyle name="_尖山铁矿2010年修理费、机物料费用预算_2014年尖山铁矿能耗预算矿业_2016年9月成本报表" xfId="16574" xr:uid="{6AB22835-A652-4485-A1B6-9FD3DEA0E361}"/>
    <cellStyle name="_尖山铁矿2010年修理费、机物料费用预算_2014年尖山铁矿能耗预算矿业_2017年全面预算新增表样" xfId="16575" xr:uid="{421129BC-AE5E-42C2-8518-57C58983E077}"/>
    <cellStyle name="_尖山铁矿2010年修理费、机物料费用预算_2014年尖山铁矿能耗预算矿业_采矿部2015年内部工序预算(12.15)" xfId="16576" xr:uid="{E6A33C93-9054-428C-870E-09B7C9F8A744}"/>
    <cellStyle name="_尖山铁矿2010年修理费、机物料费用预算_2014年尖山铁矿能耗预算矿业_采矿综合组" xfId="16577" xr:uid="{49164BCF-2B97-49E6-994C-80F0115CFE2C}"/>
    <cellStyle name="_尖山铁矿2010年修理费、机物料费用预算_2014年尖山铁矿能耗预算矿业_加不利2016年预算3稿（内）1106" xfId="16578" xr:uid="{B3539AC0-53F7-41AA-B0D0-CF73E322D3D0}"/>
    <cellStyle name="_尖山铁矿2010年修理费、机物料费用预算_2014年尖山铁矿能耗预算矿业_尖山2015年全面预算稿报矿业稿11.14000" xfId="16579" xr:uid="{B28F1717-8476-4BCA-AD3F-C742E84C1D2A}"/>
    <cellStyle name="_尖山铁矿2010年修理费、机物料费用预算_2014年尖山铁矿能耗预算矿业_尖山2015年全面预算稿报矿业稿11.14000_2016年工序质量指标预算" xfId="16580" xr:uid="{EAE42758-6FEF-4BB7-A886-E3C294F80ABD}"/>
    <cellStyle name="_尖山铁矿2010年修理费、机物料费用预算_2014年尖山铁矿能耗预算矿业_尖山2015年全面预算稿报矿业稿11.14000_工艺科2017年全面预算20161010" xfId="16581" xr:uid="{C6F45236-2D52-4900-B848-1F089C2605BA}"/>
    <cellStyle name="_尖山铁矿2010年修理费、机物料费用预算_2014年尖山铁矿能耗预算矿业_尖山2015年全面预算稿报矿业稿11.14000_尖山铁矿2017年全面预算1.26" xfId="16582" xr:uid="{2E9E6825-8987-4367-B7E1-6D51E82535C3}"/>
    <cellStyle name="_尖山铁矿2010年修理费、机物料费用预算_2014年尖山铁矿能耗预算矿业_尖山矿2017年产量预算及不利因素影响报" xfId="16583" xr:uid="{EFDE1919-FC6E-4670-A409-DC0DE500D772}"/>
    <cellStyle name="_尖山铁矿2010年修理费、机物料费用预算_2014年尖山铁矿能耗预算矿业_尖山铁矿2015年全面预算" xfId="16584" xr:uid="{240A5141-EED6-4F98-B6C6-8128A7BED1F3}"/>
    <cellStyle name="_尖山铁矿2010年修理费、机物料费用预算_2014年尖山铁矿能耗预算矿业_尖山铁矿2015年全面预算_尖山铁矿2017年全面预算1.26" xfId="16585" xr:uid="{EE929A7D-28C6-44FD-A729-79EA539BADCC}"/>
    <cellStyle name="_尖山铁矿2010年修理费、机物料费用预算_2014年尖山铁矿能耗预算矿业_尖山铁矿2015年全面预算--挂在内网的正式稿" xfId="16586" xr:uid="{91804F9F-367E-4632-9FFD-F5B98D01B342}"/>
    <cellStyle name="_尖山铁矿2010年修理费、机物料费用预算_2014年尖山铁矿能耗预算矿业_尖山铁矿2016年预算内部全面预算(129)" xfId="16587" xr:uid="{62176666-F294-44C6-BADF-40CCBA68A6BF}"/>
    <cellStyle name="_尖山铁矿2010年修理费、机物料费用预算_2014年尖山铁矿能耗预算矿业_尖山铁矿2017年全面预算1.26" xfId="16588" xr:uid="{59AE945C-7D03-4C07-B9E4-41CD60437772}"/>
    <cellStyle name="_尖山铁矿2010年修理费、机物料费用预算_2014年尖山铁矿能耗预算矿业_矿石完成表" xfId="16589" xr:uid="{3CE5559F-4027-48DB-A61D-A578D0CDC624}"/>
    <cellStyle name="_尖山铁矿2010年修理费、机物料费用预算_2014年降本增效指标完成情况" xfId="16590" xr:uid="{7B8E172B-AD6E-4F89-BA03-E742D146807F}"/>
    <cellStyle name="_尖山铁矿2010年修理费、机物料费用预算_2015年工艺质量科全面预算" xfId="16591" xr:uid="{897226CD-7697-42A1-85C4-7FFD2068D087}"/>
    <cellStyle name="_尖山铁矿2010年修理费、机物料费用预算_2016年采矿工序预算" xfId="16592" xr:uid="{214DABB0-79B8-4995-9811-DCE4A3E2885B}"/>
    <cellStyle name="_尖山铁矿2010年修理费、机物料费用预算_2017年全面预算新增表样" xfId="16593" xr:uid="{B5FA4FCD-301B-45E8-89D8-20DCC2609740}"/>
    <cellStyle name="_尖山铁矿2010年修理费、机物料费用预算_采矿部2015年内部工序预算(12.15)" xfId="16594" xr:uid="{D0D97740-EAB1-4773-A4BA-4CBF063909E5}"/>
    <cellStyle name="_尖山铁矿2010年修理费、机物料费用预算_峨矿1月份成本报表(管理)" xfId="16595" xr:uid="{B85C75D7-8A40-43F9-B23F-5F9EBA79BD79}"/>
    <cellStyle name="_尖山铁矿2010年修理费、机物料费用预算_峨矿2014年经营预算全稿(2013.11.4)" xfId="16596" xr:uid="{9FE79AD9-BBB5-464E-B83C-A39A754E77BB}"/>
    <cellStyle name="_尖山铁矿2010年修理费、机物料费用预算_峨矿2014年经营预算全稿(2013.11.4)_2015年工艺质量科全面预算" xfId="16597" xr:uid="{6BCBF073-65A6-497C-A7D1-0D9BA30304C7}"/>
    <cellStyle name="_尖山铁矿2010年修理费、机物料费用预算_峨矿2014年经营预算全稿(2013.11.4)_2016年9月成本报表" xfId="16598" xr:uid="{1290262C-8763-4993-A6B6-597E5F8E474E}"/>
    <cellStyle name="_尖山铁矿2010年修理费、机物料费用预算_峨矿2014年经营预算全稿(2013.11.4)_2017年全面预算新增表样" xfId="16599" xr:uid="{F1C3EEE5-4D48-4741-BE55-F10122F15A66}"/>
    <cellStyle name="_尖山铁矿2010年修理费、机物料费用预算_峨矿2014年经营预算全稿(2013.11.4)_采矿部2015年内部工序预算(12.15)" xfId="16600" xr:uid="{DB08E60E-C920-4124-98F6-D28D7D0AB1B0}"/>
    <cellStyle name="_尖山铁矿2010年修理费、机物料费用预算_峨矿2014年经营预算全稿(2013.11.4)_采矿综合组" xfId="16601" xr:uid="{198FA96C-D4CA-43DF-AFEE-8DEA5A2DA8F9}"/>
    <cellStyle name="_尖山铁矿2010年修理费、机物料费用预算_峨矿2014年经营预算全稿(2013.11.4)_加不利2016年预算3稿（内）1106" xfId="16602" xr:uid="{C2890814-D788-4C6E-BF8A-428799B4E6E5}"/>
    <cellStyle name="_尖山铁矿2010年修理费、机物料费用预算_峨矿2014年经营预算全稿(2013.11.4)_尖山2015年全面预算稿报矿业稿11.14000" xfId="16603" xr:uid="{079FF62C-E259-4C4C-A869-AF33A9973F90}"/>
    <cellStyle name="_尖山铁矿2010年修理费、机物料费用预算_峨矿2014年经营预算全稿(2013.11.4)_尖山2015年全面预算稿报矿业稿11.14000_2016年工序质量指标预算" xfId="16604" xr:uid="{F9FD685E-9481-42C8-86C1-3FE0E6B2B76F}"/>
    <cellStyle name="_尖山铁矿2010年修理费、机物料费用预算_峨矿2014年经营预算全稿(2013.11.4)_尖山2015年全面预算稿报矿业稿11.14000_工艺科2017年全面预算20161010" xfId="16605" xr:uid="{9DEAEC72-CFC6-47C9-8250-FA63274F13CB}"/>
    <cellStyle name="_尖山铁矿2010年修理费、机物料费用预算_峨矿2014年经营预算全稿(2013.11.4)_尖山2015年全面预算稿报矿业稿11.14000_尖山铁矿2017年全面预算1.26" xfId="16606" xr:uid="{6EDDFAE0-8778-447E-93A7-1AB58743B3C7}"/>
    <cellStyle name="_尖山铁矿2010年修理费、机物料费用预算_峨矿2014年经营预算全稿(2013.11.4)_尖山矿2017年产量预算及不利因素影响报" xfId="16607" xr:uid="{016AB235-6FD9-4684-8967-AF9227F7658B}"/>
    <cellStyle name="_尖山铁矿2010年修理费、机物料费用预算_峨矿2014年经营预算全稿(2013.11.4)_尖山铁矿2015年全面预算" xfId="16608" xr:uid="{E5EA048A-C069-481F-90CB-098BCCFB0059}"/>
    <cellStyle name="_尖山铁矿2010年修理费、机物料费用预算_峨矿2014年经营预算全稿(2013.11.4)_尖山铁矿2015年全面预算_尖山铁矿2017年全面预算1.26" xfId="16609" xr:uid="{05DE02C9-A1CC-4428-ABB9-22F4F7276129}"/>
    <cellStyle name="_尖山铁矿2010年修理费、机物料费用预算_峨矿2014年经营预算全稿(2013.11.4)_尖山铁矿2015年全面预算--挂在内网的正式稿" xfId="16610" xr:uid="{CA0F39BC-709D-4846-9940-B0E57D4893A6}"/>
    <cellStyle name="_尖山铁矿2010年修理费、机物料费用预算_峨矿2014年经营预算全稿(2013.11.4)_尖山铁矿2016年预算内部全面预算(129)" xfId="16611" xr:uid="{0DED1575-CA70-4C8F-BBF6-D0E8FD4AEC83}"/>
    <cellStyle name="_尖山铁矿2010年修理费、机物料费用预算_峨矿2014年经营预算全稿(2013.11.4)_尖山铁矿2017年全面预算1.26" xfId="16612" xr:uid="{816FECAB-AAA9-4733-8A56-56D692B27206}"/>
    <cellStyle name="_尖山铁矿2010年修理费、机物料费用预算_峨矿2014年经营预算全稿(2013.11.4)_矿石完成表" xfId="16613" xr:uid="{D663F5FC-DCDC-4433-B6D8-8D07797D1795}"/>
    <cellStyle name="_尖山铁矿2010年修理费、机物料费用预算_峨矿2015年报表分析06" xfId="16614" xr:uid="{F7AA1E3B-AE35-461A-891F-3860858BC7EF}"/>
    <cellStyle name="_尖山铁矿2010年修理费、机物料费用预算_峨矿2015年报表分析09" xfId="16615" xr:uid="{A4D0E174-27D4-4063-A70B-6E75F1756F96}"/>
    <cellStyle name="_尖山铁矿2010年修理费、机物料费用预算_峨矿2015年报表分析11" xfId="16616" xr:uid="{87380105-FF98-42EA-954E-5353F959D9C9}"/>
    <cellStyle name="_尖山铁矿2010年修理费、机物料费用预算_峨矿2015年报表分析12" xfId="16617" xr:uid="{57BA8987-3C27-491D-B422-C09455B573F4}"/>
    <cellStyle name="_尖山铁矿2010年修理费、机物料费用预算_峨矿2016年报表分析02" xfId="16618" xr:uid="{4CC237BF-9A28-4C98-933D-210F46AFC3BE}"/>
    <cellStyle name="_尖山铁矿2010年修理费、机物料费用预算_峨矿2016年全面预算(2016.1.28)" xfId="16619" xr:uid="{9E7992AD-188B-4046-888C-0DE847FA585D}"/>
    <cellStyle name="_尖山铁矿2010年修理费、机物料费用预算_峨矿6月份成本报表(管理)" xfId="16620" xr:uid="{06D13CE8-92E8-46D4-9301-FA5A3504C454}"/>
    <cellStyle name="_尖山铁矿2010年修理费、机物料费用预算_峨矿9月份成本报表" xfId="16621" xr:uid="{15548A4D-9708-498A-9FF4-62418B3A891B}"/>
    <cellStyle name="_尖山铁矿2010年修理费、机物料费用预算_峨矿外协费用明细统计修订" xfId="16622" xr:uid="{8F5CD327-3B7D-43C7-BD99-D5EC71D497BF}"/>
    <cellStyle name="_尖山铁矿2010年修理费、机物料费用预算_复合2015年全面预算稿10.29" xfId="16623" xr:uid="{4F28D038-E9BF-4D59-9429-EB997D219AA3}"/>
    <cellStyle name="_尖山铁矿2010年修理费、机物料费用预算_副本矿业公司汇总及汇报初稿（复合材料厂）" xfId="16624" xr:uid="{43A4E76B-CEFC-4175-97EB-9F3C03797090}"/>
    <cellStyle name="_尖山铁矿2010年修理费、机物料费用预算_机关预算汇总11.19" xfId="16625" xr:uid="{EDB77CF6-5748-4B9A-BC09-957BC3EA9862}"/>
    <cellStyle name="_尖山铁矿2010年修理费、机物料费用预算_机关预算汇总11.19 2" xfId="16626" xr:uid="{C939231D-EB0A-45E0-903A-043755C7D474}"/>
    <cellStyle name="_尖山铁矿2010年修理费、机物料费用预算_尖山2014年全面预算12.27" xfId="16627" xr:uid="{3C72600E-6A8D-49B7-917A-E20B13F348CC}"/>
    <cellStyle name="_尖山铁矿2010年修理费、机物料费用预算_尖山2015年全面预算稿10.27(生产科数据修改）" xfId="16628" xr:uid="{EF4B1C48-713F-4C2E-AD2A-C5115114EBB6}"/>
    <cellStyle name="_尖山铁矿2010年修理费、机物料费用预算_尖山矿2017年产量预算及不利因素影响报" xfId="16629" xr:uid="{CE604934-D7D2-4218-A858-7A34436C5A68}"/>
    <cellStyle name="_尖山铁矿2010年修理费、机物料费用预算_尖山铁矿2015年全面预算" xfId="16630" xr:uid="{9E4E893F-BCC2-4A0C-80D6-65F934C877EB}"/>
    <cellStyle name="_尖山铁矿2010年修理费、机物料费用预算_尖山铁矿2015年全面预算_尖山铁矿2017年全面预算1.26" xfId="16631" xr:uid="{A0151375-D694-4B47-A111-5A9267D1E4B5}"/>
    <cellStyle name="_尖山铁矿2010年修理费、机物料费用预算_尖山铁矿2015年全面预算--挂在内网的正式稿" xfId="16632" xr:uid="{3FAA0CC4-1A6C-4228-88AA-9B7BC5E7090D}"/>
    <cellStyle name="_尖山铁矿2010年修理费、机物料费用预算_降本增效简报底表(杜占杰9.1)" xfId="16633" xr:uid="{077121AA-9E4E-4F06-9086-6074EB7314C1}"/>
    <cellStyle name="_尖山铁矿2010年修理费、机物料费用预算_太钢鑫磊2017年1月非生产、安全、修理费统计报表" xfId="16634" xr:uid="{67C27BA9-AE03-475D-AE29-CCBCD07B6E5B}"/>
    <cellStyle name="_尖山铁矿2010年修理费、机物料费用预算_维修费用报表(董矿长)" xfId="16635" xr:uid="{FECBEFA2-1173-49F8-87A3-CB2C9993A040}"/>
    <cellStyle name="_尖山铁矿2010年修理费、机物料费用预算_预算汇总" xfId="16636" xr:uid="{D95F3869-D512-4640-AFEE-182961672967}"/>
    <cellStyle name="_尖山铁矿2010年修理费、机物料费用预算_预算汇总_矿业公司产量、成本利润分析机关本部(1)" xfId="16637" xr:uid="{1DADA276-1EB0-4BAD-BA79-1F257E783E8E}"/>
    <cellStyle name="_尖山铁矿2010年修理费、机物料费用预算_预算汇总_矿业公司产量、成本利润分析机关本部(1)_2014年降本增效指标完成情况" xfId="16638" xr:uid="{D2BE9C63-8D8B-4CA1-817E-E03302BD585F}"/>
    <cellStyle name="_尖山铁矿2010年修理费、机物料费用预算_专项费用(斤斤)" xfId="16639" xr:uid="{3E031D0F-F34B-435E-B1B7-BDC386644926}"/>
    <cellStyle name="_尖山铁矿2011年修理费预算10300" xfId="16640" xr:uid="{3833F22B-2035-43EB-A50A-8D7A8C2BA91E}"/>
    <cellStyle name="_尖山铁矿2011年修理费预算10300 2" xfId="16641" xr:uid="{165FDCCD-43D7-4DCF-A993-745B6443C8AC}"/>
    <cellStyle name="_尖山铁矿2011年修理费预算10300_2014年工艺类消耗指标统计" xfId="16642" xr:uid="{04C913AA-F192-4066-AD7A-DE0D1F89B1FB}"/>
    <cellStyle name="_尖山铁矿2011年修理费预算10300_2014年工艺类消耗指标统计_工艺科2017年全面预算20161010" xfId="16643" xr:uid="{382442FC-59DF-4E29-810E-12D8C1DD42B0}"/>
    <cellStyle name="_尖山铁矿2011年修理费预算10300_尖山2014年全面预算稿" xfId="16644" xr:uid="{5D55F4DE-CA7F-4343-A767-C312416C3ECF}"/>
    <cellStyle name="_尖山铁矿2011年修理费预算10300_尖山2015年全面预算稿10.20" xfId="16645" xr:uid="{8C49276B-E818-447B-AC15-2B92432B96E3}"/>
    <cellStyle name="_尖山铁矿2012年修理费预算11" xfId="16646" xr:uid="{4788772B-BFE4-4E01-884B-77D549FD06F3}"/>
    <cellStyle name="_尖山铁矿2012年修理费预算11 2" xfId="16647" xr:uid="{3AC15E0F-9197-47A7-B117-AD069A4D1027}"/>
    <cellStyle name="_尖山铁矿2012年修理费预算11_2013年尖山铁矿成本预算（报360万吨不含胶带" xfId="16648" xr:uid="{1190A3DC-C0EA-4A89-802B-ADF8ED39AEB9}"/>
    <cellStyle name="_尖山铁矿2012年修理费预算11_2013年尖山铁矿全面预算5稿矿业1" xfId="16649" xr:uid="{C3526B4D-EE4D-4DDE-866D-025FC8433229}"/>
    <cellStyle name="_尖山铁矿2012年修理费预算11_2013年尖山铁矿全面预算5稿矿业1_2015年工艺质量科全面预算" xfId="16650" xr:uid="{A9AA6BFE-50BE-488E-A182-665A3452817C}"/>
    <cellStyle name="_尖山铁矿2012年修理费预算11_2013年尖山铁矿全面预算5稿矿业1_2016年9月成本报表" xfId="16651" xr:uid="{5D216CA9-88FB-46DA-88D7-F25FAFD47432}"/>
    <cellStyle name="_尖山铁矿2012年修理费预算11_2013年尖山铁矿全面预算5稿矿业1_2017年全面预算新增表样" xfId="16652" xr:uid="{030E6F1F-D04B-4581-AB54-3520CA056DD2}"/>
    <cellStyle name="_尖山铁矿2012年修理费预算11_2013年尖山铁矿全面预算5稿矿业1_采矿部2015年内部工序预算(12.15)" xfId="16653" xr:uid="{16F6F603-B598-4FA5-A7E3-8B34C187D551}"/>
    <cellStyle name="_尖山铁矿2012年修理费预算11_2013年尖山铁矿全面预算5稿矿业1_采矿综合组" xfId="16654" xr:uid="{47CF92FE-C42F-48CB-AE58-3865263C92C1}"/>
    <cellStyle name="_尖山铁矿2012年修理费预算11_2013年尖山铁矿全面预算5稿矿业1_加不利2016年预算3稿（内）1106" xfId="16655" xr:uid="{15AF2C06-61E7-41E0-9E33-7A2A2BDDA4A2}"/>
    <cellStyle name="_尖山铁矿2012年修理费预算11_2013年尖山铁矿全面预算5稿矿业1_尖山2015年全面预算稿报矿业稿11.14000" xfId="16656" xr:uid="{A9C223DA-29C2-46E8-82DE-7FC4DCD7D357}"/>
    <cellStyle name="_尖山铁矿2012年修理费预算11_2013年尖山铁矿全面预算5稿矿业1_尖山2015年全面预算稿报矿业稿11.14000_2016年工序质量指标预算" xfId="16657" xr:uid="{133770CD-DB8B-437E-A130-DBA831FA86CD}"/>
    <cellStyle name="_尖山铁矿2012年修理费预算11_2013年尖山铁矿全面预算5稿矿业1_尖山2015年全面预算稿报矿业稿11.14000_工艺科2017年全面预算20161010" xfId="16658" xr:uid="{1D074DC2-C7ED-4394-90D9-1C18C7CDAB71}"/>
    <cellStyle name="_尖山铁矿2012年修理费预算11_2013年尖山铁矿全面预算5稿矿业1_尖山2015年全面预算稿报矿业稿11.14000_尖山铁矿2017年全面预算1.26" xfId="16659" xr:uid="{C1145C19-5820-48DD-9F81-272726026ABF}"/>
    <cellStyle name="_尖山铁矿2012年修理费预算11_2013年尖山铁矿全面预算5稿矿业1_尖山矿2017年产量预算及不利因素影响报" xfId="16660" xr:uid="{3A3CB7C9-5C7E-4C3C-B9EE-EC9DBF85F34C}"/>
    <cellStyle name="_尖山铁矿2012年修理费预算11_2013年尖山铁矿全面预算5稿矿业1_尖山铁矿2015年全面预算" xfId="16661" xr:uid="{8A258C50-A665-4C27-A28A-0F03E98A1E4D}"/>
    <cellStyle name="_尖山铁矿2012年修理费预算11_2013年尖山铁矿全面预算5稿矿业1_尖山铁矿2015年全面预算_尖山铁矿2017年全面预算1.26" xfId="16662" xr:uid="{08EFBFFC-A255-4C77-A842-D3008262F08C}"/>
    <cellStyle name="_尖山铁矿2012年修理费预算11_2013年尖山铁矿全面预算5稿矿业1_尖山铁矿2015年全面预算--挂在内网的正式稿" xfId="16663" xr:uid="{2645BC92-9521-4B8F-9011-7F7879462359}"/>
    <cellStyle name="_尖山铁矿2012年修理费预算11_2013年尖山铁矿全面预算5稿矿业1_尖山铁矿2016年预算内部全面预算(129)" xfId="16664" xr:uid="{F5A17597-3629-4AF3-88AF-7CEAC97E124B}"/>
    <cellStyle name="_尖山铁矿2012年修理费预算11_2013年尖山铁矿全面预算5稿矿业1_尖山铁矿2017年全面预算1.26" xfId="16665" xr:uid="{B107F4EA-E49E-4DB4-BC5B-F97A98F07EA6}"/>
    <cellStyle name="_尖山铁矿2012年修理费预算11_2013年尖山铁矿全面预算5稿矿业1_矿石完成表" xfId="16666" xr:uid="{9D52F39B-C782-4E29-8965-B125FC691765}"/>
    <cellStyle name="_尖山铁矿2012年修理费预算11_2013年尖山铁矿全面预算6稿内2" xfId="16667" xr:uid="{292FB800-A9A2-4B85-98E2-F59F4FF610B2}"/>
    <cellStyle name="_尖山铁矿2012年修理费预算11_2013年尖山铁矿全面预算6稿内2_2015年工艺质量科全面预算" xfId="16668" xr:uid="{38144075-715C-45E0-A7D3-EB0CCF2FCF92}"/>
    <cellStyle name="_尖山铁矿2012年修理费预算11_2013年尖山铁矿全面预算6稿内2_2016年9月成本报表" xfId="16669" xr:uid="{C2183663-9CC6-46E7-8009-08C62DC4C1D7}"/>
    <cellStyle name="_尖山铁矿2012年修理费预算11_2013年尖山铁矿全面预算6稿内2_2017年全面预算新增表样" xfId="16670" xr:uid="{1ADB4825-130B-4CE4-A02B-38294014473B}"/>
    <cellStyle name="_尖山铁矿2012年修理费预算11_2013年尖山铁矿全面预算6稿内2_采矿部2015年内部工序预算(12.15)" xfId="16671" xr:uid="{B2941ED2-482B-47AA-B562-19DAC9263325}"/>
    <cellStyle name="_尖山铁矿2012年修理费预算11_2013年尖山铁矿全面预算6稿内2_采矿综合组" xfId="16672" xr:uid="{D48787E5-9910-4E35-AC02-6CA6456BFF70}"/>
    <cellStyle name="_尖山铁矿2012年修理费预算11_2013年尖山铁矿全面预算6稿内2_加不利2016年预算3稿（内）1106" xfId="16673" xr:uid="{327BD990-010A-4CC5-9EF6-694A7100BB33}"/>
    <cellStyle name="_尖山铁矿2012年修理费预算11_2013年尖山铁矿全面预算6稿内2_尖山2015年全面预算稿报矿业稿11.14000" xfId="16674" xr:uid="{3C3F43B2-25C0-411B-AD9B-59BAD388EC46}"/>
    <cellStyle name="_尖山铁矿2012年修理费预算11_2013年尖山铁矿全面预算6稿内2_尖山2015年全面预算稿报矿业稿11.14000_2016年工序质量指标预算" xfId="16675" xr:uid="{E7D461F4-1EDB-494B-9A79-340CE22DDC88}"/>
    <cellStyle name="_尖山铁矿2012年修理费预算11_2013年尖山铁矿全面预算6稿内2_尖山2015年全面预算稿报矿业稿11.14000_工艺科2017年全面预算20161010" xfId="16676" xr:uid="{44038B82-27BB-4B0D-9CDE-E67DA7ECF05B}"/>
    <cellStyle name="_尖山铁矿2012年修理费预算11_2013年尖山铁矿全面预算6稿内2_尖山2015年全面预算稿报矿业稿11.14000_尖山铁矿2017年全面预算1.26" xfId="16677" xr:uid="{BEFDE42D-AFF5-45AC-8E0C-F9EE559ED704}"/>
    <cellStyle name="_尖山铁矿2012年修理费预算11_2013年尖山铁矿全面预算6稿内2_尖山矿2017年产量预算及不利因素影响报" xfId="16678" xr:uid="{29D40FF9-995C-44B5-BF62-12AECAA07428}"/>
    <cellStyle name="_尖山铁矿2012年修理费预算11_2013年尖山铁矿全面预算6稿内2_尖山铁矿2015年全面预算" xfId="16679" xr:uid="{3F2DB27E-841C-4E02-B602-ED6BEF4C62D6}"/>
    <cellStyle name="_尖山铁矿2012年修理费预算11_2013年尖山铁矿全面预算6稿内2_尖山铁矿2015年全面预算_尖山铁矿2017年全面预算1.26" xfId="16680" xr:uid="{A3298EDF-B6BC-44CF-8F4F-02432ABE32DB}"/>
    <cellStyle name="_尖山铁矿2012年修理费预算11_2013年尖山铁矿全面预算6稿内2_尖山铁矿2015年全面预算--挂在内网的正式稿" xfId="16681" xr:uid="{A1D9FD94-0E2B-4EF8-A28E-131C87029B4C}"/>
    <cellStyle name="_尖山铁矿2012年修理费预算11_2013年尖山铁矿全面预算6稿内2_尖山铁矿2016年预算内部全面预算(129)" xfId="16682" xr:uid="{014EBB46-1034-4FD8-8228-88AFB6122925}"/>
    <cellStyle name="_尖山铁矿2012年修理费预算11_2013年尖山铁矿全面预算6稿内2_尖山铁矿2017年全面预算1.26" xfId="16683" xr:uid="{75C0FDD4-5974-4C97-8C80-23B623510483}"/>
    <cellStyle name="_尖山铁矿2012年修理费预算11_2013年尖山铁矿全面预算6稿内2_矿石完成表" xfId="16684" xr:uid="{EFFC659F-0100-4814-B422-54CB22058196}"/>
    <cellStyle name="_尖山铁矿2012年修理费预算11_2013年全面预算成稿1.25" xfId="16685" xr:uid="{47F948C6-7DF7-4617-B571-6705C30AF87B}"/>
    <cellStyle name="_尖山铁矿2012年修理费预算11_2014年  月外协费用报表" xfId="16686" xr:uid="{EBC7A6D8-279E-4659-AB9E-4D9B85B5C76A}"/>
    <cellStyle name="_尖山铁矿2012年修理费预算11_2014年尖山成本预算（报365万吨-不含胶带)11.4" xfId="16687" xr:uid="{C5375415-39D5-4B78-80E4-98C6F51D3920}"/>
    <cellStyle name="_尖山铁矿2012年修理费预算11_2014年尖山铁矿能耗预算8稿（381产量内部" xfId="16688" xr:uid="{C3E7617C-3F39-41DE-BFAA-35B14C7B668F}"/>
    <cellStyle name="_尖山铁矿2012年修理费预算11_2014年尖山铁矿能耗预算8稿（381产量内部_2015年工艺质量科全面预算" xfId="16689" xr:uid="{B56B599D-E10D-401E-8FE5-AE2ED29D6B65}"/>
    <cellStyle name="_尖山铁矿2012年修理费预算11_2014年尖山铁矿能耗预算8稿（381产量内部_2017年全面预算新增指标" xfId="16690" xr:uid="{F454B3D4-7BED-4C2E-AEB2-F5FB6F5E15FF}"/>
    <cellStyle name="_尖山铁矿2012年修理费预算11_2014年尖山铁矿能耗预算8稿（381产量内部_采矿部2015年内部工序预算(12.15)" xfId="16691" xr:uid="{4D2B6B7A-3336-47C4-90A4-479DD547926F}"/>
    <cellStyle name="_尖山铁矿2012年修理费预算11_2014年尖山铁矿能耗预算8稿（381产量内部_工艺科2017年全面预算20161010" xfId="16692" xr:uid="{BF980E79-EADF-40D1-BD34-1F4D6A207750}"/>
    <cellStyle name="_尖山铁矿2012年修理费预算11_2014年尖山铁矿能耗预算8稿（381产量内部_尖山铁矿2015年全面预算--挂在内网的正式稿" xfId="16693" xr:uid="{554C4BD3-7041-405D-A941-E9A08936346C}"/>
    <cellStyle name="_尖山铁矿2012年修理费预算11_2014年尖山铁矿能耗预算8稿（381产量内部_尖山铁矿2017年全面预算1.26" xfId="16694" xr:uid="{F9750F13-128E-403C-8D3E-6C34D0925A13}"/>
    <cellStyle name="_尖山铁矿2012年修理费预算11_2014年尖山铁矿能耗预算9稿（381产量内部" xfId="16695" xr:uid="{B3A16325-48B5-4962-B478-F814E613821E}"/>
    <cellStyle name="_尖山铁矿2012年修理费预算11_2014年尖山铁矿能耗预算9稿（381产量内部_2015年工艺质量科全面预算" xfId="16696" xr:uid="{21AB9F71-4974-4B84-AF68-2F3206F3F0BB}"/>
    <cellStyle name="_尖山铁矿2012年修理费预算11_2014年尖山铁矿能耗预算9稿（381产量内部_2017年全面预算新增指标" xfId="16697" xr:uid="{945D7674-D45C-4E81-867F-E63963A12F0C}"/>
    <cellStyle name="_尖山铁矿2012年修理费预算11_2014年尖山铁矿能耗预算9稿（381产量内部_采矿部2015年内部工序预算(12.15)" xfId="16698" xr:uid="{015B1D39-F872-47B4-A6B5-13B032B2BC63}"/>
    <cellStyle name="_尖山铁矿2012年修理费预算11_2014年尖山铁矿能耗预算9稿（381产量内部_工艺科2017年全面预算20161010" xfId="16699" xr:uid="{D9CE20C8-9E5F-4620-8DF5-67ABB3FA1CBF}"/>
    <cellStyle name="_尖山铁矿2012年修理费预算11_2014年尖山铁矿能耗预算9稿（381产量内部_尖山铁矿2015年全面预算--挂在内网的正式稿" xfId="16700" xr:uid="{36B2CA59-62F1-478B-93C6-C484213F5EA8}"/>
    <cellStyle name="_尖山铁矿2012年修理费预算11_2014年尖山铁矿能耗预算9稿（381产量内部_尖山铁矿2017年全面预算1.26" xfId="16701" xr:uid="{29E65D94-F662-41FC-A308-17D4786784CE}"/>
    <cellStyle name="_尖山铁矿2012年修理费预算11_2014年尖山铁矿能耗预算矿业" xfId="16702" xr:uid="{312AFF55-306C-4500-837A-EA77EF50CD91}"/>
    <cellStyle name="_尖山铁矿2012年修理费预算11_2014年尖山铁矿能耗预算矿业_2015年工艺质量科全面预算" xfId="16703" xr:uid="{0A5BB51E-9BBD-4280-92E1-0D8CFD6CAEA6}"/>
    <cellStyle name="_尖山铁矿2012年修理费预算11_2014年尖山铁矿能耗预算矿业_2016年9月成本报表" xfId="16704" xr:uid="{E4CC0219-F42A-4E16-9C14-489DDD594FE3}"/>
    <cellStyle name="_尖山铁矿2012年修理费预算11_2014年尖山铁矿能耗预算矿业_2017年全面预算新增表样" xfId="16705" xr:uid="{5FDBCA56-EB20-4097-A2A5-47480B241C17}"/>
    <cellStyle name="_尖山铁矿2012年修理费预算11_2014年尖山铁矿能耗预算矿业_采矿部2015年内部工序预算(12.15)" xfId="16706" xr:uid="{8982AC16-E9DA-4ECD-8677-EE388269EA0F}"/>
    <cellStyle name="_尖山铁矿2012年修理费预算11_2014年尖山铁矿能耗预算矿业_采矿综合组" xfId="16707" xr:uid="{2E0BF3EA-DDFD-459E-8974-3108C070A809}"/>
    <cellStyle name="_尖山铁矿2012年修理费预算11_2014年尖山铁矿能耗预算矿业_加不利2016年预算3稿（内）1106" xfId="16708" xr:uid="{A2D3D705-455F-4F87-9ACF-85353C4F1A4D}"/>
    <cellStyle name="_尖山铁矿2012年修理费预算11_2014年尖山铁矿能耗预算矿业_尖山2015年全面预算稿报矿业稿11.14000" xfId="16709" xr:uid="{161EC8D5-E9D7-49EA-BC0B-ADA734F55AEB}"/>
    <cellStyle name="_尖山铁矿2012年修理费预算11_2014年尖山铁矿能耗预算矿业_尖山2015年全面预算稿报矿业稿11.14000_2016年工序质量指标预算" xfId="16710" xr:uid="{D8C9A67D-00A9-4B73-A357-8A218572F2EC}"/>
    <cellStyle name="_尖山铁矿2012年修理费预算11_2014年尖山铁矿能耗预算矿业_尖山2015年全面预算稿报矿业稿11.14000_工艺科2017年全面预算20161010" xfId="16711" xr:uid="{CBD1EB27-422E-405F-BF10-CF700922D7FD}"/>
    <cellStyle name="_尖山铁矿2012年修理费预算11_2014年尖山铁矿能耗预算矿业_尖山2015年全面预算稿报矿业稿11.14000_尖山铁矿2017年全面预算1.26" xfId="16712" xr:uid="{7E3F63DD-7126-4AD1-A099-7AC38AF61A5E}"/>
    <cellStyle name="_尖山铁矿2012年修理费预算11_2014年尖山铁矿能耗预算矿业_尖山矿2017年产量预算及不利因素影响报" xfId="16713" xr:uid="{F39F7B53-9A78-4210-9156-00230F033362}"/>
    <cellStyle name="_尖山铁矿2012年修理费预算11_2014年尖山铁矿能耗预算矿业_尖山铁矿2015年全面预算" xfId="16714" xr:uid="{0BF78059-28A6-4D64-9128-CB561B720025}"/>
    <cellStyle name="_尖山铁矿2012年修理费预算11_2014年尖山铁矿能耗预算矿业_尖山铁矿2015年全面预算_尖山铁矿2017年全面预算1.26" xfId="16715" xr:uid="{3E02EB9D-07E3-4376-AD9E-4197E23F1E66}"/>
    <cellStyle name="_尖山铁矿2012年修理费预算11_2014年尖山铁矿能耗预算矿业_尖山铁矿2015年全面预算--挂在内网的正式稿" xfId="16716" xr:uid="{8350A78C-70DF-43A8-A3D2-E034E0510428}"/>
    <cellStyle name="_尖山铁矿2012年修理费预算11_2014年尖山铁矿能耗预算矿业_尖山铁矿2016年预算内部全面预算(129)" xfId="16717" xr:uid="{A1A734F4-B55D-434E-B7AE-D7C621A775BB}"/>
    <cellStyle name="_尖山铁矿2012年修理费预算11_2014年尖山铁矿能耗预算矿业_尖山铁矿2017年全面预算1.26" xfId="16718" xr:uid="{27D1941A-08B1-4721-AF84-6DF93CFCA5BD}"/>
    <cellStyle name="_尖山铁矿2012年修理费预算11_2014年尖山铁矿能耗预算矿业_矿石完成表" xfId="16719" xr:uid="{7B90EF08-5F83-475B-96E1-24B0BD0152E3}"/>
    <cellStyle name="_尖山铁矿2012年修理费预算11_2014年降本增效指标完成情况" xfId="16720" xr:uid="{ABCFD08A-F1A4-420A-8EE5-AF62D8B62212}"/>
    <cellStyle name="_尖山铁矿2012年修理费预算11_2015年工艺质量科全面预算" xfId="16721" xr:uid="{5B91F38C-66AB-4B31-B0B0-C11FBB51085E}"/>
    <cellStyle name="_尖山铁矿2012年修理费预算11_2016年采矿工序预算" xfId="16722" xr:uid="{3E8863C4-345B-4EC5-BB8C-FB8E17792266}"/>
    <cellStyle name="_尖山铁矿2012年修理费预算11_2017年全面预算新增表样" xfId="16723" xr:uid="{AA81004F-6906-4F8F-9D58-0AB27B6737FC}"/>
    <cellStyle name="_尖山铁矿2012年修理费预算11_采矿部2015年内部工序预算(12.15)" xfId="16724" xr:uid="{91D19F89-197B-438A-B92F-296A953B3BF4}"/>
    <cellStyle name="_尖山铁矿2012年修理费预算11_峨矿1月份成本报表(管理)" xfId="16725" xr:uid="{5DC74933-99D0-427C-B519-97514D14B4CA}"/>
    <cellStyle name="_尖山铁矿2012年修理费预算11_峨矿2014年经营预算全稿(2013.11.4)" xfId="16726" xr:uid="{A50617B5-CB0F-4030-84AE-F26BC6C24E75}"/>
    <cellStyle name="_尖山铁矿2012年修理费预算11_峨矿2014年经营预算全稿(2013.11.4)_2015年工艺质量科全面预算" xfId="16727" xr:uid="{17026B92-8C66-48FB-8584-BB564AC2696A}"/>
    <cellStyle name="_尖山铁矿2012年修理费预算11_峨矿2014年经营预算全稿(2013.11.4)_2016年9月成本报表" xfId="16728" xr:uid="{9F51A08C-6B3E-407B-B8A5-807766317930}"/>
    <cellStyle name="_尖山铁矿2012年修理费预算11_峨矿2014年经营预算全稿(2013.11.4)_2017年全面预算新增表样" xfId="16729" xr:uid="{F5A5B5F4-43F4-4FF7-98E1-A159E36C9E7E}"/>
    <cellStyle name="_尖山铁矿2012年修理费预算11_峨矿2014年经营预算全稿(2013.11.4)_采矿部2015年内部工序预算(12.15)" xfId="16730" xr:uid="{38D6628E-272A-44B3-B20E-917CE08C8DE5}"/>
    <cellStyle name="_尖山铁矿2012年修理费预算11_峨矿2014年经营预算全稿(2013.11.4)_采矿综合组" xfId="16731" xr:uid="{E35C5337-ACEA-4DC3-B3C1-29681D0EE829}"/>
    <cellStyle name="_尖山铁矿2012年修理费预算11_峨矿2014年经营预算全稿(2013.11.4)_加不利2016年预算3稿（内）1106" xfId="16732" xr:uid="{FB007E05-17F1-4B66-967D-5D1E511B94AC}"/>
    <cellStyle name="_尖山铁矿2012年修理费预算11_峨矿2014年经营预算全稿(2013.11.4)_尖山2015年全面预算稿报矿业稿11.14000" xfId="16733" xr:uid="{CB5D1F13-1A79-4B2F-B20F-0F8A881C8CBE}"/>
    <cellStyle name="_尖山铁矿2012年修理费预算11_峨矿2014年经营预算全稿(2013.11.4)_尖山2015年全面预算稿报矿业稿11.14000_2016年工序质量指标预算" xfId="16734" xr:uid="{47D85C16-8AFA-4044-A61F-7765F990D722}"/>
    <cellStyle name="_尖山铁矿2012年修理费预算11_峨矿2014年经营预算全稿(2013.11.4)_尖山2015年全面预算稿报矿业稿11.14000_工艺科2017年全面预算20161010" xfId="16735" xr:uid="{3A29A2F6-C772-446E-9DD0-02A01D651F0F}"/>
    <cellStyle name="_尖山铁矿2012年修理费预算11_峨矿2014年经营预算全稿(2013.11.4)_尖山2015年全面预算稿报矿业稿11.14000_尖山铁矿2017年全面预算1.26" xfId="16736" xr:uid="{1E582A4D-1154-4DC0-85F7-4D757B51F71C}"/>
    <cellStyle name="_尖山铁矿2012年修理费预算11_峨矿2014年经营预算全稿(2013.11.4)_尖山矿2017年产量预算及不利因素影响报" xfId="16737" xr:uid="{3ED168E6-1B86-428F-8A57-3E7BDD0317B9}"/>
    <cellStyle name="_尖山铁矿2012年修理费预算11_峨矿2014年经营预算全稿(2013.11.4)_尖山铁矿2015年全面预算" xfId="16738" xr:uid="{6894C27D-8491-4B92-AA74-6187F9FF9BA2}"/>
    <cellStyle name="_尖山铁矿2012年修理费预算11_峨矿2014年经营预算全稿(2013.11.4)_尖山铁矿2015年全面预算_尖山铁矿2017年全面预算1.26" xfId="16739" xr:uid="{1DC7E226-CA45-49E6-A232-241A86E21DF1}"/>
    <cellStyle name="_尖山铁矿2012年修理费预算11_峨矿2014年经营预算全稿(2013.11.4)_尖山铁矿2015年全面预算--挂在内网的正式稿" xfId="16740" xr:uid="{FE22DBB0-A1B0-46DB-9905-C3CEB51A0EE2}"/>
    <cellStyle name="_尖山铁矿2012年修理费预算11_峨矿2014年经营预算全稿(2013.11.4)_尖山铁矿2016年预算内部全面预算(129)" xfId="16741" xr:uid="{93AECD4E-FC96-4162-BEB7-6BAE6F22564D}"/>
    <cellStyle name="_尖山铁矿2012年修理费预算11_峨矿2014年经营预算全稿(2013.11.4)_尖山铁矿2017年全面预算1.26" xfId="16742" xr:uid="{D31BD07E-8AA8-471D-B846-DEC41B480FAA}"/>
    <cellStyle name="_尖山铁矿2012年修理费预算11_峨矿2014年经营预算全稿(2013.11.4)_矿石完成表" xfId="16743" xr:uid="{000886AF-7CD1-46DB-8F53-04E1559934CA}"/>
    <cellStyle name="_尖山铁矿2012年修理费预算11_峨矿2015年报表分析06" xfId="16744" xr:uid="{582642E7-B79B-447E-8ED3-F74C22BEB778}"/>
    <cellStyle name="_尖山铁矿2012年修理费预算11_峨矿2015年报表分析09" xfId="16745" xr:uid="{F1DA12EF-3D0A-4C1E-9E6A-A9E79A4461C1}"/>
    <cellStyle name="_尖山铁矿2012年修理费预算11_峨矿2015年报表分析11" xfId="16746" xr:uid="{DCA9666F-6041-44B6-B51E-0E42D59E0FA6}"/>
    <cellStyle name="_尖山铁矿2012年修理费预算11_峨矿2015年报表分析12" xfId="16747" xr:uid="{7D35C6C1-ED5F-49C7-971D-49B2134D8818}"/>
    <cellStyle name="_尖山铁矿2012年修理费预算11_峨矿2016年报表分析02" xfId="16748" xr:uid="{277187A5-C6CB-4404-BBBD-24E60F03E64D}"/>
    <cellStyle name="_尖山铁矿2012年修理费预算11_峨矿2016年全面预算(2016.1.28)" xfId="16749" xr:uid="{E96BF0D9-38F1-4C11-A1D2-DB096227C5A5}"/>
    <cellStyle name="_尖山铁矿2012年修理费预算11_峨矿6月份成本报表(管理)" xfId="16750" xr:uid="{F16B48C9-8259-4DC5-91A8-3C94A9D0FC64}"/>
    <cellStyle name="_尖山铁矿2012年修理费预算11_峨矿9月份成本报表" xfId="16751" xr:uid="{307C6136-3404-41B6-BF5D-947273EFFB67}"/>
    <cellStyle name="_尖山铁矿2012年修理费预算11_峨矿外协费用明细统计修订" xfId="16752" xr:uid="{A096EEB1-42A1-444E-9AC4-54A0B332EAC8}"/>
    <cellStyle name="_尖山铁矿2012年修理费预算11_复合2015年全面预算稿10.29" xfId="16753" xr:uid="{6D9A9DEE-BE66-4192-8659-F8841EB2B0B0}"/>
    <cellStyle name="_尖山铁矿2012年修理费预算11_副本矿业公司汇总及汇报初稿（复合材料厂）" xfId="16754" xr:uid="{784E8D8F-3AF5-45D8-9823-543246102895}"/>
    <cellStyle name="_尖山铁矿2012年修理费预算11_机关预算汇总11.19" xfId="16755" xr:uid="{5F0DF4BE-7DA7-4654-B1D4-53F8D774145E}"/>
    <cellStyle name="_尖山铁矿2012年修理费预算11_机关预算汇总11.19 2" xfId="16756" xr:uid="{821E7DE5-383F-4A1A-A5D8-2CB03A0CD8CE}"/>
    <cellStyle name="_尖山铁矿2012年修理费预算11_尖山2014年全面预算12.27" xfId="16757" xr:uid="{6E83CF9F-DFCF-4811-A2DD-848C786743A7}"/>
    <cellStyle name="_尖山铁矿2012年修理费预算11_尖山2015年全面预算稿10.27(生产科数据修改）" xfId="16758" xr:uid="{15599714-0902-4816-B564-2AF483B623A2}"/>
    <cellStyle name="_尖山铁矿2012年修理费预算11_尖山矿2017年产量预算及不利因素影响报" xfId="16759" xr:uid="{1324B4BB-D1BB-4BA3-B97D-E394CE19D689}"/>
    <cellStyle name="_尖山铁矿2012年修理费预算11_尖山铁矿2015年全面预算" xfId="16760" xr:uid="{D556E29E-F0F9-4287-A813-4C6CFAE9E47C}"/>
    <cellStyle name="_尖山铁矿2012年修理费预算11_尖山铁矿2015年全面预算_尖山铁矿2017年全面预算1.26" xfId="16761" xr:uid="{3213C141-BC32-4234-BE38-8AF10BE0301D}"/>
    <cellStyle name="_尖山铁矿2012年修理费预算11_尖山铁矿2015年全面预算--挂在内网的正式稿" xfId="16762" xr:uid="{4209D312-94CD-4D54-90E6-EEB4A1D293B1}"/>
    <cellStyle name="_尖山铁矿2012年修理费预算11_降本增效简报底表(杜占杰9.1)" xfId="16763" xr:uid="{827961C0-A0D9-4271-BFDE-000914486DCF}"/>
    <cellStyle name="_尖山铁矿2012年修理费预算11_太钢鑫磊2017年1月非生产、安全、修理费统计报表" xfId="16764" xr:uid="{98637AD8-3DEF-4780-8653-AD35EDA13199}"/>
    <cellStyle name="_尖山铁矿2012年修理费预算11_维修费用报表(董矿长)" xfId="16765" xr:uid="{68E01EB0-1C05-4520-9895-2268D088AB92}"/>
    <cellStyle name="_尖山铁矿2012年修理费预算11_预算汇总" xfId="16766" xr:uid="{7814EFF0-FF9D-4ECE-949F-CB48A7B416E5}"/>
    <cellStyle name="_尖山铁矿2012年修理费预算11_预算汇总_矿业公司产量、成本利润分析机关本部(1)" xfId="16767" xr:uid="{C880E79F-6A31-459D-89BC-0FACFE7110AA}"/>
    <cellStyle name="_尖山铁矿2012年修理费预算11_预算汇总_矿业公司产量、成本利润分析机关本部(1)_2014年降本增效指标完成情况" xfId="16768" xr:uid="{F6D58C7A-763D-4DFD-A024-A9466169E395}"/>
    <cellStyle name="_尖山铁矿2012年修理费预算11_专项费用(斤斤)" xfId="16769" xr:uid="{2E621AF5-8F13-431D-B409-FFE59D3DCBD5}"/>
    <cellStyle name="_尖山铁矿2013年修理费预算1.8" xfId="16770" xr:uid="{E0608B97-5E35-4E70-B4D4-61046969434C}"/>
    <cellStyle name="_尖山铁矿2013年修理费预算1.8_2015年工艺质量科全面预算" xfId="16771" xr:uid="{822A1381-D7AE-4313-8672-D98D758AA9ED}"/>
    <cellStyle name="_尖山铁矿2013年修理费预算1.8_2016年9月成本报表" xfId="16772" xr:uid="{CBDE5764-2B21-4D10-A623-34AA9B372022}"/>
    <cellStyle name="_尖山铁矿2013年修理费预算1.8_2016年采矿工序预算" xfId="16773" xr:uid="{5C290EAE-DC17-4F22-98B0-F05BDE803E17}"/>
    <cellStyle name="_尖山铁矿2013年修理费预算1.8_2017年全面预算新增表样" xfId="16774" xr:uid="{4393BA18-99C6-4F2B-8582-77622050892D}"/>
    <cellStyle name="_尖山铁矿2013年修理费预算1.8_采矿部2015年内部工序预算(12.15)" xfId="16775" xr:uid="{4153DB1C-9A3F-44C5-A4D9-2CE3F4E41A1F}"/>
    <cellStyle name="_尖山铁矿2013年修理费预算1.8_采矿综合组" xfId="16776" xr:uid="{83D0EEE3-E768-4358-982D-FDC22B6B3C67}"/>
    <cellStyle name="_尖山铁矿2013年修理费预算1.8_峨口分析台帐" xfId="16777" xr:uid="{3F0646A2-ABB2-42ED-9756-070B31780BFB}"/>
    <cellStyle name="_尖山铁矿2013年修理费预算1.8_峨矿2015年报表分析06" xfId="16778" xr:uid="{D6390AEA-6977-44E2-855D-150367136D4E}"/>
    <cellStyle name="_尖山铁矿2013年修理费预算1.8_峨矿2015年报表分析09" xfId="16779" xr:uid="{F7121AEB-B52F-4DE3-A95F-70D44C5C9FEA}"/>
    <cellStyle name="_尖山铁矿2013年修理费预算1.8_峨矿2015年报表分析11" xfId="16780" xr:uid="{39B3A702-C9AC-4F85-AD7D-AB3C3BACDC47}"/>
    <cellStyle name="_尖山铁矿2013年修理费预算1.8_峨矿2015年报表分析12" xfId="16781" xr:uid="{211AABA5-7B81-40E5-853D-A78A5C4FE618}"/>
    <cellStyle name="_尖山铁矿2013年修理费预算1.8_峨矿2016年报表分析02" xfId="16782" xr:uid="{C3CC9F31-CE34-4AC2-AB5B-DA599D844F04}"/>
    <cellStyle name="_尖山铁矿2013年修理费预算1.8_峨矿2016年全面预算(2016.1.28)" xfId="16783" xr:uid="{CC022F67-4EFF-43DF-8108-E24AD2930ADC}"/>
    <cellStyle name="_尖山铁矿2013年修理费预算1.8_峨矿6月份成本报表(管理)" xfId="16784" xr:uid="{8D7C0085-89A8-444B-9085-0A3E9613E8F7}"/>
    <cellStyle name="_尖山铁矿2013年修理费预算1.8_峨矿9月份成本报表" xfId="16785" xr:uid="{E1EDF067-F339-4F1C-82F8-F7B2068678FB}"/>
    <cellStyle name="_尖山铁矿2013年修理费预算1.8_峨矿外协费用明细统计修订" xfId="16786" xr:uid="{33AF4BB4-D6E2-4D8F-AF74-C78BEAE75D96}"/>
    <cellStyle name="_尖山铁矿2013年修理费预算1.8_复合2015年全面预算稿10.29" xfId="16787" xr:uid="{5F075F31-9C85-42F8-9B69-E015C83ADE1B}"/>
    <cellStyle name="_尖山铁矿2013年修理费预算1.8_加不利2016年预算3稿（内）1106" xfId="16788" xr:uid="{B87D74E5-B23E-41FD-BB5D-00C79BA54996}"/>
    <cellStyle name="_尖山铁矿2013年修理费预算1.8_尖山2015年全面预算稿报矿业稿11.14000" xfId="16789" xr:uid="{EA006D14-52C9-4DD5-BAB2-67EE831F46A8}"/>
    <cellStyle name="_尖山铁矿2013年修理费预算1.8_尖山2015年全面预算稿报矿业稿11.14000_2016年工序质量指标预算" xfId="16790" xr:uid="{91F1476F-371F-440C-B50B-647872EF4201}"/>
    <cellStyle name="_尖山铁矿2013年修理费预算1.8_尖山2015年全面预算稿报矿业稿11.14000_工艺科2017年全面预算20161010" xfId="16791" xr:uid="{A0B60FA6-EF56-4C1E-9744-4EE8C84A2196}"/>
    <cellStyle name="_尖山铁矿2013年修理费预算1.8_尖山2015年全面预算稿报矿业稿11.14000_尖山铁矿2017年全面预算1.26" xfId="16792" xr:uid="{953D6806-3FD9-464C-9375-68692F063AC8}"/>
    <cellStyle name="_尖山铁矿2013年修理费预算1.8_尖山矿2017年产量预算及不利因素影响报" xfId="16793" xr:uid="{10A85544-0A79-497D-8748-8F28BE752607}"/>
    <cellStyle name="_尖山铁矿2013年修理费预算1.8_尖山铁矿2015年全面预算" xfId="16794" xr:uid="{5B56B310-0250-4FC1-B8D9-3F77D91454D7}"/>
    <cellStyle name="_尖山铁矿2013年修理费预算1.8_尖山铁矿2015年全面预算_尖山铁矿2017年全面预算1.26" xfId="16795" xr:uid="{DBF4AD18-0627-4846-8A05-4DC02CD8A8D6}"/>
    <cellStyle name="_尖山铁矿2013年修理费预算1.8_尖山铁矿2015年全面预算--挂在内网的正式稿" xfId="16796" xr:uid="{4D622029-467A-4F46-94D9-832DA959F1DD}"/>
    <cellStyle name="_尖山铁矿2013年修理费预算1.8_尖山铁矿2016年预算内部全面预算(129)" xfId="16797" xr:uid="{433B01FC-4983-43D4-B40E-10A65C4C1CEE}"/>
    <cellStyle name="_尖山铁矿2013年修理费预算1.8_尖山铁矿2017年全面预算1.26" xfId="16798" xr:uid="{56540679-C6D7-4D6E-8560-151090CBB32E}"/>
    <cellStyle name="_尖山铁矿2013年修理费预算1.8_矿石完成表" xfId="16799" xr:uid="{C4F332DB-DDB4-4E92-933C-2307C2501E5C}"/>
    <cellStyle name="_尖山铁矿2013年修理费预算1.8_维修费用报表(董矿长)" xfId="16800" xr:uid="{2D9F675B-9DD4-4916-BA7F-51D50BB94C10}"/>
    <cellStyle name="_进出口价差-1.22" xfId="16801" xr:uid="{C508BF2E-E3E3-47E0-A77F-5667E42DFE8B}"/>
    <cellStyle name="_进出口价差-1.22_3月份计划附表(会后修改稿)" xfId="16802" xr:uid="{2316B01D-5CCE-4739-BA62-942AA82D0B9B}"/>
    <cellStyle name="_进出口价差-1.22_3月份计划附表(会后修改稿)_第三阶段攻关任务" xfId="16803" xr:uid="{99FFD0A0-5FC8-4F7D-B30E-2896A0180348}"/>
    <cellStyle name="_进出口价差-1.22_3月份生产经营计划" xfId="16804" xr:uid="{5A301A2A-0132-495F-A8EA-661E2DDBA9E5}"/>
    <cellStyle name="_进出口价差-1.22_第三阶段攻关任务" xfId="16805" xr:uid="{7C0BCA10-3CEA-44FF-B53A-C294D1E5D28B}"/>
    <cellStyle name="_进出口价差-1.22_首钢集团2009年2月份增收节支确认情况" xfId="16806" xr:uid="{1EAB4EB1-FF5F-4C46-93A1-839B8DE12301}"/>
    <cellStyle name="_进口矿价分析表" xfId="16807" xr:uid="{B28F4460-F46B-4E52-ABA7-DCDAD65C2DD9}"/>
    <cellStyle name="_进口矿价分析表_007" xfId="16808" xr:uid="{ADF90587-2728-4269-ADCA-D5E3187E45C7}"/>
    <cellStyle name="_进口矿价分析表_0904矿业公司目标成本降低额测算03.27" xfId="16809" xr:uid="{9638428E-83B2-47D4-8B6F-1F5DFE9AEFD7}"/>
    <cellStyle name="_进口矿价分析表_2009年1月预计库存情况汇总表0115" xfId="16810" xr:uid="{C2A1F587-7638-4AC5-8EF7-6DD6F886F716}"/>
    <cellStyle name="_进口矿价分析表_2009年1月预计库存情况汇总表0115_007" xfId="16811" xr:uid="{7FA40D2A-30B6-4C60-B03F-811CD83A192E}"/>
    <cellStyle name="_进口矿价分析表_2009年1月预计库存情况汇总表0115_0904矿业公司目标成本降低额测算03.27" xfId="16812" xr:uid="{E956E177-3546-4C9F-8E96-E9A33A1B53E6}"/>
    <cellStyle name="_进口矿价分析表_2009年1月预计库存情况汇总表0115_3月份计划附表(会后修改稿)" xfId="16813" xr:uid="{5C1F2F22-9C35-4DBB-9796-95828318AC12}"/>
    <cellStyle name="_进口矿价分析表_2009年1月预计库存情况汇总表0115_3月份计划附表(会后修改稿)_第三阶段攻关任务" xfId="16814" xr:uid="{4D53E085-DDAD-4EBF-9152-774283CA8DE8}"/>
    <cellStyle name="_进口矿价分析表_2009年1月预计库存情况汇总表0115_3月份生产经营计划" xfId="16815" xr:uid="{EC46A5C4-6530-45B5-9077-CA860FA62985}"/>
    <cellStyle name="_进口矿价分析表_2009年1月预计库存情况汇总表0115_6月份目标成本表(颁发)090531" xfId="16816" xr:uid="{F7DFE597-4026-428A-B86E-D9AE1A433E79}"/>
    <cellStyle name="_进口矿价分析表_2009年1月预计库存情况汇总表0115_第三阶段攻关任务" xfId="16817" xr:uid="{5B1F6067-5CB8-4838-876F-6BDF330643F9}"/>
    <cellStyle name="_进口矿价分析表_2009年1月预计库存情况汇总表0115_建材处3-4月价格预测0319" xfId="16818" xr:uid="{F95A0E7F-4F87-4553-B64D-EA35BD8D346F}"/>
    <cellStyle name="_进口矿价分析表_2009年1月预计库存情况汇总表0115_首钢集团2009年2月份增收节支确认情况" xfId="16819" xr:uid="{E65B352B-B24D-42FB-8E34-053E19F120F8}"/>
    <cellStyle name="_进口矿价分析表_2009年1月预计库存情况汇总表0115_首钢总公司关于颁发《首钢钢铁业2009年3月份目标成本安排》的通知" xfId="16820" xr:uid="{20CFB71C-3874-49E6-BED0-212A0AAA6403}"/>
    <cellStyle name="_进口矿价分析表_2009年1月预计库存情况汇总表0115_首钢总公司关于颁发《首钢钢铁业2009年3月份目标成本安排》的通知_2009年3月份矿业公司目标成本326" xfId="16821" xr:uid="{94E67CC7-05D5-4DD2-BDCC-8A631D01CE27}"/>
    <cellStyle name="_进口矿价分析表_2009年1月预计库存情况汇总表0115_首钢总公司关于颁发《首钢钢铁业2009年3月份目标成本安排》的通知_6月份目标成本表(颁发)090531" xfId="16822" xr:uid="{9716D4CF-E372-4A0A-ACA7-F31EB82B6AB4}"/>
    <cellStyle name="_进口矿价分析表_2009年1月预计库存情况汇总表0115_首钢总公司关于颁发《首钢钢铁业2009年3月份目标成本安排》的通知_第三阶段攻关任务" xfId="16823" xr:uid="{E94FC09C-09AF-4873-B6CB-E1A05408537C}"/>
    <cellStyle name="_进口矿价分析表_2月份采购成本预测表" xfId="16824" xr:uid="{859D414A-BF01-49F3-9283-FE5CD38B1EFE}"/>
    <cellStyle name="_进口矿价分析表_3月份计划附表(会后修改稿)" xfId="16825" xr:uid="{13677ACE-2CD4-45BF-A08A-42049A8F84E4}"/>
    <cellStyle name="_进口矿价分析表_3月份计划附表(会后修改稿)_第三阶段攻关任务" xfId="16826" xr:uid="{EABF38BD-6471-4FC2-861F-BA336BAFB55E}"/>
    <cellStyle name="_进口矿价分析表_3月份生产经营计划" xfId="16827" xr:uid="{8EED81CD-8E70-48CD-8E3A-A4FDB888B509}"/>
    <cellStyle name="_进口矿价分析表_6月份目标成本表(颁发)090531" xfId="16828" xr:uid="{B7C38E54-CDFD-4153-98A9-DF70A2579A2E}"/>
    <cellStyle name="_进口矿价分析表_第三阶段攻关任务" xfId="16829" xr:uid="{7174E91A-3624-4DE1-9263-31E8ADAAC0E9}"/>
    <cellStyle name="_进口矿价分析表_供应公司2月份预测" xfId="16830" xr:uid="{9DC6CF85-0FE0-4F47-B6F0-78EC17F579B2}"/>
    <cellStyle name="_进口矿价分析表_建材处3-4月价格预测0319" xfId="16831" xr:uid="{3A0AB80F-3EB7-466C-B288-F1C451DA3312}"/>
    <cellStyle name="_进口矿价分析表_首钢集团2009年2月份增收节支确认情况" xfId="16832" xr:uid="{D665124D-FF3C-4F51-AA91-44C13014695B}"/>
    <cellStyle name="_进口矿价分析表_首钢总公司关于颁发《首钢钢铁业2009年3月份目标成本安排》的通知" xfId="16833" xr:uid="{E8A4CB7D-9150-4746-9D0F-AB9499B750A8}"/>
    <cellStyle name="_进口矿价分析表_首钢总公司关于颁发《首钢钢铁业2009年3月份目标成本安排》的通知_2009年3月份矿业公司目标成本326" xfId="16834" xr:uid="{BE7D9DC5-7390-4068-A0D3-B540917816D2}"/>
    <cellStyle name="_进口矿价分析表_首钢总公司关于颁发《首钢钢铁业2009年3月份目标成本安排》的通知_6月份目标成本表(颁发)090531" xfId="16835" xr:uid="{2703E3D1-B5AF-4CB9-A5DE-BCE75528EDCC}"/>
    <cellStyle name="_进口矿价分析表_首钢总公司关于颁发《首钢钢铁业2009年3月份目标成本安排》的通知_第三阶段攻关任务" xfId="16836" xr:uid="{8F45CDD3-03FB-45EC-BC30-FE51D9AD43F6}"/>
    <cellStyle name="_进口矿价分析表_中板三月成本测算20090307" xfId="16837" xr:uid="{ABC99758-AB36-4A99-A893-B74D39FB6816}"/>
    <cellStyle name="_九月份检修计划（新）" xfId="16838" xr:uid="{328AABCC-5611-48A4-81D5-31990564DEFA}"/>
    <cellStyle name="_九月份检修计划（新） 2" xfId="16839" xr:uid="{B41C40AF-AE7A-4536-9064-FF7868C366B3}"/>
    <cellStyle name="_矿石日反馈11.03" xfId="16840" xr:uid="{7815DF66-CE5E-4F0C-9D65-6163571CD51F}"/>
    <cellStyle name="_矿业08年预计（消耗调整）12.17" xfId="16841" xr:uid="{A0B75D28-605A-4F01-9498-0EE5AFA5A8C1}"/>
    <cellStyle name="_矿业08年预计（消耗调整）12.17_矿业09年计划12.25" xfId="16842" xr:uid="{117A5CC1-2F29-4733-8B5E-34086DDF13A4}"/>
    <cellStyle name="_矿业08年预计（消耗调整）12.17_矿业09年计划12.25_6月份目标成本表(颁发)090531" xfId="16843" xr:uid="{0FBC3262-6885-4B20-B860-8B495DC0F295}"/>
    <cellStyle name="_矿业08年预计（消耗调整）12.17_矿业09年计划12.25_第三阶段攻关任务" xfId="16844" xr:uid="{62E9DC3A-C419-4B56-9266-A0BD1E30806E}"/>
    <cellStyle name="_矿业08年预计12.09" xfId="16845" xr:uid="{B582181D-CD2D-4BF1-A345-EDFE3C23C29B}"/>
    <cellStyle name="_矿业08年预计12.09_矿业09年计划12.25" xfId="16846" xr:uid="{D2B87044-F80F-4F2D-9BE8-DB0257625FCC}"/>
    <cellStyle name="_矿业08年预计12.09_矿业09年计划12.25_6月份目标成本表(颁发)090531" xfId="16847" xr:uid="{B4276C5E-54D1-421D-B5F9-D52785C672FF}"/>
    <cellStyle name="_矿业08年预计12.09_矿业09年计划12.25_第三阶段攻关任务" xfId="16848" xr:uid="{970ACA00-F1D1-489F-8BBC-FC07054283B4}"/>
    <cellStyle name="_矿业08年预计12.11" xfId="16849" xr:uid="{C0D8FCF2-F416-4D02-854F-A72536D175A6}"/>
    <cellStyle name="_矿业08年预计12.11_矿业09年计划12.25" xfId="16850" xr:uid="{E5B5FA47-68BC-410D-B84D-4F2AD0718136}"/>
    <cellStyle name="_矿业08年预计12.11_矿业09年计划12.25_6月份目标成本表(颁发)090531" xfId="16851" xr:uid="{D33F9A4F-A4AC-40E7-9B7A-EDFC53D09BFF}"/>
    <cellStyle name="_矿业08年预计12.11_矿业09年计划12.25_第三阶段攻关任务" xfId="16852" xr:uid="{572191E1-B28C-41EC-B061-276676436207}"/>
    <cellStyle name="_矿业2009预算终稿(1)" xfId="16853" xr:uid="{A1B942C7-491B-448F-847E-2B4CA6551A8E}"/>
    <cellStyle name="_矿业2009预算终稿(1)_10月球团产品成本表" xfId="16854" xr:uid="{C5163E04-F7F6-48EE-B293-4ECD54830B8C}"/>
    <cellStyle name="_矿业2009预算终稿(1)_11月球团产品成本表" xfId="16855" xr:uid="{D3A4AEB1-9AA8-4402-AB7C-B00C691EB6C6}"/>
    <cellStyle name="_矿业2009预算终稿(1)_11月球团产品成本表_1" xfId="16856" xr:uid="{EE1FF0F3-FC77-41B4-BCDA-961F3148DED2}"/>
    <cellStyle name="_矿业2009预算终稿(1)_待摊 (自产)" xfId="16857" xr:uid="{0A6D1230-96CD-4E2A-AA4F-4F11D4158D22}"/>
    <cellStyle name="_矿业2009预算终稿(1)_待摊 (自产)_10月球团产品成本表" xfId="16858" xr:uid="{C5E86B7C-4301-4D33-923A-205C42894F0B}"/>
    <cellStyle name="_矿业2009预算终稿(1)_待摊 (自产)_11月球团产品成本表" xfId="16859" xr:uid="{F700F66A-0F11-43A9-A3E2-4F7D7AC47905}"/>
    <cellStyle name="_矿业2009预算终稿(1)_待摊 (自产)_11月球团产品成本表_1" xfId="16860" xr:uid="{88CA2B75-50CC-4B30-8EE0-554FCDCC2AE7}"/>
    <cellStyle name="_矿业2009预算终稿(1)_球团工序" xfId="16861" xr:uid="{0A53013B-B407-486C-8508-6DE7743C54CF}"/>
    <cellStyle name="_矿业非生产费及外协费" xfId="16862" xr:uid="{870B3E28-4661-4DD0-BDFE-894A029C90E1}"/>
    <cellStyle name="_矿业非生产费及外协费 2" xfId="16863" xr:uid="{DC29A591-829D-4538-8D99-FF34FA315D4B}"/>
    <cellStyle name="_矿业非生产费及外协费_2014年降本增效指标完成情况" xfId="16864" xr:uid="{E77EB85E-0DE3-42EE-AAE9-96F047A44D28}"/>
    <cellStyle name="_矿业非生产费及外协费_2015年工艺质量科全面预算" xfId="16865" xr:uid="{D80152E6-FD8C-4F77-AEA6-28AC693E3D10}"/>
    <cellStyle name="_矿业非生产费及外协费_2016年9月成本报表" xfId="16866" xr:uid="{78A88F82-E37F-4AEB-A3FC-0CE8F6BB3043}"/>
    <cellStyle name="_矿业非生产费及外协费_2016年采矿工序预算" xfId="16867" xr:uid="{8114E6E6-C962-481B-80F8-FD63CF7B6AEC}"/>
    <cellStyle name="_矿业非生产费及外协费_2017年全面预算新增表样" xfId="16868" xr:uid="{3C0D1A02-318E-4EA2-917C-777CB43D9EBB}"/>
    <cellStyle name="_矿业非生产费及外协费_采矿部2015年内部工序预算(12.15)" xfId="16869" xr:uid="{2A86AB7D-DCD8-49C4-ACC9-2A35EAA88A40}"/>
    <cellStyle name="_矿业非生产费及外协费_采矿综合组" xfId="16870" xr:uid="{579762D2-4DA0-432E-BF75-88DFFAFB2992}"/>
    <cellStyle name="_矿业非生产费及外协费_峨矿1月份成本报表(管理)" xfId="16871" xr:uid="{AB2364EF-D635-42F7-9A70-AD84858C86ED}"/>
    <cellStyle name="_矿业非生产费及外协费_峨矿2015年报表分析06" xfId="16872" xr:uid="{B9D92CFE-468B-4D7D-BBEA-692106F34AF5}"/>
    <cellStyle name="_矿业非生产费及外协费_峨矿2015年报表分析09" xfId="16873" xr:uid="{973D308C-E998-4354-903A-91BF95937C9F}"/>
    <cellStyle name="_矿业非生产费及外协费_峨矿2015年报表分析11" xfId="16874" xr:uid="{61A75361-2E63-4BAE-A824-928E0F3B5E8F}"/>
    <cellStyle name="_矿业非生产费及外协费_峨矿2015年报表分析12" xfId="16875" xr:uid="{57F61E24-F5C0-4174-A89D-E08939DE081A}"/>
    <cellStyle name="_矿业非生产费及外协费_峨矿2016年报表分析02" xfId="16876" xr:uid="{E3CB1040-3DFE-459B-8E78-261DE160347A}"/>
    <cellStyle name="_矿业非生产费及外协费_峨矿2016年全面预算(2016.1.28)" xfId="16877" xr:uid="{B5D82B17-F54D-4196-820A-8799D9BFCFEC}"/>
    <cellStyle name="_矿业非生产费及外协费_峨矿6月份成本报表(管理)" xfId="16878" xr:uid="{856D74F8-D3C8-4F23-B450-D728640104BF}"/>
    <cellStyle name="_矿业非生产费及外协费_峨矿9月份成本报表" xfId="16879" xr:uid="{C83B72A0-5DA5-4FD1-A049-D4A1F66BF548}"/>
    <cellStyle name="_矿业非生产费及外协费_峨矿外协费用明细统计修订" xfId="16880" xr:uid="{B3A072BE-BEF4-4E69-8853-8F77BB3456E9}"/>
    <cellStyle name="_矿业非生产费及外协费_机关预算汇总11.19" xfId="16881" xr:uid="{9EE740F8-CCE9-4D9B-B3A2-FD79BE1A5255}"/>
    <cellStyle name="_矿业非生产费及外协费_机关预算汇总11.19 2" xfId="16882" xr:uid="{4EA1A867-8234-47E3-9BAF-CBBD8BF5D3A7}"/>
    <cellStyle name="_矿业非生产费及外协费_加不利2016年预算3稿（内）1106" xfId="16883" xr:uid="{6F140B71-7CAF-4C9E-A238-436903CA123B}"/>
    <cellStyle name="_矿业非生产费及外协费_尖山2015年全面预算稿报矿业稿11.14000" xfId="16884" xr:uid="{5F371B56-12E2-4EFD-8CD4-18C05F42678C}"/>
    <cellStyle name="_矿业非生产费及外协费_尖山2015年全面预算稿报矿业稿11.14000_2016年工序质量指标预算" xfId="16885" xr:uid="{B4194E39-89F5-4231-BD56-3E9E674FBBA1}"/>
    <cellStyle name="_矿业非生产费及外协费_尖山2015年全面预算稿报矿业稿11.14000_工艺科2017年全面预算20161010" xfId="16886" xr:uid="{8E09382F-ACFC-4321-B7B7-D85895A778F4}"/>
    <cellStyle name="_矿业非生产费及外协费_尖山2015年全面预算稿报矿业稿11.14000_尖山铁矿2017年全面预算1.26" xfId="16887" xr:uid="{1B08EC81-97A9-414F-8DE3-432535C481B6}"/>
    <cellStyle name="_矿业非生产费及外协费_尖山矿2017年产量预算及不利因素影响报" xfId="16888" xr:uid="{BB70D33F-FA0F-4DE3-A7B8-EFA75BFBDDAA}"/>
    <cellStyle name="_矿业非生产费及外协费_尖山铁矿2015年全面预算" xfId="16889" xr:uid="{A7DD7A14-406A-41CC-AF71-FAC5B635F31F}"/>
    <cellStyle name="_矿业非生产费及外协费_尖山铁矿2015年全面预算_尖山铁矿2017年全面预算1.26" xfId="16890" xr:uid="{368531C9-7EC4-4FAA-A864-9EEAB424E42C}"/>
    <cellStyle name="_矿业非生产费及外协费_尖山铁矿2015年全面预算--挂在内网的正式稿" xfId="16891" xr:uid="{7DBBC893-66A1-4036-9EE3-B83D4D62DE4A}"/>
    <cellStyle name="_矿业非生产费及外协费_尖山铁矿2016年预算内部全面预算(129)" xfId="16892" xr:uid="{756F6CD8-31D9-4448-80F8-6E5DE55C13C8}"/>
    <cellStyle name="_矿业非生产费及外协费_尖山铁矿2017年全面预算1.26" xfId="16893" xr:uid="{24B41161-2710-4C3C-A4F9-124D99D3E115}"/>
    <cellStyle name="_矿业非生产费及外协费_降本增效简报底表(杜占杰9.1)" xfId="16894" xr:uid="{30BC0297-5B62-4BBA-860E-7BFEC3ED9C83}"/>
    <cellStyle name="_矿业非生产费及外协费_矿石完成表" xfId="16895" xr:uid="{349F97CE-B3D0-40C3-B0BE-14E9B35A2E91}"/>
    <cellStyle name="_矿业非生产费及外协费_矿业公司产量、成本利润分析机关本部(1)" xfId="16896" xr:uid="{D032238C-921B-41ED-8ED8-9A0CEF9DF04F}"/>
    <cellStyle name="_矿业非生产费及外协费_矿业公司产量、成本利润分析机关本部(1)_2014年降本增效指标完成情况" xfId="16897" xr:uid="{F11476A1-5FB9-45D9-83BD-73B42444A772}"/>
    <cellStyle name="_矿业非生产费及外协费_维修费用报表(董矿长)" xfId="16898" xr:uid="{99E4C08A-A155-494B-B8ED-EC0C84635322}"/>
    <cellStyle name="_矿业非生产费用预算月完成情况" xfId="16899" xr:uid="{2E780278-44C2-4692-9369-008EC8F18508}"/>
    <cellStyle name="_矿业非生产费用预算月完成情况_2014年  月外协费用报表" xfId="16900" xr:uid="{FD5C20EF-7FA2-464D-914F-F644110765D9}"/>
    <cellStyle name="_矿业非生产费用预算月完成情况_2014年降本增效指标完成情况" xfId="16901" xr:uid="{3700182D-4BFA-4B05-BD5F-E77744E5DA7C}"/>
    <cellStyle name="_矿业非生产费用预算月完成情况_2015年工艺质量科全面预算" xfId="16902" xr:uid="{54EDA832-3D8B-41B4-9A75-316D641E8415}"/>
    <cellStyle name="_矿业非生产费用预算月完成情况_2016年9月成本报表" xfId="16903" xr:uid="{51F7FF3C-42CB-4848-84AC-6D6818ED3F09}"/>
    <cellStyle name="_矿业非生产费用预算月完成情况_2016年采矿工序预算" xfId="16904" xr:uid="{72B9EF95-AE3B-496C-B5B8-2ED3E9413CCB}"/>
    <cellStyle name="_矿业非生产费用预算月完成情况_2017年全面预算新增表样" xfId="16905" xr:uid="{C32AD300-EF29-470E-8753-6CAAF2AFE8C3}"/>
    <cellStyle name="_矿业非生产费用预算月完成情况_采矿部2015年内部工序预算(12.15)" xfId="16906" xr:uid="{50275929-280E-4249-9601-EF6874FD69B4}"/>
    <cellStyle name="_矿业非生产费用预算月完成情况_采矿综合组" xfId="16907" xr:uid="{F072D4DF-9E57-4031-A672-8C17B3E8F6DE}"/>
    <cellStyle name="_矿业非生产费用预算月完成情况_峨矿1月份成本报表(管理)" xfId="16908" xr:uid="{AD6A390F-E0CA-4D9B-8A83-899E65D34627}"/>
    <cellStyle name="_矿业非生产费用预算月完成情况_峨矿2015年报表分析06" xfId="16909" xr:uid="{4847B3EB-682F-4CF2-B30E-209BCA73CD0E}"/>
    <cellStyle name="_矿业非生产费用预算月完成情况_峨矿2015年报表分析09" xfId="16910" xr:uid="{4C7BC55B-25BF-46FC-A2D3-C91098F866B0}"/>
    <cellStyle name="_矿业非生产费用预算月完成情况_峨矿2015年报表分析11" xfId="16911" xr:uid="{6FE54CED-F41F-4EF9-834A-DE464E33A02A}"/>
    <cellStyle name="_矿业非生产费用预算月完成情况_峨矿2015年报表分析12" xfId="16912" xr:uid="{92DFDE01-F36A-4711-BE85-4DB6BA6DB004}"/>
    <cellStyle name="_矿业非生产费用预算月完成情况_峨矿2016年报表分析02" xfId="16913" xr:uid="{AC68D585-DB0F-4A35-A758-91CC53E5D350}"/>
    <cellStyle name="_矿业非生产费用预算月完成情况_峨矿6月份成本报表(管理)" xfId="16914" xr:uid="{21FFBC61-95AD-4BCC-BE35-EEC9B8FB2E39}"/>
    <cellStyle name="_矿业非生产费用预算月完成情况_峨矿9月份成本报表" xfId="16915" xr:uid="{DC230E32-38E1-4679-B382-FBB5850FAE6C}"/>
    <cellStyle name="_矿业非生产费用预算月完成情况_加不利2016年预算3稿（内）1106" xfId="16916" xr:uid="{DCC3C45A-6961-48F9-AD2F-8F2145AB833B}"/>
    <cellStyle name="_矿业非生产费用预算月完成情况_尖山2015年全面预算稿报矿业稿11.14000" xfId="16917" xr:uid="{8439C074-5B07-4AA3-84D7-9E6896C9ECAB}"/>
    <cellStyle name="_矿业非生产费用预算月完成情况_尖山2015年全面预算稿报矿业稿11.14000_2016年工序质量指标预算" xfId="16918" xr:uid="{9F79D5CC-F4E9-42C4-8D18-C1BD1944A9EE}"/>
    <cellStyle name="_矿业非生产费用预算月完成情况_尖山2015年全面预算稿报矿业稿11.14000_工艺科2017年全面预算20161010" xfId="16919" xr:uid="{160246C8-7B1B-4075-BF7C-D22289D00AA8}"/>
    <cellStyle name="_矿业非生产费用预算月完成情况_尖山2015年全面预算稿报矿业稿11.14000_尖山铁矿2017年全面预算1.26" xfId="16920" xr:uid="{81BBA41C-AD66-40AB-9C83-4F3F8448ADA6}"/>
    <cellStyle name="_矿业非生产费用预算月完成情况_尖山矿2017年产量预算及不利因素影响报" xfId="16921" xr:uid="{C79400B2-19C1-4395-8800-DC74A2DB8381}"/>
    <cellStyle name="_矿业非生产费用预算月完成情况_尖山铁矿2015年全面预算" xfId="16922" xr:uid="{6CD08FB5-31C9-46E8-ADB5-7C5BD18AF180}"/>
    <cellStyle name="_矿业非生产费用预算月完成情况_尖山铁矿2015年全面预算_尖山铁矿2017年全面预算1.26" xfId="16923" xr:uid="{5C6590D7-CA40-4D88-A0B4-BE93D8993B06}"/>
    <cellStyle name="_矿业非生产费用预算月完成情况_尖山铁矿2015年全面预算--挂在内网的正式稿" xfId="16924" xr:uid="{002041C8-9C7E-4FB7-8B52-52898EE58A27}"/>
    <cellStyle name="_矿业非生产费用预算月完成情况_尖山铁矿2016年预算内部全面预算(129)" xfId="16925" xr:uid="{30AC56A7-E7BE-4283-81B3-3E779076E6CF}"/>
    <cellStyle name="_矿业非生产费用预算月完成情况_尖山铁矿2017年全面预算1.26" xfId="16926" xr:uid="{C3432700-CB67-496B-BC1B-1CAE41B3E09C}"/>
    <cellStyle name="_矿业非生产费用预算月完成情况_降本增效简报底表(杜占杰9.1)" xfId="16927" xr:uid="{DC3E5273-2E59-4E94-8C79-9AEAAB0B59F5}"/>
    <cellStyle name="_矿业非生产费用预算月完成情况_矿石完成表" xfId="16928" xr:uid="{C84255D1-9D95-4247-A4F7-D648AE8CB139}"/>
    <cellStyle name="_矿业非生产费用预算月完成情况_太钢鑫磊2017年1月非生产、安全、修理费统计报表" xfId="16929" xr:uid="{FC6DB362-EF6C-45C3-AE91-8B2763619AB7}"/>
    <cellStyle name="_矿业非生产费用预算月完成情况_维修费用报表(董矿长)" xfId="16930" xr:uid="{2C792521-7311-4370-94E2-6EE98872D283}"/>
    <cellStyle name="_矿业公司4月炉料平衡" xfId="16931" xr:uid="{C13DCFC1-F8F0-4274-9984-41A092B9E055}"/>
    <cellStyle name="_矿业公司4月炉料平衡_6月份目标成本表(颁发)090531" xfId="16932" xr:uid="{13ED3470-155E-43F4-B9D7-4B16C44B59CF}"/>
    <cellStyle name="_矿业公司4月炉料平衡_第三阶段攻关任务" xfId="16933" xr:uid="{2C072E84-021E-45EF-A421-B3F0E2467AE1}"/>
    <cellStyle name="_矿业结矿测算" xfId="16934" xr:uid="{28A8CDC3-FA65-4315-9106-4BDDD9362ED2}"/>
    <cellStyle name="_米部分析表11.13" xfId="16935" xr:uid="{C7363E01-CF41-469A-A3B7-3E7D05E4F351}"/>
    <cellStyle name="_目标成本管理表样0312" xfId="16936" xr:uid="{BF44F87D-3EDA-48D0-A30E-3F4C6FFBA107}"/>
    <cellStyle name="_气力输送清单最新版" xfId="16937" xr:uid="{BBABB82B-B5E5-4516-8A11-E1EB890622D8}"/>
    <cellStyle name="_迁钢08年计划11.13" xfId="16938" xr:uid="{40184412-4235-4953-AB1B-C981F0C2186F}"/>
    <cellStyle name="_迁钢08年计划11.26" xfId="16939" xr:uid="{AF669A18-10E3-4DCE-BAF1-F9FD66B48AFB}"/>
    <cellStyle name="_迁钢08年计划11.28" xfId="16940" xr:uid="{C5573723-CD1B-476D-AA67-EAC46B9C996B}"/>
    <cellStyle name="_迁钢08年计划12.14" xfId="16941" xr:uid="{2CF5E0E3-DCB4-4F0B-8123-E1585ED5753B}"/>
    <cellStyle name="_迁钢08年计划12.7" xfId="16942" xr:uid="{C25686AD-DF16-4868-9941-526C73B393A7}"/>
    <cellStyle name="_迁钢09年2月份热轧成本预测" xfId="16943" xr:uid="{1BF78D0E-D8A1-4297-81A7-B4B5BD8B0C17}"/>
    <cellStyle name="_迁钢11月计划（亮）" xfId="16944" xr:uid="{AA06B0E4-F997-46E6-957B-33518CB8441B}"/>
    <cellStyle name="_迁钢1-6月成本预测" xfId="16945" xr:uid="{F9D1EA9B-CEDB-4810-9126-A514D7F458F4}"/>
    <cellStyle name="_迁钢1季度预计分析" xfId="16946" xr:uid="{9149410F-1E4E-420E-A707-02199F4AB670}"/>
    <cellStyle name="_迁钢1月份分析" xfId="16947" xr:uid="{686C2201-7CA6-48F1-A839-34946C33DAC3}"/>
    <cellStyle name="_迁钢2008.02与01月对比." xfId="16948" xr:uid="{B0E42045-AD31-4AE0-B920-E0017CA29144}"/>
    <cellStyle name="_迁钢2008.02与01月对比._（各工序）首秦公司2009年2月成本预测" xfId="16949" xr:uid="{622A3C7C-F6AF-479B-9E61-09E160EC1095}"/>
    <cellStyle name="_迁钢2008.02与01月对比._（各工序）首秦公司2009年2月成本预测_0904矿业公司目标成本降低额测算03.27" xfId="16950" xr:uid="{BA4CB943-6CD6-4C33-8B3A-B428D195F222}"/>
    <cellStyle name="_迁钢2008.02与01月对比._（各工序）首秦公司2009年2月成本预测_6月份目标成本表(颁发)090531" xfId="16951" xr:uid="{B1FA0C5A-E4AE-4970-88A4-8261D70F7F51}"/>
    <cellStyle name="_迁钢2008.02与01月对比._（各工序）首秦公司2009年2月成本预测_第三阶段攻关任务" xfId="16952" xr:uid="{6DC73005-CBF4-45E1-B78D-058C8C223990}"/>
    <cellStyle name="_迁钢2008.02与01月对比._（各工序）首秦公司2009年2月成本预测_首钢总公司关于颁发《首钢钢铁业2009年3月份目标成本安排》的通知" xfId="16953" xr:uid="{A1C05BBD-4A1D-492E-9E3F-6D149F34E6D6}"/>
    <cellStyle name="_迁钢2008.02与01月对比._（各工序）首秦公司2009年2月成本预测_首钢总公司关于颁发《首钢钢铁业2009年3月份目标成本安排》的通知_2009年3月份矿业公司目标成本326" xfId="16954" xr:uid="{F85C9800-717C-43C3-9EDE-49E65EA82C2C}"/>
    <cellStyle name="_迁钢2008.02与01月对比._（各工序）首秦公司2009年2月成本预测_首钢总公司关于颁发《首钢钢铁业2009年3月份目标成本安排》的通知_6月份目标成本表(颁发)090531" xfId="16955" xr:uid="{8FB73B1A-A5AC-4267-9786-168C20F29EAD}"/>
    <cellStyle name="_迁钢2008.02与01月对比._（各工序）首秦公司2009年2月成本预测_首钢总公司关于颁发《首钢钢铁业2009年3月份目标成本安排》的通知_第三阶段攻关任务" xfId="16956" xr:uid="{2098EFA5-F789-404C-B408-C5AEDD74B1DC}"/>
    <cellStyle name="_迁钢2008.02与01月对比._007" xfId="16957" xr:uid="{4C27AAAA-9A9B-4D3C-87CD-F0A5892B0022}"/>
    <cellStyle name="_迁钢2008.02与01月对比._0904矿业公司目标成本降低额测算03.27" xfId="16958" xr:uid="{036A6A94-AED7-41D7-94B3-F2A09B25162B}"/>
    <cellStyle name="_迁钢2008.02与01月对比._09年2月成本预测（1.19日测）" xfId="16959" xr:uid="{47A1FB70-93F0-4410-A85B-0C62DE781359}"/>
    <cellStyle name="_迁钢2008.02与01月对比._09年2月成本预测（1.19日测）_（各工序）首秦公司2009年2月成本预测" xfId="16960" xr:uid="{132DCC12-59D0-4878-9C7A-CBFC68514CD8}"/>
    <cellStyle name="_迁钢2008.02与01月对比._09年2月成本预测（1.19日测）_（各工序）首秦公司2009年2月成本预测_0904矿业公司目标成本降低额测算03.27" xfId="16961" xr:uid="{89755AAD-658F-44C3-ABE8-7AA041F26F46}"/>
    <cellStyle name="_迁钢2008.02与01月对比._09年2月成本预测（1.19日测）_（各工序）首秦公司2009年2月成本预测_6月份目标成本表(颁发)090531" xfId="16962" xr:uid="{212CC6C1-F9F4-42BC-85DA-2FB62D89D16C}"/>
    <cellStyle name="_迁钢2008.02与01月对比._09年2月成本预测（1.19日测）_（各工序）首秦公司2009年2月成本预测_第三阶段攻关任务" xfId="16963" xr:uid="{92A5262B-3A96-48C7-BD2A-EFD30081AFA5}"/>
    <cellStyle name="_迁钢2008.02与01月对比._09年2月成本预测（1.19日测）_（各工序）首秦公司2009年2月成本预测_首钢总公司关于颁发《首钢钢铁业2009年3月份目标成本安排》的通知" xfId="16964" xr:uid="{CAC637F9-A0C2-4537-A633-9853A0277710}"/>
    <cellStyle name="_迁钢2008.02与01月对比._09年2月成本预测（1.19日测）_（各工序）首秦公司2009年2月成本预测_首钢总公司关于颁发《首钢钢铁业2009年3月份目标成本安排》的通知_2009年3月份矿业公司目标成本326" xfId="16965" xr:uid="{8753806C-7362-4629-BA77-C42B53808CF9}"/>
    <cellStyle name="_迁钢2008.02与01月对比._09年2月成本预测（1.19日测）_（各工序）首秦公司2009年2月成本预测_首钢总公司关于颁发《首钢钢铁业2009年3月份目标成本安排》的通知_6月份目标成本表(颁发)090531" xfId="16966" xr:uid="{95377065-4CDC-4744-8B72-7365E5FAC36F}"/>
    <cellStyle name="_迁钢2008.02与01月对比._09年2月成本预测（1.19日测）_（各工序）首秦公司2009年2月成本预测_首钢总公司关于颁发《首钢钢铁业2009年3月份目标成本安排》的通知_第三阶段攻关任务" xfId="16967" xr:uid="{B108B93A-0AE8-41F9-B8C0-89C02203EA48}"/>
    <cellStyle name="_迁钢2008.02与01月对比._09年2月成本预测（1.19日测）_报出附表" xfId="16968" xr:uid="{6B143933-9661-4A19-A56F-7F9AF631CDDF}"/>
    <cellStyle name="_迁钢2008.02与01月对比._09年2月成本预测（1.19日测）_报出附表_0904矿业公司目标成本降低额测算03.27" xfId="16969" xr:uid="{D33DF420-2837-4730-A9C0-2D8D4416425B}"/>
    <cellStyle name="_迁钢2008.02与01月对比._09年2月成本预测（1.19日测）_报出附表_6月份目标成本表(颁发)090531" xfId="16970" xr:uid="{96F04582-824A-4D0B-8EE5-D44A9845830D}"/>
    <cellStyle name="_迁钢2008.02与01月对比._09年2月成本预测（1.19日测）_报出附表_第三阶段攻关任务" xfId="16971" xr:uid="{FF07C620-2A2F-4EF1-971E-3A3ACED3AA69}"/>
    <cellStyle name="_迁钢2008.02与01月对比._09年2月成本预测（1.19日测）_报出附表_首钢总公司关于颁发《首钢钢铁业2009年3月份目标成本安排》的通知" xfId="16972" xr:uid="{B233FF2B-4E5B-4582-A763-3A83B4CA7F9A}"/>
    <cellStyle name="_迁钢2008.02与01月对比._09年2月成本预测（1.19日测）_报出附表_首钢总公司关于颁发《首钢钢铁业2009年3月份目标成本安排》的通知_2009年3月份矿业公司目标成本326" xfId="16973" xr:uid="{30973D3F-4C20-4978-9ABE-A669BD0C21BD}"/>
    <cellStyle name="_迁钢2008.02与01月对比._09年2月成本预测（1.19日测）_报出附表_首钢总公司关于颁发《首钢钢铁业2009年3月份目标成本安排》的通知_6月份目标成本表(颁发)090531" xfId="16974" xr:uid="{F5349216-D900-4224-BEE9-63E636E87C55}"/>
    <cellStyle name="_迁钢2008.02与01月对比._09年2月成本预测（1.19日测）_报出附表_首钢总公司关于颁发《首钢钢铁业2009年3月份目标成本安排》的通知_第三阶段攻关任务" xfId="16975" xr:uid="{C2B43E23-8F58-40B8-A9B2-C013602F5E2B}"/>
    <cellStyle name="_迁钢2008.02与01月对比._09年2月成本预测（1.19日测）_复件_首秦公司2009标准成本模板（2月）" xfId="16976" xr:uid="{F8D351BC-4114-4209-8B66-E3DE77AE0C03}"/>
    <cellStyle name="_迁钢2008.02与01月对比._09年2月成本预测（1.19日测）_模板（修订）2" xfId="16977" xr:uid="{30A49945-46A5-40B3-84DE-82F3B0865827}"/>
    <cellStyle name="_迁钢2008.02与01月对比._09年2月成本预测（1.19日测）_模板（修订）2_（各工序）首秦公司2009年2月成本预测" xfId="16978" xr:uid="{950DBE0D-4253-4FA5-AACB-B6C9FD101E62}"/>
    <cellStyle name="_迁钢2008.02与01月对比._09年2月成本预测（1.19日测）_模板（修订）2_（各工序）首秦公司2009年2月成本预测_0904矿业公司目标成本降低额测算03.27" xfId="16979" xr:uid="{843B0E76-35A6-44ED-8981-D55F6715CFC4}"/>
    <cellStyle name="_迁钢2008.02与01月对比._09年2月成本预测（1.19日测）_模板（修订）2_（各工序）首秦公司2009年2月成本预测_6月份目标成本表(颁发)090531" xfId="16980" xr:uid="{8C1D7D37-8F15-453B-B131-6611117EE8C3}"/>
    <cellStyle name="_迁钢2008.02与01月对比._09年2月成本预测（1.19日测）_模板（修订）2_（各工序）首秦公司2009年2月成本预测_第三阶段攻关任务" xfId="16981" xr:uid="{D2E77E15-49AB-414A-ABF1-6F42955EAC6E}"/>
    <cellStyle name="_迁钢2008.02与01月对比._09年2月成本预测（1.19日测）_模板（修订）2_（各工序）首秦公司2009年2月成本预测_首钢总公司关于颁发《首钢钢铁业2009年3月份目标成本安排》的通知" xfId="16982" xr:uid="{0EA0D0FF-4689-4D4C-BA5E-DA5886BA172E}"/>
    <cellStyle name="_迁钢2008.02与01月对比._09年2月成本预测（1.19日测）_模板（修订）2_（各工序）首秦公司2009年2月成本预测_首钢总公司关于颁发《首钢钢铁业2009年3月份目标成本安排》的通知_2009年3月份矿业公司目标成本326" xfId="16983" xr:uid="{82F4D0D9-E6E7-4517-B3A3-4FDF178C512F}"/>
    <cellStyle name="_迁钢2008.02与01月对比._09年2月成本预测（1.19日测）_模板（修订）2_（各工序）首秦公司2009年2月成本预测_首钢总公司关于颁发《首钢钢铁业2009年3月份目标成本安排》的通知_6月份目标成本表(颁发)090531" xfId="16984" xr:uid="{0A3C8E0F-9C98-4AC7-8110-49E457C1CD6B}"/>
    <cellStyle name="_迁钢2008.02与01月对比._09年2月成本预测（1.19日测）_模板（修订）2_（各工序）首秦公司2009年2月成本预测_首钢总公司关于颁发《首钢钢铁业2009年3月份目标成本安排》的通知_第三阶段攻关任务" xfId="16985" xr:uid="{8FB5A47E-4874-4EEE-9820-243E98D68959}"/>
    <cellStyle name="_迁钢2008.02与01月对比._09年2月成本预测（1.19日测）_热轧09年标准成本模板" xfId="16986" xr:uid="{BC2E8E05-50BF-4CFA-9A01-0EEE8E3C1C6C}"/>
    <cellStyle name="_迁钢2008.02与01月对比._09年2月成本预测（1.19日测）_热轧09年标准成本模板_0904矿业公司目标成本降低额测算03.27" xfId="16987" xr:uid="{7EAAD27B-8C6A-49F6-BBD6-B8401128B901}"/>
    <cellStyle name="_迁钢2008.02与01月对比._09年2月成本预测（1.19日测）_热轧09年标准成本模板_6月份目标成本表(颁发)090531" xfId="16988" xr:uid="{8ED5CDCE-AA51-42AF-B29B-225C6B5ACA0C}"/>
    <cellStyle name="_迁钢2008.02与01月对比._09年2月成本预测（1.19日测）_热轧09年标准成本模板_第三阶段攻关任务" xfId="16989" xr:uid="{B6CBB195-36D5-43CE-B1BF-39308C755A1E}"/>
    <cellStyle name="_迁钢2008.02与01月对比._09年2月成本预测（1.19日测）_热轧09年标准成本模板_首钢总公司关于颁发《首钢钢铁业2009年3月份目标成本安排》的通知" xfId="16990" xr:uid="{251694A7-2AFB-4AB3-A492-020209716ECF}"/>
    <cellStyle name="_迁钢2008.02与01月对比._09年2月成本预测（1.19日测）_热轧09年标准成本模板_首钢总公司关于颁发《首钢钢铁业2009年3月份目标成本安排》的通知_2009年3月份矿业公司目标成本326" xfId="16991" xr:uid="{23E6E0E1-5D0B-4837-BBF5-6651017F88FA}"/>
    <cellStyle name="_迁钢2008.02与01月对比._09年2月成本预测（1.19日测）_热轧09年标准成本模板_首钢总公司关于颁发《首钢钢铁业2009年3月份目标成本安排》的通知_6月份目标成本表(颁发)090531" xfId="16992" xr:uid="{C2A0DD27-2CEF-4B9C-8750-E3D4DA5EFC0C}"/>
    <cellStyle name="_迁钢2008.02与01月对比._09年2月成本预测（1.19日测）_热轧09年标准成本模板_首钢总公司关于颁发《首钢钢铁业2009年3月份目标成本安排》的通知_第三阶段攻关任务" xfId="16993" xr:uid="{D2716645-4E1D-4BF9-90A0-CBA29ADC5848}"/>
    <cellStyle name="_迁钢2008.02与01月对比._09年2月成本预测（1.19日测）_首秦2月成本预测附表1" xfId="16994" xr:uid="{678DF6B1-929B-4178-8BC4-84ECCB892826}"/>
    <cellStyle name="_迁钢2008.02与01月对比._09年2月成本预测（1.19日测）_首秦2月成本预测附表1_0904矿业公司目标成本降低额测算03.27" xfId="16995" xr:uid="{EDF0AB84-3583-4612-A7CA-FD6AD0E27E89}"/>
    <cellStyle name="_迁钢2008.02与01月对比._09年2月成本预测（1.19日测）_首秦2月成本预测附表1_6月份目标成本表(颁发)090531" xfId="16996" xr:uid="{05DE1F28-7D41-427A-B17B-D4F5FCBDCFB5}"/>
    <cellStyle name="_迁钢2008.02与01月对比._09年2月成本预测（1.19日测）_首秦2月成本预测附表1_第三阶段攻关任务" xfId="16997" xr:uid="{6E580A1D-894D-4190-B448-9A37C729A5F2}"/>
    <cellStyle name="_迁钢2008.02与01月对比._09年2月成本预测（1.19日测）_首秦2月成本预测附表1_首钢总公司关于颁发《首钢钢铁业2009年3月份目标成本安排》的通知" xfId="16998" xr:uid="{90EF333C-CA41-40E2-8AC6-527BE02FEA17}"/>
    <cellStyle name="_迁钢2008.02与01月对比._09年2月成本预测（1.19日测）_首秦2月成本预测附表1_首钢总公司关于颁发《首钢钢铁业2009年3月份目标成本安排》的通知_2009年3月份矿业公司目标成本326" xfId="16999" xr:uid="{4180F30A-FA06-4279-ABD3-D1507D37CCC9}"/>
    <cellStyle name="_迁钢2008.02与01月对比._09年2月成本预测（1.19日测）_首秦2月成本预测附表1_首钢总公司关于颁发《首钢钢铁业2009年3月份目标成本安排》的通知_6月份目标成本表(颁发)090531" xfId="17000" xr:uid="{89EA3438-F512-4AEC-AD83-0A7BFC91A23F}"/>
    <cellStyle name="_球团点检站出库明细" xfId="17001" xr:uid="{13DF73D2-7EE6-4CA5-A205-AB9F41A5483D}"/>
    <cellStyle name="_球团点检站出库明细_2015年工艺质量科全面预算" xfId="17002" xr:uid="{2A303DBD-EF4D-4983-8CD4-2468223161AE}"/>
    <cellStyle name="_球团点检站出库明细_2016年9月成本报表" xfId="17003" xr:uid="{4E14F747-D508-4F22-B1DE-A6F24404BBC7}"/>
    <cellStyle name="_球团点检站出库明细_2016年采矿工序预算" xfId="17004" xr:uid="{4FBA288D-5D2D-4021-9EB3-215F413540EA}"/>
    <cellStyle name="_球团点检站出库明细_2017年全面预算新增表样" xfId="17005" xr:uid="{F7324998-BAC5-43CC-B8E9-4ECA750A7B8F}"/>
    <cellStyle name="_球团点检站出库明细_采矿部2015年内部工序预算(12.15)" xfId="17006" xr:uid="{28C161D8-E183-4946-ACD6-A8D0FEEBF1FF}"/>
    <cellStyle name="_球团点检站出库明细_采矿综合组" xfId="17007" xr:uid="{32916209-0BF9-4208-A75F-41CD685672CF}"/>
    <cellStyle name="_球团点检站出库明细_峨口分析台帐" xfId="17008" xr:uid="{A0B5BBBB-15D1-48D8-AFA3-5326E5FED370}"/>
    <cellStyle name="_球团点检站出库明细_峨矿2015年报表分析06" xfId="17009" xr:uid="{F456FE50-0E65-46DC-AC23-14E9CBF029F5}"/>
    <cellStyle name="_球团点检站出库明细_峨矿2015年报表分析09" xfId="17010" xr:uid="{A05FFE9E-4128-4C2A-94FC-FB48EC20EB27}"/>
    <cellStyle name="_球团点检站出库明细_峨矿2015年报表分析11" xfId="17011" xr:uid="{AB12F2B6-EC03-4D1F-B3DB-CCD0CB4753F2}"/>
    <cellStyle name="_球团点检站出库明细_峨矿2015年报表分析12" xfId="17012" xr:uid="{68D36334-A997-423C-84E7-88C007A2850E}"/>
    <cellStyle name="_球团点检站出库明细_峨矿2016年报表分析02" xfId="17013" xr:uid="{65FCA4C2-9162-464C-9D3F-11E285E816EC}"/>
    <cellStyle name="_球团点检站出库明细_峨矿6月份成本报表(管理)" xfId="17014" xr:uid="{C312C19F-30F9-45DB-8DBD-F6161A9C7B22}"/>
    <cellStyle name="_球团点检站出库明细_峨矿9月份成本报表" xfId="17015" xr:uid="{D5C010F9-5B47-4118-9CC1-FE13438B8471}"/>
    <cellStyle name="_球团点检站出库明细_加不利2016年预算3稿（内）1106" xfId="17016" xr:uid="{5E7E32E3-88BC-4DF3-BBCE-1B3E9F6B9D11}"/>
    <cellStyle name="_球团点检站出库明细_尖山2015年全面预算稿报矿业稿11.14000" xfId="17017" xr:uid="{FB7432DF-FE1A-48B9-9CDE-CEBF63CFEBC8}"/>
    <cellStyle name="_球团点检站出库明细_尖山2015年全面预算稿报矿业稿11.14000_2016年工序质量指标预算" xfId="17018" xr:uid="{DA044DC6-0FA0-48A7-8252-14CD6FB6E2E9}"/>
    <cellStyle name="_球团点检站出库明细_尖山2015年全面预算稿报矿业稿11.14000_工艺科2017年全面预算20161010" xfId="17019" xr:uid="{79E83FB2-F51D-4503-A13E-39575E9C8703}"/>
    <cellStyle name="_球团点检站出库明细_尖山2015年全面预算稿报矿业稿11.14000_尖山铁矿2017年全面预算1.26" xfId="17020" xr:uid="{915E3661-D483-4229-A890-8070320B503B}"/>
    <cellStyle name="_球团点检站出库明细_尖山矿2017年产量预算及不利因素影响报" xfId="17021" xr:uid="{617DD0FB-7990-4130-A038-8AC0359F8122}"/>
    <cellStyle name="_球团点检站出库明细_尖山铁矿2015年全面预算" xfId="17022" xr:uid="{3CE8AA52-8F0E-4535-8BDE-BBB290BD3313}"/>
    <cellStyle name="_球团点检站出库明细_尖山铁矿2015年全面预算_尖山铁矿2017年全面预算1.26" xfId="17023" xr:uid="{FA085FE4-16B8-47A8-B78C-E3F1A6A38610}"/>
    <cellStyle name="_球团点检站出库明细_尖山铁矿2015年全面预算--挂在内网的正式稿" xfId="17024" xr:uid="{5A239573-E94B-47DD-89C5-474F0E5EE4B8}"/>
    <cellStyle name="_球团点检站出库明细_尖山铁矿2016年预算内部全面预算(129)" xfId="17025" xr:uid="{3D270A0D-552B-499C-8555-E92612AAFEE6}"/>
    <cellStyle name="_球团点检站出库明细_尖山铁矿2017年全面预算1.26" xfId="17026" xr:uid="{F258FC90-2AD6-4D13-80A9-23DB73087B8D}"/>
    <cellStyle name="_球团点检站出库明细_矿石完成表" xfId="17027" xr:uid="{FB6D3CE7-C13C-4460-95B6-F32D2C05EC8C}"/>
    <cellStyle name="_球团点检站出库明细_维修费用报表(董矿长)" xfId="17028" xr:uid="{BAA29EA4-92CA-403F-ACC8-6B2BFAFAC375}"/>
    <cellStyle name="_弱电系统设备配置报价清单" xfId="17029" xr:uid="{F87E95BE-6065-4274-A5F0-C90770CCCE6A}"/>
    <cellStyle name="_弱电系统设备配置报价清单 2" xfId="17030" xr:uid="{63B520A1-752F-4DE9-AAC3-884C1A80E3D5}"/>
    <cellStyle name="_三月份检修计划" xfId="17031" xr:uid="{96AB742C-B76A-40D7-9C3A-F0C3E55DE45E}"/>
    <cellStyle name="_三月份检修计划 2" xfId="17032" xr:uid="{BEDBDAFD-A7B4-4DCB-A49D-23A0AD721C5F}"/>
    <cellStyle name="_设备清单及组价明细6.8改8.23-9.26" xfId="17033" xr:uid="{55275614-EDE1-4585-8441-94DC89D693DA}"/>
    <cellStyle name="_生产月报" xfId="17034" xr:uid="{F7CAEB3E-295C-4B11-917C-EDE40EDB6F5E}"/>
    <cellStyle name="_水源统计表" xfId="17035" xr:uid="{EAD82647-BBF1-4768-BF5B-390E1D6D5CC4}"/>
    <cellStyle name="_太钢保险代理公司关联交易" xfId="17036" xr:uid="{D5863F0B-FF49-439E-99E0-6549C8F98CC9}"/>
    <cellStyle name="_土建" xfId="17037" xr:uid="{2251EC90-7C98-4641-8A1B-FA6CC68CEF51}"/>
    <cellStyle name="_五月份检修计划" xfId="17038" xr:uid="{C076867B-3659-4AA0-8F51-F587499ACAE8}"/>
    <cellStyle name="_五月份检修计划 2" xfId="17039" xr:uid="{3DF617BD-29C7-4DFD-8A1B-54640F66CBC1}"/>
    <cellStyle name="_物流中心、原料部月份KPI--3" xfId="9366" xr:uid="{743AA4F2-0531-4FE4-9E3D-50EAB40F1389}"/>
    <cellStyle name="_新临钢01" xfId="9367" xr:uid="{B0AC3CD3-EFBA-488F-BBCE-16FE3F6620E9}"/>
    <cellStyle name="_信息_矿业_2" xfId="120" xr:uid="{A566F868-1A0F-4C5F-A48C-B945E33F8319}"/>
    <cellStyle name="_选矿维简" xfId="17040" xr:uid="{50BA1CF9-6E21-4455-AFED-51BF39A1C85C}"/>
    <cellStyle name="_装运作业区主要预算指标分解及控制" xfId="17041" xr:uid="{378A0B07-AF58-446B-9636-3B89733B415C}"/>
    <cellStyle name="0%" xfId="91" xr:uid="{914F7E6B-D108-4DA1-848D-CFAC276733E8}"/>
    <cellStyle name="0% 10" xfId="11969" xr:uid="{6AB80966-CC4D-4FE4-BE43-2ACC7018760A}"/>
    <cellStyle name="0% 2" xfId="129" xr:uid="{3568DC39-23F0-44D5-BDDA-BFDFE4D210DB}"/>
    <cellStyle name="0% 3" xfId="116" xr:uid="{1963DEFE-7162-4699-87D6-EBDAAB4479A0}"/>
    <cellStyle name="0% 4" xfId="145" xr:uid="{5B661F2F-41B0-4D3A-94DC-9D4DDBB2B222}"/>
    <cellStyle name="0% 5" xfId="153" xr:uid="{C5A8B043-9E32-4415-8184-65D36BBDB403}"/>
    <cellStyle name="0% 6" xfId="165" xr:uid="{851947CA-D0CB-42FA-BBDD-2B03A4AA128F}"/>
    <cellStyle name="0% 7" xfId="172" xr:uid="{F7D862FB-B8E1-4479-9D29-0E5A4530B645}"/>
    <cellStyle name="0% 8" xfId="37" xr:uid="{A9320CB8-3187-4748-847D-AFB09CC1AE58}"/>
    <cellStyle name="0% 9" xfId="180" xr:uid="{F6C92BED-1E32-431A-AF00-39F41DA8015F}"/>
    <cellStyle name="0,0_x000d__x000a_NA_x000d__x000a_" xfId="89" xr:uid="{714D64C5-DE09-42A3-B2C4-55A1D661964E}"/>
    <cellStyle name="0,0_x000d__x000a_NA_x000d__x000a_ 10" xfId="190" xr:uid="{EEC8DE73-23BC-40FC-B7A3-B851E6B06AE0}"/>
    <cellStyle name="0,0_x000d__x000a_NA_x000d__x000a_ 10 2" xfId="195" xr:uid="{36B9F93D-FE1E-483A-9C7A-A0ACB5152181}"/>
    <cellStyle name="0,0_x000d__x000a_NA_x000d__x000a_ 10 3" xfId="198" xr:uid="{66D6764F-BE4F-4432-8701-12A744E3812B}"/>
    <cellStyle name="0,0_x000d__x000a_NA_x000d__x000a_ 10 4" xfId="201" xr:uid="{08EF59AB-D7A5-4E4C-9650-243FF7F4FBAA}"/>
    <cellStyle name="0,0_x000d__x000a_NA_x000d__x000a_ 10 5" xfId="203" xr:uid="{D3978A05-21F6-418C-9F99-D9D0B3C432C1}"/>
    <cellStyle name="0,0_x000d__x000a_NA_x000d__x000a_ 10 6" xfId="204" xr:uid="{AA7BB05A-14D6-484D-A83A-4C6DD7F7074E}"/>
    <cellStyle name="0,0_x000d__x000a_NA_x000d__x000a_ 10 7" xfId="205" xr:uid="{286BC0FA-5191-4782-B075-424325806DD0}"/>
    <cellStyle name="0,0_x000d__x000a_NA_x000d__x000a_ 10 8" xfId="209" xr:uid="{E055C90D-E8B0-4A70-A1F7-1FA9BF0D426C}"/>
    <cellStyle name="0,0_x000d__x000a_NA_x000d__x000a_ 10 9" xfId="9369" xr:uid="{AC442519-D67F-41DF-9326-C99C84AAE763}"/>
    <cellStyle name="0,0_x000d__x000a_NA_x000d__x000a_ 11" xfId="211" xr:uid="{C408ED05-FC6A-4453-A532-6535D7D51833}"/>
    <cellStyle name="0,0_x000d__x000a_NA_x000d__x000a_ 11 2" xfId="98" xr:uid="{146D580D-DBEA-4A57-AB32-1CFEAD371B69}"/>
    <cellStyle name="0,0_x000d__x000a_NA_x000d__x000a_ 11 3" xfId="215" xr:uid="{F8D244EB-320D-46FD-A06C-161E22B76D6C}"/>
    <cellStyle name="0,0_x000d__x000a_NA_x000d__x000a_ 11 4" xfId="219" xr:uid="{FBEBB07C-D244-4434-A031-D6D91CB6F251}"/>
    <cellStyle name="0,0_x000d__x000a_NA_x000d__x000a_ 11 5" xfId="224" xr:uid="{F0C959B0-E304-41B1-B5F1-FC1AD07FCD2A}"/>
    <cellStyle name="0,0_x000d__x000a_NA_x000d__x000a_ 11 6" xfId="225" xr:uid="{DC057A65-B8C1-455E-AE91-BE5E4AC41232}"/>
    <cellStyle name="0,0_x000d__x000a_NA_x000d__x000a_ 11 7" xfId="187" xr:uid="{9DA10C92-E0F4-4304-8084-402459EA6802}"/>
    <cellStyle name="0,0_x000d__x000a_NA_x000d__x000a_ 11 8" xfId="210" xr:uid="{CEA4574B-E88D-499B-B956-96F0B240538F}"/>
    <cellStyle name="0,0_x000d__x000a_NA_x000d__x000a_ 11 9" xfId="9370" xr:uid="{DABF8566-7F1F-4E60-98F5-0275DA952A11}"/>
    <cellStyle name="0,0_x000d__x000a_NA_x000d__x000a_ 12" xfId="227" xr:uid="{CD19C59E-12D0-4289-B101-0566BB408138}"/>
    <cellStyle name="0,0_x000d__x000a_NA_x000d__x000a_ 12 2" xfId="228" xr:uid="{BA198005-E409-47EE-B94C-7EC69D7A424F}"/>
    <cellStyle name="0,0_x000d__x000a_NA_x000d__x000a_ 12 3" xfId="231" xr:uid="{2672B2E5-A158-431A-BBCB-54075FC26285}"/>
    <cellStyle name="0,0_x000d__x000a_NA_x000d__x000a_ 12 4" xfId="236" xr:uid="{487F74A3-26B6-407A-B12B-A179843B750B}"/>
    <cellStyle name="0,0_x000d__x000a_NA_x000d__x000a_ 12 5" xfId="240" xr:uid="{FF689359-D936-44B9-B3C6-41B31D246028}"/>
    <cellStyle name="0,0_x000d__x000a_NA_x000d__x000a_ 12 6" xfId="243" xr:uid="{D96A3928-2169-4D99-937C-65CE9F755752}"/>
    <cellStyle name="0,0_x000d__x000a_NA_x000d__x000a_ 12 7" xfId="121" xr:uid="{C52F69B6-B2E3-4941-A5D8-D87400630C3B}"/>
    <cellStyle name="0,0_x000d__x000a_NA_x000d__x000a_ 12 8" xfId="106" xr:uid="{A6DC4A7E-039F-4AA8-88ED-7350DCF568BB}"/>
    <cellStyle name="0,0_x000d__x000a_NA_x000d__x000a_ 12 9" xfId="9371" xr:uid="{30107791-AD4A-4B5A-B1EE-4DDD0E879333}"/>
    <cellStyle name="0,0_x000d__x000a_NA_x000d__x000a_ 13" xfId="56" xr:uid="{7521966A-3DA4-4710-AC1B-393A10DA3CFF}"/>
    <cellStyle name="0,0_x000d__x000a_NA_x000d__x000a_ 13 2" xfId="81" xr:uid="{C67BE816-B389-48E6-BE87-2103692C0A2E}"/>
    <cellStyle name="0,0_x000d__x000a_NA_x000d__x000a_ 13 3" xfId="246" xr:uid="{86C25872-C959-4563-B075-DB607E624C5D}"/>
    <cellStyle name="0,0_x000d__x000a_NA_x000d__x000a_ 13 4" xfId="250" xr:uid="{EA01EDE4-96BE-48EB-B09E-A0CBD4B00E08}"/>
    <cellStyle name="0,0_x000d__x000a_NA_x000d__x000a_ 13 5" xfId="255" xr:uid="{912EEB5B-8F83-4ECE-919C-9085018F8D58}"/>
    <cellStyle name="0,0_x000d__x000a_NA_x000d__x000a_ 13 6" xfId="259" xr:uid="{FC43A9F7-0D0F-4D86-A1C2-58BC0CC7B609}"/>
    <cellStyle name="0,0_x000d__x000a_NA_x000d__x000a_ 13 7" xfId="266" xr:uid="{A01A896B-75A8-47FE-B7BE-330E9A2AEDE3}"/>
    <cellStyle name="0,0_x000d__x000a_NA_x000d__x000a_ 13 8" xfId="58" xr:uid="{B526B1E7-86CA-45E5-BD0C-A5952F869C5F}"/>
    <cellStyle name="0,0_x000d__x000a_NA_x000d__x000a_ 13 9" xfId="9372" xr:uid="{1799492B-0E88-455F-9034-834DBA79F9A3}"/>
    <cellStyle name="0,0_x000d__x000a_NA_x000d__x000a_ 14" xfId="270" xr:uid="{D2E68FAA-1E38-4BB6-B7EE-A152657C869C}"/>
    <cellStyle name="0,0_x000d__x000a_NA_x000d__x000a_ 14 2" xfId="276" xr:uid="{8D11953C-131A-422E-A4A6-54A3713E2F75}"/>
    <cellStyle name="0,0_x000d__x000a_NA_x000d__x000a_ 14 3" xfId="44" xr:uid="{182F283C-7475-4EC9-A170-E634BEC739F6}"/>
    <cellStyle name="0,0_x000d__x000a_NA_x000d__x000a_ 14 4" xfId="283" xr:uid="{4D4D3D57-4E04-4956-B82D-C0E28E13DBA3}"/>
    <cellStyle name="0,0_x000d__x000a_NA_x000d__x000a_ 14 5" xfId="293" xr:uid="{65997AF9-E476-4F2B-99CF-4F2EA7159C79}"/>
    <cellStyle name="0,0_x000d__x000a_NA_x000d__x000a_ 14 6" xfId="304" xr:uid="{4BE4C640-02C5-48C5-B4BF-D03D616E7487}"/>
    <cellStyle name="0,0_x000d__x000a_NA_x000d__x000a_ 14 7" xfId="311" xr:uid="{823862A4-9EB1-4E09-A0A6-16061CA10F6D}"/>
    <cellStyle name="0,0_x000d__x000a_NA_x000d__x000a_ 14 8" xfId="321" xr:uid="{7C197A2A-1C19-46D2-802F-507F4055DAB0}"/>
    <cellStyle name="0,0_x000d__x000a_NA_x000d__x000a_ 14 9" xfId="9373" xr:uid="{5F898D00-6867-4F1D-8C95-3B388A297622}"/>
    <cellStyle name="0,0_x000d__x000a_NA_x000d__x000a_ 15" xfId="323" xr:uid="{28A59527-DD22-40B7-B800-03C74054C181}"/>
    <cellStyle name="0,0_x000d__x000a_NA_x000d__x000a_ 15 2" xfId="9374" xr:uid="{9741DE62-6FE1-4789-8C26-95F5BF4472CB}"/>
    <cellStyle name="0,0_x000d__x000a_NA_x000d__x000a_ 16" xfId="328" xr:uid="{141D1CE5-9A18-4D75-9A94-CF3A06346263}"/>
    <cellStyle name="0,0_x000d__x000a_NA_x000d__x000a_ 17" xfId="9368" xr:uid="{B3CC4AA7-0C6C-4939-BA2F-B530C62359C4}"/>
    <cellStyle name="0,0_x000d__x000a_NA_x000d__x000a_ 18" xfId="12139" xr:uid="{2D6E4DAB-FCD4-42C4-A90A-0BB3D56F17BA}"/>
    <cellStyle name="0,0_x000d__x000a_NA_x000d__x000a_ 2" xfId="10" xr:uid="{00000000-0005-0000-0000-000000000000}"/>
    <cellStyle name="0,0_x000d__x000a_NA_x000d__x000a_ 2 10" xfId="329" xr:uid="{6EBFDB6C-7136-4CB6-BEA4-00D980C2027B}"/>
    <cellStyle name="0,0_x000d__x000a_NA_x000d__x000a_ 2 10 2" xfId="17042" xr:uid="{91BA0D98-55B3-4458-B56A-96EFEB362156}"/>
    <cellStyle name="0,0_x000d__x000a_NA_x000d__x000a_ 2 10 3" xfId="27269" xr:uid="{3002E7DF-D42C-41A3-8862-9FB9D2D82FB9}"/>
    <cellStyle name="0,0_x000d__x000a_NA_x000d__x000a_ 2 11" xfId="331" xr:uid="{1DD9AE61-BC05-4CD5-8861-55F4687CD63E}"/>
    <cellStyle name="0,0_x000d__x000a_NA_x000d__x000a_ 2 12" xfId="332" xr:uid="{3D95E67A-9D08-4E6B-A9C6-06FAAA193952}"/>
    <cellStyle name="0,0_x000d__x000a_NA_x000d__x000a_ 2 13" xfId="9375" xr:uid="{C8D84471-68C7-4A9F-BF02-AC41923B7301}"/>
    <cellStyle name="0,0_x000d__x000a_NA_x000d__x000a_ 2 14" xfId="130" xr:uid="{EE2D497C-6B6E-46C1-8E14-09763A695FF7}"/>
    <cellStyle name="0,0_x000d__x000a_NA_x000d__x000a_ 2 2" xfId="333" xr:uid="{FD6E7D68-81FA-4C67-9713-6DEB540EA793}"/>
    <cellStyle name="0,0_x000d__x000a_NA_x000d__x000a_ 2 2 10" xfId="17044" xr:uid="{BFB1D890-E4BE-4031-91B7-9F245A2A794C}"/>
    <cellStyle name="0,0_x000d__x000a_NA_x000d__x000a_ 2 2 11" xfId="17043" xr:uid="{7DCC4E29-1D5E-48B1-BBAF-5C8FAFF7C3AA}"/>
    <cellStyle name="0,0_x000d__x000a_NA_x000d__x000a_ 2 2 2" xfId="9376" xr:uid="{1164012C-D91A-43AD-9687-9B47EADBEC0D}"/>
    <cellStyle name="0,0_x000d__x000a_NA_x000d__x000a_ 2 2 2 2" xfId="17046" xr:uid="{B008C22E-9D2C-4122-AAC2-17C872264211}"/>
    <cellStyle name="0,0_x000d__x000a_NA_x000d__x000a_ 2 2 2 3" xfId="17045" xr:uid="{2806C3AD-492F-42EE-BA43-5D28F56279A6}"/>
    <cellStyle name="0,0_x000d__x000a_NA_x000d__x000a_ 2 2 3" xfId="17047" xr:uid="{F678E8FC-61B4-477F-A9F9-3467D3E4823B}"/>
    <cellStyle name="0,0_x000d__x000a_NA_x000d__x000a_ 2 2 3 2" xfId="17048" xr:uid="{479E5EDA-DB21-46FD-8BC1-F0B99D07EDB7}"/>
    <cellStyle name="0,0_x000d__x000a_NA_x000d__x000a_ 2 2 4" xfId="17049" xr:uid="{0482DDBD-DB03-4464-AA64-92204D19B1FD}"/>
    <cellStyle name="0,0_x000d__x000a_NA_x000d__x000a_ 2 2 4 2" xfId="17050" xr:uid="{E0EE9EF3-F6D8-4B00-8DC3-1B9F7D894C9D}"/>
    <cellStyle name="0,0_x000d__x000a_NA_x000d__x000a_ 2 2 5" xfId="17051" xr:uid="{E1E64FE8-8922-4D9C-B810-37E565410950}"/>
    <cellStyle name="0,0_x000d__x000a_NA_x000d__x000a_ 2 2 5 2" xfId="17052" xr:uid="{122B0A7E-9A98-44D1-9ED7-20ED324D5EA4}"/>
    <cellStyle name="0,0_x000d__x000a_NA_x000d__x000a_ 2 2 6" xfId="17053" xr:uid="{8154579B-B364-4584-A13E-395EC5A2ECA2}"/>
    <cellStyle name="0,0_x000d__x000a_NA_x000d__x000a_ 2 2 6 2" xfId="17054" xr:uid="{3D78AADA-EAD8-4809-B54F-1AA5E4EFBEE7}"/>
    <cellStyle name="0,0_x000d__x000a_NA_x000d__x000a_ 2 2 7" xfId="17055" xr:uid="{5F5E4E78-1B3A-4FAB-ABB6-08097A3C4526}"/>
    <cellStyle name="0,0_x000d__x000a_NA_x000d__x000a_ 2 2 7 2" xfId="17056" xr:uid="{86640846-721F-4E4E-AED9-029DD476AA57}"/>
    <cellStyle name="0,0_x000d__x000a_NA_x000d__x000a_ 2 2 8" xfId="17057" xr:uid="{586715DB-BB90-4027-B2C4-0AE0AF24332A}"/>
    <cellStyle name="0,0_x000d__x000a_NA_x000d__x000a_ 2 2 8 2" xfId="17058" xr:uid="{86008F36-F337-489B-9875-415FB0C50F35}"/>
    <cellStyle name="0,0_x000d__x000a_NA_x000d__x000a_ 2 2 9" xfId="17059" xr:uid="{329B4326-BA8F-4461-A626-8DF18A400C45}"/>
    <cellStyle name="0,0_x000d__x000a_NA_x000d__x000a_ 2 2 9 2" xfId="17060" xr:uid="{B0DAED58-96B5-420F-96F7-F74C2A919051}"/>
    <cellStyle name="0,0_x000d__x000a_NA_x000d__x000a_ 2 2_2017年4月财务报表（山西太钢鑫磊资源有限公司）" xfId="17061" xr:uid="{C4E60579-003F-47D8-B9BA-C2D77DA041AA}"/>
    <cellStyle name="0,0_x000d__x000a_NA_x000d__x000a_ 2 3" xfId="336" xr:uid="{8C4843BE-1197-426A-81D7-F9011DDFC340}"/>
    <cellStyle name="0,0_x000d__x000a_NA_x000d__x000a_ 2 3 2" xfId="17063" xr:uid="{FF6DD381-3B3D-415A-9047-3FF20332D8FB}"/>
    <cellStyle name="0,0_x000d__x000a_NA_x000d__x000a_ 2 3 3" xfId="17062" xr:uid="{8DECDD84-8546-4A85-BC77-F0DC9A0BDD3F}"/>
    <cellStyle name="0,0_x000d__x000a_NA_x000d__x000a_ 2 4" xfId="341" xr:uid="{9E32B9EE-D49C-4502-9BAA-B5D4121FD381}"/>
    <cellStyle name="0,0_x000d__x000a_NA_x000d__x000a_ 2 4 2" xfId="17065" xr:uid="{CB0C1379-4B6A-4A42-80CF-F743FE67300B}"/>
    <cellStyle name="0,0_x000d__x000a_NA_x000d__x000a_ 2 4 3" xfId="17064" xr:uid="{CCDC4264-4191-4044-956A-B533D20A0A51}"/>
    <cellStyle name="0,0_x000d__x000a_NA_x000d__x000a_ 2 5" xfId="345" xr:uid="{3E12FA46-62F9-4747-839C-B466D1A02A87}"/>
    <cellStyle name="0,0_x000d__x000a_NA_x000d__x000a_ 2 5 2" xfId="17067" xr:uid="{C530C1B1-5E16-401C-834F-ED4941251963}"/>
    <cellStyle name="0,0_x000d__x000a_NA_x000d__x000a_ 2 5 3" xfId="17066" xr:uid="{41E10913-BEAF-4104-A4AF-9B16B4F77F13}"/>
    <cellStyle name="0,0_x000d__x000a_NA_x000d__x000a_ 2 6" xfId="346" xr:uid="{A55A6E7B-CE91-4F73-A166-71239A11EBE1}"/>
    <cellStyle name="0,0_x000d__x000a_NA_x000d__x000a_ 2 6 2" xfId="17069" xr:uid="{B0455F9E-F302-45F6-A504-037E7CE1D7DF}"/>
    <cellStyle name="0,0_x000d__x000a_NA_x000d__x000a_ 2 6 3" xfId="17068" xr:uid="{9B729B89-62CC-4B63-84D7-51A2620B5272}"/>
    <cellStyle name="0,0_x000d__x000a_NA_x000d__x000a_ 2 7" xfId="349" xr:uid="{A3AF9F3B-CB47-487F-85A4-168AE7B19C11}"/>
    <cellStyle name="0,0_x000d__x000a_NA_x000d__x000a_ 2 7 2" xfId="17071" xr:uid="{5B282377-14B9-48DC-B2E4-9CF0E2ACB400}"/>
    <cellStyle name="0,0_x000d__x000a_NA_x000d__x000a_ 2 7 3" xfId="17070" xr:uid="{4F3B655C-CF3F-4149-98D6-4BCF35207592}"/>
    <cellStyle name="0,0_x000d__x000a_NA_x000d__x000a_ 2 8" xfId="350" xr:uid="{71B3C220-EB5B-4B7E-BE5B-257809777C97}"/>
    <cellStyle name="0,0_x000d__x000a_NA_x000d__x000a_ 2 8 2" xfId="17073" xr:uid="{A9258079-A044-4258-AB8B-3E4594A1272C}"/>
    <cellStyle name="0,0_x000d__x000a_NA_x000d__x000a_ 2 8 3" xfId="17072" xr:uid="{A11EEB4D-FDCE-42DB-A12D-67826C6AD6D9}"/>
    <cellStyle name="0,0_x000d__x000a_NA_x000d__x000a_ 2 9" xfId="351" xr:uid="{0493B14D-7E30-4B06-A748-7DF1D58D647B}"/>
    <cellStyle name="0,0_x000d__x000a_NA_x000d__x000a_ 2 9 2" xfId="17075" xr:uid="{B9CEF90C-53D1-4B41-AB25-D0599A0011BE}"/>
    <cellStyle name="0,0_x000d__x000a_NA_x000d__x000a_ 2 9 3" xfId="17074" xr:uid="{C8458692-FC50-40CF-9DB7-BD921B14DA20}"/>
    <cellStyle name="0,0_x000d__x000a_NA_x000d__x000a_ 2_2017年4月财务报表（山西太钢鑫磊资源有限公司）" xfId="17076" xr:uid="{08212D2C-9D6A-4131-B66A-0713539BCC91}"/>
    <cellStyle name="0,0_x000d__x000a_NA_x000d__x000a_ 3" xfId="117" xr:uid="{D8A525D6-A9E3-46D5-8B4E-DA5CE7F55CEE}"/>
    <cellStyle name="0,0_x000d__x000a_NA_x000d__x000a_ 3 10" xfId="27270" xr:uid="{8B0CDA7F-8C4E-484F-AABE-B19ADCF38FA3}"/>
    <cellStyle name="0,0_x000d__x000a_NA_x000d__x000a_ 3 2" xfId="358" xr:uid="{E9338028-BFC1-44DD-9A67-A8D7C862102B}"/>
    <cellStyle name="0,0_x000d__x000a_NA_x000d__x000a_ 3 2 2" xfId="9378" xr:uid="{BB3B1BA2-1041-41E2-951C-1765F697690C}"/>
    <cellStyle name="0,0_x000d__x000a_NA_x000d__x000a_ 3 2 2 2" xfId="27272" xr:uid="{34BEDE5B-ABB1-4301-A672-8EC2EEFF78D9}"/>
    <cellStyle name="0,0_x000d__x000a_NA_x000d__x000a_ 3 2 3" xfId="27273" xr:uid="{1A0B8205-8F45-4F2C-A1FF-1756802BD1D3}"/>
    <cellStyle name="0,0_x000d__x000a_NA_x000d__x000a_ 3 2 4" xfId="27271" xr:uid="{BF1ED9D3-0148-48D5-A139-29442C8B9F47}"/>
    <cellStyle name="0,0_x000d__x000a_NA_x000d__x000a_ 3 3" xfId="361" xr:uid="{29A3BCBD-8305-4DEB-92D5-C752176FC077}"/>
    <cellStyle name="0,0_x000d__x000a_NA_x000d__x000a_ 3 3 2" xfId="27274" xr:uid="{0CBA2F21-BCDA-4F82-91B5-C725D654193F}"/>
    <cellStyle name="0,0_x000d__x000a_NA_x000d__x000a_ 3 4" xfId="365" xr:uid="{8A30F270-32E7-4D53-8747-AD8064EF06F2}"/>
    <cellStyle name="0,0_x000d__x000a_NA_x000d__x000a_ 3 4 2" xfId="27275" xr:uid="{BACBC2F8-9468-49A1-9026-D28E9B382729}"/>
    <cellStyle name="0,0_x000d__x000a_NA_x000d__x000a_ 3 5" xfId="369" xr:uid="{B8FABE1D-A6C2-4F8F-9D37-A7255174BB41}"/>
    <cellStyle name="0,0_x000d__x000a_NA_x000d__x000a_ 3 6" xfId="373" xr:uid="{1BD1F32B-4583-48F4-92D4-2939C6A8835E}"/>
    <cellStyle name="0,0_x000d__x000a_NA_x000d__x000a_ 3 7" xfId="376" xr:uid="{A34415FA-689D-4D5B-85C5-D1E4E577674F}"/>
    <cellStyle name="0,0_x000d__x000a_NA_x000d__x000a_ 3 8" xfId="377" xr:uid="{39EABF7E-B819-49B2-BBB4-63935E81D52D}"/>
    <cellStyle name="0,0_x000d__x000a_NA_x000d__x000a_ 3 9" xfId="9377" xr:uid="{1BF7A21A-062E-4B1C-ACD2-50D3DE74A4CE}"/>
    <cellStyle name="0,0_x000d__x000a_NA_x000d__x000a_ 4" xfId="146" xr:uid="{895ECF3A-4A8E-4CFA-BA43-A11A2FA999FE}"/>
    <cellStyle name="0,0_x000d__x000a_NA_x000d__x000a_ 4 10" xfId="17077" xr:uid="{5957DA54-CFE8-44CE-B68B-24010400DF03}"/>
    <cellStyle name="0,0_x000d__x000a_NA_x000d__x000a_ 4 2" xfId="378" xr:uid="{6B830EA7-CBAB-4DD9-8841-6BF31D545E26}"/>
    <cellStyle name="0,0_x000d__x000a_NA_x000d__x000a_ 4 2 2" xfId="27276" xr:uid="{9C9A5202-D649-4C07-8143-5BAB1EA7F9BB}"/>
    <cellStyle name="0,0_x000d__x000a_NA_x000d__x000a_ 4 3" xfId="381" xr:uid="{FBB5A58A-02F4-481B-908C-E85E87BB8754}"/>
    <cellStyle name="0,0_x000d__x000a_NA_x000d__x000a_ 4 4" xfId="389" xr:uid="{BEC97DDB-4B45-4115-90AA-FBAA51EDFD8C}"/>
    <cellStyle name="0,0_x000d__x000a_NA_x000d__x000a_ 4 5" xfId="391" xr:uid="{B1A9FE87-DD99-4E38-835C-2BFF07D226CF}"/>
    <cellStyle name="0,0_x000d__x000a_NA_x000d__x000a_ 4 6" xfId="392" xr:uid="{27FCF350-78F7-4364-A070-2F32E922857A}"/>
    <cellStyle name="0,0_x000d__x000a_NA_x000d__x000a_ 4 7" xfId="396" xr:uid="{D154A125-8666-48C8-93FC-0D71651B0B7F}"/>
    <cellStyle name="0,0_x000d__x000a_NA_x000d__x000a_ 4 8" xfId="397" xr:uid="{5C1875A1-A0BB-426F-8C67-5B74CADA884E}"/>
    <cellStyle name="0,0_x000d__x000a_NA_x000d__x000a_ 4 9" xfId="9379" xr:uid="{F0B67922-1CBE-4CA3-AE1C-7AB106A7ADEE}"/>
    <cellStyle name="0,0_x000d__x000a_NA_x000d__x000a_ 5" xfId="154" xr:uid="{934EE704-F15E-43BD-BAB1-60E9FA67D718}"/>
    <cellStyle name="0,0_x000d__x000a_NA_x000d__x000a_ 5 10" xfId="17078" xr:uid="{922378D0-58E8-46D3-B2C6-C2F7F21904DD}"/>
    <cellStyle name="0,0_x000d__x000a_NA_x000d__x000a_ 5 2" xfId="173" xr:uid="{0DAE5C3B-AE81-4A04-8DD5-7B5463122B5D}"/>
    <cellStyle name="0,0_x000d__x000a_NA_x000d__x000a_ 5 2 2" xfId="27277" xr:uid="{45DBB9B7-AFD0-4FA1-A15B-7CD4F9522116}"/>
    <cellStyle name="0,0_x000d__x000a_NA_x000d__x000a_ 5 3" xfId="35" xr:uid="{AD9F97DF-FC6F-4A2A-B61A-130CD717096F}"/>
    <cellStyle name="0,0_x000d__x000a_NA_x000d__x000a_ 5 4" xfId="182" xr:uid="{72CAA971-50D0-42E2-8D79-89D673B35844}"/>
    <cellStyle name="0,0_x000d__x000a_NA_x000d__x000a_ 5 5" xfId="50" xr:uid="{92E1AF9C-B7BE-494B-BAF5-35B4C8D38EBA}"/>
    <cellStyle name="0,0_x000d__x000a_NA_x000d__x000a_ 5 6" xfId="398" xr:uid="{02CBE682-6475-46C3-9B80-0ECA90A8090B}"/>
    <cellStyle name="0,0_x000d__x000a_NA_x000d__x000a_ 5 7" xfId="402" xr:uid="{06E61FC2-5993-4A7A-8DD3-A8F702DC3848}"/>
    <cellStyle name="0,0_x000d__x000a_NA_x000d__x000a_ 5 8" xfId="403" xr:uid="{2FE0D4E3-E954-45EF-9AE1-1E2E5001BAF1}"/>
    <cellStyle name="0,0_x000d__x000a_NA_x000d__x000a_ 5 9" xfId="9380" xr:uid="{3A636883-9730-4E8A-B756-1443EDB7DEA6}"/>
    <cellStyle name="0,0_x000d__x000a_NA_x000d__x000a_ 6" xfId="168" xr:uid="{71AF3F4E-CF2B-4D67-BC1E-4BFAE647EECC}"/>
    <cellStyle name="0,0_x000d__x000a_NA_x000d__x000a_ 6 10" xfId="17079" xr:uid="{DA31DA61-3062-46D7-9E17-3D73B14DCFEB}"/>
    <cellStyle name="0,0_x000d__x000a_NA_x000d__x000a_ 6 11" xfId="27278" xr:uid="{2A06AA99-6743-429A-AFB7-AE6734515034}"/>
    <cellStyle name="0,0_x000d__x000a_NA_x000d__x000a_ 6 2" xfId="406" xr:uid="{4A8E3B8A-842B-477F-BE22-09AB6BFEA453}"/>
    <cellStyle name="0,0_x000d__x000a_NA_x000d__x000a_ 6 3" xfId="407" xr:uid="{CE259F14-BE67-40FA-B1E9-70A755300525}"/>
    <cellStyle name="0,0_x000d__x000a_NA_x000d__x000a_ 6 4" xfId="408" xr:uid="{2B66227F-3B88-421E-8E54-E252B2513DA1}"/>
    <cellStyle name="0,0_x000d__x000a_NA_x000d__x000a_ 6 5" xfId="409" xr:uid="{6AB71478-0B8D-4491-B9E1-8F43F02822D0}"/>
    <cellStyle name="0,0_x000d__x000a_NA_x000d__x000a_ 6 6" xfId="410" xr:uid="{CC59A366-7450-4470-9363-ED536865A0F5}"/>
    <cellStyle name="0,0_x000d__x000a_NA_x000d__x000a_ 6 7" xfId="415" xr:uid="{E5E2373C-01C4-4F27-A3E8-E8F4BF911019}"/>
    <cellStyle name="0,0_x000d__x000a_NA_x000d__x000a_ 6 8" xfId="416" xr:uid="{CC8F7F02-82CD-41A6-8E2C-C8F132BEE124}"/>
    <cellStyle name="0,0_x000d__x000a_NA_x000d__x000a_ 6 9" xfId="9381" xr:uid="{28E2D469-B769-4587-8CF6-DDCA4846A93E}"/>
    <cellStyle name="0,0_x000d__x000a_NA_x000d__x000a_ 7" xfId="177" xr:uid="{4237EAF4-FB86-4590-9815-40D5807E35FC}"/>
    <cellStyle name="0,0_x000d__x000a_NA_x000d__x000a_ 7 2" xfId="417" xr:uid="{C09972FA-A837-4764-B2D6-735083BAB187}"/>
    <cellStyle name="0,0_x000d__x000a_NA_x000d__x000a_ 7 3" xfId="418" xr:uid="{C638122E-25F5-4133-9CEA-3F0DB8FC6E31}"/>
    <cellStyle name="0,0_x000d__x000a_NA_x000d__x000a_ 7 4" xfId="420" xr:uid="{518E56E3-7D42-4A71-AC9F-59FBCCECDF59}"/>
    <cellStyle name="0,0_x000d__x000a_NA_x000d__x000a_ 7 5" xfId="421" xr:uid="{8284268D-3EC6-4344-90F6-618C95C2D166}"/>
    <cellStyle name="0,0_x000d__x000a_NA_x000d__x000a_ 7 6" xfId="422" xr:uid="{104EE0F4-1392-43E4-87C9-0D299ACE0816}"/>
    <cellStyle name="0,0_x000d__x000a_NA_x000d__x000a_ 7 7" xfId="427" xr:uid="{421358E5-E52E-4CCE-AF9D-CB27C6F8D154}"/>
    <cellStyle name="0,0_x000d__x000a_NA_x000d__x000a_ 7 8" xfId="428" xr:uid="{FE69936A-44D8-424B-B53C-E477CD383274}"/>
    <cellStyle name="0,0_x000d__x000a_NA_x000d__x000a_ 7 9" xfId="9382" xr:uid="{F201C102-E436-48B7-B72C-9472B66B1D73}"/>
    <cellStyle name="0,0_x000d__x000a_NA_x000d__x000a_ 8" xfId="30" xr:uid="{20BDE116-6EA4-4527-8193-47365245E5A8}"/>
    <cellStyle name="0,0_x000d__x000a_NA_x000d__x000a_ 8 2" xfId="431" xr:uid="{46AF647A-0798-4DAE-8A02-22436FBC1568}"/>
    <cellStyle name="0,0_x000d__x000a_NA_x000d__x000a_ 8 3" xfId="432" xr:uid="{C835D265-4E0B-4AB4-B9E6-87055AE0EFBE}"/>
    <cellStyle name="0,0_x000d__x000a_NA_x000d__x000a_ 8 4" xfId="434" xr:uid="{3B975004-9794-4627-8FC0-ECCAD8BF3898}"/>
    <cellStyle name="0,0_x000d__x000a_NA_x000d__x000a_ 8 5" xfId="438" xr:uid="{CA98355A-CDE5-405B-9044-FFA2AAF425EB}"/>
    <cellStyle name="0,0_x000d__x000a_NA_x000d__x000a_ 8 6" xfId="88" xr:uid="{BAB09919-2F03-4EC6-B131-AEE53CC2C59D}"/>
    <cellStyle name="0,0_x000d__x000a_NA_x000d__x000a_ 8 7" xfId="440" xr:uid="{10A3D844-2D1A-4E19-9A78-CF5E24240FF8}"/>
    <cellStyle name="0,0_x000d__x000a_NA_x000d__x000a_ 8 8" xfId="441" xr:uid="{70AA417C-EA31-486F-805D-1B70372FF706}"/>
    <cellStyle name="0,0_x000d__x000a_NA_x000d__x000a_ 8 9" xfId="9383" xr:uid="{A2499899-9053-47B4-8887-C9400C7A88A9}"/>
    <cellStyle name="0,0_x000d__x000a_NA_x000d__x000a_ 9" xfId="186" xr:uid="{ECD81471-5960-420E-BA80-48855005C45A}"/>
    <cellStyle name="0,0_x000d__x000a_NA_x000d__x000a_ 9 2" xfId="444" xr:uid="{1C4E064F-585B-42AE-B355-CC1CA0187CE9}"/>
    <cellStyle name="0,0_x000d__x000a_NA_x000d__x000a_ 9 3" xfId="452" xr:uid="{2B401D40-FF58-47A2-8233-7F2FEB6DD85B}"/>
    <cellStyle name="0,0_x000d__x000a_NA_x000d__x000a_ 9 4" xfId="460" xr:uid="{79ED2C70-859E-461D-8DC2-A3CF4BE2BEEF}"/>
    <cellStyle name="0,0_x000d__x000a_NA_x000d__x000a_ 9 5" xfId="472" xr:uid="{32D1584C-82EF-47D0-9B8D-4E2475146554}"/>
    <cellStyle name="0,0_x000d__x000a_NA_x000d__x000a_ 9 6" xfId="482" xr:uid="{CAC05D4B-2057-451D-9C7D-7B89FCFCC3B6}"/>
    <cellStyle name="0,0_x000d__x000a_NA_x000d__x000a_ 9 7" xfId="491" xr:uid="{18BE555A-CDB4-4D96-AF0E-706A549E53AA}"/>
    <cellStyle name="0,0_x000d__x000a_NA_x000d__x000a_ 9 8" xfId="496" xr:uid="{5FD371A5-E5E7-4DB4-81A4-E6B00036E542}"/>
    <cellStyle name="0,0_x000d__x000a_NA_x000d__x000a_ 9 9" xfId="9384" xr:uid="{24C5DE96-D4F4-45FB-AB5E-927076A59528}"/>
    <cellStyle name="0,0_x000d__x000a_NA_x000d__x000a__2013年3月集团计财信息4.27" xfId="503" xr:uid="{83C581FE-F5D7-4419-9D93-718B7650D40D}"/>
    <cellStyle name="0,0_x005f_x000d__x000a_NA_x005f_x000d__x000a_" xfId="509" xr:uid="{39E12F6A-111F-406A-97E1-217FBCEF2831}"/>
    <cellStyle name="0.0%" xfId="221" xr:uid="{33164260-02AD-4B6A-94F7-1ABBCEA90E86}"/>
    <cellStyle name="0.0% 10" xfId="11970" xr:uid="{CF7D9CAC-F450-40AD-824D-6BD616DB05CE}"/>
    <cellStyle name="0.0% 2" xfId="510" xr:uid="{5E34BE47-684A-4185-9180-2CD2C6D4F192}"/>
    <cellStyle name="0.0% 3" xfId="512" xr:uid="{44D3E931-B1A4-4EA9-9724-4A1751E6D1F3}"/>
    <cellStyle name="0.0% 4" xfId="352" xr:uid="{F6182EE3-77D9-4346-B891-470929570103}"/>
    <cellStyle name="0.0% 5" xfId="517" xr:uid="{EB76BDBE-CDE9-4505-9C6C-37C764034E25}"/>
    <cellStyle name="0.0% 6" xfId="521" xr:uid="{86D7DCB6-8359-45C6-BB39-839855DBABEF}"/>
    <cellStyle name="0.0% 7" xfId="532" xr:uid="{6C581B1F-D356-4444-AFA2-1FFB74626752}"/>
    <cellStyle name="0.0% 8" xfId="540" xr:uid="{23DBE241-C9E6-471F-8DD6-D392C69295A3}"/>
    <cellStyle name="0.0% 9" xfId="548" xr:uid="{C56EDCC7-3A08-471B-8F04-2641B2B03933}"/>
    <cellStyle name="0.00%" xfId="552" xr:uid="{4BD7B6C5-41ED-4B9C-B12D-FB4638A2FE6C}"/>
    <cellStyle name="0.00% 10" xfId="11971" xr:uid="{0847C682-7FE3-4B60-B338-26BA0D077CC9}"/>
    <cellStyle name="0.00% 2" xfId="560" xr:uid="{31D7DEF3-5531-4086-8F08-4D17952D999F}"/>
    <cellStyle name="0.00% 3" xfId="567" xr:uid="{A0B01812-3485-40AD-816B-9D15D113A945}"/>
    <cellStyle name="0.00% 4" xfId="575" xr:uid="{16B045E8-CED6-4AB1-89BA-3A0BEC250FBD}"/>
    <cellStyle name="0.00% 5" xfId="445" xr:uid="{07888662-4F86-4001-9E61-635AE4FA0296}"/>
    <cellStyle name="0.00% 6" xfId="453" xr:uid="{AE33177A-53F7-482E-975D-C0EBC5B55944}"/>
    <cellStyle name="0.00% 7" xfId="463" xr:uid="{5514DBB1-363A-4777-A9CA-096ECADD9042}"/>
    <cellStyle name="0.00% 8" xfId="475" xr:uid="{BE678F1B-18D3-4A42-81B9-BC966863973E}"/>
    <cellStyle name="0.00% 9" xfId="484" xr:uid="{B9AF6047-4491-4FF9-BCA4-D6D4CA33DC32}"/>
    <cellStyle name="00" xfId="107" xr:uid="{374162AB-B2CD-42A0-B2C7-DA67A7FCF1F3}"/>
    <cellStyle name="00 10" xfId="11972" xr:uid="{7705F02F-8744-493A-873B-B153ED95C0CD}"/>
    <cellStyle name="00 2" xfId="576" xr:uid="{401A3160-D6A5-4D8A-A51F-E9204C9DEB32}"/>
    <cellStyle name="00 3" xfId="577" xr:uid="{E8CEC4F3-4BC9-4166-B01E-A2D0FD15378F}"/>
    <cellStyle name="00 4" xfId="578" xr:uid="{315A5DC6-6DB6-4468-8E7F-BECA9E904AFD}"/>
    <cellStyle name="00 5" xfId="580" xr:uid="{8E62FA52-152C-4156-9A9F-950AC3856CCD}"/>
    <cellStyle name="00 6" xfId="581" xr:uid="{11B72909-FE69-4EF8-AF07-34A6BEA93522}"/>
    <cellStyle name="00 7" xfId="582" xr:uid="{C1B20472-88BA-4564-A6FF-F7E83C2E1759}"/>
    <cellStyle name="00 8" xfId="583" xr:uid="{2A0A81B7-9964-4134-92A4-61E2491B5DC9}"/>
    <cellStyle name="00 9" xfId="587" xr:uid="{D04EE61D-011A-4098-85E6-867DD3D23368}"/>
    <cellStyle name="20% - Accent1" xfId="592" xr:uid="{97EC0632-F7CB-4EC1-93E3-5F40A776B19C}"/>
    <cellStyle name="20% - Accent1 10" xfId="9385" xr:uid="{2B6934F6-B1EC-4DBA-BFFB-DDFA80BEAA88}"/>
    <cellStyle name="20% - Accent1 2" xfId="594" xr:uid="{E079660A-4344-468B-9AA9-20403C72AFCB}"/>
    <cellStyle name="20% - Accent1 2 2" xfId="296" xr:uid="{D00D28BE-211B-42AC-88C9-F76367009562}"/>
    <cellStyle name="20% - Accent1 2 2 2" xfId="9387" xr:uid="{F8685955-4235-474C-A00D-429CABA8B495}"/>
    <cellStyle name="20% - Accent1 2 3" xfId="9386" xr:uid="{CBC1C24F-6AC6-488F-9FD1-EFD4689D1EBC}"/>
    <cellStyle name="20% - Accent1 3" xfId="600" xr:uid="{71C0321D-8D60-435A-AB75-4AE3F8FB2590}"/>
    <cellStyle name="20% - Accent1 3 2" xfId="604" xr:uid="{AE22A330-CF0E-40F7-9568-56DBEC9A8E31}"/>
    <cellStyle name="20% - Accent1 3 2 2" xfId="9389" xr:uid="{C67DD046-F866-46C7-80C5-00511F558A34}"/>
    <cellStyle name="20% - Accent1 3 3" xfId="9388" xr:uid="{66808572-B26A-4EA7-BDCB-457CCB161F4C}"/>
    <cellStyle name="20% - Accent1 4" xfId="607" xr:uid="{4B94E172-18A8-4B3A-9FDF-8A9BAA8E5D73}"/>
    <cellStyle name="20% - Accent1 4 2" xfId="103" xr:uid="{33A668A0-2B51-401C-9C51-2FD0CFA12E0A}"/>
    <cellStyle name="20% - Accent1 5" xfId="612" xr:uid="{BC49D5C8-C9C9-4C33-8EEA-0C493D9E4D23}"/>
    <cellStyle name="20% - Accent1 5 2" xfId="340" xr:uid="{EF073699-5A8E-4580-AE5F-AFE822C0089E}"/>
    <cellStyle name="20% - Accent1 6" xfId="614" xr:uid="{3581DA5F-ED69-4D45-8C6C-477D1C3A59BC}"/>
    <cellStyle name="20% - Accent1 6 2" xfId="363" xr:uid="{46FBAE9C-0831-42E4-A35D-F6DB1DEEB162}"/>
    <cellStyle name="20% - Accent1 7" xfId="617" xr:uid="{5CA68641-A073-49B2-8EBF-47AF9B7B4548}"/>
    <cellStyle name="20% - Accent1 7 2" xfId="388" xr:uid="{4E029E1F-C55A-400B-90ED-438FC430B075}"/>
    <cellStyle name="20% - Accent1 8" xfId="623" xr:uid="{8CFFAB5B-129B-4BE0-90DF-99B038AC1652}"/>
    <cellStyle name="20% - Accent1 8 2" xfId="34" xr:uid="{6682A0FB-673F-4A34-800A-44831CDBD74F}"/>
    <cellStyle name="20% - Accent1 9" xfId="625" xr:uid="{03D91C7A-1A78-4442-B7FE-1741C8ED2F27}"/>
    <cellStyle name="20% - Accent1_球团工序" xfId="17080" xr:uid="{09DEA023-1C7F-4830-88BF-7A707EAF2BEC}"/>
    <cellStyle name="20% - Accent2" xfId="633" xr:uid="{E37E2075-DB63-49E6-BF43-7C5B7D470BDC}"/>
    <cellStyle name="20% - Accent2 10" xfId="9390" xr:uid="{B72B9718-9961-493B-A64C-9A80F40F61A1}"/>
    <cellStyle name="20% - Accent2 2" xfId="516" xr:uid="{3339351C-03DB-48D9-BDBF-2C031BCD4304}"/>
    <cellStyle name="20% - Accent2 2 2" xfId="634" xr:uid="{C5DA6427-06C2-49B1-ABB7-1802C515D5E2}"/>
    <cellStyle name="20% - Accent2 2 2 2" xfId="9392" xr:uid="{B5A3264F-6996-4B90-84AC-2B4A043D98B0}"/>
    <cellStyle name="20% - Accent2 2 3" xfId="9391" xr:uid="{27619D12-B6E6-4481-ABA6-CE8645EF21E0}"/>
    <cellStyle name="20% - Accent2 3" xfId="356" xr:uid="{7910E1D4-1376-4CFC-82E7-62786A92C082}"/>
    <cellStyle name="20% - Accent2 3 2" xfId="639" xr:uid="{3D7F7743-4A81-46EB-A5B3-96445D63F4B1}"/>
    <cellStyle name="20% - Accent2 3 2 2" xfId="9394" xr:uid="{E75EB4B5-06DC-42FD-9347-B140AFC62A99}"/>
    <cellStyle name="20% - Accent2 3 3" xfId="9393" xr:uid="{E4888C99-149D-4571-99E6-759CCACDAE8B}"/>
    <cellStyle name="20% - Accent2 4" xfId="520" xr:uid="{318F6722-22F1-403D-B58F-D0B9036B9F13}"/>
    <cellStyle name="20% - Accent2 4 2" xfId="643" xr:uid="{203B6FC1-483D-4A0E-BC03-B223743F9D85}"/>
    <cellStyle name="20% - Accent2 5" xfId="524" xr:uid="{3992905C-9BB2-4FE0-9A60-755A2A448B3F}"/>
    <cellStyle name="20% - Accent2 5 2" xfId="619" xr:uid="{2EA8BFAC-DB4E-4A84-A19B-6ACD97ABA808}"/>
    <cellStyle name="20% - Accent2 6" xfId="529" xr:uid="{77AA0D52-1502-47A7-B4D7-2A45661183EB}"/>
    <cellStyle name="20% - Accent2 6 2" xfId="544" xr:uid="{28FD69D0-4986-4FC1-A9C2-24BB70459AA9}"/>
    <cellStyle name="20% - Accent2 7" xfId="534" xr:uid="{EF0F68DC-A77F-4331-90B2-7A7AD14F08F1}"/>
    <cellStyle name="20% - Accent2 7 2" xfId="651" xr:uid="{3B4E2094-9163-44C3-9BD6-BA341AF4FA76}"/>
    <cellStyle name="20% - Accent2 8" xfId="541" xr:uid="{0777442B-B5E7-4B9B-AFD2-BB95AFF3B3A2}"/>
    <cellStyle name="20% - Accent2 8 2" xfId="662" xr:uid="{41879C91-E690-4C6F-B1EA-D37259D2388B}"/>
    <cellStyle name="20% - Accent2 9" xfId="22" xr:uid="{4E7186EE-C07C-428E-863E-21AB546C7E98}"/>
    <cellStyle name="20% - Accent2_球团工序" xfId="17081" xr:uid="{E9D918B8-E5AE-4960-87E4-987D53E53574}"/>
    <cellStyle name="20% - Accent3" xfId="668" xr:uid="{A52A1260-9958-483B-B1DE-5D9DE689C81F}"/>
    <cellStyle name="20% - Accent3 10" xfId="9395" xr:uid="{4D1E413B-9D49-44CE-8BEB-53DBB1BA8F6F}"/>
    <cellStyle name="20% - Accent3 2" xfId="672" xr:uid="{AEAFBEEA-F9AA-49DF-AFF5-FB21C48134F5}"/>
    <cellStyle name="20% - Accent3 2 2" xfId="437" xr:uid="{985AE999-690C-4B3C-BF02-4A703DA0FDD8}"/>
    <cellStyle name="20% - Accent3 2 2 2" xfId="9397" xr:uid="{C88E5DF4-28B5-4583-9991-E87757598536}"/>
    <cellStyle name="20% - Accent3 2 3" xfId="9396" xr:uid="{CDADC62F-7582-4A24-812F-8686FB592B7F}"/>
    <cellStyle name="20% - Accent3 3" xfId="674" xr:uid="{DAD17542-64C2-446C-A120-D3880C1A4DAC}"/>
    <cellStyle name="20% - Accent3 3 2" xfId="466" xr:uid="{6903D1C7-DCD6-436F-9174-2FC2432220E5}"/>
    <cellStyle name="20% - Accent3 3 2 2" xfId="9399" xr:uid="{2FF3D461-45ED-498D-BF90-364B3F76170A}"/>
    <cellStyle name="20% - Accent3 3 3" xfId="9398" xr:uid="{05895D33-6718-4645-A091-31223F3E1896}"/>
    <cellStyle name="20% - Accent3 4" xfId="680" xr:uid="{FB0A3D37-F6A0-4D01-9681-4AF5833CC502}"/>
    <cellStyle name="20% - Accent3 4 2" xfId="685" xr:uid="{329A7DD5-E250-4817-9849-9D4E003037F7}"/>
    <cellStyle name="20% - Accent3 5" xfId="690" xr:uid="{5E3CA855-D66B-4539-9959-4F24809DF450}"/>
    <cellStyle name="20% - Accent3 5 2" xfId="701" xr:uid="{52B13128-D3C6-403E-8766-345248D3D857}"/>
    <cellStyle name="20% - Accent3 6" xfId="705" xr:uid="{08259F68-A5E0-4BCF-A467-2D4D8DFDB45A}"/>
    <cellStyle name="20% - Accent3 6 2" xfId="708" xr:uid="{B509CBED-7386-4A12-9D08-94FCD12C5A98}"/>
    <cellStyle name="20% - Accent3 7" xfId="712" xr:uid="{ACB0518C-8686-457E-9919-298500F6F86E}"/>
    <cellStyle name="20% - Accent3 7 2" xfId="717" xr:uid="{4C6D29A3-DBFB-49DC-A8AC-9942065641DE}"/>
    <cellStyle name="20% - Accent3 8" xfId="649" xr:uid="{214DA83E-A1A3-4778-892A-C2AD928A9763}"/>
    <cellStyle name="20% - Accent3 8 2" xfId="720" xr:uid="{2AECD0F5-EF91-40C4-B629-8D5EC31DD308}"/>
    <cellStyle name="20% - Accent3 9" xfId="724" xr:uid="{3F414493-A680-4DA5-B152-22F8FF36EF31}"/>
    <cellStyle name="20% - Accent3_球团工序" xfId="17082" xr:uid="{AA418E93-B0F3-4490-B684-C2040A9D987A}"/>
    <cellStyle name="20% - Accent4" xfId="733" xr:uid="{01635326-19AA-4DE7-8AD1-CAF99948957A}"/>
    <cellStyle name="20% - Accent4 10" xfId="9400" xr:uid="{13194816-E975-47DE-93ED-E2C020F20803}"/>
    <cellStyle name="20% - Accent4 2" xfId="737" xr:uid="{44EBF5B0-D598-4183-9C6C-E80CF5DC8A0D}"/>
    <cellStyle name="20% - Accent4 2 2" xfId="747" xr:uid="{6BEEBFDE-3E5B-4C2C-AD67-D53030CD2DEE}"/>
    <cellStyle name="20% - Accent4 2 2 2" xfId="9402" xr:uid="{3BF2E679-4C4B-4BCC-8349-81F9338C45B4}"/>
    <cellStyle name="20% - Accent4 2 3" xfId="9401" xr:uid="{399F17B2-93FF-4297-94E5-77545F9EE568}"/>
    <cellStyle name="20% - Accent4 3" xfId="752" xr:uid="{30D0CAEF-C635-4E90-9D20-18E323B7C232}"/>
    <cellStyle name="20% - Accent4 3 2" xfId="757" xr:uid="{DF00D8A7-9FAC-4B25-940A-FEBB165F361E}"/>
    <cellStyle name="20% - Accent4 3 2 2" xfId="9404" xr:uid="{E1989DB6-52CB-4DCB-9D32-6AC37F0C1FB6}"/>
    <cellStyle name="20% - Accent4 3 3" xfId="9403" xr:uid="{20F83F4E-282A-428D-9800-EE2786819C43}"/>
    <cellStyle name="20% - Accent4 4" xfId="762" xr:uid="{6749D94A-B82A-4512-AB1D-C56FF9E108C1}"/>
    <cellStyle name="20% - Accent4 4 2" xfId="766" xr:uid="{979032CA-CDBD-4CE8-B2FF-BCE99ED5AF5E}"/>
    <cellStyle name="20% - Accent4 5" xfId="772" xr:uid="{7A058316-1928-4FE1-B28E-6EAFAE5B0575}"/>
    <cellStyle name="20% - Accent4 5 2" xfId="208" xr:uid="{80CF2106-D098-4A5E-B125-D5C5C18F5AF8}"/>
    <cellStyle name="20% - Accent4 6" xfId="779" xr:uid="{19398988-FE85-43E0-B883-6A7F5A1A10B0}"/>
    <cellStyle name="20% - Accent4 6 2" xfId="189" xr:uid="{2ECF3FE9-F42A-4A83-9145-296D70B184F3}"/>
    <cellStyle name="20% - Accent4 7" xfId="785" xr:uid="{9231F58B-48B3-4BE2-B1E3-47554100CFE8}"/>
    <cellStyle name="20% - Accent4 7 2" xfId="123" xr:uid="{992CFC9D-E96C-49B2-AAE9-C61C441E109E}"/>
    <cellStyle name="20% - Accent4 8" xfId="658" xr:uid="{543540E5-3C9F-460E-8B0C-79340E473E81}"/>
    <cellStyle name="20% - Accent4 8 2" xfId="263" xr:uid="{1F178E59-D3A1-4C25-8837-37FF71AFAF06}"/>
    <cellStyle name="20% - Accent4 9" xfId="790" xr:uid="{96D8F4AF-EC6C-478C-AF7A-3291C2083245}"/>
    <cellStyle name="20% - Accent4_球团工序" xfId="17083" xr:uid="{B3257702-39D3-4636-B04D-855811C16B38}"/>
    <cellStyle name="20% - Accent5" xfId="801" xr:uid="{BA8EE9FA-A630-4C16-B03F-B7E5AB6601F7}"/>
    <cellStyle name="20% - Accent5 10" xfId="9405" xr:uid="{BB179D45-6C84-4AB4-A6D2-2131679B7925}"/>
    <cellStyle name="20% - Accent5 2" xfId="805" xr:uid="{707A7200-D551-49EE-8E04-5C5C3F7D6D63}"/>
    <cellStyle name="20% - Accent5 2 2" xfId="813" xr:uid="{278BBDD2-B515-4DF2-B884-BA2920D57FB4}"/>
    <cellStyle name="20% - Accent5 2 2 2" xfId="9407" xr:uid="{76AB0121-6CD6-44FC-A23E-C90EA044F43C}"/>
    <cellStyle name="20% - Accent5 2 3" xfId="9406" xr:uid="{6BD83DAB-6483-4912-93AC-600B9939591B}"/>
    <cellStyle name="20% - Accent5 3" xfId="819" xr:uid="{8F38A1DB-A827-4B9F-9EA6-2816A2B739E1}"/>
    <cellStyle name="20% - Accent5 3 2" xfId="630" xr:uid="{976422BD-8F5F-4564-B52D-AD50DFF3A266}"/>
    <cellStyle name="20% - Accent5 3 2 2" xfId="9409" xr:uid="{82486C01-F16F-40A3-8C1B-A6735F7066BB}"/>
    <cellStyle name="20% - Accent5 3 3" xfId="9408" xr:uid="{79B04FFF-67EC-4449-B7A8-527F6D8BB6EF}"/>
    <cellStyle name="20% - Accent5 4" xfId="826" xr:uid="{6FEDEAAF-C8A5-4091-8E4E-E6B6AA96039B}"/>
    <cellStyle name="20% - Accent5 4 2" xfId="831" xr:uid="{F6DD8D7D-5D98-4D12-B672-DD834C235101}"/>
    <cellStyle name="20% - Accent5 5" xfId="833" xr:uid="{66FB7FAE-7745-4F41-9392-C9FA63E37258}"/>
    <cellStyle name="20% - Accent5 5 2" xfId="838" xr:uid="{038E11B9-005B-4A54-9A37-09259D85569F}"/>
    <cellStyle name="20% - Accent5 6" xfId="840" xr:uid="{ED7DDD6C-E394-4899-8AC3-B20BDC529CD6}"/>
    <cellStyle name="20% - Accent5 6 2" xfId="844" xr:uid="{EE865986-D8E2-4444-A741-978FA52698AD}"/>
    <cellStyle name="20% - Accent5 7" xfId="846" xr:uid="{19AD7008-7873-4A52-811A-1026C53E1751}"/>
    <cellStyle name="20% - Accent5 7 2" xfId="850" xr:uid="{4606821C-235E-4328-B8D5-05E97843AA1E}"/>
    <cellStyle name="20% - Accent5 8" xfId="854" xr:uid="{3CA868B7-653E-4E58-A3EE-D371838EFD28}"/>
    <cellStyle name="20% - Accent5 8 2" xfId="858" xr:uid="{D980E86E-CEB1-40C8-B050-41BE8F8EEE45}"/>
    <cellStyle name="20% - Accent5 9" xfId="861" xr:uid="{768DAC8D-5832-48BF-99F7-C4E0F8508F17}"/>
    <cellStyle name="20% - Accent5_球团工序" xfId="17084" xr:uid="{52B17178-055A-4CFC-8FD3-0D728C54486B}"/>
    <cellStyle name="20% - Accent6" xfId="863" xr:uid="{D9BA9537-8CE9-4855-AA7B-FC758192526B}"/>
    <cellStyle name="20% - Accent6 10" xfId="9410" xr:uid="{B2180BDD-0A58-47CF-95BA-5C883B739EC9}"/>
    <cellStyle name="20% - Accent6 2" xfId="867" xr:uid="{63DD9740-BE1C-47AE-BC13-076DBD68EB06}"/>
    <cellStyle name="20% - Accent6 2 2" xfId="872" xr:uid="{0313083E-4BD3-4283-B3AF-9F1654D9CA00}"/>
    <cellStyle name="20% - Accent6 2 2 2" xfId="9412" xr:uid="{1AC7D429-0861-4282-BAF6-6BD2DEAEB95C}"/>
    <cellStyle name="20% - Accent6 2 3" xfId="9411" xr:uid="{FE40F7C5-5009-497F-A23B-9321C2B7D8C6}"/>
    <cellStyle name="20% - Accent6 3" xfId="874" xr:uid="{235ABED1-DBE7-4EF4-B13D-C1AB131730C2}"/>
    <cellStyle name="20% - Accent6 3 2" xfId="348" xr:uid="{9126718D-F305-448F-81C9-09FCD65D0CE1}"/>
    <cellStyle name="20% - Accent6 3 2 2" xfId="9414" xr:uid="{09E8575B-F807-4244-9A51-7D76D3837068}"/>
    <cellStyle name="20% - Accent6 3 3" xfId="9413" xr:uid="{25476A0C-4817-47A8-9855-AD2DA3DA2D71}"/>
    <cellStyle name="20% - Accent6 4" xfId="879" xr:uid="{5A2487C2-C502-44FE-907F-E89DEAABE4B4}"/>
    <cellStyle name="20% - Accent6 4 2" xfId="375" xr:uid="{4A7BEB32-995B-4605-B414-B5817007C5B7}"/>
    <cellStyle name="20% - Accent6 5" xfId="882" xr:uid="{8275ED96-7BFC-4908-BB97-C15659B726E3}"/>
    <cellStyle name="20% - Accent6 5 2" xfId="394" xr:uid="{6E80333E-F0A3-4FFC-911E-78E48399EE74}"/>
    <cellStyle name="20% - Accent6 6" xfId="884" xr:uid="{B1D3EB21-622A-4DBF-BFD3-841097E20174}"/>
    <cellStyle name="20% - Accent6 6 2" xfId="400" xr:uid="{8B177BDF-5033-4A44-8C9F-C8B140DC8940}"/>
    <cellStyle name="20% - Accent6 7" xfId="887" xr:uid="{98F203FE-6B55-4FDA-9969-5D64A160E8B9}"/>
    <cellStyle name="20% - Accent6 7 2" xfId="413" xr:uid="{313BCF4C-7679-41BB-A512-CBBB1B20E1CE}"/>
    <cellStyle name="20% - Accent6 8" xfId="890" xr:uid="{C6BD139D-244E-4FC8-A503-91B9933EA507}"/>
    <cellStyle name="20% - Accent6 8 2" xfId="424" xr:uid="{92E87BE2-EE44-4484-954C-A4C8ED07671B}"/>
    <cellStyle name="20% - Accent6 9" xfId="892" xr:uid="{C0219CB2-632D-4E0A-A63A-8E8F62248249}"/>
    <cellStyle name="20% - Accent6_球团工序" xfId="17085" xr:uid="{DA707703-827E-40D9-8C7A-668E2D5C1F3A}"/>
    <cellStyle name="20% - 强调文字颜色 1" xfId="214" xr:uid="{1A869E24-195A-4F16-806B-CDD216EB0B49}"/>
    <cellStyle name="20% - 强调文字颜色 1 10" xfId="72" xr:uid="{57D497E7-C7CE-430F-8898-4D5705FF3188}"/>
    <cellStyle name="20% - 强调文字颜色 1 10 2" xfId="585" xr:uid="{284B1150-B579-4492-A469-236E2870265B}"/>
    <cellStyle name="20% - 强调文字颜色 1 10 2 2" xfId="893" xr:uid="{5FC06174-198F-4D9E-9964-8460411D54BB}"/>
    <cellStyle name="20% - 强调文字颜色 1 10 2 2 2" xfId="17088" xr:uid="{72557F4F-2495-479A-B97A-120C35287241}"/>
    <cellStyle name="20% - 强调文字颜色 1 10 2 3" xfId="9417" xr:uid="{4DAC17EB-C615-43A9-BC30-2D60D5CBD47E}"/>
    <cellStyle name="20% - 强调文字颜色 1 10 2 4" xfId="17087" xr:uid="{C07756DF-5E59-426B-AE40-4AF84C8465C9}"/>
    <cellStyle name="20% - 强调文字颜色 1 10 3" xfId="896" xr:uid="{0D776FC0-24CD-473A-899E-4E6D7A9F74C2}"/>
    <cellStyle name="20% - 强调文字颜色 1 10 3 2" xfId="9418" xr:uid="{C85A6375-9495-4577-9660-0E3DA5F284AC}"/>
    <cellStyle name="20% - 强调文字颜色 1 10 3 3" xfId="17089" xr:uid="{F9032FFD-6560-49E0-AEDF-6CFE4577D417}"/>
    <cellStyle name="20% - 强调文字颜色 1 10 4" xfId="898" xr:uid="{86F8318E-CC4D-47D5-84F2-46BD5361685E}"/>
    <cellStyle name="20% - 强调文字颜色 1 10 4 2" xfId="905" xr:uid="{A3F4291A-8131-4368-BB3C-14F7062F313B}"/>
    <cellStyle name="20% - 强调文字颜色 1 10 4 3" xfId="17090" xr:uid="{9494CD36-F66B-43A0-B12F-E5B03651F7AE}"/>
    <cellStyle name="20% - 强调文字颜色 1 10 5" xfId="908" xr:uid="{137E475C-AE8A-406E-979C-87682C2F7BAB}"/>
    <cellStyle name="20% - 强调文字颜色 1 10 5 2" xfId="912" xr:uid="{E0257DE6-0761-477B-A541-78E764134809}"/>
    <cellStyle name="20% - 强调文字颜色 1 10 6" xfId="914" xr:uid="{0DF612D7-0554-4C4D-84F1-8C2CE80D040C}"/>
    <cellStyle name="20% - 强调文字颜色 1 10 7" xfId="9416" xr:uid="{41C4419F-0431-46C0-AA22-3D11B49C122D}"/>
    <cellStyle name="20% - 强调文字颜色 1 10 8" xfId="13286" xr:uid="{84026EAA-D99A-45D6-B52E-86F473958F29}"/>
    <cellStyle name="20% - 强调文字颜色 1 10 9" xfId="17086" xr:uid="{6B4B65BB-BC25-4B26-9CA3-BAD36CD01A2A}"/>
    <cellStyle name="20% - 强调文字颜色 1 11" xfId="918" xr:uid="{631BBBE0-203D-4A97-9522-B87CDD8C9870}"/>
    <cellStyle name="20% - 强调文字颜色 1 11 2" xfId="921" xr:uid="{52D04010-2F6C-4DE3-82BB-8CD82AEF0551}"/>
    <cellStyle name="20% - 强调文字颜色 1 11 2 2" xfId="925" xr:uid="{245544BC-3806-4F98-BB81-6F4CE118D5B1}"/>
    <cellStyle name="20% - 强调文字颜色 1 11 2 2 2" xfId="17093" xr:uid="{22458226-238D-464B-A95D-563CF93D5B00}"/>
    <cellStyle name="20% - 强调文字颜色 1 11 2 3" xfId="9420" xr:uid="{0C645A45-431A-472B-8AAB-685AB8E53B9C}"/>
    <cellStyle name="20% - 强调文字颜色 1 11 2 4" xfId="17092" xr:uid="{18C8F51F-D276-40E4-8539-6F46363CC45D}"/>
    <cellStyle name="20% - 强调文字颜色 1 11 3" xfId="808" xr:uid="{419427EA-7636-46C3-BF37-60CC655AF0CB}"/>
    <cellStyle name="20% - 强调文字颜色 1 11 3 2" xfId="9421" xr:uid="{20089DAE-C84A-41AD-8F92-BB6578EA2BD3}"/>
    <cellStyle name="20% - 强调文字颜色 1 11 3 3" xfId="17094" xr:uid="{914CA307-3D40-468F-9FC6-1E65FDE3FEF1}"/>
    <cellStyle name="20% - 强调文字颜色 1 11 4" xfId="930" xr:uid="{13E80EFC-8922-4727-A0EF-ECEF44823FE9}"/>
    <cellStyle name="20% - 强调文字颜色 1 11 4 2" xfId="934" xr:uid="{C74E6A87-B1B0-4120-B0EB-A8DE4EBEBA0A}"/>
    <cellStyle name="20% - 强调文字颜色 1 11 4 3" xfId="17095" xr:uid="{00D58AEB-64A4-477E-93A7-70902D500180}"/>
    <cellStyle name="20% - 强调文字颜色 1 11 5" xfId="95" xr:uid="{B40845A8-CDB8-45BD-B2B1-C72896468301}"/>
    <cellStyle name="20% - 强调文字颜色 1 11 5 2" xfId="138" xr:uid="{79652C9F-2322-4267-B70E-2F1F1164FD09}"/>
    <cellStyle name="20% - 强调文字颜色 1 11 6" xfId="942" xr:uid="{842B4EDD-D40B-4315-BCDA-E6A334B3BBD4}"/>
    <cellStyle name="20% - 强调文字颜色 1 11 7" xfId="9419" xr:uid="{DA1F889D-B6F0-4858-B169-B8FE74B1E1C9}"/>
    <cellStyle name="20% - 强调文字颜色 1 11 8" xfId="13266" xr:uid="{242B59BA-030E-4EFA-B6B0-038D4316F348}"/>
    <cellStyle name="20% - 强调文字颜色 1 11 9" xfId="17091" xr:uid="{CC511A67-5B44-4A0E-A5D7-7DEFB102B860}"/>
    <cellStyle name="20% - 强调文字颜色 1 12" xfId="948" xr:uid="{AC0ABB9E-172C-4F25-891A-B53CDD6F701B}"/>
    <cellStyle name="20% - 强调文字颜色 1 12 2" xfId="589" xr:uid="{402C3D5F-79F4-4DBC-9B10-22B534E16098}"/>
    <cellStyle name="20% - 强调文字颜色 1 12 2 2" xfId="596" xr:uid="{FFE6D8F9-4602-46C0-99FD-8F8530E3C4AE}"/>
    <cellStyle name="20% - 强调文字颜色 1 12 2 2 2" xfId="17098" xr:uid="{E76930E9-A3A3-4A1D-ABA2-25FA98E2F55C}"/>
    <cellStyle name="20% - 强调文字颜色 1 12 2 3" xfId="9423" xr:uid="{FCF154DF-C8D6-4B6E-BA86-C4F0F322C012}"/>
    <cellStyle name="20% - 强调文字颜色 1 12 2 4" xfId="17097" xr:uid="{52D7A97F-CA78-4194-B64E-237263B177A9}"/>
    <cellStyle name="20% - 强调文字颜色 1 12 3" xfId="627" xr:uid="{0DB0935B-B79B-426E-99B5-88B8588E2137}"/>
    <cellStyle name="20% - 强调文字颜色 1 12 3 2" xfId="9424" xr:uid="{5B029B08-BDF3-4FD7-9600-D78FDDF10BBB}"/>
    <cellStyle name="20% - 强调文字颜色 1 12 3 3" xfId="17099" xr:uid="{A4F9D5F3-5F63-4422-A849-466835E64045}"/>
    <cellStyle name="20% - 强调文字颜色 1 12 4" xfId="665" xr:uid="{1AA8A1CC-DF67-4B0D-94E4-276127D72C6A}"/>
    <cellStyle name="20% - 强调文字颜色 1 12 4 2" xfId="669" xr:uid="{9F215536-1B8D-44B2-B299-DC49418A0650}"/>
    <cellStyle name="20% - 强调文字颜色 1 12 4 3" xfId="17100" xr:uid="{A2A84BC8-A9C2-4DB5-AC63-D8DB78B26FAA}"/>
    <cellStyle name="20% - 强调文字颜色 1 12 5" xfId="729" xr:uid="{DE5E162D-777C-4DC6-9A43-AFB6F96A4FC6}"/>
    <cellStyle name="20% - 强调文字颜色 1 12 5 2" xfId="744" xr:uid="{4D602744-9F3E-4072-904C-98F719467CD9}"/>
    <cellStyle name="20% - 强调文字颜色 1 12 6" xfId="796" xr:uid="{1CF6B6CA-DC05-47C5-9B54-C9207E18233B}"/>
    <cellStyle name="20% - 强调文字颜色 1 12 7" xfId="9422" xr:uid="{24086C1D-5773-4062-AA6F-3A50D45C5507}"/>
    <cellStyle name="20% - 强调文字颜色 1 12 8" xfId="13253" xr:uid="{346BDBE1-C7E8-4C5E-A258-FE0327E6953E}"/>
    <cellStyle name="20% - 强调文字颜色 1 12 9" xfId="17096" xr:uid="{059FD518-4522-47E3-8E2D-09DCAB15D9D4}"/>
    <cellStyle name="20% - 强调文字颜色 1 13" xfId="951" xr:uid="{B3FF9CAC-B701-4C96-9696-D478C4A782BC}"/>
    <cellStyle name="20% - 强调文字颜色 1 13 2" xfId="953" xr:uid="{EF12AABA-2D6C-417E-8D70-F7DA2B139F64}"/>
    <cellStyle name="20% - 强调文字颜色 1 13 2 2" xfId="955" xr:uid="{E47D657B-5557-4F11-8EDD-78F40A008003}"/>
    <cellStyle name="20% - 强调文字颜色 1 13 2 2 2" xfId="17103" xr:uid="{0DF700C0-FF9E-40F8-930A-1889F6328C3E}"/>
    <cellStyle name="20% - 强调文字颜色 1 13 2 3" xfId="9426" xr:uid="{53FCD396-A2CE-4B66-9C2F-7BBCE3867C6B}"/>
    <cellStyle name="20% - 强调文字颜色 1 13 2 4" xfId="17102" xr:uid="{2D56C6D0-CB65-42B3-B131-8ABCDBA86A90}"/>
    <cellStyle name="20% - 强调文字颜色 1 13 3" xfId="829" xr:uid="{55747A72-E950-4695-BDEA-D15AA4721A81}"/>
    <cellStyle name="20% - 强调文字颜色 1 13 3 2" xfId="9427" xr:uid="{A37A7767-7A0D-4EA4-AA33-47A0C033AA8A}"/>
    <cellStyle name="20% - 强调文字颜色 1 13 3 3" xfId="17104" xr:uid="{E6477482-457E-44F8-A836-FFDDEFC6A720}"/>
    <cellStyle name="20% - 强调文字颜色 1 13 4" xfId="957" xr:uid="{4CCA6B37-8475-453D-8320-E2BAB60028F7}"/>
    <cellStyle name="20% - 强调文字颜色 1 13 4 2" xfId="959" xr:uid="{D63D7E7C-1837-49F6-B8E3-43133D58354B}"/>
    <cellStyle name="20% - 强调文字颜色 1 13 4 3" xfId="17105" xr:uid="{ECEAA002-D01D-47C3-9AD2-04BBA8B4136D}"/>
    <cellStyle name="20% - 强调文字颜色 1 13 5" xfId="961" xr:uid="{0B39F74F-ED3D-48FB-A310-73406FBF33EB}"/>
    <cellStyle name="20% - 强调文字颜色 1 13 5 2" xfId="964" xr:uid="{2C79954F-FC52-4348-AA57-7A57D799D1BE}"/>
    <cellStyle name="20% - 强调文字颜色 1 13 6" xfId="966" xr:uid="{E869153F-9D3D-41DD-AB1C-A41C6A1C7FAA}"/>
    <cellStyle name="20% - 强调文字颜色 1 13 7" xfId="9425" xr:uid="{46661762-1C8F-4B96-BC17-BEC494DDC075}"/>
    <cellStyle name="20% - 强调文字颜色 1 13 8" xfId="13240" xr:uid="{5358718A-51D5-46C9-90B8-74B779AD4C5E}"/>
    <cellStyle name="20% - 强调文字颜色 1 13 9" xfId="17101" xr:uid="{A6D8D77C-4643-406E-A692-4DB349853E9E}"/>
    <cellStyle name="20% - 强调文字颜色 1 14" xfId="973" xr:uid="{2861B916-6AED-4566-8241-1DD033D51202}"/>
    <cellStyle name="20% - 强调文字颜色 1 14 2" xfId="977" xr:uid="{8C3A920A-E3FC-4E43-BFDF-935D9FB34277}"/>
    <cellStyle name="20% - 强调文字颜色 1 14 2 2" xfId="980" xr:uid="{EFE21AF9-1FFE-4CBB-8F61-DD622883A9F7}"/>
    <cellStyle name="20% - 强调文字颜色 1 14 2 2 2" xfId="17108" xr:uid="{E0BC2D26-DE07-4646-A0EC-370B0DC90E82}"/>
    <cellStyle name="20% - 强调文字颜色 1 14 2 3" xfId="9429" xr:uid="{3D8E436C-1217-43B3-B793-0E1704413AB2}"/>
    <cellStyle name="20% - 强调文字颜色 1 14 2 4" xfId="17107" xr:uid="{598B5BE3-5D9F-43D2-9BA4-E0292D2A2970}"/>
    <cellStyle name="20% - 强调文字颜色 1 14 3" xfId="836" xr:uid="{A4FB4343-0292-435C-B227-BC86FD0C5BF8}"/>
    <cellStyle name="20% - 强调文字颜色 1 14 3 2" xfId="9430" xr:uid="{F03367AC-B850-4829-9FA1-F4E5A7172187}"/>
    <cellStyle name="20% - 强调文字颜色 1 14 3 3" xfId="17109" xr:uid="{E6643182-9134-47C7-9CF5-BEB545884479}"/>
    <cellStyle name="20% - 强调文字颜色 1 14 4" xfId="984" xr:uid="{7C032982-0227-4CAA-8502-5535D612FB0B}"/>
    <cellStyle name="20% - 强调文字颜色 1 14 4 2" xfId="989" xr:uid="{F84F2827-2C78-4530-9BEF-BF3488693081}"/>
    <cellStyle name="20% - 强调文字颜色 1 14 4 3" xfId="17110" xr:uid="{87552F1D-3126-455F-B84D-0B1D34C4C080}"/>
    <cellStyle name="20% - 强调文字颜色 1 14 5" xfId="993" xr:uid="{7A9D7A26-0A6F-48B4-9C97-78D076A12152}"/>
    <cellStyle name="20% - 强调文字颜色 1 14 5 2" xfId="995" xr:uid="{6F8CD264-5D8B-424C-9ADA-591A59559B2D}"/>
    <cellStyle name="20% - 强调文字颜色 1 14 6" xfId="997" xr:uid="{758B3CA7-39A6-4F34-9807-9126268C6154}"/>
    <cellStyle name="20% - 强调文字颜色 1 14 7" xfId="9428" xr:uid="{3C014B5A-6F26-410F-A15A-48D2DB5AB078}"/>
    <cellStyle name="20% - 强调文字颜色 1 14 8" xfId="13227" xr:uid="{C83FA48F-E097-4E9F-B875-B04762C25CD9}"/>
    <cellStyle name="20% - 强调文字颜色 1 14 9" xfId="17106" xr:uid="{C0CF32EA-14AD-4677-BDC0-CBCDEB70B388}"/>
    <cellStyle name="20% - 强调文字颜色 1 15" xfId="1003" xr:uid="{76A385DF-D120-4492-9491-F008FCCB3917}"/>
    <cellStyle name="20% - 强调文字颜色 1 15 2" xfId="1010" xr:uid="{7BEF6952-75A1-4F44-8AA2-959671A53AC1}"/>
    <cellStyle name="20% - 强调文字颜色 1 15 2 2" xfId="9432" xr:uid="{011E5611-BCB3-4C4A-A284-D7104A935036}"/>
    <cellStyle name="20% - 强调文字颜色 1 15 2 2 2" xfId="17113" xr:uid="{CA129F46-545F-40D5-BA8F-E956A77EAEE1}"/>
    <cellStyle name="20% - 强调文字颜色 1 15 2 3" xfId="17112" xr:uid="{A3476CFD-2693-4E4D-903A-C02D760B87CB}"/>
    <cellStyle name="20% - 强调文字颜色 1 15 3" xfId="842" xr:uid="{A6BEC7CD-57AE-4BBB-AF32-250522AB21C9}"/>
    <cellStyle name="20% - 强调文字颜色 1 15 3 2" xfId="1014" xr:uid="{003992F2-208F-44F8-B041-628F2B5F8CE0}"/>
    <cellStyle name="20% - 强调文字颜色 1 15 3 3" xfId="9433" xr:uid="{1DB22454-D488-418E-852E-E58A0E030CFA}"/>
    <cellStyle name="20% - 强调文字颜色 1 15 3 4" xfId="17114" xr:uid="{453DB1BC-CDD6-48B8-B7E5-09994DF88E58}"/>
    <cellStyle name="20% - 强调文字颜色 1 15 4" xfId="1016" xr:uid="{7AE7EA06-6C13-4CDD-841B-30C20610D49C}"/>
    <cellStyle name="20% - 强调文字颜色 1 15 4 2" xfId="271" xr:uid="{36DDE77C-E4FC-4B75-B428-9EA5A1DF278C}"/>
    <cellStyle name="20% - 强调文字颜色 1 15 4 3" xfId="17115" xr:uid="{FF04317E-405E-4B87-B473-F937E1E69009}"/>
    <cellStyle name="20% - 强调文字颜色 1 15 5" xfId="1019" xr:uid="{662B6D68-643C-402B-9418-43CB9F72631B}"/>
    <cellStyle name="20% - 强调文字颜色 1 15 6" xfId="9431" xr:uid="{06F45F32-2F37-4AE7-9DBA-944D17084AD5}"/>
    <cellStyle name="20% - 强调文字颜色 1 15 7" xfId="13214" xr:uid="{33F75DCD-B1CC-43D6-B248-E32E9F4CE3B7}"/>
    <cellStyle name="20% - 强调文字颜色 1 15 8" xfId="17111" xr:uid="{5EEB4A69-C6B0-4D9E-81C7-0464E8832818}"/>
    <cellStyle name="20% - 强调文字颜色 1 16" xfId="556" xr:uid="{9981D0E8-3424-48B5-B5A9-ED9002BB5A20}"/>
    <cellStyle name="20% - 强调文字颜色 1 16 2" xfId="1022" xr:uid="{3994EFD6-DBB8-4180-B13A-4C52B09410AD}"/>
    <cellStyle name="20% - 强调文字颜色 1 16 2 2" xfId="9435" xr:uid="{105981A3-3592-4B9D-99D9-8F02B70674A3}"/>
    <cellStyle name="20% - 强调文字颜色 1 16 2 2 2" xfId="17118" xr:uid="{7D7D1CAC-9CA6-416C-96F0-21188A2D5A99}"/>
    <cellStyle name="20% - 强调文字颜色 1 16 2 3" xfId="17117" xr:uid="{7C1FDEE0-8533-42BD-8F69-7B4FDC339202}"/>
    <cellStyle name="20% - 强调文字颜色 1 16 3" xfId="848" xr:uid="{9586EAB3-2CE6-4648-9731-8AAF4CD4DB8F}"/>
    <cellStyle name="20% - 强调文字颜色 1 16 3 2" xfId="156" xr:uid="{6FFA8B9B-AAA6-4E04-9048-45077734990B}"/>
    <cellStyle name="20% - 强调文字颜色 1 16 3 3" xfId="9436" xr:uid="{92C2F2EF-BEE1-416F-97AF-70A926568982}"/>
    <cellStyle name="20% - 强调文字颜色 1 16 3 4" xfId="17119" xr:uid="{4B0DC466-AAFE-45FC-B600-1E4C3DDEF1EA}"/>
    <cellStyle name="20% - 强调文字颜色 1 16 4" xfId="1025" xr:uid="{27E04024-8EDF-4056-AE8F-B05E01751EE9}"/>
    <cellStyle name="20% - 强调文字颜色 1 16 4 2" xfId="66" xr:uid="{A804CC93-D36A-4354-AD83-D3DEAB15683B}"/>
    <cellStyle name="20% - 强调文字颜色 1 16 4 3" xfId="17120" xr:uid="{939F494A-21CA-4663-832C-11F7E698DAC8}"/>
    <cellStyle name="20% - 强调文字颜色 1 16 5" xfId="1026" xr:uid="{1F6AF1AD-FCF0-48D9-B6D3-1C12BB4A7FE0}"/>
    <cellStyle name="20% - 强调文字颜色 1 16 6" xfId="9434" xr:uid="{14F0406B-1AE9-4FFB-A075-2C104A25489B}"/>
    <cellStyle name="20% - 强调文字颜色 1 16 7" xfId="13196" xr:uid="{11CEE56C-14AD-4AFA-A4E8-B2D2BEECCD1B}"/>
    <cellStyle name="20% - 强调文字颜色 1 16 8" xfId="17116" xr:uid="{DB88B2AE-942B-41F8-BFC6-CED5EDC2BC9E}"/>
    <cellStyle name="20% - 强调文字颜色 1 17" xfId="563" xr:uid="{09BC7476-982D-4114-9E46-3504B362F985}"/>
    <cellStyle name="20% - 强调文字颜色 1 17 2" xfId="1028" xr:uid="{308DB439-F7F1-4C8D-8B57-5890363ECCD8}"/>
    <cellStyle name="20% - 强调文字颜色 1 17 2 2" xfId="689" xr:uid="{80FA8EFA-8511-4486-82F9-2E3154E7FC0D}"/>
    <cellStyle name="20% - 强调文字颜色 1 17 2 2 2" xfId="17123" xr:uid="{87A1C795-982B-46B7-A730-F284ED31B43B}"/>
    <cellStyle name="20% - 强调文字颜色 1 17 2 3" xfId="9438" xr:uid="{00AA3BBC-D3BE-4BF8-9985-3F4CA8E2AD30}"/>
    <cellStyle name="20% - 强调文字颜色 1 17 2 4" xfId="17122" xr:uid="{A76F892D-9967-4A11-BDE5-9F2EC1169970}"/>
    <cellStyle name="20% - 强调文字颜色 1 17 3" xfId="856" xr:uid="{2CFB49EA-032F-4945-9629-AEB0F45DB886}"/>
    <cellStyle name="20% - 强调文字颜色 1 17 3 2" xfId="770" xr:uid="{7938BE31-D8D5-4628-992A-F8A614A55D51}"/>
    <cellStyle name="20% - 强调文字颜色 1 17 3 3" xfId="9439" xr:uid="{4FA98387-F893-4029-924B-DFC162856521}"/>
    <cellStyle name="20% - 强调文字颜色 1 17 3 4" xfId="17124" xr:uid="{3E80E305-ADB2-4FA1-A352-9A58E8BE170D}"/>
    <cellStyle name="20% - 强调文字颜色 1 17 4" xfId="9437" xr:uid="{1B9D21A4-82FD-4C2D-9941-57CB84CD121B}"/>
    <cellStyle name="20% - 强调文字颜色 1 17 4 2" xfId="17125" xr:uid="{652D1015-ED8D-4A13-A2D7-B151EDA070D8}"/>
    <cellStyle name="20% - 强调文字颜色 1 17 5" xfId="13200" xr:uid="{317C5954-D56A-4442-8399-B17EEB050AD1}"/>
    <cellStyle name="20% - 强调文字颜色 1 17 6" xfId="17121" xr:uid="{6D0883C3-890D-456E-AFCF-87ADEF561D47}"/>
    <cellStyle name="20% - 强调文字颜色 1 18" xfId="570" xr:uid="{CED3E104-C792-4465-80BE-DD632D2191AA}"/>
    <cellStyle name="20% - 强调文字颜色 1 18 2" xfId="1034" xr:uid="{82D0CB9F-0DDB-4AF6-AE7C-E607F324A0C6}"/>
    <cellStyle name="20% - 强调文字颜色 1 18 2 2" xfId="1038" xr:uid="{FF08D386-FF6D-4C6A-830D-BC18A40B32EF}"/>
    <cellStyle name="20% - 强调文字颜色 1 18 2 2 2" xfId="17128" xr:uid="{A876DDB7-199B-43E7-91E2-64EE6CA53712}"/>
    <cellStyle name="20% - 强调文字颜色 1 18 2 3" xfId="17127" xr:uid="{25C18E80-A5BE-4F92-A8B4-A693AB8AA6A4}"/>
    <cellStyle name="20% - 强调文字颜色 1 18 3" xfId="1041" xr:uid="{42122F3D-0F6F-4077-8769-13354CDC61EE}"/>
    <cellStyle name="20% - 强调文字颜色 1 18 3 2" xfId="1043" xr:uid="{8C11B070-179D-49BA-B7FE-FB4241EB54BC}"/>
    <cellStyle name="20% - 强调文字颜色 1 18 3 3" xfId="17129" xr:uid="{6FA4C724-1397-4FC6-BD84-286B10DDA5AF}"/>
    <cellStyle name="20% - 强调文字颜色 1 18 4" xfId="9440" xr:uid="{10D153D6-1F4B-4BD3-89FE-5AE5AACEC075}"/>
    <cellStyle name="20% - 强调文字颜色 1 18 4 2" xfId="17130" xr:uid="{000EE861-5B5E-47EA-A725-0FED1658EA3F}"/>
    <cellStyle name="20% - 强调文字颜色 1 18 5" xfId="13173" xr:uid="{11F4CB72-C7D0-4AE5-9D65-A92E06328ED9}"/>
    <cellStyle name="20% - 强调文字颜色 1 18 6" xfId="17126" xr:uid="{82B4214D-E0C0-4F98-A74A-5C6CACB9432B}"/>
    <cellStyle name="20% - 强调文字颜色 1 19" xfId="450" xr:uid="{BF401050-AC89-4CDC-9D4D-CF7336FEF581}"/>
    <cellStyle name="20% - 强调文字颜色 1 19 2" xfId="1046" xr:uid="{B678BF31-8673-40E1-85D6-6D42051310F6}"/>
    <cellStyle name="20% - 强调文字颜色 1 19 2 2" xfId="238" xr:uid="{DDE88262-D209-42BF-B1E8-D85DCA08386F}"/>
    <cellStyle name="20% - 强调文字颜色 1 19 2 2 2" xfId="17133" xr:uid="{95433618-7F93-47AA-BE05-6A2618916AE4}"/>
    <cellStyle name="20% - 强调文字颜色 1 19 2 3" xfId="17132" xr:uid="{0795EDE7-7233-431E-9B94-121B69682F5C}"/>
    <cellStyle name="20% - 强调文字颜色 1 19 3" xfId="9441" xr:uid="{E32DA18E-3FC4-43BE-9435-EAB49AFCEAE3}"/>
    <cellStyle name="20% - 强调文字颜色 1 19 3 2" xfId="17134" xr:uid="{00AAF30A-3B8C-4C5F-846C-FCA741A0B5A6}"/>
    <cellStyle name="20% - 强调文字颜色 1 19 4" xfId="13157" xr:uid="{4D75CEF7-C4A2-4E79-BC54-C65B7B3BF16A}"/>
    <cellStyle name="20% - 强调文字颜色 1 19 4 2" xfId="17135" xr:uid="{C282AEF2-98F8-4759-A57E-C224A6BF4297}"/>
    <cellStyle name="20% - 强调文字颜色 1 19 5" xfId="17131" xr:uid="{0BDE0D34-28D3-44C3-BBB1-D1822CDAAECC}"/>
    <cellStyle name="20% - 强调文字颜色 1 2" xfId="1048" xr:uid="{01CC8E05-9B51-492B-952A-D79893373B25}"/>
    <cellStyle name="20% - 强调文字颜色 1 2 10" xfId="677" xr:uid="{316ECBC3-5B36-47BA-AF81-A6B7360703CA}"/>
    <cellStyle name="20% - 强调文字颜色 1 2 10 2" xfId="683" xr:uid="{9D1097D1-8A8A-4CC3-BB20-3A6C3C728EE5}"/>
    <cellStyle name="20% - 强调文字颜色 1 2 11" xfId="697" xr:uid="{DFC52BCD-1FE2-4D72-9A71-D018C457BDBC}"/>
    <cellStyle name="20% - 强调文字颜色 1 2 11 2" xfId="699" xr:uid="{5B9BABEC-C35D-414F-9332-B703CB6BC474}"/>
    <cellStyle name="20% - 强调文字颜色 1 2 12" xfId="704" xr:uid="{48E3CFE7-09C8-49F5-9951-EEF3121D309C}"/>
    <cellStyle name="20% - 强调文字颜色 1 2 12 2" xfId="707" xr:uid="{202FAC65-F7A4-4C8A-849D-062ACC3444C0}"/>
    <cellStyle name="20% - 强调文字颜色 1 2 13" xfId="710" xr:uid="{3F3B5337-853A-443E-89F5-146234D39DF7}"/>
    <cellStyle name="20% - 强调文字颜色 1 2 13 2" xfId="716" xr:uid="{41A58D66-6336-45CC-8D6D-CD51D4A3F656}"/>
    <cellStyle name="20% - 强调文字颜色 1 2 14" xfId="647" xr:uid="{5174FFBD-E555-4E1F-AFE9-A271A333090D}"/>
    <cellStyle name="20% - 强调文字颜色 1 2 14 2" xfId="719" xr:uid="{42809ED6-DAD4-46D9-A90B-FD9FDC9F9DB4}"/>
    <cellStyle name="20% - 强调文字颜色 1 2 15" xfId="723" xr:uid="{BF9CA5DA-FA98-489C-A066-5922323C4E9E}"/>
    <cellStyle name="20% - 强调文字颜色 1 2 15 2" xfId="1051" xr:uid="{95F61A43-8347-4095-8722-183E29EE2356}"/>
    <cellStyle name="20% - 强调文字颜色 1 2 16" xfId="71" xr:uid="{F15B1FBE-2EB7-46CD-9C6E-45CC2565724D}"/>
    <cellStyle name="20% - 强调文字颜色 1 2 17" xfId="916" xr:uid="{B796E0E1-9990-4A8B-91DF-657C0CCCCF22}"/>
    <cellStyle name="20% - 强调文字颜色 1 2 17 2" xfId="920" xr:uid="{34B611F0-6901-46BC-B28A-7271F96374DC}"/>
    <cellStyle name="20% - 强调文字颜色 1 2 18" xfId="947" xr:uid="{454422DF-D4FA-421B-967C-8D63C947A9A9}"/>
    <cellStyle name="20% - 强调文字颜色 1 2 18 2" xfId="588" xr:uid="{5BA28C5D-A051-42F0-B1D3-3DDE2140891D}"/>
    <cellStyle name="20% - 强调文字颜色 1 2 19" xfId="950" xr:uid="{A8196F39-2217-4571-83B8-DBDD6221EC06}"/>
    <cellStyle name="20% - 强调文字颜色 1 2 2" xfId="256" xr:uid="{3F136AF5-4CF3-4E41-A028-A7876AB509DB}"/>
    <cellStyle name="20% - 强调文字颜色 1 2 2 10" xfId="1052" xr:uid="{50585908-92CD-44D3-A442-9CBE16B10E88}"/>
    <cellStyle name="20% - 强调文字颜色 1 2 2 10 2" xfId="1053" xr:uid="{29AEF035-EA31-4BE0-AE7C-E38D7564DBB2}"/>
    <cellStyle name="20% - 强调文字颜色 1 2 2 11" xfId="1055" xr:uid="{7BD0BE56-73DB-4C17-8AF5-7A9C32869AC6}"/>
    <cellStyle name="20% - 强调文字颜色 1 2 2 11 2" xfId="1057" xr:uid="{E2E04261-A300-4787-889D-A3DEB0D22AAC}"/>
    <cellStyle name="20% - 强调文字颜色 1 2 2 12" xfId="1059" xr:uid="{D5B20AB6-0E48-474A-826F-ABE8B7A7BE4E}"/>
    <cellStyle name="20% - 强调文字颜色 1 2 2 12 2" xfId="1061" xr:uid="{3AEE3076-727F-4C0B-8FB8-BE7795CD3230}"/>
    <cellStyle name="20% - 强调文字颜色 1 2 2 13" xfId="1063" xr:uid="{F96E03C3-B295-48FF-A977-84C226DD7614}"/>
    <cellStyle name="20% - 强调文字颜色 1 2 2 13 2" xfId="610" xr:uid="{0FB2CCEA-7B7A-40DF-AB4F-5FD6E1BDA7D6}"/>
    <cellStyle name="20% - 强调文字颜色 1 2 2 14" xfId="1065" xr:uid="{F7131581-33AB-4B82-B706-3A4F480C08AD}"/>
    <cellStyle name="20% - 强调文字颜色 1 2 2 14 2" xfId="526" xr:uid="{CB8BE32B-CF3B-4297-B7E3-F3919B2BAB8A}"/>
    <cellStyle name="20% - 强调文字颜色 1 2 2 15" xfId="1031" xr:uid="{8928B4E4-9C55-4910-ADF5-665D6B9473A8}"/>
    <cellStyle name="20% - 强调文字颜色 1 2 2 15 2" xfId="695" xr:uid="{B83C8A42-28A7-4BFE-BA1C-11D2845372D1}"/>
    <cellStyle name="20% - 强调文字颜色 1 2 2 16" xfId="9443" xr:uid="{D36CB0AA-4E12-4AA1-AA48-64ECED24EB6C}"/>
    <cellStyle name="20% - 强调文字颜色 1 2 2 17" xfId="13358" xr:uid="{014FAC11-8D56-4199-BC8A-060055967EE7}"/>
    <cellStyle name="20% - 强调文字颜色 1 2 2 18" xfId="17136" xr:uid="{8BFBE4C0-7FBE-4CEC-9839-0442B7D5F317}"/>
    <cellStyle name="20% - 强调文字颜色 1 2 2 19" xfId="27279" xr:uid="{0B3EABBC-6E7A-4D01-8E8C-692A0FBAD4DF}"/>
    <cellStyle name="20% - 强调文字颜色 1 2 2 2" xfId="1068" xr:uid="{06AF6A45-079A-4346-BCEF-48A6E186879D}"/>
    <cellStyle name="20% - 强调文字颜色 1 2 2 2 2" xfId="17137" xr:uid="{B0594A49-0256-4785-A09A-B880F141D5C5}"/>
    <cellStyle name="20% - 强调文字颜色 1 2 2 3" xfId="988" xr:uid="{FEAACE73-5337-4FC1-9B8F-72A5821EADEF}"/>
    <cellStyle name="20% - 强调文字颜色 1 2 2 4" xfId="229" xr:uid="{302CC999-0955-4814-B2CD-13C598EE22AB}"/>
    <cellStyle name="20% - 强调文字颜色 1 2 2 4 2" xfId="1070" xr:uid="{AD6EF00D-838E-4979-A0BA-88C0057AD465}"/>
    <cellStyle name="20% - 强调文字颜色 1 2 2 5" xfId="230" xr:uid="{35421CC1-1461-44B8-886E-AF1E99CE85E1}"/>
    <cellStyle name="20% - 强调文字颜色 1 2 2 5 2" xfId="1071" xr:uid="{9F4B4CE3-FFB4-4DF2-AA26-A9116690EB88}"/>
    <cellStyle name="20% - 强调文字颜色 1 2 2 6" xfId="239" xr:uid="{F8B5D029-9615-4B2E-8968-C143C6C83D99}"/>
    <cellStyle name="20% - 强调文字颜色 1 2 2 6 2" xfId="1072" xr:uid="{0C87AD7B-7E06-4FF9-9BF3-5A0F43F5F65E}"/>
    <cellStyle name="20% - 强调文字颜色 1 2 2 7" xfId="242" xr:uid="{929B5629-30E8-4582-B45F-F7B7944973D2}"/>
    <cellStyle name="20% - 强调文字颜色 1 2 2 7 2" xfId="1073" xr:uid="{C01AD33C-476D-4686-94CA-79415EC7A2C6}"/>
    <cellStyle name="20% - 强调文字颜色 1 2 2 8" xfId="244" xr:uid="{2D170637-B8A9-4EFD-83FA-23290294A76D}"/>
    <cellStyle name="20% - 强调文字颜色 1 2 2 8 2" xfId="1074" xr:uid="{7D77DA07-CD6A-4102-A459-9E2F344E4AF9}"/>
    <cellStyle name="20% - 强调文字颜色 1 2 2 9" xfId="125" xr:uid="{EAA86A9B-D0E3-4608-8401-F3A753CB6E84}"/>
    <cellStyle name="20% - 强调文字颜色 1 2 2 9 2" xfId="1076" xr:uid="{74A298F4-399B-4124-88FD-A4129E7DE8EB}"/>
    <cellStyle name="20% - 强调文字颜色 1 2 20" xfId="722" xr:uid="{9869D279-B75C-4C9B-816F-7BDD4CD8D157}"/>
    <cellStyle name="20% - 强调文字颜色 1 2 20 2" xfId="1050" xr:uid="{AF46E56D-A2C5-4E48-A696-F008463B0B3C}"/>
    <cellStyle name="20% - 强调文字颜色 1 2 21" xfId="70" xr:uid="{8B0EC677-6AF8-49FB-A493-108E18F2C641}"/>
    <cellStyle name="20% - 强调文字颜色 1 2 21 2" xfId="584" xr:uid="{D2AA6EE6-7801-4C43-BDA0-AA2F0007B401}"/>
    <cellStyle name="20% - 强调文字颜色 1 2 22" xfId="9442" xr:uid="{09390513-A70D-4139-8165-E4CBFFA2823F}"/>
    <cellStyle name="20% - 强调文字颜色 1 2 23" xfId="13418" xr:uid="{A4F4F9AD-E051-44DF-A578-C116E5C068C3}"/>
    <cellStyle name="20% - 强调文字颜色 1 2 24" xfId="12335" xr:uid="{1A656EA2-0133-4738-9238-E06875E1A552}"/>
    <cellStyle name="20% - 强调文字颜色 1 2 3" xfId="260" xr:uid="{A0ECB3BC-3F54-4F87-805B-E025CF732F28}"/>
    <cellStyle name="20% - 强调文字颜色 1 2 3 2" xfId="9444" xr:uid="{5E9E1FD7-AADA-4A5F-A3DE-32AC8E5243A7}"/>
    <cellStyle name="20% - 强调文字颜色 1 2 3 2 2" xfId="17139" xr:uid="{B40906CE-D533-4312-8B8A-52291EE47CC3}"/>
    <cellStyle name="20% - 强调文字颜色 1 2 3 3" xfId="13337" xr:uid="{56094794-9658-49DC-A499-C30FFED6E849}"/>
    <cellStyle name="20% - 强调文字颜色 1 2 3 4" xfId="17138" xr:uid="{641C7A89-B05A-42A5-978C-1A4F90F7EBEB}"/>
    <cellStyle name="20% - 强调文字颜色 1 2 3 5" xfId="27280" xr:uid="{B69DAF2A-6914-4155-B423-80822D09333A}"/>
    <cellStyle name="20% - 强调文字颜色 1 2 4" xfId="267" xr:uid="{3F3FFECA-AC06-4F67-821A-4CA234576107}"/>
    <cellStyle name="20% - 强调文字颜色 1 2 4 2" xfId="1078" xr:uid="{4FD81FC9-0920-4755-9895-88A8BAE1E893}"/>
    <cellStyle name="20% - 强调文字颜色 1 2 4 3" xfId="13318" xr:uid="{A051113B-9962-441A-8F03-C4545018AB5B}"/>
    <cellStyle name="20% - 强调文字颜色 1 2 4 4" xfId="17140" xr:uid="{5E3F3EEA-BF54-4D9D-A956-CDCACDADDC2C}"/>
    <cellStyle name="20% - 强调文字颜色 1 2 4 5" xfId="27668" xr:uid="{AF306E66-CEFA-4A27-8913-649C9307DE9D}"/>
    <cellStyle name="20% - 强调文字颜色 1 2 5" xfId="57" xr:uid="{8BA2FBF8-EE02-44F8-B59A-822DC1C5DBD1}"/>
    <cellStyle name="20% - 强调文字颜色 1 2 5 2" xfId="1081" xr:uid="{859DCD29-1492-4E5E-B5A6-A3FA61C69B3E}"/>
    <cellStyle name="20% - 强调文字颜色 1 2 5 3" xfId="17141" xr:uid="{AD084201-20B2-42FD-9169-E5348B990232}"/>
    <cellStyle name="20% - 强调文字颜色 1 2 6" xfId="1086" xr:uid="{3F44FF1F-BB69-4304-84A3-DA09F78D9F62}"/>
    <cellStyle name="20% - 强调文字颜色 1 2 6 2" xfId="1089" xr:uid="{2BE03CAA-83A6-4C94-B4DD-62F1185DCD2A}"/>
    <cellStyle name="20% - 强调文字颜色 1 2 6 3" xfId="17142" xr:uid="{367BAC39-BC63-4AEB-B5D8-1CD281BDD584}"/>
    <cellStyle name="20% - 强调文字颜色 1 2 7" xfId="1092" xr:uid="{9E4DF473-E49A-4B5C-B8DC-4F75633D19F6}"/>
    <cellStyle name="20% - 强调文字颜色 1 2 7 2" xfId="1096" xr:uid="{6A5741AF-C22C-453E-8682-F56A4D52EEDD}"/>
    <cellStyle name="20% - 强调文字颜色 1 2 7 3" xfId="17143" xr:uid="{811743AB-7040-4104-8A17-3E6FB7FD7984}"/>
    <cellStyle name="20% - 强调文字颜色 1 2 8" xfId="1099" xr:uid="{E0EC3B35-CA7D-4E05-BB2C-857EC84F06C4}"/>
    <cellStyle name="20% - 强调文字颜色 1 2 8 2" xfId="1102" xr:uid="{75094B75-8C21-4C99-B23F-9017F1B98DC3}"/>
    <cellStyle name="20% - 强调文字颜色 1 2 9" xfId="1105" xr:uid="{EF91AE35-DBD2-4431-8E92-FADEA35D01DE}"/>
    <cellStyle name="20% - 强调文字颜色 1 2 9 2" xfId="1109" xr:uid="{06AAE3AB-7EC7-41DE-A817-242F7321E1DD}"/>
    <cellStyle name="20% - 强调文字颜色 1 2_动力部" xfId="17144" xr:uid="{AE492486-BD6F-449E-8228-73906FFAF7BD}"/>
    <cellStyle name="20% - 强调文字颜色 1 20" xfId="1002" xr:uid="{5DFDADA1-C974-4138-AE3E-61E1C1EAB8AC}"/>
    <cellStyle name="20% - 强调文字颜色 1 20 2" xfId="1009" xr:uid="{40C918BD-0F09-4757-99EE-2B79F3B1C153}"/>
    <cellStyle name="20% - 强调文字颜色 1 20 2 2" xfId="1117" xr:uid="{78ECB55F-FDF8-442A-99CD-84B91FC57019}"/>
    <cellStyle name="20% - 强调文字颜色 1 20 2 2 2" xfId="17147" xr:uid="{15628D03-DAC7-4397-88D7-FA5A858A75CD}"/>
    <cellStyle name="20% - 强调文字颜色 1 20 2 3" xfId="17146" xr:uid="{896EA159-4601-4290-9225-39389AAA719C}"/>
    <cellStyle name="20% - 强调文字颜色 1 20 3" xfId="9445" xr:uid="{18F1F703-6107-4492-8C08-61A0B5EE1013}"/>
    <cellStyle name="20% - 强调文字颜色 1 20 3 2" xfId="17148" xr:uid="{7D8602B9-C5DF-41DA-B37F-D7669EB6BF0E}"/>
    <cellStyle name="20% - 强调文字颜色 1 20 4" xfId="13160" xr:uid="{1E2A2C1A-D38E-4562-BA8A-CBB0120C66F4}"/>
    <cellStyle name="20% - 强调文字颜色 1 20 4 2" xfId="17149" xr:uid="{9B38C160-F2B6-452F-9A03-9807027BCBFE}"/>
    <cellStyle name="20% - 强调文字颜色 1 20 5" xfId="17145" xr:uid="{59CD6C5D-42B7-47A1-A900-9ED435DAF470}"/>
    <cellStyle name="20% - 强调文字颜色 1 21" xfId="555" xr:uid="{1A606175-2E8E-4475-A9E7-C938DBCBA6C1}"/>
    <cellStyle name="20% - 强调文字颜色 1 21 2" xfId="1021" xr:uid="{5A9D9E42-2B2C-4C87-A26E-23D407F0F728}"/>
    <cellStyle name="20% - 强调文字颜色 1 21 2 2" xfId="1121" xr:uid="{10B94B69-CF98-4326-8CBD-3CB85C35E38D}"/>
    <cellStyle name="20% - 强调文字颜色 1 21 2 2 2" xfId="17152" xr:uid="{1B608896-DC62-411A-827F-9B3B6CF2A0FC}"/>
    <cellStyle name="20% - 强调文字颜色 1 21 2 3" xfId="17151" xr:uid="{40621FAD-C1C6-4E7A-994B-5A5A078C2888}"/>
    <cellStyle name="20% - 强调文字颜色 1 21 3" xfId="9446" xr:uid="{7FAA90B3-C9BD-4EFA-ABB2-0D944F6804CF}"/>
    <cellStyle name="20% - 强调文字颜色 1 21 3 2" xfId="17153" xr:uid="{6B3F336D-2BEC-4A02-B1FD-1933440DD36B}"/>
    <cellStyle name="20% - 强调文字颜色 1 21 4" xfId="13133" xr:uid="{46DC0C8B-97BA-4137-8A67-476DD3D6160C}"/>
    <cellStyle name="20% - 强调文字颜色 1 21 4 2" xfId="17154" xr:uid="{131A6D9D-D25E-49C5-8B38-9A5A3E8DFF9E}"/>
    <cellStyle name="20% - 强调文字颜色 1 21 5" xfId="17150" xr:uid="{A65F2111-701D-4647-9E6F-70C8D1DBD50A}"/>
    <cellStyle name="20% - 强调文字颜色 1 22" xfId="562" xr:uid="{38AF5893-F341-4750-BE81-80B9F7C67F35}"/>
    <cellStyle name="20% - 强调文字颜色 1 22 2" xfId="1027" xr:uid="{AA19012A-8C73-4072-B374-D180E298297C}"/>
    <cellStyle name="20% - 强调文字颜色 1 22 2 2" xfId="688" xr:uid="{50B815DD-6713-40AA-81BB-99072855EF17}"/>
    <cellStyle name="20% - 强调文字颜色 1 22 2 2 2" xfId="17157" xr:uid="{441D5A00-0FB2-4166-8159-D73798F51EED}"/>
    <cellStyle name="20% - 强调文字颜色 1 22 2 3" xfId="17156" xr:uid="{C2425646-193C-425E-B2C8-1F738C872A8F}"/>
    <cellStyle name="20% - 强调文字颜色 1 22 3" xfId="9447" xr:uid="{320B172D-A4D4-48BC-8613-F3B63359E447}"/>
    <cellStyle name="20% - 强调文字颜色 1 22 3 2" xfId="17158" xr:uid="{BB717874-5C84-4678-A615-75568C1C67F0}"/>
    <cellStyle name="20% - 强调文字颜色 1 22 4" xfId="13120" xr:uid="{F3EA7C0E-A562-4FAB-8BC7-7C6A8CAD2A3A}"/>
    <cellStyle name="20% - 强调文字颜色 1 22 4 2" xfId="17159" xr:uid="{3C115B09-A8B1-453D-AE35-D9B9770CED73}"/>
    <cellStyle name="20% - 强调文字颜色 1 22 5" xfId="17155" xr:uid="{DDF591B4-FFC3-403F-9940-35E6EF7DD7F6}"/>
    <cellStyle name="20% - 强调文字颜色 1 23" xfId="569" xr:uid="{9324470C-8040-45FB-AD03-1CB67F5F1CBC}"/>
    <cellStyle name="20% - 强调文字颜色 1 23 2" xfId="1033" xr:uid="{43D7B1F1-0CE5-47BA-B63E-9F0CB5869B46}"/>
    <cellStyle name="20% - 强调文字颜色 1 23 2 2" xfId="1037" xr:uid="{A8FB95D1-4842-4802-8B58-52B0B5B43398}"/>
    <cellStyle name="20% - 强调文字颜色 1 23 2 2 2" xfId="17162" xr:uid="{9A36A520-A066-43CF-B5C1-C751089D3D71}"/>
    <cellStyle name="20% - 强调文字颜色 1 23 2 3" xfId="17161" xr:uid="{70C06456-D5BF-42C9-BB97-C9EC348ED73B}"/>
    <cellStyle name="20% - 强调文字颜色 1 23 3" xfId="13099" xr:uid="{D19A17AF-60C7-4449-8690-AD9E35AC6D1C}"/>
    <cellStyle name="20% - 强调文字颜色 1 23 3 2" xfId="17163" xr:uid="{838091A8-F070-42F2-8EC9-F869CA365F21}"/>
    <cellStyle name="20% - 强调文字颜色 1 23 4" xfId="17164" xr:uid="{D1E6900A-ADEF-4685-8D3E-37162D49AA75}"/>
    <cellStyle name="20% - 强调文字颜色 1 23 5" xfId="17160" xr:uid="{3A09F96F-45A7-4BBA-A143-8AC1F23A5D9D}"/>
    <cellStyle name="20% - 强调文字颜色 1 24" xfId="451" xr:uid="{8C4E0C9C-0B9D-4F54-BA5C-69387AE5DDA7}"/>
    <cellStyle name="20% - 强调文字颜色 1 24 2" xfId="13107" xr:uid="{BD748E1E-5A02-489C-87E4-EAB19CF2D939}"/>
    <cellStyle name="20% - 强调文字颜色 1 24 2 2" xfId="17167" xr:uid="{87D9D08B-38C8-49A5-BBF0-00224880B115}"/>
    <cellStyle name="20% - 强调文字颜色 1 24 2 3" xfId="17166" xr:uid="{9F1279BA-4B28-4EA0-B6C7-33EE1843EAFB}"/>
    <cellStyle name="20% - 强调文字颜色 1 24 3" xfId="17168" xr:uid="{E2EF3129-4401-4A63-A35C-157AB81B78EB}"/>
    <cellStyle name="20% - 强调文字颜色 1 24 4" xfId="17169" xr:uid="{42FD3C1F-CF5F-4A61-B962-0D16CD42FC9C}"/>
    <cellStyle name="20% - 强调文字颜色 1 24 5" xfId="17165" xr:uid="{A018C9FE-7089-417E-B8EB-8000D1B43F69}"/>
    <cellStyle name="20% - 强调文字颜色 1 25" xfId="457" xr:uid="{2DC67DA1-240A-4CBC-9555-17A94C0789CC}"/>
    <cellStyle name="20% - 强调文字颜色 1 25 2" xfId="13030" xr:uid="{91F7D4AB-EE62-4FA0-B19B-0DC98F824622}"/>
    <cellStyle name="20% - 强调文字颜色 1 25 2 2" xfId="17172" xr:uid="{31D7CB09-88ED-4260-BBB3-15F1610CB9E4}"/>
    <cellStyle name="20% - 强调文字颜色 1 25 2 3" xfId="17171" xr:uid="{7FBA539F-D15B-4707-AA8D-29C769F9D0C8}"/>
    <cellStyle name="20% - 强调文字颜色 1 25 3" xfId="17173" xr:uid="{2A4DB79D-985A-4BF9-89BA-94F21563AF91}"/>
    <cellStyle name="20% - 强调文字颜色 1 25 4" xfId="17174" xr:uid="{F63DE6F8-B763-46E1-9F9B-EC128473F7B0}"/>
    <cellStyle name="20% - 强调文字颜色 1 25 5" xfId="17170" xr:uid="{651A35AB-9F65-42F0-82D4-1358DA6DA4E5}"/>
    <cellStyle name="20% - 强调文字颜色 1 26" xfId="470" xr:uid="{1F3547B0-4969-476E-BC1F-043BE73669CB}"/>
    <cellStyle name="20% - 强调文字颜色 1 26 2" xfId="17176" xr:uid="{7E0C00CE-87BD-43B4-9C4E-1D1E467EE636}"/>
    <cellStyle name="20% - 强调文字颜色 1 26 2 2" xfId="17177" xr:uid="{45356B05-1EEC-4FD5-A91B-6EBCE3B9205A}"/>
    <cellStyle name="20% - 强调文字颜色 1 26 3" xfId="17178" xr:uid="{1144B7CA-31D9-4A89-90A4-DCE44AA1820B}"/>
    <cellStyle name="20% - 强调文字颜色 1 26 4" xfId="17179" xr:uid="{CFD3457D-CCFF-49FA-8B46-162F780B3F1E}"/>
    <cellStyle name="20% - 强调文字颜色 1 26 5" xfId="17175" xr:uid="{337ADB8E-9E8E-4184-8C9B-C591AD80EA06}"/>
    <cellStyle name="20% - 强调文字颜色 1 27" xfId="480" xr:uid="{44BB3F8B-7204-4EBE-9635-4790D97EFF5A}"/>
    <cellStyle name="20% - 强调文字颜色 1 27 2" xfId="17181" xr:uid="{FFA382C3-7B0B-4338-A621-F5DF4A680654}"/>
    <cellStyle name="20% - 强调文字颜色 1 27 2 2" xfId="17182" xr:uid="{A1FAB704-C28A-40B8-8BB1-D89F3033B875}"/>
    <cellStyle name="20% - 强调文字颜色 1 27 3" xfId="17183" xr:uid="{25412471-F2C1-4E6B-AF3D-423F7542A40D}"/>
    <cellStyle name="20% - 强调文字颜色 1 27 4" xfId="17184" xr:uid="{1704B882-02DB-4A59-ACD5-FE339AA786D8}"/>
    <cellStyle name="20% - 强调文字颜色 1 27 5" xfId="17180" xr:uid="{B95BE749-C0AC-4A2E-B28D-A194879FE36E}"/>
    <cellStyle name="20% - 强调文字颜色 1 28" xfId="488" xr:uid="{0B34A3CB-C5A5-4D03-84DC-5C1E7DFF79D2}"/>
    <cellStyle name="20% - 强调文字颜色 1 28 2" xfId="17186" xr:uid="{D5EFC476-8654-4F6D-BBEE-EE9E65BCD280}"/>
    <cellStyle name="20% - 强调文字颜色 1 28 3" xfId="17187" xr:uid="{51DEF91B-9FBE-4A70-BCF0-6CAB8753C936}"/>
    <cellStyle name="20% - 强调文字颜色 1 28 4" xfId="17188" xr:uid="{9A5CE2ED-72B8-4119-B319-C6237968D945}"/>
    <cellStyle name="20% - 强调文字颜色 1 28 5" xfId="17185" xr:uid="{F0531BA3-5D61-472D-8697-6388CD8745F6}"/>
    <cellStyle name="20% - 强调文字颜色 1 29" xfId="494" xr:uid="{2B8EAF95-807F-4257-907D-D19ED4BDBE92}"/>
    <cellStyle name="20% - 强调文字颜色 1 29 2" xfId="17190" xr:uid="{649C7E27-2931-438F-ABC7-2FB6D6E100F9}"/>
    <cellStyle name="20% - 强调文字颜色 1 29 3" xfId="17191" xr:uid="{173CB916-9809-4632-9837-E2A22EFC6456}"/>
    <cellStyle name="20% - 强调文字颜色 1 29 4" xfId="17192" xr:uid="{F9F0FE88-D989-41AA-9611-FBA21FCF0EE2}"/>
    <cellStyle name="20% - 强调文字颜色 1 29 5" xfId="17189" xr:uid="{F4EB15BC-7AAB-4A01-963D-D965404BF845}"/>
    <cellStyle name="20% - 强调文字颜色 1 3" xfId="593" xr:uid="{C03ED8BA-3F24-480E-8BCF-3DC2A2933178}"/>
    <cellStyle name="20% - 强调文字颜色 1 3 10" xfId="1125" xr:uid="{D169791D-D51E-4BBC-AB75-CF94CB45ECF2}"/>
    <cellStyle name="20% - 强调文字颜色 1 3 10 2" xfId="1128" xr:uid="{09E8F620-218A-4347-9D30-910C1AAEB11F}"/>
    <cellStyle name="20% - 强调文字颜色 1 3 11" xfId="1129" xr:uid="{DE37F910-0D54-418E-865B-3F652D4CF407}"/>
    <cellStyle name="20% - 强调文字颜色 1 3 11 2" xfId="1130" xr:uid="{9A8BDB85-8AB0-46CE-86A4-4083EECF9CEA}"/>
    <cellStyle name="20% - 强调文字颜色 1 3 12" xfId="1133" xr:uid="{42D407C0-B041-43AE-906D-A0AC160DE57A}"/>
    <cellStyle name="20% - 强调文字颜色 1 3 13" xfId="1134" xr:uid="{5FC9632A-5243-457F-8339-A069AF8F40B8}"/>
    <cellStyle name="20% - 强调文字颜色 1 3 13 2" xfId="1135" xr:uid="{86456C02-E91D-45CD-AB1E-4E768DECAEB9}"/>
    <cellStyle name="20% - 强调文字颜色 1 3 14" xfId="1136" xr:uid="{49E8A200-2A69-4005-9513-7458A2AEA0F6}"/>
    <cellStyle name="20% - 强调文字颜色 1 3 14 2" xfId="907" xr:uid="{0B40FF9A-0F61-49F8-850F-323D8FC97FD0}"/>
    <cellStyle name="20% - 强调文字颜色 1 3 15" xfId="756" xr:uid="{BCC59CDB-2F21-4DE8-8515-20C7999DBD58}"/>
    <cellStyle name="20% - 强调文字颜色 1 3 16" xfId="9448" xr:uid="{B85D51F9-7CA6-4473-A4A4-FEFDFF6E02E9}"/>
    <cellStyle name="20% - 强调文字颜色 1 3 17" xfId="13423" xr:uid="{F16E46D0-0E53-473A-A0D0-D8FD2FD53CCD}"/>
    <cellStyle name="20% - 强调文字颜色 1 3 18" xfId="17193" xr:uid="{9D4907CD-B0C2-4367-9A74-37590E474672}"/>
    <cellStyle name="20% - 强调文字颜色 1 3 2" xfId="297" xr:uid="{36BC8953-30AD-4627-A840-C1DC32FF3E9C}"/>
    <cellStyle name="20% - 强调文字颜色 1 3 2 2" xfId="53" xr:uid="{2724A90B-0356-43D7-984F-20D14ECB02E0}"/>
    <cellStyle name="20% - 强调文字颜色 1 3 2 3" xfId="9449" xr:uid="{DAFDE64D-1B5A-4B35-A9AB-1250111A5458}"/>
    <cellStyle name="20% - 强调文字颜色 1 3 2 4" xfId="17194" xr:uid="{F8404D70-F1C9-42A9-A899-28A7C402FD96}"/>
    <cellStyle name="20% - 强调文字颜色 1 3 2 5" xfId="27281" xr:uid="{6C6E7B02-0C11-43E4-93F4-DE0CC4353F73}"/>
    <cellStyle name="20% - 强调文字颜色 1 3 3" xfId="307" xr:uid="{D324BD3A-F803-450F-B306-923909091E60}"/>
    <cellStyle name="20% - 强调文字颜色 1 3 3 2" xfId="1137" xr:uid="{87B0AFE8-6761-4F97-AC9A-38447112F901}"/>
    <cellStyle name="20% - 强调文字颜色 1 3 3 2 2" xfId="17196" xr:uid="{2997B56E-310E-42D8-857E-5E86EB655625}"/>
    <cellStyle name="20% - 强调文字颜色 1 3 3 3" xfId="9450" xr:uid="{41B44397-4268-4027-96DE-37E7E3E3FE2B}"/>
    <cellStyle name="20% - 强调文字颜色 1 3 3 4" xfId="17195" xr:uid="{1984241B-AD75-4150-80D3-1B2FBA8584DC}"/>
    <cellStyle name="20% - 强调文字颜色 1 3 3 5" xfId="27282" xr:uid="{9F9B2B60-FAD4-4619-B863-57CCD628B257}"/>
    <cellStyle name="20% - 强调文字颜色 1 3 4" xfId="314" xr:uid="{803EDDD5-6000-4D4C-8E00-E6AFA434190F}"/>
    <cellStyle name="20% - 强调文字颜色 1 3 4 2" xfId="508" xr:uid="{4E7539B1-A95A-4CE5-8F87-F2DF55D55F9F}"/>
    <cellStyle name="20% - 强调文字颜色 1 3 4 3" xfId="17197" xr:uid="{4E821D77-B985-4426-A489-686D42B324CA}"/>
    <cellStyle name="20% - 强调文字颜色 1 3 4 4" xfId="27669" xr:uid="{011EBA50-7E82-4766-A256-35349E0D800C}"/>
    <cellStyle name="20% - 强调文字颜色 1 3 5" xfId="322" xr:uid="{F70EF862-5ED5-465B-A880-34028FB8B643}"/>
    <cellStyle name="20% - 强调文字颜色 1 3 5 2" xfId="1139" xr:uid="{8D241004-958A-47A8-87D8-6795F6FE2D19}"/>
    <cellStyle name="20% - 强调文字颜色 1 3 5 3" xfId="17198" xr:uid="{9C8C3B9D-9410-4847-89AA-01693B6D5E37}"/>
    <cellStyle name="20% - 强调文字颜色 1 3 6" xfId="1144" xr:uid="{05EC464D-3093-44ED-959E-7077A556F54C}"/>
    <cellStyle name="20% - 强调文字颜色 1 3 6 2" xfId="1149" xr:uid="{BBAEF77B-5936-489B-98F5-007AD5EA016B}"/>
    <cellStyle name="20% - 强调文字颜色 1 3 7" xfId="1150" xr:uid="{B69BA6A1-E3E9-4976-9F81-7D1F2B40AC26}"/>
    <cellStyle name="20% - 强调文字颜色 1 3 7 2" xfId="602" xr:uid="{83283814-B3FB-48A9-8E7D-1CF24797F1F6}"/>
    <cellStyle name="20% - 强调文字颜色 1 3 8" xfId="900" xr:uid="{20979A64-6463-4AD0-ABC4-D1EC8D62704F}"/>
    <cellStyle name="20% - 强调文字颜色 1 3 8 2" xfId="357" xr:uid="{EC6A782E-1DDE-4D15-BC92-833C54459C50}"/>
    <cellStyle name="20% - 强调文字颜色 1 3 9" xfId="1156" xr:uid="{B7B84CC4-29F5-4945-A856-B4269BB25765}"/>
    <cellStyle name="20% - 强调文字颜色 1 30" xfId="458" xr:uid="{DDBB26E4-AB2D-40C5-9785-A79D4F23E5AE}"/>
    <cellStyle name="20% - 强调文字颜色 1 30 2" xfId="17200" xr:uid="{28D72966-D21C-4637-8524-FA11B5F2B10F}"/>
    <cellStyle name="20% - 强调文字颜色 1 30 3" xfId="17201" xr:uid="{D3D80925-AE3F-4AAC-9475-967AB85016B4}"/>
    <cellStyle name="20% - 强调文字颜色 1 30 4" xfId="17202" xr:uid="{8D3F70C2-D403-46CE-B29E-FBD22ACBA2E6}"/>
    <cellStyle name="20% - 强调文字颜色 1 30 5" xfId="17199" xr:uid="{5E480D0E-6A58-4C67-AE6D-7FB9978EBFF9}"/>
    <cellStyle name="20% - 强调文字颜色 1 31" xfId="471" xr:uid="{F129AC2B-B6B4-493E-B491-11304578024C}"/>
    <cellStyle name="20% - 强调文字颜色 1 31 2" xfId="17204" xr:uid="{EAC7311A-E2B4-404B-ACB4-4451C10F3192}"/>
    <cellStyle name="20% - 强调文字颜色 1 31 3" xfId="17205" xr:uid="{6E94AC1C-5110-4988-99CB-7363BDD5D66C}"/>
    <cellStyle name="20% - 强调文字颜色 1 31 4" xfId="17206" xr:uid="{5AB32E76-D3FB-442F-86D0-FB331657E6B7}"/>
    <cellStyle name="20% - 强调文字颜色 1 31 5" xfId="17203" xr:uid="{5E8FC23C-4C20-4870-95E2-58050A0A3FAA}"/>
    <cellStyle name="20% - 强调文字颜色 1 32" xfId="481" xr:uid="{39DEAB30-C063-49DC-BF85-5176BAE18352}"/>
    <cellStyle name="20% - 强调文字颜色 1 32 2" xfId="17208" xr:uid="{F7CBF67F-E3FE-444A-B871-428089228EB4}"/>
    <cellStyle name="20% - 强调文字颜色 1 32 3" xfId="17209" xr:uid="{91B9930B-E01C-4E4D-AD81-C20206EF5E16}"/>
    <cellStyle name="20% - 强调文字颜色 1 32 4" xfId="17210" xr:uid="{393171F4-B1D5-4887-9E6C-8A96A4F7099B}"/>
    <cellStyle name="20% - 强调文字颜色 1 32 5" xfId="17207" xr:uid="{84B05F86-FA1E-47CD-8554-5CADD33564BF}"/>
    <cellStyle name="20% - 强调文字颜色 1 33" xfId="489" xr:uid="{DE8FC7F7-3CF0-44FD-ACBE-02A88AC9F276}"/>
    <cellStyle name="20% - 强调文字颜色 1 33 2" xfId="17212" xr:uid="{EB0A018B-1BBF-4C5C-A5A7-99585BAD599C}"/>
    <cellStyle name="20% - 强调文字颜色 1 33 3" xfId="17213" xr:uid="{0EC184DC-70DF-4987-8DDE-3732709143F8}"/>
    <cellStyle name="20% - 强调文字颜色 1 33 4" xfId="17214" xr:uid="{20E3C458-5DED-4F83-8FEE-C3339F79607D}"/>
    <cellStyle name="20% - 强调文字颜色 1 33 5" xfId="17211" xr:uid="{6F543F43-B4A8-498B-97F8-E94D5519B5BD}"/>
    <cellStyle name="20% - 强调文字颜色 1 34" xfId="495" xr:uid="{BB6A3970-8173-461E-82E1-535C5EF80F87}"/>
    <cellStyle name="20% - 强调文字颜色 1 34 2" xfId="11973" xr:uid="{11820394-7A00-41B3-8EEF-B2613BBAEC71}"/>
    <cellStyle name="20% - 强调文字颜色 1 34 2 2" xfId="17216" xr:uid="{679F22D9-057D-4282-BAF4-889F0CF64E3C}"/>
    <cellStyle name="20% - 强调文字颜色 1 34 3" xfId="17217" xr:uid="{76EB0513-A289-4217-BF32-286313A55888}"/>
    <cellStyle name="20% - 强调文字颜色 1 34 4" xfId="17218" xr:uid="{1371B0AF-9BCD-40A2-86A4-A534E0965C4C}"/>
    <cellStyle name="20% - 强调文字颜色 1 34 5" xfId="17215" xr:uid="{D65D1F7D-AC98-495A-9215-2C7041902D7F}"/>
    <cellStyle name="20% - 强调文字颜色 1 35" xfId="500" xr:uid="{FD53B9C6-6D35-4CC4-A695-EB0B497B4A19}"/>
    <cellStyle name="20% - 强调文字颜色 1 35 2" xfId="11974" xr:uid="{08C8C42E-1334-4B72-9542-24C7AB43BA90}"/>
    <cellStyle name="20% - 强调文字颜色 1 35 2 2" xfId="17220" xr:uid="{7BB7DA70-1CDB-4D7E-BB93-032A4C727F6B}"/>
    <cellStyle name="20% - 强调文字颜色 1 35 3" xfId="17221" xr:uid="{9362E478-3FB5-4AF4-919B-504D8C90858E}"/>
    <cellStyle name="20% - 强调文字颜色 1 35 4" xfId="17219" xr:uid="{9048F7F9-72AE-4B2B-AC7F-6F838AF2718C}"/>
    <cellStyle name="20% - 强调文字颜色 1 36" xfId="1162" xr:uid="{479C9431-7E00-4630-922B-A7A6B2225BB8}"/>
    <cellStyle name="20% - 强调文字颜色 1 36 2" xfId="11975" xr:uid="{BCCBEED5-3629-4D83-80C5-2129059218F0}"/>
    <cellStyle name="20% - 强调文字颜色 1 36 2 2" xfId="17223" xr:uid="{0E508B92-70E7-4870-A03B-EB73523EE967}"/>
    <cellStyle name="20% - 强调文字颜色 1 36 3" xfId="17224" xr:uid="{266826EC-D41D-4CC3-ABBB-4CBAF0478447}"/>
    <cellStyle name="20% - 强调文字颜色 1 36 4" xfId="17222" xr:uid="{F0BA30A5-0705-4164-A9E1-F7F1DB20F991}"/>
    <cellStyle name="20% - 强调文字颜色 1 37" xfId="742" xr:uid="{5B9B4E4F-5E8B-4E1F-B9FC-BD28E652116F}"/>
    <cellStyle name="20% - 强调文字颜色 1 37 2" xfId="11976" xr:uid="{3BE81740-C065-4658-8BDC-1F4F97694F8E}"/>
    <cellStyle name="20% - 强调文字颜色 1 37 2 2" xfId="17226" xr:uid="{8EA66802-3A33-418F-986A-362896D26171}"/>
    <cellStyle name="20% - 强调文字颜色 1 37 3" xfId="17227" xr:uid="{FC1291B7-FAAE-4635-A3FB-A298DC9D6342}"/>
    <cellStyle name="20% - 强调文字颜色 1 37 4" xfId="17225" xr:uid="{73EE2841-2A92-46E6-830C-E005D768C6F0}"/>
    <cellStyle name="20% - 强调文字颜色 1 38" xfId="751" xr:uid="{050FA717-381F-45FC-B97D-662D2F3074C7}"/>
    <cellStyle name="20% - 强调文字颜色 1 38 10" xfId="17229" xr:uid="{703D2954-0E14-4CE2-A13A-E460B46D793E}"/>
    <cellStyle name="20% - 强调文字颜色 1 38 11" xfId="17230" xr:uid="{80CF15E2-8E83-4FC2-BB6C-E60903AC0738}"/>
    <cellStyle name="20% - 强调文字颜色 1 38 12" xfId="17231" xr:uid="{B3548EC5-7145-480F-B9A0-5A9D6F775504}"/>
    <cellStyle name="20% - 强调文字颜色 1 38 13" xfId="17232" xr:uid="{3537C8BF-D1D3-4A51-99F8-981F86B3CCCD}"/>
    <cellStyle name="20% - 强调文字颜色 1 38 14" xfId="17233" xr:uid="{BDB644C3-D343-4CB4-B305-A38CFAE02A77}"/>
    <cellStyle name="20% - 强调文字颜色 1 38 15" xfId="17228" xr:uid="{EB0C8A89-5655-4423-BA24-E131C846ACFC}"/>
    <cellStyle name="20% - 强调文字颜色 1 38 2" xfId="11977" xr:uid="{2D5C937E-E056-4754-BED0-D61B738C012E}"/>
    <cellStyle name="20% - 强调文字颜色 1 38 2 2" xfId="17234" xr:uid="{B76838D9-D906-4D5C-A1A8-8E78EEDF6895}"/>
    <cellStyle name="20% - 强调文字颜色 1 38 3" xfId="17235" xr:uid="{0A83F9B3-1203-497B-8BAB-38BC8AD767A1}"/>
    <cellStyle name="20% - 强调文字颜色 1 38 4" xfId="17236" xr:uid="{00ABA2E2-850A-4696-B396-007E228E9A98}"/>
    <cellStyle name="20% - 强调文字颜色 1 38 5" xfId="17237" xr:uid="{60FC191B-35EA-44D7-A875-22F402D9F18A}"/>
    <cellStyle name="20% - 强调文字颜色 1 38 6" xfId="17238" xr:uid="{BE4C60CE-DF8B-4AF6-8F0D-50B3D28E30A6}"/>
    <cellStyle name="20% - 强调文字颜色 1 38 7" xfId="17239" xr:uid="{E4C0BA60-453F-4E90-9E14-51993C4E2896}"/>
    <cellStyle name="20% - 强调文字颜色 1 38 8" xfId="17240" xr:uid="{EDD3752B-8699-4278-9979-E3F024A4AE3F}"/>
    <cellStyle name="20% - 强调文字颜色 1 38 9" xfId="17241" xr:uid="{0D32D67A-2DB8-45D3-B254-1B67EEFCE894}"/>
    <cellStyle name="20% - 强调文字颜色 1 39" xfId="761" xr:uid="{4F0FD162-E841-4EEE-8993-8A054EED86C2}"/>
    <cellStyle name="20% - 强调文字颜色 1 39 2" xfId="11978" xr:uid="{FC958963-1832-4929-BE9F-6D91E29776A3}"/>
    <cellStyle name="20% - 强调文字颜色 1 39 2 2" xfId="17243" xr:uid="{353EB7D6-9A76-4E2F-9902-8DD5281A6D69}"/>
    <cellStyle name="20% - 强调文字颜色 1 39 3" xfId="17244" xr:uid="{4CED2EC2-BCE4-4228-A292-81441CC72346}"/>
    <cellStyle name="20% - 强调文字颜色 1 39 4" xfId="17242" xr:uid="{F02BEBE7-6989-4094-8595-0327FDDE35EB}"/>
    <cellStyle name="20% - 强调文字颜色 1 4" xfId="599" xr:uid="{97AF6450-2649-4CE1-B46E-F4222FBA0051}"/>
    <cellStyle name="20% - 强调文字颜色 1 4 10" xfId="79" xr:uid="{1BB1734A-FF7A-4D3B-8334-4DD94D80BB50}"/>
    <cellStyle name="20% - 强调文字颜色 1 4 10 2" xfId="1166" xr:uid="{B1E4A6D6-9472-451F-AD90-F1511B41250A}"/>
    <cellStyle name="20% - 强调文字颜色 1 4 11" xfId="247" xr:uid="{B7E2C5E6-3CD4-4E48-AA8C-DD2F1A5BE9D6}"/>
    <cellStyle name="20% - 强调文字颜色 1 4 11 2" xfId="1167" xr:uid="{5B39FA2D-B94F-4794-B40D-A63043FECCCD}"/>
    <cellStyle name="20% - 强调文字颜色 1 4 12" xfId="252" xr:uid="{CA8901C2-37EB-427A-BDAE-F54BA5E81D9E}"/>
    <cellStyle name="20% - 强调文字颜色 1 4 13" xfId="257" xr:uid="{E90DB17B-B31D-48C7-A55B-AAE895AFB1C6}"/>
    <cellStyle name="20% - 强调文字颜色 1 4 13 2" xfId="1067" xr:uid="{DFB7F176-FD5A-4B8D-B680-B87FFFB8A445}"/>
    <cellStyle name="20% - 强调文字颜色 1 4 14" xfId="261" xr:uid="{98C52F26-F8AA-43F7-A285-DEA3E5AB5728}"/>
    <cellStyle name="20% - 强调文字颜色 1 4 14 2" xfId="1168" xr:uid="{F024EF83-CAEF-4D69-AD6A-8FBD5B1D5672}"/>
    <cellStyle name="20% - 强调文字颜色 1 4 15" xfId="268" xr:uid="{D3B731F0-6DC8-4ED4-930E-686E55D0328C}"/>
    <cellStyle name="20% - 强调文字颜色 1 4 16" xfId="9451" xr:uid="{9DB8F0F3-3FF8-43E9-8712-75A7A4168272}"/>
    <cellStyle name="20% - 强调文字颜色 1 4 17" xfId="13404" xr:uid="{2295E2B7-A01E-4B56-88AE-D9CB7C544FC2}"/>
    <cellStyle name="20% - 强调文字颜色 1 4 18" xfId="17245" xr:uid="{0C30207D-4A6F-409E-9E04-9896A08495B6}"/>
    <cellStyle name="20% - 强调文字颜色 1 4 2" xfId="603" xr:uid="{73290CE9-B763-40F6-9CCE-93221C91DFE8}"/>
    <cellStyle name="20% - 强调文字颜色 1 4 2 2" xfId="1169" xr:uid="{393E4692-8BA3-4DA3-BF0F-80D234DEDDC7}"/>
    <cellStyle name="20% - 强调文字颜色 1 4 2 2 2" xfId="17247" xr:uid="{C96D3C78-EA76-47E7-B0E4-BFF1249700F1}"/>
    <cellStyle name="20% - 强调文字颜色 1 4 2 3" xfId="9452" xr:uid="{7F47BBDA-649C-470C-BB3D-1ABD47F6A94D}"/>
    <cellStyle name="20% - 强调文字颜色 1 4 2 4" xfId="17246" xr:uid="{3D1BC1B1-8EB0-4ED7-A7EF-BD4E57E85CC3}"/>
    <cellStyle name="20% - 强调文字颜色 1 4 3" xfId="1171" xr:uid="{F5C58B01-FE63-416B-8D21-A31F083E921D}"/>
    <cellStyle name="20% - 强调文字颜色 1 4 3 2" xfId="1175" xr:uid="{68DA9D64-A9EC-4F7C-BD42-BA26C0DFA86D}"/>
    <cellStyle name="20% - 强调文字颜色 1 4 3 3" xfId="9453" xr:uid="{586CBC2A-1764-40C0-AD79-F543C39B39EB}"/>
    <cellStyle name="20% - 强调文字颜色 1 4 3 4" xfId="17248" xr:uid="{73F76CE1-4066-4F57-99C6-C0BCD09FAB95}"/>
    <cellStyle name="20% - 强调文字颜色 1 4 4" xfId="1177" xr:uid="{041AD6D4-E52B-4F74-9376-D9B3ADA48A01}"/>
    <cellStyle name="20% - 强调文字颜色 1 4 4 2" xfId="1179" xr:uid="{7D76363C-1F6B-4B59-A71C-BC436FBBCC62}"/>
    <cellStyle name="20% - 强调文字颜色 1 4 4 3" xfId="17249" xr:uid="{B927D3B0-BD3A-45A1-A571-CA298F23F45B}"/>
    <cellStyle name="20% - 强调文字颜色 1 4 5" xfId="550" xr:uid="{D4E3FFD4-BC14-4EC9-B16D-02F07F9AC840}"/>
    <cellStyle name="20% - 强调文字颜色 1 4 5 2" xfId="553" xr:uid="{AEFBA316-88D4-4086-B756-37000A65F5F2}"/>
    <cellStyle name="20% - 强调文字颜色 1 4 6" xfId="1180" xr:uid="{7F7CE6D2-739B-4720-8B22-7B4296F2B62F}"/>
    <cellStyle name="20% - 强调文字颜色 1 4 6 2" xfId="1181" xr:uid="{C3F7E064-7458-456B-AA39-E8D317A9E201}"/>
    <cellStyle name="20% - 强调文字颜色 1 4 7" xfId="1182" xr:uid="{D5DB6D63-2B89-4A9E-A7CA-90DD34AA825D}"/>
    <cellStyle name="20% - 强调文字颜色 1 4 7 2" xfId="1184" xr:uid="{4F0DE83B-4237-43F9-BFC9-841117FB5C78}"/>
    <cellStyle name="20% - 强调文字颜色 1 4 8" xfId="911" xr:uid="{2941AD84-43C1-40B1-9376-3879DF1658AC}"/>
    <cellStyle name="20% - 强调文字颜色 1 4 8 2" xfId="1185" xr:uid="{BA22A2B9-2B43-459A-9B75-6CB78C49195D}"/>
    <cellStyle name="20% - 强调文字颜色 1 4 9" xfId="1186" xr:uid="{55B0AA0D-7316-413B-B39B-9240A62640B8}"/>
    <cellStyle name="20% - 强调文字颜色 1 40" xfId="501" xr:uid="{505B5F93-0F3D-43DF-809E-31D8DF87C5D1}"/>
    <cellStyle name="20% - 强调文字颜色 1 40 2" xfId="11979" xr:uid="{93CF4680-9C9A-4BF6-B7E8-12F4B2791B06}"/>
    <cellStyle name="20% - 强调文字颜色 1 40 2 2" xfId="17251" xr:uid="{C642EFF2-E123-4FF5-868A-71D77AF3994F}"/>
    <cellStyle name="20% - 强调文字颜色 1 40 3" xfId="17250" xr:uid="{35C0446B-9552-44CD-B844-9DDCBEFFC11C}"/>
    <cellStyle name="20% - 强调文字颜色 1 41" xfId="1161" xr:uid="{6A4D75C1-26B1-46FE-B971-9A2AEF3FA9F8}"/>
    <cellStyle name="20% - 强调文字颜色 1 41 2" xfId="11980" xr:uid="{B3865F6D-0020-43C4-BDD3-46FDE94879D9}"/>
    <cellStyle name="20% - 强调文字颜色 1 41 2 2" xfId="17253" xr:uid="{84BE15B2-3028-4238-B397-01E4C5A45DFB}"/>
    <cellStyle name="20% - 强调文字颜色 1 41 3" xfId="17252" xr:uid="{2AC15178-65B5-4DE8-B539-512598C9CBA6}"/>
    <cellStyle name="20% - 强调文字颜色 1 42" xfId="741" xr:uid="{E59B3A4C-527E-48E2-80E5-9735327CB325}"/>
    <cellStyle name="20% - 强调文字颜色 1 42 2" xfId="11981" xr:uid="{2B95E6B2-A2A5-464A-A4DA-31E617896D98}"/>
    <cellStyle name="20% - 强调文字颜色 1 42 2 2" xfId="17255" xr:uid="{3DE286AA-B07D-4D8F-BA7E-C89A9CF160BE}"/>
    <cellStyle name="20% - 强调文字颜色 1 42 3" xfId="17254" xr:uid="{422872E9-BEC3-489F-91D4-AA6AC80E20FC}"/>
    <cellStyle name="20% - 强调文字颜色 1 43" xfId="750" xr:uid="{6B042920-8200-43DF-86E4-BF9673BF02E9}"/>
    <cellStyle name="20% - 强调文字颜色 1 43 2" xfId="11982" xr:uid="{A2869886-8951-4A2A-B58D-50DBA23CBBC5}"/>
    <cellStyle name="20% - 强调文字颜色 1 43 2 2" xfId="17257" xr:uid="{D7072CC7-0531-47D3-8FC4-F1CED85DF5A8}"/>
    <cellStyle name="20% - 强调文字颜色 1 43 3" xfId="17256" xr:uid="{F676DC18-216A-4425-BBD2-698685368656}"/>
    <cellStyle name="20% - 强调文字颜色 1 44" xfId="760" xr:uid="{39813F5A-7173-4BF8-857E-F0D9816DFD63}"/>
    <cellStyle name="20% - 强调文字颜色 1 44 2" xfId="11983" xr:uid="{16EE8175-511B-4220-A6EF-C1D483350C7F}"/>
    <cellStyle name="20% - 强调文字颜色 1 44 2 2" xfId="17259" xr:uid="{6EB8CCBF-2F6E-4CE5-ACBB-6E223354E7E1}"/>
    <cellStyle name="20% - 强调文字颜色 1 44 3" xfId="17258" xr:uid="{950D8A90-FDBE-4698-AB75-7081FB2E415E}"/>
    <cellStyle name="20% - 强调文字颜色 1 45" xfId="769" xr:uid="{2E2BCC40-7E86-46F2-8DF3-35E50BDBC4A3}"/>
    <cellStyle name="20% - 强调文字颜色 1 45 2" xfId="11984" xr:uid="{4701A9B4-A5AF-44FA-9794-D374E9E51866}"/>
    <cellStyle name="20% - 强调文字颜色 1 45 2 2" xfId="17261" xr:uid="{2241BF80-919C-416E-AD97-E2B124B45599}"/>
    <cellStyle name="20% - 强调文字颜色 1 45 3" xfId="17260" xr:uid="{C3E5425A-5F67-4990-BD08-03564921C476}"/>
    <cellStyle name="20% - 强调文字颜色 1 46" xfId="777" xr:uid="{E7303904-D7FE-47EB-9857-DE1B96675193}"/>
    <cellStyle name="20% - 强调文字颜色 1 46 2" xfId="11985" xr:uid="{F594D982-B9FB-4F70-8A78-1107F46F558D}"/>
    <cellStyle name="20% - 强调文字颜色 1 46 2 2" xfId="17263" xr:uid="{4CF2DEEE-77CF-462B-A4F1-432476C8F29D}"/>
    <cellStyle name="20% - 强调文字颜色 1 46 3" xfId="17262" xr:uid="{3FEAE7DE-8280-4EB3-AD68-58E7AD5BE915}"/>
    <cellStyle name="20% - 强调文字颜色 1 47" xfId="783" xr:uid="{450EDD9E-8432-4A25-9CD8-EB91E935D240}"/>
    <cellStyle name="20% - 强调文字颜色 1 47 2" xfId="11986" xr:uid="{44AFCBE3-6C10-42E6-84CF-E49830497021}"/>
    <cellStyle name="20% - 强调文字颜色 1 47 3" xfId="17264" xr:uid="{E0173F5C-1507-46E2-8F2A-9566F298FD74}"/>
    <cellStyle name="20% - 强调文字颜色 1 48" xfId="655" xr:uid="{390710A2-AC50-43CF-A304-B3C9F4AEBA1B}"/>
    <cellStyle name="20% - 强调文字颜色 1 48 2" xfId="11987" xr:uid="{3124E405-C027-4000-A36A-C02A168CA76C}"/>
    <cellStyle name="20% - 强调文字颜色 1 48 3" xfId="17265" xr:uid="{6669C7B2-11E7-4201-B24F-9E1CCC29EC73}"/>
    <cellStyle name="20% - 强调文字颜色 1 49" xfId="791" xr:uid="{D69644E0-1B60-405E-8D10-A8AFBD1DE512}"/>
    <cellStyle name="20% - 强调文字颜色 1 49 2" xfId="11988" xr:uid="{E4C99038-74DF-4ED3-8129-1B1DB47C1BBC}"/>
    <cellStyle name="20% - 强调文字颜色 1 49 3" xfId="17266" xr:uid="{92A901DF-0322-4642-835A-71BE160CEFBE}"/>
    <cellStyle name="20% - 强调文字颜色 1 5" xfId="606" xr:uid="{EDA72C74-06C3-44C2-B02A-DF6B5F9C1479}"/>
    <cellStyle name="20% - 强调文字颜色 1 5 10" xfId="1187" xr:uid="{39A25B59-B42F-4285-AF49-D18C4C3E50AA}"/>
    <cellStyle name="20% - 强调文字颜色 1 5 10 2" xfId="216" xr:uid="{34E23213-C938-413E-8CDB-9F83B7716217}"/>
    <cellStyle name="20% - 强调文字颜色 1 5 11" xfId="1188" xr:uid="{0990C884-28C9-4674-91EA-AF0A95003B4D}"/>
    <cellStyle name="20% - 强调文字颜色 1 5 11 2" xfId="232" xr:uid="{8D77439E-9784-479E-AFF4-9C460BB43B7A}"/>
    <cellStyle name="20% - 强调文字颜色 1 5 12" xfId="359" xr:uid="{231A93D7-CF64-4171-B45E-EF485E757B19}"/>
    <cellStyle name="20% - 强调文字颜色 1 5 13" xfId="364" xr:uid="{03CBF08D-58E8-4AB2-8760-15BBFB8BE369}"/>
    <cellStyle name="20% - 强调文字颜色 1 5 13 2" xfId="41" xr:uid="{2D5D5A07-23AC-405A-8BD9-D11DAB365211}"/>
    <cellStyle name="20% - 强调文字颜色 1 5 14" xfId="367" xr:uid="{B202248F-7CA4-44D1-9714-B6472B0BCD15}"/>
    <cellStyle name="20% - 强调文字颜色 1 5 14 2" xfId="1190" xr:uid="{E3651A49-A220-4914-A642-1A18C5966EF3}"/>
    <cellStyle name="20% - 强调文字颜色 1 5 15" xfId="372" xr:uid="{E5CE9FB0-2BB3-4ECE-9D5C-28C06498EB6C}"/>
    <cellStyle name="20% - 强调文字颜色 1 5 16" xfId="9454" xr:uid="{FC7CEFC3-40AA-45E8-A5CE-5AD5E99AF8C1}"/>
    <cellStyle name="20% - 强调文字颜色 1 5 17" xfId="13379" xr:uid="{882F8280-68A1-4926-BF7A-B1204DA5824E}"/>
    <cellStyle name="20% - 强调文字颜色 1 5 18" xfId="17267" xr:uid="{C6478F0E-DB50-4C9B-A729-462417EE7DFB}"/>
    <cellStyle name="20% - 强调文字颜色 1 5 2" xfId="104" xr:uid="{15DCA1C7-A7B8-486A-87E6-2404E30E2314}"/>
    <cellStyle name="20% - 强调文字颜色 1 5 2 2" xfId="823" xr:uid="{7CB85020-E773-411E-9F61-B4CBD31552CA}"/>
    <cellStyle name="20% - 强调文字颜色 1 5 2 2 2" xfId="17269" xr:uid="{53773140-73DA-4A69-9CF5-DBF1A1449A5A}"/>
    <cellStyle name="20% - 强调文字颜色 1 5 2 3" xfId="9455" xr:uid="{BCAA1B57-4D4E-455D-B432-9565D324D019}"/>
    <cellStyle name="20% - 强调文字颜色 1 5 2 4" xfId="17268" xr:uid="{5FCB75C2-B429-422D-9F7C-FAC6A25E5217}"/>
    <cellStyle name="20% - 强调文字颜色 1 5 3" xfId="1193" xr:uid="{995E7D19-E34C-491F-8F5E-78455D0FA397}"/>
    <cellStyle name="20% - 强调文字颜色 1 5 3 2" xfId="877" xr:uid="{C4665672-A9C3-4017-9023-BB2297D95D88}"/>
    <cellStyle name="20% - 强调文字颜色 1 5 3 3" xfId="9456" xr:uid="{69F94863-D27A-460A-887D-A20EA2A23B6D}"/>
    <cellStyle name="20% - 强调文字颜色 1 5 3 4" xfId="17270" xr:uid="{62F366E8-2154-4EFC-A5A0-A2C6F1F0DBD0}"/>
    <cellStyle name="20% - 强调文字颜色 1 5 4" xfId="1196" xr:uid="{F2AC480C-4FD2-4F00-8012-A44CA8C61C3D}"/>
    <cellStyle name="20% - 强调文字颜色 1 5 4 2" xfId="1198" xr:uid="{F547E42A-B0CB-4E53-B47E-9673C37A266D}"/>
    <cellStyle name="20% - 强调文字颜色 1 5 4 3" xfId="17271" xr:uid="{3F7468D7-8733-4A46-A048-2E953E1308B0}"/>
    <cellStyle name="20% - 强调文字颜色 1 5 5" xfId="870" xr:uid="{F872233B-02F9-407D-A082-8CC489AA3230}"/>
    <cellStyle name="20% - 强调文字颜色 1 5 5 2" xfId="1124" xr:uid="{6DA82F7E-2F91-4DB8-BE9A-AAC05AB4E70D}"/>
    <cellStyle name="20% - 强调文字颜色 1 5 6" xfId="1200" xr:uid="{E5B26997-97B2-4DA6-BE75-AEB8976BA2DC}"/>
    <cellStyle name="20% - 强调文字颜色 1 5 6 2" xfId="1202" xr:uid="{9BE457FE-9404-4682-BAFE-E5E480CEA6D4}"/>
    <cellStyle name="20% - 强调文字颜色 1 5 7" xfId="193" xr:uid="{2D73334A-561E-43C2-A1B4-09054C316699}"/>
    <cellStyle name="20% - 强调文字颜色 1 5 7 2" xfId="197" xr:uid="{30EEE612-FDDF-4E3E-A073-061A2D20A4F2}"/>
    <cellStyle name="20% - 强调文字颜色 1 5 8" xfId="213" xr:uid="{9DF1BC36-9B7A-42EC-A49D-12108566CB0F}"/>
    <cellStyle name="20% - 强调文字颜色 1 5 8 2" xfId="100" xr:uid="{C15D10B4-1436-4D1C-AB78-1AC2A15956D5}"/>
    <cellStyle name="20% - 强调文字颜色 1 5 9" xfId="1204" xr:uid="{38BBC4E7-7AA4-434C-9EEE-8A791E194426}"/>
    <cellStyle name="20% - 强调文字颜色 1 50" xfId="771" xr:uid="{7ABFBA34-0BB1-4CEE-83FB-15B46268E91A}"/>
    <cellStyle name="20% - 强调文字颜色 1 50 2" xfId="11989" xr:uid="{646C0413-366D-4C89-AB22-D3C447364D55}"/>
    <cellStyle name="20% - 强调文字颜色 1 50 3" xfId="17272" xr:uid="{2A638945-086D-431C-9A97-2C9DD0831D14}"/>
    <cellStyle name="20% - 强调文字颜色 1 51" xfId="778" xr:uid="{87186A0E-C4CB-4434-A301-03EF6D14E8EC}"/>
    <cellStyle name="20% - 强调文字颜色 1 51 2" xfId="11990" xr:uid="{817C618E-E042-46CF-8B94-042457CA3280}"/>
    <cellStyle name="20% - 强调文字颜色 1 51 3" xfId="17273" xr:uid="{8B68990C-B138-44B5-9762-22ED9E544959}"/>
    <cellStyle name="20% - 强调文字颜色 1 52" xfId="784" xr:uid="{C960E224-39A0-4105-8531-B76F5B51238D}"/>
    <cellStyle name="20% - 强调文字颜色 1 52 2" xfId="11991" xr:uid="{9BCA15F3-9F61-4050-A542-0EE94307B4CF}"/>
    <cellStyle name="20% - 强调文字颜色 1 52 3" xfId="17274" xr:uid="{5A744B7B-2991-40FB-B8BD-0FD3B578066B}"/>
    <cellStyle name="20% - 强调文字颜色 1 53" xfId="656" xr:uid="{DF3CAD28-4BD6-44F7-B628-19F8DF83F021}"/>
    <cellStyle name="20% - 强调文字颜色 1 53 2" xfId="11992" xr:uid="{B95D3E2B-9590-4084-B08F-D8C18F5EC1C8}"/>
    <cellStyle name="20% - 强调文字颜色 1 53 3" xfId="17275" xr:uid="{55B3F163-BF04-4B97-BA93-6E754C075B38}"/>
    <cellStyle name="20% - 强调文字颜色 1 54" xfId="792" xr:uid="{D5A0EABF-83A5-425E-A221-206461FBD17B}"/>
    <cellStyle name="20% - 强调文字颜色 1 54 2" xfId="11993" xr:uid="{25397AA9-1208-481B-9F13-07A74EFB6894}"/>
    <cellStyle name="20% - 强调文字颜色 1 54 3" xfId="17276" xr:uid="{A2096BF1-623B-40F4-A463-0D831754C008}"/>
    <cellStyle name="20% - 强调文字颜色 1 55" xfId="1206" xr:uid="{D15E46D2-AB11-448F-AA25-615535D37C2B}"/>
    <cellStyle name="20% - 强调文字颜色 1 55 2" xfId="11994" xr:uid="{5101E818-FDA0-4AE1-B365-2593AB9BF48A}"/>
    <cellStyle name="20% - 强调文字颜色 1 55 3" xfId="17277" xr:uid="{0328CB65-BC99-4B7A-83A5-75141F4FFC75}"/>
    <cellStyle name="20% - 强调文字颜色 1 56" xfId="1211" xr:uid="{75B8F93C-2106-4E04-8FED-776086A62514}"/>
    <cellStyle name="20% - 强调文字颜色 1 56 2" xfId="11995" xr:uid="{AAAB1841-2380-423A-AF97-E72A8CEA2051}"/>
    <cellStyle name="20% - 强调文字颜色 1 56 3" xfId="17278" xr:uid="{842ED004-F1E6-4F2C-AC66-4BCEF8E123E3}"/>
    <cellStyle name="20% - 强调文字颜色 1 57" xfId="1216" xr:uid="{E59A54B4-F4BF-45DA-A4AE-4E7FCC8FDEC6}"/>
    <cellStyle name="20% - 强调文字颜色 1 57 2" xfId="11996" xr:uid="{B3F4CF3E-A03F-47A5-B294-1EF82B65B291}"/>
    <cellStyle name="20% - 强调文字颜色 1 58" xfId="1221" xr:uid="{5B872C0E-962B-4FFA-8B73-C2F01AE0FE51}"/>
    <cellStyle name="20% - 强调文字颜色 1 58 2" xfId="11997" xr:uid="{ABB35E62-C74C-409D-AB3E-C1CC16DBD3AD}"/>
    <cellStyle name="20% - 强调文字颜色 1 59" xfId="1228" xr:uid="{B2FEB658-21F1-4D7A-A29A-3D8D65A6EFC3}"/>
    <cellStyle name="20% - 强调文字颜色 1 59 2" xfId="11998" xr:uid="{919E07E2-094E-419C-8C17-4624EBBC62C5}"/>
    <cellStyle name="20% - 强调文字颜色 1 6" xfId="613" xr:uid="{AE7AABAF-3F00-485E-AEDA-A2A67CB6039E}"/>
    <cellStyle name="20% - 强调文字颜色 1 6 10" xfId="17279" xr:uid="{3EEA182A-0899-48D8-AF46-4D4A31454249}"/>
    <cellStyle name="20% - 强调文字颜色 1 6 2" xfId="339" xr:uid="{B6B13F65-3553-46D1-8231-F78AD99B93A0}"/>
    <cellStyle name="20% - 强调文字颜色 1 6 2 2" xfId="9458" xr:uid="{8D34B9C3-BC9C-47FC-8F8B-7C345D336FA1}"/>
    <cellStyle name="20% - 强调文字颜色 1 6 2 2 2" xfId="17281" xr:uid="{EA809DFB-7E93-41CC-BFDB-E9F367AFEC0B}"/>
    <cellStyle name="20% - 强调文字颜色 1 6 2 3" xfId="17280" xr:uid="{121CD4C0-4BFC-4585-8034-5BC862AF45EE}"/>
    <cellStyle name="20% - 强调文字颜色 1 6 3" xfId="1233" xr:uid="{F113BE03-E708-49F4-9E1E-558061DF7A7A}"/>
    <cellStyle name="20% - 强调文字颜色 1 6 3 2" xfId="1234" xr:uid="{FFCE7571-E0B5-45AE-9FE7-9AEA3C6AC902}"/>
    <cellStyle name="20% - 强调文字颜色 1 6 3 3" xfId="9459" xr:uid="{48F93AA6-8B9A-46C5-B88A-D925A71BF44E}"/>
    <cellStyle name="20% - 强调文字颜色 1 6 3 4" xfId="17282" xr:uid="{09EB16D2-F510-4E84-8FCE-988C5103C2A8}"/>
    <cellStyle name="20% - 强调文字颜色 1 6 4" xfId="1235" xr:uid="{64870A9E-3671-43A7-A9F6-E3C30030A955}"/>
    <cellStyle name="20% - 强调文字颜色 1 6 4 2" xfId="1236" xr:uid="{D9C9E477-D16B-4EF9-BFC8-3A4BBC3B78A4}"/>
    <cellStyle name="20% - 强调文字颜色 1 6 4 3" xfId="17283" xr:uid="{DE9F4512-9A9C-4680-85E0-F859A1239E68}"/>
    <cellStyle name="20% - 强调文字颜色 1 6 5" xfId="1237" xr:uid="{34816B24-68B3-4963-80D2-4EC5CF028219}"/>
    <cellStyle name="20% - 强调文字颜色 1 6 6" xfId="1238" xr:uid="{CAB0F66A-80A7-4D50-8D75-85F050453197}"/>
    <cellStyle name="20% - 强调文字颜色 1 6 6 2" xfId="1239" xr:uid="{7F144B9E-EF69-43E3-A6F7-E88D0A8D20D4}"/>
    <cellStyle name="20% - 强调文字颜色 1 6 7" xfId="1240" xr:uid="{15CDFD2C-85AD-449F-950F-EA01C6AA9893}"/>
    <cellStyle name="20% - 强调文字颜色 1 6 7 2" xfId="1242" xr:uid="{C8E31167-3229-4B2D-8D4F-4248A815CF40}"/>
    <cellStyle name="20% - 强调文字颜色 1 6 8" xfId="9457" xr:uid="{0282F56F-1CF7-4D85-B0EE-BBFF7380042F}"/>
    <cellStyle name="20% - 强调文字颜色 1 6 9" xfId="13383" xr:uid="{92D5D5B2-77F7-4609-8061-E2D1BE7A1FB4}"/>
    <cellStyle name="20% - 强调文字颜色 1 60" xfId="1207" xr:uid="{129D857F-90D0-4DEE-A45E-BFCFA65BB15C}"/>
    <cellStyle name="20% - 强调文字颜色 1 60 2" xfId="11999" xr:uid="{0B4F311A-2A3E-44CF-B475-B14CF40EDCC2}"/>
    <cellStyle name="20% - 强调文字颜色 1 61" xfId="1212" xr:uid="{7D774F7F-9A62-47DF-BE48-685731DF5C2F}"/>
    <cellStyle name="20% - 强调文字颜色 1 61 2" xfId="12000" xr:uid="{779D1073-AB5A-40E0-B437-422B086B853B}"/>
    <cellStyle name="20% - 强调文字颜色 1 62" xfId="1217" xr:uid="{934DD1F5-E441-4EA3-82F3-3B3227F00CD8}"/>
    <cellStyle name="20% - 强调文字颜色 1 62 2" xfId="12001" xr:uid="{964B5D5B-779B-4C5E-A67E-01F0AD01DC1A}"/>
    <cellStyle name="20% - 强调文字颜色 1 63" xfId="1222" xr:uid="{18B81BFD-85CE-4B7B-B2D2-25576D94E73B}"/>
    <cellStyle name="20% - 强调文字颜色 1 63 2" xfId="12002" xr:uid="{AF65A6F1-04FE-4D7C-9C18-F929CCD85F18}"/>
    <cellStyle name="20% - 强调文字颜色 1 64" xfId="1229" xr:uid="{A4FC9A34-DA86-4776-8003-4FE1DD3D1B11}"/>
    <cellStyle name="20% - 强调文字颜色 1 64 2" xfId="12003" xr:uid="{AC071FC2-800D-4BAB-96F2-EFF00BA069F8}"/>
    <cellStyle name="20% - 强调文字颜色 1 65" xfId="1244" xr:uid="{ECC5A6BB-4EB6-4834-9A91-C75DF532F240}"/>
    <cellStyle name="20% - 强调文字颜色 1 65 2" xfId="12004" xr:uid="{173F2BFA-760F-4805-B013-5635176E7C62}"/>
    <cellStyle name="20% - 强调文字颜色 1 66" xfId="1249" xr:uid="{EED37252-74AE-4D9F-B7B9-0DAF15DB399E}"/>
    <cellStyle name="20% - 强调文字颜色 1 66 2" xfId="12005" xr:uid="{B7EE63D2-F021-47DF-9EAA-CC63EE1C7257}"/>
    <cellStyle name="20% - 强调文字颜色 1 67" xfId="1254" xr:uid="{ACE006C1-D652-48A3-91F0-60355205FA30}"/>
    <cellStyle name="20% - 强调文字颜色 1 67 2" xfId="12006" xr:uid="{8263E7D6-E2A1-4B6C-86FF-F4DB3858F9F3}"/>
    <cellStyle name="20% - 强调文字颜色 1 68" xfId="1258" xr:uid="{D68151D4-D826-4431-8FB2-8C2DD996249C}"/>
    <cellStyle name="20% - 强调文字颜色 1 68 2" xfId="12007" xr:uid="{15277809-C755-4258-94BA-A9305210D96E}"/>
    <cellStyle name="20% - 强调文字颜色 1 69" xfId="1262" xr:uid="{B3C2042C-BB43-467E-AFF9-7AE3EA1676F3}"/>
    <cellStyle name="20% - 强调文字颜色 1 69 2" xfId="12008" xr:uid="{65D119C3-8CFE-4350-92CE-0CA2EC77500B}"/>
    <cellStyle name="20% - 强调文字颜色 1 7" xfId="615" xr:uid="{386C722C-0BD4-42A6-A994-F849E1CBFD32}"/>
    <cellStyle name="20% - 强调文字颜色 1 7 2" xfId="362" xr:uid="{C17DDA67-71A6-47DC-96BF-DADB3FC22B6F}"/>
    <cellStyle name="20% - 强调文字颜色 1 7 2 2" xfId="1267" xr:uid="{A87EE005-75D8-4341-9BE4-4F39BF988D4D}"/>
    <cellStyle name="20% - 强调文字颜色 1 7 2 2 2" xfId="17286" xr:uid="{90D5CE5F-6C8A-4421-A7AB-B9D5BB0536C1}"/>
    <cellStyle name="20% - 强调文字颜色 1 7 2 3" xfId="9461" xr:uid="{05055539-812E-4F61-936D-DB2A99D73839}"/>
    <cellStyle name="20% - 强调文字颜色 1 7 2 4" xfId="17285" xr:uid="{F3BB10A5-A156-4855-A26F-816306C45CFE}"/>
    <cellStyle name="20% - 强调文字颜色 1 7 3" xfId="1268" xr:uid="{67493D8A-E0A8-486F-9EED-4B3D4DAC2AC9}"/>
    <cellStyle name="20% - 强调文字颜色 1 7 3 2" xfId="1269" xr:uid="{CFEDD712-CCD4-4403-9F12-CEBFC713151A}"/>
    <cellStyle name="20% - 强调文字颜色 1 7 3 3" xfId="9462" xr:uid="{6B493867-64D7-49D5-9B51-A7ECBACD752A}"/>
    <cellStyle name="20% - 强调文字颜色 1 7 3 4" xfId="17287" xr:uid="{2DB5A064-D01A-41EB-964C-22D0604F27C2}"/>
    <cellStyle name="20% - 强调文字颜色 1 7 4" xfId="1271" xr:uid="{B460BBA5-9DF8-4563-81E6-81E88CFF33F1}"/>
    <cellStyle name="20% - 强调文字颜色 1 7 4 2" xfId="17288" xr:uid="{25350BAE-423A-4631-A55F-774A0362E331}"/>
    <cellStyle name="20% - 强调文字颜色 1 7 5" xfId="1273" xr:uid="{1CA896F8-9B34-45AC-9F1F-B2ED657F5AD6}"/>
    <cellStyle name="20% - 强调文字颜色 1 7 5 2" xfId="1276" xr:uid="{FBBA859F-A537-4F45-9057-300BF0B96686}"/>
    <cellStyle name="20% - 强调文字颜色 1 7 6" xfId="1279" xr:uid="{7DB65B55-363F-4916-8469-B9452827C466}"/>
    <cellStyle name="20% - 强调文字颜色 1 7 6 2" xfId="1282" xr:uid="{E29B0A08-4F4C-4101-9832-82DAAC643D19}"/>
    <cellStyle name="20% - 强调文字颜色 1 7 7" xfId="9460" xr:uid="{C978AD99-115C-422D-AEAB-0AE7AA591C54}"/>
    <cellStyle name="20% - 强调文字颜色 1 7 8" xfId="13367" xr:uid="{581986FE-0B3D-45A6-ABFE-6C672496649F}"/>
    <cellStyle name="20% - 强调文字颜色 1 7 9" xfId="17284" xr:uid="{8B228A0F-D8AF-47DF-8A96-0B742CAD871C}"/>
    <cellStyle name="20% - 强调文字颜色 1 70" xfId="1245" xr:uid="{202A2AEF-225E-4A38-87F9-2441CA98BB5A}"/>
    <cellStyle name="20% - 强调文字颜色 1 70 2" xfId="12009" xr:uid="{5CB25FB8-2B31-4689-A965-BAAA5A45127A}"/>
    <cellStyle name="20% - 强调文字颜色 1 71" xfId="1250" xr:uid="{79FE4507-2C4C-4A32-AEF9-0D39C1ACFD86}"/>
    <cellStyle name="20% - 强调文字颜色 1 71 2" xfId="12010" xr:uid="{5F8C5AC4-92BD-4B81-BD78-39FBAD57CD88}"/>
    <cellStyle name="20% - 强调文字颜色 1 72" xfId="1255" xr:uid="{E33DECA4-0926-408C-808D-599CF254AC4A}"/>
    <cellStyle name="20% - 强调文字颜色 1 72 2" xfId="12011" xr:uid="{EC16712D-9A8C-4C4E-A38C-7F3D71E9DD60}"/>
    <cellStyle name="20% - 强调文字颜色 1 73" xfId="1259" xr:uid="{BD7116A2-22EF-480B-8D71-B3E94DDE804D}"/>
    <cellStyle name="20% - 强调文字颜色 1 73 2" xfId="12012" xr:uid="{78B97C89-E80D-4F6E-A294-ED5CD15C4D4C}"/>
    <cellStyle name="20% - 强调文字颜色 1 74" xfId="1263" xr:uid="{2113E857-6BCD-4A37-A0D2-73EF57F92018}"/>
    <cellStyle name="20% - 强调文字颜色 1 74 2" xfId="12013" xr:uid="{15FA3C39-ED9B-4541-A06F-A93CCA0038F4}"/>
    <cellStyle name="20% - 强调文字颜色 1 75" xfId="1285" xr:uid="{0CA4A3C1-9AC6-43C7-B6E0-E3B709054DD0}"/>
    <cellStyle name="20% - 强调文字颜色 1 75 2" xfId="12014" xr:uid="{CD3F5377-8A0D-4401-9EC5-EB91E9840F27}"/>
    <cellStyle name="20% - 强调文字颜色 1 76" xfId="1289" xr:uid="{4856A489-CB4A-4339-9E7B-CF4094742FCF}"/>
    <cellStyle name="20% - 强调文字颜色 1 76 2" xfId="12015" xr:uid="{613F675C-DD3E-462B-A233-E4D2D9785060}"/>
    <cellStyle name="20% - 强调文字颜色 1 77" xfId="1293" xr:uid="{AAB5E42D-F09C-4FFC-A01A-26ABA2681AB6}"/>
    <cellStyle name="20% - 强调文字颜色 1 77 2" xfId="12016" xr:uid="{372A76C3-4D5F-4E96-AD7F-B8118258C650}"/>
    <cellStyle name="20% - 强调文字颜色 1 78" xfId="1299" xr:uid="{92F5A61C-B9F9-463B-B4CE-EE99194D510C}"/>
    <cellStyle name="20% - 强调文字颜色 1 78 2" xfId="12017" xr:uid="{E23BCDF9-665A-4C7C-9818-2EB3E7D396C4}"/>
    <cellStyle name="20% - 强调文字颜色 1 79" xfId="1304" xr:uid="{8AC1FF48-B60B-4B8D-A7A6-743608E352F5}"/>
    <cellStyle name="20% - 强调文字颜色 1 79 2" xfId="12018" xr:uid="{076C33E1-E399-43F8-AA5B-F6498B05030C}"/>
    <cellStyle name="20% - 强调文字颜色 1 8" xfId="618" xr:uid="{2E67C079-4BA2-493C-87BC-F8BF9CE27591}"/>
    <cellStyle name="20% - 强调文字颜色 1 8 2" xfId="387" xr:uid="{6BF6DFE0-B2F2-4B28-B881-01CAD35EE548}"/>
    <cellStyle name="20% - 强调文字颜色 1 8 2 2" xfId="1308" xr:uid="{386F4B75-46D3-4FEB-9F2D-BC994D976E21}"/>
    <cellStyle name="20% - 强调文字颜色 1 8 2 2 2" xfId="17291" xr:uid="{E1F736C3-5A3F-4EE0-92EA-075AB85BDDD1}"/>
    <cellStyle name="20% - 强调文字颜色 1 8 2 3" xfId="9464" xr:uid="{7710493F-0769-47BB-985A-9986D07742AE}"/>
    <cellStyle name="20% - 强调文字颜色 1 8 2 4" xfId="17290" xr:uid="{46D749C5-4D7D-4DA7-83B5-034F140DC795}"/>
    <cellStyle name="20% - 强调文字颜色 1 8 3" xfId="1309" xr:uid="{46EACA09-4167-4509-B094-8BE95527EE0A}"/>
    <cellStyle name="20% - 强调文字颜色 1 8 3 2" xfId="9465" xr:uid="{C6FDB0E8-F529-4DE7-AD7D-89AD39AD5639}"/>
    <cellStyle name="20% - 强调文字颜色 1 8 3 3" xfId="17292" xr:uid="{5006DFC0-3618-4248-AA82-B541CF85EABC}"/>
    <cellStyle name="20% - 强调文字颜色 1 8 4" xfId="1315" xr:uid="{3C5466E4-0229-4BCD-B1BD-B3DE44F1C52D}"/>
    <cellStyle name="20% - 强调文字颜色 1 8 4 2" xfId="1323" xr:uid="{CCA09D85-7ED6-46B8-92A1-95F97F22E289}"/>
    <cellStyle name="20% - 强调文字颜色 1 8 4 3" xfId="17293" xr:uid="{DDEC6AE7-F2D9-4A49-92E1-A8913A1E4627}"/>
    <cellStyle name="20% - 强调文字颜色 1 8 5" xfId="1324" xr:uid="{3627767F-3EFC-47F4-9C8A-894D3ABAD07B}"/>
    <cellStyle name="20% - 强调文字颜色 1 8 5 2" xfId="1333" xr:uid="{5C7FB675-84FB-49F9-9F63-B8E217263D23}"/>
    <cellStyle name="20% - 强调文字颜色 1 8 6" xfId="1334" xr:uid="{F2C0EA1A-E6AD-4B7E-84C5-952CFFC12AF8}"/>
    <cellStyle name="20% - 强调文字颜色 1 8 7" xfId="9463" xr:uid="{44D8C1D1-5D1F-4265-8CC6-676883AFBDBF}"/>
    <cellStyle name="20% - 强调文字颜色 1 8 8" xfId="13300" xr:uid="{163E33C6-D547-4220-B227-B93F658510FD}"/>
    <cellStyle name="20% - 强调文字颜色 1 8 9" xfId="17289" xr:uid="{9781D60F-005F-4992-A070-AF9234A1E709}"/>
    <cellStyle name="20% - 强调文字颜色 1 80" xfId="1286" xr:uid="{61DD6DB7-66A2-4037-9E09-B9B57EA844E0}"/>
    <cellStyle name="20% - 强调文字颜色 1 80 2" xfId="12019" xr:uid="{7168789B-FE9D-4B76-916A-67186D09F448}"/>
    <cellStyle name="20% - 强调文字颜色 1 81" xfId="1290" xr:uid="{057394CB-F321-495B-AC55-BFE3F3039F48}"/>
    <cellStyle name="20% - 强调文字颜色 1 81 2" xfId="12020" xr:uid="{17D3F9DB-50F0-46F3-9610-5F3569332A39}"/>
    <cellStyle name="20% - 强调文字颜色 1 82" xfId="1294" xr:uid="{6B3D4F91-7D32-4638-AEF5-D3F50BA880E2}"/>
    <cellStyle name="20% - 强调文字颜色 1 82 2" xfId="12021" xr:uid="{D9777D80-1978-40A3-9EAC-9BFC19F8CD47}"/>
    <cellStyle name="20% - 强调文字颜色 1 83" xfId="1300" xr:uid="{BDF84EC4-AAA1-4BA9-8396-D905EA0D5C18}"/>
    <cellStyle name="20% - 强调文字颜色 1 83 2" xfId="12022" xr:uid="{665F1A22-90CF-40E5-8C21-6F80A2E41820}"/>
    <cellStyle name="20% - 强调文字颜色 1 84" xfId="1305" xr:uid="{A59A82E1-D7F3-42B3-9F52-92E0D53A3FFF}"/>
    <cellStyle name="20% - 强调文字颜色 1 84 2" xfId="12023" xr:uid="{09CF0965-D7F8-47F6-87D8-ADD2582B1E60}"/>
    <cellStyle name="20% - 强调文字颜色 1 85" xfId="1341" xr:uid="{CF74F52C-01D5-45B7-BEFA-FCD1B33BED9E}"/>
    <cellStyle name="20% - 强调文字颜色 1 86" xfId="1348" xr:uid="{4C5F95D9-62E0-4473-9C9E-E566B69257B6}"/>
    <cellStyle name="20% - 强调文字颜色 1 86 2" xfId="1352" xr:uid="{FE52C279-0B0F-4694-B224-15F442D4F5A6}"/>
    <cellStyle name="20% - 强调文字颜色 1 87" xfId="804" xr:uid="{5F2A145A-2215-46A0-8A31-BAB3C62607E1}"/>
    <cellStyle name="20% - 强调文字颜色 1 87 2" xfId="812" xr:uid="{065CD63D-A0C0-4A11-88EE-5C4C08AEB102}"/>
    <cellStyle name="20% - 强调文字颜色 1 88" xfId="818" xr:uid="{0E98F604-3C6F-4B0A-8D2E-1F2BEA8B1F87}"/>
    <cellStyle name="20% - 强调文字颜色 1 88 2" xfId="629" xr:uid="{BE1270F6-AE38-4811-96A2-238BB84E386C}"/>
    <cellStyle name="20% - 强调文字颜色 1 89" xfId="825" xr:uid="{C2DCF158-4AA0-46DB-9702-407BA495D708}"/>
    <cellStyle name="20% - 强调文字颜色 1 9" xfId="624" xr:uid="{4DE63AC3-6752-418F-AACC-48A7F9FC6FD9}"/>
    <cellStyle name="20% - 强调文字颜色 1 9 2" xfId="33" xr:uid="{012EEAC4-BE5F-4C9E-9C2F-0757874BB699}"/>
    <cellStyle name="20% - 强调文字颜色 1 9 2 2" xfId="1357" xr:uid="{B67323D0-0FDD-4E27-8E7A-8F8E4ED9A211}"/>
    <cellStyle name="20% - 强调文字颜色 1 9 2 2 2" xfId="17296" xr:uid="{5D290CC3-D6EF-4CEA-8693-B4091DF2255F}"/>
    <cellStyle name="20% - 强调文字颜色 1 9 2 3" xfId="9467" xr:uid="{5F282978-A1D4-43B8-98C2-C54AE2321FA2}"/>
    <cellStyle name="20% - 强调文字颜色 1 9 2 4" xfId="17295" xr:uid="{1F2A398D-CFE0-4129-942A-3D9F4300493D}"/>
    <cellStyle name="20% - 强调文字颜色 1 9 3" xfId="1358" xr:uid="{0D3C6529-B8D7-4127-8D31-4D9673896364}"/>
    <cellStyle name="20% - 强调文字颜色 1 9 3 2" xfId="9468" xr:uid="{9F171A04-C7EA-4850-861E-485AEE947994}"/>
    <cellStyle name="20% - 强调文字颜色 1 9 3 3" xfId="17297" xr:uid="{8E0D617B-EE3F-435A-8B2C-32212875F1F6}"/>
    <cellStyle name="20% - 强调文字颜色 1 9 4" xfId="49" xr:uid="{15B1075F-12F9-4E21-8CD4-00F0605DF3B3}"/>
    <cellStyle name="20% - 强调文字颜色 1 9 4 2" xfId="1264" xr:uid="{78C9050C-3F10-4D5E-9357-DAA15A4EFCB7}"/>
    <cellStyle name="20% - 强调文字颜色 1 9 4 3" xfId="17298" xr:uid="{ACFB08EB-1F13-4485-9D0E-6F3F939A5EFB}"/>
    <cellStyle name="20% - 强调文字颜色 1 9 5" xfId="1359" xr:uid="{B7826034-D300-42B3-92B4-F3B1A54436C3}"/>
    <cellStyle name="20% - 强调文字颜色 1 9 5 2" xfId="1360" xr:uid="{50EC1977-6B3E-4016-9732-D4F05FD8CD32}"/>
    <cellStyle name="20% - 强调文字颜色 1 9 6" xfId="1361" xr:uid="{83669CE2-BCD7-45C0-A951-D46F31C5BF57}"/>
    <cellStyle name="20% - 强调文字颜色 1 9 7" xfId="9466" xr:uid="{DA577F9A-1D55-4E50-960F-47AA02A1A3EC}"/>
    <cellStyle name="20% - 强调文字颜色 1 9 8" xfId="13304" xr:uid="{B58C7FDE-6077-4807-A648-1DC6C40C7F75}"/>
    <cellStyle name="20% - 强调文字颜色 1 9 9" xfId="17294" xr:uid="{5EAE4D3D-915A-459C-9C0A-B65F383A9E78}"/>
    <cellStyle name="20% - 强调文字颜色 1 90" xfId="1342" xr:uid="{E351CBFC-54A9-4E42-9C2A-999B66403A62}"/>
    <cellStyle name="20% - 强调文字颜色 1 91" xfId="1349" xr:uid="{D7115217-21A1-42E3-B9FD-00E393E82AD6}"/>
    <cellStyle name="20% - 强调文字颜色 1 92" xfId="9337" xr:uid="{CB279169-6F34-475C-90A5-2E0C0ACAFF76}"/>
    <cellStyle name="20% - 强调文字颜色 1 92 2" xfId="27156" xr:uid="{21F1F4A2-4CF7-4CB7-B931-F95D8E8DE043}"/>
    <cellStyle name="20% - 强调文字颜色 1 93" xfId="9415" xr:uid="{FF499215-0E1A-4BB6-A482-4D6A5E7A9962}"/>
    <cellStyle name="20% - 强调文字颜色 1 94" xfId="13653" xr:uid="{6C434C39-1022-4FF9-854A-2B7793D11235}"/>
    <cellStyle name="20% - 强调文字颜色 1 95" xfId="13434" xr:uid="{29494053-FE30-4B4E-821D-DEC1132BD172}"/>
    <cellStyle name="20% - 强调文字颜色 2" xfId="1362" xr:uid="{E4DD71B9-C9CF-49C4-9D27-F196928B040F}"/>
    <cellStyle name="20% - 强调文字颜色 2 10" xfId="1363" xr:uid="{36E770F8-D392-4C8F-AF9B-0CD8F9A20816}"/>
    <cellStyle name="20% - 强调文字颜色 2 10 2" xfId="734" xr:uid="{42ABB5CF-8D2D-4D57-821B-EF63881F6940}"/>
    <cellStyle name="20% - 强调文字颜色 2 10 2 2" xfId="736" xr:uid="{2B5D3BFD-93AD-4D09-9C5E-4EACC5F66473}"/>
    <cellStyle name="20% - 强调文字颜色 2 10 2 2 2" xfId="17301" xr:uid="{72C9205E-C78F-40AE-943A-BE9DEB783AB3}"/>
    <cellStyle name="20% - 强调文字颜色 2 10 2 3" xfId="9471" xr:uid="{6F110939-F24F-4380-B5AE-BE6CF52FAAF1}"/>
    <cellStyle name="20% - 强调文字颜色 2 10 2 4" xfId="17300" xr:uid="{FD8F9322-96F6-4D9E-A25E-0B95AF85F477}"/>
    <cellStyle name="20% - 强调文字颜色 2 10 3" xfId="802" xr:uid="{A7D2A6F3-B639-4FE8-842B-8632758C6F51}"/>
    <cellStyle name="20% - 强调文字颜色 2 10 3 2" xfId="9472" xr:uid="{34698A11-0953-4836-9FCE-2F1C96D9A019}"/>
    <cellStyle name="20% - 强调文字颜色 2 10 3 3" xfId="17302" xr:uid="{FC9EC979-4F91-4CD5-B556-46EBD07050C1}"/>
    <cellStyle name="20% - 强调文字颜色 2 10 4" xfId="864" xr:uid="{FC1F77DC-01DA-4B4A-9AD3-EC7451AEB56D}"/>
    <cellStyle name="20% - 强调文字颜色 2 10 4 2" xfId="866" xr:uid="{9E59266D-907B-4CB3-BBF0-14F2BFA8B643}"/>
    <cellStyle name="20% - 强调文字颜色 2 10 4 3" xfId="17303" xr:uid="{99630840-B590-4092-AB6B-FC71BB120ACA}"/>
    <cellStyle name="20% - 强调文字颜色 2 10 5" xfId="1365" xr:uid="{DD090002-7972-48EC-9463-E5DBBDE0C1FF}"/>
    <cellStyle name="20% - 强调文字颜色 2 10 5 2" xfId="1367" xr:uid="{B4B09492-26B3-48C9-9160-17B54FF4ED2C}"/>
    <cellStyle name="20% - 强调文字颜色 2 10 6" xfId="1369" xr:uid="{23D00E94-57A7-4071-8E76-201419173CD3}"/>
    <cellStyle name="20% - 强调文字颜色 2 10 7" xfId="9470" xr:uid="{895085DE-3516-49ED-8DB2-056C3CB174A7}"/>
    <cellStyle name="20% - 强调文字颜色 2 10 8" xfId="13277" xr:uid="{00C55007-7CB3-40BE-9CA6-1ADAEE835CDC}"/>
    <cellStyle name="20% - 强调文字颜色 2 10 9" xfId="17299" xr:uid="{35084AE9-3805-4645-8F4A-F2ED7A10CEA1}"/>
    <cellStyle name="20% - 强调文字颜色 2 11" xfId="1371" xr:uid="{3BB7D62C-C23C-48F0-953B-B841DC476F19}"/>
    <cellStyle name="20% - 强调文字颜色 2 11 2" xfId="1373" xr:uid="{B56C0527-DF92-48F5-B71F-3576F3F6AED3}"/>
    <cellStyle name="20% - 强调文字颜色 2 11 2 2" xfId="1377" xr:uid="{94B7059D-5BD7-4751-B407-8C8EE98A02BC}"/>
    <cellStyle name="20% - 强调文字颜色 2 11 2 2 2" xfId="17306" xr:uid="{AF64DAD8-841D-43AF-B245-F57949BC8068}"/>
    <cellStyle name="20% - 强调文字颜色 2 11 2 3" xfId="9474" xr:uid="{CA2FA89D-793B-4B9A-A522-CE2ADD6E59C3}"/>
    <cellStyle name="20% - 强调文字颜色 2 11 2 4" xfId="17305" xr:uid="{A8307F8A-09F4-45C0-9FAB-87EC5313B890}"/>
    <cellStyle name="20% - 强调文字颜色 2 11 3" xfId="1383" xr:uid="{C5A158F2-29B9-4EEA-9DA8-8EF8A2564A90}"/>
    <cellStyle name="20% - 强调文字颜色 2 11 3 2" xfId="9475" xr:uid="{114151F7-95AE-4569-B20A-C99D915033A7}"/>
    <cellStyle name="20% - 强调文字颜色 2 11 3 3" xfId="17307" xr:uid="{06A0F935-012F-43AB-A649-944E0FCD4AEA}"/>
    <cellStyle name="20% - 强调文字颜色 2 11 4" xfId="1387" xr:uid="{997A8B69-FD9A-402F-814B-B6037424DAF5}"/>
    <cellStyle name="20% - 强调文字颜色 2 11 4 2" xfId="1390" xr:uid="{1580EC21-B838-4866-B480-11BA708D6590}"/>
    <cellStyle name="20% - 强调文字颜色 2 11 4 3" xfId="17308" xr:uid="{B1206B3C-3964-4D7C-BEAC-576BDBDFBA83}"/>
    <cellStyle name="20% - 强调文字颜色 2 11 5" xfId="1393" xr:uid="{667A523A-3FEA-4CFB-8E99-8D78335AF050}"/>
    <cellStyle name="20% - 强调文字颜色 2 11 5 2" xfId="1396" xr:uid="{59796CD3-0294-467E-8295-2D6E75B4FF9D}"/>
    <cellStyle name="20% - 强调文字颜色 2 11 6" xfId="1399" xr:uid="{8C06261B-AF9C-4D87-B1AB-47BE6C0D86EC}"/>
    <cellStyle name="20% - 强调文字颜色 2 11 7" xfId="9473" xr:uid="{792B31F9-EDE7-4C15-8703-0F31B7157369}"/>
    <cellStyle name="20% - 强调文字颜色 2 11 8" xfId="13264" xr:uid="{76475F5D-203C-4E8C-838D-C223ED50813F}"/>
    <cellStyle name="20% - 强调文字颜色 2 11 9" xfId="17304" xr:uid="{2A090E0D-1D38-4202-9646-EB5B83B949FA}"/>
    <cellStyle name="20% - 强调文字颜色 2 12" xfId="1403" xr:uid="{AF29E4E1-7549-4DB8-91F7-4E40662BC4A1}"/>
    <cellStyle name="20% - 强调文字颜色 2 12 2" xfId="1405" xr:uid="{5A87EB93-22FE-43B2-9239-DE5CB2153860}"/>
    <cellStyle name="20% - 强调文字颜色 2 12 2 2" xfId="1407" xr:uid="{E63AFE6C-7157-4386-AAC5-2D84A9F87498}"/>
    <cellStyle name="20% - 强调文字颜色 2 12 2 2 2" xfId="17311" xr:uid="{075555EB-F41E-4048-9F14-BB1FF45782B4}"/>
    <cellStyle name="20% - 强调文字颜色 2 12 2 3" xfId="9477" xr:uid="{E3E36584-A15E-4F44-B926-47BA05A9872A}"/>
    <cellStyle name="20% - 强调文字颜色 2 12 2 4" xfId="17310" xr:uid="{72C306D8-B336-4621-B73B-ED23D7046212}"/>
    <cellStyle name="20% - 强调文字颜色 2 12 3" xfId="1409" xr:uid="{46C8A2E6-877C-424C-95AA-74D1D6E1A229}"/>
    <cellStyle name="20% - 强调文字颜色 2 12 3 2" xfId="9478" xr:uid="{BCFA1862-9311-4521-808F-8EDF22915A08}"/>
    <cellStyle name="20% - 强调文字颜色 2 12 3 3" xfId="17312" xr:uid="{DF95B8C7-9AEF-4CBA-93E8-DFBD1FE37ACF}"/>
    <cellStyle name="20% - 强调文字颜色 2 12 4" xfId="1411" xr:uid="{A3FAE42C-72EF-4FD8-A2DA-FA89704542B6}"/>
    <cellStyle name="20% - 强调文字颜色 2 12 4 2" xfId="1413" xr:uid="{54A945FE-7B2A-4035-B6E1-F4E4C904E935}"/>
    <cellStyle name="20% - 强调文字颜色 2 12 4 3" xfId="17313" xr:uid="{6D7E5564-6EFC-4EDD-A390-E791D5DEFD51}"/>
    <cellStyle name="20% - 强调文字颜色 2 12 5" xfId="1416" xr:uid="{43450B00-5EAE-4379-89FC-9B1AFF41BA17}"/>
    <cellStyle name="20% - 强调文字颜色 2 12 5 2" xfId="1418" xr:uid="{43860046-DEE1-4A25-96AA-B00228166B80}"/>
    <cellStyle name="20% - 强调文字颜色 2 12 6" xfId="1421" xr:uid="{FB709A41-8B1D-4E1D-B2A0-AD7102AE331C}"/>
    <cellStyle name="20% - 强调文字颜色 2 12 7" xfId="9476" xr:uid="{CD0ACCFD-1AD5-4827-94AF-E6611EEF3BB9}"/>
    <cellStyle name="20% - 强调文字颜色 2 12 8" xfId="13251" xr:uid="{EE06DEED-9725-4F9F-A7A1-8AEF7A84423C}"/>
    <cellStyle name="20% - 强调文字颜色 2 12 9" xfId="17309" xr:uid="{3996B767-1448-44A4-9CD7-DB047A69A39D}"/>
    <cellStyle name="20% - 强调文字颜色 2 13" xfId="1425" xr:uid="{BD56381C-9FD6-4689-A109-D759F54ABC37}"/>
    <cellStyle name="20% - 强调文字颜色 2 13 2" xfId="1427" xr:uid="{E7FED4F6-BA76-4294-BAE9-2ED6444EAF0F}"/>
    <cellStyle name="20% - 强调文字颜色 2 13 2 2" xfId="1429" xr:uid="{6662667E-5DB1-40ED-A848-5BD284A733EA}"/>
    <cellStyle name="20% - 强调文字颜色 2 13 2 2 2" xfId="17316" xr:uid="{3FC51513-B20C-49F5-BC53-6D5BA356048E}"/>
    <cellStyle name="20% - 强调文字颜色 2 13 2 3" xfId="9480" xr:uid="{6E49946C-5804-4905-BABC-2D7929101777}"/>
    <cellStyle name="20% - 强调文字颜色 2 13 2 4" xfId="17315" xr:uid="{E04AE403-E980-420F-954B-1BF89C708CD7}"/>
    <cellStyle name="20% - 强调文字颜色 2 13 3" xfId="1431" xr:uid="{2B677A09-334C-4932-AC0A-84EB02075131}"/>
    <cellStyle name="20% - 强调文字颜色 2 13 3 2" xfId="9481" xr:uid="{F32AF718-B1A9-4C81-81F5-FEE95F5A2F11}"/>
    <cellStyle name="20% - 强调文字颜色 2 13 3 3" xfId="17317" xr:uid="{9E2AB82C-0564-4A22-BA69-8E9431ED2AC9}"/>
    <cellStyle name="20% - 强调文字颜色 2 13 4" xfId="1433" xr:uid="{F9AFE3B6-E7F5-42AC-94F4-6DA0CD5E5A51}"/>
    <cellStyle name="20% - 强调文字颜色 2 13 4 2" xfId="1435" xr:uid="{CAB2353A-10BC-4418-805C-0D9FC3FE41AB}"/>
    <cellStyle name="20% - 强调文字颜色 2 13 4 3" xfId="17318" xr:uid="{978FD6FD-B5DB-4366-BA34-36506B7C9DB5}"/>
    <cellStyle name="20% - 强调文字颜色 2 13 5" xfId="1437" xr:uid="{7A7727F2-096C-43E8-81F9-F4CF9D697719}"/>
    <cellStyle name="20% - 强调文字颜色 2 13 5 2" xfId="1439" xr:uid="{49479351-0EAF-4A9F-AD95-203A4C53A326}"/>
    <cellStyle name="20% - 强调文字颜色 2 13 6" xfId="1441" xr:uid="{2878C2A3-AFB1-4E87-BAB9-E27E6D80A148}"/>
    <cellStyle name="20% - 强调文字颜色 2 13 7" xfId="9479" xr:uid="{7E447058-959E-45AA-9762-782D892BC875}"/>
    <cellStyle name="20% - 强调文字颜色 2 13 8" xfId="13238" xr:uid="{0B0C2CB0-F6EA-4872-8F3C-61E1D241FEE1}"/>
    <cellStyle name="20% - 强调文字颜色 2 13 9" xfId="17314" xr:uid="{4710F61C-2B59-4456-B1DB-A7DF46D4AA40}"/>
    <cellStyle name="20% - 强调文字颜色 2 14" xfId="1446" xr:uid="{C16F6768-1AC0-4BF3-BAA4-F64D7750DC29}"/>
    <cellStyle name="20% - 强调文字颜色 2 14 2" xfId="1449" xr:uid="{B6A93919-1FEF-4AF8-A816-53510BFC6EAF}"/>
    <cellStyle name="20% - 强调文字颜色 2 14 2 2" xfId="1452" xr:uid="{49A38E42-0525-4E26-AFE1-544DE5CAD1A8}"/>
    <cellStyle name="20% - 强调文字颜色 2 14 2 2 2" xfId="17321" xr:uid="{80D147F4-7BB6-47DA-B620-CA0A16883944}"/>
    <cellStyle name="20% - 强调文字颜色 2 14 2 3" xfId="9483" xr:uid="{EF920638-82A1-4A25-AAD1-7551AE3C1B5C}"/>
    <cellStyle name="20% - 强调文字颜色 2 14 2 4" xfId="17320" xr:uid="{D0DE533D-D915-45BC-B310-3F84DF799910}"/>
    <cellStyle name="20% - 强调文字颜色 2 14 3" xfId="1454" xr:uid="{46B3E6FC-121D-49B5-9DEC-34F42F8274C0}"/>
    <cellStyle name="20% - 强调文字颜色 2 14 3 2" xfId="9484" xr:uid="{7B071E21-86C6-4660-8416-96B030ED2694}"/>
    <cellStyle name="20% - 强调文字颜色 2 14 3 3" xfId="17322" xr:uid="{35A79B32-14BB-432D-8C1A-FB0920A79CFC}"/>
    <cellStyle name="20% - 强调文字颜色 2 14 4" xfId="1456" xr:uid="{3D70BA37-3783-498D-AE9C-28157EA0CE6C}"/>
    <cellStyle name="20% - 强调文字颜色 2 14 4 2" xfId="1458" xr:uid="{C7165DA4-EFFE-411F-9C97-1C32A427D392}"/>
    <cellStyle name="20% - 强调文字颜色 2 14 4 3" xfId="17323" xr:uid="{26164A9A-05C7-45F0-8255-BDD65CF46271}"/>
    <cellStyle name="20% - 强调文字颜色 2 14 5" xfId="1460" xr:uid="{C9D9034B-D153-4226-B05C-E7DACD9B7CBD}"/>
    <cellStyle name="20% - 强调文字颜色 2 14 5 2" xfId="1462" xr:uid="{1E3E06C9-FDE7-457B-B0C2-D475EE707BAC}"/>
    <cellStyle name="20% - 强调文字颜色 2 14 6" xfId="1467" xr:uid="{609310D6-1995-41D4-82B6-C2BD50F22AC8}"/>
    <cellStyle name="20% - 强调文字颜色 2 14 7" xfId="9482" xr:uid="{C45DC2C8-9972-4016-8A8C-7AA75B0E4AB7}"/>
    <cellStyle name="20% - 强调文字颜色 2 14 8" xfId="13225" xr:uid="{5927FBAA-3AA9-4FF4-9A97-4012534194E3}"/>
    <cellStyle name="20% - 强调文字颜色 2 14 9" xfId="17319" xr:uid="{83CEF02B-F0D3-4B7C-AB91-061A4048B3C9}"/>
    <cellStyle name="20% - 强调文字颜色 2 15" xfId="1471" xr:uid="{84136301-A07C-48AF-BA30-C28456C5FC54}"/>
    <cellStyle name="20% - 强调文字颜色 2 15 2" xfId="1475" xr:uid="{88D73C25-7618-409E-88F7-B3A5799C2B2C}"/>
    <cellStyle name="20% - 强调文字颜色 2 15 2 2" xfId="9486" xr:uid="{26490652-F67B-4F3A-85F0-2A1D659D8235}"/>
    <cellStyle name="20% - 强调文字颜色 2 15 2 2 2" xfId="17326" xr:uid="{3D00F474-6119-4A06-AE32-81D60D281584}"/>
    <cellStyle name="20% - 强调文字颜色 2 15 2 3" xfId="17325" xr:uid="{242AE6ED-BCB9-4462-80E1-F4826E856160}"/>
    <cellStyle name="20% - 强调文字颜色 2 15 3" xfId="1480" xr:uid="{05261CA1-8275-47B7-9BD8-D0F7C570C29F}"/>
    <cellStyle name="20% - 强调文字颜色 2 15 3 2" xfId="1483" xr:uid="{CD556994-CDDC-4E18-A45E-D63943B8EF8B}"/>
    <cellStyle name="20% - 强调文字颜色 2 15 3 3" xfId="9487" xr:uid="{FA341255-629F-464C-B570-111F45381F69}"/>
    <cellStyle name="20% - 强调文字颜色 2 15 3 4" xfId="17327" xr:uid="{CD4F4DCA-AA42-4734-A424-BD3CECEAAB06}"/>
    <cellStyle name="20% - 强调文字颜色 2 15 4" xfId="1486" xr:uid="{8F7F92DA-F81E-4C24-9C8B-66AD7C9D871B}"/>
    <cellStyle name="20% - 强调文字颜色 2 15 4 2" xfId="1489" xr:uid="{EC284FAF-55DD-4F59-B71E-41D8A544BFD5}"/>
    <cellStyle name="20% - 强调文字颜色 2 15 4 3" xfId="17328" xr:uid="{7CCFEC2B-DF89-404B-BD83-482DDECA8700}"/>
    <cellStyle name="20% - 强调文字颜色 2 15 5" xfId="1492" xr:uid="{8E8072C6-8676-4329-BAA4-8B79B379873B}"/>
    <cellStyle name="20% - 强调文字颜色 2 15 6" xfId="9485" xr:uid="{50706354-1763-4C88-A415-51A3FF840C1C}"/>
    <cellStyle name="20% - 强调文字颜色 2 15 7" xfId="13212" xr:uid="{2C677C0B-B94E-4881-B6AE-7EF572738C25}"/>
    <cellStyle name="20% - 强调文字颜色 2 15 8" xfId="17324" xr:uid="{9D578D56-2F6C-4678-8FCC-6501CE991D45}"/>
    <cellStyle name="20% - 强调文字颜色 2 16" xfId="1495" xr:uid="{5E3BEE4D-030B-4BAF-BF5C-C3CA94DFA617}"/>
    <cellStyle name="20% - 强调文字颜色 2 16 2" xfId="1500" xr:uid="{60E7ED98-98FA-422C-A2A5-955B8FF6F97E}"/>
    <cellStyle name="20% - 强调文字颜色 2 16 2 2" xfId="9489" xr:uid="{C2216EED-38C5-4996-A385-B17E65A442DB}"/>
    <cellStyle name="20% - 强调文字颜色 2 16 2 2 2" xfId="17331" xr:uid="{F0374DF2-AB33-422E-81A9-31C7F2FECEAD}"/>
    <cellStyle name="20% - 强调文字颜色 2 16 2 3" xfId="17330" xr:uid="{F487AE13-8238-4595-918A-62526DB89FE4}"/>
    <cellStyle name="20% - 强调文字颜色 2 16 3" xfId="1506" xr:uid="{4DA1D2A2-6F72-4747-9363-C513F7ED5BF2}"/>
    <cellStyle name="20% - 强调文字颜色 2 16 3 2" xfId="1509" xr:uid="{1A81F0B4-8E3F-46AA-BBA0-C35F7799664D}"/>
    <cellStyle name="20% - 强调文字颜色 2 16 3 3" xfId="9490" xr:uid="{DB24F62E-46A8-4761-9F27-6C6776C15C3C}"/>
    <cellStyle name="20% - 强调文字颜色 2 16 3 4" xfId="17332" xr:uid="{133A5EFD-DE01-428D-8668-F7635253FACE}"/>
    <cellStyle name="20% - 强调文字颜色 2 16 4" xfId="1513" xr:uid="{53963555-1660-4092-9A1A-62566BD87832}"/>
    <cellStyle name="20% - 强调文字颜色 2 16 4 2" xfId="1515" xr:uid="{3EB22440-D201-4292-8497-AE70765D9F99}"/>
    <cellStyle name="20% - 强调文字颜色 2 16 4 3" xfId="17333" xr:uid="{1DBAC55F-2AB9-43ED-B757-5EF0EECC5C35}"/>
    <cellStyle name="20% - 强调文字颜色 2 16 5" xfId="1518" xr:uid="{53EAF41B-A288-4C29-B415-7DB90B7A8046}"/>
    <cellStyle name="20% - 强调文字颜色 2 16 6" xfId="9488" xr:uid="{E516D65C-889B-494A-9FF1-48621D2D60D7}"/>
    <cellStyle name="20% - 强调文字颜色 2 16 7" xfId="13193" xr:uid="{7E689363-4F98-4083-9EFE-E2FDEC27523E}"/>
    <cellStyle name="20% - 强调文字颜色 2 16 8" xfId="17329" xr:uid="{C15DC8AA-6ECC-4789-B3E7-785C0F67FF81}"/>
    <cellStyle name="20% - 强调文字颜色 2 17" xfId="1520" xr:uid="{6F9243BB-EE81-4B71-8BAE-E031A74CB2FA}"/>
    <cellStyle name="20% - 强调文字颜色 2 17 2" xfId="1524" xr:uid="{C8E1B155-04E7-4CD1-8999-EDCA8466435B}"/>
    <cellStyle name="20% - 强调文字颜色 2 17 2 2" xfId="1530" xr:uid="{55CE25C7-CD74-4F2A-97B4-4CDE9B06E323}"/>
    <cellStyle name="20% - 强调文字颜色 2 17 2 2 2" xfId="17336" xr:uid="{29A37C89-F7CE-4225-A74E-A39713C1E1D9}"/>
    <cellStyle name="20% - 强调文字颜色 2 17 2 3" xfId="9492" xr:uid="{F031D06D-20CE-498D-B0EF-40930F8BFDB7}"/>
    <cellStyle name="20% - 强调文字颜色 2 17 2 4" xfId="17335" xr:uid="{6ABF1716-B73B-4D3E-BD3A-927E3E134246}"/>
    <cellStyle name="20% - 强调文字颜色 2 17 3" xfId="1537" xr:uid="{31E61758-3B07-45EC-8543-C1E2BBF3C5A6}"/>
    <cellStyle name="20% - 强调文字颜色 2 17 3 2" xfId="1541" xr:uid="{087F54E9-A0C2-49D3-BD8E-6E71D6A5EB4B}"/>
    <cellStyle name="20% - 强调文字颜色 2 17 3 3" xfId="9493" xr:uid="{E5E7B210-5DB8-429E-AC5E-F35D6E3E7584}"/>
    <cellStyle name="20% - 强调文字颜色 2 17 3 4" xfId="17337" xr:uid="{E26FF090-21F0-420B-B209-4D2EDC126463}"/>
    <cellStyle name="20% - 强调文字颜色 2 17 4" xfId="9491" xr:uid="{FDA7A304-EE5F-4D7C-AB62-394ABA249E4E}"/>
    <cellStyle name="20% - 强调文字颜色 2 17 4 2" xfId="17338" xr:uid="{C61BC1F1-619B-42BE-A5F6-09587B816668}"/>
    <cellStyle name="20% - 强调文字颜色 2 17 5" xfId="13184" xr:uid="{8C6639D7-EE0D-4C6D-9750-2EE36941FB40}"/>
    <cellStyle name="20% - 强调文字颜色 2 17 6" xfId="17334" xr:uid="{47F46E27-B808-429F-A4FE-987CE1CF8DB4}"/>
    <cellStyle name="20% - 强调文字颜色 2 18" xfId="1545" xr:uid="{0CAA6929-4796-44D4-A973-8FDBE5F0BD0F}"/>
    <cellStyle name="20% - 强调文字颜色 2 18 2" xfId="1549" xr:uid="{3B8EE6EA-A8BF-4126-BFE2-7F9870972DDF}"/>
    <cellStyle name="20% - 强调文字颜色 2 18 2 2" xfId="1554" xr:uid="{32A4CB6E-4195-403D-A4A5-34F125672633}"/>
    <cellStyle name="20% - 强调文字颜色 2 18 2 2 2" xfId="17341" xr:uid="{2FD53701-9749-4E73-9243-B0C038F816B9}"/>
    <cellStyle name="20% - 强调文字颜色 2 18 2 3" xfId="17340" xr:uid="{F7B7AD13-3C42-44B0-98A5-EF5CDA059377}"/>
    <cellStyle name="20% - 强调文字颜色 2 18 3" xfId="1561" xr:uid="{CFA37D4D-6918-41AF-B213-3A4AB5FB2B4E}"/>
    <cellStyle name="20% - 强调文字颜色 2 18 3 2" xfId="1564" xr:uid="{EBF311EA-4DD0-448D-9078-449AEF7CB95C}"/>
    <cellStyle name="20% - 强调文字颜色 2 18 3 3" xfId="17342" xr:uid="{AC46E0F2-C737-4B42-A6CC-C6C8C707F4EC}"/>
    <cellStyle name="20% - 强调文字颜色 2 18 4" xfId="9494" xr:uid="{0399B1A1-583B-4683-A591-52CF918473A2}"/>
    <cellStyle name="20% - 强调文字颜色 2 18 4 2" xfId="17343" xr:uid="{76D24C12-6DC6-4FEA-8F13-15B69CED9BB2}"/>
    <cellStyle name="20% - 强调文字颜色 2 18 5" xfId="13171" xr:uid="{261DED5A-3025-4593-9E8C-194FD1C1256D}"/>
    <cellStyle name="20% - 强调文字颜色 2 18 6" xfId="17339" xr:uid="{998E1476-E9CF-442D-97B4-F70615EB1DFC}"/>
    <cellStyle name="20% - 强调文字颜色 2 19" xfId="1568" xr:uid="{02CC7750-65DD-4FB8-AB45-F8627F0821CC}"/>
    <cellStyle name="20% - 强调文字颜色 2 19 2" xfId="1572" xr:uid="{D2A556B3-8B20-47B0-91C2-25D9DA6D87FC}"/>
    <cellStyle name="20% - 强调文字颜色 2 19 2 2" xfId="1575" xr:uid="{F666FF9F-62C0-4C1C-BA25-245B0772C365}"/>
    <cellStyle name="20% - 强调文字颜色 2 19 2 2 2" xfId="17346" xr:uid="{47AF1BD5-264C-49ED-A8EA-F20F1934B35F}"/>
    <cellStyle name="20% - 强调文字颜色 2 19 2 3" xfId="17345" xr:uid="{A4932B82-B0B6-4538-AB67-F7A24E2EE9F9}"/>
    <cellStyle name="20% - 强调文字颜色 2 19 3" xfId="9495" xr:uid="{65464ED2-0964-4CB4-A5CE-9DBE44E6B55C}"/>
    <cellStyle name="20% - 强调文字颜色 2 19 3 2" xfId="17347" xr:uid="{08917A60-B9A0-434D-9797-93B81E980DC6}"/>
    <cellStyle name="20% - 强调文字颜色 2 19 4" xfId="13154" xr:uid="{80791758-FAB5-47CE-AF09-D5545B685C7A}"/>
    <cellStyle name="20% - 强调文字颜色 2 19 4 2" xfId="17348" xr:uid="{FEF42116-F26E-4E98-8CE4-4D28E4A23C1A}"/>
    <cellStyle name="20% - 强调文字颜色 2 19 5" xfId="17344" xr:uid="{86B79677-D52F-41FC-8DAB-71A9A4FC0D2E}"/>
    <cellStyle name="20% - 强调文字颜色 2 2" xfId="1579" xr:uid="{E4E7EEDD-B416-4E9A-8FBC-2D95B78F631F}"/>
    <cellStyle name="20% - 强调文字颜色 2 2 10" xfId="1581" xr:uid="{577632F6-2149-426E-98B8-EDC69818B572}"/>
    <cellStyle name="20% - 强调文字颜色 2 2 10 2" xfId="1582" xr:uid="{70299F50-2622-4706-A30E-F9A255DC5762}"/>
    <cellStyle name="20% - 强调文字颜色 2 2 11" xfId="1583" xr:uid="{2B9B341E-F8A9-4242-BC75-0ED776FAB9BA}"/>
    <cellStyle name="20% - 强调文字颜色 2 2 11 2" xfId="1584" xr:uid="{21361E6D-C57A-4264-9DD8-7B323F3F4F47}"/>
    <cellStyle name="20% - 强调文字颜色 2 2 12" xfId="1585" xr:uid="{9DEF25A0-C112-4028-BA11-35565B0B053A}"/>
    <cellStyle name="20% - 强调文字颜色 2 2 12 2" xfId="1586" xr:uid="{87EC177A-2D34-4B5E-8685-F92287C07A97}"/>
    <cellStyle name="20% - 强调文字颜色 2 2 13" xfId="1587" xr:uid="{5244D796-2D5B-49DF-8BB2-F7A23DE97765}"/>
    <cellStyle name="20% - 强调文字颜色 2 2 13 2" xfId="1588" xr:uid="{E36A966C-AA06-4F44-BC8A-98E8B06479C8}"/>
    <cellStyle name="20% - 强调文字颜色 2 2 14" xfId="1589" xr:uid="{DCA0031D-A75A-4227-BC4C-DA30AB3E89BF}"/>
    <cellStyle name="20% - 强调文字颜色 2 2 14 2" xfId="1590" xr:uid="{8A96FFF0-E81A-4315-9390-7AECF7E500C7}"/>
    <cellStyle name="20% - 强调文字颜色 2 2 15" xfId="1591" xr:uid="{745DD19C-9D29-4151-83E0-D571F169C314}"/>
    <cellStyle name="20% - 强调文字颜色 2 2 15 2" xfId="1593" xr:uid="{7FD202D5-F56A-46D1-9868-E987A78A2BDE}"/>
    <cellStyle name="20% - 强调文字颜色 2 2 16" xfId="1595" xr:uid="{B5C36704-CDD5-4C74-82B1-5416B0178DA5}"/>
    <cellStyle name="20% - 强调文字颜色 2 2 17" xfId="1597" xr:uid="{EE1C8D5B-9837-41FC-95A4-A39C2982615D}"/>
    <cellStyle name="20% - 强调文字颜色 2 2 17 2" xfId="75" xr:uid="{93034D35-8A1C-4B33-8361-0C40046088FA}"/>
    <cellStyle name="20% - 强调文字颜色 2 2 18" xfId="1600" xr:uid="{00748EC6-EC63-4F12-B5FA-1010D92EE432}"/>
    <cellStyle name="20% - 强调文字颜色 2 2 18 2" xfId="1602" xr:uid="{E655D024-792E-40B9-A837-EA0EED625CE7}"/>
    <cellStyle name="20% - 强调文字颜色 2 2 19" xfId="1603" xr:uid="{47FF9654-9AC6-4B17-A015-0B1A6FDF2C0D}"/>
    <cellStyle name="20% - 强调文字颜色 2 2 2" xfId="1604" xr:uid="{3E420369-C15C-491E-8DCE-2987DD521EA7}"/>
    <cellStyle name="20% - 强调文字颜色 2 2 2 10" xfId="1607" xr:uid="{A14EDCF0-0A89-4C9E-BA3B-72A97E70A8C7}"/>
    <cellStyle name="20% - 强调文字颜色 2 2 2 10 2" xfId="1609" xr:uid="{A76C5452-961A-4354-9763-C3DA39AA2B1D}"/>
    <cellStyle name="20% - 强调文字颜色 2 2 2 11" xfId="1610" xr:uid="{66BE104D-4D34-4B00-83E9-39BE531758E5}"/>
    <cellStyle name="20% - 强调文字颜色 2 2 2 11 2" xfId="1094" xr:uid="{1087B99D-27C5-4154-9A5A-7E4392FA27B7}"/>
    <cellStyle name="20% - 强调文字颜色 2 2 2 12" xfId="1611" xr:uid="{5FBCEAA7-E4FD-4CEA-A350-6B7E73D41326}"/>
    <cellStyle name="20% - 强调文字颜色 2 2 2 12 2" xfId="1153" xr:uid="{F5DF7356-1FBB-4F79-A09C-989428C43116}"/>
    <cellStyle name="20% - 强调文字颜色 2 2 2 13" xfId="1612" xr:uid="{3321D3A3-D0DB-44BE-AEAA-957E9FD73082}"/>
    <cellStyle name="20% - 强调文字颜色 2 2 2 13 2" xfId="1183" xr:uid="{0064E1FC-A288-4716-8D2E-0AFEAFB459A9}"/>
    <cellStyle name="20% - 强调文字颜色 2 2 2 14" xfId="1613" xr:uid="{93F546EF-6967-467D-AAD5-1250B8DC9CC1}"/>
    <cellStyle name="20% - 强调文字颜色 2 2 2 14 2" xfId="192" xr:uid="{C4B8EE4F-A508-47DE-BBBF-A8A504E46C2B}"/>
    <cellStyle name="20% - 强调文字颜色 2 2 2 15" xfId="1614" xr:uid="{0A386F7C-FCAC-4BA8-8965-36AC6C75ED91}"/>
    <cellStyle name="20% - 强调文字颜色 2 2 2 15 2" xfId="1241" xr:uid="{9BB81D73-426B-4902-ABDE-BAB32D379812}"/>
    <cellStyle name="20% - 强调文字颜色 2 2 2 16" xfId="9497" xr:uid="{8835062B-F653-466C-810E-0A485DADE441}"/>
    <cellStyle name="20% - 强调文字颜色 2 2 2 17" xfId="13356" xr:uid="{DC4C9EE8-64B8-4C9F-AFBE-8069738F776F}"/>
    <cellStyle name="20% - 强调文字颜色 2 2 2 18" xfId="17349" xr:uid="{C1273ACB-A4FE-49CF-AE36-66BC28FE0177}"/>
    <cellStyle name="20% - 强调文字颜色 2 2 2 19" xfId="27283" xr:uid="{53E74BCD-6696-43FD-A613-6BD7225544A9}"/>
    <cellStyle name="20% - 强调文字颜色 2 2 2 2" xfId="1615" xr:uid="{C8AD0507-56BB-4111-94C4-3A33A76EFDCF}"/>
    <cellStyle name="20% - 强调文字颜色 2 2 2 2 2" xfId="17350" xr:uid="{A8D90A2E-DB1E-416C-A1AD-4D0E666C3DED}"/>
    <cellStyle name="20% - 强调文字颜色 2 2 2 3" xfId="1617" xr:uid="{97652F54-A5B9-4977-A892-FC63A9C86951}"/>
    <cellStyle name="20% - 强调文字颜色 2 2 2 4" xfId="1618" xr:uid="{CCB47DA7-E8C9-40C0-807C-B4EA548871BD}"/>
    <cellStyle name="20% - 强调文字颜色 2 2 2 4 2" xfId="648" xr:uid="{E8DE9913-73BC-4538-AA96-4396EDD3BE58}"/>
    <cellStyle name="20% - 强调文字颜色 2 2 2 5" xfId="1619" xr:uid="{3979EF0D-402F-42E6-872E-C3B38612C89D}"/>
    <cellStyle name="20% - 强调文字颜色 2 2 2 5 2" xfId="657" xr:uid="{0BF9C8F5-453E-4B6C-9F83-4F998FE4AD36}"/>
    <cellStyle name="20% - 强调文字颜色 2 2 2 6" xfId="1620" xr:uid="{ED17461F-74AD-499C-81BB-9F1C9986494B}"/>
    <cellStyle name="20% - 强调文字颜色 2 2 2 6 2" xfId="853" xr:uid="{8FC359BA-861B-4D34-AA4D-F0A70D55D777}"/>
    <cellStyle name="20% - 强调文字颜色 2 2 2 7" xfId="1621" xr:uid="{B7E00E7E-F8C2-4610-B83E-AF526B3E9FC0}"/>
    <cellStyle name="20% - 强调文字颜色 2 2 2 7 2" xfId="889" xr:uid="{1BA3EC28-0325-4BBD-B60A-0252D057FAE8}"/>
    <cellStyle name="20% - 强调文字颜色 2 2 2 8" xfId="1622" xr:uid="{5355071C-11B4-4D6D-A492-C09C2E786557}"/>
    <cellStyle name="20% - 强调文字颜色 2 2 2 8 2" xfId="1623" xr:uid="{7E4C9AA8-23C9-4CFD-A89D-3E2ACF22FB2F}"/>
    <cellStyle name="20% - 强调文字颜色 2 2 2 9" xfId="1624" xr:uid="{6AFBA9D8-B8D7-4787-B1BA-491782222327}"/>
    <cellStyle name="20% - 强调文字颜色 2 2 2 9 2" xfId="1625" xr:uid="{36E2CB1A-14FE-45B4-98C4-CD71DD7E09B4}"/>
    <cellStyle name="20% - 强调文字颜色 2 2 20" xfId="1592" xr:uid="{A053EE23-DDF2-4BB7-8BED-7E4B98AB0E06}"/>
    <cellStyle name="20% - 强调文字颜色 2 2 20 2" xfId="1594" xr:uid="{230D3B57-62E4-473D-845A-B8B60521539A}"/>
    <cellStyle name="20% - 强调文字颜色 2 2 21" xfId="1596" xr:uid="{9C5CBB79-DFCD-4ACA-9BFB-420044797911}"/>
    <cellStyle name="20% - 强调文字颜色 2 2 21 2" xfId="1626" xr:uid="{4AFF00A5-6371-4EB4-A214-8F541D554E58}"/>
    <cellStyle name="20% - 强调文字颜色 2 2 22" xfId="9496" xr:uid="{277FAC3A-A4C2-41D7-9296-75401D4399AC}"/>
    <cellStyle name="20% - 强调文字颜色 2 2 23" xfId="13415" xr:uid="{7864965D-263B-45DF-A4CA-B008831ABB37}"/>
    <cellStyle name="20% - 强调文字颜色 2 2 24" xfId="12406" xr:uid="{02D97E8C-BD80-4A15-87A2-96F20CDC1ED6}"/>
    <cellStyle name="20% - 强调文字颜色 2 2 3" xfId="1627" xr:uid="{8FA5970D-ECE0-49B3-969D-F7B391B09839}"/>
    <cellStyle name="20% - 强调文字颜色 2 2 3 2" xfId="9498" xr:uid="{2193E673-07EA-4F73-89CC-E2C3A74E6B0B}"/>
    <cellStyle name="20% - 强调文字颜色 2 2 3 2 2" xfId="17352" xr:uid="{1C1F5ADB-940B-4EB1-90A0-F9022139CB21}"/>
    <cellStyle name="20% - 强调文字颜色 2 2 3 3" xfId="13335" xr:uid="{96E2D86E-8689-445A-AA5E-583575BAB342}"/>
    <cellStyle name="20% - 强调文字颜色 2 2 3 4" xfId="12332" xr:uid="{116B7E74-4105-4572-A7C6-9F7058563C00}"/>
    <cellStyle name="20% - 强调文字颜色 2 2 3 5" xfId="17351" xr:uid="{5C3D13FC-9E13-47EE-BCF5-562400B873D4}"/>
    <cellStyle name="20% - 强调文字颜色 2 2 3 6" xfId="27284" xr:uid="{4DC2974B-81C9-4CD0-9705-9B415DEB7FE7}"/>
    <cellStyle name="20% - 强调文字颜色 2 2 4" xfId="1629" xr:uid="{689FA227-7DB0-4E54-9023-857CAE9214A8}"/>
    <cellStyle name="20% - 强调文字颜色 2 2 4 2" xfId="1631" xr:uid="{ACEB114C-5CF1-42EB-A2D3-57C9A6091091}"/>
    <cellStyle name="20% - 强调文字颜色 2 2 4 3" xfId="13316" xr:uid="{99DF9E23-B538-4761-85B7-0D9ECC40A003}"/>
    <cellStyle name="20% - 强调文字颜色 2 2 4 4" xfId="17353" xr:uid="{C0E63590-F9B3-41BB-A4F6-5DEA30D0405C}"/>
    <cellStyle name="20% - 强调文字颜色 2 2 4 5" xfId="27670" xr:uid="{944F8E33-027F-4CE0-8CE8-9AC0A173F327}"/>
    <cellStyle name="20% - 强调文字颜色 2 2 5" xfId="1634" xr:uid="{9BAF0DE4-34DE-4F8E-AD85-F1F00EBD2BE9}"/>
    <cellStyle name="20% - 强调文字颜色 2 2 5 2" xfId="1637" xr:uid="{ECCD2CFD-25A6-42E4-A75A-ABC8E4D7480E}"/>
    <cellStyle name="20% - 强调文字颜色 2 2 5 3" xfId="17354" xr:uid="{713A9E93-8991-45CE-A757-048E1E2BFB95}"/>
    <cellStyle name="20% - 强调文字颜色 2 2 6" xfId="1476" xr:uid="{3793D2AD-21CE-42E3-B9FE-732E54C20331}"/>
    <cellStyle name="20% - 强调文字颜色 2 2 6 2" xfId="1638" xr:uid="{6BD95459-EA96-4C57-BF92-AC1EABFF2176}"/>
    <cellStyle name="20% - 强调文字颜色 2 2 6 3" xfId="17355" xr:uid="{C3BAD912-E1B5-4232-92E3-027C062C81F0}"/>
    <cellStyle name="20% - 强调文字颜色 2 2 7" xfId="1481" xr:uid="{2EB20166-1102-4FF3-BD19-863FFD98139D}"/>
    <cellStyle name="20% - 强调文字颜色 2 2 7 2" xfId="1484" xr:uid="{7F7DE956-714B-4B7C-A138-FD332D80AED3}"/>
    <cellStyle name="20% - 强调文字颜色 2 2 7 3" xfId="17356" xr:uid="{09FB8676-D465-4CB4-B24E-875BB322711D}"/>
    <cellStyle name="20% - 强调文字颜色 2 2 8" xfId="1487" xr:uid="{5E1AF81E-7E81-49BA-ADE2-7B265A142696}"/>
    <cellStyle name="20% - 强调文字颜色 2 2 8 2" xfId="1490" xr:uid="{A289C56B-6B7E-49C9-B069-9E29FE30A13D}"/>
    <cellStyle name="20% - 强调文字颜色 2 2 9" xfId="1493" xr:uid="{7B0EA4F7-94D7-4389-93AD-5D47699DBE0C}"/>
    <cellStyle name="20% - 强调文字颜色 2 2 9 2" xfId="1608" xr:uid="{148E6179-9AF2-42BF-BCC9-3617D1EAD242}"/>
    <cellStyle name="20% - 强调文字颜色 2 2_动力部" xfId="17357" xr:uid="{1FFD6975-6A0F-4CE7-AEA7-F164A9D97F2A}"/>
    <cellStyle name="20% - 强调文字颜色 2 20" xfId="1472" xr:uid="{8C86426B-5DA4-4384-98AB-571C790CBB0F}"/>
    <cellStyle name="20% - 强调文字颜色 2 20 2" xfId="1477" xr:uid="{E314C851-9D5D-4099-B16E-07E2BD3FC161}"/>
    <cellStyle name="20% - 强调文字颜色 2 20 2 2" xfId="1639" xr:uid="{CFADBA16-CE4E-4AB2-BE0C-D0C250DAB0E3}"/>
    <cellStyle name="20% - 强调文字颜色 2 20 2 2 2" xfId="17360" xr:uid="{523376D6-02C6-4FD8-98D5-51EDC6F5C70A}"/>
    <cellStyle name="20% - 强调文字颜色 2 20 2 3" xfId="17359" xr:uid="{82C9CCA5-B573-491C-ACDB-D5690F96BEF8}"/>
    <cellStyle name="20% - 强调文字颜色 2 20 3" xfId="9499" xr:uid="{4472B3D2-0938-4867-8697-60108ED2AFA3}"/>
    <cellStyle name="20% - 强调文字颜色 2 20 3 2" xfId="17361" xr:uid="{78970D76-4F0D-4232-BA0B-850F7AE75C54}"/>
    <cellStyle name="20% - 强调文字颜色 2 20 4" xfId="13145" xr:uid="{644EAF51-8165-4BE1-B370-4DB939AC89B3}"/>
    <cellStyle name="20% - 强调文字颜色 2 20 4 2" xfId="17362" xr:uid="{1407C8AB-27C7-448B-B42B-316558F3E0F3}"/>
    <cellStyle name="20% - 强调文字颜色 2 20 5" xfId="17358" xr:uid="{2F95960E-E11D-4F3A-9D9D-BB618175CC52}"/>
    <cellStyle name="20% - 强调文字颜色 2 21" xfId="1496" xr:uid="{AA6DB50E-2415-488F-B240-7B2A70822072}"/>
    <cellStyle name="20% - 强调文字颜色 2 21 2" xfId="1501" xr:uid="{CD5D286E-38F6-4B7B-99DB-E7EACCF35981}"/>
    <cellStyle name="20% - 强调文字颜色 2 21 2 2" xfId="1641" xr:uid="{1837108B-9062-43BC-AD7C-CDAA4E2178A7}"/>
    <cellStyle name="20% - 强调文字颜色 2 21 2 2 2" xfId="17365" xr:uid="{4B907B95-F3B9-456A-AB92-C8B6BAD2F400}"/>
    <cellStyle name="20% - 强调文字颜色 2 21 2 3" xfId="17364" xr:uid="{9BF7BB2C-522F-4FA1-9AE7-D2DFF2DDF45B}"/>
    <cellStyle name="20% - 强调文字颜色 2 21 3" xfId="9500" xr:uid="{B0A4184A-CC42-4B98-BA01-E60F4557358D}"/>
    <cellStyle name="20% - 强调文字颜色 2 21 3 2" xfId="17366" xr:uid="{460BD223-BC86-47FB-B433-563D9317EBD9}"/>
    <cellStyle name="20% - 强调文字颜色 2 21 4" xfId="13131" xr:uid="{B1231D6D-0A47-48F9-801F-10E94429AE6E}"/>
    <cellStyle name="20% - 强调文字颜色 2 21 4 2" xfId="17367" xr:uid="{E0F7B6FC-ACCD-4CC6-ACEA-4BCB4C91CE98}"/>
    <cellStyle name="20% - 强调文字颜色 2 21 5" xfId="17363" xr:uid="{0C99C56C-08D5-4027-9657-3477EF9F8747}"/>
    <cellStyle name="20% - 强调文字颜色 2 22" xfId="1521" xr:uid="{BD3BC3FD-41DE-4D90-A828-DC7B6411657E}"/>
    <cellStyle name="20% - 强调文字颜色 2 22 2" xfId="1525" xr:uid="{E6B2ABA0-93D2-4B9E-B8EB-FA5205C3E5D5}"/>
    <cellStyle name="20% - 强调文字颜色 2 22 2 2" xfId="1531" xr:uid="{853B20A1-DB78-44EB-B9B5-F4B0365FE274}"/>
    <cellStyle name="20% - 强调文字颜色 2 22 2 2 2" xfId="17370" xr:uid="{C1AA7267-CF2E-4A28-80C5-F8E39A652966}"/>
    <cellStyle name="20% - 强调文字颜色 2 22 2 3" xfId="17369" xr:uid="{790FCE17-AC5E-4B22-AB0F-98E3B0ABD76C}"/>
    <cellStyle name="20% - 强调文字颜色 2 22 3" xfId="9501" xr:uid="{FD59943E-3FA7-4DA6-860B-A90D872571D6}"/>
    <cellStyle name="20% - 强调文字颜色 2 22 3 2" xfId="17371" xr:uid="{ED5BFA76-E36A-4A58-8DC2-8E029CB0A5CC}"/>
    <cellStyle name="20% - 强调文字颜色 2 22 4" xfId="13118" xr:uid="{0D004532-1044-46A2-B866-889A6F3184B6}"/>
    <cellStyle name="20% - 强调文字颜色 2 22 4 2" xfId="17372" xr:uid="{E9F3EE79-4906-4754-8C64-76CF0223703B}"/>
    <cellStyle name="20% - 强调文字颜色 2 22 5" xfId="17368" xr:uid="{E131C717-E2B3-4CD2-A1C8-6DEA2CC09230}"/>
    <cellStyle name="20% - 强调文字颜色 2 23" xfId="1546" xr:uid="{8BA5D0E2-5000-42B8-B4EC-A67BF583BE6D}"/>
    <cellStyle name="20% - 强调文字颜色 2 23 2" xfId="1550" xr:uid="{379555AA-D7BE-42FB-AA23-A22E562FBC83}"/>
    <cellStyle name="20% - 强调文字颜色 2 23 2 2" xfId="1555" xr:uid="{BA92C48B-60C6-4433-85C4-5FC2EA25751E}"/>
    <cellStyle name="20% - 强调文字颜色 2 23 2 2 2" xfId="17375" xr:uid="{62D53C86-BEBC-40FD-8B20-BCB8447AD7C1}"/>
    <cellStyle name="20% - 强调文字颜色 2 23 2 3" xfId="17374" xr:uid="{1177D1D8-007E-4605-8B9E-07DCCA1DFB88}"/>
    <cellStyle name="20% - 强调文字颜色 2 23 3" xfId="13066" xr:uid="{ABC52C43-039D-4500-B002-2D6FFC54DD71}"/>
    <cellStyle name="20% - 强调文字颜色 2 23 3 2" xfId="17376" xr:uid="{F78015C6-39B0-4A1E-A7F3-C81621527E85}"/>
    <cellStyle name="20% - 强调文字颜色 2 23 4" xfId="17377" xr:uid="{BA23A4B4-5CB6-4200-A9FC-FD77DDC8887F}"/>
    <cellStyle name="20% - 强调文字颜色 2 23 5" xfId="17373" xr:uid="{FB9C75A6-696E-45C6-B861-B5CDBB59A014}"/>
    <cellStyle name="20% - 强调文字颜色 2 24" xfId="1569" xr:uid="{FF36DB61-614B-49AF-BA85-DD2F84846040}"/>
    <cellStyle name="20% - 强调文字颜色 2 24 2" xfId="13041" xr:uid="{90E60A42-AB76-4A75-A05C-8EE4BDBEDB5B}"/>
    <cellStyle name="20% - 强调文字颜色 2 24 2 2" xfId="17380" xr:uid="{6CC6BD66-3DA7-4308-9F23-705A4139BDD3}"/>
    <cellStyle name="20% - 强调文字颜色 2 24 2 3" xfId="17379" xr:uid="{E66E18BB-C114-4F7A-B69F-D4AB4340D633}"/>
    <cellStyle name="20% - 强调文字颜色 2 24 3" xfId="17381" xr:uid="{D063997A-BD77-44F6-A8C2-516A23D5D90F}"/>
    <cellStyle name="20% - 强调文字颜色 2 24 4" xfId="17382" xr:uid="{EDDF450E-1817-42AF-9263-3C70AB4DFFFB}"/>
    <cellStyle name="20% - 强调文字颜色 2 24 5" xfId="17378" xr:uid="{8B4520B6-E1BC-49EC-ADEB-4118E407EBFE}"/>
    <cellStyle name="20% - 强调文字颜色 2 25" xfId="1646" xr:uid="{59BA020A-C18C-4CBE-B2C4-B59489E709C8}"/>
    <cellStyle name="20% - 强调文字颜色 2 25 2" xfId="13028" xr:uid="{C777543D-811D-45B1-9CF2-37FBED4610F0}"/>
    <cellStyle name="20% - 强调文字颜色 2 25 2 2" xfId="17385" xr:uid="{637B5DF8-1645-405B-B532-51EBB0EE3461}"/>
    <cellStyle name="20% - 强调文字颜色 2 25 2 3" xfId="17384" xr:uid="{41FD1DC0-1D2D-4D61-9858-07F37F5D9C58}"/>
    <cellStyle name="20% - 强调文字颜色 2 25 3" xfId="17386" xr:uid="{BA1C3634-3F7E-448F-BFB5-517456D824FB}"/>
    <cellStyle name="20% - 强调文字颜色 2 25 4" xfId="17387" xr:uid="{53E76481-CFB9-4F03-B45E-7856AA428A04}"/>
    <cellStyle name="20% - 强调文字颜色 2 25 5" xfId="17383" xr:uid="{9AC11E83-2070-4CDA-8B8C-43AD929121C2}"/>
    <cellStyle name="20% - 强调文字颜色 2 26" xfId="1650" xr:uid="{06A1A74E-6FCA-42BF-B11D-CD1B36ADAA20}"/>
    <cellStyle name="20% - 强调文字颜色 2 26 2" xfId="17389" xr:uid="{93E7508A-A20B-4D91-BAC1-25DAD8FB0C73}"/>
    <cellStyle name="20% - 强调文字颜色 2 26 2 2" xfId="17390" xr:uid="{D4CD80BC-0143-4381-BCBC-69067CC4EAC2}"/>
    <cellStyle name="20% - 强调文字颜色 2 26 3" xfId="17391" xr:uid="{06BFFDB5-9AC2-4A68-9D9A-25D01CC3B693}"/>
    <cellStyle name="20% - 强调文字颜色 2 26 4" xfId="17392" xr:uid="{C1B1141C-53FE-43BF-865E-28590EA1F03A}"/>
    <cellStyle name="20% - 强调文字颜色 2 26 5" xfId="17388" xr:uid="{FD10B0FF-6681-48CB-9B7E-806D67719745}"/>
    <cellStyle name="20% - 强调文字颜色 2 27" xfId="1654" xr:uid="{FD748C47-6439-4B58-85D0-7D1881E22859}"/>
    <cellStyle name="20% - 强调文字颜色 2 27 2" xfId="17394" xr:uid="{015035C2-E632-47C5-A75B-7AB39EC556CF}"/>
    <cellStyle name="20% - 强调文字颜色 2 27 2 2" xfId="17395" xr:uid="{1B1B0D0F-A16A-4E20-856F-4444A18144A8}"/>
    <cellStyle name="20% - 强调文字颜色 2 27 3" xfId="17396" xr:uid="{5B0F336A-B024-4F0F-AEBF-70F96955611B}"/>
    <cellStyle name="20% - 强调文字颜色 2 27 4" xfId="17397" xr:uid="{36717A4E-0DCF-43FA-8592-879DB52B58F0}"/>
    <cellStyle name="20% - 强调文字颜色 2 27 5" xfId="17393" xr:uid="{A2EBC729-8F19-471D-AF0C-6E51AF79B4A7}"/>
    <cellStyle name="20% - 强调文字颜色 2 28" xfId="1660" xr:uid="{D7E8752D-321C-44C8-A6C4-82CEF05D7CD7}"/>
    <cellStyle name="20% - 强调文字颜色 2 28 2" xfId="17399" xr:uid="{9DD008C8-B9A3-45EC-8453-E7A69B5EDE64}"/>
    <cellStyle name="20% - 强调文字颜色 2 28 3" xfId="17400" xr:uid="{CE0B41A4-4AB2-4046-B12B-00512FBA9F78}"/>
    <cellStyle name="20% - 强调文字颜色 2 28 4" xfId="17401" xr:uid="{61E0FDCB-C228-46F4-8888-B1391E6AE639}"/>
    <cellStyle name="20% - 强调文字颜色 2 28 5" xfId="17398" xr:uid="{A506F1D4-4107-40F8-ACBD-7A654B35BE4F}"/>
    <cellStyle name="20% - 强调文字颜色 2 29" xfId="1664" xr:uid="{50C1113F-09D1-4DFF-8224-F6B86FE1EE3C}"/>
    <cellStyle name="20% - 强调文字颜色 2 29 2" xfId="17403" xr:uid="{BABF5D8C-E434-484C-A8E7-419D9A8F319A}"/>
    <cellStyle name="20% - 强调文字颜色 2 29 3" xfId="17404" xr:uid="{9DD39F52-9213-420D-B15D-C1F76C89D6F6}"/>
    <cellStyle name="20% - 强调文字颜色 2 29 4" xfId="17405" xr:uid="{B35A41B3-E7C5-4DB2-8F31-AE3AB10ADC4D}"/>
    <cellStyle name="20% - 强调文字颜色 2 29 5" xfId="17402" xr:uid="{691B08A5-D0FB-433B-922A-95ED0BBA7CE6}"/>
    <cellStyle name="20% - 强调文字颜色 2 3" xfId="515" xr:uid="{F9BE7ABE-E024-450A-80A4-29C69C4EE5BF}"/>
    <cellStyle name="20% - 强调文字颜色 2 3 10" xfId="1668" xr:uid="{503A2EFD-F43C-437C-A8CD-18F5A3CC194A}"/>
    <cellStyle name="20% - 强调文字颜色 2 3 10 2" xfId="1669" xr:uid="{28A8A1DC-A375-4383-BA28-EB2B9B79884E}"/>
    <cellStyle name="20% - 强调文字颜色 2 3 11" xfId="1670" xr:uid="{7724B1C2-EEB2-45D0-882A-BA4B2BBBD291}"/>
    <cellStyle name="20% - 强调文字颜色 2 3 11 2" xfId="1671" xr:uid="{AD944B70-BE02-40A6-AB7A-0983BDB30E58}"/>
    <cellStyle name="20% - 强调文字颜色 2 3 12" xfId="1672" xr:uid="{91E4A567-E133-40DA-8348-903C91EC2764}"/>
    <cellStyle name="20% - 强调文字颜色 2 3 13" xfId="1673" xr:uid="{B8106334-0AC4-4B2C-985C-27E73E9992D6}"/>
    <cellStyle name="20% - 强调文字颜色 2 3 13 2" xfId="1675" xr:uid="{88C7A4E1-A133-4280-A8FA-15E06C6AF005}"/>
    <cellStyle name="20% - 强调文字颜色 2 3 14" xfId="1676" xr:uid="{6F211E98-F343-49D0-8612-6D4317576B3D}"/>
    <cellStyle name="20% - 强调文字颜色 2 3 14 2" xfId="1677" xr:uid="{DD2857F4-24BB-4B33-8C34-C4261744F948}"/>
    <cellStyle name="20% - 强调文字颜色 2 3 15" xfId="1678" xr:uid="{81AB7BD7-E839-46AD-9448-E775B35A1371}"/>
    <cellStyle name="20% - 强调文字颜色 2 3 16" xfId="9502" xr:uid="{97281849-C45E-4745-8D85-0B84F6A02D80}"/>
    <cellStyle name="20% - 强调文字颜色 2 3 17" xfId="13405" xr:uid="{1DF61D1A-BF70-4AAA-BB0A-EF9CE90F9FB6}"/>
    <cellStyle name="20% - 强调文字颜色 2 3 18" xfId="17406" xr:uid="{1ED96BC3-272A-47E5-81BA-B89E051F56BA}"/>
    <cellStyle name="20% - 强调文字颜色 2 3 2" xfId="635" xr:uid="{594ED6ED-0EBF-4C53-96D0-8DB61C5EFBB9}"/>
    <cellStyle name="20% - 强调文字颜色 2 3 2 2" xfId="1681" xr:uid="{24354D9A-4F36-4E3E-8DED-FCAE246C5748}"/>
    <cellStyle name="20% - 强调文字颜色 2 3 2 3" xfId="9503" xr:uid="{E6303942-7B5A-45E0-8D0F-3DD23D81E4B8}"/>
    <cellStyle name="20% - 强调文字颜色 2 3 2 4" xfId="17407" xr:uid="{05495B3C-879A-47C6-86A8-B2C978465F6A}"/>
    <cellStyle name="20% - 强调文字颜色 2 3 2 5" xfId="27285" xr:uid="{E2779836-6B58-4F70-9818-3CEFF59672B8}"/>
    <cellStyle name="20% - 强调文字颜色 2 3 3" xfId="1688" xr:uid="{75ACA8DA-7264-4889-93BC-C5EC27E1DB7E}"/>
    <cellStyle name="20% - 强调文字颜色 2 3 3 2" xfId="1696" xr:uid="{119AA9C5-F04D-4A10-BD92-4F881B0E8B23}"/>
    <cellStyle name="20% - 强调文字颜色 2 3 3 2 2" xfId="17409" xr:uid="{E78C6E13-3C65-4AAF-B489-9AB5BD2B4CD7}"/>
    <cellStyle name="20% - 强调文字颜色 2 3 3 3" xfId="9504" xr:uid="{C1DCB282-80A5-4D90-BA34-025CE85D63D3}"/>
    <cellStyle name="20% - 强调文字颜色 2 3 3 4" xfId="17408" xr:uid="{36474121-612A-4F5E-A0B2-541176783682}"/>
    <cellStyle name="20% - 强调文字颜色 2 3 3 5" xfId="27286" xr:uid="{8DC45CF0-3E70-47DC-9F53-10E86F2D2219}"/>
    <cellStyle name="20% - 强调文字颜色 2 3 4" xfId="1699" xr:uid="{168F5420-D36E-4B79-B5FE-57161E5F9F0D}"/>
    <cellStyle name="20% - 强调文字颜色 2 3 4 2" xfId="1702" xr:uid="{F49C6D24-A3F2-48AC-9D2D-0E0757E9F539}"/>
    <cellStyle name="20% - 强调文字颜色 2 3 4 3" xfId="17410" xr:uid="{AF2AB060-2FAC-42DC-B608-B89555EE1283}"/>
    <cellStyle name="20% - 强调文字颜色 2 3 4 4" xfId="27671" xr:uid="{54B3F6B2-0CA2-4B02-B0FF-6C8E3388AAC9}"/>
    <cellStyle name="20% - 强调文字颜色 2 3 5" xfId="1705" xr:uid="{9BB2D83D-9A2A-47C5-AE26-DF81FDACE13B}"/>
    <cellStyle name="20% - 强调文字颜色 2 3 5 2" xfId="1709" xr:uid="{9E975E34-769D-43DE-99A8-F15B75315B0B}"/>
    <cellStyle name="20% - 强调文字颜色 2 3 5 3" xfId="17411" xr:uid="{28918F3C-9FD2-459B-B92D-CD9C5577521F}"/>
    <cellStyle name="20% - 强调文字颜色 2 3 6" xfId="1502" xr:uid="{640EE2A3-8F6C-4550-BC67-FF635A6A6906}"/>
    <cellStyle name="20% - 强调文字颜色 2 3 6 2" xfId="1642" xr:uid="{A1098FD8-4DAC-478B-A9B0-1419E50EBC57}"/>
    <cellStyle name="20% - 强调文字颜色 2 3 7" xfId="1507" xr:uid="{F3E2A7E4-BD97-422E-9494-367D4AFBED31}"/>
    <cellStyle name="20% - 强调文字颜色 2 3 7 2" xfId="1510" xr:uid="{093A6FA8-5B93-444B-B559-A1FD5EA13500}"/>
    <cellStyle name="20% - 强调文字颜色 2 3 8" xfId="1514" xr:uid="{9694ECC3-0976-41F6-BEA4-DA686A9C14AC}"/>
    <cellStyle name="20% - 强调文字颜色 2 3 8 2" xfId="1516" xr:uid="{692A613A-D1F6-4E4C-B7B8-0A5C4A55DCAC}"/>
    <cellStyle name="20% - 强调文字颜色 2 3 9" xfId="1519" xr:uid="{55106A32-03F8-4D16-AD04-4F927724BECA}"/>
    <cellStyle name="20% - 强调文字颜色 2 30" xfId="1647" xr:uid="{A7E08B68-9FF6-4A47-9EBE-57599AB16B14}"/>
    <cellStyle name="20% - 强调文字颜色 2 30 2" xfId="17413" xr:uid="{D8EE35F4-1BCE-41C6-B737-0048E2A55F00}"/>
    <cellStyle name="20% - 强调文字颜色 2 30 3" xfId="17414" xr:uid="{13A79A6C-A8CE-4BD2-B9F7-DC6F11C73243}"/>
    <cellStyle name="20% - 强调文字颜色 2 30 4" xfId="17415" xr:uid="{EDD6245F-CC68-4534-B14B-048E2C5FBD97}"/>
    <cellStyle name="20% - 强调文字颜色 2 30 5" xfId="17412" xr:uid="{853090A0-4AE1-4BAD-9090-79CD919419D1}"/>
    <cellStyle name="20% - 强调文字颜色 2 31" xfId="1651" xr:uid="{7389F6A0-502C-4A4E-BB62-58E45A5B0A2D}"/>
    <cellStyle name="20% - 强调文字颜色 2 31 2" xfId="17417" xr:uid="{42500360-83F7-429D-8E05-A61A8D4462F1}"/>
    <cellStyle name="20% - 强调文字颜色 2 31 3" xfId="17418" xr:uid="{F5E9B303-D2DE-458C-B03C-7DDAB43C8DA4}"/>
    <cellStyle name="20% - 强调文字颜色 2 31 4" xfId="17419" xr:uid="{62635506-413A-4607-8F9C-0A0D53DB6486}"/>
    <cellStyle name="20% - 强调文字颜色 2 31 5" xfId="17416" xr:uid="{890004FA-12AF-4E8C-AEDA-BEAB9525CC60}"/>
    <cellStyle name="20% - 强调文字颜色 2 32" xfId="1655" xr:uid="{1C785A32-D892-4664-BDB4-6BC8B955879C}"/>
    <cellStyle name="20% - 强调文字颜色 2 32 2" xfId="17421" xr:uid="{7949037E-CA96-4BD8-95E7-797AEF72A5F4}"/>
    <cellStyle name="20% - 强调文字颜色 2 32 3" xfId="17422" xr:uid="{821252E4-69A3-4C87-8B7D-9EA19EF067BA}"/>
    <cellStyle name="20% - 强调文字颜色 2 32 4" xfId="17423" xr:uid="{0B1DE319-2A34-4BC3-81E4-4E6A61B00653}"/>
    <cellStyle name="20% - 强调文字颜色 2 32 5" xfId="17420" xr:uid="{ECF4063D-5B1E-49C6-9F3E-14E25612C4F5}"/>
    <cellStyle name="20% - 强调文字颜色 2 33" xfId="1661" xr:uid="{C3EDA5E5-FDB1-4486-BB65-75AB17B8DE7F}"/>
    <cellStyle name="20% - 强调文字颜色 2 33 2" xfId="17425" xr:uid="{FBD8980D-F723-443B-939D-A788C446F131}"/>
    <cellStyle name="20% - 强调文字颜色 2 33 3" xfId="17426" xr:uid="{E0FF18FC-B8DA-40A9-A961-62FFD056A7C6}"/>
    <cellStyle name="20% - 强调文字颜色 2 33 4" xfId="17427" xr:uid="{4FE728B2-6156-48EA-9911-EE69352AF21E}"/>
    <cellStyle name="20% - 强调文字颜色 2 33 5" xfId="17424" xr:uid="{A3598EF9-8A86-45CC-935E-A4DF52802B61}"/>
    <cellStyle name="20% - 强调文字颜色 2 34" xfId="1665" xr:uid="{203D461A-CA92-4633-90EA-B6D26275668D}"/>
    <cellStyle name="20% - 强调文字颜色 2 34 2" xfId="12024" xr:uid="{83C9F259-E3C7-403D-BBA2-4DE27E5B5822}"/>
    <cellStyle name="20% - 强调文字颜色 2 34 2 2" xfId="17429" xr:uid="{953568A5-5E4F-418C-A4E0-F49B2CD12DF2}"/>
    <cellStyle name="20% - 强调文字颜色 2 34 3" xfId="17430" xr:uid="{5C3520FF-B6BA-4E9E-9579-7C7AEFB51052}"/>
    <cellStyle name="20% - 强调文字颜色 2 34 4" xfId="17431" xr:uid="{5B4F2513-AB3A-44B2-BFEC-E73ABE4A212E}"/>
    <cellStyle name="20% - 强调文字颜色 2 34 5" xfId="17428" xr:uid="{6FEF86D5-3A81-4379-B1BC-F52F24B3EC68}"/>
    <cellStyle name="20% - 强调文字颜色 2 35" xfId="1712" xr:uid="{6C411733-22E9-465F-9046-7D9B99409F54}"/>
    <cellStyle name="20% - 强调文字颜色 2 35 2" xfId="12025" xr:uid="{884B7248-2371-49C6-A962-A53B6C786D23}"/>
    <cellStyle name="20% - 强调文字颜色 2 35 2 2" xfId="17433" xr:uid="{E1EC19E5-31FD-43D9-8870-3D3B5577BB16}"/>
    <cellStyle name="20% - 强调文字颜色 2 35 3" xfId="17434" xr:uid="{74D1FA51-4C2A-4175-A4BC-6C7A23F7FEEB}"/>
    <cellStyle name="20% - 强调文字颜色 2 35 4" xfId="17432" xr:uid="{A5A4A98E-27DD-4633-8AC0-4FFCC250ED94}"/>
    <cellStyle name="20% - 强调文字颜色 2 36" xfId="1716" xr:uid="{32CB6B3D-7281-4EE3-9D81-7D5B9348C180}"/>
    <cellStyle name="20% - 强调文字颜色 2 36 2" xfId="12026" xr:uid="{B569484B-C414-42F9-B5AD-9A4E149F47D2}"/>
    <cellStyle name="20% - 强调文字颜色 2 36 2 2" xfId="17436" xr:uid="{4903A01C-6EFD-4379-B8FF-DEE0FA235D37}"/>
    <cellStyle name="20% - 强调文字颜色 2 36 3" xfId="17437" xr:uid="{427060F6-1489-43E9-A911-486D0409271D}"/>
    <cellStyle name="20% - 强调文字颜色 2 36 4" xfId="17435" xr:uid="{4FA66BAE-0A47-47F0-8648-3FC51783D045}"/>
    <cellStyle name="20% - 强调文字颜色 2 37" xfId="1720" xr:uid="{CD3DDC43-C127-40E9-B4B1-175B7DBFE668}"/>
    <cellStyle name="20% - 强调文字颜色 2 37 2" xfId="12027" xr:uid="{99597CF4-3884-41CE-A14A-5D933F9E00F6}"/>
    <cellStyle name="20% - 强调文字颜色 2 37 2 2" xfId="17439" xr:uid="{E18458A5-FAED-4AAF-A427-69EDBCB96910}"/>
    <cellStyle name="20% - 强调文字颜色 2 37 3" xfId="17440" xr:uid="{D42C7E16-D96F-4906-A8B6-FFA8704706D3}"/>
    <cellStyle name="20% - 强调文字颜色 2 37 4" xfId="17438" xr:uid="{B2F6032E-7CEA-4C48-A985-4B7C65D9741F}"/>
    <cellStyle name="20% - 强调文字颜色 2 38" xfId="1724" xr:uid="{9A64ADB5-0796-4283-9CA0-CBEB9D6E8B7F}"/>
    <cellStyle name="20% - 强调文字颜色 2 38 10" xfId="17442" xr:uid="{ADB3FA3A-AB58-46D7-B0E6-EA8647B93108}"/>
    <cellStyle name="20% - 强调文字颜色 2 38 11" xfId="17443" xr:uid="{CAA2ED98-57DD-4E16-9A1C-CD0E0480D81E}"/>
    <cellStyle name="20% - 强调文字颜色 2 38 12" xfId="17444" xr:uid="{8A96B98B-7678-4827-969A-50148DDE5C8C}"/>
    <cellStyle name="20% - 强调文字颜色 2 38 13" xfId="17445" xr:uid="{430C795D-616E-41F1-B895-780F936E43E1}"/>
    <cellStyle name="20% - 强调文字颜色 2 38 14" xfId="17446" xr:uid="{A40F70C4-CFCC-4FA3-A95C-8B6512D3710A}"/>
    <cellStyle name="20% - 强调文字颜色 2 38 15" xfId="17441" xr:uid="{7A70A8C1-BBF2-4586-9A67-7374AB9014CF}"/>
    <cellStyle name="20% - 强调文字颜色 2 38 2" xfId="12028" xr:uid="{7382E890-DEC8-41FF-BA19-F6BEF8BDA077}"/>
    <cellStyle name="20% - 强调文字颜色 2 38 2 2" xfId="17447" xr:uid="{71ACC755-D893-436E-8B89-188359E6A0DF}"/>
    <cellStyle name="20% - 强调文字颜色 2 38 3" xfId="17448" xr:uid="{8D3C1AA6-281B-40C5-8B41-EDDEB88FA070}"/>
    <cellStyle name="20% - 强调文字颜色 2 38 4" xfId="17449" xr:uid="{A373610D-C0A6-405E-BB65-20DCEC373070}"/>
    <cellStyle name="20% - 强调文字颜色 2 38 5" xfId="17450" xr:uid="{D9A3DA0B-11E8-4EA0-B068-7F0EDA3D428A}"/>
    <cellStyle name="20% - 强调文字颜色 2 38 6" xfId="17451" xr:uid="{FD27B657-FBA8-4D8D-811E-02EC791C2A57}"/>
    <cellStyle name="20% - 强调文字颜色 2 38 7" xfId="17452" xr:uid="{154C476D-B410-4274-82A9-30F3EF5981B1}"/>
    <cellStyle name="20% - 强调文字颜色 2 38 8" xfId="17453" xr:uid="{4329B465-BF3D-4B32-8D6B-437E831BBD39}"/>
    <cellStyle name="20% - 强调文字颜色 2 38 9" xfId="17454" xr:uid="{21658A9F-DFE0-4585-A884-9E47F444FEC6}"/>
    <cellStyle name="20% - 强调文字颜色 2 39" xfId="1728" xr:uid="{3187DB5E-B986-46CA-8CCF-5241E1E08FF2}"/>
    <cellStyle name="20% - 强调文字颜色 2 39 2" xfId="12029" xr:uid="{CB14D6A8-7003-4C77-9B40-2521A40E0D60}"/>
    <cellStyle name="20% - 强调文字颜色 2 39 2 2" xfId="17456" xr:uid="{88605C6A-803C-4CCF-83CD-1A5D5E49A601}"/>
    <cellStyle name="20% - 强调文字颜色 2 39 3" xfId="17457" xr:uid="{F147DEB2-8C7D-4744-8B78-1914EA8CF9A6}"/>
    <cellStyle name="20% - 强调文字颜色 2 39 4" xfId="17455" xr:uid="{890EA029-184E-46EB-8185-A4FA1AD9281D}"/>
    <cellStyle name="20% - 强调文字颜色 2 4" xfId="355" xr:uid="{B503BD3B-F8E6-46E2-BD16-170B894B15ED}"/>
    <cellStyle name="20% - 强调文字颜色 2 4 10" xfId="1732" xr:uid="{177BB2AA-4905-4520-AF50-DD3F6FEC04C4}"/>
    <cellStyle name="20% - 强调文字颜色 2 4 10 2" xfId="1733" xr:uid="{5329B694-75F4-4B77-A9FB-099A2555C3F8}"/>
    <cellStyle name="20% - 强调文字颜色 2 4 11" xfId="1734" xr:uid="{BD0E74E5-95EF-4592-9D74-33BECEB1825B}"/>
    <cellStyle name="20% - 强调文字颜色 2 4 11 2" xfId="1736" xr:uid="{463C6A9B-1EFF-4228-AC59-C709C3936A62}"/>
    <cellStyle name="20% - 强调文字颜色 2 4 12" xfId="1738" xr:uid="{9EA186A9-378A-4CA8-989D-B7F26EC120D0}"/>
    <cellStyle name="20% - 强调文字颜色 2 4 13" xfId="1740" xr:uid="{BB803701-2303-4A92-A2BA-8F4F240CB7E6}"/>
    <cellStyle name="20% - 强调文字颜色 2 4 13 2" xfId="1743" xr:uid="{AE11B90A-A6E3-459F-A596-D3032D8C0FE3}"/>
    <cellStyle name="20% - 强调文字颜色 2 4 14" xfId="1745" xr:uid="{1C63C2CC-DBC4-4405-9D65-42B1669B6225}"/>
    <cellStyle name="20% - 强调文字颜色 2 4 14 2" xfId="1747" xr:uid="{289046FD-74DD-407A-AF98-BD6877D8B631}"/>
    <cellStyle name="20% - 强调文字颜色 2 4 15" xfId="1749" xr:uid="{8CF31E1E-2C77-4888-A2A2-9C3501FECFF2}"/>
    <cellStyle name="20% - 强调文字颜色 2 4 16" xfId="9505" xr:uid="{26375BAD-E1AF-4AD4-9B2C-3CAB50E93B6E}"/>
    <cellStyle name="20% - 强调文字颜色 2 4 17" xfId="13395" xr:uid="{5BA907FB-B684-490D-BEA2-6286C9221034}"/>
    <cellStyle name="20% - 强调文字颜色 2 4 18" xfId="17458" xr:uid="{EC16F0EC-430D-42D3-9414-8E8DE459913F}"/>
    <cellStyle name="20% - 强调文字颜色 2 4 2" xfId="640" xr:uid="{6C0A7EA3-0284-40CE-BDD2-680E769F1A98}"/>
    <cellStyle name="20% - 强调文字颜色 2 4 2 2" xfId="220" xr:uid="{4FD78E8C-2DD7-46C7-AD30-BDE9E4ABB937}"/>
    <cellStyle name="20% - 强调文字颜色 2 4 2 2 2" xfId="17460" xr:uid="{DF98BEFD-D00F-4E84-A39A-0A3B447D76E3}"/>
    <cellStyle name="20% - 强调文字颜色 2 4 2 3" xfId="9506" xr:uid="{C94158E4-4EC5-4998-B203-9F2599BEFFA0}"/>
    <cellStyle name="20% - 强调文字颜色 2 4 2 4" xfId="17459" xr:uid="{DAC2A44D-6E74-4F54-A783-834B3967DC05}"/>
    <cellStyle name="20% - 强调文字颜色 2 4 3" xfId="1751" xr:uid="{D3BDB584-5231-433D-B413-3468932B3BCA}"/>
    <cellStyle name="20% - 强调文字颜色 2 4 3 2" xfId="237" xr:uid="{EFC0EEA1-FB12-4835-B5E9-04E0C90221C6}"/>
    <cellStyle name="20% - 强调文字颜色 2 4 3 3" xfId="9507" xr:uid="{56DBBCCA-F4E0-4D71-8C5D-5BBDB15BE836}"/>
    <cellStyle name="20% - 强调文字颜色 2 4 3 4" xfId="17461" xr:uid="{AC16F1EE-A484-4ADE-B37E-AED2AB94CFA5}"/>
    <cellStyle name="20% - 强调文字颜色 2 4 4" xfId="1757" xr:uid="{D5AEA855-3242-45E2-A9EE-6FD70064C690}"/>
    <cellStyle name="20% - 强调文字颜色 2 4 4 2" xfId="251" xr:uid="{5D4BC228-AD34-4617-8B35-F3093D41FC33}"/>
    <cellStyle name="20% - 强调文字颜色 2 4 4 3" xfId="17462" xr:uid="{3FCFD8F7-A6F2-432E-B53D-0A8FACAA5DFA}"/>
    <cellStyle name="20% - 强调文字颜色 2 4 5" xfId="1760" xr:uid="{98FC02F4-7F51-4C34-A163-39E8E43D2CA1}"/>
    <cellStyle name="20% - 强调文字颜色 2 4 5 2" xfId="286" xr:uid="{9E485377-F45C-4586-BA42-B81420B8A3B7}"/>
    <cellStyle name="20% - 强调文字颜色 2 4 6" xfId="1526" xr:uid="{B2C888B0-504C-44AE-A172-2DC2B871925F}"/>
    <cellStyle name="20% - 强调文字颜色 2 4 6 2" xfId="1532" xr:uid="{C49831A9-3313-4202-890D-7817BCD4FFFA}"/>
    <cellStyle name="20% - 强调文字颜色 2 4 7" xfId="1538" xr:uid="{354026C2-16D9-49A4-9ACF-4A39E62EE261}"/>
    <cellStyle name="20% - 强调文字颜色 2 4 7 2" xfId="1542" xr:uid="{6B324BA9-FCF7-48D2-B686-93183C550168}"/>
    <cellStyle name="20% - 强调文字颜色 2 4 8" xfId="1764" xr:uid="{5F94CC75-8AAF-4F5E-A582-0F8CF10FC0A7}"/>
    <cellStyle name="20% - 强调文字颜色 2 4 8 2" xfId="1765" xr:uid="{352DC21D-D66C-4861-852F-3A7FED6E9410}"/>
    <cellStyle name="20% - 强调文字颜色 2 4 9" xfId="1769" xr:uid="{E472FEB5-9E67-45C0-8AA1-1D4D87BAD831}"/>
    <cellStyle name="20% - 强调文字颜色 2 40" xfId="1713" xr:uid="{77267949-717A-4297-8874-55D5428195D4}"/>
    <cellStyle name="20% - 强调文字颜色 2 40 2" xfId="12030" xr:uid="{F7611E00-2F32-4305-AE48-B4D6B05E3D8E}"/>
    <cellStyle name="20% - 强调文字颜色 2 40 2 2" xfId="17464" xr:uid="{FEE41A4F-E1D1-4D32-95EC-35546A9E721D}"/>
    <cellStyle name="20% - 强调文字颜色 2 40 3" xfId="17463" xr:uid="{4345562B-E86F-49DF-9EAA-5A8A1B6A695A}"/>
    <cellStyle name="20% - 强调文字颜色 2 41" xfId="1717" xr:uid="{B11810F4-46E0-4A61-9BBB-1E9198C6E8F0}"/>
    <cellStyle name="20% - 强调文字颜色 2 41 2" xfId="12031" xr:uid="{3EF02680-7771-49D0-BC35-0D78DF89D55C}"/>
    <cellStyle name="20% - 强调文字颜色 2 41 2 2" xfId="17466" xr:uid="{2F29AA8B-58CD-4789-835E-D5962E0628E3}"/>
    <cellStyle name="20% - 强调文字颜色 2 41 3" xfId="17465" xr:uid="{42006264-36F6-4168-AD40-6D75A872D489}"/>
    <cellStyle name="20% - 强调文字颜色 2 42" xfId="1721" xr:uid="{0538E4D0-5544-4988-8B26-65A10B7001FA}"/>
    <cellStyle name="20% - 强调文字颜色 2 42 2" xfId="12032" xr:uid="{43E5F98B-F739-43E6-ADC1-B8525FB602C7}"/>
    <cellStyle name="20% - 强调文字颜色 2 42 2 2" xfId="17468" xr:uid="{200417BA-DCCA-4D13-B4AB-8A15C74A55E6}"/>
    <cellStyle name="20% - 强调文字颜色 2 42 3" xfId="17467" xr:uid="{CE94AE29-42D3-45C0-BC4D-21CDC1E82E4C}"/>
    <cellStyle name="20% - 强调文字颜色 2 43" xfId="1725" xr:uid="{FBDB2511-7791-4EE8-A736-D389B68D0EC3}"/>
    <cellStyle name="20% - 强调文字颜色 2 43 2" xfId="12033" xr:uid="{03DEE09F-6928-4BC0-BD5E-39057CCF5D7C}"/>
    <cellStyle name="20% - 强调文字颜色 2 43 2 2" xfId="17470" xr:uid="{01835AD8-6559-4DC5-AC03-51930F39523F}"/>
    <cellStyle name="20% - 强调文字颜色 2 43 3" xfId="17469" xr:uid="{43FA6DD8-7BB5-42F3-87F8-19D7ED8DCBBE}"/>
    <cellStyle name="20% - 强调文字颜色 2 44" xfId="1729" xr:uid="{D3D25659-52BE-4519-A6C3-95F90B82141F}"/>
    <cellStyle name="20% - 强调文字颜色 2 44 2" xfId="12034" xr:uid="{4C33B0ED-0216-4073-9E62-A676473277E9}"/>
    <cellStyle name="20% - 强调文字颜色 2 44 2 2" xfId="17472" xr:uid="{1C4B21ED-2E73-4BF3-99AE-6687C5CD1F8A}"/>
    <cellStyle name="20% - 强调文字颜色 2 44 3" xfId="17471" xr:uid="{F0BD24D5-76A6-43E9-9F2D-654DA03B9FE2}"/>
    <cellStyle name="20% - 强调文字颜色 2 45" xfId="1770" xr:uid="{FC7353CA-8B53-4121-8620-FE318CF7D604}"/>
    <cellStyle name="20% - 强调文字颜色 2 45 2" xfId="12035" xr:uid="{E05A2AD0-CEED-4C89-B295-C9D6DA2C6D53}"/>
    <cellStyle name="20% - 强调文字颜色 2 45 2 2" xfId="17474" xr:uid="{46764A6A-0990-4F8C-8F0E-84DED5489992}"/>
    <cellStyle name="20% - 强调文字颜色 2 45 3" xfId="17473" xr:uid="{9815D177-9F11-4C68-9EC1-D281C27FE875}"/>
    <cellStyle name="20% - 强调文字颜色 2 46" xfId="1774" xr:uid="{0560FB64-B6AC-465B-BB4B-E00F7EEA4C45}"/>
    <cellStyle name="20% - 强调文字颜色 2 46 2" xfId="12036" xr:uid="{CAA5AC0C-805E-42BD-A5C3-2A786438E368}"/>
    <cellStyle name="20% - 强调文字颜色 2 46 2 2" xfId="17476" xr:uid="{4C55AD82-6E7D-4D33-A30F-1AA601C9F2D8}"/>
    <cellStyle name="20% - 强调文字颜色 2 46 3" xfId="17475" xr:uid="{BCFCC926-5CE9-4CCC-AD8E-DA4F3B2D63C4}"/>
    <cellStyle name="20% - 强调文字颜色 2 47" xfId="1780" xr:uid="{815C7EDC-1790-4E92-8ACB-AD94A3B25ACA}"/>
    <cellStyle name="20% - 强调文字颜色 2 47 2" xfId="12037" xr:uid="{77CAB824-C833-4AF2-9A3A-02200F347217}"/>
    <cellStyle name="20% - 强调文字颜色 2 47 3" xfId="17477" xr:uid="{D0BE8C9A-35C6-41B7-97E5-42707E91229C}"/>
    <cellStyle name="20% - 强调文字颜色 2 48" xfId="1784" xr:uid="{59BC5251-D3E8-416E-BBC4-D100A8607EA1}"/>
    <cellStyle name="20% - 强调文字颜色 2 48 2" xfId="12038" xr:uid="{04F10606-C420-4575-B642-E8377AD64003}"/>
    <cellStyle name="20% - 强调文字颜色 2 48 3" xfId="17478" xr:uid="{51B15DF3-FFFF-45E3-8DB9-544277E9A59B}"/>
    <cellStyle name="20% - 强调文字颜色 2 49" xfId="1788" xr:uid="{029392C9-4304-4D3E-AD6F-37455CB817C8}"/>
    <cellStyle name="20% - 强调文字颜色 2 49 2" xfId="12039" xr:uid="{AB13286B-3F67-4D60-A3D7-8755B4F9A897}"/>
    <cellStyle name="20% - 强调文字颜色 2 49 3" xfId="17479" xr:uid="{6E92DA3F-49D2-42D6-A5D3-8FAD389F792C}"/>
    <cellStyle name="20% - 强调文字颜色 2 5" xfId="519" xr:uid="{0A92590B-460C-48A2-8ECA-48866E9BF4BE}"/>
    <cellStyle name="20% - 强调文字颜色 2 5 10" xfId="1792" xr:uid="{96622125-BE79-4EB5-B808-6D44A6DE8271}"/>
    <cellStyle name="20% - 强调文字颜色 2 5 10 2" xfId="1793" xr:uid="{C6977CB2-61B7-4867-BCD0-711DCB4FD184}"/>
    <cellStyle name="20% - 强调文字颜色 2 5 11" xfId="1794" xr:uid="{3153276B-6F85-44D0-AC2D-08840DFF97B5}"/>
    <cellStyle name="20% - 强调文字颜色 2 5 11 2" xfId="1795" xr:uid="{2CF634D1-DCF9-46F1-A699-B14A90A3430D}"/>
    <cellStyle name="20% - 强调文字颜色 2 5 12" xfId="1799" xr:uid="{4DF1B471-4730-4B4C-A14E-B656C158644B}"/>
    <cellStyle name="20% - 强调文字颜色 2 5 13" xfId="1800" xr:uid="{14D291D2-D9A5-4F03-B6DF-3A344C22D870}"/>
    <cellStyle name="20% - 强调文字颜色 2 5 13 2" xfId="1801" xr:uid="{854C8271-44B9-428D-8E8A-9541CEEFCB4D}"/>
    <cellStyle name="20% - 强调文字颜色 2 5 14" xfId="1802" xr:uid="{BCE0042A-2EE3-4FF2-8292-5265E2EFC56B}"/>
    <cellStyle name="20% - 强调文字颜色 2 5 14 2" xfId="1803" xr:uid="{694CBE8F-112A-4188-95F6-EF4D42B0F98C}"/>
    <cellStyle name="20% - 强调文字颜色 2 5 15" xfId="1804" xr:uid="{2AD9982A-3538-4B9C-8FEE-ABE3E920ED9D}"/>
    <cellStyle name="20% - 强调文字颜色 2 5 16" xfId="9508" xr:uid="{6F901198-B932-4714-A7F2-81FF960D8284}"/>
    <cellStyle name="20% - 强调文字颜色 2 5 17" xfId="13376" xr:uid="{5A0578F6-2A86-45FC-8CA9-9E744D2B6A98}"/>
    <cellStyle name="20% - 强调文字颜色 2 5 18" xfId="17480" xr:uid="{67AB5E65-CFEC-48F8-822B-A817FF16D9B9}"/>
    <cellStyle name="20% - 强调文字颜色 2 5 2" xfId="644" xr:uid="{E71C9E3B-0D76-48F8-BA00-DF780ADD5B61}"/>
    <cellStyle name="20% - 强调文字颜色 2 5 2 2" xfId="1805" xr:uid="{03118171-6370-4669-8157-8D97DC9EEC19}"/>
    <cellStyle name="20% - 强调文字颜色 2 5 2 2 2" xfId="17482" xr:uid="{1A68A2D9-E7F9-461E-A172-48CF3966B672}"/>
    <cellStyle name="20% - 强调文字颜色 2 5 2 3" xfId="9509" xr:uid="{7B13E947-F170-4207-B186-BFF93D8DA11F}"/>
    <cellStyle name="20% - 强调文字颜色 2 5 2 4" xfId="17481" xr:uid="{38057679-1DC4-4599-802A-C355B8091846}"/>
    <cellStyle name="20% - 强调文字颜色 2 5 3" xfId="1808" xr:uid="{03EECDE9-0306-4D89-9FD4-EF110CDD5724}"/>
    <cellStyle name="20% - 强调文字颜色 2 5 3 2" xfId="1811" xr:uid="{11DB05DE-9C0D-4749-AAE0-19580132150B}"/>
    <cellStyle name="20% - 强调文字颜色 2 5 3 3" xfId="9510" xr:uid="{916D3CF5-8D4B-4C0F-9178-0B3BBE8CEEFB}"/>
    <cellStyle name="20% - 强调文字颜色 2 5 3 4" xfId="17483" xr:uid="{2766892E-898D-4D38-ABB1-7A20C0936915}"/>
    <cellStyle name="20% - 强调文字颜色 2 5 4" xfId="1814" xr:uid="{AB0C8551-6F4E-4E13-A79D-087AF08957D8}"/>
    <cellStyle name="20% - 强调文字颜色 2 5 4 2" xfId="1817" xr:uid="{536CBE02-FA2B-455C-B4D9-0316ED3A59F4}"/>
    <cellStyle name="20% - 强调文字颜色 2 5 4 3" xfId="17484" xr:uid="{5B892A90-E124-4B49-8AF6-983EBA45C646}"/>
    <cellStyle name="20% - 强调文字颜色 2 5 5" xfId="1820" xr:uid="{B39D989F-6E36-4CC6-B31F-3B43AE8F47FC}"/>
    <cellStyle name="20% - 强调文字颜色 2 5 5 2" xfId="1822" xr:uid="{522E67C9-9642-4111-BC26-7B9982485733}"/>
    <cellStyle name="20% - 强调文字颜色 2 5 6" xfId="1551" xr:uid="{77C68EE9-0EEB-4D50-8420-857399575536}"/>
    <cellStyle name="20% - 强调文字颜色 2 5 6 2" xfId="1556" xr:uid="{B255CC4A-2535-4FC0-8C8A-42D3E11382DC}"/>
    <cellStyle name="20% - 强调文字颜色 2 5 7" xfId="1562" xr:uid="{AD3AF1E4-3E81-467B-B815-6040C2F21B15}"/>
    <cellStyle name="20% - 强调文字颜色 2 5 7 2" xfId="1565" xr:uid="{CD7183D6-2FB0-4D6E-95D4-BD33AA729BA5}"/>
    <cellStyle name="20% - 强调文字颜色 2 5 8" xfId="1827" xr:uid="{7EF008E9-F4E2-4498-8650-E9DAC2AACD25}"/>
    <cellStyle name="20% - 强调文字颜色 2 5 8 2" xfId="1828" xr:uid="{29E34503-69DF-46E0-8C82-FC69AA3918EA}"/>
    <cellStyle name="20% - 强调文字颜色 2 5 9" xfId="1831" xr:uid="{7DCC10FA-884B-4551-A889-AC964813B48D}"/>
    <cellStyle name="20% - 强调文字颜色 2 50" xfId="1771" xr:uid="{0C2FEA18-2409-44F2-8583-B27B39BE98E8}"/>
    <cellStyle name="20% - 强调文字颜色 2 50 2" xfId="12040" xr:uid="{A65D9691-B42B-4ABA-BAAC-09D042F18690}"/>
    <cellStyle name="20% - 强调文字颜色 2 50 3" xfId="17485" xr:uid="{41E163CE-5359-4492-818B-17A3A3FFD4D8}"/>
    <cellStyle name="20% - 强调文字颜色 2 51" xfId="1775" xr:uid="{AE871002-9413-4EC8-B66B-76353D7FE8A1}"/>
    <cellStyle name="20% - 强调文字颜色 2 51 2" xfId="12041" xr:uid="{ED0FFC1C-56A4-4FF9-8353-D758F203B2A5}"/>
    <cellStyle name="20% - 强调文字颜色 2 51 3" xfId="17486" xr:uid="{181E199F-A417-44A6-8EA8-D4A856811F78}"/>
    <cellStyle name="20% - 强调文字颜色 2 52" xfId="1781" xr:uid="{83EECBC2-FD00-4AC8-8B82-EC9F2D07AC97}"/>
    <cellStyle name="20% - 强调文字颜色 2 52 2" xfId="12042" xr:uid="{5D97A63F-CC5D-437D-8285-C9F6C32E354B}"/>
    <cellStyle name="20% - 强调文字颜色 2 52 3" xfId="17487" xr:uid="{C8704FF6-C93B-46C0-B1BF-12AFF9431977}"/>
    <cellStyle name="20% - 强调文字颜色 2 53" xfId="1785" xr:uid="{D964155E-B3D4-42BE-8B3C-D18BBFDB07A0}"/>
    <cellStyle name="20% - 强调文字颜色 2 53 2" xfId="12043" xr:uid="{78942885-D3BF-49B8-94BA-91551CB7A5E8}"/>
    <cellStyle name="20% - 强调文字颜色 2 53 3" xfId="17488" xr:uid="{4CD9BB35-FC64-4010-8DE1-F3621A6829AA}"/>
    <cellStyle name="20% - 强调文字颜色 2 54" xfId="1789" xr:uid="{EB1E5523-82A1-448E-9489-6D1D33A3AA55}"/>
    <cellStyle name="20% - 强调文字颜色 2 54 2" xfId="12044" xr:uid="{DE7D719D-C9F6-4673-ADD1-F77EBEDBFF6F}"/>
    <cellStyle name="20% - 强调文字颜色 2 54 3" xfId="17489" xr:uid="{D043FE9D-8D0F-46FD-B4C6-7A29E9A1EB5C}"/>
    <cellStyle name="20% - 强调文字颜色 2 55" xfId="1832" xr:uid="{7E82781F-B9E8-4A92-A88E-159C72CD6F8A}"/>
    <cellStyle name="20% - 强调文字颜色 2 55 2" xfId="12045" xr:uid="{54DDD724-84DF-4A48-A0A0-C17BEFDB68D1}"/>
    <cellStyle name="20% - 强调文字颜色 2 55 3" xfId="17490" xr:uid="{71C96C4D-FFB7-46A5-8B0A-B5155FC70227}"/>
    <cellStyle name="20% - 强调文字颜色 2 56" xfId="1836" xr:uid="{E62F5577-4174-46FF-BC2A-6D0C847B600E}"/>
    <cellStyle name="20% - 强调文字颜色 2 56 2" xfId="12046" xr:uid="{72EBCE1C-F501-4D48-8264-A2A86A0FCB39}"/>
    <cellStyle name="20% - 强调文字颜色 2 56 3" xfId="17491" xr:uid="{67885566-CBA0-44CF-9952-D0D4C99082C9}"/>
    <cellStyle name="20% - 强调文字颜色 2 57" xfId="1840" xr:uid="{9EC7991D-154F-4235-B323-140D1AB24CF0}"/>
    <cellStyle name="20% - 强调文字颜色 2 57 2" xfId="12047" xr:uid="{012E5DC8-7A21-4640-98AA-DC3D2A12A97A}"/>
    <cellStyle name="20% - 强调文字颜色 2 58" xfId="1844" xr:uid="{70AFDAC2-41D0-44B7-8BEB-9178012B86D3}"/>
    <cellStyle name="20% - 强调文字颜色 2 58 2" xfId="12048" xr:uid="{B3B80F46-BC22-4058-8AE4-5146089B7EDD}"/>
    <cellStyle name="20% - 强调文字颜色 2 59" xfId="1848" xr:uid="{91C87EE1-1DDA-400D-ADA2-7385FD6583CB}"/>
    <cellStyle name="20% - 强调文字颜色 2 59 2" xfId="12049" xr:uid="{FADDD345-BC5A-413B-BBD3-F0716F8309D2}"/>
    <cellStyle name="20% - 强调文字颜色 2 6" xfId="523" xr:uid="{0008C2B4-F5F5-4065-9E76-B1F318BD3468}"/>
    <cellStyle name="20% - 强调文字颜色 2 6 10" xfId="17492" xr:uid="{670626C0-B003-4448-BB5E-258B6480957D}"/>
    <cellStyle name="20% - 强调文字颜色 2 6 2" xfId="620" xr:uid="{754D3F2D-C789-4382-90C0-D7BDB1B11664}"/>
    <cellStyle name="20% - 强调文字颜色 2 6 2 2" xfId="9512" xr:uid="{E0C59056-2F90-48D9-AA08-1664F177EE5B}"/>
    <cellStyle name="20% - 强调文字颜色 2 6 2 2 2" xfId="17494" xr:uid="{260A5D25-7F8D-43BE-ADF9-E843B23E5861}"/>
    <cellStyle name="20% - 强调文字颜色 2 6 2 3" xfId="17493" xr:uid="{0B93A212-FAE1-4523-BFC6-6907700C4528}"/>
    <cellStyle name="20% - 强调文字颜色 2 6 3" xfId="1852" xr:uid="{85C0AB9C-2F72-41BB-815A-4228A83E6405}"/>
    <cellStyle name="20% - 强调文字颜色 2 6 3 2" xfId="1854" xr:uid="{1A98A443-DDAC-4FBD-B676-62FE29F99712}"/>
    <cellStyle name="20% - 强调文字颜色 2 6 3 3" xfId="9513" xr:uid="{5FD5B013-A0D6-4598-A302-0F2950D7226E}"/>
    <cellStyle name="20% - 强调文字颜色 2 6 3 4" xfId="17495" xr:uid="{D239BDF3-3307-4649-B328-C54D3348B3EA}"/>
    <cellStyle name="20% - 强调文字颜色 2 6 4" xfId="1856" xr:uid="{BA5D9B8A-3F8A-4B9C-916B-93F196116191}"/>
    <cellStyle name="20% - 强调文字颜色 2 6 4 2" xfId="1858" xr:uid="{C69F7950-D1C3-4988-B4BD-21DA5C5A72A5}"/>
    <cellStyle name="20% - 强调文字颜色 2 6 4 3" xfId="17496" xr:uid="{9C7CE3E2-AD13-4171-9A3A-8E89F7767BAC}"/>
    <cellStyle name="20% - 强调文字颜色 2 6 5" xfId="1861" xr:uid="{80C5E0F7-A28F-40C8-B14C-F5A3DA2BA976}"/>
    <cellStyle name="20% - 强调文字颜色 2 6 6" xfId="1573" xr:uid="{3293768E-5B6D-49BD-813D-3D54A63899A9}"/>
    <cellStyle name="20% - 强调文字颜色 2 6 6 2" xfId="1576" xr:uid="{97FE1ECF-2B05-48F4-8B6D-5913B7B9C72F}"/>
    <cellStyle name="20% - 强调文字颜色 2 6 7" xfId="1863" xr:uid="{12743D6E-5392-4624-B860-9BC13F8C5F8B}"/>
    <cellStyle name="20% - 强调文字颜色 2 6 7 2" xfId="1865" xr:uid="{E65CB151-42FB-4929-AF0B-1A8471D07273}"/>
    <cellStyle name="20% - 强调文字颜色 2 6 8" xfId="9511" xr:uid="{A82664D0-FC59-4C5C-9965-F1DAA55469E6}"/>
    <cellStyle name="20% - 强调文字颜色 2 6 9" xfId="13360" xr:uid="{CAF57054-9686-49B9-856B-5B3EAA4FA2F2}"/>
    <cellStyle name="20% - 强调文字颜色 2 60" xfId="1833" xr:uid="{7D69A26B-1226-49F0-9747-1AC2C6116AC8}"/>
    <cellStyle name="20% - 强调文字颜色 2 60 2" xfId="12050" xr:uid="{4DDD93A5-131A-471A-AE4E-8287D1C80700}"/>
    <cellStyle name="20% - 强调文字颜色 2 61" xfId="1837" xr:uid="{FFF37DAB-012A-476E-A958-CDF14E81FA6D}"/>
    <cellStyle name="20% - 强调文字颜色 2 61 2" xfId="12051" xr:uid="{61E8809A-2CCD-4401-B8AD-E035C55EFC8E}"/>
    <cellStyle name="20% - 强调文字颜色 2 62" xfId="1841" xr:uid="{2A1078C2-D3A7-4A2B-979C-BBFBBD385329}"/>
    <cellStyle name="20% - 强调文字颜色 2 62 2" xfId="12052" xr:uid="{10F719BC-9E5A-4383-8579-FD0A01FF349C}"/>
    <cellStyle name="20% - 强调文字颜色 2 63" xfId="1845" xr:uid="{7045D6D5-2CD5-4EAB-BA81-D0BD39CD2773}"/>
    <cellStyle name="20% - 强调文字颜色 2 63 2" xfId="12053" xr:uid="{B12E4E01-F3CE-417B-8208-1C469C7ECE64}"/>
    <cellStyle name="20% - 强调文字颜色 2 64" xfId="1849" xr:uid="{C74BD314-F3B3-4636-B910-ED3FB60D6523}"/>
    <cellStyle name="20% - 强调文字颜色 2 64 2" xfId="12054" xr:uid="{82FF2D1B-A00F-4ABD-A2CD-624005364343}"/>
    <cellStyle name="20% - 强调文字颜色 2 65" xfId="1867" xr:uid="{D6F6D0D7-736E-4838-86F0-F914E631090A}"/>
    <cellStyle name="20% - 强调文字颜色 2 65 2" xfId="12055" xr:uid="{2946AA65-5407-4F87-AE7A-A3525A4F8012}"/>
    <cellStyle name="20% - 强调文字颜色 2 66" xfId="1871" xr:uid="{558001FC-5CB9-46E7-BE60-77B10C8AD52A}"/>
    <cellStyle name="20% - 强调文字颜色 2 66 2" xfId="12056" xr:uid="{A0F0ABC3-F77A-4CD9-BC8E-921760A28D87}"/>
    <cellStyle name="20% - 强调文字颜色 2 67" xfId="1876" xr:uid="{5E50B7CC-74E0-4111-BD04-5B8719C7EA8C}"/>
    <cellStyle name="20% - 强调文字颜色 2 67 2" xfId="12057" xr:uid="{2E967AC7-FC73-47C5-81D4-F03FB3599F75}"/>
    <cellStyle name="20% - 强调文字颜色 2 68" xfId="1880" xr:uid="{7E846F86-4F33-46B5-BF54-8C6B1EE0CCA8}"/>
    <cellStyle name="20% - 强调文字颜色 2 68 2" xfId="12058" xr:uid="{EBECF6D2-371B-441C-A210-0F532F22495F}"/>
    <cellStyle name="20% - 强调文字颜色 2 69" xfId="1884" xr:uid="{A7C79F3A-5173-498C-9746-39D04A9324C0}"/>
    <cellStyle name="20% - 强调文字颜色 2 69 2" xfId="12059" xr:uid="{7C19C48D-D43B-4F62-ABAC-7FB841D48C91}"/>
    <cellStyle name="20% - 强调文字颜色 2 7" xfId="528" xr:uid="{78B77F26-6A94-4801-84CD-D585346BBED9}"/>
    <cellStyle name="20% - 强调文字颜色 2 7 2" xfId="545" xr:uid="{075BC0C5-E9C0-4DE1-94E6-5C40FCDCB6BF}"/>
    <cellStyle name="20% - 强调文字颜色 2 7 2 2" xfId="1888" xr:uid="{6812D337-098E-4368-875B-DCF978C68CEB}"/>
    <cellStyle name="20% - 强调文字颜色 2 7 2 2 2" xfId="17499" xr:uid="{B0CC98C5-938E-40C6-8B8A-DBE7D38CC19F}"/>
    <cellStyle name="20% - 强调文字颜色 2 7 2 3" xfId="9515" xr:uid="{1DCFD999-B63B-4CFB-90AB-E9E62069F5CA}"/>
    <cellStyle name="20% - 强调文字颜色 2 7 2 4" xfId="17498" xr:uid="{E7F8E8C7-8ED3-4BBB-910D-9A98B8BF12D8}"/>
    <cellStyle name="20% - 强调文字颜色 2 7 3" xfId="1891" xr:uid="{3DAA07F1-D2A9-4FF7-BDEF-BA1B30D0278E}"/>
    <cellStyle name="20% - 强调文字颜色 2 7 3 2" xfId="1894" xr:uid="{3C462790-CD8A-48F6-8454-00AFDDC80529}"/>
    <cellStyle name="20% - 强调文字颜色 2 7 3 3" xfId="9516" xr:uid="{084249BD-B4CE-44D3-B6ED-BF693DA242BA}"/>
    <cellStyle name="20% - 强调文字颜色 2 7 3 4" xfId="17500" xr:uid="{378156BB-9E33-4309-A1C4-55E09A1C643C}"/>
    <cellStyle name="20% - 强调文字颜色 2 7 4" xfId="1897" xr:uid="{8E7F5030-E570-4EF9-B436-CBC6DB65F38E}"/>
    <cellStyle name="20% - 强调文字颜色 2 7 4 2" xfId="17501" xr:uid="{995347F7-1E88-4E91-B446-DD4FE9FF0EE0}"/>
    <cellStyle name="20% - 强调文字颜色 2 7 5" xfId="1900" xr:uid="{F672FBB5-32D0-4AC4-8705-7D7969A8F04C}"/>
    <cellStyle name="20% - 强调文字颜色 2 7 5 2" xfId="1902" xr:uid="{C1E78C64-9FDD-457D-BDBF-B3EBA705A88E}"/>
    <cellStyle name="20% - 强调文字颜色 2 7 6" xfId="1906" xr:uid="{8BD0C5FB-A831-4EDD-BDC8-0E05C672F833}"/>
    <cellStyle name="20% - 强调文字颜色 2 7 6 2" xfId="1908" xr:uid="{4183F24F-91B9-447B-B524-5B0E745B4C89}"/>
    <cellStyle name="20% - 强调文字颜色 2 7 7" xfId="9514" xr:uid="{49FACE96-A466-4C60-90DD-20F25BEBADE9}"/>
    <cellStyle name="20% - 强调文字颜色 2 7 8" xfId="13339" xr:uid="{8114E1A6-268D-4599-89B3-4BED6756E0A9}"/>
    <cellStyle name="20% - 强调文字颜色 2 7 9" xfId="17497" xr:uid="{BC989180-864A-4F04-9D61-E08AF23B76C8}"/>
    <cellStyle name="20% - 强调文字颜色 2 70" xfId="1868" xr:uid="{8899C056-57C1-42D4-AF5A-424E598592AE}"/>
    <cellStyle name="20% - 强调文字颜色 2 70 2" xfId="12060" xr:uid="{58CC8B34-DEA6-4128-967B-D139D1F3A3BC}"/>
    <cellStyle name="20% - 强调文字颜色 2 71" xfId="1872" xr:uid="{74AE0E29-B3EA-45A2-8AF9-75F41CCBD409}"/>
    <cellStyle name="20% - 强调文字颜色 2 71 2" xfId="12061" xr:uid="{AA8C7976-A8E8-481B-866A-29AFFE1BCC79}"/>
    <cellStyle name="20% - 强调文字颜色 2 72" xfId="1877" xr:uid="{3FFDFDF8-26C2-4CF1-A936-58ACBDD98A88}"/>
    <cellStyle name="20% - 强调文字颜色 2 72 2" xfId="12062" xr:uid="{0D950A0E-7CA6-4382-99BC-92895D8677AE}"/>
    <cellStyle name="20% - 强调文字颜色 2 73" xfId="1881" xr:uid="{C451A27F-016E-44F1-903C-79516BFFBB61}"/>
    <cellStyle name="20% - 强调文字颜色 2 73 2" xfId="12063" xr:uid="{DAE3A1B6-1867-499B-BE69-1028D896EA84}"/>
    <cellStyle name="20% - 强调文字颜色 2 74" xfId="1885" xr:uid="{EFE9B236-5082-4E5B-94C4-DA02E6D6FBFC}"/>
    <cellStyle name="20% - 强调文字颜色 2 74 2" xfId="12064" xr:uid="{C8A1681A-DF96-402D-AAA5-9F0EF7A52F3E}"/>
    <cellStyle name="20% - 强调文字颜色 2 75" xfId="1911" xr:uid="{A30E4B74-E3B0-477C-8C0F-AC003816127F}"/>
    <cellStyle name="20% - 强调文字颜色 2 75 2" xfId="12065" xr:uid="{93E6896A-DA5D-4E32-A862-3A7BF028E2C9}"/>
    <cellStyle name="20% - 强调文字颜色 2 76" xfId="1915" xr:uid="{1F8AC805-BD1A-43AC-9E15-0DCC5FE8FF88}"/>
    <cellStyle name="20% - 强调文字颜色 2 76 2" xfId="12066" xr:uid="{4AF3D2E3-00AB-4CEC-AD93-FCB3E22B4181}"/>
    <cellStyle name="20% - 强调文字颜色 2 77" xfId="1919" xr:uid="{3E8EEE20-1323-4F53-9B9F-8AEAE1AFFFFD}"/>
    <cellStyle name="20% - 强调文字颜色 2 77 2" xfId="12067" xr:uid="{F49A87A7-6EAA-4E7C-A084-062669A00FD6}"/>
    <cellStyle name="20% - 强调文字颜色 2 78" xfId="1924" xr:uid="{02E8A835-1A85-44E3-A1D6-B1AE81988EA2}"/>
    <cellStyle name="20% - 强调文字颜色 2 78 2" xfId="12068" xr:uid="{8C04BF77-83A8-425B-89EA-21F9D692C22A}"/>
    <cellStyle name="20% - 强调文字颜色 2 79" xfId="1928" xr:uid="{ED1998F1-AA20-44D2-A51D-91A645ED8814}"/>
    <cellStyle name="20% - 强调文字颜色 2 79 2" xfId="12069" xr:uid="{5C8B8C4A-3948-4AEB-BF88-04BC543AF41F}"/>
    <cellStyle name="20% - 强调文字颜色 2 8" xfId="535" xr:uid="{399CA940-9A3E-45DC-B560-397C48F0B474}"/>
    <cellStyle name="20% - 强调文字颜色 2 8 2" xfId="652" xr:uid="{2850F346-A9CA-4A1C-B4CF-8C8BC4F8DEFF}"/>
    <cellStyle name="20% - 强调文字颜色 2 8 2 2" xfId="1932" xr:uid="{5E7FB66D-F390-4A80-B044-C834DCBEA881}"/>
    <cellStyle name="20% - 强调文字颜色 2 8 2 2 2" xfId="17504" xr:uid="{7F300C8A-0C58-4429-BB1A-1CBDC2CE0901}"/>
    <cellStyle name="20% - 强调文字颜色 2 8 2 3" xfId="9518" xr:uid="{875004BB-9155-4DDE-93A1-B2CAC84E6474}"/>
    <cellStyle name="20% - 强调文字颜色 2 8 2 4" xfId="17503" xr:uid="{FB4C8B61-4004-43C1-BA5A-BA5C3BE1D071}"/>
    <cellStyle name="20% - 强调文字颜色 2 8 3" xfId="1938" xr:uid="{B8632900-AB95-4E07-9469-AE7026DE91CD}"/>
    <cellStyle name="20% - 强调文字颜色 2 8 3 2" xfId="9519" xr:uid="{EB8F2603-D550-4AD4-9236-4E859FEB4793}"/>
    <cellStyle name="20% - 强调文字颜色 2 8 3 3" xfId="17505" xr:uid="{7F102019-9030-46D9-8A36-8525644EFA0B}"/>
    <cellStyle name="20% - 强调文字颜色 2 8 4" xfId="1941" xr:uid="{F9907FA6-BD7A-4321-B07A-78C77489CEEE}"/>
    <cellStyle name="20% - 强调文字颜色 2 8 4 2" xfId="1944" xr:uid="{0DA18AD2-AA71-42EB-AADB-976F490E4F8B}"/>
    <cellStyle name="20% - 强调文字颜色 2 8 4 3" xfId="17506" xr:uid="{3DB0E0BF-2416-4117-844C-41E05552A6EC}"/>
    <cellStyle name="20% - 强调文字颜色 2 8 5" xfId="1950" xr:uid="{34A470A1-98FC-4A72-A847-02C2B4458692}"/>
    <cellStyle name="20% - 强调文字颜色 2 8 5 2" xfId="1953" xr:uid="{78ACA97C-08CD-49E6-A217-41C7CC65928E}"/>
    <cellStyle name="20% - 强调文字颜色 2 8 6" xfId="1959" xr:uid="{BFBCC527-7990-4534-9E9C-A80101D38C75}"/>
    <cellStyle name="20% - 强调文字颜色 2 8 7" xfId="9517" xr:uid="{10D294F4-1025-478B-A70B-CEC0274D642B}"/>
    <cellStyle name="20% - 强调文字颜色 2 8 8" xfId="13297" xr:uid="{F2918F33-4A61-4930-B48D-E6082E09F4D2}"/>
    <cellStyle name="20% - 强调文字颜色 2 8 9" xfId="17502" xr:uid="{D05CD158-F203-440B-A0E3-0E9FFBACD190}"/>
    <cellStyle name="20% - 强调文字颜色 2 80" xfId="1912" xr:uid="{31A989CA-2EB2-47E5-9163-070956E6ACC2}"/>
    <cellStyle name="20% - 强调文字颜色 2 80 2" xfId="12070" xr:uid="{4CDB60E8-9D64-40CC-B204-61AC3F6C865F}"/>
    <cellStyle name="20% - 强调文字颜色 2 81" xfId="1916" xr:uid="{52EC7E66-D96E-47D4-8560-B9FF32932421}"/>
    <cellStyle name="20% - 强调文字颜色 2 81 2" xfId="12071" xr:uid="{AA23FE22-77DA-407F-9427-4D70D8E91157}"/>
    <cellStyle name="20% - 强调文字颜色 2 82" xfId="1920" xr:uid="{68583CCD-0AF9-4D2F-8678-26466C98C213}"/>
    <cellStyle name="20% - 强调文字颜色 2 82 2" xfId="12072" xr:uid="{9ACD8569-9947-435A-AE9F-A62CCF7D0421}"/>
    <cellStyle name="20% - 强调文字颜色 2 83" xfId="1925" xr:uid="{3B6F07B7-0728-4707-B7FD-32549187322F}"/>
    <cellStyle name="20% - 强调文字颜色 2 83 2" xfId="12073" xr:uid="{95F550F7-6E02-413E-926D-87BFFBF1E8AE}"/>
    <cellStyle name="20% - 强调文字颜色 2 84" xfId="1929" xr:uid="{7C8420AD-8FEA-4CB5-83B8-CAE6E80CCC55}"/>
    <cellStyle name="20% - 强调文字颜色 2 84 2" xfId="12074" xr:uid="{EAC77A22-D598-4ED4-9DD9-8A4950676C32}"/>
    <cellStyle name="20% - 强调文字颜色 2 85" xfId="1962" xr:uid="{E70741E4-7B5E-45A9-8869-CB0104049F05}"/>
    <cellStyle name="20% - 强调文字颜色 2 86" xfId="1966" xr:uid="{B6B084CC-B7CD-4B19-B386-7A218A5C16F6}"/>
    <cellStyle name="20% - 强调文字颜色 2 86 2" xfId="797" xr:uid="{BFD04FB0-2AD7-493B-BDE4-BDBFD06A5931}"/>
    <cellStyle name="20% - 强调文字颜色 2 87" xfId="1969" xr:uid="{15772508-016C-444F-B74B-FBBC8B89FFE7}"/>
    <cellStyle name="20% - 强调文字颜色 2 87 2" xfId="969" xr:uid="{EF4F2409-913D-4637-BFF6-9755A011A44B}"/>
    <cellStyle name="20% - 强调文字颜色 2 88" xfId="1971" xr:uid="{E59F4D5A-B935-42BC-9095-D25D241BE74D}"/>
    <cellStyle name="20% - 强调文字颜色 2 88 2" xfId="1000" xr:uid="{FB6911E1-84FD-43C3-9A31-80258B3A113F}"/>
    <cellStyle name="20% - 强调文字颜色 2 89" xfId="194" xr:uid="{5FCCF38E-6718-499E-AABD-4A32C6692A75}"/>
    <cellStyle name="20% - 强调文字颜色 2 9" xfId="542" xr:uid="{5C9DDF3A-E259-49E8-8EC5-42512121633F}"/>
    <cellStyle name="20% - 强调文字颜色 2 9 2" xfId="663" xr:uid="{EDA6C4FE-6BD5-449A-AFF3-BD9DFCC06846}"/>
    <cellStyle name="20% - 强调文字颜色 2 9 2 2" xfId="1973" xr:uid="{4631543C-3AAB-4801-A91C-5C9C72541CF1}"/>
    <cellStyle name="20% - 强调文字颜色 2 9 2 2 2" xfId="17509" xr:uid="{D9ED36CB-858E-4DD2-B28E-9F381D72EFB1}"/>
    <cellStyle name="20% - 强调文字颜色 2 9 2 3" xfId="9521" xr:uid="{6C4D2D18-54C6-4851-80E5-14282266C6E8}"/>
    <cellStyle name="20% - 强调文字颜色 2 9 2 4" xfId="17508" xr:uid="{75895A74-FE82-489F-B4AE-E0AB5E04423C}"/>
    <cellStyle name="20% - 强调文字颜色 2 9 3" xfId="1975" xr:uid="{4AACACF4-F3A6-4E87-BB4E-A18D8F3D53E1}"/>
    <cellStyle name="20% - 强调文字颜色 2 9 3 2" xfId="9522" xr:uid="{C51A7654-17D3-43E1-9064-B0A13894F4F7}"/>
    <cellStyle name="20% - 强调文字颜色 2 9 3 3" xfId="17510" xr:uid="{972B4C34-C55B-4300-8126-15469715B75C}"/>
    <cellStyle name="20% - 强调文字颜色 2 9 4" xfId="1977" xr:uid="{C4133BBF-3F43-4B13-AC2C-490C03EE95C3}"/>
    <cellStyle name="20% - 强调文字颜色 2 9 4 2" xfId="1979" xr:uid="{05D0A98E-C2E9-4E2C-AD4F-F9C80EA096FB}"/>
    <cellStyle name="20% - 强调文字颜色 2 9 4 3" xfId="17511" xr:uid="{6E69F38B-6FDD-4BB8-8BA4-ECAC7C76676D}"/>
    <cellStyle name="20% - 强调文字颜色 2 9 5" xfId="1981" xr:uid="{9B28295D-6FA2-49F6-996E-74BD5DAA4959}"/>
    <cellStyle name="20% - 强调文字颜色 2 9 5 2" xfId="1983" xr:uid="{EBFA427D-86EB-483E-ABC6-6D8055AADC21}"/>
    <cellStyle name="20% - 强调文字颜色 2 9 6" xfId="1985" xr:uid="{E3CE1652-938F-466B-B38A-13BB1502FC56}"/>
    <cellStyle name="20% - 强调文字颜色 2 9 7" xfId="9520" xr:uid="{F59FB731-7B48-4845-B8E4-3798377DF954}"/>
    <cellStyle name="20% - 强调文字颜色 2 9 8" xfId="13287" xr:uid="{168A7D9C-AAE5-4BAF-9C1B-7B3BEA3BD9F3}"/>
    <cellStyle name="20% - 强调文字颜色 2 9 9" xfId="17507" xr:uid="{01F08336-4962-4D05-A22B-3E7F50B74C23}"/>
    <cellStyle name="20% - 强调文字颜色 2 90" xfId="1963" xr:uid="{602E9019-E0FA-4899-A7B2-8545FD8C81FA}"/>
    <cellStyle name="20% - 强调文字颜色 2 91" xfId="1967" xr:uid="{3D1B805F-F3D4-4C58-8F6C-CE678A6EBF12}"/>
    <cellStyle name="20% - 强调文字颜色 2 92" xfId="9341" xr:uid="{21A636C7-C565-4AA9-98B2-BBA2E2752941}"/>
    <cellStyle name="20% - 强调文字颜色 2 92 2" xfId="27154" xr:uid="{CBEAC8A6-C4B6-4332-9367-462F3F3CCD71}"/>
    <cellStyle name="20% - 强调文字颜色 2 93" xfId="9469" xr:uid="{045C869E-D155-4B6D-ABEA-9E72ED208419}"/>
    <cellStyle name="20% - 强调文字颜色 2 94" xfId="13642" xr:uid="{5CDA4CBF-0177-4B52-AF01-2909A4DA7C31}"/>
    <cellStyle name="20% - 强调文字颜色 2 95" xfId="13438" xr:uid="{441C1634-24AB-49ED-B8D4-5E1D4939B3C2}"/>
    <cellStyle name="20% - 强调文字颜色 3" xfId="1987" xr:uid="{6EA6F75C-A748-4000-965A-CBC97CEE2C3A}"/>
    <cellStyle name="20% - 强调文字颜色 3 10" xfId="59" xr:uid="{21D7D728-893E-4B2B-A4EA-14B6319C665B}"/>
    <cellStyle name="20% - 强调文字颜色 3 10 2" xfId="1084" xr:uid="{5C6CDA92-B67F-4FC8-BCEB-A056CFACFD04}"/>
    <cellStyle name="20% - 强调文字颜色 3 10 2 2" xfId="1988" xr:uid="{899A4342-7355-4F1A-A0E5-2BCE65BEABBA}"/>
    <cellStyle name="20% - 强调文字颜色 3 10 2 2 2" xfId="17514" xr:uid="{697084C1-B1A9-4D61-A5FA-0BDB365AB96D}"/>
    <cellStyle name="20% - 强调文字颜色 3 10 2 3" xfId="9525" xr:uid="{53710B8B-CD85-4BE6-9649-275A32F8F18E}"/>
    <cellStyle name="20% - 强调文字颜色 3 10 2 4" xfId="17513" xr:uid="{5F0C5D1A-7A78-4051-99CB-3D4F4B257FB4}"/>
    <cellStyle name="20% - 强调文字颜色 3 10 3" xfId="1993" xr:uid="{9BB5E5E1-4885-480A-91F2-42DCE88096E7}"/>
    <cellStyle name="20% - 强调文字颜色 3 10 3 2" xfId="9526" xr:uid="{06C89F99-FC81-47ED-B116-A9726D64BB67}"/>
    <cellStyle name="20% - 强调文字颜色 3 10 3 3" xfId="17515" xr:uid="{1E548512-49A6-41D4-A2FF-4EE02D096CBE}"/>
    <cellStyle name="20% - 强调文字颜色 3 10 4" xfId="1997" xr:uid="{D7D06B49-F115-4FDA-A930-832906F31372}"/>
    <cellStyle name="20% - 强调文字颜色 3 10 4 2" xfId="1999" xr:uid="{08C8B36F-7AD8-4D13-8325-5551A33AE8F8}"/>
    <cellStyle name="20% - 强调文字颜色 3 10 4 3" xfId="17516" xr:uid="{BF01EB70-F9D5-4931-9E50-5A7C07DB0B91}"/>
    <cellStyle name="20% - 强调文字颜色 3 10 5" xfId="2004" xr:uid="{DA445C76-9010-46A9-90F9-D0F321B37E54}"/>
    <cellStyle name="20% - 强调文字颜色 3 10 5 2" xfId="2007" xr:uid="{ACAF1482-3405-469C-9B0B-DCA4E1B3062E}"/>
    <cellStyle name="20% - 强调文字颜色 3 10 6" xfId="2016" xr:uid="{93C92844-28F3-42CB-BA7E-78FEC48E7824}"/>
    <cellStyle name="20% - 强调文字颜色 3 10 7" xfId="9524" xr:uid="{19EE0A38-C6F6-4C02-BD6D-F78593E4E99E}"/>
    <cellStyle name="20% - 强调文字颜色 3 10 8" xfId="13306" xr:uid="{2DE39520-CD85-4047-BF25-167AB96AF985}"/>
    <cellStyle name="20% - 强调文字颜色 3 10 9" xfId="17512" xr:uid="{DF8DB33D-E3A5-4737-B457-6DC679D0FA95}"/>
    <cellStyle name="20% - 强调文字颜色 3 11" xfId="1087" xr:uid="{2F1DBD98-4103-48A6-80DE-691F96E6239F}"/>
    <cellStyle name="20% - 强调文字颜色 3 11 2" xfId="1090" xr:uid="{58CD4FF9-28CC-4FC4-986B-4326FDB76AB9}"/>
    <cellStyle name="20% - 强调文字颜色 3 11 2 2" xfId="2018" xr:uid="{13466BD2-C027-4427-BC49-C7E69E5BA37B}"/>
    <cellStyle name="20% - 强调文字颜色 3 11 2 2 2" xfId="17519" xr:uid="{381CFC3C-97AB-4904-9B92-97C2E49D6844}"/>
    <cellStyle name="20% - 强调文字颜色 3 11 2 3" xfId="9528" xr:uid="{A2647999-DDA2-49B4-AE99-125144EDCD56}"/>
    <cellStyle name="20% - 强调文字颜色 3 11 2 4" xfId="17518" xr:uid="{49CC31C3-30A6-4841-A624-435BE37215F3}"/>
    <cellStyle name="20% - 强调文字颜色 3 11 3" xfId="2021" xr:uid="{515AD59C-797C-4813-9255-F2ACD7C7C3F7}"/>
    <cellStyle name="20% - 强调文字颜色 3 11 3 2" xfId="9529" xr:uid="{EF9D3EE1-7522-4667-89BD-8548D7D4C16F}"/>
    <cellStyle name="20% - 强调文字颜色 3 11 3 3" xfId="17520" xr:uid="{396E3ED1-9BD9-4FD9-BC51-0345CA3A2A65}"/>
    <cellStyle name="20% - 强调文字颜色 3 11 4" xfId="2023" xr:uid="{353F0A50-7371-491B-BD13-C0D2D49B5C79}"/>
    <cellStyle name="20% - 强调文字颜色 3 11 4 2" xfId="2025" xr:uid="{1FB5532D-8D46-4F89-A90F-620DFD9A5EB5}"/>
    <cellStyle name="20% - 强调文字颜色 3 11 4 3" xfId="17521" xr:uid="{15FA3DCA-8E7B-432C-B552-F2EE329DCF70}"/>
    <cellStyle name="20% - 强调文字颜色 3 11 5" xfId="2028" xr:uid="{2E6BECE1-2B07-4DFD-AF81-4D64412ADB5E}"/>
    <cellStyle name="20% - 强调文字颜色 3 11 5 2" xfId="2030" xr:uid="{FACB7C10-FC9D-415A-80BE-CCDCC4742DDC}"/>
    <cellStyle name="20% - 强调文字颜色 3 11 6" xfId="2033" xr:uid="{A26548B6-5A78-440C-854B-7CA7C3827BB3}"/>
    <cellStyle name="20% - 强调文字颜色 3 11 7" xfId="9527" xr:uid="{F6AE7CC0-E1B5-4B60-BF9E-575A8152AC24}"/>
    <cellStyle name="20% - 强调文字颜色 3 11 8" xfId="13262" xr:uid="{CAA9F3C3-C2BA-418E-A7CA-4BDE2C5FE8F9}"/>
    <cellStyle name="20% - 强调文字颜色 3 11 9" xfId="17517" xr:uid="{D1309B63-4208-41F1-B8A8-73277A4E8A8F}"/>
    <cellStyle name="20% - 强调文字颜色 3 12" xfId="1093" xr:uid="{9AFD98CF-400F-49D1-A60D-7CC7C13B25A2}"/>
    <cellStyle name="20% - 强调文字颜色 3 12 2" xfId="1097" xr:uid="{74B557F9-6BF1-4F6D-8939-3209C600A22E}"/>
    <cellStyle name="20% - 强调文字颜色 3 12 2 2" xfId="2036" xr:uid="{1FDCED47-6DDB-41D3-AD73-B1C36AB9B783}"/>
    <cellStyle name="20% - 强调文字颜色 3 12 2 2 2" xfId="17524" xr:uid="{14DAD860-6438-4FE2-9A31-D007139B52FE}"/>
    <cellStyle name="20% - 强调文字颜色 3 12 2 3" xfId="9531" xr:uid="{8E487A53-13FF-4B20-AAA4-B48F1A9543EB}"/>
    <cellStyle name="20% - 强调文字颜色 3 12 2 4" xfId="17523" xr:uid="{71224359-DCC3-4393-87F9-B70B52904B38}"/>
    <cellStyle name="20% - 强调文字颜色 3 12 3" xfId="2039" xr:uid="{F795987A-29C2-4C68-88F6-04C211C4AE51}"/>
    <cellStyle name="20% - 强调文字颜色 3 12 3 2" xfId="9532" xr:uid="{E0A44741-F8DA-4869-A4C2-45CCD7930187}"/>
    <cellStyle name="20% - 强调文字颜色 3 12 3 3" xfId="17525" xr:uid="{1091628A-8014-4AE6-AD4B-91B70C6C1F35}"/>
    <cellStyle name="20% - 强调文字颜色 3 12 4" xfId="2041" xr:uid="{1BB655BA-29A1-4BCB-9EF3-B9F08A231B53}"/>
    <cellStyle name="20% - 强调文字颜色 3 12 4 2" xfId="2043" xr:uid="{91887387-6311-4B12-902D-6AF70B885F78}"/>
    <cellStyle name="20% - 强调文字颜色 3 12 4 3" xfId="17526" xr:uid="{05D1026D-E54B-414A-B26D-360AFA182C8E}"/>
    <cellStyle name="20% - 强调文字颜色 3 12 5" xfId="2046" xr:uid="{007B7D72-CC38-464B-BAF6-704C3240E86F}"/>
    <cellStyle name="20% - 强调文字颜色 3 12 5 2" xfId="2048" xr:uid="{E14101CB-FD11-42FD-9984-66E1CB8E80F5}"/>
    <cellStyle name="20% - 强调文字颜色 3 12 6" xfId="2051" xr:uid="{B715F65A-7120-46D6-9259-F5C7C09E5DD5}"/>
    <cellStyle name="20% - 强调文字颜色 3 12 7" xfId="9530" xr:uid="{30B55C93-AD55-403F-95B0-20BA269C7707}"/>
    <cellStyle name="20% - 强调文字颜色 3 12 8" xfId="13249" xr:uid="{B3BF8A20-3C8F-4B9D-9F72-CA89DFD627BE}"/>
    <cellStyle name="20% - 强调文字颜色 3 12 9" xfId="17522" xr:uid="{E799553B-A251-46C6-8849-17F4A904F993}"/>
    <cellStyle name="20% - 强调文字颜色 3 13" xfId="1100" xr:uid="{BEDCA91C-81F7-4858-A7C3-5677DE149A9A}"/>
    <cellStyle name="20% - 强调文字颜色 3 13 2" xfId="1103" xr:uid="{F3F04B66-2691-4BDC-8657-22770A6F9C5E}"/>
    <cellStyle name="20% - 强调文字颜色 3 13 2 2" xfId="2056" xr:uid="{1CDE1EF8-270C-458C-8D08-79183C513CD7}"/>
    <cellStyle name="20% - 强调文字颜色 3 13 2 2 2" xfId="17529" xr:uid="{95217DC8-AFC3-461A-AB5D-70CD506288E2}"/>
    <cellStyle name="20% - 强调文字颜色 3 13 2 3" xfId="9534" xr:uid="{F0D6952F-DD6C-4BFE-A339-5C5B28E19A5F}"/>
    <cellStyle name="20% - 强调文字颜色 3 13 2 4" xfId="17528" xr:uid="{10BE9469-AC9E-4B80-8FBC-5ABB1D12D0C0}"/>
    <cellStyle name="20% - 强调文字颜色 3 13 3" xfId="2059" xr:uid="{628B45E7-7C11-4750-9911-64DDFC357C12}"/>
    <cellStyle name="20% - 强调文字颜色 3 13 3 2" xfId="9535" xr:uid="{BD51387D-821A-4FDE-A2E9-C80AA3069AFA}"/>
    <cellStyle name="20% - 强调文字颜色 3 13 3 3" xfId="17530" xr:uid="{C4FC565F-6F32-4782-84E8-2294C9E2BE7C}"/>
    <cellStyle name="20% - 强调文字颜色 3 13 4" xfId="2061" xr:uid="{6D4D825A-3D75-42AA-8128-FC418B9A6CE8}"/>
    <cellStyle name="20% - 强调文字颜色 3 13 4 2" xfId="2063" xr:uid="{B4EB6F11-78DC-4472-90C5-1B8E1908C799}"/>
    <cellStyle name="20% - 强调文字颜色 3 13 4 3" xfId="17531" xr:uid="{458AC49A-0B22-4660-B730-1382AD282484}"/>
    <cellStyle name="20% - 强调文字颜色 3 13 5" xfId="2066" xr:uid="{43B15E1A-BDAF-4682-998C-909F9380292D}"/>
    <cellStyle name="20% - 强调文字颜色 3 13 5 2" xfId="2068" xr:uid="{63936DD6-5429-4FEB-97D3-55C7631E387D}"/>
    <cellStyle name="20% - 强调文字颜色 3 13 6" xfId="2073" xr:uid="{779DE39A-9C90-4908-90C1-47CFF402B967}"/>
    <cellStyle name="20% - 强调文字颜色 3 13 7" xfId="9533" xr:uid="{8C2579DC-3EA6-4C62-BF8D-3477F9876C80}"/>
    <cellStyle name="20% - 强调文字颜色 3 13 8" xfId="13236" xr:uid="{1C037E8B-0238-4DB7-B128-A1B585AA39B1}"/>
    <cellStyle name="20% - 强调文字颜色 3 13 9" xfId="17527" xr:uid="{1EEBDC0D-BF2C-49BD-B4EF-4813ACFB3BDC}"/>
    <cellStyle name="20% - 强调文字颜色 3 14" xfId="1106" xr:uid="{F065C318-E1D6-48D2-91EC-6068720CEAF7}"/>
    <cellStyle name="20% - 强调文字颜色 3 14 2" xfId="1112" xr:uid="{094FBC93-679E-420B-8B39-2B3192CE8EB2}"/>
    <cellStyle name="20% - 强调文字颜色 3 14 2 2" xfId="2079" xr:uid="{1E40ADCF-B9A3-43E8-B55F-9AECEB85B06D}"/>
    <cellStyle name="20% - 强调文字颜色 3 14 2 2 2" xfId="17534" xr:uid="{51AD8B98-503A-4F16-8E8E-25CBF6B13866}"/>
    <cellStyle name="20% - 强调文字颜色 3 14 2 3" xfId="9537" xr:uid="{9196078B-B882-4207-8A2F-0C60BD3C16E2}"/>
    <cellStyle name="20% - 强调文字颜色 3 14 2 4" xfId="17533" xr:uid="{6A936999-1D40-4DB4-996D-4C641B9A2E76}"/>
    <cellStyle name="20% - 强调文字颜色 3 14 3" xfId="2085" xr:uid="{58D54C35-02D5-49C0-98E6-0EFA06A040EE}"/>
    <cellStyle name="20% - 强调文字颜色 3 14 3 2" xfId="9538" xr:uid="{EDA93C46-90AD-4FBF-8CC7-83C6B3E26AC2}"/>
    <cellStyle name="20% - 强调文字颜色 3 14 3 3" xfId="17535" xr:uid="{3E37AE11-8D85-4B02-A759-03956258A69B}"/>
    <cellStyle name="20% - 强调文字颜色 3 14 4" xfId="2091" xr:uid="{AD801EF3-0A9B-405D-9BFE-A70C1E2F917C}"/>
    <cellStyle name="20% - 强调文字颜色 3 14 4 2" xfId="2095" xr:uid="{01660DBC-968F-4F01-B793-D2ACF125B124}"/>
    <cellStyle name="20% - 强调文字颜色 3 14 4 3" xfId="17536" xr:uid="{B8718CB0-2957-4BD2-B11F-CE26FA9AD51A}"/>
    <cellStyle name="20% - 强调文字颜色 3 14 5" xfId="2101" xr:uid="{CE8056E2-972F-4D43-AEB6-4312379D3D54}"/>
    <cellStyle name="20% - 强调文字颜色 3 14 5 2" xfId="327" xr:uid="{B6F6E27C-30CD-47FF-8BE2-A4BCB4219829}"/>
    <cellStyle name="20% - 强调文字颜色 3 14 6" xfId="2108" xr:uid="{6250D988-22CA-4AB7-A805-C949E98FA5ED}"/>
    <cellStyle name="20% - 强调文字颜色 3 14 7" xfId="9536" xr:uid="{92BEEB94-5F67-4270-89C2-B5A31F96047F}"/>
    <cellStyle name="20% - 强调文字颜色 3 14 8" xfId="13223" xr:uid="{BD1ACD7A-F238-44B1-99BC-B3500EFCD464}"/>
    <cellStyle name="20% - 强调文字颜色 3 14 9" xfId="17532" xr:uid="{D5990A94-EB32-4A57-A848-CEF1979B2476}"/>
    <cellStyle name="20% - 强调文字颜色 3 15" xfId="2112" xr:uid="{7354E9D5-A78A-44A8-A498-C6CA17883C2A}"/>
    <cellStyle name="20% - 强调文字颜色 3 15 2" xfId="113" xr:uid="{B64D5600-C293-4D87-8494-694A5CF050B1}"/>
    <cellStyle name="20% - 强调文字颜色 3 15 2 2" xfId="9540" xr:uid="{EDFCE4A7-54D9-4906-817E-73D8C8219D6A}"/>
    <cellStyle name="20% - 强调文字颜色 3 15 2 2 2" xfId="17539" xr:uid="{8364901B-74DC-4444-90E9-AA660FF55FB9}"/>
    <cellStyle name="20% - 强调文字颜色 3 15 2 3" xfId="17538" xr:uid="{B747AA49-50A9-4A75-A6F6-3AF1239DED5B}"/>
    <cellStyle name="20% - 强调文字颜色 3 15 3" xfId="142" xr:uid="{CD0D49B0-79B6-4872-B576-3814F0D787C8}"/>
    <cellStyle name="20% - 强调文字颜色 3 15 3 2" xfId="2117" xr:uid="{0D70A0EA-1850-4AA0-91B2-24FB5D8EC0BA}"/>
    <cellStyle name="20% - 强调文字颜色 3 15 3 3" xfId="9541" xr:uid="{545F6E7B-5F1E-4BA6-AFE6-C3389900018A}"/>
    <cellStyle name="20% - 强调文字颜色 3 15 3 4" xfId="17540" xr:uid="{0CB10B56-0315-47A5-9ED0-5313C142827B}"/>
    <cellStyle name="20% - 强调文字颜色 3 15 4" xfId="150" xr:uid="{2E63412E-4B41-4851-B5A4-FA69A8EF08EC}"/>
    <cellStyle name="20% - 强调文字颜色 3 15 4 2" xfId="2120" xr:uid="{75845ACD-3585-4D0A-827C-0A792E72753B}"/>
    <cellStyle name="20% - 强调文字颜色 3 15 4 3" xfId="17541" xr:uid="{5E279152-84EF-4773-BA24-40A9B1AB02BC}"/>
    <cellStyle name="20% - 强调文字颜色 3 15 5" xfId="162" xr:uid="{CCE913F2-8E21-4364-93D6-E2B3D5916C1F}"/>
    <cellStyle name="20% - 强调文字颜色 3 15 6" xfId="9539" xr:uid="{A82E12A8-D1B2-4A34-820B-D6A1D0EA12CC}"/>
    <cellStyle name="20% - 强调文字颜色 3 15 7" xfId="13210" xr:uid="{97330259-6FF0-4033-AA45-9436EB3C27B9}"/>
    <cellStyle name="20% - 强调文字颜色 3 15 8" xfId="17537" xr:uid="{E70B71C9-05DC-4642-9BB1-4B720A232D39}"/>
    <cellStyle name="20% - 强调文字颜色 3 16" xfId="2123" xr:uid="{381316AB-D349-4DAD-921F-FC3C8CB82096}"/>
    <cellStyle name="20% - 强调文字颜色 3 16 2" xfId="2127" xr:uid="{A85AEE1E-28D0-4F3C-9488-952BDC0BC18C}"/>
    <cellStyle name="20% - 强调文字颜色 3 16 2 2" xfId="9543" xr:uid="{4FB5BA6F-D3C5-450E-B1C4-B1E1F11968DD}"/>
    <cellStyle name="20% - 强调文字颜色 3 16 2 2 2" xfId="17544" xr:uid="{0065AA92-C43A-4079-86B2-82DDD46E9348}"/>
    <cellStyle name="20% - 强调文字颜色 3 16 2 3" xfId="17543" xr:uid="{6B2DB3C7-2CF7-4095-902E-D7BED9C3D894}"/>
    <cellStyle name="20% - 强调文字颜色 3 16 3" xfId="2131" xr:uid="{7873B131-EF23-4596-90AE-71573776D4CB}"/>
    <cellStyle name="20% - 强调文字颜色 3 16 3 2" xfId="711" xr:uid="{F196BAF2-A15E-4D47-83D3-9D6285DCF2D5}"/>
    <cellStyle name="20% - 强调文字颜色 3 16 3 3" xfId="9544" xr:uid="{BD18BED6-B329-475E-9735-7AAE3E1434C2}"/>
    <cellStyle name="20% - 强调文字颜色 3 16 3 4" xfId="17545" xr:uid="{9E2EC04C-BC61-4F7C-8760-8BC2C5E040F9}"/>
    <cellStyle name="20% - 强调文字颜色 3 16 4" xfId="2133" xr:uid="{7A87EA6C-39D5-48F7-A167-302E5009CD7A}"/>
    <cellStyle name="20% - 强调文字颜色 3 16 4 2" xfId="787" xr:uid="{BEC6E397-B9F1-4E89-A547-D3B5BF45BCD0}"/>
    <cellStyle name="20% - 强调文字颜色 3 16 4 3" xfId="17546" xr:uid="{15B126B2-60C4-486C-8E53-B1A5E2002BE2}"/>
    <cellStyle name="20% - 强调文字颜色 3 16 5" xfId="2134" xr:uid="{2BFE1C7C-B047-43C9-A2A9-6760FF8C1DEE}"/>
    <cellStyle name="20% - 强调文字颜色 3 16 6" xfId="9542" xr:uid="{6AEB1268-BF1C-41AB-B0C4-8A8942B751BC}"/>
    <cellStyle name="20% - 强调文字颜色 3 16 7" xfId="13191" xr:uid="{72239F93-B966-4119-9D9E-F3181E8D31CD}"/>
    <cellStyle name="20% - 强调文字颜色 3 16 8" xfId="17542" xr:uid="{0B038500-DB0D-4160-B55B-2E5FAA479BA1}"/>
    <cellStyle name="20% - 强调文字颜色 3 17" xfId="2136" xr:uid="{1C4B6A24-7C19-4894-B3BD-BE0AD3E54F5C}"/>
    <cellStyle name="20% - 强调文字颜色 3 17 2" xfId="2140" xr:uid="{DE675451-8978-4E87-847F-13B248575FB8}"/>
    <cellStyle name="20% - 强调文字颜色 3 17 2 2" xfId="2144" xr:uid="{95F5E2E6-1395-4940-AE64-C40461EE2ACB}"/>
    <cellStyle name="20% - 强调文字颜色 3 17 2 2 2" xfId="17549" xr:uid="{859D2FCC-759F-4E68-88C0-4C8F9FF329A9}"/>
    <cellStyle name="20% - 强调文字颜色 3 17 2 3" xfId="9546" xr:uid="{7E295F74-2056-451D-B1D3-0E35E31471C1}"/>
    <cellStyle name="20% - 强调文字颜色 3 17 2 4" xfId="17548" xr:uid="{58A2847A-E226-42BA-AFD1-8FA5A33E2836}"/>
    <cellStyle name="20% - 强调文字颜色 3 17 3" xfId="2148" xr:uid="{46F2240D-0FA8-41DF-9ABF-8F004F7E4EFC}"/>
    <cellStyle name="20% - 强调文字颜色 3 17 3 2" xfId="2151" xr:uid="{FF04A54C-FBDD-42AA-92BD-E77C3C4CCA4F}"/>
    <cellStyle name="20% - 强调文字颜色 3 17 3 3" xfId="9547" xr:uid="{8A483294-5E1B-442E-9DC8-325DFED66666}"/>
    <cellStyle name="20% - 强调文字颜色 3 17 3 4" xfId="17550" xr:uid="{ABA7B912-80DF-4481-AF9D-372A723F12CE}"/>
    <cellStyle name="20% - 强调文字颜色 3 17 4" xfId="9545" xr:uid="{80E85F6D-F778-43C5-A630-4BE14669F5CD}"/>
    <cellStyle name="20% - 强调文字颜色 3 17 4 2" xfId="17551" xr:uid="{66EC764E-8955-478B-8C79-4F6F86C97AA6}"/>
    <cellStyle name="20% - 强调文字颜色 3 17 5" xfId="13194" xr:uid="{C6D3F399-C6EC-4C69-A518-FC2ABF8D47AE}"/>
    <cellStyle name="20% - 强调文字颜色 3 17 6" xfId="17547" xr:uid="{2000825D-25E5-42EF-B968-881D45ABDA50}"/>
    <cellStyle name="20% - 强调文字颜色 3 18" xfId="2153" xr:uid="{9A3B5540-3DC0-44C2-9DDB-549C091296A9}"/>
    <cellStyle name="20% - 强调文字颜色 3 18 2" xfId="2157" xr:uid="{6C179ED9-F5C7-4C0A-AD6C-BDE047AABE3F}"/>
    <cellStyle name="20% - 强调文字颜色 3 18 2 2" xfId="2160" xr:uid="{D59DF720-D927-4999-A7B2-FCB7E27E8F99}"/>
    <cellStyle name="20% - 强调文字颜色 3 18 2 2 2" xfId="17554" xr:uid="{BA381A02-57E4-440E-ACF3-307588FD3177}"/>
    <cellStyle name="20% - 强调文字颜色 3 18 2 3" xfId="17553" xr:uid="{FC12B4AE-E145-438C-9801-4420C8C983C5}"/>
    <cellStyle name="20% - 强调文字颜色 3 18 3" xfId="2164" xr:uid="{46EDEE23-6A5F-451D-96BA-A78A851ABF24}"/>
    <cellStyle name="20% - 强调文字颜色 3 18 3 2" xfId="2166" xr:uid="{0CBF1656-71E3-42CD-AD5B-BBE74292B2AE}"/>
    <cellStyle name="20% - 强调文字颜色 3 18 3 3" xfId="17555" xr:uid="{8D964FD8-B708-4681-846E-F6545FF4244A}"/>
    <cellStyle name="20% - 强调文字颜色 3 18 4" xfId="9548" xr:uid="{0E27F4CE-AC39-4F15-89BB-EBB5F5C555A8}"/>
    <cellStyle name="20% - 强调文字颜色 3 18 4 2" xfId="17556" xr:uid="{41531649-882B-4C58-8586-87BBD8FC3B14}"/>
    <cellStyle name="20% - 强调文字颜色 3 18 5" xfId="13169" xr:uid="{E71622B8-BFF1-41E4-8307-90859A8361EE}"/>
    <cellStyle name="20% - 强调文字颜色 3 18 6" xfId="17552" xr:uid="{5017A80F-8492-4EA9-A9FA-9081F62CB656}"/>
    <cellStyle name="20% - 强调文字颜色 3 19" xfId="2167" xr:uid="{09C07809-0A8B-4A0C-9207-7104262C2AF3}"/>
    <cellStyle name="20% - 强调文字颜色 3 19 2" xfId="1006" xr:uid="{BE125B9A-9BB4-40FF-B218-814004D355ED}"/>
    <cellStyle name="20% - 强调文字颜色 3 19 2 2" xfId="1011" xr:uid="{B638F64E-C730-4109-A8A4-57EE96361608}"/>
    <cellStyle name="20% - 强调文字颜色 3 19 2 2 2" xfId="17559" xr:uid="{527052B6-E6BD-4387-875C-1E52676B95BE}"/>
    <cellStyle name="20% - 强调文字颜色 3 19 2 3" xfId="17558" xr:uid="{D872EBA7-A126-459C-AF8B-07AB8D85E90F}"/>
    <cellStyle name="20% - 强调文字颜色 3 19 3" xfId="9549" xr:uid="{AA708E0A-062A-4814-805F-4E745A67AD8C}"/>
    <cellStyle name="20% - 强调文字颜色 3 19 3 2" xfId="17560" xr:uid="{46C6278A-C5DE-4BE4-B0BE-BC491A6531C6}"/>
    <cellStyle name="20% - 强调文字颜色 3 19 4" xfId="13152" xr:uid="{6D502DC0-B2E7-45E9-8574-57DA7353BAE8}"/>
    <cellStyle name="20% - 强调文字颜色 3 19 4 2" xfId="17561" xr:uid="{1FCCC011-A177-4315-8493-108894F97989}"/>
    <cellStyle name="20% - 强调文字颜色 3 19 5" xfId="17557" xr:uid="{BA3FBB5C-670D-4646-A944-0C3B0D5F309B}"/>
    <cellStyle name="20% - 强调文字颜色 3 2" xfId="2171" xr:uid="{B26965B0-702C-4440-815F-E5A89016CD81}"/>
    <cellStyle name="20% - 强调文字颜色 3 2 10" xfId="2173" xr:uid="{2948878C-7B5F-4909-9DC9-C988FED3A0B8}"/>
    <cellStyle name="20% - 强调文字颜色 3 2 10 2" xfId="2175" xr:uid="{6861CF65-A26C-40E3-939D-51E7CB2ADDE8}"/>
    <cellStyle name="20% - 强调文字颜色 3 2 11" xfId="2177" xr:uid="{71016963-6802-4ACB-82F3-748E6480D734}"/>
    <cellStyle name="20% - 强调文字颜色 3 2 11 2" xfId="2181" xr:uid="{499D6620-C288-4EA0-B45F-DCCFBE3F3DD7}"/>
    <cellStyle name="20% - 强调文字颜色 3 2 12" xfId="2183" xr:uid="{893EEA92-D844-4BC3-848E-A603A5F7776C}"/>
    <cellStyle name="20% - 强调文字颜色 3 2 12 2" xfId="2185" xr:uid="{C5701504-4549-44E2-84F0-AA2B27328B4C}"/>
    <cellStyle name="20% - 强调文字颜色 3 2 13" xfId="2187" xr:uid="{CE006B27-9ECD-43A0-AC81-DEBDCDD314FF}"/>
    <cellStyle name="20% - 强调文字颜色 3 2 13 2" xfId="2188" xr:uid="{29EBE089-4D18-41EF-B4EE-140F1D2C71D6}"/>
    <cellStyle name="20% - 强调文字颜色 3 2 14" xfId="2191" xr:uid="{1629B1EF-58EE-45A0-BA26-71591DA0D0BF}"/>
    <cellStyle name="20% - 强调文字颜色 3 2 14 2" xfId="2192" xr:uid="{B887DD3F-D653-4A71-B542-96AC48EA42E5}"/>
    <cellStyle name="20% - 强调文字颜色 3 2 15" xfId="2195" xr:uid="{BDF3C2BE-B272-4C83-AE9F-722154D4219F}"/>
    <cellStyle name="20% - 强调文字颜色 3 2 15 2" xfId="2197" xr:uid="{CB9C22B0-A68C-46CF-955A-53CC206EAFCC}"/>
    <cellStyle name="20% - 强调文字颜色 3 2 16" xfId="2200" xr:uid="{A80DE966-2488-4A82-A8F3-4B810334E8A7}"/>
    <cellStyle name="20% - 强调文字颜色 3 2 17" xfId="2202" xr:uid="{A5AB544F-0DF5-4F5E-86E9-5C7DD14F5C14}"/>
    <cellStyle name="20% - 强调文字颜色 3 2 17 2" xfId="2204" xr:uid="{8D17737C-F085-4E18-8175-C7869F406F0C}"/>
    <cellStyle name="20% - 强调文字颜色 3 2 18" xfId="1697" xr:uid="{BED2C173-ABEA-459E-98AB-82824C25CD9F}"/>
    <cellStyle name="20% - 强调文字颜色 3 2 18 2" xfId="2205" xr:uid="{A5918D20-F055-4EE4-9A70-E2465B43EB24}"/>
    <cellStyle name="20% - 强调文字颜色 3 2 19" xfId="2207" xr:uid="{699200E2-99B2-4046-90E2-FBF62EDBC45E}"/>
    <cellStyle name="20% - 强调文字颜色 3 2 2" xfId="2209" xr:uid="{E1F8E13B-A2EE-4B15-9AF7-E474478245E0}"/>
    <cellStyle name="20% - 强调文字颜色 3 2 2 10" xfId="2213" xr:uid="{902E06F6-ED84-4D22-A1E3-23C3F601A2EE}"/>
    <cellStyle name="20% - 强调文字颜色 3 2 2 10 2" xfId="2216" xr:uid="{7C5AD188-1447-48FA-A736-97CB3601A09D}"/>
    <cellStyle name="20% - 强调文字颜色 3 2 2 11" xfId="2218" xr:uid="{B357822E-068B-456F-BF82-018487EAA8A5}"/>
    <cellStyle name="20% - 强调文字颜色 3 2 2 11 2" xfId="2219" xr:uid="{D5A4613B-AC07-4286-B0B4-A66936B0EA15}"/>
    <cellStyle name="20% - 强调文字颜色 3 2 2 12" xfId="2222" xr:uid="{EF7A5538-305C-4626-ACF8-B81F7B338EDC}"/>
    <cellStyle name="20% - 强调文字颜色 3 2 2 12 2" xfId="2223" xr:uid="{9D5254A5-2CF3-4D42-96FE-F53361ADDFB3}"/>
    <cellStyle name="20% - 强调文字颜色 3 2 2 13" xfId="2224" xr:uid="{F99B71DB-BDCD-446F-A9FF-50D515250786}"/>
    <cellStyle name="20% - 强调文字颜色 3 2 2 13 2" xfId="2225" xr:uid="{C269584F-A239-4589-AD5C-D51AA0AD4E52}"/>
    <cellStyle name="20% - 强调文字颜色 3 2 2 14" xfId="412" xr:uid="{40AB51DE-F84E-4248-AB3D-2FB9083490F6}"/>
    <cellStyle name="20% - 强调文字颜色 3 2 2 14 2" xfId="2226" xr:uid="{05A56E97-2DE3-4E69-AEAA-8980BEA068E7}"/>
    <cellStyle name="20% - 强调文字颜色 3 2 2 15" xfId="2228" xr:uid="{08EE2FF2-5735-47F7-A7A9-463C02B61691}"/>
    <cellStyle name="20% - 强调文字颜色 3 2 2 15 2" xfId="2230" xr:uid="{20670ABD-F2DD-4E11-A994-E3ABE0DE58E0}"/>
    <cellStyle name="20% - 强调文字颜色 3 2 2 16" xfId="9551" xr:uid="{F8886F7D-5BF9-40D7-AB9C-DFDDBEAF6067}"/>
    <cellStyle name="20% - 强调文字颜色 3 2 2 17" xfId="13354" xr:uid="{360B176B-313C-4DEC-A0D5-582CF2266019}"/>
    <cellStyle name="20% - 强调文字颜色 3 2 2 18" xfId="17562" xr:uid="{C0C37898-A16D-4622-A405-7B1DFB493F79}"/>
    <cellStyle name="20% - 强调文字颜色 3 2 2 19" xfId="27287" xr:uid="{995FB477-886E-4A36-9CEF-0157EBFA460D}"/>
    <cellStyle name="20% - 强调文字颜色 3 2 2 2" xfId="2231" xr:uid="{06E07866-86DB-47ED-98D7-C0B41A3A3F44}"/>
    <cellStyle name="20% - 强调文字颜色 3 2 2 2 2" xfId="17563" xr:uid="{F5A512C7-6C2B-478B-927C-CF66F49FE564}"/>
    <cellStyle name="20% - 强调文字颜色 3 2 2 3" xfId="2235" xr:uid="{9B6C8848-8377-470F-93AE-843244046EF0}"/>
    <cellStyle name="20% - 强调文字颜色 3 2 2 4" xfId="2236" xr:uid="{6283F75B-A0A6-4AAD-B8D8-BC28DAFEEBD8}"/>
    <cellStyle name="20% - 强调文字颜色 3 2 2 4 2" xfId="2237" xr:uid="{F627C9DA-036F-4C70-81CA-723B26AAB277}"/>
    <cellStyle name="20% - 强调文字颜色 3 2 2 5" xfId="2239" xr:uid="{95F2EC2D-0C59-48A4-AAD2-E4B7827F18F4}"/>
    <cellStyle name="20% - 强调文字颜色 3 2 2 5 2" xfId="2240" xr:uid="{C7739F03-4C6A-42A1-8D06-04FB85E7D2C7}"/>
    <cellStyle name="20% - 强调文字颜色 3 2 2 6" xfId="2243" xr:uid="{BB4DCFC9-AD5F-4BC9-8047-DF56568AD4CC}"/>
    <cellStyle name="20% - 强调文字颜色 3 2 2 6 2" xfId="2244" xr:uid="{A88CBA5C-0DD2-4A8E-B4D0-8FD7A58B3CCE}"/>
    <cellStyle name="20% - 强调文字颜色 3 2 2 7" xfId="2246" xr:uid="{26E9EB96-FABE-48CD-8201-09B2E3E09080}"/>
    <cellStyle name="20% - 强调文字颜色 3 2 2 7 2" xfId="2247" xr:uid="{338F9633-784B-432B-8273-7C68F51B299E}"/>
    <cellStyle name="20% - 强调文字颜色 3 2 2 8" xfId="2249" xr:uid="{D72CD356-4817-49B3-8327-6AA7119944A1}"/>
    <cellStyle name="20% - 强调文字颜色 3 2 2 8 2" xfId="2253" xr:uid="{9E730700-D070-4DC3-BBD4-D7533DACDD88}"/>
    <cellStyle name="20% - 强调文字颜色 3 2 2 9" xfId="2254" xr:uid="{BDD075EE-2A0D-40D7-9C77-AD2AEF1F3B03}"/>
    <cellStyle name="20% - 强调文字颜色 3 2 2 9 2" xfId="2255" xr:uid="{0A4A6FC8-F6E3-4247-846E-D382246C0049}"/>
    <cellStyle name="20% - 强调文字颜色 3 2 20" xfId="2196" xr:uid="{BF19D9BA-8B30-4DEA-9A80-4B522BF2CEFC}"/>
    <cellStyle name="20% - 强调文字颜色 3 2 20 2" xfId="2198" xr:uid="{5B93BD60-614E-412A-8C8F-380443A1BC59}"/>
    <cellStyle name="20% - 强调文字颜色 3 2 21" xfId="2201" xr:uid="{8FF843EE-A8E1-4B74-8DA6-A40E076464CE}"/>
    <cellStyle name="20% - 强调文字颜色 3 2 21 2" xfId="2258" xr:uid="{C40CB636-067D-4A7E-8F19-BF68DB699411}"/>
    <cellStyle name="20% - 强调文字颜色 3 2 22" xfId="9550" xr:uid="{00EFF48B-A3C3-482D-A31F-422F8942A75F}"/>
    <cellStyle name="20% - 强调文字颜色 3 2 23" xfId="13412" xr:uid="{13440738-A478-496C-8B7C-025CFEB4249E}"/>
    <cellStyle name="20% - 强调文字颜色 3 2 24" xfId="12668" xr:uid="{31AFB2F6-462C-42DD-9145-6A1118C2FDA9}"/>
    <cellStyle name="20% - 强调文字颜色 3 2 3" xfId="2259" xr:uid="{4875E051-F60A-437B-993A-3C4B5C0D038B}"/>
    <cellStyle name="20% - 强调文字颜色 3 2 3 2" xfId="9552" xr:uid="{6309160A-8799-4A2B-B20C-07B488CDC1AF}"/>
    <cellStyle name="20% - 强调文字颜色 3 2 3 2 2" xfId="17565" xr:uid="{3F63A2F2-8A05-49F5-B4CF-8A25F468952C}"/>
    <cellStyle name="20% - 强调文字颜色 3 2 3 3" xfId="13333" xr:uid="{2D60560B-6682-4386-99BC-FB1E47378268}"/>
    <cellStyle name="20% - 强调文字颜色 3 2 3 4" xfId="17564" xr:uid="{8E791D70-B7E6-4073-852C-99BE74F37233}"/>
    <cellStyle name="20% - 强调文字颜色 3 2 3 5" xfId="27288" xr:uid="{64F1BC8B-320F-4921-845A-D62F35C08BB4}"/>
    <cellStyle name="20% - 强调文字颜色 3 2 4" xfId="2261" xr:uid="{01DB51CF-41B5-436E-B3EF-5D66F69D67F9}"/>
    <cellStyle name="20% - 强调文字颜色 3 2 4 2" xfId="2266" xr:uid="{EE148721-EF08-435C-8637-2DF5A22F2BFF}"/>
    <cellStyle name="20% - 强调文字颜色 3 2 4 3" xfId="13314" xr:uid="{E30007B4-2218-408C-A401-D3061ADC854C}"/>
    <cellStyle name="20% - 强调文字颜色 3 2 4 4" xfId="17566" xr:uid="{8C819DCE-899B-4C99-B0A6-D605C43BA395}"/>
    <cellStyle name="20% - 强调文字颜色 3 2 4 5" xfId="27672" xr:uid="{C10ED09F-5843-4B8C-BC86-354C42B29C3C}"/>
    <cellStyle name="20% - 强调文字颜色 3 2 5" xfId="2268" xr:uid="{CCDEF7FA-4CC9-4D9B-8975-A001808CEF39}"/>
    <cellStyle name="20% - 强调文字颜色 3 2 5 2" xfId="2271" xr:uid="{7262628B-5CAE-45D3-9A1F-DA6B4EC629F5}"/>
    <cellStyle name="20% - 强调文字颜色 3 2 5 3" xfId="17567" xr:uid="{708AD947-E986-4F7F-8AE7-EED25E346E70}"/>
    <cellStyle name="20% - 强调文字颜色 3 2 6" xfId="2272" xr:uid="{1C510F45-5318-41D2-80A4-BBE1E2086C61}"/>
    <cellStyle name="20% - 强调文字颜色 3 2 6 2" xfId="2273" xr:uid="{27B1BFC7-6CEB-48FA-B58B-62E12B565560}"/>
    <cellStyle name="20% - 强调文字颜色 3 2 6 3" xfId="17568" xr:uid="{4F6214E3-87DA-41A8-90AA-6110EF24C2EF}"/>
    <cellStyle name="20% - 强调文字颜色 3 2 7" xfId="2274" xr:uid="{F182D774-9279-4D4E-93DA-C07B600749A0}"/>
    <cellStyle name="20% - 强调文字颜色 3 2 7 2" xfId="2275" xr:uid="{1CAF5D93-6FB4-4603-A256-F2D74C1417F6}"/>
    <cellStyle name="20% - 强调文字颜色 3 2 7 3" xfId="17569" xr:uid="{3C382BBB-44CA-4ADD-9EB0-861D3C650291}"/>
    <cellStyle name="20% - 强调文字颜色 3 2 8" xfId="2238" xr:uid="{8F796573-671F-49C6-A8BD-49F9D4779041}"/>
    <cellStyle name="20% - 强调文字颜色 3 2 8 2" xfId="2276" xr:uid="{F5299E5F-F475-44F8-B4D1-468E6CDF4023}"/>
    <cellStyle name="20% - 强调文字颜色 3 2 9" xfId="2277" xr:uid="{E418D040-C488-4818-8490-6C25411DEC16}"/>
    <cellStyle name="20% - 强调文字颜色 3 2 9 2" xfId="2278" xr:uid="{9ADD0174-A7C1-4442-B1BC-08BF94665DAE}"/>
    <cellStyle name="20% - 强调文字颜色 3 2_动力部" xfId="17570" xr:uid="{A80F5257-C823-4450-A949-E11A03F5D369}"/>
    <cellStyle name="20% - 强调文字颜色 3 20" xfId="2113" xr:uid="{5DA623E4-07B1-49B5-87B5-46BCEAA47518}"/>
    <cellStyle name="20% - 强调文字颜色 3 20 2" xfId="112" xr:uid="{C7945FB1-3C47-4B4D-A353-ECD9137A4EDD}"/>
    <cellStyle name="20% - 强调文字颜色 3 20 2 2" xfId="2279" xr:uid="{15EADA6B-0DC4-4B2D-84D4-9348384C79DB}"/>
    <cellStyle name="20% - 强调文字颜色 3 20 2 2 2" xfId="17573" xr:uid="{B9A6C7F0-ABC7-43EB-9511-34C91E827668}"/>
    <cellStyle name="20% - 强调文字颜色 3 20 2 3" xfId="17572" xr:uid="{6DE20C04-4311-4027-B2F2-CDCE4A5F00BF}"/>
    <cellStyle name="20% - 强调文字颜色 3 20 3" xfId="9553" xr:uid="{F07E8999-F3AB-428F-83F0-30F662548D01}"/>
    <cellStyle name="20% - 强调文字颜色 3 20 3 2" xfId="17574" xr:uid="{350948B7-9503-45E8-84BD-5B9FE7625210}"/>
    <cellStyle name="20% - 强调文字颜色 3 20 4" xfId="13155" xr:uid="{B8BF911C-3ACA-4753-8E2C-75579C933832}"/>
    <cellStyle name="20% - 强调文字颜色 3 20 4 2" xfId="17575" xr:uid="{AB88E7D6-EC75-4E3A-901B-A52B0E5B579E}"/>
    <cellStyle name="20% - 强调文字颜色 3 20 5" xfId="17571" xr:uid="{B36CB829-7590-4C85-BE2F-F0FEA741057B}"/>
    <cellStyle name="20% - 强调文字颜色 3 21" xfId="2124" xr:uid="{04316625-5D26-405C-A30E-FE54FA7F5814}"/>
    <cellStyle name="20% - 强调文字颜色 3 21 2" xfId="2128" xr:uid="{5167431E-A50B-4F0E-A69E-AD9D34DDE4EF}"/>
    <cellStyle name="20% - 强调文字颜色 3 21 2 2" xfId="536" xr:uid="{AB3821CF-3B1C-4C85-BDA0-AE4DF22BD2EF}"/>
    <cellStyle name="20% - 强调文字颜色 3 21 2 2 2" xfId="17578" xr:uid="{1C614EFB-B8B7-45E6-856B-FF85004D50AF}"/>
    <cellStyle name="20% - 强调文字颜色 3 21 2 3" xfId="17577" xr:uid="{7874432B-64B8-4D06-AA09-C9D06F7D6F86}"/>
    <cellStyle name="20% - 强调文字颜色 3 21 3" xfId="9554" xr:uid="{1725744F-A9AF-4443-BE64-49B5092D326E}"/>
    <cellStyle name="20% - 强调文字颜色 3 21 3 2" xfId="17579" xr:uid="{CC86EB6D-91B0-49BB-939D-08A03C5A1E46}"/>
    <cellStyle name="20% - 强调文字颜色 3 21 4" xfId="13129" xr:uid="{4F341558-56AD-4DF1-A2E7-33DC7F6B10A1}"/>
    <cellStyle name="20% - 强调文字颜色 3 21 4 2" xfId="17580" xr:uid="{601CBEB9-EF4A-42E1-9688-721FB267DF58}"/>
    <cellStyle name="20% - 强调文字颜色 3 21 5" xfId="17576" xr:uid="{267E18E5-F141-4312-8FC9-2A89BA27AB09}"/>
    <cellStyle name="20% - 强调文字颜色 3 22" xfId="2137" xr:uid="{1E475904-AE35-41A2-9E17-132B87EFA32F}"/>
    <cellStyle name="20% - 强调文字颜色 3 22 2" xfId="2141" xr:uid="{E0FB2060-ABF1-4AE5-886D-2EC8FE3D91CA}"/>
    <cellStyle name="20% - 强调文字颜色 3 22 2 2" xfId="2145" xr:uid="{D7694252-FE50-4D53-8F52-E50DA0A9FFDE}"/>
    <cellStyle name="20% - 强调文字颜色 3 22 2 2 2" xfId="17583" xr:uid="{279AB453-D751-4DC7-9CC0-DD0AB34D18E4}"/>
    <cellStyle name="20% - 强调文字颜色 3 22 2 3" xfId="17582" xr:uid="{7CB09EF3-003F-41A9-8C54-8834EDAD7D0B}"/>
    <cellStyle name="20% - 强调文字颜色 3 22 3" xfId="9555" xr:uid="{4CB4DC5B-1225-46A2-AA70-7997AAFA2D53}"/>
    <cellStyle name="20% - 强调文字颜色 3 22 3 2" xfId="17584" xr:uid="{5E8FD44A-F666-4364-8220-61DA894463B7}"/>
    <cellStyle name="20% - 强调文字颜色 3 22 4" xfId="13116" xr:uid="{62B66CBA-AD0B-44CF-A02F-641A0D6EE399}"/>
    <cellStyle name="20% - 强调文字颜色 3 22 4 2" xfId="17585" xr:uid="{154B59B7-154D-483F-812C-69410A51672D}"/>
    <cellStyle name="20% - 强调文字颜色 3 22 5" xfId="17581" xr:uid="{45009D95-24DD-44AC-9DD9-600B6B04CFD2}"/>
    <cellStyle name="20% - 强调文字颜色 3 23" xfId="2154" xr:uid="{5916410B-93A1-45A8-958B-F92399D98554}"/>
    <cellStyle name="20% - 强调文字颜色 3 23 2" xfId="2158" xr:uid="{F466A094-8F78-47DF-A0B6-3480F4ED553F}"/>
    <cellStyle name="20% - 强调文字颜色 3 23 2 2" xfId="2161" xr:uid="{83444131-0FE7-4C37-9A31-A76F768BA1BC}"/>
    <cellStyle name="20% - 强调文字颜色 3 23 2 2 2" xfId="17588" xr:uid="{069B8E08-821C-496A-B3C1-6030B88A15F1}"/>
    <cellStyle name="20% - 强调文字颜色 3 23 2 3" xfId="17587" xr:uid="{0C4581D7-95A0-4287-8781-6DD0DD27F3FE}"/>
    <cellStyle name="20% - 强调文字颜色 3 23 3" xfId="13048" xr:uid="{03C6489C-93A1-4DEA-BF66-416120CDB1E6}"/>
    <cellStyle name="20% - 强调文字颜色 3 23 3 2" xfId="17589" xr:uid="{31F5B45B-CA1E-4862-9765-812C6F67DAB0}"/>
    <cellStyle name="20% - 强调文字颜色 3 23 4" xfId="17590" xr:uid="{9CC99547-15BF-47AC-B032-677525E58A2F}"/>
    <cellStyle name="20% - 强调文字颜色 3 23 5" xfId="17586" xr:uid="{B3A5A177-FF3B-4FAA-9720-95962B26D7AA}"/>
    <cellStyle name="20% - 强调文字颜色 3 24" xfId="2168" xr:uid="{550AC892-4F57-4615-A6B5-3F264391E4F4}"/>
    <cellStyle name="20% - 强调文字颜色 3 24 2" xfId="13077" xr:uid="{19694F0A-F78D-4B8F-81A3-376713673C38}"/>
    <cellStyle name="20% - 强调文字颜色 3 24 2 2" xfId="17593" xr:uid="{D7CF0AC2-800B-475F-9F3F-24D5B34F6898}"/>
    <cellStyle name="20% - 强调文字颜色 3 24 2 3" xfId="17592" xr:uid="{630AC801-CDFE-40AD-9AC5-576F6463E049}"/>
    <cellStyle name="20% - 强调文字颜色 3 24 3" xfId="17594" xr:uid="{2D689887-210A-4908-99A2-468BB29D6B3A}"/>
    <cellStyle name="20% - 强调文字颜色 3 24 4" xfId="17595" xr:uid="{392F30EC-FAAB-4BE9-814C-2689B41CA9C4}"/>
    <cellStyle name="20% - 强调文字颜色 3 24 5" xfId="17591" xr:uid="{FAD1857C-AE42-4D56-A9CE-BE807759AAE8}"/>
    <cellStyle name="20% - 强调文字颜色 3 25" xfId="2281" xr:uid="{C50C68FD-3D39-4245-B67D-38D7A9ADC8F6}"/>
    <cellStyle name="20% - 强调文字颜色 3 25 2" xfId="13026" xr:uid="{23BF03E4-971F-4AF5-B7B8-D37EEE363CC0}"/>
    <cellStyle name="20% - 强调文字颜色 3 25 2 2" xfId="17598" xr:uid="{BED14773-E68C-47D2-A48D-B8FDAF8464F7}"/>
    <cellStyle name="20% - 强调文字颜色 3 25 2 3" xfId="17597" xr:uid="{B491A9A5-24A0-4D31-8555-E9CBD213E665}"/>
    <cellStyle name="20% - 强调文字颜色 3 25 3" xfId="17599" xr:uid="{B31E1FCE-1B3D-488F-B24E-0980C0A0BBB1}"/>
    <cellStyle name="20% - 强调文字颜色 3 25 4" xfId="17600" xr:uid="{5E27CD6C-F38D-485C-B63F-22A22D4FBF4D}"/>
    <cellStyle name="20% - 强调文字颜色 3 25 5" xfId="17596" xr:uid="{2E6A7D6D-43E7-41A8-81B4-797F8C343EC5}"/>
    <cellStyle name="20% - 强调文字颜色 3 26" xfId="2285" xr:uid="{886D6B03-60E4-4864-BBFD-8DCF017365BD}"/>
    <cellStyle name="20% - 强调文字颜色 3 26 2" xfId="17602" xr:uid="{7DBA568F-EAC9-44D7-8605-CE8D0CE2049D}"/>
    <cellStyle name="20% - 强调文字颜色 3 26 2 2" xfId="17603" xr:uid="{BC2DB3B8-2E8C-4F63-91DA-87F74509250F}"/>
    <cellStyle name="20% - 强调文字颜色 3 26 3" xfId="17604" xr:uid="{E274DBDE-3D73-4A8E-AD5B-B7B25C0992C7}"/>
    <cellStyle name="20% - 强调文字颜色 3 26 4" xfId="17605" xr:uid="{88BD1113-3F8A-4153-AAE6-0133B16519A3}"/>
    <cellStyle name="20% - 强调文字颜色 3 26 5" xfId="17601" xr:uid="{78DBB4A5-CCE7-4F1B-97B5-AA46DA0D36CA}"/>
    <cellStyle name="20% - 强调文字颜色 3 27" xfId="2289" xr:uid="{7E516EF5-E73F-45B7-8C58-9E0D35A81A7B}"/>
    <cellStyle name="20% - 强调文字颜色 3 27 2" xfId="17607" xr:uid="{82B69C36-AE15-43B3-B3CA-354FAA8E5D61}"/>
    <cellStyle name="20% - 强调文字颜色 3 27 2 2" xfId="17608" xr:uid="{F9B474A6-15BA-4DDE-86B1-BB976A7388DC}"/>
    <cellStyle name="20% - 强调文字颜色 3 27 3" xfId="17609" xr:uid="{A6FBD6B0-0F98-4DD7-881F-D56610A333BA}"/>
    <cellStyle name="20% - 强调文字颜色 3 27 4" xfId="17610" xr:uid="{39F1DE08-3368-4202-99F4-9EB54803A46D}"/>
    <cellStyle name="20% - 强调文字颜色 3 27 5" xfId="17606" xr:uid="{00B6DFC9-00BF-403B-9B1E-7FB6AA29FBC5}"/>
    <cellStyle name="20% - 强调文字颜色 3 28" xfId="2293" xr:uid="{4DEFFA2B-4BA1-4081-95F9-009D2F766AFA}"/>
    <cellStyle name="20% - 强调文字颜色 3 28 2" xfId="17612" xr:uid="{BDA33D93-C47E-4F75-8E41-A588BCC58F80}"/>
    <cellStyle name="20% - 强调文字颜色 3 28 3" xfId="17613" xr:uid="{0E74108A-3905-462D-B14A-9DD888B148EF}"/>
    <cellStyle name="20% - 强调文字颜色 3 28 4" xfId="17614" xr:uid="{19AD7A59-0918-4761-9C9B-12FD4F6F1198}"/>
    <cellStyle name="20% - 强调文字颜色 3 28 5" xfId="17611" xr:uid="{462E1D6D-6C70-4AE4-9CF0-93653358C296}"/>
    <cellStyle name="20% - 强调文字颜色 3 29" xfId="2297" xr:uid="{B8E3F8E7-C384-4000-BB85-9381C3D1B123}"/>
    <cellStyle name="20% - 强调文字颜色 3 29 2" xfId="17616" xr:uid="{FEC32F28-ACDD-48B1-B1D3-88B7ED64FAA9}"/>
    <cellStyle name="20% - 强调文字颜色 3 29 3" xfId="17617" xr:uid="{00829778-1FCB-4FE2-B39A-3819CDA23F24}"/>
    <cellStyle name="20% - 强调文字颜色 3 29 4" xfId="17618" xr:uid="{9CCE138F-3831-4887-A359-4DECFBD422CA}"/>
    <cellStyle name="20% - 强调文字颜色 3 29 5" xfId="17615" xr:uid="{0551E7EE-D839-4F76-BF23-0FC9DA6D33E8}"/>
    <cellStyle name="20% - 强调文字颜色 3 3" xfId="673" xr:uid="{EC226D01-7637-4C65-8D61-A6AE864FC0D7}"/>
    <cellStyle name="20% - 强调文字颜色 3 3 10" xfId="2301" xr:uid="{FC96BE1A-FF47-42A5-90CC-E7F6CCC7D838}"/>
    <cellStyle name="20% - 强调文字颜色 3 3 10 2" xfId="2302" xr:uid="{A0779259-8A12-489B-9E34-8C9EF959EF50}"/>
    <cellStyle name="20% - 强调文字颜色 3 3 11" xfId="2193" xr:uid="{B63D933F-C378-42B7-85E4-C38587A3153A}"/>
    <cellStyle name="20% - 强调文字颜色 3 3 11 2" xfId="2303" xr:uid="{FAFB3DD9-1653-4354-9863-46F834049E11}"/>
    <cellStyle name="20% - 强调文字颜色 3 3 12" xfId="2304" xr:uid="{4F4FE499-EF7A-4BED-8C8F-D2B05F130648}"/>
    <cellStyle name="20% - 强调文字颜色 3 3 13" xfId="894" xr:uid="{175E56D4-0972-4D96-BD62-D139FF3D69AF}"/>
    <cellStyle name="20% - 强调文字颜色 3 3 13 2" xfId="2305" xr:uid="{E21F1F06-13DF-4045-8ED2-94CF7BFE0AFE}"/>
    <cellStyle name="20% - 强调文字颜色 3 3 14" xfId="2308" xr:uid="{409A1E52-1B19-4286-9B7A-E8D46E095E3F}"/>
    <cellStyle name="20% - 强调文字颜色 3 3 14 2" xfId="2311" xr:uid="{231276B1-E780-48A5-B4D9-298B310DE440}"/>
    <cellStyle name="20% - 强调文字颜色 3 3 15" xfId="2314" xr:uid="{783AD586-0E91-4F4E-AE56-9633A41FB5F8}"/>
    <cellStyle name="20% - 强调文字颜色 3 3 16" xfId="9556" xr:uid="{34B10B61-E69D-4F65-B859-8182FC4A3596}"/>
    <cellStyle name="20% - 强调文字颜色 3 3 17" xfId="13416" xr:uid="{4D140F77-4F69-4CDE-BE32-DEB52A5ECA1A}"/>
    <cellStyle name="20% - 强调文字颜色 3 3 18" xfId="17619" xr:uid="{11353D66-776F-4A2A-8532-BFA47AC9AD2C}"/>
    <cellStyle name="20% - 强调文字颜色 3 3 2" xfId="436" xr:uid="{ED16A53C-5FEF-4A69-AE80-E2A3711FFE26}"/>
    <cellStyle name="20% - 强调文字颜色 3 3 2 2" xfId="2316" xr:uid="{3A7EACB1-8509-4186-A236-07CBBB1EFDEB}"/>
    <cellStyle name="20% - 强调文字颜色 3 3 2 3" xfId="9557" xr:uid="{7BCE6810-90EC-4F1D-A7BF-A443D1E28625}"/>
    <cellStyle name="20% - 强调文字颜色 3 3 2 4" xfId="17620" xr:uid="{57C32017-FD81-418B-BF62-FB990D99289E}"/>
    <cellStyle name="20% - 强调文字颜色 3 3 2 5" xfId="27289" xr:uid="{69126C70-D70F-4981-8062-281EEC096277}"/>
    <cellStyle name="20% - 强调文字颜色 3 3 3" xfId="2320" xr:uid="{FF2747AA-23CF-470C-9D9C-2E1CDA91B1A0}"/>
    <cellStyle name="20% - 强调文字颜色 3 3 3 2" xfId="2325" xr:uid="{8519B438-755E-4002-80BE-3AB0AC9FC5F1}"/>
    <cellStyle name="20% - 强调文字颜色 3 3 3 2 2" xfId="17622" xr:uid="{419188AB-596E-422F-AD2B-567216EBD1D8}"/>
    <cellStyle name="20% - 强调文字颜色 3 3 3 3" xfId="9558" xr:uid="{74F3DF79-A151-4C93-8BC4-36FA44665ACE}"/>
    <cellStyle name="20% - 强调文字颜色 3 3 3 4" xfId="17621" xr:uid="{21F5F4ED-1E60-4FB5-92B8-57A755B87BC3}"/>
    <cellStyle name="20% - 强调文字颜色 3 3 3 5" xfId="27290" xr:uid="{80FDF378-5712-4EE9-8945-F77DB1706CCD}"/>
    <cellStyle name="20% - 强调文字颜色 3 3 4" xfId="87" xr:uid="{A80F1710-7732-4924-BA15-9622F7DAEA91}"/>
    <cellStyle name="20% - 强调文字颜色 3 3 4 2" xfId="2329" xr:uid="{3027CB0E-EF64-48F2-A574-3BA186219284}"/>
    <cellStyle name="20% - 强调文字颜色 3 3 4 3" xfId="17623" xr:uid="{E4E3E939-DD02-45D6-A82D-A9A04E546EB1}"/>
    <cellStyle name="20% - 强调文字颜色 3 3 4 4" xfId="27673" xr:uid="{11AFBF91-85F8-4F52-8122-CF40422A2B6A}"/>
    <cellStyle name="20% - 强调文字颜色 3 3 5" xfId="2332" xr:uid="{EA5D00EB-4FB3-4617-8AE1-6FF318508BFA}"/>
    <cellStyle name="20% - 强调文字颜色 3 3 5 2" xfId="185" xr:uid="{AEB1C8E4-0385-4569-AEB5-AEEAB9FE18ED}"/>
    <cellStyle name="20% - 强调文字颜色 3 3 5 3" xfId="17624" xr:uid="{E3147805-1C66-44AE-B907-EE24F187C471}"/>
    <cellStyle name="20% - 强调文字颜色 3 3 6" xfId="2335" xr:uid="{68837201-C908-4B8C-90D1-113814462EA0}"/>
    <cellStyle name="20% - 强调文字颜色 3 3 6 2" xfId="2337" xr:uid="{679395AE-106A-4BA2-AAE9-087A9A212DE7}"/>
    <cellStyle name="20% - 强调文字颜色 3 3 7" xfId="2342" xr:uid="{A3C13D77-151F-4FDA-9FC6-A7B863960DA8}"/>
    <cellStyle name="20% - 强调文字颜色 3 3 7 2" xfId="2344" xr:uid="{AC611B64-E8DA-48F8-A6CF-8C7260B9AE5C}"/>
    <cellStyle name="20% - 强调文字颜色 3 3 8" xfId="2241" xr:uid="{5FAF255A-CC17-447A-984D-DEBC9A75C5D9}"/>
    <cellStyle name="20% - 强调文字颜色 3 3 8 2" xfId="2349" xr:uid="{75405EF1-F34B-4B20-AA7C-436CE1BA343F}"/>
    <cellStyle name="20% - 强调文字颜色 3 3 9" xfId="2353" xr:uid="{FF611976-A13E-49A1-A12B-41392474F0EC}"/>
    <cellStyle name="20% - 强调文字颜色 3 30" xfId="2282" xr:uid="{C9761576-E726-4B52-BD83-88B8D4F7C3DB}"/>
    <cellStyle name="20% - 强调文字颜色 3 30 2" xfId="17626" xr:uid="{A3D59F7B-F3DD-40F1-A310-145D8C82CB54}"/>
    <cellStyle name="20% - 强调文字颜色 3 30 3" xfId="17627" xr:uid="{72AA3349-57FB-44BC-8A6A-C9B5FD40518D}"/>
    <cellStyle name="20% - 强调文字颜色 3 30 4" xfId="17628" xr:uid="{293CE311-BB53-42B9-8D8D-EB7E64E4455B}"/>
    <cellStyle name="20% - 强调文字颜色 3 30 5" xfId="17625" xr:uid="{D2139EAF-0585-45EC-B203-02210455DA6E}"/>
    <cellStyle name="20% - 强调文字颜色 3 31" xfId="2286" xr:uid="{A20B3E06-504B-48F8-B616-AF6D62C6FD51}"/>
    <cellStyle name="20% - 强调文字颜色 3 31 2" xfId="17630" xr:uid="{A230A16B-4033-4535-A40D-B6AC6681165F}"/>
    <cellStyle name="20% - 强调文字颜色 3 31 3" xfId="17631" xr:uid="{39F0C8C6-5675-47A5-8D3D-50E5AAF058F4}"/>
    <cellStyle name="20% - 强调文字颜色 3 31 4" xfId="17632" xr:uid="{EC8A83A7-831C-4878-97C4-B1BF15F2B6B0}"/>
    <cellStyle name="20% - 强调文字颜色 3 31 5" xfId="17629" xr:uid="{23935C17-C159-4815-A967-E0E48843F964}"/>
    <cellStyle name="20% - 强调文字颜色 3 32" xfId="2290" xr:uid="{60B0F40A-B306-4176-B808-9744C379126A}"/>
    <cellStyle name="20% - 强调文字颜色 3 32 2" xfId="17634" xr:uid="{356DD13A-6E16-4A31-B431-35EA61662BBA}"/>
    <cellStyle name="20% - 强调文字颜色 3 32 3" xfId="17635" xr:uid="{DB39380E-A13C-4750-BA93-2F743CFE9506}"/>
    <cellStyle name="20% - 强调文字颜色 3 32 4" xfId="17636" xr:uid="{883ED353-73DA-4E39-A119-14846268A39A}"/>
    <cellStyle name="20% - 强调文字颜色 3 32 5" xfId="17633" xr:uid="{B482786E-6D6B-4AC1-A541-8496E372C5DC}"/>
    <cellStyle name="20% - 强调文字颜色 3 33" xfId="2294" xr:uid="{3A1D0DD7-45AC-491B-9309-31AE910E9F5C}"/>
    <cellStyle name="20% - 强调文字颜色 3 33 2" xfId="17638" xr:uid="{0CD3F001-3C9E-4EBE-BD6B-4FF12E43B08E}"/>
    <cellStyle name="20% - 强调文字颜色 3 33 3" xfId="17639" xr:uid="{0120C811-E64D-44A7-BDEB-5528C73604CA}"/>
    <cellStyle name="20% - 强调文字颜色 3 33 4" xfId="17640" xr:uid="{A5170012-A1BB-4077-A1A5-2A7D893BD443}"/>
    <cellStyle name="20% - 强调文字颜色 3 33 5" xfId="17637" xr:uid="{F58408F1-D8EE-464C-80D5-360E786CCA9D}"/>
    <cellStyle name="20% - 强调文字颜色 3 34" xfId="2298" xr:uid="{80A5784C-87D7-488C-9C40-1ED3EC2195A0}"/>
    <cellStyle name="20% - 强调文字颜色 3 34 2" xfId="12075" xr:uid="{A1BEC2A7-CAC3-40EB-A619-E517F85A1D33}"/>
    <cellStyle name="20% - 强调文字颜色 3 34 2 2" xfId="17642" xr:uid="{02AA1772-1BAC-45CA-87C8-650A716AEEEF}"/>
    <cellStyle name="20% - 强调文字颜色 3 34 3" xfId="17643" xr:uid="{FB463B8B-258A-4898-9378-FD632173E05C}"/>
    <cellStyle name="20% - 强调文字颜色 3 34 4" xfId="17644" xr:uid="{4E4F5E4C-4455-4798-B06D-DB28956E5D71}"/>
    <cellStyle name="20% - 强调文字颜色 3 34 5" xfId="17641" xr:uid="{22C1A259-4C3D-46F1-B40D-9C6105EC2499}"/>
    <cellStyle name="20% - 强调文字颜色 3 35" xfId="2355" xr:uid="{E50BDC2D-B93E-4BF7-B2C3-5966E82E9B6D}"/>
    <cellStyle name="20% - 强调文字颜色 3 35 2" xfId="12076" xr:uid="{59728CD4-DBC1-49B0-8179-7239666F4D34}"/>
    <cellStyle name="20% - 强调文字颜色 3 35 2 2" xfId="17646" xr:uid="{503E836B-E781-4E9B-B781-0F82F91EFBB6}"/>
    <cellStyle name="20% - 强调文字颜色 3 35 3" xfId="17647" xr:uid="{FA692292-8F4B-4D16-AC3D-604A4CAFDAA1}"/>
    <cellStyle name="20% - 强调文字颜色 3 35 4" xfId="17645" xr:uid="{54FA9CE2-DFE4-4D89-B9E5-6D0FEE37B1AC}"/>
    <cellStyle name="20% - 强调文字颜色 3 36" xfId="2360" xr:uid="{2514D95A-BEB0-4CA8-B3BF-771020632FA0}"/>
    <cellStyle name="20% - 强调文字颜色 3 36 2" xfId="12077" xr:uid="{71B233B2-96E0-472A-8B2C-0077C6686686}"/>
    <cellStyle name="20% - 强调文字颜色 3 36 2 2" xfId="17649" xr:uid="{8BFD2CEC-F356-42A4-90B8-0AC697932CAC}"/>
    <cellStyle name="20% - 强调文字颜色 3 36 3" xfId="17650" xr:uid="{BCA60762-6E0D-476E-B8FA-82098A19441C}"/>
    <cellStyle name="20% - 强调文字颜色 3 36 4" xfId="17648" xr:uid="{E3B28D26-FE1B-489D-AFBD-35EEFC124B7D}"/>
    <cellStyle name="20% - 强调文字颜色 3 37" xfId="2365" xr:uid="{C316D84C-0D69-4A5A-AE77-CD8ED30CDAB5}"/>
    <cellStyle name="20% - 强调文字颜色 3 37 2" xfId="12078" xr:uid="{AA112B1F-6541-4281-BB49-D665D53A9915}"/>
    <cellStyle name="20% - 强调文字颜色 3 37 2 2" xfId="17652" xr:uid="{8785DA4E-F677-4E88-9E0C-FEE828D05087}"/>
    <cellStyle name="20% - 强调文字颜色 3 37 3" xfId="17653" xr:uid="{77F0A388-99FB-411C-8596-B922B273EA10}"/>
    <cellStyle name="20% - 强调文字颜色 3 37 4" xfId="17651" xr:uid="{17AE8BC2-9CE8-42AF-A1F7-7937097CF4DA}"/>
    <cellStyle name="20% - 强调文字颜色 3 38" xfId="2370" xr:uid="{EA81E368-BD9E-46A6-9F72-8D5A9455808F}"/>
    <cellStyle name="20% - 强调文字颜色 3 38 10" xfId="17655" xr:uid="{EED4268E-A0DC-4490-924D-1773E350F6C2}"/>
    <cellStyle name="20% - 强调文字颜色 3 38 11" xfId="17656" xr:uid="{825F6FBA-8C8A-436B-859E-0DDD0AAF73ED}"/>
    <cellStyle name="20% - 强调文字颜色 3 38 12" xfId="17657" xr:uid="{3F3CB752-B2DA-4E19-AF91-4831C0F260A8}"/>
    <cellStyle name="20% - 强调文字颜色 3 38 13" xfId="17658" xr:uid="{AE66AB5A-B686-4874-BD40-E986E6AB3116}"/>
    <cellStyle name="20% - 强调文字颜色 3 38 14" xfId="17659" xr:uid="{8D849F6E-FA0F-4928-AE9D-225837E3541E}"/>
    <cellStyle name="20% - 强调文字颜色 3 38 15" xfId="17654" xr:uid="{741FE1F6-1CD8-46B2-9BB4-EBB3012601DB}"/>
    <cellStyle name="20% - 强调文字颜色 3 38 2" xfId="12079" xr:uid="{2674345F-558D-4F6F-A07B-AE3D53D95A49}"/>
    <cellStyle name="20% - 强调文字颜色 3 38 2 2" xfId="17660" xr:uid="{CE570893-E16D-4AE6-B018-02111A35099D}"/>
    <cellStyle name="20% - 强调文字颜色 3 38 3" xfId="17661" xr:uid="{2F8D9BF8-6854-4744-BFCA-1B1B6E236E3E}"/>
    <cellStyle name="20% - 强调文字颜色 3 38 4" xfId="17662" xr:uid="{CFE54CF3-7A21-4AA7-9905-3DC4FCA1161E}"/>
    <cellStyle name="20% - 强调文字颜色 3 38 5" xfId="17663" xr:uid="{A4E74C57-F8FB-433D-A1A2-139E1040FAF6}"/>
    <cellStyle name="20% - 强调文字颜色 3 38 6" xfId="17664" xr:uid="{4AAF9808-D149-4A26-9063-19B2C3F70D64}"/>
    <cellStyle name="20% - 强调文字颜色 3 38 7" xfId="17665" xr:uid="{A8317C8E-42A8-4B5F-9304-56B637E933F3}"/>
    <cellStyle name="20% - 强调文字颜色 3 38 8" xfId="17666" xr:uid="{2B6B3A5F-9E5E-4589-AC66-3747BC764145}"/>
    <cellStyle name="20% - 强调文字颜色 3 38 9" xfId="17667" xr:uid="{F8BFA9D2-87DB-4206-BAB3-49FC8714169F}"/>
    <cellStyle name="20% - 强调文字颜色 3 39" xfId="278" xr:uid="{50946B91-821B-48E9-8E64-F3BCEE44214A}"/>
    <cellStyle name="20% - 强调文字颜色 3 39 2" xfId="12080" xr:uid="{BDD5B13C-B764-406E-9A46-74E0B5A4996F}"/>
    <cellStyle name="20% - 强调文字颜色 3 39 2 2" xfId="17669" xr:uid="{028CA69C-DBD6-43A0-A429-E518828E4858}"/>
    <cellStyle name="20% - 强调文字颜色 3 39 3" xfId="17670" xr:uid="{DB7CABCE-0C03-4C7A-905D-99EF600BFE0D}"/>
    <cellStyle name="20% - 强调文字颜色 3 39 4" xfId="17668" xr:uid="{6CFDEE5C-2FDC-48B3-89DE-2E2C5F688E2B}"/>
    <cellStyle name="20% - 强调文字颜色 3 4" xfId="675" xr:uid="{43C2AFC0-72C1-4467-B173-A31E246C00BA}"/>
    <cellStyle name="20% - 强调文字颜色 3 4 10" xfId="2375" xr:uid="{0D1B8F8D-A998-423F-AB3B-792849704107}"/>
    <cellStyle name="20% - 强调文字颜色 3 4 10 2" xfId="2376" xr:uid="{4D4126C3-AA14-4375-B9AB-EDC4696C630F}"/>
    <cellStyle name="20% - 强调文字颜色 3 4 11" xfId="2377" xr:uid="{C415873A-D83A-4353-9046-6C3DE41E54DD}"/>
    <cellStyle name="20% - 强调文字颜色 3 4 11 2" xfId="2378" xr:uid="{B039EB62-0ABB-4CFB-A9F4-9D06BADE982E}"/>
    <cellStyle name="20% - 强调文字颜色 3 4 12" xfId="2379" xr:uid="{2DFCF3D2-D3D5-43A8-83AE-A82C6E52B34C}"/>
    <cellStyle name="20% - 强调文字颜色 3 4 13" xfId="2380" xr:uid="{2715FAE9-1CC2-4CBF-AB99-A48354D3371B}"/>
    <cellStyle name="20% - 强调文字颜色 3 4 13 2" xfId="2381" xr:uid="{68627C42-06E7-41F9-9E73-C6E63C1B939A}"/>
    <cellStyle name="20% - 强调文字颜色 3 4 14" xfId="2382" xr:uid="{98837988-241B-493E-8571-CC5798154679}"/>
    <cellStyle name="20% - 强调文字颜色 3 4 14 2" xfId="2383" xr:uid="{E2295FD6-3277-4838-8B88-C4D570391078}"/>
    <cellStyle name="20% - 强调文字颜色 3 4 15" xfId="2385" xr:uid="{CCE92928-F22B-4B8B-9EA9-B4BCAAFB9DA0}"/>
    <cellStyle name="20% - 强调文字颜色 3 4 16" xfId="9559" xr:uid="{14BC400F-A2FF-441B-80D8-42BD3A7B12B5}"/>
    <cellStyle name="20% - 强调文字颜色 3 4 17" xfId="13425" xr:uid="{AF09AAC5-B474-4992-93B9-05F5541998E0}"/>
    <cellStyle name="20% - 强调文字颜色 3 4 18" xfId="17671" xr:uid="{55AA6BD3-A9C0-4A31-956A-CAA2125B711C}"/>
    <cellStyle name="20% - 强调文字颜色 3 4 2" xfId="465" xr:uid="{FF6B6688-E46D-421A-AF94-361610F83554}"/>
    <cellStyle name="20% - 强调文字颜色 3 4 2 2" xfId="2386" xr:uid="{0E0A8DF5-0E92-410A-86BA-2A307CCC8D4F}"/>
    <cellStyle name="20% - 强调文字颜色 3 4 2 2 2" xfId="17673" xr:uid="{FDA8D937-47E0-458F-B5B2-62109630BDF2}"/>
    <cellStyle name="20% - 强调文字颜色 3 4 2 3" xfId="9560" xr:uid="{5D09E3D0-7CFF-4E5B-932E-FA4D64C44ECE}"/>
    <cellStyle name="20% - 强调文字颜色 3 4 2 4" xfId="17672" xr:uid="{5C7306A0-694E-460A-88C4-FEFD270AC35D}"/>
    <cellStyle name="20% - 强调文字颜色 3 4 3" xfId="2388" xr:uid="{D9A0317B-E7E0-4F9C-8698-BB5B0903DD4C}"/>
    <cellStyle name="20% - 强调文字颜色 3 4 3 2" xfId="2391" xr:uid="{5B64176F-90A9-428C-AA75-C460C4E33A0B}"/>
    <cellStyle name="20% - 强调文字颜色 3 4 3 3" xfId="9561" xr:uid="{E72E6712-C12C-4168-A2B1-DE1B6AD3B288}"/>
    <cellStyle name="20% - 强调文字颜色 3 4 3 4" xfId="17674" xr:uid="{255AABDD-1155-4B07-98BE-63FC106A3538}"/>
    <cellStyle name="20% - 强调文字颜色 3 4 4" xfId="2393" xr:uid="{AAA4C68B-1E98-4797-A46C-2B7843155CC5}"/>
    <cellStyle name="20% - 强调文字颜色 3 4 4 2" xfId="2396" xr:uid="{0F98F540-8716-4953-B3DD-3E2B2870ACD2}"/>
    <cellStyle name="20% - 强调文字颜色 3 4 4 3" xfId="17675" xr:uid="{58FDAC06-C4AF-4974-9D11-83A48880A6AB}"/>
    <cellStyle name="20% - 强调文字颜色 3 4 5" xfId="2397" xr:uid="{90226500-C237-4490-9276-C945D475776F}"/>
    <cellStyle name="20% - 强调文字颜色 3 4 5 2" xfId="2398" xr:uid="{367F39A4-496D-4E89-B5C5-495F005B64E4}"/>
    <cellStyle name="20% - 强调文字颜色 3 4 6" xfId="2399" xr:uid="{0FD6A04D-41D3-4B16-97EA-21B4F3C59D99}"/>
    <cellStyle name="20% - 强调文字颜色 3 4 6 2" xfId="2400" xr:uid="{C8ACB7BB-624A-400D-AE72-A979BB1F4D17}"/>
    <cellStyle name="20% - 强调文字颜色 3 4 7" xfId="2401" xr:uid="{DF770F2A-BF9E-4851-9D71-ADFCACB0DB1C}"/>
    <cellStyle name="20% - 强调文字颜色 3 4 7 2" xfId="2402" xr:uid="{7C36C6C6-4161-4615-8595-2C20550111E5}"/>
    <cellStyle name="20% - 强调文字颜色 3 4 8" xfId="2245" xr:uid="{900DCADF-5F86-4588-BFF3-D0362E46AEF2}"/>
    <cellStyle name="20% - 强调文字颜色 3 4 8 2" xfId="2403" xr:uid="{360BF677-A9D2-4F64-89AD-E2BDD83D6E42}"/>
    <cellStyle name="20% - 强调文字颜色 3 4 9" xfId="2406" xr:uid="{CDB3F490-0397-4EB5-9E09-0425EBF24428}"/>
    <cellStyle name="20% - 强调文字颜色 3 40" xfId="2356" xr:uid="{27EFBDA2-1169-44EA-87FB-996619A22C14}"/>
    <cellStyle name="20% - 强调文字颜色 3 40 2" xfId="12081" xr:uid="{A3D8E21A-09FA-423F-9BE6-5FB0A1D8EB92}"/>
    <cellStyle name="20% - 强调文字颜色 3 40 2 2" xfId="17677" xr:uid="{94A9A465-EB68-40CF-8283-F20AC4E994E5}"/>
    <cellStyle name="20% - 强调文字颜色 3 40 3" xfId="17676" xr:uid="{9FEBF713-64AE-4C01-A2B4-E727FC5F8FDB}"/>
    <cellStyle name="20% - 强调文字颜色 3 41" xfId="2361" xr:uid="{9D3B217B-0741-4D53-A41D-6D682778A9EA}"/>
    <cellStyle name="20% - 强调文字颜色 3 41 2" xfId="12082" xr:uid="{AC228BAF-182C-4D4D-A28F-9D02A144B7D4}"/>
    <cellStyle name="20% - 强调文字颜色 3 41 2 2" xfId="17679" xr:uid="{ADD95074-5B58-4E39-8E79-EE2E6080A26A}"/>
    <cellStyle name="20% - 强调文字颜色 3 41 3" xfId="17678" xr:uid="{EAFFA4EE-D92A-4205-843A-A4FD9C97E3BB}"/>
    <cellStyle name="20% - 强调文字颜色 3 42" xfId="2366" xr:uid="{10619F13-2914-40E2-B003-7CF7C9DB1043}"/>
    <cellStyle name="20% - 强调文字颜色 3 42 2" xfId="12083" xr:uid="{AC94AEBF-19CE-4390-9AA7-EE4CA00532D9}"/>
    <cellStyle name="20% - 强调文字颜色 3 42 2 2" xfId="17681" xr:uid="{0987B804-0BBE-42C7-B898-BEE1AC8E7AFD}"/>
    <cellStyle name="20% - 强调文字颜色 3 42 3" xfId="17680" xr:uid="{B80947CA-708D-495A-A966-D06D5FB55F44}"/>
    <cellStyle name="20% - 强调文字颜色 3 43" xfId="2371" xr:uid="{0E04C95E-111C-41C4-BF88-415ED8919C05}"/>
    <cellStyle name="20% - 强调文字颜色 3 43 2" xfId="12084" xr:uid="{F4A13C7F-FD09-4827-8CD0-73FC840F6B51}"/>
    <cellStyle name="20% - 强调文字颜色 3 43 2 2" xfId="17683" xr:uid="{871DA87B-7A9D-4D4C-A30B-95D13DB7D604}"/>
    <cellStyle name="20% - 强调文字颜色 3 43 3" xfId="17682" xr:uid="{55061FD9-F07C-4167-A840-59D9D6558348}"/>
    <cellStyle name="20% - 强调文字颜色 3 44" xfId="277" xr:uid="{60243974-87A2-46D0-ACFD-F0FF029CC7BA}"/>
    <cellStyle name="20% - 强调文字颜色 3 44 2" xfId="12085" xr:uid="{44F58493-F148-4F80-B292-8AB7CA5B12FA}"/>
    <cellStyle name="20% - 强调文字颜色 3 44 2 2" xfId="17685" xr:uid="{F64F4F0B-91F2-456D-B27D-B2E278115107}"/>
    <cellStyle name="20% - 强调文字颜色 3 44 3" xfId="17684" xr:uid="{3F2069D8-C7B8-438D-884F-3259C97C703A}"/>
    <cellStyle name="20% - 强调文字颜色 3 45" xfId="42" xr:uid="{0F0C275F-2E2D-414C-AE25-A9CE30BAB4DC}"/>
    <cellStyle name="20% - 强调文字颜色 3 45 2" xfId="12086" xr:uid="{89564550-B1C2-4376-8649-500E25856E8E}"/>
    <cellStyle name="20% - 强调文字颜色 3 45 2 2" xfId="17687" xr:uid="{67673737-76B3-4048-92A7-D1A4A3A3A110}"/>
    <cellStyle name="20% - 强调文字颜色 3 45 3" xfId="17686" xr:uid="{03C99A9B-1FFC-4E88-9BDF-F92382A41EE8}"/>
    <cellStyle name="20% - 强调文字颜色 3 46" xfId="285" xr:uid="{8AD0CE20-C6AF-469E-A48D-52CC8714BD6B}"/>
    <cellStyle name="20% - 强调文字颜色 3 46 2" xfId="12087" xr:uid="{B4015CA7-69AB-4305-A421-3ABD30D7F903}"/>
    <cellStyle name="20% - 强调文字颜色 3 46 2 2" xfId="17689" xr:uid="{42A31BC7-7A82-4DC4-9BA8-641EA52C9873}"/>
    <cellStyle name="20% - 强调文字颜色 3 46 3" xfId="17688" xr:uid="{4218AEA3-30CC-450D-ABF3-28E0032A13A5}"/>
    <cellStyle name="20% - 强调文字颜色 3 47" xfId="295" xr:uid="{58496BBA-ED32-48B6-BBB4-C4BBA664D18C}"/>
    <cellStyle name="20% - 强调文字颜色 3 47 2" xfId="12088" xr:uid="{2869A43A-21ED-42DC-9C83-7E3DE0F54892}"/>
    <cellStyle name="20% - 强调文字颜色 3 47 3" xfId="17690" xr:uid="{F4B37764-008B-4854-AC75-AD2F609EDB60}"/>
    <cellStyle name="20% - 强调文字颜色 3 48" xfId="306" xr:uid="{D9FB229B-A143-4E8F-B05E-433C4C88647D}"/>
    <cellStyle name="20% - 强调文字颜色 3 48 2" xfId="12089" xr:uid="{EC6F7946-4402-4DFA-8D93-670F7BF36BFF}"/>
    <cellStyle name="20% - 强调文字颜色 3 48 3" xfId="17691" xr:uid="{4CFD4F16-43FD-49E7-9915-4948F8EEB6F5}"/>
    <cellStyle name="20% - 强调文字颜色 3 49" xfId="313" xr:uid="{A16C5334-A5D4-47D5-86E3-0C9C1BD8F518}"/>
    <cellStyle name="20% - 强调文字颜色 3 49 2" xfId="12090" xr:uid="{42E9ED4E-2D50-4C20-B87C-A3E93A475944}"/>
    <cellStyle name="20% - 强调文字颜色 3 49 3" xfId="17692" xr:uid="{39E5FB64-2E63-4D3F-A12B-5740E36C5882}"/>
    <cellStyle name="20% - 强调文字颜色 3 5" xfId="681" xr:uid="{C3904247-9B92-4A9E-875F-4FCF2F3B2142}"/>
    <cellStyle name="20% - 强调文字颜色 3 5 10" xfId="2408" xr:uid="{7F8802AB-B320-46C6-A352-D944D5E84774}"/>
    <cellStyle name="20% - 强调文字颜色 3 5 10 2" xfId="2409" xr:uid="{97DCFB05-2C86-470A-AB43-7402427474A5}"/>
    <cellStyle name="20% - 强调文字颜色 3 5 11" xfId="2411" xr:uid="{69D18E69-4543-4136-A9B0-0DD2C57E3A5B}"/>
    <cellStyle name="20% - 强调文字颜色 3 5 11 2" xfId="2412" xr:uid="{ACD3D90C-1E83-404E-8EF6-6F446CBDD366}"/>
    <cellStyle name="20% - 强调文字颜色 3 5 12" xfId="2413" xr:uid="{4521A02F-5030-415B-A51F-3869E55B98CF}"/>
    <cellStyle name="20% - 强调文字颜色 3 5 13" xfId="1580" xr:uid="{A3E1082F-08D6-4993-871E-CD8F06E09A66}"/>
    <cellStyle name="20% - 强调文字颜色 3 5 13 2" xfId="1605" xr:uid="{C39E282F-1408-469E-8693-8291AC1783B4}"/>
    <cellStyle name="20% - 强调文字颜色 3 5 14" xfId="514" xr:uid="{A65D3141-B80B-454E-9F8F-4CCDBF93D54E}"/>
    <cellStyle name="20% - 强调文字颜色 3 5 14 2" xfId="636" xr:uid="{98B388BF-3BD3-47B9-A79C-ED6E6688A629}"/>
    <cellStyle name="20% - 强调文字颜色 3 5 15" xfId="354" xr:uid="{51155678-FE5B-498A-8A86-023A49CAE8BC}"/>
    <cellStyle name="20% - 强调文字颜色 3 5 16" xfId="9562" xr:uid="{B1039326-3056-4270-B643-CC60FF261EC7}"/>
    <cellStyle name="20% - 强调文字颜色 3 5 17" xfId="13372" xr:uid="{82399A61-62D2-4BEB-B6FE-DB0F6943D726}"/>
    <cellStyle name="20% - 强调文字颜色 3 5 18" xfId="17693" xr:uid="{A3B5412F-BEF4-47F8-82BF-B58699467929}"/>
    <cellStyle name="20% - 强调文字颜色 3 5 2" xfId="686" xr:uid="{87F8E0DE-2EC2-4A4F-97E3-EC9C94B7A061}"/>
    <cellStyle name="20% - 强调文字颜色 3 5 2 2" xfId="2415" xr:uid="{EFB3F64D-0202-4C9A-8728-F0A639117B26}"/>
    <cellStyle name="20% - 强调文字颜色 3 5 2 2 2" xfId="17695" xr:uid="{889D6F58-0251-4B2D-AB90-A0E1C8D785CF}"/>
    <cellStyle name="20% - 强调文字颜色 3 5 2 3" xfId="9563" xr:uid="{C62115C7-B604-423E-98EB-408EFC6B3717}"/>
    <cellStyle name="20% - 强调文字颜色 3 5 2 4" xfId="17694" xr:uid="{00CEB6E9-2AC9-4F04-8C2F-5F5F748E6818}"/>
    <cellStyle name="20% - 强调文字颜色 3 5 3" xfId="2417" xr:uid="{003D393E-DBFE-4147-8957-167F4DD1B3AE}"/>
    <cellStyle name="20% - 强调文字颜色 3 5 3 2" xfId="2419" xr:uid="{B7D35A57-1FF0-4FEF-9C1A-EA8593C529A5}"/>
    <cellStyle name="20% - 强调文字颜色 3 5 3 3" xfId="9564" xr:uid="{443F3079-DA1F-4AE6-BF30-F6D5E8AD68F2}"/>
    <cellStyle name="20% - 强调文字颜色 3 5 3 4" xfId="17696" xr:uid="{E4B1458B-1DC8-4863-B48F-711C04D34500}"/>
    <cellStyle name="20% - 强调文字颜色 3 5 4" xfId="25" xr:uid="{24DF614A-9245-47AC-91D7-1D35C1EB3D87}"/>
    <cellStyle name="20% - 强调文字颜色 3 5 4 2" xfId="2421" xr:uid="{B34117AF-34B9-4BEB-95D6-8E69E1CB5270}"/>
    <cellStyle name="20% - 强调文字颜色 3 5 4 3" xfId="17697" xr:uid="{C5FFCE0D-0AD0-4206-9654-A3DF2889EC15}"/>
    <cellStyle name="20% - 强调文字颜色 3 5 5" xfId="2422" xr:uid="{62C5678D-77A9-4CAB-913C-631758B35FA1}"/>
    <cellStyle name="20% - 强调文字颜色 3 5 5 2" xfId="1656" xr:uid="{8F633519-7147-4542-A4D6-6D94E48B5437}"/>
    <cellStyle name="20% - 强调文字颜色 3 5 6" xfId="2423" xr:uid="{3A0194E8-2733-42D4-A7DA-836BA6ECB72E}"/>
    <cellStyle name="20% - 强调文字颜色 3 5 6 2" xfId="1921" xr:uid="{A21CF699-4F3F-4873-A70B-155E5F10869E}"/>
    <cellStyle name="20% - 强调文字颜色 3 5 7" xfId="2424" xr:uid="{27A77BD6-A050-4E38-9028-C6E0AA8E7DF1}"/>
    <cellStyle name="20% - 强调文字颜色 3 5 7 2" xfId="2425" xr:uid="{1743AF6A-9F27-45CD-8A88-6985CA93EDF1}"/>
    <cellStyle name="20% - 强调文字颜色 3 5 8" xfId="2248" xr:uid="{C68E2701-D484-4CDE-9B02-AB133D97D04F}"/>
    <cellStyle name="20% - 强调文字颜色 3 5 8 2" xfId="2426" xr:uid="{65881708-13B7-46F3-AB2B-5A3574B91232}"/>
    <cellStyle name="20% - 强调文字颜色 3 5 9" xfId="2428" xr:uid="{F67E9D75-767D-4F2B-B6B5-6AE522BDE0ED}"/>
    <cellStyle name="20% - 强调文字颜色 3 50" xfId="43" xr:uid="{78D9EA46-C5B2-4DEF-B173-35F0B33DF70D}"/>
    <cellStyle name="20% - 强调文字颜色 3 50 2" xfId="12091" xr:uid="{BFDE2E3D-03D3-44C3-9B4D-A8679CA7BB4A}"/>
    <cellStyle name="20% - 强调文字颜色 3 50 3" xfId="17698" xr:uid="{709E7123-A7FB-4F43-8F11-9884BC2561F0}"/>
    <cellStyle name="20% - 强调文字颜色 3 51" xfId="284" xr:uid="{B0F9B765-7194-4C4F-A743-934D9E235F27}"/>
    <cellStyle name="20% - 强调文字颜色 3 51 2" xfId="12092" xr:uid="{7759A5CE-32CA-4463-9964-DEAA9EA8AA16}"/>
    <cellStyle name="20% - 强调文字颜色 3 51 3" xfId="17699" xr:uid="{F0AC6DBA-8CBB-463E-9EA0-EAD7C753B5C1}"/>
    <cellStyle name="20% - 强调文字颜色 3 52" xfId="294" xr:uid="{58AF1878-1E5F-45EC-8BA1-5D8DC8A0BADF}"/>
    <cellStyle name="20% - 强调文字颜色 3 52 2" xfId="12093" xr:uid="{B9466620-EAAD-4964-A0CF-02D34DEBE939}"/>
    <cellStyle name="20% - 强调文字颜色 3 52 3" xfId="17700" xr:uid="{FCDECD72-0AE9-4373-B008-B2EDB74013CB}"/>
    <cellStyle name="20% - 强调文字颜色 3 53" xfId="305" xr:uid="{F78B8472-C8C5-469C-925D-B7A1C143C057}"/>
    <cellStyle name="20% - 强调文字颜色 3 53 2" xfId="12094" xr:uid="{631568AD-28B8-4625-A99D-44AFE322BBCD}"/>
    <cellStyle name="20% - 强调文字颜色 3 53 3" xfId="17701" xr:uid="{D17F5DBB-EBE8-4731-BEAA-08FB1BB9F5DD}"/>
    <cellStyle name="20% - 强调文字颜色 3 54" xfId="312" xr:uid="{72C24D62-9039-4613-ACA0-3535DA8A50BE}"/>
    <cellStyle name="20% - 强调文字颜色 3 54 2" xfId="12095" xr:uid="{14D87BE8-5CCD-47DB-A42F-02001F6BB36A}"/>
    <cellStyle name="20% - 强调文字颜色 3 54 3" xfId="17702" xr:uid="{772224DE-91FB-4746-84C3-528F166B2D26}"/>
    <cellStyle name="20% - 强调文字颜色 3 55" xfId="320" xr:uid="{BC5CE0D4-5609-41D5-A2A1-62B9EC35EB09}"/>
    <cellStyle name="20% - 强调文字颜色 3 55 2" xfId="12096" xr:uid="{815199E6-8C73-4D46-96B2-673695D4DFA8}"/>
    <cellStyle name="20% - 强调文字颜色 3 55 3" xfId="17703" xr:uid="{0CE5F929-BFC0-4792-932C-6BF44F4E3AF0}"/>
    <cellStyle name="20% - 强调文字颜色 3 56" xfId="1145" xr:uid="{3978A4EB-456D-4018-822E-6746FCCFED64}"/>
    <cellStyle name="20% - 强调文字颜色 3 56 2" xfId="12097" xr:uid="{12761E2E-B20F-425A-AEB3-03821C02123A}"/>
    <cellStyle name="20% - 强调文字颜色 3 56 3" xfId="17704" xr:uid="{36C49211-E9B1-4D1B-8BF0-55304E83F967}"/>
    <cellStyle name="20% - 强调文字颜色 3 57" xfId="1151" xr:uid="{8BE3998D-BC13-447C-A4B7-4CFB684796BA}"/>
    <cellStyle name="20% - 强调文字颜色 3 57 2" xfId="12098" xr:uid="{A08C4977-CC5E-487B-B693-EECCEF1FC938}"/>
    <cellStyle name="20% - 强调文字颜色 3 58" xfId="901" xr:uid="{22565236-9614-4521-9AA6-F0E7A8152304}"/>
    <cellStyle name="20% - 强调文字颜色 3 58 2" xfId="12099" xr:uid="{43B99653-2D77-46E0-859B-4A3091A8AD25}"/>
    <cellStyle name="20% - 强调文字颜色 3 59" xfId="1157" xr:uid="{40B0A3FA-38AE-488D-9F66-E12508752A83}"/>
    <cellStyle name="20% - 强调文字颜色 3 59 2" xfId="12100" xr:uid="{449E2240-A478-4473-B3C8-A93D30A62743}"/>
    <cellStyle name="20% - 强调文字颜色 3 6" xfId="691" xr:uid="{29AAA35B-4941-4C7C-B850-2B67BFEDE9DD}"/>
    <cellStyle name="20% - 强调文字颜色 3 6 10" xfId="17705" xr:uid="{496DFB0A-505B-4872-A7C1-5BD46AEA82A8}"/>
    <cellStyle name="20% - 强调文字颜色 3 6 2" xfId="702" xr:uid="{C7FAB181-208D-40BE-BE58-1CA52A56E6A5}"/>
    <cellStyle name="20% - 强调文字颜色 3 6 2 2" xfId="9566" xr:uid="{11CC4591-7232-426E-9205-387BBF2D04B6}"/>
    <cellStyle name="20% - 强调文字颜色 3 6 2 2 2" xfId="17707" xr:uid="{1DDA5F0D-9C1F-4BA0-A571-D2F9A4872266}"/>
    <cellStyle name="20% - 强调文字颜色 3 6 2 3" xfId="17706" xr:uid="{0E611ACF-9F96-4162-BE18-64435D0FFC44}"/>
    <cellStyle name="20% - 强调文字颜色 3 6 3" xfId="2429" xr:uid="{23424BCD-271A-4C8A-B47F-C2971BCBD438}"/>
    <cellStyle name="20% - 强调文字颜色 3 6 3 2" xfId="2430" xr:uid="{0AD14994-0E87-49EC-9D2E-B2530A14C65F}"/>
    <cellStyle name="20% - 强调文字颜色 3 6 3 3" xfId="9567" xr:uid="{C9901316-1EE2-4E5C-9F8A-2FD15BB7313C}"/>
    <cellStyle name="20% - 强调文字颜色 3 6 3 4" xfId="17708" xr:uid="{C15151EA-1DB0-4233-905C-0D4B5B2D9A66}"/>
    <cellStyle name="20% - 强调文字颜色 3 6 4" xfId="2431" xr:uid="{63B82025-01B8-49E2-925C-8517F3E30246}"/>
    <cellStyle name="20% - 强调文字颜色 3 6 4 2" xfId="2433" xr:uid="{461A47D9-1387-45D4-8EFA-F894C4AE0BD1}"/>
    <cellStyle name="20% - 强调文字颜色 3 6 4 3" xfId="17709" xr:uid="{C87F131F-754A-49C8-A431-B07AA6F6B8E9}"/>
    <cellStyle name="20% - 强调文字颜色 3 6 5" xfId="2435" xr:uid="{F86315B1-8AD7-4C7F-B1DE-9A31871F638E}"/>
    <cellStyle name="20% - 强调文字颜色 3 6 6" xfId="2436" xr:uid="{B9C5B726-C4EF-416B-B891-01DF664B2C2A}"/>
    <cellStyle name="20% - 强调文字颜色 3 6 6 2" xfId="2437" xr:uid="{D03FF8B7-0336-41A6-B805-EB15EB043458}"/>
    <cellStyle name="20% - 强调文字颜色 3 6 7" xfId="2440" xr:uid="{3BEDE4DD-E3FC-4261-888A-E2492F973294}"/>
    <cellStyle name="20% - 强调文字颜色 3 6 7 2" xfId="1741" xr:uid="{C3B33351-171C-4F8C-8E86-CD4ADB54FB3E}"/>
    <cellStyle name="20% - 强调文字颜色 3 6 8" xfId="9565" xr:uid="{291C15F1-1201-47C8-8573-C6D389B75A94}"/>
    <cellStyle name="20% - 强调文字颜色 3 6 9" xfId="13374" xr:uid="{66D40C93-19A4-433C-88DF-20B209FDBC49}"/>
    <cellStyle name="20% - 强调文字颜色 3 60" xfId="319" xr:uid="{3270C703-8D69-401C-A1B0-CE60B689F859}"/>
    <cellStyle name="20% - 强调文字颜色 3 60 2" xfId="12101" xr:uid="{302264B6-2309-4A50-B085-94F6AE104CC1}"/>
    <cellStyle name="20% - 强调文字颜色 3 61" xfId="1146" xr:uid="{16833F9C-0B36-442D-B767-D3290D278B57}"/>
    <cellStyle name="20% - 强调文字颜色 3 61 2" xfId="12102" xr:uid="{8858F91E-BCA1-45EA-88F5-1F8EB55C6634}"/>
    <cellStyle name="20% - 强调文字颜色 3 62" xfId="1152" xr:uid="{E0D4E6F0-84EF-4309-90EE-8C89B7349C51}"/>
    <cellStyle name="20% - 强调文字颜色 3 62 2" xfId="12103" xr:uid="{F061F300-1CF4-43FB-BABB-1279940F9F93}"/>
    <cellStyle name="20% - 强调文字颜色 3 63" xfId="902" xr:uid="{5D5BCBC6-23D5-4E80-B7A4-D1E321AAFC35}"/>
    <cellStyle name="20% - 强调文字颜色 3 63 2" xfId="12104" xr:uid="{A56BA093-0CB5-41FE-A14A-E38152FC7737}"/>
    <cellStyle name="20% - 强调文字颜色 3 64" xfId="1158" xr:uid="{443D783C-7E8D-4D43-8CD9-AA650E133077}"/>
    <cellStyle name="20% - 强调文字颜色 3 64 2" xfId="12105" xr:uid="{B169D6EC-7864-4AFE-BDC7-D2F8A00BAC61}"/>
    <cellStyle name="20% - 强调文字颜色 3 65" xfId="2441" xr:uid="{15ADE8D3-ABC9-488E-A3F0-9AA51546E6FE}"/>
    <cellStyle name="20% - 强调文字颜色 3 65 2" xfId="12106" xr:uid="{9DABC563-62B6-4B45-8F66-86AAB8689763}"/>
    <cellStyle name="20% - 强调文字颜色 3 66" xfId="2446" xr:uid="{883B8D66-4606-46A7-BCEE-D19950B197E7}"/>
    <cellStyle name="20% - 强调文字颜色 3 66 2" xfId="12107" xr:uid="{AB26EFC4-C01D-473E-946B-099744129405}"/>
    <cellStyle name="20% - 强调文字颜色 3 67" xfId="2450" xr:uid="{CED77DCA-6BFC-4573-8488-21A039220BC3}"/>
    <cellStyle name="20% - 强调文字颜色 3 67 2" xfId="12108" xr:uid="{EEC68A8C-43CE-4949-A3B2-3EEAEA5361D3}"/>
    <cellStyle name="20% - 强调文字颜色 3 68" xfId="2454" xr:uid="{9A6BBCA4-C993-4A5A-B096-DF28825AEC9D}"/>
    <cellStyle name="20% - 强调文字颜色 3 68 2" xfId="12109" xr:uid="{3AAE38B6-13DF-44F6-92A9-D3163996927D}"/>
    <cellStyle name="20% - 强调文字颜色 3 69" xfId="2458" xr:uid="{9B20E62E-739B-4995-80E6-5527A02D9DCD}"/>
    <cellStyle name="20% - 强调文字颜色 3 69 2" xfId="12110" xr:uid="{F9AB7DD1-1394-422C-9E66-09A7AD0FEE8C}"/>
    <cellStyle name="20% - 强调文字颜色 3 7" xfId="706" xr:uid="{DAA78C7A-A6A8-45BC-81EC-0CB2F15CAD64}"/>
    <cellStyle name="20% - 强调文字颜色 3 7 2" xfId="709" xr:uid="{F27B3968-D5AB-46D4-837D-22FD7E1B4D12}"/>
    <cellStyle name="20% - 强调文字颜色 3 7 2 2" xfId="2462" xr:uid="{76E23995-20E2-46F5-B3DD-C9C280D2A768}"/>
    <cellStyle name="20% - 强调文字颜色 3 7 2 2 2" xfId="17712" xr:uid="{945E6A30-A27F-4261-B0FD-8218D6601C05}"/>
    <cellStyle name="20% - 强调文字颜色 3 7 2 3" xfId="9569" xr:uid="{AD4338C2-F69F-485D-B1FF-76693CDD558B}"/>
    <cellStyle name="20% - 强调文字颜色 3 7 2 4" xfId="17711" xr:uid="{67FE5E01-A544-4AA6-B995-0196D9051B37}"/>
    <cellStyle name="20% - 强调文字颜色 3 7 3" xfId="2463" xr:uid="{2C35925B-78A8-4525-99CF-72BEAAC6D550}"/>
    <cellStyle name="20% - 强调文字颜色 3 7 3 2" xfId="2464" xr:uid="{5A788D5B-6704-4D43-8379-DAD33739AF4A}"/>
    <cellStyle name="20% - 强调文字颜色 3 7 3 3" xfId="9570" xr:uid="{B7DD441E-92AB-4AC8-A9F6-6B9593B3EB7F}"/>
    <cellStyle name="20% - 强调文字颜色 3 7 3 4" xfId="17713" xr:uid="{E0820856-0D4B-4951-93AC-C1C2E229F720}"/>
    <cellStyle name="20% - 强调文字颜色 3 7 4" xfId="2465" xr:uid="{F4B1059F-7339-40FA-BB44-7059C1EC9FB5}"/>
    <cellStyle name="20% - 强调文字颜色 3 7 4 2" xfId="17714" xr:uid="{D1E786F2-B548-445A-81C7-49AAA525D43C}"/>
    <cellStyle name="20% - 强调文字颜色 3 7 5" xfId="2469" xr:uid="{CA0336BA-1A18-4A27-9E7C-C93688304574}"/>
    <cellStyle name="20% - 强调文字颜色 3 7 5 2" xfId="2470" xr:uid="{E9117D6E-F2C1-4DD5-88C1-84ACD09C72CE}"/>
    <cellStyle name="20% - 强调文字颜色 3 7 6" xfId="2471" xr:uid="{896CBECB-9CCA-4D7F-BD01-08A218573D65}"/>
    <cellStyle name="20% - 强调文字颜色 3 7 6 2" xfId="2472" xr:uid="{B62AAC46-C8C3-42F5-82A6-DD404FA9AE4C}"/>
    <cellStyle name="20% - 强调文字颜色 3 7 7" xfId="9568" xr:uid="{76E03F4E-CB1A-4DEA-863D-E0D32F7D2D77}"/>
    <cellStyle name="20% - 强调文字颜色 3 7 8" xfId="13368" xr:uid="{D9186FB8-A6F8-4D00-9F4C-E03D72702B15}"/>
    <cellStyle name="20% - 强调文字颜色 3 7 9" xfId="17710" xr:uid="{F604E42A-9929-421F-AF23-62DD04F6BB57}"/>
    <cellStyle name="20% - 强调文字颜色 3 70" xfId="2442" xr:uid="{3C1E4461-2090-45E3-8644-F194BBA24D8A}"/>
    <cellStyle name="20% - 强调文字颜色 3 70 2" xfId="12111" xr:uid="{7FE364D7-40E7-4167-8C2C-33293118E8FB}"/>
    <cellStyle name="20% - 强调文字颜色 3 71" xfId="2447" xr:uid="{7983F53D-D639-4144-B832-B0C3E9D620D3}"/>
    <cellStyle name="20% - 强调文字颜色 3 71 2" xfId="12112" xr:uid="{FF0CA83F-57DD-41D3-B681-86DB501E088F}"/>
    <cellStyle name="20% - 强调文字颜色 3 72" xfId="2451" xr:uid="{DB44EAAD-3270-4F2F-A0D9-F820BA4776C5}"/>
    <cellStyle name="20% - 强调文字颜色 3 72 2" xfId="12113" xr:uid="{221B9C83-9C2E-4ABA-8F0A-0AB137AD1382}"/>
    <cellStyle name="20% - 强调文字颜色 3 73" xfId="2455" xr:uid="{22CB336C-BB94-4DCF-AF8E-17A5A9FD515F}"/>
    <cellStyle name="20% - 强调文字颜色 3 73 2" xfId="12114" xr:uid="{7F39DD9C-9F3C-4ED5-9AAE-E1F620F1D2AC}"/>
    <cellStyle name="20% - 强调文字颜色 3 74" xfId="2459" xr:uid="{0B964AFB-A8AA-48F0-8A1F-4EE2E5B2CFD1}"/>
    <cellStyle name="20% - 强调文字颜色 3 74 2" xfId="12115" xr:uid="{EB0A219D-47D0-447F-8433-43D34034ADED}"/>
    <cellStyle name="20% - 强调文字颜色 3 75" xfId="2473" xr:uid="{FA21B041-55D5-4C29-A571-B2C713DF64C3}"/>
    <cellStyle name="20% - 强调文字颜色 3 75 2" xfId="12116" xr:uid="{593C6BB8-0AC2-4AE7-9DC4-12E816FAC4EA}"/>
    <cellStyle name="20% - 强调文字颜色 3 76" xfId="2478" xr:uid="{3C80F6AE-EFA5-41CF-9D5E-ACDCF94D3A6C}"/>
    <cellStyle name="20% - 强调文字颜色 3 76 2" xfId="12117" xr:uid="{89ED136D-EF2A-473C-AB6C-942B66A28AE9}"/>
    <cellStyle name="20% - 强调文字颜色 3 77" xfId="2482" xr:uid="{DE8BFF13-54A0-4A5D-B26E-9734D82662B6}"/>
    <cellStyle name="20% - 强调文字颜色 3 77 2" xfId="12118" xr:uid="{9F9AA35A-2126-48EC-B77A-4F413EEF5A3D}"/>
    <cellStyle name="20% - 强调文字颜色 3 78" xfId="2486" xr:uid="{5479D0DB-1B08-49E0-8D16-3BD4BA939E51}"/>
    <cellStyle name="20% - 强调文字颜色 3 78 2" xfId="12119" xr:uid="{EC0FAE0B-AC60-44EC-9E56-25B5EE905667}"/>
    <cellStyle name="20% - 强调文字颜色 3 79" xfId="2490" xr:uid="{5C9EFCA1-5F30-4C9C-BE69-DBF4BE17BD75}"/>
    <cellStyle name="20% - 强调文字颜色 3 79 2" xfId="12120" xr:uid="{A8D254AE-08D3-4222-95CB-03C9D624EDBC}"/>
    <cellStyle name="20% - 强调文字颜色 3 8" xfId="713" xr:uid="{143575AA-C807-4EB0-9A9D-1342A14A04E8}"/>
    <cellStyle name="20% - 强调文字颜色 3 8 2" xfId="718" xr:uid="{7F8DBE65-856A-4155-8F81-7C77D972E05E}"/>
    <cellStyle name="20% - 强调文字颜色 3 8 2 2" xfId="2494" xr:uid="{D9BFF41D-B039-4419-9DA4-73B9F1CD648D}"/>
    <cellStyle name="20% - 强调文字颜色 3 8 2 2 2" xfId="17717" xr:uid="{A11AAC4F-B02B-43B8-ABE2-C191D7CEE6A9}"/>
    <cellStyle name="20% - 强调文字颜色 3 8 2 3" xfId="9572" xr:uid="{A477BDFA-B6AF-43C6-8600-82E1FBCE5F48}"/>
    <cellStyle name="20% - 强调文字颜色 3 8 2 4" xfId="17716" xr:uid="{FFADC8C9-3C33-4E22-B3DC-19FEBE96E62C}"/>
    <cellStyle name="20% - 强调文字颜色 3 8 3" xfId="2499" xr:uid="{0A914412-12CC-494F-AEDA-FCEDA625A0B3}"/>
    <cellStyle name="20% - 强调文字颜色 3 8 3 2" xfId="9573" xr:uid="{FA43BF2A-C694-4D44-AC30-4E53DD5D9E45}"/>
    <cellStyle name="20% - 强调文字颜色 3 8 3 3" xfId="17718" xr:uid="{159805CB-DBD6-4D2F-A07F-7EF7C5E3D092}"/>
    <cellStyle name="20% - 强调文字颜色 3 8 4" xfId="2500" xr:uid="{79960268-06BC-4C83-8B22-64C0AAD85A10}"/>
    <cellStyle name="20% - 强调文字颜色 3 8 4 2" xfId="2502" xr:uid="{D09BF9E3-E003-499A-A52E-12DE8004FB8A}"/>
    <cellStyle name="20% - 强调文字颜色 3 8 4 3" xfId="17719" xr:uid="{F7864E7E-17C6-4B50-9A1C-826F5138E690}"/>
    <cellStyle name="20% - 强调文字颜色 3 8 5" xfId="2505" xr:uid="{B188D212-F8FB-4942-90D4-C25BAB7BD26D}"/>
    <cellStyle name="20% - 强调文字颜色 3 8 5 2" xfId="2506" xr:uid="{67CE8DD5-2981-4DAD-8E51-C0FCD740E41E}"/>
    <cellStyle name="20% - 强调文字颜色 3 8 6" xfId="2509" xr:uid="{D2F6059E-01C5-41A5-B9FB-23F2D5307ACB}"/>
    <cellStyle name="20% - 强调文字颜色 3 8 7" xfId="9571" xr:uid="{5EBBB9F2-9CD7-4148-9130-ED0B72FF4F1E}"/>
    <cellStyle name="20% - 强调文字颜色 3 8 8" xfId="13294" xr:uid="{82972B58-32E9-4514-8230-F57D8E35CBD5}"/>
    <cellStyle name="20% - 强调文字颜色 3 8 9" xfId="17715" xr:uid="{CD615A88-D85E-47E7-A0CB-64259713932D}"/>
    <cellStyle name="20% - 强调文字颜色 3 80" xfId="2474" xr:uid="{0384A989-F026-407D-9F0A-C693465975C1}"/>
    <cellStyle name="20% - 强调文字颜色 3 80 2" xfId="12121" xr:uid="{A7A1C0F6-258F-47BB-A482-B3911BB14F5E}"/>
    <cellStyle name="20% - 强调文字颜色 3 81" xfId="2479" xr:uid="{F2201829-3031-4D24-B934-0A4EDD850C1B}"/>
    <cellStyle name="20% - 强调文字颜色 3 81 2" xfId="12122" xr:uid="{4D9E8D98-1F31-4541-BEA6-6CD8E29C7082}"/>
    <cellStyle name="20% - 强调文字颜色 3 82" xfId="2483" xr:uid="{772276B8-38FF-4349-97AF-6BA86BF044B4}"/>
    <cellStyle name="20% - 强调文字颜色 3 82 2" xfId="12123" xr:uid="{9CFADAAF-9FCF-46E2-8A1F-27F53CA6A83E}"/>
    <cellStyle name="20% - 强调文字颜色 3 83" xfId="2487" xr:uid="{7EE7854F-16E3-4195-BB50-CAF60A476BDF}"/>
    <cellStyle name="20% - 强调文字颜色 3 83 2" xfId="12124" xr:uid="{7D564937-4363-4751-886D-57D03B11AF08}"/>
    <cellStyle name="20% - 强调文字颜色 3 84" xfId="2491" xr:uid="{F5237C59-3435-4BA0-895C-251800DBCEFB}"/>
    <cellStyle name="20% - 强调文字颜色 3 84 2" xfId="12125" xr:uid="{D7A2C666-A3E1-4E1B-8B66-508119A62584}"/>
    <cellStyle name="20% - 强调文字颜色 3 85" xfId="2510" xr:uid="{B4327C7D-B7EE-42FD-A14D-C118D1795790}"/>
    <cellStyle name="20% - 强调文字颜色 3 86" xfId="2514" xr:uid="{9E3B0814-56E7-41D6-ADC6-A091166278A0}"/>
    <cellStyle name="20% - 强调文字颜色 3 86 2" xfId="1422" xr:uid="{38A0F6A2-8D5D-47FE-BF8E-10807C620601}"/>
    <cellStyle name="20% - 强调文字颜色 3 87" xfId="2518" xr:uid="{D45E9C84-7575-4FB0-8BD1-36E17BAC136D}"/>
    <cellStyle name="20% - 强调文字颜色 3 87 2" xfId="1442" xr:uid="{897FE18C-D61A-4FC5-B978-E00A984CBD3F}"/>
    <cellStyle name="20% - 强调文字颜色 3 88" xfId="2521" xr:uid="{F35B7811-C8D9-4650-9AFC-EBDE4C664DD3}"/>
    <cellStyle name="20% - 强调文字颜色 3 88 2" xfId="1468" xr:uid="{98BA3363-A008-4DF1-AA9D-CFFDC1BEDD89}"/>
    <cellStyle name="20% - 强调文字颜色 3 89" xfId="2524" xr:uid="{4F74E3E7-4733-492B-8FC7-4DAF707D56A8}"/>
    <cellStyle name="20% - 强调文字颜色 3 9" xfId="650" xr:uid="{6DB6C6B3-A83A-4808-B777-38F246C08A2A}"/>
    <cellStyle name="20% - 强调文字颜色 3 9 2" xfId="721" xr:uid="{25081837-52EF-4944-8838-990B84AC0264}"/>
    <cellStyle name="20% - 强调文字颜色 3 9 2 2" xfId="2526" xr:uid="{DFA5B8CF-25B8-448F-8B3F-EDDED348054E}"/>
    <cellStyle name="20% - 强调文字颜色 3 9 2 2 2" xfId="17722" xr:uid="{5A1E1F80-C646-4FB4-A974-563086911DEC}"/>
    <cellStyle name="20% - 强调文字颜色 3 9 2 3" xfId="9575" xr:uid="{E6973C56-6C1D-41D0-94DB-98C3D964D0CB}"/>
    <cellStyle name="20% - 强调文字颜色 3 9 2 4" xfId="17721" xr:uid="{4320A7F0-1A37-41D1-B327-833180C8CBE4}"/>
    <cellStyle name="20% - 强调文字颜色 3 9 3" xfId="2527" xr:uid="{4BF8434E-60A9-4453-A884-AE5F82F95466}"/>
    <cellStyle name="20% - 强调文字颜色 3 9 3 2" xfId="9576" xr:uid="{3ADDEDCF-A5FD-41DC-9E3C-7A86DFC16338}"/>
    <cellStyle name="20% - 强调文字颜色 3 9 3 3" xfId="17723" xr:uid="{F570AB41-9210-4DB5-A2ED-2C0F9E1C6CA4}"/>
    <cellStyle name="20% - 强调文字颜色 3 9 4" xfId="2528" xr:uid="{5202EB47-3979-4037-AD8B-E361249CC754}"/>
    <cellStyle name="20% - 强调文字颜色 3 9 4 2" xfId="2530" xr:uid="{4481134A-D72A-4973-A72B-4523B2D1F394}"/>
    <cellStyle name="20% - 强调文字颜色 3 9 4 3" xfId="17724" xr:uid="{E74CD986-31A3-4FD7-B766-6548EB9DB02E}"/>
    <cellStyle name="20% - 强调文字颜色 3 9 5" xfId="2531" xr:uid="{4F7DFF68-53EA-4BEB-96E0-F1E87FEDD082}"/>
    <cellStyle name="20% - 强调文字颜色 3 9 5 2" xfId="2532" xr:uid="{E8C02799-8BBE-4D62-A7D9-29C8F235ABBE}"/>
    <cellStyle name="20% - 强调文字颜色 3 9 6" xfId="2533" xr:uid="{17EB0CFD-D3E3-4C30-B285-DC149536B40F}"/>
    <cellStyle name="20% - 强调文字颜色 3 9 7" xfId="9574" xr:uid="{AF915D62-8337-4E95-8C65-CD201D3EB54F}"/>
    <cellStyle name="20% - 强调文字颜色 3 9 8" xfId="13298" xr:uid="{168656B0-D229-4768-B758-2D3791160C79}"/>
    <cellStyle name="20% - 强调文字颜色 3 9 9" xfId="17720" xr:uid="{F51215B0-6A70-4092-A52F-1A8F2F370373}"/>
    <cellStyle name="20% - 强调文字颜色 3 90" xfId="2511" xr:uid="{1C35A617-2401-4784-95B2-5A7F778935AD}"/>
    <cellStyle name="20% - 强调文字颜色 3 91" xfId="2515" xr:uid="{96C4A332-FF3E-4418-B02C-FEB5CE7039CB}"/>
    <cellStyle name="20% - 强调文字颜色 3 92" xfId="9345" xr:uid="{C1D266A8-E5C9-477A-945B-71CE1C355A08}"/>
    <cellStyle name="20% - 强调文字颜色 3 92 2" xfId="27152" xr:uid="{994991A9-25E5-4E24-8093-314E5B4A5FEC}"/>
    <cellStyle name="20% - 强调文字颜色 3 93" xfId="9523" xr:uid="{B7B99EAB-8B3A-4A22-BE60-B7DD56B14182}"/>
    <cellStyle name="20% - 强调文字颜色 3 94" xfId="13631" xr:uid="{36CDC271-80F1-46F5-8721-9875A3706D4A}"/>
    <cellStyle name="20% - 强调文字颜色 3 95" xfId="13440" xr:uid="{C94A6945-56EF-433D-9752-D671D05F1E7A}"/>
    <cellStyle name="20% - 强调文字颜色 4" xfId="2534" xr:uid="{AE246395-7750-4A38-AE30-EC69F17D56DE}"/>
    <cellStyle name="20% - 强调文字颜色 4 10" xfId="1274" xr:uid="{3679E87D-5739-4809-8DA9-622424754B6C}"/>
    <cellStyle name="20% - 强调文字颜色 4 10 2" xfId="1277" xr:uid="{2CA8032F-542E-4F58-B4B2-6B58EA20FBC2}"/>
    <cellStyle name="20% - 强调文字颜色 4 10 2 2" xfId="2535" xr:uid="{AB5CF2C1-8656-4459-926E-18D6FC270417}"/>
    <cellStyle name="20% - 强调文字颜色 4 10 2 2 2" xfId="17727" xr:uid="{BD8E9E02-3EE9-41C5-9DAE-F791FE1EC1D1}"/>
    <cellStyle name="20% - 强调文字颜色 4 10 2 3" xfId="9579" xr:uid="{29012244-9695-46EF-8727-18ABB2F56B7C}"/>
    <cellStyle name="20% - 强调文字颜色 4 10 2 4" xfId="17726" xr:uid="{0F685B3C-C3B4-4A07-A098-16CB3E9174C2}"/>
    <cellStyle name="20% - 强调文字颜色 4 10 3" xfId="2539" xr:uid="{F1BCF80F-0F9F-49CB-9818-525C8C5F0A02}"/>
    <cellStyle name="20% - 强调文字颜色 4 10 3 2" xfId="9580" xr:uid="{2A2821C0-AEC2-45DB-9E9B-A1C5DA839012}"/>
    <cellStyle name="20% - 强调文字颜色 4 10 3 3" xfId="17728" xr:uid="{7CBFF8FE-CDC7-4500-92F3-48D071112CA1}"/>
    <cellStyle name="20% - 强调文字颜色 4 10 4" xfId="2542" xr:uid="{2EA91729-5DDD-4740-958E-EF6CA4CD22FC}"/>
    <cellStyle name="20% - 强调文字颜色 4 10 4 2" xfId="2544" xr:uid="{EB59E2BD-B9FE-498B-A4D8-D84D289EEC21}"/>
    <cellStyle name="20% - 强调文字颜色 4 10 4 3" xfId="17729" xr:uid="{F6110F8E-9657-4497-88BD-9672808AA2A6}"/>
    <cellStyle name="20% - 强调文字颜色 4 10 5" xfId="2317" xr:uid="{2BD3191B-E979-4AA9-A228-EC6AA67AFDD2}"/>
    <cellStyle name="20% - 强调文字颜色 4 10 5 2" xfId="2547" xr:uid="{AC746284-528E-4A03-A272-82307CD9C6B3}"/>
    <cellStyle name="20% - 强调文字颜色 4 10 6" xfId="2549" xr:uid="{49ACF84F-1065-4EE5-B7BE-0ABAF35E8A41}"/>
    <cellStyle name="20% - 强调文字颜色 4 10 7" xfId="9578" xr:uid="{89C1666E-F10C-45E1-A4B2-8257CB03D3DE}"/>
    <cellStyle name="20% - 强调文字颜色 4 10 8" xfId="13273" xr:uid="{9D3017AE-CEE5-4791-ACDA-3D188280DB40}"/>
    <cellStyle name="20% - 强调文字颜色 4 10 9" xfId="17725" xr:uid="{6E695719-BBA2-4D73-82C7-DC76C1F19F8B}"/>
    <cellStyle name="20% - 强调文字颜色 4 11" xfId="1280" xr:uid="{BEA34AF8-1575-414E-8115-65BFB5E2B903}"/>
    <cellStyle name="20% - 强调文字颜色 4 11 2" xfId="1283" xr:uid="{98BF8442-1D8E-449C-B970-252D4B3373C6}"/>
    <cellStyle name="20% - 强调文字颜色 4 11 2 2" xfId="2553" xr:uid="{8AEDA1C4-F358-4E31-AC12-B5C001BB9DB0}"/>
    <cellStyle name="20% - 强调文字颜色 4 11 2 2 2" xfId="17732" xr:uid="{671F3DED-5476-4B13-B793-5B14D4F392A9}"/>
    <cellStyle name="20% - 强调文字颜色 4 11 2 3" xfId="9582" xr:uid="{84643010-5B85-4041-A7B8-FBF9DAEA428D}"/>
    <cellStyle name="20% - 强调文字颜色 4 11 2 4" xfId="17731" xr:uid="{E8AD43B4-03BB-453A-8377-43D8C0398617}"/>
    <cellStyle name="20% - 强调文字颜色 4 11 3" xfId="2556" xr:uid="{D523A08D-D336-4CC2-9CC9-9F2FC927CD09}"/>
    <cellStyle name="20% - 强调文字颜色 4 11 3 2" xfId="9583" xr:uid="{39E972BF-4DDD-4937-A79B-F23A4D8A389D}"/>
    <cellStyle name="20% - 强调文字颜色 4 11 3 3" xfId="17733" xr:uid="{3E11E263-6B48-41AA-BAFA-0EDDBAE89522}"/>
    <cellStyle name="20% - 强调文字颜色 4 11 4" xfId="2559" xr:uid="{3B95CD0C-445F-430F-BA3B-3EFC011856BA}"/>
    <cellStyle name="20% - 强调文字颜色 4 11 4 2" xfId="2561" xr:uid="{DBA770E2-6B7C-4FC1-866D-5A44B2389325}"/>
    <cellStyle name="20% - 强调文字颜色 4 11 4 3" xfId="17734" xr:uid="{77F57886-5527-47A3-8EDD-730572412E76}"/>
    <cellStyle name="20% - 强调文字颜色 4 11 5" xfId="2326" xr:uid="{A8E3E232-8001-4F70-B5DD-77753358FC54}"/>
    <cellStyle name="20% - 强调文字颜色 4 11 5 2" xfId="2566" xr:uid="{1CD860A3-E7A6-4937-A69F-987A8E7313B8}"/>
    <cellStyle name="20% - 强调文字颜色 4 11 6" xfId="2568" xr:uid="{843BF6A8-9173-4719-8D2A-BEFA5984FC82}"/>
    <cellStyle name="20% - 强调文字颜色 4 11 7" xfId="9581" xr:uid="{C743D409-A147-493A-8683-2CE12849A8E5}"/>
    <cellStyle name="20% - 强调文字颜色 4 11 8" xfId="13260" xr:uid="{68866075-8D04-4FA9-87B8-5C8E1259B012}"/>
    <cellStyle name="20% - 强调文字颜色 4 11 9" xfId="17730" xr:uid="{7D165B0C-D344-4716-BE1D-862D625BCC1C}"/>
    <cellStyle name="20% - 强调文字颜色 4 12" xfId="2571" xr:uid="{D39C0B66-90E1-4FB8-BFAC-0EE039A78B25}"/>
    <cellStyle name="20% - 强调文字颜色 4 12 2" xfId="2573" xr:uid="{34DC959D-D85E-4E11-A719-98DB8078026A}"/>
    <cellStyle name="20% - 强调文字颜色 4 12 2 2" xfId="2575" xr:uid="{5915E143-60D8-4DFE-9C9E-B6E04340AC5F}"/>
    <cellStyle name="20% - 强调文字颜色 4 12 2 2 2" xfId="17737" xr:uid="{D5F30824-8BD4-4AC3-AC8E-A577724B010F}"/>
    <cellStyle name="20% - 强调文字颜色 4 12 2 3" xfId="9585" xr:uid="{D007678F-8093-4DF0-8D00-6FFA6A2342D5}"/>
    <cellStyle name="20% - 强调文字颜色 4 12 2 4" xfId="17736" xr:uid="{6AC48758-5521-445E-B5A2-6AD21BEA4BE5}"/>
    <cellStyle name="20% - 强调文字颜色 4 12 3" xfId="2578" xr:uid="{63EC6B2E-F568-40B9-9698-C993949A0035}"/>
    <cellStyle name="20% - 强调文字颜色 4 12 3 2" xfId="9586" xr:uid="{D1774355-25A5-4EDB-92EF-AB778C61FA12}"/>
    <cellStyle name="20% - 强调文字颜色 4 12 3 3" xfId="17738" xr:uid="{122766F1-9179-41FB-A7E2-C0266942C642}"/>
    <cellStyle name="20% - 强调文字颜色 4 12 4" xfId="2581" xr:uid="{645F50DA-9F99-402E-97C5-5CD1608247CB}"/>
    <cellStyle name="20% - 强调文字颜色 4 12 4 2" xfId="2583" xr:uid="{7EDC6E1A-FA41-44BD-8A5E-8A27A3922137}"/>
    <cellStyle name="20% - 强调文字颜色 4 12 4 3" xfId="17739" xr:uid="{B18D2C6C-FE50-4A40-902F-3304D9729266}"/>
    <cellStyle name="20% - 强调文字颜色 4 12 5" xfId="2330" xr:uid="{18C3B304-A341-48F6-905E-C19E440DC074}"/>
    <cellStyle name="20% - 强调文字颜色 4 12 5 2" xfId="2585" xr:uid="{310A5E34-6BB9-4378-A2A8-26163D1EB0CC}"/>
    <cellStyle name="20% - 强调文字颜色 4 12 6" xfId="2588" xr:uid="{82616314-6C1D-4083-9704-2F9A37796A2F}"/>
    <cellStyle name="20% - 强调文字颜色 4 12 7" xfId="9584" xr:uid="{A60F4671-F810-404F-873D-F89E191B06F6}"/>
    <cellStyle name="20% - 强调文字颜色 4 12 8" xfId="13247" xr:uid="{6D0FBD74-5693-4BF4-AB8D-5ADB924CB29A}"/>
    <cellStyle name="20% - 强调文字颜色 4 12 9" xfId="17735" xr:uid="{786E9DD1-A90B-4C5A-AC41-5510EE5A6A39}"/>
    <cellStyle name="20% - 强调文字颜色 4 13" xfId="2592" xr:uid="{46DD9F54-E9BD-4D73-86AB-020B01524A30}"/>
    <cellStyle name="20% - 强调文字颜色 4 13 2" xfId="167" xr:uid="{26306AEF-5246-40D9-8D0D-B15C4F2C57A8}"/>
    <cellStyle name="20% - 强调文字颜色 4 13 2 2" xfId="405" xr:uid="{91DCC629-743D-4107-9343-20A34551912E}"/>
    <cellStyle name="20% - 强调文字颜色 4 13 2 2 2" xfId="17742" xr:uid="{B5BE42C0-98CF-42E2-B6A1-8460000BF3AF}"/>
    <cellStyle name="20% - 强调文字颜色 4 13 2 3" xfId="9588" xr:uid="{7F5909FB-C7A5-4CF4-9872-D0C4C1CBF965}"/>
    <cellStyle name="20% - 强调文字颜色 4 13 2 4" xfId="17741" xr:uid="{20C83A9F-EECD-463C-80C1-291083FF2452}"/>
    <cellStyle name="20% - 强调文字颜色 4 13 3" xfId="176" xr:uid="{8FA6AB31-0A94-43A5-A38C-C53B902C9128}"/>
    <cellStyle name="20% - 强调文字颜色 4 13 3 2" xfId="9589" xr:uid="{89898242-C359-42EF-B6BA-7B9547D73DCE}"/>
    <cellStyle name="20% - 强调文字颜色 4 13 3 3" xfId="17743" xr:uid="{D6F02264-43AA-493B-BD45-944C799CF7FF}"/>
    <cellStyle name="20% - 强调文字颜色 4 13 4" xfId="31" xr:uid="{5536C071-256D-47CD-AA2B-5546F1F82397}"/>
    <cellStyle name="20% - 强调文字颜色 4 13 4 2" xfId="430" xr:uid="{7C30A74F-8E5E-4D23-AB90-6F595261AB71}"/>
    <cellStyle name="20% - 强调文字颜色 4 13 4 3" xfId="17744" xr:uid="{6979FF1B-25BB-4293-9F28-EE356EE54BAB}"/>
    <cellStyle name="20% - 强调文字颜色 4 13 5" xfId="184" xr:uid="{6402BE6C-FF27-4BD4-8DE6-CEFB56CFDC43}"/>
    <cellStyle name="20% - 强调文字颜色 4 13 5 2" xfId="443" xr:uid="{9DBC54FB-7876-4367-B80F-06F35FA6D602}"/>
    <cellStyle name="20% - 强调文字颜色 4 13 6" xfId="2594" xr:uid="{39BEC8A9-5AA2-488A-9F6F-728853DD2E11}"/>
    <cellStyle name="20% - 强调文字颜色 4 13 7" xfId="9587" xr:uid="{D951EE23-BF0C-40EF-BD08-266C79A227A3}"/>
    <cellStyle name="20% - 强调文字颜色 4 13 8" xfId="13234" xr:uid="{012BEEE3-F6FB-4E47-A753-1D70F02748A9}"/>
    <cellStyle name="20% - 强调文字颜色 4 13 9" xfId="17740" xr:uid="{4E78FE9E-5338-49EA-966B-80917B371708}"/>
    <cellStyle name="20% - 强调文字颜色 4 14" xfId="2598" xr:uid="{2DD87F69-3DC5-4759-AF76-206C714D7E24}"/>
    <cellStyle name="20% - 强调文字颜色 4 14 2" xfId="2601" xr:uid="{7B4222A5-5355-4E37-B0B8-424D7ECFC524}"/>
    <cellStyle name="20% - 强调文字颜色 4 14 2 2" xfId="2604" xr:uid="{38BEEE2A-CA7A-4A95-A046-134F640AA641}"/>
    <cellStyle name="20% - 强调文字颜色 4 14 2 2 2" xfId="17747" xr:uid="{3E000121-8425-4453-9F75-FED73E6389C2}"/>
    <cellStyle name="20% - 强调文字颜色 4 14 2 3" xfId="9591" xr:uid="{8A8DB362-59E9-4400-BB9F-B6C443B94626}"/>
    <cellStyle name="20% - 强调文字颜色 4 14 2 4" xfId="17746" xr:uid="{05F69CF3-72D0-4283-B7F0-52D271F64C72}"/>
    <cellStyle name="20% - 强调文字颜色 4 14 3" xfId="2606" xr:uid="{CBFFFB09-334D-4D96-AE14-523385741ADA}"/>
    <cellStyle name="20% - 强调文字颜色 4 14 3 2" xfId="9592" xr:uid="{01380287-258E-4FC6-A0F7-5E56B6D54101}"/>
    <cellStyle name="20% - 强调文字颜色 4 14 3 3" xfId="17748" xr:uid="{2BC468C1-4ABC-4C01-81B7-FF25C17A5140}"/>
    <cellStyle name="20% - 强调文字颜色 4 14 4" xfId="2609" xr:uid="{C03A66D9-8311-45DA-84A5-B3CC29E4A053}"/>
    <cellStyle name="20% - 强调文字颜色 4 14 4 2" xfId="119" xr:uid="{31529AC9-59BD-41BC-8D94-541A838E7EB8}"/>
    <cellStyle name="20% - 强调文字颜色 4 14 4 3" xfId="17749" xr:uid="{2E60B8FB-C535-499D-BBB8-CA9D22DAFBA2}"/>
    <cellStyle name="20% - 强调文字颜色 4 14 5" xfId="2338" xr:uid="{EDFC8DE6-A3F8-4B0E-A67E-11571B038188}"/>
    <cellStyle name="20% - 强调文字颜色 4 14 5 2" xfId="2612" xr:uid="{9AC21DCF-9960-4663-A47F-0BE318737FC6}"/>
    <cellStyle name="20% - 强调文字颜色 4 14 6" xfId="2614" xr:uid="{DD04B74D-2DF6-49C5-AB11-5299A8BE8484}"/>
    <cellStyle name="20% - 强调文字颜色 4 14 7" xfId="9590" xr:uid="{72DB6C24-36E9-488A-A8F0-CF19C0FD2CAC}"/>
    <cellStyle name="20% - 强调文字颜色 4 14 8" xfId="13221" xr:uid="{FBAC9927-9EBE-412A-90CB-37B5760A759C}"/>
    <cellStyle name="20% - 强调文字颜色 4 14 9" xfId="17745" xr:uid="{DBA14052-BE9C-4618-8FC1-4310A8E9183B}"/>
    <cellStyle name="20% - 强调文字颜色 4 15" xfId="507" xr:uid="{72C87CB2-E90F-471B-BDD7-5D912465AA68}"/>
    <cellStyle name="20% - 强调文字颜色 4 15 2" xfId="2616" xr:uid="{2C4080D7-9EF2-4270-BF36-7A03007C8334}"/>
    <cellStyle name="20% - 强调文字颜色 4 15 2 2" xfId="9594" xr:uid="{18FA67DA-76AC-4B28-A932-BC69F8272C98}"/>
    <cellStyle name="20% - 强调文字颜色 4 15 2 2 2" xfId="17752" xr:uid="{7C355B41-2723-4FC9-B07E-745FE3774969}"/>
    <cellStyle name="20% - 强调文字颜色 4 15 2 3" xfId="17751" xr:uid="{D7B06A35-C2E6-4226-9CEB-8676347156EF}"/>
    <cellStyle name="20% - 强调文字颜色 4 15 3" xfId="2620" xr:uid="{61E2C586-89BB-4D92-B505-877B9866F90E}"/>
    <cellStyle name="20% - 强调文字颜色 4 15 3 2" xfId="2622" xr:uid="{338D8428-FB11-49C6-A32C-721C2075D60A}"/>
    <cellStyle name="20% - 强调文字颜色 4 15 3 3" xfId="9595" xr:uid="{9914AAFE-353B-4A75-A079-FFA565FC7D18}"/>
    <cellStyle name="20% - 强调文字颜色 4 15 3 4" xfId="17753" xr:uid="{100D5E1B-C785-4EFE-8C44-A164ADFD419B}"/>
    <cellStyle name="20% - 强调文字颜色 4 15 4" xfId="2627" xr:uid="{9605AFA8-42B2-4125-A486-AC977D27D7A9}"/>
    <cellStyle name="20% - 强调文字颜色 4 15 4 2" xfId="2629" xr:uid="{C04DD550-1320-43FE-95D8-38CBB6AF5AB2}"/>
    <cellStyle name="20% - 强调文字颜色 4 15 4 3" xfId="17754" xr:uid="{59FCF534-ADDF-4832-B3B5-7BC41064E5AD}"/>
    <cellStyle name="20% - 强调文字颜色 4 15 5" xfId="2346" xr:uid="{80C3436D-3BA2-4DA6-B2DC-5F0322C5AAB5}"/>
    <cellStyle name="20% - 强调文字颜色 4 15 6" xfId="9593" xr:uid="{1A2E9415-2467-4B37-B2B1-9FA76D764654}"/>
    <cellStyle name="20% - 强调文字颜色 4 15 7" xfId="13208" xr:uid="{5CA8794C-8865-4C4C-85AB-FAE9AC20DF31}"/>
    <cellStyle name="20% - 强调文字颜色 4 15 8" xfId="17750" xr:uid="{726F9377-04CA-47AA-BC37-FAF6CD7EC47B}"/>
    <cellStyle name="20% - 强调文字颜色 4 16" xfId="2632" xr:uid="{CABEFB48-9896-417D-88AB-C83BE3A207E7}"/>
    <cellStyle name="20% - 强调文字颜色 4 16 2" xfId="2636" xr:uid="{32D789F1-26B0-40D1-88DD-DCB4C5A8A4DE}"/>
    <cellStyle name="20% - 强调文字颜色 4 16 2 2" xfId="9597" xr:uid="{CB312D80-38F6-472A-BDA1-DCC960CE4CE3}"/>
    <cellStyle name="20% - 强调文字颜色 4 16 2 2 2" xfId="17757" xr:uid="{7FF564BF-9176-416B-ACE5-B782BB4C66EB}"/>
    <cellStyle name="20% - 强调文字颜色 4 16 2 3" xfId="17756" xr:uid="{3460F949-EF08-4AF6-B545-3DC807CB11FF}"/>
    <cellStyle name="20% - 强调文字颜色 4 16 3" xfId="2640" xr:uid="{B38BA6A9-DEC0-4563-976E-57A78C5B92F0}"/>
    <cellStyle name="20% - 强调文字颜色 4 16 3 2" xfId="1172" xr:uid="{2409B0ED-8101-4EB9-ABDC-EE344D63387B}"/>
    <cellStyle name="20% - 强调文字颜色 4 16 3 3" xfId="9598" xr:uid="{EB979DC7-A401-4726-93E1-B4A30A9D6C20}"/>
    <cellStyle name="20% - 强调文字颜色 4 16 3 4" xfId="17758" xr:uid="{27AE5FD7-B398-4580-BBFA-344438D9189F}"/>
    <cellStyle name="20% - 强调文字颜色 4 16 4" xfId="2642" xr:uid="{D7FCFA22-95AE-4F59-BE02-840BB00A72C2}"/>
    <cellStyle name="20% - 强调文字颜色 4 16 4 2" xfId="1194" xr:uid="{F0C6D65F-F6E4-4194-91F9-1944D2E6A42B}"/>
    <cellStyle name="20% - 强调文字颜色 4 16 4 3" xfId="17759" xr:uid="{60B181AF-7763-46F2-8C90-CC1D2F800651}"/>
    <cellStyle name="20% - 强调文字颜色 4 16 5" xfId="2350" xr:uid="{9EEE7539-BC8A-4B60-A179-001C4ECFB3E2}"/>
    <cellStyle name="20% - 强调文字颜色 4 16 6" xfId="9596" xr:uid="{75FD02FB-2997-4C29-A286-3A81ACF7709D}"/>
    <cellStyle name="20% - 强调文字颜色 4 16 7" xfId="13189" xr:uid="{8DAEEE1C-7659-48A1-9E3D-59AF93B577BE}"/>
    <cellStyle name="20% - 强调文字颜色 4 16 8" xfId="17755" xr:uid="{3DFCCEC6-FFF9-4E08-80D8-C627394BFC95}"/>
    <cellStyle name="20% - 强调文字颜色 4 17" xfId="2643" xr:uid="{64B14A53-9033-40CF-9DEA-A88AF3A56F07}"/>
    <cellStyle name="20% - 强调文字颜色 4 17 2" xfId="2647" xr:uid="{85BB7947-589A-4DDE-892D-FD956BB9A7D9}"/>
    <cellStyle name="20% - 强调文字颜色 4 17 2 2" xfId="1690" xr:uid="{C3466EF9-D290-40E7-A39D-9CA03B769CC5}"/>
    <cellStyle name="20% - 强调文字颜色 4 17 2 2 2" xfId="17762" xr:uid="{B220ECEE-A02C-4834-BE18-6A9D05559C3D}"/>
    <cellStyle name="20% - 强调文字颜色 4 17 2 3" xfId="9600" xr:uid="{1BA8813C-59D9-408A-8840-6743EBF227BD}"/>
    <cellStyle name="20% - 强调文字颜色 4 17 2 4" xfId="17761" xr:uid="{48BA3E50-105D-4ED7-BFD6-4BC8638DEFE6}"/>
    <cellStyle name="20% - 强调文字颜色 4 17 3" xfId="2651" xr:uid="{61E0D5C0-621A-48DC-B18C-47263A2E2449}"/>
    <cellStyle name="20% - 强调文字颜色 4 17 3 2" xfId="1752" xr:uid="{3393E3CC-3CA6-4134-9A90-9267810EB758}"/>
    <cellStyle name="20% - 强调文字颜色 4 17 3 3" xfId="9601" xr:uid="{8C1B026B-C60E-4867-9647-38C1420BC08D}"/>
    <cellStyle name="20% - 强调文字颜色 4 17 3 4" xfId="17763" xr:uid="{B5EBB97A-67AA-4E1B-B0F4-CED9EC94A73F}"/>
    <cellStyle name="20% - 强调文字颜色 4 17 4" xfId="9599" xr:uid="{940223D8-0468-475A-9A04-B80E4FD10613}"/>
    <cellStyle name="20% - 强调文字颜色 4 17 4 2" xfId="17764" xr:uid="{2A823CCF-861A-4B13-9185-22A1206E7EC3}"/>
    <cellStyle name="20% - 强调文字颜色 4 17 5" xfId="13180" xr:uid="{B35BA5B0-CC51-4C97-86D4-5E70C754A03B}"/>
    <cellStyle name="20% - 强调文字颜色 4 17 6" xfId="17760" xr:uid="{4243497E-1EF9-46DB-A542-8DC60BA3DC1C}"/>
    <cellStyle name="20% - 强调文字颜色 4 18" xfId="2653" xr:uid="{B2379C05-9468-48AE-891B-51AEAF4A929B}"/>
    <cellStyle name="20% - 强调文字颜色 4 18 2" xfId="2657" xr:uid="{1BE0342C-70B9-4A36-9639-7F564D4C5A59}"/>
    <cellStyle name="20% - 强调文字颜色 4 18 2 2" xfId="2321" xr:uid="{5A1717F9-FDCC-41EA-B0E2-1F7ED243025A}"/>
    <cellStyle name="20% - 强调文字颜色 4 18 2 2 2" xfId="17767" xr:uid="{FBD5A8CB-D3CD-47E0-85D2-11AF187559D4}"/>
    <cellStyle name="20% - 强调文字颜色 4 18 2 3" xfId="17766" xr:uid="{D774CD57-292A-4B50-998E-38F901535ED5}"/>
    <cellStyle name="20% - 强调文字颜色 4 18 3" xfId="2660" xr:uid="{9F5B948B-8B0B-45D0-A5C7-52669EE2F8A0}"/>
    <cellStyle name="20% - 强调文字颜色 4 18 3 2" xfId="2389" xr:uid="{02927D2D-4627-4E13-88A3-926798240CA7}"/>
    <cellStyle name="20% - 强调文字颜色 4 18 3 3" xfId="17768" xr:uid="{5E881963-3D75-44C8-B276-481854C5425F}"/>
    <cellStyle name="20% - 强调文字颜色 4 18 4" xfId="9602" xr:uid="{C5E90D9E-7585-49E0-8E38-A434E37551CB}"/>
    <cellStyle name="20% - 强调文字颜色 4 18 4 2" xfId="17769" xr:uid="{D72CF6F4-F930-4813-AC86-CFEF0B453CE2}"/>
    <cellStyle name="20% - 强调文字颜色 4 18 5" xfId="13167" xr:uid="{5E958019-646D-4F34-91C6-8CFD16C665E2}"/>
    <cellStyle name="20% - 强调文字颜色 4 18 6" xfId="17765" xr:uid="{732426FC-6ECB-466A-9BE5-A6877DF6643A}"/>
    <cellStyle name="20% - 强调文字颜色 4 19" xfId="2661" xr:uid="{31C8B22D-E053-4368-8583-57B1814AA507}"/>
    <cellStyle name="20% - 强调文字颜色 4 19 2" xfId="2665" xr:uid="{A814CC89-0312-41B7-9557-5590A7D72381}"/>
    <cellStyle name="20% - 强调文字颜色 4 19 2 2" xfId="2667" xr:uid="{3C9D22FC-BDB0-48E5-8657-97D8621776D0}"/>
    <cellStyle name="20% - 强调文字颜色 4 19 2 2 2" xfId="17772" xr:uid="{11938AF6-0BA5-4DF1-9105-130D61D9BF69}"/>
    <cellStyle name="20% - 强调文字颜色 4 19 2 3" xfId="17771" xr:uid="{463872B0-6B85-444C-93B2-A16E49CF6C63}"/>
    <cellStyle name="20% - 强调文字颜色 4 19 3" xfId="9603" xr:uid="{8F839F50-E222-44A0-BD3C-CF30E45E94D2}"/>
    <cellStyle name="20% - 强调文字颜色 4 19 3 2" xfId="17773" xr:uid="{340CE47B-AF7C-46A5-8100-A2C7A9F2F905}"/>
    <cellStyle name="20% - 强调文字颜色 4 19 4" xfId="13150" xr:uid="{9308F0C5-6CFD-47D1-8993-58A9DE3B5A5D}"/>
    <cellStyle name="20% - 强调文字颜色 4 19 4 2" xfId="17774" xr:uid="{32B91926-6025-4459-B7A9-925FF0DAA274}"/>
    <cellStyle name="20% - 强调文字颜色 4 19 5" xfId="17770" xr:uid="{B40E13AB-6048-4E13-A350-650B289D857E}"/>
    <cellStyle name="20% - 强调文字颜色 4 2" xfId="1163" xr:uid="{41F6168B-61BE-4086-870D-72C506E7C766}"/>
    <cellStyle name="20% - 强调文字颜色 4 2 10" xfId="2669" xr:uid="{39C4C9E4-511F-4BCD-9191-E1961381F471}"/>
    <cellStyle name="20% - 强调文字颜色 4 2 10 2" xfId="2670" xr:uid="{E4A11748-E1B0-4B92-B930-B97ED36D3F5D}"/>
    <cellStyle name="20% - 强调文字颜色 4 2 11" xfId="1077" xr:uid="{6776762D-35A5-4966-A01C-46C790C70A70}"/>
    <cellStyle name="20% - 强调文字颜色 4 2 11 2" xfId="2673" xr:uid="{D41D8B2B-AD01-4062-B33D-794D8B8E0F73}"/>
    <cellStyle name="20% - 强调文字颜色 4 2 12" xfId="2675" xr:uid="{B5D8C277-623F-4990-8890-49A8BF54968D}"/>
    <cellStyle name="20% - 强调文字颜色 4 2 12 2" xfId="2414" xr:uid="{6C426E20-98DC-4B7A-8821-919769750BAC}"/>
    <cellStyle name="20% - 强调文字颜色 4 2 13" xfId="2677" xr:uid="{532A0865-39F9-4489-9A42-A13EBA4395D6}"/>
    <cellStyle name="20% - 强调文字颜色 4 2 13 2" xfId="2678" xr:uid="{4FADCC25-4698-4395-8C13-CCCF194438E0}"/>
    <cellStyle name="20% - 强调文字颜色 4 2 14" xfId="2679" xr:uid="{4FF75945-AEA3-4E44-9D67-D204486C1D3F}"/>
    <cellStyle name="20% - 强调文字颜色 4 2 14 2" xfId="499" xr:uid="{CC5CEBAD-00C0-4229-AD64-BD0482E2FF34}"/>
    <cellStyle name="20% - 强调文字颜色 4 2 15" xfId="2680" xr:uid="{25A61463-CA43-420F-990E-4C362F3C9231}"/>
    <cellStyle name="20% - 强调文字颜色 4 2 15 2" xfId="1343" xr:uid="{E4CC7763-8C23-428E-A91A-E19F22F10F45}"/>
    <cellStyle name="20% - 强调文字颜色 4 2 16" xfId="2683" xr:uid="{904FAE6E-EE66-4D4F-990E-9DB84C79FB35}"/>
    <cellStyle name="20% - 强调文字颜色 4 2 17" xfId="2686" xr:uid="{221A262E-DAC1-48A7-A48B-209600DB811A}"/>
    <cellStyle name="20% - 强调文字颜色 4 2 17 2" xfId="2689" xr:uid="{C1957A54-0E39-468A-83E7-BCB8DB96B697}"/>
    <cellStyle name="20% - 强调文字颜色 4 2 18" xfId="2693" xr:uid="{26ED3E50-8DAB-420E-859C-01A123E0F1E1}"/>
    <cellStyle name="20% - 强调文字颜色 4 2 18 2" xfId="2697" xr:uid="{E7E1BA76-7661-4FCE-92CD-5D50DCAAA15D}"/>
    <cellStyle name="20% - 强调文字颜色 4 2 19" xfId="2700" xr:uid="{4089FC98-5BEC-414A-B914-8BDDBF09D707}"/>
    <cellStyle name="20% - 强调文字颜色 4 2 2" xfId="2704" xr:uid="{9A70B101-5B16-48C4-ABA5-DCFAA70B0F15}"/>
    <cellStyle name="20% - 强调文字颜色 4 2 2 10" xfId="2706" xr:uid="{923C0DE5-AC14-4344-AC0F-B6075AFCDB6C}"/>
    <cellStyle name="20% - 强调文字颜色 4 2 2 10 2" xfId="2707" xr:uid="{44F0D1D1-9D1F-4914-88D0-4AE3C13A4C6A}"/>
    <cellStyle name="20% - 强调文字颜色 4 2 2 11" xfId="2708" xr:uid="{1AB0C0E0-8D6E-4469-AF15-97FBEBFA418C}"/>
    <cellStyle name="20% - 强调文字颜色 4 2 2 11 2" xfId="2710" xr:uid="{09163A4B-274B-426A-A90C-51E4EF2E1B6A}"/>
    <cellStyle name="20% - 强调文字颜色 4 2 2 12" xfId="2711" xr:uid="{D56886BA-744E-4F09-AF35-B6A7A3520B30}"/>
    <cellStyle name="20% - 强调文字颜色 4 2 2 12 2" xfId="2712" xr:uid="{ADC74136-7E07-4367-B3A4-1A4FB02AB14A}"/>
    <cellStyle name="20% - 强调文字颜色 4 2 2 13" xfId="2713" xr:uid="{81CC63BB-2447-446E-8DDD-FB26138C82F2}"/>
    <cellStyle name="20% - 强调文字颜色 4 2 2 13 2" xfId="2714" xr:uid="{7903191B-27B1-450C-9E01-7A1BFC7909B8}"/>
    <cellStyle name="20% - 强调文字颜色 4 2 2 14" xfId="2716" xr:uid="{805E23D8-3188-4D80-AB5C-98CD43047F35}"/>
    <cellStyle name="20% - 强调文字颜色 4 2 2 14 2" xfId="2718" xr:uid="{1C472CFB-6E61-4022-BF78-17BD9644B51D}"/>
    <cellStyle name="20% - 强调文字颜色 4 2 2 15" xfId="2721" xr:uid="{0B48591C-7969-4115-AF75-F1899E016F63}"/>
    <cellStyle name="20% - 强调文字颜色 4 2 2 15 2" xfId="2722" xr:uid="{34BF3DFA-1E68-4C04-AAD1-40CA8DC89F46}"/>
    <cellStyle name="20% - 强调文字颜色 4 2 2 16" xfId="9605" xr:uid="{91881ED4-435F-4615-B7AC-8C378CC5412F}"/>
    <cellStyle name="20% - 强调文字颜色 4 2 2 17" xfId="13352" xr:uid="{D27F0F78-558F-43ED-B7C6-8A939A2F10ED}"/>
    <cellStyle name="20% - 强调文字颜色 4 2 2 18" xfId="17775" xr:uid="{9D24BF92-F87A-4FB4-B996-4767834DD486}"/>
    <cellStyle name="20% - 强调文字颜色 4 2 2 19" xfId="27291" xr:uid="{12D734DD-AF2C-4785-97DD-02422D299537}"/>
    <cellStyle name="20% - 强调文字颜色 4 2 2 2" xfId="86" xr:uid="{B9662950-31FB-4E9D-8A1F-9613402E8475}"/>
    <cellStyle name="20% - 强调文字颜色 4 2 2 2 2" xfId="17776" xr:uid="{52B77A33-61B2-477B-BDC2-B4B9FAE3C143}"/>
    <cellStyle name="20% - 强调文字颜色 4 2 2 3" xfId="2333" xr:uid="{F572E9F8-9004-4EA7-87CE-A9D5DB4F82A0}"/>
    <cellStyle name="20% - 强调文字颜色 4 2 2 4" xfId="2336" xr:uid="{667DFF6C-6CD6-4B75-8315-4325AF027E17}"/>
    <cellStyle name="20% - 强调文字颜色 4 2 2 4 2" xfId="2339" xr:uid="{4B160330-456A-4A64-A55B-C4049EDC1523}"/>
    <cellStyle name="20% - 强调文字颜色 4 2 2 5" xfId="2343" xr:uid="{C29DB876-49E8-4F58-8ABD-0BC74131CE4F}"/>
    <cellStyle name="20% - 强调文字颜色 4 2 2 5 2" xfId="2347" xr:uid="{F64CB89E-1C22-47EB-A640-5B264B0B6529}"/>
    <cellStyle name="20% - 强调文字颜色 4 2 2 6" xfId="2242" xr:uid="{C38F1645-A1B9-458A-9B5B-F63EFB9E6CEF}"/>
    <cellStyle name="20% - 强调文字颜色 4 2 2 6 2" xfId="2351" xr:uid="{C11D3A77-6D2E-4007-A839-E7E4237593D5}"/>
    <cellStyle name="20% - 强调文字颜色 4 2 2 7" xfId="2354" xr:uid="{E028FBB6-D218-4BF9-ABC8-D9946104D7BF}"/>
    <cellStyle name="20% - 强调文字颜色 4 2 2 7 2" xfId="2723" xr:uid="{108E7849-21BF-4563-9F28-331708069CF2}"/>
    <cellStyle name="20% - 强调文字颜色 4 2 2 8" xfId="678" xr:uid="{C6C194F6-E8D9-4C4A-9E97-6D0B15BA3EF6}"/>
    <cellStyle name="20% - 强调文字颜色 4 2 2 8 2" xfId="684" xr:uid="{4C7E328B-8B9D-4B4E-A852-447501B30646}"/>
    <cellStyle name="20% - 强调文字颜色 4 2 2 9" xfId="698" xr:uid="{F536C932-6B99-4E05-B46E-0B6B4E2156DF}"/>
    <cellStyle name="20% - 强调文字颜色 4 2 2 9 2" xfId="700" xr:uid="{C05BD240-7F79-41A0-B721-69D5EC0ECF1C}"/>
    <cellStyle name="20% - 强调文字颜色 4 2 20" xfId="2681" xr:uid="{03D556D1-0445-4EEE-AFAA-6609BF71DDF0}"/>
    <cellStyle name="20% - 强调文字颜色 4 2 20 2" xfId="1344" xr:uid="{B7D27FAE-FF68-4C94-93F5-5406FE5E1E65}"/>
    <cellStyle name="20% - 强调文字颜色 4 2 21" xfId="2684" xr:uid="{C02B9F97-2B23-4499-BFE5-3D5C88BCBBF7}"/>
    <cellStyle name="20% - 强调文字颜色 4 2 21 2" xfId="2724" xr:uid="{D84A1D2C-C653-4AB9-BC6D-C8BFF279A966}"/>
    <cellStyle name="20% - 强调文字颜色 4 2 22" xfId="9604" xr:uid="{BF180F69-77EE-42A2-929B-04FA73EBBD45}"/>
    <cellStyle name="20% - 强调文字颜色 4 2 23" xfId="13410" xr:uid="{8C0D7BD7-6B9E-4135-B286-D332883F287C}"/>
    <cellStyle name="20% - 强调文字颜色 4 2 24" xfId="12420" xr:uid="{304AB2D1-0148-4199-82E1-C239DA5E408E}"/>
    <cellStyle name="20% - 强调文字颜色 4 2 3" xfId="2725" xr:uid="{CC0222F4-BA3D-4FBA-9480-4F19D434F2D4}"/>
    <cellStyle name="20% - 强调文字颜色 4 2 3 2" xfId="9606" xr:uid="{1ED9C52A-D4AD-4F38-92B9-E0E216463926}"/>
    <cellStyle name="20% - 强调文字颜色 4 2 3 2 2" xfId="17778" xr:uid="{73FD257D-9F80-4BFB-BD01-5702714D4D4A}"/>
    <cellStyle name="20% - 强调文字颜色 4 2 3 3" xfId="13331" xr:uid="{373755D4-E01B-47BC-9BF7-67F560A640E9}"/>
    <cellStyle name="20% - 强调文字颜色 4 2 3 4" xfId="17777" xr:uid="{BADFFA91-80BF-4A96-A192-011507F47919}"/>
    <cellStyle name="20% - 强调文字颜色 4 2 3 5" xfId="27292" xr:uid="{6444B184-3D0A-4B1F-82F6-D452CF383106}"/>
    <cellStyle name="20% - 强调文字颜色 4 2 4" xfId="2727" xr:uid="{87000F1E-F364-48D0-B6E1-540F60BFB78A}"/>
    <cellStyle name="20% - 强调文字颜色 4 2 4 2" xfId="27" xr:uid="{6D61E951-60F0-408B-BA7E-B408CD198D44}"/>
    <cellStyle name="20% - 强调文字颜色 4 2 4 3" xfId="13312" xr:uid="{EE59A8E4-2750-45AE-8986-ECFE10C31BC0}"/>
    <cellStyle name="20% - 强调文字颜色 4 2 4 4" xfId="17779" xr:uid="{D603E315-F353-450C-A210-EB94DFC39CCC}"/>
    <cellStyle name="20% - 强调文字颜色 4 2 4 5" xfId="27674" xr:uid="{24430519-0AE6-42A3-9E0F-68038A96DA2F}"/>
    <cellStyle name="20% - 强调文字颜色 4 2 5" xfId="2730" xr:uid="{36B76F2F-3FF4-4B31-8ABD-47C4674EA039}"/>
    <cellStyle name="20% - 强调文字颜色 4 2 5 2" xfId="2432" xr:uid="{785A31E8-AD5C-4CAD-9603-C0BA54D4B929}"/>
    <cellStyle name="20% - 强调文字颜色 4 2 5 3" xfId="17780" xr:uid="{BBD4E30C-54F8-4964-AE0E-B10AF5E6DDD6}"/>
    <cellStyle name="20% - 强调文字颜色 4 2 6" xfId="2733" xr:uid="{8659CBF2-691C-4B03-A206-1E672D4CE7D1}"/>
    <cellStyle name="20% - 强调文字颜色 4 2 6 2" xfId="2468" xr:uid="{A1B1A9EB-2D16-42CE-A0ED-A6938ADEE36F}"/>
    <cellStyle name="20% - 强调文字颜色 4 2 6 3" xfId="17781" xr:uid="{8F13667C-EEA7-4E5C-AE83-2B67F70CF3E4}"/>
    <cellStyle name="20% - 强调文字颜色 4 2 7" xfId="2734" xr:uid="{7FDA2BDD-9874-4F0A-8F94-2FECD479DE80}"/>
    <cellStyle name="20% - 强调文字颜色 4 2 7 2" xfId="2501" xr:uid="{1BD06679-FF47-45F5-BA9B-8D1EE8D95F40}"/>
    <cellStyle name="20% - 强调文字颜色 4 2 7 3" xfId="17782" xr:uid="{08E92A3D-6763-4CBB-9A6B-2A003EE723D0}"/>
    <cellStyle name="20% - 强调文字颜色 4 2 8" xfId="2735" xr:uid="{7A62DA53-C0AE-4C83-ACF4-BF9A523CDB0B}"/>
    <cellStyle name="20% - 强调文字颜色 4 2 8 2" xfId="2529" xr:uid="{DEF7E30E-B11A-4F87-9E38-4730889EA2D7}"/>
    <cellStyle name="20% - 强调文字颜色 4 2 9" xfId="2736" xr:uid="{7A75E05A-8D4B-401E-97BE-A9020B755A26}"/>
    <cellStyle name="20% - 强调文字颜色 4 2 9 2" xfId="2737" xr:uid="{E3EC1DB9-4C88-4B1B-A80A-08428DEAB733}"/>
    <cellStyle name="20% - 强调文字颜色 4 2_动力部" xfId="17783" xr:uid="{C1929E40-74D1-4D9B-8744-7E682B0E43C0}"/>
    <cellStyle name="20% - 强调文字颜色 4 20" xfId="506" xr:uid="{459EAEDF-6128-4AFB-B875-EE6501DF500D}"/>
    <cellStyle name="20% - 强调文字颜色 4 20 2" xfId="2617" xr:uid="{D1300709-6019-40BD-B7A6-F33C4BAF8DC3}"/>
    <cellStyle name="20% - 强调文字颜色 4 20 2 2" xfId="2739" xr:uid="{240E9658-5229-4E9F-810C-8C4BBC92A376}"/>
    <cellStyle name="20% - 强调文字颜色 4 20 2 2 2" xfId="17786" xr:uid="{166F3897-D82A-4D40-B6A4-D6A469727312}"/>
    <cellStyle name="20% - 强调文字颜色 4 20 2 3" xfId="17785" xr:uid="{F4F821A0-A77D-48D6-A2EB-6E8A2D820777}"/>
    <cellStyle name="20% - 强调文字颜色 4 20 3" xfId="9607" xr:uid="{54140A54-82B1-4D8D-BDEA-ADDE95D2AAD7}"/>
    <cellStyle name="20% - 强调文字颜色 4 20 3 2" xfId="17787" xr:uid="{27ED7094-BBB2-49CD-B29F-74B595B9BF05}"/>
    <cellStyle name="20% - 强调文字颜色 4 20 4" xfId="13141" xr:uid="{2269512E-58F7-4ABC-BC2C-1774F15D80EF}"/>
    <cellStyle name="20% - 强调文字颜色 4 20 4 2" xfId="17788" xr:uid="{064226F6-2163-4CA0-ACDB-4018759E57A8}"/>
    <cellStyle name="20% - 强调文字颜色 4 20 5" xfId="17784" xr:uid="{DF99CB97-BE79-462B-B11C-0E159C650225}"/>
    <cellStyle name="20% - 强调文字颜色 4 21" xfId="2633" xr:uid="{3A51A004-08DF-454C-9130-0540DA21B8CF}"/>
    <cellStyle name="20% - 强调文字颜色 4 21 2" xfId="2637" xr:uid="{93F3488D-9ED9-4B1B-92CB-C593A91136EF}"/>
    <cellStyle name="20% - 强调文字颜色 4 21 2 2" xfId="303" xr:uid="{D88C9669-EFA1-454B-9E52-96E8E1ACF7ED}"/>
    <cellStyle name="20% - 强调文字颜色 4 21 2 2 2" xfId="17791" xr:uid="{A0B9CB23-9C8B-4881-9AD7-03FD0D41C876}"/>
    <cellStyle name="20% - 强调文字颜色 4 21 2 3" xfId="17790" xr:uid="{6DEC86AE-601D-4A9F-8E7D-F559FB5ED72B}"/>
    <cellStyle name="20% - 强调文字颜色 4 21 3" xfId="9608" xr:uid="{E610AE2A-365F-4242-A063-D1BD1675EF30}"/>
    <cellStyle name="20% - 强调文字颜色 4 21 3 2" xfId="17792" xr:uid="{7B818AB0-99F3-4250-A67E-E81E991C4610}"/>
    <cellStyle name="20% - 强调文字颜色 4 21 4" xfId="13127" xr:uid="{D4858297-2550-48DE-BDC7-A995FCB34A15}"/>
    <cellStyle name="20% - 强调文字颜色 4 21 4 2" xfId="17793" xr:uid="{250EB667-CCE0-4EE4-8323-4BE5FF501733}"/>
    <cellStyle name="20% - 强调文字颜色 4 21 5" xfId="17789" xr:uid="{BF0ACDE9-A71C-46DB-AC94-3E9D36A7E64E}"/>
    <cellStyle name="20% - 强调文字颜色 4 22" xfId="2644" xr:uid="{BCD3EC30-991E-4809-B8E0-F843956BDF39}"/>
    <cellStyle name="20% - 强调文字颜色 4 22 2" xfId="2648" xr:uid="{CB3F48AB-10EF-410D-A752-362F1F56CDCB}"/>
    <cellStyle name="20% - 强调文字颜色 4 22 2 2" xfId="1691" xr:uid="{0CECED90-C60E-412B-956D-D600A5F4096E}"/>
    <cellStyle name="20% - 强调文字颜色 4 22 2 2 2" xfId="17796" xr:uid="{35D37F27-1B4D-4084-A499-A7B0DB18244D}"/>
    <cellStyle name="20% - 强调文字颜色 4 22 2 3" xfId="17795" xr:uid="{01FC311A-8862-47E8-BE73-BC2A9EC5F391}"/>
    <cellStyle name="20% - 强调文字颜色 4 22 3" xfId="9609" xr:uid="{4C781300-0AE1-4E38-A226-05E342FAE97C}"/>
    <cellStyle name="20% - 强调文字颜色 4 22 3 2" xfId="17797" xr:uid="{D41AC866-F028-40FF-9C6E-6F83E5834DD6}"/>
    <cellStyle name="20% - 强调文字颜色 4 22 4" xfId="13114" xr:uid="{61DEF483-C61D-4AEE-BDED-828A3ABD498C}"/>
    <cellStyle name="20% - 强调文字颜色 4 22 4 2" xfId="17798" xr:uid="{86A41AD9-EA2A-41B8-9F27-FF8AAE6A67FE}"/>
    <cellStyle name="20% - 强调文字颜色 4 22 5" xfId="17794" xr:uid="{0403CCB8-185C-4D82-A09E-E2F4BDC2F5C4}"/>
    <cellStyle name="20% - 强调文字颜色 4 23" xfId="2654" xr:uid="{64299E28-77AD-4B2E-8069-68763A40122C}"/>
    <cellStyle name="20% - 强调文字颜色 4 23 2" xfId="2658" xr:uid="{16977121-5C2E-4C58-9704-78780B4A2FC8}"/>
    <cellStyle name="20% - 强调文字颜色 4 23 2 2" xfId="2322" xr:uid="{8C3589EE-4FBE-4177-9E97-662C77F03755}"/>
    <cellStyle name="20% - 强调文字颜色 4 23 2 2 2" xfId="17801" xr:uid="{526949D0-F388-450F-9BA2-97F3E7EC4E82}"/>
    <cellStyle name="20% - 强调文字颜色 4 23 2 3" xfId="17800" xr:uid="{D4E52C03-C671-4A39-AA6D-073A91453B6C}"/>
    <cellStyle name="20% - 强调文字颜色 4 23 3" xfId="13046" xr:uid="{8F49D358-CDED-4BE2-990B-2A306E37121E}"/>
    <cellStyle name="20% - 强调文字颜色 4 23 3 2" xfId="17802" xr:uid="{5A586F1A-20BE-4187-8840-DEFEE1F097A7}"/>
    <cellStyle name="20% - 强调文字颜色 4 23 4" xfId="17803" xr:uid="{39B9AE9F-6E7D-4DA8-A016-50DE1B36AEF7}"/>
    <cellStyle name="20% - 强调文字颜色 4 23 5" xfId="17799" xr:uid="{E439B018-5530-4780-AFDC-A3F3454B5D60}"/>
    <cellStyle name="20% - 强调文字颜色 4 24" xfId="2662" xr:uid="{272DE1E0-DBB5-418C-99B7-4C0F91438B3D}"/>
    <cellStyle name="20% - 强调文字颜色 4 24 2" xfId="13037" xr:uid="{EBFD943B-2120-438B-B45B-772FB18C933D}"/>
    <cellStyle name="20% - 强调文字颜色 4 24 2 2" xfId="17806" xr:uid="{8DC8283C-A41F-463B-8662-79A84F7C52F7}"/>
    <cellStyle name="20% - 强调文字颜色 4 24 2 3" xfId="17805" xr:uid="{CC221746-4CFC-47AB-81A7-0A2E5FA04B52}"/>
    <cellStyle name="20% - 强调文字颜色 4 24 3" xfId="17807" xr:uid="{00D61961-7901-412E-9D38-C45C08612222}"/>
    <cellStyle name="20% - 强调文字颜色 4 24 4" xfId="17808" xr:uid="{7CA3E608-833F-4F01-A82A-79FDA8A0FDA3}"/>
    <cellStyle name="20% - 强调文字颜色 4 24 5" xfId="17804" xr:uid="{CBEA81BD-2FAE-48C6-A30F-B8141E580E16}"/>
    <cellStyle name="20% - 强调文字颜色 4 25" xfId="2742" xr:uid="{E684DFC1-4F9C-4FBD-90B0-833E923F5D9F}"/>
    <cellStyle name="20% - 强调文字颜色 4 25 2" xfId="13024" xr:uid="{B706DECD-343F-4A01-922E-B38EAAAD5014}"/>
    <cellStyle name="20% - 强调文字颜色 4 25 2 2" xfId="17811" xr:uid="{47421865-02D7-4D02-B9FD-865B03F4719D}"/>
    <cellStyle name="20% - 强调文字颜色 4 25 2 3" xfId="17810" xr:uid="{530FF510-FBE5-40FA-BA48-822142E3CB39}"/>
    <cellStyle name="20% - 强调文字颜色 4 25 3" xfId="17812" xr:uid="{1A721891-F7A6-4CA1-8798-EFB40F078BED}"/>
    <cellStyle name="20% - 强调文字颜色 4 25 4" xfId="17813" xr:uid="{41121E9F-D87F-4E0C-A8B6-0B4151481E35}"/>
    <cellStyle name="20% - 强调文字颜色 4 25 5" xfId="17809" xr:uid="{02E573AC-19F1-4177-9150-7B0B44E390E8}"/>
    <cellStyle name="20% - 强调文字颜色 4 26" xfId="2746" xr:uid="{58B50F3D-CF97-44BD-A7B0-08A5DEE95E56}"/>
    <cellStyle name="20% - 强调文字颜色 4 26 2" xfId="17815" xr:uid="{C31E2659-0BCA-4201-9365-5F4E1B4A15B7}"/>
    <cellStyle name="20% - 强调文字颜色 4 26 2 2" xfId="17816" xr:uid="{BA2B75E5-B5D4-4504-955E-0288C65CA6E5}"/>
    <cellStyle name="20% - 强调文字颜色 4 26 3" xfId="17817" xr:uid="{A88296ED-C9E7-4D5B-80BD-623B2ECF4BDC}"/>
    <cellStyle name="20% - 强调文字颜色 4 26 4" xfId="17818" xr:uid="{26290133-04E5-49A2-A9AC-06CBACE683D3}"/>
    <cellStyle name="20% - 强调文字颜色 4 26 5" xfId="17814" xr:uid="{750F1A4B-D29D-4426-B777-462563FB387C}"/>
    <cellStyle name="20% - 强调文字颜色 4 27" xfId="2750" xr:uid="{14E7F091-06E5-43BD-9FA8-6D32529ACDB2}"/>
    <cellStyle name="20% - 强调文字颜色 4 27 2" xfId="17820" xr:uid="{F46E497F-8C78-4397-8917-5178A4C6E3E6}"/>
    <cellStyle name="20% - 强调文字颜色 4 27 2 2" xfId="17821" xr:uid="{D1ABE838-B4A4-4ED2-8BC2-7E707F252B47}"/>
    <cellStyle name="20% - 强调文字颜色 4 27 3" xfId="17822" xr:uid="{DBC5F13E-6DCB-43BE-ADC3-4FE3DB2E0F99}"/>
    <cellStyle name="20% - 强调文字颜色 4 27 4" xfId="17823" xr:uid="{B0EAE033-888D-469F-988A-C0C0B7A8716C}"/>
    <cellStyle name="20% - 强调文字颜色 4 27 5" xfId="17819" xr:uid="{3A59B9CB-0777-40AC-AEF0-112981FC9167}"/>
    <cellStyle name="20% - 强调文字颜色 4 28" xfId="2754" xr:uid="{191F4A32-ACC6-40D4-9FC5-B4354C1492BA}"/>
    <cellStyle name="20% - 强调文字颜色 4 28 2" xfId="17825" xr:uid="{77DA9053-C6B2-44CE-940A-FA899113C4F9}"/>
    <cellStyle name="20% - 强调文字颜色 4 28 3" xfId="17826" xr:uid="{11111A4D-F2A0-427A-AFEA-43ACBA62DF3C}"/>
    <cellStyle name="20% - 强调文字颜色 4 28 4" xfId="17827" xr:uid="{C1AA6062-8A26-418C-B14F-416FCBD0DEE8}"/>
    <cellStyle name="20% - 强调文字颜色 4 28 5" xfId="17824" xr:uid="{B47919C2-A05C-4F51-8626-17A14A98B41B}"/>
    <cellStyle name="20% - 强调文字颜色 4 29" xfId="2758" xr:uid="{FC43444D-951D-4CD6-A700-2337C2F5ECD9}"/>
    <cellStyle name="20% - 强调文字颜色 4 29 2" xfId="17829" xr:uid="{B473F925-F9DD-41A7-A094-2260C01082ED}"/>
    <cellStyle name="20% - 强调文字颜色 4 29 3" xfId="17830" xr:uid="{987F49F5-8750-43A7-BA64-6DA17807C000}"/>
    <cellStyle name="20% - 强调文字颜色 4 29 4" xfId="17831" xr:uid="{80359F80-3661-4B22-9FD5-0E89D08052C8}"/>
    <cellStyle name="20% - 强调文字颜色 4 29 5" xfId="17828" xr:uid="{245E321E-2167-48A8-B41B-590D3129C81C}"/>
    <cellStyle name="20% - 强调文字颜色 4 3" xfId="738" xr:uid="{E9BBA89A-2A78-4957-86F6-A4FF21E88AB6}"/>
    <cellStyle name="20% - 强调文字颜色 4 3 10" xfId="2763" xr:uid="{6F24DA63-391B-448D-A24F-EB697B96E61D}"/>
    <cellStyle name="20% - 强调文字颜色 4 3 10 2" xfId="2764" xr:uid="{A9DA80A1-0869-4D9C-889E-0FB9FA1E891E}"/>
    <cellStyle name="20% - 强调文字颜色 4 3 11" xfId="2312" xr:uid="{82565435-9C98-46B2-AC92-70CE3BFD68B4}"/>
    <cellStyle name="20% - 强调文字颜色 4 3 11 2" xfId="2766" xr:uid="{0C9FA3B9-8445-44F8-AD01-6158BD34675C}"/>
    <cellStyle name="20% - 强调文字颜色 4 3 12" xfId="2769" xr:uid="{F041CE87-F2B7-4F70-965D-028ECBAD076B}"/>
    <cellStyle name="20% - 强调文字颜色 4 3 13" xfId="1119" xr:uid="{E1749216-182C-4C6D-A04A-116FB024294B}"/>
    <cellStyle name="20% - 强调文字颜色 4 3 13 2" xfId="2770" xr:uid="{BA5F5DD0-4870-4975-B96E-7DD532580E46}"/>
    <cellStyle name="20% - 强调文字颜色 4 3 14" xfId="2772" xr:uid="{227E24BD-5E4C-4D53-A16D-069FED08BBCB}"/>
    <cellStyle name="20% - 强调文字颜色 4 3 14 2" xfId="2773" xr:uid="{80E542D7-89A9-4738-AB09-A07EA1D5AFF1}"/>
    <cellStyle name="20% - 强调文字颜色 4 3 15" xfId="2774" xr:uid="{F1DE306C-5CED-4A50-AB9D-7AFAF0BE25C9}"/>
    <cellStyle name="20% - 强调文字颜色 4 3 16" xfId="9610" xr:uid="{2A6DF00B-2F5D-471D-9B79-9F9AD1DE6D42}"/>
    <cellStyle name="20% - 强调文字颜色 4 3 17" xfId="13400" xr:uid="{7D4506AA-8B57-4C0D-BD75-7EE3379718F3}"/>
    <cellStyle name="20% - 强调文字颜色 4 3 18" xfId="17832" xr:uid="{96E30045-014C-4BC9-80B7-A642055E0621}"/>
    <cellStyle name="20% - 强调文字颜色 4 3 2" xfId="748" xr:uid="{D6405FBD-E008-4E29-8456-C80F022A0457}"/>
    <cellStyle name="20% - 强调文字颜色 4 3 2 2" xfId="2778" xr:uid="{5985BC34-2598-4A9A-8C5B-B7F38FF098B1}"/>
    <cellStyle name="20% - 强调文字颜色 4 3 2 3" xfId="9611" xr:uid="{26D8B2B9-8B96-4E85-AF8D-74C97747711C}"/>
    <cellStyle name="20% - 强调文字颜色 4 3 2 4" xfId="17833" xr:uid="{66534C8C-0B45-4B2A-B933-9AA27F1ECD25}"/>
    <cellStyle name="20% - 强调文字颜色 4 3 2 5" xfId="27293" xr:uid="{D8E13D8C-E078-4D5A-8D12-D47DA72E1932}"/>
    <cellStyle name="20% - 强调文字颜色 4 3 3" xfId="2666" xr:uid="{5464AC42-DD3A-468C-96E2-D7BA8B98689A}"/>
    <cellStyle name="20% - 强调文字颜色 4 3 3 2" xfId="2782" xr:uid="{D12F83A2-D708-4993-A114-395490C84D39}"/>
    <cellStyle name="20% - 强调文字颜色 4 3 3 2 2" xfId="17835" xr:uid="{3D42A719-38C2-4780-844C-856F6524454A}"/>
    <cellStyle name="20% - 强调文字颜色 4 3 3 3" xfId="9612" xr:uid="{31354C5B-E0BF-4E58-A4B7-4EAE72AE764C}"/>
    <cellStyle name="20% - 强调文字颜色 4 3 3 4" xfId="17834" xr:uid="{9138D5B0-DEED-4686-8F26-99ECE52C4FE4}"/>
    <cellStyle name="20% - 强调文字颜色 4 3 3 5" xfId="27294" xr:uid="{80596AB8-71B7-4EB3-B09D-CB90F362508D}"/>
    <cellStyle name="20% - 强调文字颜色 4 3 4" xfId="2779" xr:uid="{DCDA2758-6972-43D8-B451-8221CC58F666}"/>
    <cellStyle name="20% - 强调文字颜色 4 3 4 2" xfId="2786" xr:uid="{6967BFE4-043F-4B40-84EC-1A3946474B39}"/>
    <cellStyle name="20% - 强调文字颜色 4 3 4 3" xfId="17836" xr:uid="{B92FAB66-8720-4A5B-9FA3-B47B6C8F8DA3}"/>
    <cellStyle name="20% - 强调文字颜色 4 3 4 4" xfId="27675" xr:uid="{CB31720E-D4D2-4961-9D27-F75BD8DFD125}"/>
    <cellStyle name="20% - 强调文字颜色 4 3 5" xfId="2789" xr:uid="{71DD161B-9286-42D5-812A-B2483AEC5E65}"/>
    <cellStyle name="20% - 强调文字颜色 4 3 5 2" xfId="2791" xr:uid="{AA24E02B-63F4-4000-AE5B-6E58615BD7A2}"/>
    <cellStyle name="20% - 强调文字颜色 4 3 5 3" xfId="17837" xr:uid="{95D66B28-9FEA-4EC7-88B9-77879DAD892E}"/>
    <cellStyle name="20% - 强调文字颜色 4 3 6" xfId="2793" xr:uid="{21E5913B-2AF6-47CD-91A1-06FAC1BD3380}"/>
    <cellStyle name="20% - 强调文字颜色 4 3 6 2" xfId="2794" xr:uid="{8E4566E9-2FFB-405C-93C5-691A5363F3D0}"/>
    <cellStyle name="20% - 强调文字颜色 4 3 7" xfId="2796" xr:uid="{25EF2331-4A02-49F1-8E92-AED8247B3534}"/>
    <cellStyle name="20% - 强调文字颜色 4 3 7 2" xfId="2797" xr:uid="{00F9F27D-BB72-48DD-9A6C-5BA19FF54FA7}"/>
    <cellStyle name="20% - 强调文字颜色 4 3 8" xfId="2799" xr:uid="{E2EB6FB0-29FE-4262-891A-F71114C9B711}"/>
    <cellStyle name="20% - 强调文字颜色 4 3 8 2" xfId="2800" xr:uid="{AF7399F5-5D48-4D8B-B4E9-FD5CB931C334}"/>
    <cellStyle name="20% - 强调文字颜色 4 3 9" xfId="2802" xr:uid="{CBA2AFA1-4A59-498B-AFF9-0D6D70D70981}"/>
    <cellStyle name="20% - 强调文字颜色 4 30" xfId="2743" xr:uid="{03A33A1F-5DD5-48B7-B4A8-D8A55BE0C238}"/>
    <cellStyle name="20% - 强调文字颜色 4 30 2" xfId="17839" xr:uid="{A7036E78-1BF4-4A4A-9BEF-BC05F84996CA}"/>
    <cellStyle name="20% - 强调文字颜色 4 30 3" xfId="17840" xr:uid="{E7264C95-A978-4E9D-866F-13847731BBE3}"/>
    <cellStyle name="20% - 强调文字颜色 4 30 4" xfId="17841" xr:uid="{A002C6DA-FD4C-4E2B-AE74-784FC0C6F46C}"/>
    <cellStyle name="20% - 强调文字颜色 4 30 5" xfId="17838" xr:uid="{7F67F611-4804-484E-B668-B376525DDAA7}"/>
    <cellStyle name="20% - 强调文字颜色 4 31" xfId="2747" xr:uid="{6E29374C-D4D0-4B83-9BC0-3EF2C1FE5EBC}"/>
    <cellStyle name="20% - 强调文字颜色 4 31 2" xfId="17843" xr:uid="{B1B9CCA1-F6E5-480D-8852-A0ED1F341DB5}"/>
    <cellStyle name="20% - 强调文字颜色 4 31 3" xfId="17844" xr:uid="{73AB77AA-5347-4EFB-9B97-D618082C7B88}"/>
    <cellStyle name="20% - 强调文字颜色 4 31 4" xfId="17845" xr:uid="{E2D03C77-5832-4565-8B0D-4E0347121FBE}"/>
    <cellStyle name="20% - 强调文字颜色 4 31 5" xfId="17842" xr:uid="{D885914D-8FCA-47B1-8BE6-ACCC56AFAB9A}"/>
    <cellStyle name="20% - 强调文字颜色 4 32" xfId="2751" xr:uid="{B0525611-9C2A-4E5B-8090-7796910FA409}"/>
    <cellStyle name="20% - 强调文字颜色 4 32 2" xfId="17847" xr:uid="{6DE6BB69-9746-48A7-BAD6-CA4552C6FA81}"/>
    <cellStyle name="20% - 强调文字颜色 4 32 3" xfId="17848" xr:uid="{E7960E4E-F0B6-4E31-8090-82A6348E397C}"/>
    <cellStyle name="20% - 强调文字颜色 4 32 4" xfId="17849" xr:uid="{9AF00A47-3BF0-4B69-B105-92AA8C61DDAC}"/>
    <cellStyle name="20% - 强调文字颜色 4 32 5" xfId="17846" xr:uid="{6DFBDBCB-D0CF-4F67-B433-31637D976326}"/>
    <cellStyle name="20% - 强调文字颜色 4 33" xfId="2755" xr:uid="{76630F2A-B69D-48A5-BFCA-A02702CC544D}"/>
    <cellStyle name="20% - 强调文字颜色 4 33 2" xfId="17851" xr:uid="{A7447A0F-0C14-46DF-9DD6-705898CCF0FF}"/>
    <cellStyle name="20% - 强调文字颜色 4 33 3" xfId="17852" xr:uid="{A455B894-E6D0-41E6-BE4C-2978DD05CF6F}"/>
    <cellStyle name="20% - 强调文字颜色 4 33 4" xfId="17853" xr:uid="{0D22B7B6-9BD3-4A1F-BEE9-549864BF70F8}"/>
    <cellStyle name="20% - 强调文字颜色 4 33 5" xfId="17850" xr:uid="{9E446A6F-4C33-4314-8F75-C78FC2599ECA}"/>
    <cellStyle name="20% - 强调文字颜色 4 34" xfId="2759" xr:uid="{092F3184-A0E6-4F61-BD27-AAA30494F3B9}"/>
    <cellStyle name="20% - 强调文字颜色 4 34 2" xfId="12140" xr:uid="{B27A9F08-BFBB-4AE9-AA76-00456E634E78}"/>
    <cellStyle name="20% - 强调文字颜色 4 34 2 2" xfId="17855" xr:uid="{2799977B-33D1-497E-902B-BD74490DF46B}"/>
    <cellStyle name="20% - 强调文字颜色 4 34 3" xfId="17856" xr:uid="{406AF046-B59B-4A3B-9AE9-527D9F30CCF4}"/>
    <cellStyle name="20% - 强调文字颜色 4 34 4" xfId="17857" xr:uid="{D3D49A00-4218-4F80-852A-94E19C61E074}"/>
    <cellStyle name="20% - 强调文字颜色 4 34 5" xfId="17854" xr:uid="{301737F9-A3A1-4FD3-95F5-48D64E5BE580}"/>
    <cellStyle name="20% - 强调文字颜色 4 35" xfId="2803" xr:uid="{2E326608-8882-41D2-BE93-26B597DF8E00}"/>
    <cellStyle name="20% - 强调文字颜色 4 35 2" xfId="12141" xr:uid="{47A3F3F2-2246-450F-9FDA-D64436556261}"/>
    <cellStyle name="20% - 强调文字颜色 4 35 2 2" xfId="17859" xr:uid="{15053543-B2FD-443F-834D-53CB80D95B7B}"/>
    <cellStyle name="20% - 强调文字颜色 4 35 3" xfId="17860" xr:uid="{EB52D470-280C-4D92-A7EA-C05114903447}"/>
    <cellStyle name="20% - 强调文字颜色 4 35 4" xfId="17858" xr:uid="{EE3692C2-1AB8-4D9F-8E92-6006456F7005}"/>
    <cellStyle name="20% - 强调文字颜色 4 36" xfId="935" xr:uid="{C17AB0D9-C961-4366-A506-F0998F81D842}"/>
    <cellStyle name="20% - 强调文字颜色 4 36 2" xfId="12142" xr:uid="{DA1A78CF-709D-46D5-A8EA-357BF6A3E73B}"/>
    <cellStyle name="20% - 强调文字颜色 4 36 2 2" xfId="17862" xr:uid="{D1E08DF0-C3A7-43FD-9719-B02D200E80A8}"/>
    <cellStyle name="20% - 强调文字颜色 4 36 3" xfId="17863" xr:uid="{159139CC-5D84-42ED-9BA6-3C0843F1C506}"/>
    <cellStyle name="20% - 强调文字颜色 4 36 4" xfId="17861" xr:uid="{676DA8F5-C663-4C03-9C3D-ADF3952ED45B}"/>
    <cellStyle name="20% - 强调文字颜色 4 37" xfId="2807" xr:uid="{1A948BF3-33D1-45B0-9FC9-24F89581BE16}"/>
    <cellStyle name="20% - 强调文字颜色 4 37 2" xfId="12143" xr:uid="{4361FC8C-C3F0-4FF0-A21D-9E5CD5CAAE66}"/>
    <cellStyle name="20% - 强调文字颜色 4 37 2 2" xfId="17865" xr:uid="{C67EC09F-790C-4A3F-957C-4DB7A2D47AC4}"/>
    <cellStyle name="20% - 强调文字颜色 4 37 3" xfId="17866" xr:uid="{A2EF9C6D-FDA3-4A49-ABB3-DE9EC4DA422F}"/>
    <cellStyle name="20% - 强调文字颜色 4 37 4" xfId="17864" xr:uid="{87311048-0533-415F-BF76-BE0C540896BF}"/>
    <cellStyle name="20% - 强调文字颜色 4 38" xfId="2008" xr:uid="{E88F2108-2872-462D-B1D9-2566CABD5BC8}"/>
    <cellStyle name="20% - 强调文字颜色 4 38 10" xfId="17868" xr:uid="{30CFEA9A-9CAA-4276-B4B1-1079A155A50A}"/>
    <cellStyle name="20% - 强调文字颜色 4 38 11" xfId="17869" xr:uid="{C70B9241-B307-4659-8CA5-9C93FD9B3C7B}"/>
    <cellStyle name="20% - 强调文字颜色 4 38 12" xfId="17870" xr:uid="{8F40AB7C-202D-4DDA-9FAA-6E644546B94D}"/>
    <cellStyle name="20% - 强调文字颜色 4 38 13" xfId="17871" xr:uid="{63B73E40-7167-498A-B882-AACD9297F8EB}"/>
    <cellStyle name="20% - 强调文字颜色 4 38 14" xfId="17872" xr:uid="{E5C366AD-B043-43D7-9166-858641AD0DD3}"/>
    <cellStyle name="20% - 强调文字颜色 4 38 15" xfId="17867" xr:uid="{3D0DA375-D8D4-4347-90AC-72B967557F5B}"/>
    <cellStyle name="20% - 强调文字颜色 4 38 2" xfId="12144" xr:uid="{D7C7B352-1B9D-4A5B-B7E0-E9FD587203FC}"/>
    <cellStyle name="20% - 强调文字颜色 4 38 2 2" xfId="17873" xr:uid="{84B604A6-C9AB-4DC6-8D7D-C4A2DDBF7995}"/>
    <cellStyle name="20% - 强调文字颜色 4 38 3" xfId="17874" xr:uid="{82D672B1-5A8C-47CF-A972-A8F6DB75760A}"/>
    <cellStyle name="20% - 强调文字颜色 4 38 4" xfId="17875" xr:uid="{7B0FCE5B-80DF-416E-9780-E74C47F6C41C}"/>
    <cellStyle name="20% - 强调文字颜色 4 38 5" xfId="17876" xr:uid="{1C2BAECA-B2FC-4EE5-BABE-5DD1CF85B9DF}"/>
    <cellStyle name="20% - 强调文字颜色 4 38 6" xfId="17877" xr:uid="{FF5A25AF-7270-454C-923E-30FFF5A2DF21}"/>
    <cellStyle name="20% - 强调文字颜色 4 38 7" xfId="17878" xr:uid="{870F8131-EA2E-44D1-A758-CA1DEF017EF1}"/>
    <cellStyle name="20% - 强调文字颜色 4 38 8" xfId="17879" xr:uid="{29650100-3A35-4C1F-BE5E-30CA76449605}"/>
    <cellStyle name="20% - 强调文字颜色 4 38 9" xfId="17880" xr:uid="{553739A8-A6E6-40F1-853F-124305865C95}"/>
    <cellStyle name="20% - 强调文字颜色 4 39" xfId="2813" xr:uid="{61624214-A9F8-477D-822E-D6795DC6D506}"/>
    <cellStyle name="20% - 强调文字颜色 4 39 2" xfId="12145" xr:uid="{B2BEA842-A55B-4E4F-B1B0-0585E30F0F4F}"/>
    <cellStyle name="20% - 强调文字颜色 4 39 2 2" xfId="17882" xr:uid="{89808453-1169-4733-BF98-E426E31E9658}"/>
    <cellStyle name="20% - 强调文字颜色 4 39 3" xfId="17883" xr:uid="{9EEB4B73-8F62-4832-B9B3-385F13A16377}"/>
    <cellStyle name="20% - 强调文字颜色 4 39 4" xfId="17881" xr:uid="{A952D781-A381-4F73-94BB-EDC9A5A3DE7B}"/>
    <cellStyle name="20% - 强调文字颜色 4 4" xfId="753" xr:uid="{E29FD266-7094-4DEE-A657-31ACC0329CA1}"/>
    <cellStyle name="20% - 强调文字颜色 4 4 10" xfId="2820" xr:uid="{E6EC2F1C-7F4B-490B-84AB-5EFECD94F854}"/>
    <cellStyle name="20% - 强调文字颜色 4 4 10 2" xfId="2821" xr:uid="{96222B9D-D6D0-4D6F-A14B-AFE1446DDD32}"/>
    <cellStyle name="20% - 强调文字颜色 4 4 11" xfId="2822" xr:uid="{37332D9E-3DAA-47A5-AF43-FD15C12F60AC}"/>
    <cellStyle name="20% - 强调文字颜色 4 4 11 2" xfId="2824" xr:uid="{06C091AE-D618-47B0-888B-316B95D62304}"/>
    <cellStyle name="20% - 强调文字颜色 4 4 12" xfId="2825" xr:uid="{EF51B99F-8454-414B-811E-E431CC14CA90}"/>
    <cellStyle name="20% - 强调文字颜色 4 4 13" xfId="2826" xr:uid="{97EC9FD5-BE1F-4385-8AEC-96C439863F8D}"/>
    <cellStyle name="20% - 强调文字颜色 4 4 13 2" xfId="2827" xr:uid="{952EC56E-719D-449B-A99B-E0204E6D5A65}"/>
    <cellStyle name="20% - 强调文字颜色 4 4 14" xfId="2829" xr:uid="{2750C7C6-0B12-469D-BA10-8B9520240D95}"/>
    <cellStyle name="20% - 强调文字颜色 4 4 14 2" xfId="2831" xr:uid="{996AA4EF-C0E4-4A55-98D5-D546E83DA0E5}"/>
    <cellStyle name="20% - 强调文字颜色 4 4 15" xfId="2833" xr:uid="{36258944-DF67-4144-AAEC-96CB7932ACB5}"/>
    <cellStyle name="20% - 强调文字颜色 4 4 16" xfId="9613" xr:uid="{35CB3BB5-2709-400F-8F22-7BCD9874CB85}"/>
    <cellStyle name="20% - 强调文字颜色 4 4 17" xfId="13391" xr:uid="{FE56F846-827A-4664-9AD6-D81A404EF15C}"/>
    <cellStyle name="20% - 强调文字颜色 4 4 18" xfId="17884" xr:uid="{D77E558C-BDF1-4BA9-8277-381EA0A9DD3E}"/>
    <cellStyle name="20% - 强调文字颜色 4 4 2" xfId="758" xr:uid="{1CDD4713-C03A-41FF-AD12-42D230C1D8D7}"/>
    <cellStyle name="20% - 强调文字颜色 4 4 2 2" xfId="2834" xr:uid="{A3E24989-3097-42E2-A1B7-79B957E8517C}"/>
    <cellStyle name="20% - 强调文字颜色 4 4 2 2 2" xfId="17886" xr:uid="{81CA7355-A0AA-41B3-9FF4-D956BD346258}"/>
    <cellStyle name="20% - 强调文字颜色 4 4 2 3" xfId="9614" xr:uid="{50D25EDD-17F9-4E06-B283-50583CA074C5}"/>
    <cellStyle name="20% - 强调文字颜色 4 4 2 4" xfId="17885" xr:uid="{44A6A917-FBA4-4213-9078-68684C1542ED}"/>
    <cellStyle name="20% - 强调文字颜色 4 4 3" xfId="2837" xr:uid="{456AFA27-0DB1-4F89-B098-FD5C4D07EE18}"/>
    <cellStyle name="20% - 强调文字颜色 4 4 3 2" xfId="2839" xr:uid="{DED3C035-B9C5-4894-AC0D-EE07F1F9F6BA}"/>
    <cellStyle name="20% - 强调文字颜色 4 4 3 3" xfId="9615" xr:uid="{B21D34E8-CACB-4BB9-B65B-80A48142F843}"/>
    <cellStyle name="20% - 强调文字颜色 4 4 3 4" xfId="17887" xr:uid="{3C2096CD-71A1-450D-A7F9-BB750405D2DE}"/>
    <cellStyle name="20% - 强调文字颜色 4 4 4" xfId="2783" xr:uid="{45051F47-68FC-4A4A-88C9-7B39E6239B6E}"/>
    <cellStyle name="20% - 强调文字颜色 4 4 4 2" xfId="2842" xr:uid="{09468833-827C-417C-814A-060C5DE2F535}"/>
    <cellStyle name="20% - 强调文字颜色 4 4 4 3" xfId="17888" xr:uid="{1AD0147F-4E3A-4E71-AC0B-65232B78EA9A}"/>
    <cellStyle name="20% - 强调文字颜色 4 4 5" xfId="2844" xr:uid="{2BBC84F6-D78F-4951-83B0-B433EC5D21F6}"/>
    <cellStyle name="20% - 强调文字颜色 4 4 5 2" xfId="2845" xr:uid="{2289685F-5285-4259-9687-A88BC7B5D842}"/>
    <cellStyle name="20% - 强调文字颜色 4 4 6" xfId="2847" xr:uid="{3E53045B-9326-4D61-A89B-C36D180EE82E}"/>
    <cellStyle name="20% - 强调文字颜色 4 4 6 2" xfId="2848" xr:uid="{1C29201E-7E85-4B76-930D-6A118FE50DFC}"/>
    <cellStyle name="20% - 强调文字颜色 4 4 7" xfId="2850" xr:uid="{48790C32-6944-4D1F-93C5-8BB3C8CF2EDD}"/>
    <cellStyle name="20% - 强调文字颜色 4 4 7 2" xfId="2851" xr:uid="{B2CC96D1-8E49-4A97-ABCD-075837F48D99}"/>
    <cellStyle name="20% - 强调文字颜色 4 4 8" xfId="2853" xr:uid="{F126F213-D9B1-4EC8-98E7-D24D97BDF952}"/>
    <cellStyle name="20% - 强调文字颜色 4 4 8 2" xfId="2854" xr:uid="{9C6DFF99-7352-458E-B10C-7E5D4D8B5A67}"/>
    <cellStyle name="20% - 强调文字颜色 4 4 9" xfId="2857" xr:uid="{7B35479C-AB80-43EA-8C59-B617EB4204BD}"/>
    <cellStyle name="20% - 强调文字颜色 4 40" xfId="2804" xr:uid="{CD07D24E-0C81-4592-8C85-19272AF518AC}"/>
    <cellStyle name="20% - 强调文字颜色 4 40 2" xfId="12146" xr:uid="{25EB73D5-A48D-45BA-B331-52FB13DF60FE}"/>
    <cellStyle name="20% - 强调文字颜色 4 40 2 2" xfId="17890" xr:uid="{FB85D9BD-2D42-48E8-908A-9DD44A9C0150}"/>
    <cellStyle name="20% - 强调文字颜色 4 40 3" xfId="17889" xr:uid="{F536FAF6-8013-4375-9F31-E401308837FE}"/>
    <cellStyle name="20% - 强调文字颜色 4 41" xfId="936" xr:uid="{FD87F7A8-DA2B-460C-A4E0-7DD4C23365A8}"/>
    <cellStyle name="20% - 强调文字颜色 4 41 2" xfId="12147" xr:uid="{8D0C8A54-145D-4190-A62A-E14A1B67B306}"/>
    <cellStyle name="20% - 强调文字颜色 4 41 2 2" xfId="17892" xr:uid="{5B6FBF9A-F6B8-457E-9823-3A9714E9F6F3}"/>
    <cellStyle name="20% - 强调文字颜色 4 41 3" xfId="17891" xr:uid="{DE56D225-1C91-4EEB-829C-88EAEF6FD7F7}"/>
    <cellStyle name="20% - 强调文字颜色 4 42" xfId="2808" xr:uid="{056D4421-6168-4B41-B862-B55E559A1A3B}"/>
    <cellStyle name="20% - 强调文字颜色 4 42 2" xfId="12148" xr:uid="{14AD9DC0-1DA6-4A02-9485-8D16AAB33E24}"/>
    <cellStyle name="20% - 强调文字颜色 4 42 2 2" xfId="17894" xr:uid="{38E1AC70-EF44-4CB1-8D87-74C728A9E05B}"/>
    <cellStyle name="20% - 强调文字颜色 4 42 3" xfId="17893" xr:uid="{C38F92D1-E5EC-4450-B69C-2050E9BE4279}"/>
    <cellStyle name="20% - 强调文字颜色 4 43" xfId="2009" xr:uid="{1DC3AAE1-7E9E-4837-B38F-CD764A571386}"/>
    <cellStyle name="20% - 强调文字颜色 4 43 2" xfId="12149" xr:uid="{09C15C8E-AE87-473E-ABB4-A68356B6E639}"/>
    <cellStyle name="20% - 强调文字颜色 4 43 2 2" xfId="17896" xr:uid="{17F2D0A2-738D-47F7-9F82-D74A6D57D5E2}"/>
    <cellStyle name="20% - 强调文字颜色 4 43 3" xfId="17895" xr:uid="{BD9C71C8-85CF-4F68-8190-DD542BD220A1}"/>
    <cellStyle name="20% - 强调文字颜色 4 44" xfId="2814" xr:uid="{62AC9732-3299-49CD-89D4-6D9ED7A7148C}"/>
    <cellStyle name="20% - 强调文字颜色 4 44 2" xfId="12150" xr:uid="{BFC0A4E2-0002-4A55-B1E2-AFA7FDF7406E}"/>
    <cellStyle name="20% - 强调文字颜色 4 44 2 2" xfId="17898" xr:uid="{F19324D8-27F3-442D-B5E0-36A9229CAA2D}"/>
    <cellStyle name="20% - 强调文字颜色 4 44 3" xfId="17897" xr:uid="{0BCD4B90-30BE-47C5-A102-22ECE43DB70D}"/>
    <cellStyle name="20% - 强调文字颜色 4 45" xfId="2859" xr:uid="{817775F2-003F-4D73-B29E-813043A27281}"/>
    <cellStyle name="20% - 强调文字颜色 4 45 2" xfId="12151" xr:uid="{A6AB3030-1B5A-4E22-87CE-94D0C477AF1B}"/>
    <cellStyle name="20% - 强调文字颜色 4 45 2 2" xfId="17900" xr:uid="{35AF6B19-5D6F-4ABD-A70B-384CBA3A9CF8}"/>
    <cellStyle name="20% - 强调文字颜色 4 45 3" xfId="17899" xr:uid="{8B37064D-B1C9-4070-87FA-29F1C708BA93}"/>
    <cellStyle name="20% - 强调文字颜色 4 46" xfId="2865" xr:uid="{EF0DE00B-89E3-42F7-8C71-944E6034142B}"/>
    <cellStyle name="20% - 强调文字颜色 4 46 2" xfId="12152" xr:uid="{643583B8-7797-4F39-AC50-BC3339DB9F15}"/>
    <cellStyle name="20% - 强调文字颜色 4 46 2 2" xfId="17902" xr:uid="{A0F57373-75B0-421B-A2DB-4DEC41E610F9}"/>
    <cellStyle name="20% - 强调文字颜色 4 46 3" xfId="17901" xr:uid="{8EDC5666-7871-472D-A80B-2EB6C9272787}"/>
    <cellStyle name="20% - 强调文字颜色 4 47" xfId="385" xr:uid="{2130B145-3BE0-4680-95EF-C076AC14B39D}"/>
    <cellStyle name="20% - 强调文字颜色 4 47 2" xfId="12153" xr:uid="{8E7527DC-4E8C-40F8-B512-BBA10A3A81BE}"/>
    <cellStyle name="20% - 强调文字颜色 4 47 3" xfId="17903" xr:uid="{7034C75B-A866-434F-81E7-841AD2630E31}"/>
    <cellStyle name="20% - 强调文字颜色 4 48" xfId="1311" xr:uid="{1FAF9213-9E23-4715-B8C7-A445F0A3F788}"/>
    <cellStyle name="20% - 强调文字颜色 4 48 2" xfId="12154" xr:uid="{E3E3F08B-3B38-464B-A40D-21D11A57B51C}"/>
    <cellStyle name="20% - 强调文字颜色 4 48 3" xfId="17904" xr:uid="{E10F003C-3AFF-4DEE-93A7-0D8588483FE9}"/>
    <cellStyle name="20% - 强调文字颜色 4 49" xfId="1318" xr:uid="{EC34BCFE-2E39-4E82-8492-9E7868BBE1D8}"/>
    <cellStyle name="20% - 强调文字颜色 4 49 2" xfId="12155" xr:uid="{02FC7C6A-70EE-4591-8C07-D6B145450BDB}"/>
    <cellStyle name="20% - 强调文字颜色 4 49 3" xfId="17905" xr:uid="{6C25D725-6315-4349-B70C-A26171D88087}"/>
    <cellStyle name="20% - 强调文字颜色 4 5" xfId="763" xr:uid="{1550133C-6887-4E2A-A13D-933C1C0381EA}"/>
    <cellStyle name="20% - 强调文字颜色 4 5 10" xfId="2870" xr:uid="{F27ED354-5A0E-4428-BB74-2BA954DBFC82}"/>
    <cellStyle name="20% - 强调文字颜色 4 5 10 2" xfId="2871" xr:uid="{BEEF687C-47D9-4357-9B53-8FC554A23C63}"/>
    <cellStyle name="20% - 强调文字颜色 4 5 11" xfId="2720" xr:uid="{8B78B273-13D4-4AAB-B7BE-E1EFC626961F}"/>
    <cellStyle name="20% - 强调文字颜色 4 5 11 2" xfId="2872" xr:uid="{14C8CC23-AA09-482C-882E-2E3F96C0D5DC}"/>
    <cellStyle name="20% - 强调文字颜色 4 5 12" xfId="2873" xr:uid="{9D7A3479-3FED-498F-ACE3-6FC6BB2FA716}"/>
    <cellStyle name="20% - 强调文字颜色 4 5 13" xfId="2874" xr:uid="{B9CB4D87-61A6-48C3-B8A2-6ACDCCBCF0EE}"/>
    <cellStyle name="20% - 强调文字颜色 4 5 13 2" xfId="2875" xr:uid="{5DEE6552-A697-47A4-B8F2-BD3C2B9F5434}"/>
    <cellStyle name="20% - 强调文字颜色 4 5 14" xfId="1632" xr:uid="{AFE5CAF4-1646-4AA0-8B9B-8C5867A1460D}"/>
    <cellStyle name="20% - 强调文字颜色 4 5 14 2" xfId="2876" xr:uid="{031A0E4E-8B33-4FFA-BFB0-413E0CB136AE}"/>
    <cellStyle name="20% - 强调文字颜色 4 5 15" xfId="2877" xr:uid="{E6252AA5-811A-490E-A03A-EBA0F7078C13}"/>
    <cellStyle name="20% - 强调文字颜色 4 5 16" xfId="9616" xr:uid="{4A6EC58C-07CE-4D79-9C3E-FCDB628F3E3A}"/>
    <cellStyle name="20% - 强调文字颜色 4 5 17" xfId="13370" xr:uid="{17B694E9-3106-4F9D-80E4-ABD573E5D4AC}"/>
    <cellStyle name="20% - 强调文字颜色 4 5 18" xfId="17906" xr:uid="{4748F73D-AC3B-4612-BEC3-D35CBFE6BACD}"/>
    <cellStyle name="20% - 强调文字颜色 4 5 2" xfId="767" xr:uid="{33B7F3B4-F045-4C56-8AB8-9185B83F81DE}"/>
    <cellStyle name="20% - 强调文字颜色 4 5 2 2" xfId="2878" xr:uid="{6072681E-ABC3-49F7-A1DB-FCB15FF1170C}"/>
    <cellStyle name="20% - 强调文字颜色 4 5 2 2 2" xfId="17908" xr:uid="{9E7FBE5E-0846-4FFE-B612-20521DC9AEC6}"/>
    <cellStyle name="20% - 强调文字颜色 4 5 2 3" xfId="9617" xr:uid="{AA28655B-BC9D-4FB8-8242-EE9591181D9A}"/>
    <cellStyle name="20% - 强调文字颜色 4 5 2 4" xfId="17907" xr:uid="{752CE1E8-B400-47BB-B2EA-1967434F5D69}"/>
    <cellStyle name="20% - 强调文字颜色 4 5 3" xfId="2881" xr:uid="{B42D5C28-2092-4AC6-A25F-C3C4B5682EEC}"/>
    <cellStyle name="20% - 强调文字颜色 4 5 3 2" xfId="2884" xr:uid="{24F33750-5FF8-419F-9795-051B0738267C}"/>
    <cellStyle name="20% - 强调文字颜色 4 5 3 3" xfId="9618" xr:uid="{DD55A5C4-0BF1-4174-A538-69EAABB9B7AD}"/>
    <cellStyle name="20% - 强调文字颜色 4 5 3 4" xfId="17909" xr:uid="{13D3552C-A274-4EDC-ADD9-DFF1DBC08842}"/>
    <cellStyle name="20% - 强调文字颜色 4 5 4" xfId="2787" xr:uid="{6EC6A2A5-C029-4072-B7BA-ACD85E498C12}"/>
    <cellStyle name="20% - 强调文字颜色 4 5 4 2" xfId="2887" xr:uid="{A43A203F-A3B1-4B1D-9214-350DEC5311D0}"/>
    <cellStyle name="20% - 强调文字颜色 4 5 4 3" xfId="17910" xr:uid="{036F0903-A913-4621-A9B5-8C016A51E13B}"/>
    <cellStyle name="20% - 强调文字颜色 4 5 5" xfId="2889" xr:uid="{CB72B5E7-0A99-47C5-8E8E-3B643FE43502}"/>
    <cellStyle name="20% - 强调文字颜色 4 5 5 2" xfId="2890" xr:uid="{EEA9D5F7-5057-4AF0-8BBA-3C492EC6A857}"/>
    <cellStyle name="20% - 强调文字颜色 4 5 6" xfId="2892" xr:uid="{9BAD0DA8-081E-4968-A913-AB59F22353B5}"/>
    <cellStyle name="20% - 强调文字颜色 4 5 6 2" xfId="2893" xr:uid="{6EE90FAA-4821-43CE-AED5-4923F903F270}"/>
    <cellStyle name="20% - 强调文字颜色 4 5 7" xfId="2895" xr:uid="{143E5DFE-6F03-48B3-BDE9-F80531522168}"/>
    <cellStyle name="20% - 强调文字颜色 4 5 7 2" xfId="2896" xr:uid="{17DB15D1-CD1D-4067-88E2-A66DF076222D}"/>
    <cellStyle name="20% - 强调文字颜色 4 5 8" xfId="2898" xr:uid="{413AA1B6-C8B7-475E-B853-53C218F9D51F}"/>
    <cellStyle name="20% - 强调文字颜色 4 5 8 2" xfId="2899" xr:uid="{00DAA108-43D3-4487-83F5-454B27709BE5}"/>
    <cellStyle name="20% - 强调文字颜色 4 5 9" xfId="2901" xr:uid="{89F84989-C0F7-41F5-AA8A-2EA7693CE1F6}"/>
    <cellStyle name="20% - 强调文字颜色 4 50" xfId="2860" xr:uid="{A483566D-E7D6-421C-8BE3-B79A447AD602}"/>
    <cellStyle name="20% - 强调文字颜色 4 50 2" xfId="12156" xr:uid="{F3CDAB4B-FCA3-43D9-940D-F3B05110CDD2}"/>
    <cellStyle name="20% - 强调文字颜色 4 50 3" xfId="17911" xr:uid="{8780BDA9-02D4-40D8-9B3A-74DCB4A805F6}"/>
    <cellStyle name="20% - 强调文字颜色 4 51" xfId="2866" xr:uid="{0B5AF680-5501-4BFF-89DD-3F1A186EFDE2}"/>
    <cellStyle name="20% - 强调文字颜色 4 51 2" xfId="12157" xr:uid="{A7BEAC4C-BFAE-47B7-9DF5-1FBAE0990FE2}"/>
    <cellStyle name="20% - 强调文字颜色 4 51 3" xfId="17912" xr:uid="{26C17B3E-B217-41C0-B450-F352BAE6B661}"/>
    <cellStyle name="20% - 强调文字颜色 4 52" xfId="384" xr:uid="{F348B889-3006-4B79-B472-81DB53A4DCDC}"/>
    <cellStyle name="20% - 强调文字颜色 4 52 2" xfId="12158" xr:uid="{CE97981F-8571-49E9-BCBB-5B318EE67C16}"/>
    <cellStyle name="20% - 强调文字颜色 4 52 3" xfId="17913" xr:uid="{F0BF44B7-60B2-43C8-9E9F-6B1EDF43E28C}"/>
    <cellStyle name="20% - 强调文字颜色 4 53" xfId="1312" xr:uid="{9EE8A8F2-843D-47D5-873D-9A5191394876}"/>
    <cellStyle name="20% - 强调文字颜色 4 53 2" xfId="12159" xr:uid="{8DC023EA-BE5C-4130-904C-5D148F9FB5E9}"/>
    <cellStyle name="20% - 强调文字颜色 4 53 3" xfId="17914" xr:uid="{7F0422AF-7501-4260-A344-2FFB1C9736FC}"/>
    <cellStyle name="20% - 强调文字颜色 4 54" xfId="1319" xr:uid="{BD78F0E5-0DD8-45BB-9832-56B802930802}"/>
    <cellStyle name="20% - 强调文字颜色 4 54 2" xfId="12160" xr:uid="{65E7E183-3FB1-4457-92A8-C2138892467D}"/>
    <cellStyle name="20% - 强调文字颜色 4 54 3" xfId="17915" xr:uid="{67A838B3-4E26-4858-ABEF-2FFC1435F897}"/>
    <cellStyle name="20% - 强调文字颜色 4 55" xfId="1327" xr:uid="{650BF257-B87D-4D67-BAA9-6EAE3310B0D4}"/>
    <cellStyle name="20% - 强调文字颜色 4 55 2" xfId="12161" xr:uid="{8C474758-15FB-467A-A467-7BB74BD01D20}"/>
    <cellStyle name="20% - 强调文字颜色 4 55 3" xfId="17916" xr:uid="{8E6E592A-B310-452B-8C8F-116FEB3F10C6}"/>
    <cellStyle name="20% - 强调文字颜色 4 56" xfId="1337" xr:uid="{97D45F9A-71EA-4B8F-8182-E432497133A9}"/>
    <cellStyle name="20% - 强调文字颜色 4 56 2" xfId="12162" xr:uid="{2ED7817F-75C9-4074-9544-3F8F82565376}"/>
    <cellStyle name="20% - 强调文字颜色 4 56 3" xfId="17917" xr:uid="{47A7FB8E-C122-478C-BBC7-A56E4CE9F542}"/>
    <cellStyle name="20% - 强调文字颜色 4 57" xfId="2903" xr:uid="{67EFDD0D-4266-4B8A-BB7B-1C785B65A5A0}"/>
    <cellStyle name="20% - 强调文字颜色 4 57 2" xfId="12163" xr:uid="{CA8E0473-8CC7-406E-AE89-463BE157809F}"/>
    <cellStyle name="20% - 强调文字颜色 4 58" xfId="2908" xr:uid="{7EA5EA2F-684A-4F3F-925D-ECDDDDAA466C}"/>
    <cellStyle name="20% - 强调文字颜色 4 58 2" xfId="12164" xr:uid="{B5E5F6C3-96B0-48B1-9E5D-1F580BA4AB2E}"/>
    <cellStyle name="20% - 强调文字颜色 4 59" xfId="2912" xr:uid="{1542E1DD-2FD3-4835-BECF-83C306F9F2C8}"/>
    <cellStyle name="20% - 强调文字颜色 4 59 2" xfId="12165" xr:uid="{52CD3AB2-9AB9-4273-8E71-14EE2745D022}"/>
    <cellStyle name="20% - 强调文字颜色 4 6" xfId="773" xr:uid="{B9FCF1DD-CF52-469B-9D8B-01B4DC8B430F}"/>
    <cellStyle name="20% - 强调文字颜色 4 6 10" xfId="17918" xr:uid="{2D88AD3B-22F0-4C10-84DF-7321371A2A70}"/>
    <cellStyle name="20% - 强调文字颜色 4 6 2" xfId="207" xr:uid="{F7C6DF48-6530-4B91-AE3A-FACB21CEE06D}"/>
    <cellStyle name="20% - 强调文字颜色 4 6 2 2" xfId="9620" xr:uid="{EE6EE699-B785-41B1-8FC6-F6BA2C1D9002}"/>
    <cellStyle name="20% - 强调文字颜色 4 6 2 2 2" xfId="17920" xr:uid="{1637F7D2-3E2F-4693-8801-C5C94D8D1A1F}"/>
    <cellStyle name="20% - 强调文字颜色 4 6 2 3" xfId="17919" xr:uid="{5C79320F-66B6-4A9B-BE01-A498A991AB06}"/>
    <cellStyle name="20% - 强调文字颜色 4 6 3" xfId="2916" xr:uid="{C1425632-26AD-4F4D-8AC3-DD89F59A8D42}"/>
    <cellStyle name="20% - 强调文字颜色 4 6 3 2" xfId="2917" xr:uid="{73EEFE31-9343-43D5-AADC-1131E0BCD548}"/>
    <cellStyle name="20% - 强调文字颜色 4 6 3 3" xfId="9621" xr:uid="{FAFE6DFA-B670-49F2-8EBC-7A56455DD55A}"/>
    <cellStyle name="20% - 强调文字颜色 4 6 3 4" xfId="17921" xr:uid="{BFBF98B3-E5B7-4007-BC01-B33FC8E012DC}"/>
    <cellStyle name="20% - 强调文字颜色 4 6 4" xfId="2792" xr:uid="{4665ABE1-EF97-41AE-9AD5-DED3DD2B80AB}"/>
    <cellStyle name="20% - 强调文字颜色 4 6 4 2" xfId="330" xr:uid="{81752786-AE1D-454D-9398-5C6EE886F252}"/>
    <cellStyle name="20% - 强调文字颜色 4 6 4 3" xfId="17922" xr:uid="{62AA6DF6-4A59-4B4A-B904-949D46F95A1A}"/>
    <cellStyle name="20% - 强调文字颜色 4 6 5" xfId="2918" xr:uid="{E8331121-EAD4-47BE-B316-AFA9D2845711}"/>
    <cellStyle name="20% - 强调文字颜色 4 6 6" xfId="2919" xr:uid="{AF265AD4-E573-4C06-8F5C-4E4E95325E12}"/>
    <cellStyle name="20% - 强调文字颜色 4 6 6 2" xfId="1223" xr:uid="{096E72AC-C30D-4E9C-B8CE-D7FA7B33BB70}"/>
    <cellStyle name="20% - 强调文字颜色 4 6 7" xfId="2920" xr:uid="{DE1A5D22-F2FD-4126-A7BA-F3A87ABDAC73}"/>
    <cellStyle name="20% - 强调文字颜色 4 6 7 2" xfId="2921" xr:uid="{70F73492-7400-4310-B941-81F2E53663F2}"/>
    <cellStyle name="20% - 强调文字颜色 4 6 8" xfId="9619" xr:uid="{AA72A18D-EAA9-4E52-947F-A695F08C1D0F}"/>
    <cellStyle name="20% - 强调文字颜色 4 6 9" xfId="13346" xr:uid="{55F77F64-3731-4CB8-B94A-DFB7F0C46A80}"/>
    <cellStyle name="20% - 强调文字颜色 4 60" xfId="1328" xr:uid="{3C744C13-2068-4D5C-843F-CC95E7442C7C}"/>
    <cellStyle name="20% - 强调文字颜色 4 60 2" xfId="12166" xr:uid="{5B4BBB43-6477-4EEE-AC8B-1EF73EEA736C}"/>
    <cellStyle name="20% - 强调文字颜色 4 61" xfId="1338" xr:uid="{71B49616-7BB6-43D0-A032-7190838EFA1B}"/>
    <cellStyle name="20% - 强调文字颜色 4 61 2" xfId="12167" xr:uid="{45B2BD09-8BCF-4679-A756-03E59A2DF3FF}"/>
    <cellStyle name="20% - 强调文字颜色 4 62" xfId="2904" xr:uid="{E5FB4D36-06D5-4C0F-896B-8D8461C7AFA4}"/>
    <cellStyle name="20% - 强调文字颜色 4 62 2" xfId="12168" xr:uid="{7EC01353-FA79-43FA-A331-0FB18D628FD6}"/>
    <cellStyle name="20% - 强调文字颜色 4 63" xfId="2909" xr:uid="{C385A6FB-02F1-401C-B238-29201579C65A}"/>
    <cellStyle name="20% - 强调文字颜色 4 63 2" xfId="12169" xr:uid="{CC89616A-356C-41E8-9414-4DF54532FC9C}"/>
    <cellStyle name="20% - 强调文字颜色 4 64" xfId="2913" xr:uid="{8F639AD1-F343-42CB-97D0-B2A029C6F8E5}"/>
    <cellStyle name="20% - 强调文字颜色 4 64 2" xfId="12170" xr:uid="{E08AA8A8-4903-48ED-A672-6D98E405CB15}"/>
    <cellStyle name="20% - 强调文字颜色 4 65" xfId="1140" xr:uid="{DA3AA79B-EE02-4EB6-B246-F1EBB4D88E3B}"/>
    <cellStyle name="20% - 强调文字颜色 4 65 2" xfId="12171" xr:uid="{C77626EC-3A11-4157-80C8-AC26F8CB6CEB}"/>
    <cellStyle name="20% - 强调文字颜色 4 66" xfId="2922" xr:uid="{E0A095E3-93A9-4E02-BB33-00E390AA5194}"/>
    <cellStyle name="20% - 强调文字颜色 4 66 2" xfId="12172" xr:uid="{C8ED3B9F-365B-4BD0-9DBC-BBE5C1E94B2C}"/>
    <cellStyle name="20% - 强调文字颜色 4 67" xfId="2926" xr:uid="{B07DA3B1-D937-44FD-9B21-F813974A049B}"/>
    <cellStyle name="20% - 强调文字颜色 4 67 2" xfId="12173" xr:uid="{4AC64806-2F32-42BF-B0BC-32F1D0D63A3F}"/>
    <cellStyle name="20% - 强调文字颜色 4 68" xfId="2930" xr:uid="{6609204E-0337-4970-98BB-85A99B0ABB94}"/>
    <cellStyle name="20% - 强调文字颜色 4 68 2" xfId="12174" xr:uid="{06DDF5AE-58E3-492D-ABB1-551853A62848}"/>
    <cellStyle name="20% - 强调文字颜色 4 69" xfId="2934" xr:uid="{7E044847-98BF-4EBA-BC8D-D646184D9A11}"/>
    <cellStyle name="20% - 强调文字颜色 4 69 2" xfId="12175" xr:uid="{2890ACED-148E-41CA-B2CA-0C5FF210C25C}"/>
    <cellStyle name="20% - 强调文字颜色 4 7" xfId="780" xr:uid="{E7F2D3AB-948C-4AE2-B0D3-2FECA0100299}"/>
    <cellStyle name="20% - 强调文字颜色 4 7 2" xfId="188" xr:uid="{12E9E3A7-0695-4664-A4A0-C313D51AE901}"/>
    <cellStyle name="20% - 强调文字颜色 4 7 2 2" xfId="2938" xr:uid="{58B724D9-4C1A-42E6-8EA2-B60252A19F53}"/>
    <cellStyle name="20% - 强调文字颜色 4 7 2 2 2" xfId="17925" xr:uid="{D55CC9EB-65EE-43CF-989E-9C9005720BCD}"/>
    <cellStyle name="20% - 强调文字颜色 4 7 2 3" xfId="9623" xr:uid="{26FAE784-A8DA-4D59-81F0-0008EDBDC360}"/>
    <cellStyle name="20% - 强调文字颜色 4 7 2 4" xfId="17924" xr:uid="{E33A7B77-BF07-4418-B2DC-353A2E6914DA}"/>
    <cellStyle name="20% - 强调文字颜色 4 7 3" xfId="2939" xr:uid="{56CD645D-1662-4790-844F-CE6036A8EA0E}"/>
    <cellStyle name="20% - 强调文字颜色 4 7 3 2" xfId="2940" xr:uid="{5E319D5E-5D3C-47ED-ABE6-7F8CB9A44873}"/>
    <cellStyle name="20% - 强调文字颜色 4 7 3 3" xfId="9624" xr:uid="{B52FCE9D-A1DA-441F-8F84-A39566A4DB1A}"/>
    <cellStyle name="20% - 强调文字颜色 4 7 3 4" xfId="17926" xr:uid="{4B85AF00-144D-49F3-9F15-611DBD7B20AD}"/>
    <cellStyle name="20% - 强调文字颜色 4 7 4" xfId="2795" xr:uid="{5AE7D7E8-D49E-4BA0-BAEE-90B679E89B4F}"/>
    <cellStyle name="20% - 强调文字颜色 4 7 4 2" xfId="17927" xr:uid="{A351FD1C-9232-4D45-A533-74F751268C12}"/>
    <cellStyle name="20% - 强调文字颜色 4 7 5" xfId="2941" xr:uid="{1B0F3E93-A3B0-419C-A1D4-C4658BF10189}"/>
    <cellStyle name="20% - 强调文字颜色 4 7 5 2" xfId="2942" xr:uid="{9325556C-1882-4BE1-B786-2749BF1A83C9}"/>
    <cellStyle name="20% - 强调文字颜色 4 7 6" xfId="2944" xr:uid="{03522489-48FF-4206-A56D-F59BFAB0B6A7}"/>
    <cellStyle name="20% - 强调文字颜色 4 7 6 2" xfId="2945" xr:uid="{4BA6A4C4-287C-4B67-85F9-3DD471B802EB}"/>
    <cellStyle name="20% - 强调文字颜色 4 7 7" xfId="9622" xr:uid="{09F596C8-00F2-4857-B780-B39F7031E622}"/>
    <cellStyle name="20% - 强调文字颜色 4 7 8" xfId="13325" xr:uid="{6E12294D-C8E9-47F2-B2A0-94FE8C5B8C01}"/>
    <cellStyle name="20% - 强调文字颜色 4 7 9" xfId="17923" xr:uid="{F147D19E-41E6-4513-9C27-4147FB4101A7}"/>
    <cellStyle name="20% - 强调文字颜色 4 70" xfId="1141" xr:uid="{63D99D62-6FE2-48EA-8016-FC385546C10E}"/>
    <cellStyle name="20% - 强调文字颜色 4 70 2" xfId="12177" xr:uid="{3F33F917-31D6-4777-9CB3-2CED90A43815}"/>
    <cellStyle name="20% - 强调文字颜色 4 71" xfId="2923" xr:uid="{DD4C5C9E-ADA9-4934-9EF1-D9C878CE9CA6}"/>
    <cellStyle name="20% - 强调文字颜色 4 71 2" xfId="12178" xr:uid="{FBCDABEE-53D3-469E-9B29-72B9EFEC3162}"/>
    <cellStyle name="20% - 强调文字颜色 4 72" xfId="2927" xr:uid="{EA08351F-2AB8-46AA-8FEA-D2F9A488777E}"/>
    <cellStyle name="20% - 强调文字颜色 4 72 2" xfId="12179" xr:uid="{26EA2F47-2392-4172-8A2D-B2CED6147ED8}"/>
    <cellStyle name="20% - 强调文字颜色 4 73" xfId="2931" xr:uid="{80A60477-0258-4930-8F40-25C48098D886}"/>
    <cellStyle name="20% - 强调文字颜色 4 73 2" xfId="12180" xr:uid="{32985EEB-D323-4FBD-8C0D-560319D3C88F}"/>
    <cellStyle name="20% - 强调文字颜色 4 74" xfId="2935" xr:uid="{87E13D4D-BE52-4B42-BC22-A881861073F6}"/>
    <cellStyle name="20% - 强调文字颜色 4 74 2" xfId="12181" xr:uid="{692F653E-314D-4DCB-A488-859E6A1B238E}"/>
    <cellStyle name="20% - 强调文字颜色 4 75" xfId="2948" xr:uid="{2F301E36-2ACC-498D-9B57-66EDF7077625}"/>
    <cellStyle name="20% - 强调文字颜色 4 75 2" xfId="12182" xr:uid="{66CFD140-E4B9-4C96-9DCB-A2E564AB8C5C}"/>
    <cellStyle name="20% - 强调文字颜色 4 76" xfId="2952" xr:uid="{3EA06B7B-7D36-4AB7-832F-49789350179B}"/>
    <cellStyle name="20% - 强调文字颜色 4 76 2" xfId="12183" xr:uid="{ED2B0730-06A4-44D7-98D8-7CA41B2D52E7}"/>
    <cellStyle name="20% - 强调文字颜色 4 77" xfId="2956" xr:uid="{0439289C-687C-43AE-9932-C447A4A434B1}"/>
    <cellStyle name="20% - 强调文字颜色 4 77 2" xfId="12184" xr:uid="{9AECCDBE-CC80-438D-81F8-AEEB4BF04EE5}"/>
    <cellStyle name="20% - 强调文字颜色 4 78" xfId="2960" xr:uid="{CEBD3C48-AE06-4815-92E7-153FC5CA847B}"/>
    <cellStyle name="20% - 强调文字颜色 4 78 2" xfId="12185" xr:uid="{99C2A856-76D8-401C-B3DE-93E4E7E306C6}"/>
    <cellStyle name="20% - 强调文字颜色 4 79" xfId="2964" xr:uid="{9CD8FE1F-C35A-43D3-B3D4-DDEB7D592A25}"/>
    <cellStyle name="20% - 强调文字颜色 4 79 2" xfId="12186" xr:uid="{D4156F19-02D0-41F3-8B6C-4DF644D7657D}"/>
    <cellStyle name="20% - 强调文字颜色 4 8" xfId="786" xr:uid="{A414104A-919D-437F-A275-3A386E57D602}"/>
    <cellStyle name="20% - 强调文字颜色 4 8 2" xfId="122" xr:uid="{ED2A3699-47AF-4C1B-AA55-1653DA1B25B9}"/>
    <cellStyle name="20% - 强调文字颜色 4 8 2 2" xfId="2969" xr:uid="{CB0A1027-4686-45C5-A5EB-F2C925F2DBB9}"/>
    <cellStyle name="20% - 强调文字颜色 4 8 2 2 2" xfId="17930" xr:uid="{EAD92D51-E3D0-459D-9651-554BCF935216}"/>
    <cellStyle name="20% - 强调文字颜色 4 8 2 3" xfId="9626" xr:uid="{EBAF3E57-9566-4641-862C-C2CE56969925}"/>
    <cellStyle name="20% - 强调文字颜色 4 8 2 4" xfId="17929" xr:uid="{661F0147-8C41-430B-BBD7-3AEA82DA20F8}"/>
    <cellStyle name="20% - 强调文字颜色 4 8 3" xfId="2970" xr:uid="{05DAE89B-AAF1-4A81-9BAE-C38F7DA4BC35}"/>
    <cellStyle name="20% - 强调文字颜色 4 8 3 2" xfId="9627" xr:uid="{4D30DC52-2BE6-4475-AAF7-B608378DBE84}"/>
    <cellStyle name="20% - 强调文字颜色 4 8 3 3" xfId="17931" xr:uid="{6005CA71-F069-4CCA-9678-A7534FA25FFE}"/>
    <cellStyle name="20% - 强调文字颜色 4 8 4" xfId="2798" xr:uid="{2DCDA2EB-7E50-417D-83CE-53827543C8FD}"/>
    <cellStyle name="20% - 强调文字颜色 4 8 4 2" xfId="2971" xr:uid="{70C55ACA-AD58-4201-8873-DDA58477DE83}"/>
    <cellStyle name="20% - 强调文字颜色 4 8 4 3" xfId="17932" xr:uid="{18174E59-ABCD-4C88-96E2-838A5426B977}"/>
    <cellStyle name="20% - 强调文字颜色 4 8 5" xfId="2972" xr:uid="{E5F4B5E0-1122-48C6-90E7-E4B897254EF9}"/>
    <cellStyle name="20% - 强调文字颜色 4 8 5 2" xfId="2973" xr:uid="{FCDD4C22-61CD-48B6-9FF5-F527E9179402}"/>
    <cellStyle name="20% - 强调文字颜色 4 8 6" xfId="2974" xr:uid="{49FF8F93-88CF-4D00-9C9A-D1C751241BAA}"/>
    <cellStyle name="20% - 强调文字颜色 4 8 7" xfId="9625" xr:uid="{49086755-0002-4028-A255-6D2E4F366B6E}"/>
    <cellStyle name="20% - 强调文字颜色 4 8 8" xfId="13292" xr:uid="{6D088353-7171-484F-9C16-00CD5A51AC1D}"/>
    <cellStyle name="20% - 强调文字颜色 4 8 9" xfId="17928" xr:uid="{3D4EC5B4-4AE1-48A7-A15B-B869331F3B7B}"/>
    <cellStyle name="20% - 强调文字颜色 4 80" xfId="2949" xr:uid="{F1AA8230-C513-4ACA-89E7-CFA8DF06771D}"/>
    <cellStyle name="20% - 强调文字颜色 4 80 2" xfId="12187" xr:uid="{7B54B0FD-5376-4A22-9EF7-9F5D19E404BC}"/>
    <cellStyle name="20% - 强调文字颜色 4 81" xfId="2953" xr:uid="{C8AADAD1-E23F-4D2D-AA76-59546E8798C5}"/>
    <cellStyle name="20% - 强调文字颜色 4 81 2" xfId="12188" xr:uid="{EF70EF56-F3D0-4B10-B155-1426F32074F0}"/>
    <cellStyle name="20% - 强调文字颜色 4 82" xfId="2957" xr:uid="{B7A6760A-8E58-419B-941A-848EA62DF528}"/>
    <cellStyle name="20% - 强调文字颜色 4 82 2" xfId="12189" xr:uid="{98749F3D-352E-4443-931B-2D6198E7BE21}"/>
    <cellStyle name="20% - 强调文字颜色 4 83" xfId="2961" xr:uid="{52DABF6F-B984-4081-979B-4FC80EF5F72D}"/>
    <cellStyle name="20% - 强调文字颜色 4 83 2" xfId="12190" xr:uid="{40A6A299-52AD-4B69-9D89-AD6286B15ACA}"/>
    <cellStyle name="20% - 强调文字颜色 4 84" xfId="2965" xr:uid="{2871B64F-ED0A-4607-A208-C6890A7A5BE3}"/>
    <cellStyle name="20% - 强调文字颜色 4 84 2" xfId="12191" xr:uid="{026CE066-F97C-47AD-A59E-BEFB7FEC90E9}"/>
    <cellStyle name="20% - 强调文字颜色 4 85" xfId="2975" xr:uid="{3B1FB89A-630E-44FE-879F-34F1197216C0}"/>
    <cellStyle name="20% - 强调文字颜色 4 86" xfId="137" xr:uid="{2D411D18-A07B-4803-9109-6BC5289E2F38}"/>
    <cellStyle name="20% - 强调文字颜色 4 86 2" xfId="2052" xr:uid="{D96A8047-E832-49F2-B2F7-4C1FC13F23F4}"/>
    <cellStyle name="20% - 强调文字颜色 4 87" xfId="2979" xr:uid="{075A5296-7764-4880-AC88-E4E0B2273BF9}"/>
    <cellStyle name="20% - 强调文字颜色 4 87 2" xfId="2074" xr:uid="{6AE20B8A-19CA-4DEC-AAB9-2FD7AD98D218}"/>
    <cellStyle name="20% - 强调文字颜色 4 88" xfId="2984" xr:uid="{AA6E8593-0FD8-4491-B800-EA9278789A83}"/>
    <cellStyle name="20% - 强调文字颜色 4 88 2" xfId="2109" xr:uid="{291D5290-9825-4443-93AC-3FD8E53E64CD}"/>
    <cellStyle name="20% - 强调文字颜色 4 89" xfId="2987" xr:uid="{5A4ABD9F-8804-475A-94B4-2326AD8FDCC8}"/>
    <cellStyle name="20% - 强调文字颜色 4 9" xfId="659" xr:uid="{D98934EA-1440-4DDD-8040-FC0FB8D5F40B}"/>
    <cellStyle name="20% - 强调文字颜色 4 9 2" xfId="262" xr:uid="{0FBF1034-381F-47D4-B350-D1016AC0C8E7}"/>
    <cellStyle name="20% - 强调文字颜色 4 9 2 2" xfId="2994" xr:uid="{F62196B7-7C19-4332-A98F-A6315B6468D2}"/>
    <cellStyle name="20% - 强调文字颜色 4 9 2 2 2" xfId="17935" xr:uid="{31C49A8A-672C-4F79-995F-AC9EAB4E7C5D}"/>
    <cellStyle name="20% - 强调文字颜色 4 9 2 3" xfId="9629" xr:uid="{679C0C77-A719-421C-AA55-7C38E8F2F532}"/>
    <cellStyle name="20% - 强调文字颜色 4 9 2 4" xfId="17934" xr:uid="{8BC25AD8-F892-44D1-9280-1AC434873F9A}"/>
    <cellStyle name="20% - 强调文字颜色 4 9 3" xfId="2995" xr:uid="{DE9BA478-4911-4708-9F7C-8891584A7A2B}"/>
    <cellStyle name="20% - 强调文字颜色 4 9 3 2" xfId="9630" xr:uid="{47CA1438-76E1-4246-A50C-EF1FEB29E687}"/>
    <cellStyle name="20% - 强调文字颜色 4 9 3 3" xfId="17936" xr:uid="{B005AC43-0FD4-4C43-97B6-57CD8E6AB75E}"/>
    <cellStyle name="20% - 强调文字颜色 4 9 4" xfId="2801" xr:uid="{14E7BBA1-32E7-4223-B262-A2DF8A6758FB}"/>
    <cellStyle name="20% - 强调文字颜色 4 9 4 2" xfId="2996" xr:uid="{444B53F1-000A-4AE6-8FDA-3899C24FE178}"/>
    <cellStyle name="20% - 强调文字颜色 4 9 4 3" xfId="17937" xr:uid="{1F2EA77F-72D9-420E-9389-85A4C4F9797A}"/>
    <cellStyle name="20% - 强调文字颜色 4 9 5" xfId="2997" xr:uid="{62C21E3A-1F31-4BDC-A852-A75E655E6E78}"/>
    <cellStyle name="20% - 强调文字颜色 4 9 5 2" xfId="2999" xr:uid="{CB263A32-3364-43A1-80C2-8B89C0637BD2}"/>
    <cellStyle name="20% - 强调文字颜色 4 9 6" xfId="3000" xr:uid="{22F42FFC-79A4-4453-97DD-E49A556E6C27}"/>
    <cellStyle name="20% - 强调文字颜色 4 9 7" xfId="9628" xr:uid="{7780F668-C6EA-4963-AE99-C29C5E4CBE23}"/>
    <cellStyle name="20% - 强调文字颜色 4 9 8" xfId="13282" xr:uid="{BA418901-FD92-40C8-ADC1-57D9C95AF743}"/>
    <cellStyle name="20% - 强调文字颜色 4 9 9" xfId="17933" xr:uid="{350D1E2E-C021-46B8-AC08-CA79ED217F6C}"/>
    <cellStyle name="20% - 强调文字颜色 4 90" xfId="2976" xr:uid="{9B2D99A3-38B2-46F7-98D1-5B5C541092AE}"/>
    <cellStyle name="20% - 强调文字颜色 4 91" xfId="136" xr:uid="{67079404-339D-4A02-982A-EF5AF531F17C}"/>
    <cellStyle name="20% - 强调文字颜色 4 92" xfId="9349" xr:uid="{1C2EF3DC-D5D0-4556-A083-F730E9AA97D5}"/>
    <cellStyle name="20% - 强调文字颜色 4 92 2" xfId="27150" xr:uid="{963EF20B-95F5-4328-9241-5889C1EFBE74}"/>
    <cellStyle name="20% - 强调文字颜色 4 93" xfId="9577" xr:uid="{814D7D7B-CA4C-4239-904D-CAFDBB2B6534}"/>
    <cellStyle name="20% - 强调文字颜色 4 94" xfId="13620" xr:uid="{A89DBCC8-1599-4E4E-B9F8-AE3EB7090C9F}"/>
    <cellStyle name="20% - 强调文字颜色 4 95" xfId="13443" xr:uid="{033C9CC4-1051-4D30-8FA8-26FB203F8D9B}"/>
    <cellStyle name="20% - 强调文字颜色 5" xfId="3001" xr:uid="{0494E114-9064-4B4D-9067-068AE7CDC0AF}"/>
    <cellStyle name="20% - 强调文字颜色 5 10" xfId="3003" xr:uid="{637BE585-0952-4644-B2FB-B30195A11BB2}"/>
    <cellStyle name="20% - 强调文字颜色 5 10 2" xfId="3006" xr:uid="{239A8CBF-8247-4D45-91CE-1ED64447DD3F}"/>
    <cellStyle name="20% - 强调文字颜色 5 10 2 2" xfId="3009" xr:uid="{AB7E16EE-1B0C-4D1A-B322-F29020078981}"/>
    <cellStyle name="20% - 强调文字颜色 5 10 2 2 2" xfId="17940" xr:uid="{5F620F1F-F740-4228-AF32-7DA6CB04D2C8}"/>
    <cellStyle name="20% - 强调文字颜色 5 10 2 3" xfId="9633" xr:uid="{CE69047A-E69F-4268-AC46-FA2BB66302BA}"/>
    <cellStyle name="20% - 强调文字颜色 5 10 2 4" xfId="17939" xr:uid="{0207C6BF-5EDF-47F8-A496-802DB397BEA4}"/>
    <cellStyle name="20% - 强调文字颜色 5 10 3" xfId="3013" xr:uid="{D2BB6456-20C7-4F0C-A37D-002D5DDF0184}"/>
    <cellStyle name="20% - 强调文字颜色 5 10 3 2" xfId="9634" xr:uid="{C978A167-4B3B-4126-8020-F8E22260C6D0}"/>
    <cellStyle name="20% - 强调文字颜色 5 10 3 3" xfId="17941" xr:uid="{1BEF4D96-3B8A-4446-9182-1EBE269DC905}"/>
    <cellStyle name="20% - 强调文字颜色 5 10 4" xfId="3017" xr:uid="{8612725A-BADC-40F4-A321-5B2514036A3F}"/>
    <cellStyle name="20% - 强调文字颜色 5 10 4 2" xfId="3021" xr:uid="{2087B43A-BC8B-4ECC-8D3B-EDD478301753}"/>
    <cellStyle name="20% - 强调文字颜色 5 10 4 3" xfId="17942" xr:uid="{A97114EE-147A-43A0-822B-0438C503879C}"/>
    <cellStyle name="20% - 强调文字颜色 5 10 5" xfId="2496" xr:uid="{D8B1C059-575C-46B4-B692-2DB1264BF62F}"/>
    <cellStyle name="20% - 强调文字颜色 5 10 5 2" xfId="3026" xr:uid="{FADE23D1-D226-45A3-8F76-E796685F5B5F}"/>
    <cellStyle name="20% - 强调文字颜色 5 10 6" xfId="3030" xr:uid="{044540F0-A66E-4DD5-954D-826260820A1B}"/>
    <cellStyle name="20% - 强调文字颜色 5 10 7" xfId="9632" xr:uid="{675FE849-87F1-4BDA-A21C-C17E4A471426}"/>
    <cellStyle name="20% - 强调文字颜色 5 10 8" xfId="13271" xr:uid="{7D52FA58-D5B6-449F-B96A-3F7A219F3B5E}"/>
    <cellStyle name="20% - 强调文字颜色 5 10 9" xfId="17938" xr:uid="{253D535F-580E-40FD-B443-124909C67C9C}"/>
    <cellStyle name="20% - 强调文字颜色 5 11" xfId="3034" xr:uid="{F414709A-F8AB-462E-9718-193B57E42754}"/>
    <cellStyle name="20% - 强调文字颜色 5 11 2" xfId="3037" xr:uid="{C65793EA-C532-46E3-8114-A7D7D9E4021B}"/>
    <cellStyle name="20% - 强调文字颜色 5 11 2 2" xfId="3039" xr:uid="{0ED7A467-FACD-4D1B-99E6-AA9A94F93679}"/>
    <cellStyle name="20% - 强调文字颜色 5 11 2 2 2" xfId="17945" xr:uid="{3307032E-1E7B-401F-AC7B-92DE04874BA5}"/>
    <cellStyle name="20% - 强调文字颜色 5 11 2 3" xfId="9636" xr:uid="{418A9FC8-A54A-4B5F-B593-A862DDAAAF9A}"/>
    <cellStyle name="20% - 强调文字颜色 5 11 2 4" xfId="17944" xr:uid="{C55D3247-AF66-4DAC-9691-29BF3342FE9F}"/>
    <cellStyle name="20% - 强调文字颜色 5 11 3" xfId="3042" xr:uid="{3B04E264-B60C-4749-90B1-9BFFB24A595F}"/>
    <cellStyle name="20% - 强调文字颜色 5 11 3 2" xfId="9637" xr:uid="{E5BC4B59-81ED-4A77-8BEE-6194A2525907}"/>
    <cellStyle name="20% - 强调文字颜色 5 11 3 3" xfId="17946" xr:uid="{4D8613B4-49D6-4124-9997-55A7D4C5479B}"/>
    <cellStyle name="20% - 强调文字颜色 5 11 4" xfId="3045" xr:uid="{86F96313-28FA-41F5-8448-130E269927BA}"/>
    <cellStyle name="20% - 强调文字颜色 5 11 4 2" xfId="3048" xr:uid="{B24B6F6D-7D0D-40E5-BBEA-DCEA0FBB9454}"/>
    <cellStyle name="20% - 强调文字颜色 5 11 4 3" xfId="17947" xr:uid="{E77B0983-3729-4A09-9E73-9AC0F89F0F8C}"/>
    <cellStyle name="20% - 强调文字颜色 5 11 5" xfId="3051" xr:uid="{1D150055-2047-478C-97AA-19AF6E0625C3}"/>
    <cellStyle name="20% - 强调文字颜色 5 11 5 2" xfId="3053" xr:uid="{1A2D9AE6-2580-4725-8B68-CA11DFBBCF4A}"/>
    <cellStyle name="20% - 强调文字颜色 5 11 6" xfId="3056" xr:uid="{373F7428-B264-40CD-B2A2-89B6404F782D}"/>
    <cellStyle name="20% - 强调文字颜色 5 11 7" xfId="9635" xr:uid="{ED368228-34B4-4149-86A9-946A00D161A7}"/>
    <cellStyle name="20% - 强调文字颜色 5 11 8" xfId="13258" xr:uid="{BC823914-D5F9-41D3-9C0B-003DCB69B860}"/>
    <cellStyle name="20% - 强调文字颜色 5 11 9" xfId="17943" xr:uid="{E892F64D-F17E-49C4-9ABE-9DF17CF17909}"/>
    <cellStyle name="20% - 强调文字颜色 5 12" xfId="3059" xr:uid="{13A42CC1-A135-4F66-AFFC-49B244FE7408}"/>
    <cellStyle name="20% - 强调文字颜色 5 12 2" xfId="3061" xr:uid="{CA812B2F-4EDE-4B17-BA39-86A35BD1191A}"/>
    <cellStyle name="20% - 强调文字颜色 5 12 2 2" xfId="3063" xr:uid="{3BAE547E-F803-40C6-B419-E3F48F42C270}"/>
    <cellStyle name="20% - 强调文字颜色 5 12 2 2 2" xfId="17950" xr:uid="{E242DE88-85A0-4079-9C6B-55ED377028BB}"/>
    <cellStyle name="20% - 强调文字颜色 5 12 2 3" xfId="9639" xr:uid="{F6FC31C5-F75B-4972-8B8A-49525128B753}"/>
    <cellStyle name="20% - 强调文字颜色 5 12 2 4" xfId="17949" xr:uid="{8A530F01-7054-431B-94BB-A3B0F52F050C}"/>
    <cellStyle name="20% - 强调文字颜色 5 12 3" xfId="3066" xr:uid="{388FD0EF-E7AB-484A-8E17-F7140FB99423}"/>
    <cellStyle name="20% - 强调文字颜色 5 12 3 2" xfId="9640" xr:uid="{7EAD2DDE-6831-490A-B935-3EC70C3A2F1C}"/>
    <cellStyle name="20% - 强调文字颜色 5 12 3 3" xfId="17951" xr:uid="{6DFCC16D-9CBF-4301-9BB3-FBC7D547A099}"/>
    <cellStyle name="20% - 强调文字颜色 5 12 4" xfId="3069" xr:uid="{8D99CC51-93A8-40A0-83E9-8F6CF2E35DED}"/>
    <cellStyle name="20% - 强调文字颜色 5 12 4 2" xfId="3072" xr:uid="{F3A9C088-7475-477C-9244-34E385C26FAC}"/>
    <cellStyle name="20% - 强调文字颜色 5 12 4 3" xfId="17952" xr:uid="{EBED6798-D2B2-49D0-8480-44D6813F10B7}"/>
    <cellStyle name="20% - 强调文字颜色 5 12 5" xfId="2503" xr:uid="{CD4C0A0A-1FBB-45D2-8584-15A39ED56D8C}"/>
    <cellStyle name="20% - 强调文字颜色 5 12 5 2" xfId="3075" xr:uid="{BBACC93A-9A3F-491D-A022-80536B9D2ED9}"/>
    <cellStyle name="20% - 强调文字颜色 5 12 6" xfId="3078" xr:uid="{B0F6F276-FD66-4CC6-9144-05C69C7C712D}"/>
    <cellStyle name="20% - 强调文字颜色 5 12 7" xfId="9638" xr:uid="{7EB9D9C5-A5D8-4D74-BE3B-F7F250EA1B68}"/>
    <cellStyle name="20% - 强调文字颜色 5 12 8" xfId="13245" xr:uid="{C63F8107-1214-49C8-BF69-49563AA93CE9}"/>
    <cellStyle name="20% - 强调文字颜色 5 12 9" xfId="17948" xr:uid="{32B42835-74D4-4E8B-87A6-3CEBC67FEF05}"/>
    <cellStyle name="20% - 强调文字颜色 5 13" xfId="3081" xr:uid="{91C20F4D-523E-46FD-8506-CFCA90639967}"/>
    <cellStyle name="20% - 强调文字颜色 5 13 2" xfId="3084" xr:uid="{6E051918-A9CA-4E89-8C33-A906187803EA}"/>
    <cellStyle name="20% - 强调文字颜色 5 13 2 2" xfId="3086" xr:uid="{CB1A22A7-BFF8-4573-9ED1-4991A011D2F7}"/>
    <cellStyle name="20% - 强调文字颜色 5 13 2 2 2" xfId="17955" xr:uid="{E60A59A5-9773-44E5-BDF2-4C13050B1897}"/>
    <cellStyle name="20% - 强调文字颜色 5 13 2 3" xfId="9642" xr:uid="{1B3CBF6B-720D-4BFF-9719-C7331E23A8C6}"/>
    <cellStyle name="20% - 强调文字颜色 5 13 2 4" xfId="17954" xr:uid="{E3D3D9B0-2EFB-4176-81A6-9702DE8F2107}"/>
    <cellStyle name="20% - 强调文字颜色 5 13 3" xfId="3091" xr:uid="{7C871051-7FD3-4627-A5D0-F8ED4C8800B0}"/>
    <cellStyle name="20% - 强调文字颜色 5 13 3 2" xfId="9643" xr:uid="{C605CC47-A3F4-4BF2-A878-B0A6B1ADA248}"/>
    <cellStyle name="20% - 强调文字颜色 5 13 3 3" xfId="17956" xr:uid="{E7434F97-6EF2-4D9E-AB30-8011CD60D801}"/>
    <cellStyle name="20% - 强调文字颜色 5 13 4" xfId="3094" xr:uid="{60664867-AED3-47A0-8CA5-B42E64F769D7}"/>
    <cellStyle name="20% - 强调文字颜色 5 13 4 2" xfId="3097" xr:uid="{33B7E4B2-F7F4-454D-B7CF-BE8A696F8EE5}"/>
    <cellStyle name="20% - 强调文字颜色 5 13 4 3" xfId="17957" xr:uid="{B38525A3-62F7-4E95-8FEE-47339A98DE60}"/>
    <cellStyle name="20% - 强调文字颜色 5 13 5" xfId="2507" xr:uid="{BFF1C5E3-6457-4400-B834-D0B39B3EE9C8}"/>
    <cellStyle name="20% - 强调文字颜色 5 13 5 2" xfId="3100" xr:uid="{85F708A8-0927-413C-9414-671DD95802B8}"/>
    <cellStyle name="20% - 强调文字颜色 5 13 6" xfId="3103" xr:uid="{5865AA72-31DD-4578-89DE-7B8756AE2F8E}"/>
    <cellStyle name="20% - 强调文字颜色 5 13 7" xfId="9641" xr:uid="{30E13394-9507-48AD-BE88-F2DE9FE7655A}"/>
    <cellStyle name="20% - 强调文字颜色 5 13 8" xfId="13232" xr:uid="{9CF3477F-CB57-4448-BF53-007F0D2DA3D0}"/>
    <cellStyle name="20% - 强调文字颜色 5 13 9" xfId="17953" xr:uid="{AEB7D349-B86D-4BEF-B0F8-B58B06CBBF15}"/>
    <cellStyle name="20% - 强调文字颜色 5 14" xfId="3106" xr:uid="{36A07BEF-037D-4DC9-AFD6-C3994601FB29}"/>
    <cellStyle name="20% - 强调文字颜色 5 14 2" xfId="3109" xr:uid="{1B827F75-F5D1-46B3-A3D7-26F24A254D6A}"/>
    <cellStyle name="20% - 强调文字颜色 5 14 2 2" xfId="3112" xr:uid="{508EDAA0-6333-4432-94F8-ED98A051BCFB}"/>
    <cellStyle name="20% - 强调文字颜色 5 14 2 2 2" xfId="17960" xr:uid="{9CC7BC73-86B9-45A8-A6DC-BD4A696344A2}"/>
    <cellStyle name="20% - 强调文字颜色 5 14 2 3" xfId="9645" xr:uid="{CE60D75C-C9B6-4F1F-85B9-EDC176E23C29}"/>
    <cellStyle name="20% - 强调文字颜色 5 14 2 4" xfId="17959" xr:uid="{12EAFC4F-5471-4135-92D2-49D16FDFEF11}"/>
    <cellStyle name="20% - 强调文字颜色 5 14 3" xfId="3113" xr:uid="{FB0D3CC3-A0B0-44CC-9510-9286861C6ADA}"/>
    <cellStyle name="20% - 强调文字颜色 5 14 3 2" xfId="9646" xr:uid="{F9E20C62-24D1-4640-83F2-568973AFFFE6}"/>
    <cellStyle name="20% - 强调文字颜色 5 14 3 3" xfId="17961" xr:uid="{85EED27E-1999-4863-BF78-338CEABD4012}"/>
    <cellStyle name="20% - 强调文字颜色 5 14 4" xfId="3115" xr:uid="{32EA1CE2-CB94-464C-9E63-E48264447C8F}"/>
    <cellStyle name="20% - 强调文字颜色 5 14 4 2" xfId="3118" xr:uid="{A5441D22-E21F-4A63-8B43-0C2CB0CF90AD}"/>
    <cellStyle name="20% - 强调文字颜色 5 14 4 3" xfId="17962" xr:uid="{98BFA556-07F4-4781-B329-46E586A17ED0}"/>
    <cellStyle name="20% - 强调文字颜色 5 14 5" xfId="3120" xr:uid="{62D42963-64EA-4C02-AB9C-5CFFAB994747}"/>
    <cellStyle name="20% - 强调文字颜色 5 14 5 2" xfId="3122" xr:uid="{0B317D6C-2A41-4330-B294-B44391DFA703}"/>
    <cellStyle name="20% - 强调文字颜色 5 14 6" xfId="3123" xr:uid="{B1260E26-57BB-4B3B-8980-2429732F5633}"/>
    <cellStyle name="20% - 强调文字颜色 5 14 7" xfId="9644" xr:uid="{B4131601-E4CB-47A7-9FC8-B34617A7B254}"/>
    <cellStyle name="20% - 强调文字颜色 5 14 8" xfId="13219" xr:uid="{62053F6A-FD1E-4245-BE0D-9564A0B0D9AD}"/>
    <cellStyle name="20% - 强调文字颜色 5 14 9" xfId="17958" xr:uid="{613C774B-54C8-4C8B-8644-B981D81016EA}"/>
    <cellStyle name="20% - 强调文字颜色 5 15" xfId="3125" xr:uid="{1A23EF61-9DFF-45EB-9C4A-A35B397A16D5}"/>
    <cellStyle name="20% - 强调文字颜色 5 15 2" xfId="462" xr:uid="{276D8635-1075-408C-8542-C0918DEB385B}"/>
    <cellStyle name="20% - 强调文字颜色 5 15 2 2" xfId="9648" xr:uid="{62812E88-6A71-4DBD-9A27-A049591518C6}"/>
    <cellStyle name="20% - 强调文字颜色 5 15 2 2 2" xfId="17965" xr:uid="{C1A6FE4B-E418-4757-9CA9-D71CCB2D876C}"/>
    <cellStyle name="20% - 强调文字颜色 5 15 2 3" xfId="17964" xr:uid="{6C452F91-8E4E-4337-960A-AE9423BB0ED6}"/>
    <cellStyle name="20% - 强调文字颜色 5 15 3" xfId="474" xr:uid="{F0D02E71-328D-4447-823E-B4EE8DF5B42F}"/>
    <cellStyle name="20% - 强调文字颜色 5 15 3 2" xfId="23" xr:uid="{8A3C92B3-3206-4A69-8ADF-B7CF471BDDC6}"/>
    <cellStyle name="20% - 强调文字颜色 5 15 3 3" xfId="9649" xr:uid="{C6550B16-AE7D-4972-9D91-2169D3E10475}"/>
    <cellStyle name="20% - 强调文字颜色 5 15 3 4" xfId="17966" xr:uid="{675F1989-D1AB-4E54-87E2-F6D0213AA8DB}"/>
    <cellStyle name="20% - 强调文字颜色 5 15 4" xfId="483" xr:uid="{D99EB6C4-0470-41CC-B3B0-785B1D0DED8D}"/>
    <cellStyle name="20% - 强调文字颜色 5 15 4 2" xfId="727" xr:uid="{D0D8CD7A-F1A0-443D-87B6-1B7F044EBB7D}"/>
    <cellStyle name="20% - 强调文字颜色 5 15 4 3" xfId="17967" xr:uid="{F426EAFB-B0C9-4426-81FB-4AA64D40AB36}"/>
    <cellStyle name="20% - 强调文字颜色 5 15 5" xfId="3127" xr:uid="{EA5B62E1-3BE5-4251-BF81-A44231C41CE6}"/>
    <cellStyle name="20% - 强调文字颜色 5 15 6" xfId="9647" xr:uid="{6E212C3A-401F-4C10-9426-5AA49AB4883A}"/>
    <cellStyle name="20% - 强调文字颜色 5 15 7" xfId="13206" xr:uid="{7EE139D7-F119-4982-B725-DDCAB993AEF4}"/>
    <cellStyle name="20% - 强调文字颜色 5 15 8" xfId="17963" xr:uid="{9ED87356-1643-496A-A1A8-7914A9F54119}"/>
    <cellStyle name="20% - 强调文字颜色 5 16" xfId="3128" xr:uid="{8BECCCD1-1453-4C29-AD5C-DA2DE76DD509}"/>
    <cellStyle name="20% - 强调文字颜色 5 16 2" xfId="3130" xr:uid="{D1C55498-7AD5-4467-AE96-938064039A27}"/>
    <cellStyle name="20% - 强调文字颜色 5 16 2 2" xfId="9651" xr:uid="{8D4DFD48-3886-4811-ADCA-005FABE5FF1D}"/>
    <cellStyle name="20% - 强调文字颜色 5 16 2 2 2" xfId="17970" xr:uid="{3DF942C3-2EDC-466F-9F09-AC89DB23E21E}"/>
    <cellStyle name="20% - 强调文字颜色 5 16 2 3" xfId="17969" xr:uid="{A87906A0-BFAB-414E-A2A1-633AD72798EE}"/>
    <cellStyle name="20% - 强调文字颜色 5 16 3" xfId="3132" xr:uid="{D60AC434-7E5E-491F-892A-DE959DD62489}"/>
    <cellStyle name="20% - 强调文字颜色 5 16 3 2" xfId="3133" xr:uid="{6C980F18-EB92-40FA-9D8F-38715381FEBE}"/>
    <cellStyle name="20% - 强调文字颜色 5 16 3 3" xfId="9652" xr:uid="{CCE54CDC-0ED2-4909-9D9D-5FF2ACFE316A}"/>
    <cellStyle name="20% - 强调文字颜色 5 16 3 4" xfId="17971" xr:uid="{E3067401-9DCD-4188-84B5-5CA45D9140E3}"/>
    <cellStyle name="20% - 强调文字颜色 5 16 4" xfId="3134" xr:uid="{FDE9CF0A-69B6-4B98-887F-39C5EF71F775}"/>
    <cellStyle name="20% - 强调文字颜色 5 16 4 2" xfId="3135" xr:uid="{91FAEC4F-1E80-4B24-9242-B06DD6E7EBF1}"/>
    <cellStyle name="20% - 强调文字颜色 5 16 4 3" xfId="17972" xr:uid="{5A822AFD-2541-4C8F-B5EC-2A75CDFF9BCA}"/>
    <cellStyle name="20% - 强调文字颜色 5 16 5" xfId="3136" xr:uid="{FE6EEE7D-2896-4859-B2F6-28D0711038D3}"/>
    <cellStyle name="20% - 强调文字颜色 5 16 6" xfId="9650" xr:uid="{470B590D-C15E-4F23-B12E-CD30F0FA67FD}"/>
    <cellStyle name="20% - 强调文字颜色 5 16 7" xfId="13186" xr:uid="{B81B7A94-28AF-4431-A0AB-B27F5FC54189}"/>
    <cellStyle name="20% - 强调文字颜色 5 16 8" xfId="17968" xr:uid="{FD470093-F90E-4B29-B80D-9540277F255E}"/>
    <cellStyle name="20% - 强调文字颜色 5 17" xfId="3137" xr:uid="{0AA78580-61EB-4EF8-9510-77DC4A4AB434}"/>
    <cellStyle name="20% - 强调文字颜色 5 17 2" xfId="3139" xr:uid="{AD11D7DB-C3F8-4C02-A65D-94256963F0A2}"/>
    <cellStyle name="20% - 强调文字颜色 5 17 2 2" xfId="3142" xr:uid="{BF0420FB-7AE1-4018-8E8C-DAF04C103972}"/>
    <cellStyle name="20% - 强调文字颜色 5 17 2 2 2" xfId="17975" xr:uid="{88D17701-637F-4351-B239-D0C35286B1C5}"/>
    <cellStyle name="20% - 强调文字颜色 5 17 2 3" xfId="9654" xr:uid="{F975E8E8-96F4-42C7-846D-5D615910A655}"/>
    <cellStyle name="20% - 强调文字颜色 5 17 2 4" xfId="17974" xr:uid="{A96048C4-C18C-4F4E-BD49-342F97FEF2DC}"/>
    <cellStyle name="20% - 强调文字颜色 5 17 3" xfId="3144" xr:uid="{17CDD94D-5A04-4F01-8E61-773A5C1BF35C}"/>
    <cellStyle name="20% - 强调文字颜色 5 17 3 2" xfId="3146" xr:uid="{4A2FDC35-F533-47A9-A87D-F2C62D93DEB9}"/>
    <cellStyle name="20% - 强调文字颜色 5 17 3 3" xfId="9655" xr:uid="{A5149A01-16C1-4560-8053-30495016D803}"/>
    <cellStyle name="20% - 强调文字颜色 5 17 3 4" xfId="17976" xr:uid="{7F70E48D-0046-4EFE-A42D-264EB695878B}"/>
    <cellStyle name="20% - 强调文字颜色 5 17 4" xfId="9653" xr:uid="{F83BDA52-F8C1-43AA-B5AB-311ABF43C110}"/>
    <cellStyle name="20% - 强调文字颜色 5 17 4 2" xfId="17977" xr:uid="{5FA383B2-B34E-449E-8EF4-ACFAE8FE8B34}"/>
    <cellStyle name="20% - 强调文字颜色 5 17 5" xfId="13178" xr:uid="{61FCE721-2EB5-4D22-9263-782CCD0130F0}"/>
    <cellStyle name="20% - 强调文字颜色 5 17 6" xfId="17973" xr:uid="{90D45FFC-215F-4543-BC9B-282AF8CBB73D}"/>
    <cellStyle name="20% - 强调文字颜色 5 18" xfId="3147" xr:uid="{D2EF36B0-4F58-4DE7-BE08-8AD75B15931A}"/>
    <cellStyle name="20% - 强调文字颜色 5 18 2" xfId="3149" xr:uid="{39D57131-969B-4DC4-A34F-1AFDEEEECAFF}"/>
    <cellStyle name="20% - 强调文字颜色 5 18 2 2" xfId="985" xr:uid="{C51BEB2A-6AC1-42D0-9FCA-37B846D46A66}"/>
    <cellStyle name="20% - 强调文字颜色 5 18 2 2 2" xfId="17980" xr:uid="{B7F18A2A-C48F-40EF-9D6B-2F2A010818B7}"/>
    <cellStyle name="20% - 强调文字颜色 5 18 2 3" xfId="17979" xr:uid="{39951777-8327-4B90-95E6-E86E1BD433AB}"/>
    <cellStyle name="20% - 强调文字颜色 5 18 3" xfId="3151" xr:uid="{9DAB4C95-F02F-4BD8-82A1-A8750B0C62A8}"/>
    <cellStyle name="20% - 强调文字颜色 5 18 3 2" xfId="1017" xr:uid="{F5E8DB2C-B24E-42EB-893B-AF253A252CDD}"/>
    <cellStyle name="20% - 强调文字颜色 5 18 3 3" xfId="17981" xr:uid="{A65047DC-2A42-4E00-A404-3AA3FB60C208}"/>
    <cellStyle name="20% - 强调文字颜色 5 18 4" xfId="9656" xr:uid="{658238DE-C01A-405D-8CDC-3A4864DC6A0E}"/>
    <cellStyle name="20% - 强调文字颜色 5 18 4 2" xfId="17982" xr:uid="{7CE62EBC-9D29-4C3C-B5E7-F541F8331BC5}"/>
    <cellStyle name="20% - 强调文字颜色 5 18 5" xfId="13165" xr:uid="{67EFFBC7-319C-4F21-9641-AB454313B271}"/>
    <cellStyle name="20% - 强调文字颜色 5 18 6" xfId="17978" xr:uid="{419A1E7D-DEE4-492E-8B69-E5C0C4760823}"/>
    <cellStyle name="20% - 强调文字颜色 5 19" xfId="3152" xr:uid="{9D1D63D5-5E56-4D3E-807D-C5FFD16BCC79}"/>
    <cellStyle name="20% - 强调文字颜色 5 19 2" xfId="3154" xr:uid="{92B6D115-5C8B-4149-8643-B0FD428BE03B}"/>
    <cellStyle name="20% - 强调文字颜色 5 19 2 2" xfId="395" xr:uid="{1AA200C3-B92B-4373-BC53-B3BF74DEE040}"/>
    <cellStyle name="20% - 强调文字颜色 5 19 2 2 2" xfId="17985" xr:uid="{ECA3B51A-0E5B-43CF-A90B-6E7C83E14EEF}"/>
    <cellStyle name="20% - 强调文字颜色 5 19 2 3" xfId="17984" xr:uid="{8EA7C472-8A02-4571-91CA-289B582BB6D5}"/>
    <cellStyle name="20% - 强调文字颜色 5 19 3" xfId="9657" xr:uid="{EADB5FF4-A666-4D73-9039-DCBBE4A17709}"/>
    <cellStyle name="20% - 强调文字颜色 5 19 3 2" xfId="17986" xr:uid="{952FD2FB-5482-4B62-B3CF-86C989090D6B}"/>
    <cellStyle name="20% - 强调文字颜色 5 19 4" xfId="13147" xr:uid="{B9923214-CE72-46E2-A048-D648E8A10001}"/>
    <cellStyle name="20% - 强调文字颜色 5 19 4 2" xfId="17987" xr:uid="{D323EB34-4C34-4A84-9473-15B7B6D0B301}"/>
    <cellStyle name="20% - 强调文字颜色 5 19 5" xfId="17983" xr:uid="{0DEF491B-9733-4E40-A788-848756CDE8E6}"/>
    <cellStyle name="20% - 强调文字颜色 5 2" xfId="1350" xr:uid="{019DBE56-1309-43D3-BBDD-0BAF03C38088}"/>
    <cellStyle name="20% - 强调文字颜色 5 2 10" xfId="3156" xr:uid="{8EC20433-08F1-45AE-96ED-1F4278FE760E}"/>
    <cellStyle name="20% - 强调文字颜色 5 2 10 2" xfId="3157" xr:uid="{77C4F44B-6142-4240-B755-F1C3CBE98870}"/>
    <cellStyle name="20% - 强调文字颜色 5 2 11" xfId="3158" xr:uid="{797D6DD9-AFB3-4653-9378-0BE411B578BB}"/>
    <cellStyle name="20% - 强调文字颜色 5 2 11 2" xfId="3159" xr:uid="{F17624D2-9EAD-4A70-8C1E-FDF3863CD52D}"/>
    <cellStyle name="20% - 强调文字颜色 5 2 12" xfId="3160" xr:uid="{B7B89090-0A37-4644-8AA8-B2F82C4F2A4C}"/>
    <cellStyle name="20% - 强调文字颜色 5 2 12 2" xfId="2362" xr:uid="{8EF935B6-60F2-4459-B138-C22D68BED2C6}"/>
    <cellStyle name="20% - 强调文字颜色 5 2 13" xfId="3161" xr:uid="{F1AF06D5-23DE-4677-AC1B-4F8FBC905B3B}"/>
    <cellStyle name="20% - 强调文字颜色 5 2 13 2" xfId="2516" xr:uid="{5B19A156-6C2F-497D-A169-67B6316ED762}"/>
    <cellStyle name="20% - 强调文字颜色 5 2 14" xfId="3162" xr:uid="{4E41C010-2BCB-4BD0-9D10-D6B9231A86FF}"/>
    <cellStyle name="20% - 强调文字颜色 5 2 14 2" xfId="3163" xr:uid="{E6CAD2AF-EEC7-4DDA-A711-58143ADCBCF0}"/>
    <cellStyle name="20% - 强调文字颜色 5 2 15" xfId="922" xr:uid="{789DBD71-8658-4DD5-BC18-9CC7C3D607E0}"/>
    <cellStyle name="20% - 强调文字颜色 5 2 15 2" xfId="926" xr:uid="{0DDB5F82-5089-477A-A45F-2BAF37BDFB63}"/>
    <cellStyle name="20% - 强调文字颜色 5 2 16" xfId="809" xr:uid="{8B153CE7-BEB0-41FF-9E11-56D0DB76A481}"/>
    <cellStyle name="20% - 强调文字颜色 5 2 17" xfId="931" xr:uid="{4FE4B7E2-B897-49A1-9E7E-F4F3A154608C}"/>
    <cellStyle name="20% - 强调文字颜色 5 2 17 2" xfId="937" xr:uid="{41916AC0-6BDD-446F-A966-0E078816FEB9}"/>
    <cellStyle name="20% - 强调文字颜色 5 2 18" xfId="94" xr:uid="{E47D3230-3095-48B5-908F-EB135EA7CC9D}"/>
    <cellStyle name="20% - 强调文字颜色 5 2 18 2" xfId="135" xr:uid="{C2DBB7B4-524D-46A5-8AD4-E89E446D1C83}"/>
    <cellStyle name="20% - 强调文字颜色 5 2 19" xfId="943" xr:uid="{3DF1A251-34EC-438E-BA28-BA7BB28B3FD1}"/>
    <cellStyle name="20% - 强调文字颜色 5 2 2" xfId="1353" xr:uid="{8E60D4A9-6C67-4F0F-B402-4FEDF6B6CA9B}"/>
    <cellStyle name="20% - 强调文字颜色 5 2 2 10" xfId="793" xr:uid="{3D93BEAB-7B1A-4AD8-B23E-87AD397E0C48}"/>
    <cellStyle name="20% - 强调文字颜色 5 2 2 10 2" xfId="3164" xr:uid="{EEB0883D-C7C8-4C1E-AC41-825DB3C4A934}"/>
    <cellStyle name="20% - 强调文字颜色 5 2 2 11" xfId="1208" xr:uid="{B1AECC18-E73D-454A-9587-A5CC34BEFE93}"/>
    <cellStyle name="20% - 强调文字颜色 5 2 2 11 2" xfId="3165" xr:uid="{C220E239-9CF7-43F2-89C4-87046EE54661}"/>
    <cellStyle name="20% - 强调文字颜色 5 2 2 12" xfId="1213" xr:uid="{268452B3-671D-4684-88C9-4EA13AE458CD}"/>
    <cellStyle name="20% - 强调文字颜色 5 2 2 12 2" xfId="3166" xr:uid="{C889FAE4-1A23-4233-A6F4-26A811008488}"/>
    <cellStyle name="20% - 强调文字颜色 5 2 2 13" xfId="1218" xr:uid="{1DC9A1D4-72DA-4FFE-B679-0CDCFBEC9513}"/>
    <cellStyle name="20% - 强调文字颜色 5 2 2 13 2" xfId="342" xr:uid="{07069274-9E07-4F46-ABA2-78F127FCC79F}"/>
    <cellStyle name="20% - 强调文字颜色 5 2 2 14" xfId="1224" xr:uid="{7646197D-814A-4918-BB5A-AC2E6E6BE5D6}"/>
    <cellStyle name="20% - 强调文字颜色 5 2 2 14 2" xfId="368" xr:uid="{E02FFE3B-D6B0-4AE4-9EB6-EA0CD9766018}"/>
    <cellStyle name="20% - 强调文字颜色 5 2 2 15" xfId="1230" xr:uid="{23026C05-4A36-470E-8454-6D6B7141632B}"/>
    <cellStyle name="20% - 强调文字颜色 5 2 2 15 2" xfId="390" xr:uid="{40ED3B2B-EC6D-453F-A388-D9C972F35375}"/>
    <cellStyle name="20% - 强调文字颜色 5 2 2 16" xfId="9659" xr:uid="{4174DBC2-7AA2-4128-8469-6E3416044FF3}"/>
    <cellStyle name="20% - 强调文字颜色 5 2 2 17" xfId="13350" xr:uid="{5887EBEE-FD21-4EC2-B873-12984DDD4F44}"/>
    <cellStyle name="20% - 强调文字颜色 5 2 2 18" xfId="17988" xr:uid="{B860B6DC-DB32-4DD3-A023-DBD9F49D9F7E}"/>
    <cellStyle name="20% - 强调文字颜色 5 2 2 19" xfId="27295" xr:uid="{590A039C-18C5-415E-8EEB-433104424C80}"/>
    <cellStyle name="20% - 强调文字颜色 5 2 2 2" xfId="3167" xr:uid="{FA85A74D-B2AF-4608-82C2-91164937E0A0}"/>
    <cellStyle name="20% - 强调文字颜色 5 2 2 2 2" xfId="17989" xr:uid="{A2AC6AB2-0096-4922-9EEF-843A9C26F97A}"/>
    <cellStyle name="20% - 强调文字颜色 5 2 2 3" xfId="3169" xr:uid="{E4D9A513-0EBA-425F-AB59-92386786EBF3}"/>
    <cellStyle name="20% - 强调文字颜色 5 2 2 4" xfId="3171" xr:uid="{80A2991D-4B34-4F22-AD4B-32820F3CAE9E}"/>
    <cellStyle name="20% - 强调文字颜色 5 2 2 4 2" xfId="2981" xr:uid="{00D53828-ADAB-4C38-B574-00A6878209AD}"/>
    <cellStyle name="20% - 强调文字颜色 5 2 2 5" xfId="3173" xr:uid="{9DA7F8DC-6043-4731-A54B-2A2CC4E97662}"/>
    <cellStyle name="20% - 强调文字颜色 5 2 2 5 2" xfId="3175" xr:uid="{9EF5D68E-9A72-42B7-B022-69D67BEBCEB0}"/>
    <cellStyle name="20% - 强调文字颜色 5 2 2 6" xfId="3176" xr:uid="{1727FD65-C727-44C1-9828-96CE0DE49BF3}"/>
    <cellStyle name="20% - 强调文字颜色 5 2 2 6 2" xfId="3178" xr:uid="{19677919-FA93-4F26-936B-802D5E2976B4}"/>
    <cellStyle name="20% - 强调文字颜色 5 2 2 7" xfId="3179" xr:uid="{E9230DF3-9C35-4852-9AE5-251463BA715E}"/>
    <cellStyle name="20% - 强调文字颜色 5 2 2 7 2" xfId="3181" xr:uid="{A419ABC2-49D8-48CE-BB7E-49378890E56F}"/>
    <cellStyle name="20% - 强调文字颜色 5 2 2 8" xfId="3182" xr:uid="{B9577D26-B98D-4656-A9E3-37FCC2765F81}"/>
    <cellStyle name="20% - 强调文字颜色 5 2 2 8 2" xfId="3188" xr:uid="{DC2D99C8-6677-4FD3-8EEB-238F5842CDF6}"/>
    <cellStyle name="20% - 强调文字颜色 5 2 2 9" xfId="3190" xr:uid="{C7AA25B4-A5A6-40F2-BDF9-A548154034FE}"/>
    <cellStyle name="20% - 强调文字颜色 5 2 2 9 2" xfId="3193" xr:uid="{360A867E-3812-4249-9046-C7BF4FB72AEE}"/>
    <cellStyle name="20% - 强调文字颜色 5 2 20" xfId="923" xr:uid="{256D840F-65AD-42EB-8959-792B16A42BC5}"/>
    <cellStyle name="20% - 强调文字颜色 5 2 20 2" xfId="927" xr:uid="{5BD74F36-4AEE-448B-B488-D5CD5DB03370}"/>
    <cellStyle name="20% - 强调文字颜色 5 2 21" xfId="810" xr:uid="{26158573-88A5-423D-B493-F99C05206313}"/>
    <cellStyle name="20% - 强调文字颜色 5 2 21 2" xfId="3196" xr:uid="{6321B03E-F038-4A65-9526-8C93781C3F43}"/>
    <cellStyle name="20% - 强调文字颜色 5 2 22" xfId="9658" xr:uid="{5B48F564-2C1C-41E8-A291-C2958B717405}"/>
    <cellStyle name="20% - 强调文字颜色 5 2 23" xfId="13407" xr:uid="{A82977E4-998D-4BEF-8F95-2D3472BC9BD3}"/>
    <cellStyle name="20% - 强调文字颜色 5 2 24" xfId="12194" xr:uid="{32F7ADC4-BCF6-4DE0-8513-DF394D624BA4}"/>
    <cellStyle name="20% - 强调文字颜色 5 2 3" xfId="3197" xr:uid="{CFF35FD3-58C1-4A80-9881-BBE63975A396}"/>
    <cellStyle name="20% - 强调文字颜色 5 2 3 2" xfId="9660" xr:uid="{C31C26D3-C990-4E5D-A3BF-01A2AAC385ED}"/>
    <cellStyle name="20% - 强调文字颜色 5 2 3 2 2" xfId="17991" xr:uid="{E5E665A9-1536-488F-80E8-49D5C933D3BA}"/>
    <cellStyle name="20% - 强调文字颜色 5 2 3 3" xfId="13329" xr:uid="{E3773D56-C640-404F-BE55-09CF49D94289}"/>
    <cellStyle name="20% - 强调文字颜色 5 2 3 4" xfId="17990" xr:uid="{696B9E8E-52F5-488A-81EE-8025E50E8AF7}"/>
    <cellStyle name="20% - 强调文字颜色 5 2 3 5" xfId="27296" xr:uid="{C54BBBDA-7749-4089-8328-DD3E8A19C452}"/>
    <cellStyle name="20% - 强调文字颜色 5 2 4" xfId="3198" xr:uid="{33C9F247-97A4-4234-ADE0-5C5B2A0E5DC8}"/>
    <cellStyle name="20% - 强调文字颜色 5 2 4 2" xfId="3200" xr:uid="{104BA0EC-07F4-4ABF-99ED-F6E72EA4CE33}"/>
    <cellStyle name="20% - 强调文字颜色 5 2 4 3" xfId="13310" xr:uid="{C5A38B3C-C0CF-4586-9EBA-5BE2801D47DE}"/>
    <cellStyle name="20% - 强调文字颜色 5 2 4 4" xfId="17992" xr:uid="{7F916FFA-0449-4D0E-BC3A-2F22DBDCE95D}"/>
    <cellStyle name="20% - 强调文字颜色 5 2 4 5" xfId="27676" xr:uid="{78058DD2-6E37-452E-89C8-B167196F2FA9}"/>
    <cellStyle name="20% - 强调文字颜色 5 2 5" xfId="3202" xr:uid="{121E799D-755E-4D88-AA72-12AB0274E012}"/>
    <cellStyle name="20% - 强调文字颜色 5 2 5 2" xfId="3205" xr:uid="{B83F1DD1-6954-4389-A104-4BCFD27B07C4}"/>
    <cellStyle name="20% - 强调文字颜色 5 2 5 3" xfId="17993" xr:uid="{0B107F8E-9CC8-4522-9362-CDE44A068997}"/>
    <cellStyle name="20% - 强调文字颜色 5 2 6" xfId="3207" xr:uid="{09BB0164-CC3E-4FBE-9CD9-4165F8EB7114}"/>
    <cellStyle name="20% - 强调文字颜色 5 2 6 2" xfId="3208" xr:uid="{0D4727E0-8280-4360-AE74-59D71F0B0732}"/>
    <cellStyle name="20% - 强调文字颜色 5 2 6 3" xfId="17994" xr:uid="{AF95A031-E91E-4E12-9191-C09360E0482A}"/>
    <cellStyle name="20% - 强调文字颜色 5 2 7" xfId="3209" xr:uid="{06311EA1-BB9D-435E-B9D7-70E49046110D}"/>
    <cellStyle name="20% - 强调文字颜色 5 2 7 2" xfId="3210" xr:uid="{2DD1FB7A-A1B2-4609-AD34-65D3944640E0}"/>
    <cellStyle name="20% - 强调文字颜色 5 2 7 3" xfId="17995" xr:uid="{7905095D-6481-49C5-87DD-BD67FAEC2219}"/>
    <cellStyle name="20% - 强调文字颜色 5 2 8" xfId="3211" xr:uid="{60F1DF89-26F0-4935-8BAA-C9DE54333794}"/>
    <cellStyle name="20% - 强调文字颜色 5 2 8 2" xfId="3212" xr:uid="{5588E482-2E74-47CE-B7ED-0939D52DE44B}"/>
    <cellStyle name="20% - 强调文字颜色 5 2 9" xfId="3213" xr:uid="{D4DAD4A7-2C31-484F-BB81-291AF82B2F24}"/>
    <cellStyle name="20% - 强调文字颜色 5 2 9 2" xfId="3214" xr:uid="{CCF4456F-495A-47A6-9406-38B442F82998}"/>
    <cellStyle name="20% - 强调文字颜色 5 2_动力部" xfId="17996" xr:uid="{179FE24F-11A2-4F43-A0C4-12A60F0A5FD5}"/>
    <cellStyle name="20% - 强调文字颜色 5 20" xfId="3126" xr:uid="{98E6B90F-9DA1-4CBE-8E47-3B45051CC9B9}"/>
    <cellStyle name="20% - 强调文字颜色 5 20 2" xfId="461" xr:uid="{9139F99B-3688-4362-8DFC-4C8C463C6E64}"/>
    <cellStyle name="20% - 强调文字颜色 5 20 2 2" xfId="626" xr:uid="{5C877F7C-F558-49DC-9C77-CD1F099BD73D}"/>
    <cellStyle name="20% - 强调文字颜色 5 20 2 2 2" xfId="17999" xr:uid="{B1D2772B-78CB-467F-8CE4-F7EBFA898FEE}"/>
    <cellStyle name="20% - 强调文字颜色 5 20 2 3" xfId="17998" xr:uid="{12C801FE-F833-433D-A5E7-D823F82A3BA3}"/>
    <cellStyle name="20% - 强调文字颜色 5 20 3" xfId="9661" xr:uid="{D0DD1EDB-176D-443E-9888-C525B0ABDBC7}"/>
    <cellStyle name="20% - 强调文字颜色 5 20 3 2" xfId="18000" xr:uid="{84CAF816-4DB7-4D13-AF87-8BCBC7C633F9}"/>
    <cellStyle name="20% - 强调文字颜色 5 20 4" xfId="13139" xr:uid="{72F66BF9-B380-4BC7-8569-8B8B1B2A29CF}"/>
    <cellStyle name="20% - 强调文字颜色 5 20 4 2" xfId="18001" xr:uid="{1B4DF7D7-7B04-4CD5-B649-3901F9661B49}"/>
    <cellStyle name="20% - 强调文字颜色 5 20 5" xfId="17997" xr:uid="{A5B62281-B057-4052-A8B9-243E0588C3AF}"/>
    <cellStyle name="20% - 强调文字颜色 5 21" xfId="3129" xr:uid="{755DDD65-6073-454F-85D8-554A470F8C54}"/>
    <cellStyle name="20% - 强调文字颜色 5 21 2" xfId="3131" xr:uid="{9BC29AC4-3F70-4A7C-A751-48FDC0C54FF2}"/>
    <cellStyle name="20% - 强调文字颜色 5 21 2 2" xfId="3215" xr:uid="{9542CBE3-18FA-4A97-94AA-713DF3EEF29F}"/>
    <cellStyle name="20% - 强调文字颜色 5 21 2 2 2" xfId="18004" xr:uid="{349C3556-8981-46E5-A7C7-B48E829590A4}"/>
    <cellStyle name="20% - 强调文字颜色 5 21 2 3" xfId="18003" xr:uid="{64577440-7A4C-4E65-805E-54195903ED77}"/>
    <cellStyle name="20% - 强调文字颜色 5 21 3" xfId="9662" xr:uid="{69AC2486-AAA1-4E65-AB60-D28461DD4917}"/>
    <cellStyle name="20% - 强调文字颜色 5 21 3 2" xfId="18005" xr:uid="{A2FE8DD8-0A55-4D1C-9345-9EF65060B557}"/>
    <cellStyle name="20% - 强调文字颜色 5 21 4" xfId="13125" xr:uid="{285D8D42-C325-4812-A970-0ACF4E846867}"/>
    <cellStyle name="20% - 强调文字颜色 5 21 4 2" xfId="18006" xr:uid="{5905ADC2-4E53-4C24-8617-AC95EF2E5DC5}"/>
    <cellStyle name="20% - 强调文字颜色 5 21 5" xfId="18002" xr:uid="{7051E4E6-6769-42DB-9693-8137F31631DC}"/>
    <cellStyle name="20% - 强调文字颜色 5 22" xfId="3138" xr:uid="{4976C1DE-5DD2-471E-80B0-DDD777EB3800}"/>
    <cellStyle name="20% - 强调文字颜色 5 22 2" xfId="3140" xr:uid="{36451A80-7CB0-4539-BBED-88C71137BEF1}"/>
    <cellStyle name="20% - 强调文字颜色 5 22 2 2" xfId="3143" xr:uid="{6C53F01F-CD17-46FE-AC97-B1064BF238BC}"/>
    <cellStyle name="20% - 强调文字颜色 5 22 2 2 2" xfId="18009" xr:uid="{AE17E993-8F1E-4315-9FEF-E661F2F27808}"/>
    <cellStyle name="20% - 强调文字颜色 5 22 2 3" xfId="18008" xr:uid="{2F5722AE-5498-4DA7-BF69-18F9E14DEEB2}"/>
    <cellStyle name="20% - 强调文字颜色 5 22 3" xfId="9663" xr:uid="{E7F41607-93E2-436F-B333-BF8225CD11AF}"/>
    <cellStyle name="20% - 强调文字颜色 5 22 3 2" xfId="18010" xr:uid="{EF444AE1-8032-43DA-9669-EE49BC46906A}"/>
    <cellStyle name="20% - 强调文字颜色 5 22 4" xfId="13112" xr:uid="{66AFE2EB-A89E-4F89-B74E-9F4E45824701}"/>
    <cellStyle name="20% - 强调文字颜色 5 22 4 2" xfId="18011" xr:uid="{D2DFE332-B553-4F9B-B4D0-BB5E0376CC9D}"/>
    <cellStyle name="20% - 强调文字颜色 5 22 5" xfId="18007" xr:uid="{2BFD3818-249A-43BE-8FCA-D345CE0D3C73}"/>
    <cellStyle name="20% - 强调文字颜色 5 23" xfId="3148" xr:uid="{746AE461-F8AE-4ACA-9069-9C483BD89987}"/>
    <cellStyle name="20% - 强调文字颜色 5 23 2" xfId="3150" xr:uid="{40EE36D2-C072-4482-86E9-A31F3142E9D6}"/>
    <cellStyle name="20% - 强调文字颜色 5 23 2 2" xfId="986" xr:uid="{463E106C-1E48-4A6D-9C00-C0D2A4215A60}"/>
    <cellStyle name="20% - 强调文字颜色 5 23 2 2 2" xfId="18014" xr:uid="{28B848A8-736C-4823-B16B-245DDC69C4CA}"/>
    <cellStyle name="20% - 强调文字颜色 5 23 2 3" xfId="18013" xr:uid="{75195F59-B477-4FA7-822E-0663E91DFABF}"/>
    <cellStyle name="20% - 强调文字颜色 5 23 3" xfId="13043" xr:uid="{BDEAF7CC-428F-4915-B11D-18DAFCBE1742}"/>
    <cellStyle name="20% - 强调文字颜色 5 23 3 2" xfId="18015" xr:uid="{8EB74F69-B03D-4CF4-AD08-94D909B001E5}"/>
    <cellStyle name="20% - 强调文字颜色 5 23 4" xfId="18016" xr:uid="{A4FE58B3-8142-40BC-AB5C-2A24879D5768}"/>
    <cellStyle name="20% - 强调文字颜色 5 23 5" xfId="18012" xr:uid="{97D11A43-5AD2-4A9E-8EA8-B8DE927F4278}"/>
    <cellStyle name="20% - 强调文字颜色 5 24" xfId="3153" xr:uid="{1465F1A7-EE39-42B5-AF9A-D417C0BC9DF6}"/>
    <cellStyle name="20% - 强调文字颜色 5 24 2" xfId="13035" xr:uid="{07316A6C-A06E-4F2C-9E09-FF08199624B8}"/>
    <cellStyle name="20% - 强调文字颜色 5 24 2 2" xfId="18019" xr:uid="{F3F0FB99-B705-4097-81A9-81A7BD82226F}"/>
    <cellStyle name="20% - 强调文字颜色 5 24 2 3" xfId="18018" xr:uid="{7BB9DF4A-527E-4655-BDF8-E5E69FDB1F7D}"/>
    <cellStyle name="20% - 强调文字颜色 5 24 3" xfId="18020" xr:uid="{ED62AA0D-9BFA-43D5-90E1-A3ACE7C0C3FD}"/>
    <cellStyle name="20% - 强调文字颜色 5 24 4" xfId="18021" xr:uid="{F8738A12-49CB-4613-9F26-FEE5948D83C0}"/>
    <cellStyle name="20% - 强调文字颜色 5 24 5" xfId="18017" xr:uid="{686DE833-73C0-420C-942C-B406779A564F}"/>
    <cellStyle name="20% - 强调文字颜色 5 25" xfId="3216" xr:uid="{3D6615D3-A329-4D7C-A16C-92DADDB3B1CA}"/>
    <cellStyle name="20% - 强调文字颜色 5 25 2" xfId="13022" xr:uid="{5E38CD78-966A-4E77-A752-041A0CD80E4F}"/>
    <cellStyle name="20% - 强调文字颜色 5 25 2 2" xfId="18024" xr:uid="{A96784E9-3269-4F8E-9667-411C573B476F}"/>
    <cellStyle name="20% - 强调文字颜色 5 25 2 3" xfId="18023" xr:uid="{043D9F77-3FC9-40DD-B512-E178C9C57668}"/>
    <cellStyle name="20% - 强调文字颜色 5 25 3" xfId="18025" xr:uid="{E4CDAE03-81BE-443D-AC26-813FFE842951}"/>
    <cellStyle name="20% - 强调文字颜色 5 25 4" xfId="18026" xr:uid="{A82E8923-F0BE-4311-BB71-4650C4FF73B6}"/>
    <cellStyle name="20% - 强调文字颜色 5 25 5" xfId="18022" xr:uid="{15025A40-0954-422C-8F15-53AD1A2EFA44}"/>
    <cellStyle name="20% - 强调文字颜色 5 26" xfId="3218" xr:uid="{2A037265-1A8B-42F7-BBEB-9AF74601090B}"/>
    <cellStyle name="20% - 强调文字颜色 5 26 2" xfId="18028" xr:uid="{97C990FA-B154-4348-8F76-BD56A5CF4C32}"/>
    <cellStyle name="20% - 强调文字颜色 5 26 2 2" xfId="18029" xr:uid="{5A2DA552-9B96-43EA-8D56-144AB955302E}"/>
    <cellStyle name="20% - 强调文字颜色 5 26 3" xfId="18030" xr:uid="{35AC6DA5-0407-4F33-9D79-1EEF37E47B51}"/>
    <cellStyle name="20% - 强调文字颜色 5 26 4" xfId="18031" xr:uid="{BADCE759-F0D0-44AC-A251-E1A24F0C8A8F}"/>
    <cellStyle name="20% - 强调文字颜色 5 26 5" xfId="18027" xr:uid="{5E25A507-B983-42A1-B55A-DC63F63954EA}"/>
    <cellStyle name="20% - 强调文字颜色 5 27" xfId="3220" xr:uid="{A314CB61-4381-4077-8509-09A65F4ADD56}"/>
    <cellStyle name="20% - 强调文字颜色 5 27 2" xfId="18033" xr:uid="{80EF8268-8A8F-4DD2-AF0B-0ACFB893954B}"/>
    <cellStyle name="20% - 强调文字颜色 5 27 2 2" xfId="18034" xr:uid="{5D3FC9CC-AEAB-4A77-97ED-19B384661F99}"/>
    <cellStyle name="20% - 强调文字颜色 5 27 3" xfId="18035" xr:uid="{A51E6291-F8E0-4957-B7FB-42E695F1AFCC}"/>
    <cellStyle name="20% - 强调文字颜色 5 27 4" xfId="18036" xr:uid="{A6647507-AB4E-4147-8F03-36A862A385A5}"/>
    <cellStyle name="20% - 强调文字颜色 5 27 5" xfId="18032" xr:uid="{F76FEC56-8974-4847-BE41-C8A6B5B8D0D3}"/>
    <cellStyle name="20% - 强调文字颜色 5 28" xfId="3222" xr:uid="{B0A5A3E8-9279-4EE5-A55B-E318A4ED29F8}"/>
    <cellStyle name="20% - 强调文字颜色 5 28 2" xfId="18038" xr:uid="{A4D09690-5458-4C63-84DE-F36125BF05F6}"/>
    <cellStyle name="20% - 强调文字颜色 5 28 3" xfId="18039" xr:uid="{55D14CBE-39F7-42EB-BB4F-5DE828C13D4D}"/>
    <cellStyle name="20% - 强调文字颜色 5 28 4" xfId="18040" xr:uid="{B0E3FAE2-0728-4AD0-9FAC-3547DD55E606}"/>
    <cellStyle name="20% - 强调文字颜色 5 28 5" xfId="18037" xr:uid="{1D1BB232-4E00-422F-83F4-6EF9B10B7124}"/>
    <cellStyle name="20% - 强调文字颜色 5 29" xfId="3224" xr:uid="{F8DBB0A3-804B-4542-AA62-105CB2CE1DDB}"/>
    <cellStyle name="20% - 强调文字颜色 5 29 2" xfId="18042" xr:uid="{EC062566-8EAB-4F29-9AD4-4B775C810325}"/>
    <cellStyle name="20% - 强调文字颜色 5 29 3" xfId="18043" xr:uid="{F0C3A45C-7D5C-40E2-9826-F502494E6E48}"/>
    <cellStyle name="20% - 强调文字颜色 5 29 4" xfId="18044" xr:uid="{74A620DF-0983-4171-B28B-4EC415536250}"/>
    <cellStyle name="20% - 强调文字颜色 5 29 5" xfId="18041" xr:uid="{25AA985D-ACB1-4976-B18A-CADFC0850C19}"/>
    <cellStyle name="20% - 强调文字颜色 5 3" xfId="806" xr:uid="{0B5F40D3-5520-412F-BEDB-E9C466735DC7}"/>
    <cellStyle name="20% - 强调文字颜色 5 3 10" xfId="3227" xr:uid="{27F76322-548B-468B-B618-55591AAFB252}"/>
    <cellStyle name="20% - 强调文字颜色 5 3 10 2" xfId="3228" xr:uid="{81DB8BE0-28BE-4121-9525-E2CAF2A0043E}"/>
    <cellStyle name="20% - 强调文字颜色 5 3 11" xfId="2384" xr:uid="{E7FC16B3-0FCF-46C8-A389-E33004680E72}"/>
    <cellStyle name="20% - 强调文字颜色 5 3 11 2" xfId="3229" xr:uid="{090E634C-A622-49D3-B63D-CA0156C3FA28}"/>
    <cellStyle name="20% - 强调文字颜色 5 3 12" xfId="2576" xr:uid="{E68F6BE7-E336-420C-81A8-8E0F77FF9047}"/>
    <cellStyle name="20% - 强调文字颜色 5 3 13" xfId="3230" xr:uid="{147B0771-ACC6-4197-92B6-8942BA056D13}"/>
    <cellStyle name="20% - 强调文字颜色 5 3 13 2" xfId="3231" xr:uid="{790D8EB2-1217-4F5D-9957-4E383F131405}"/>
    <cellStyle name="20% - 强调文字颜色 5 3 14" xfId="3232" xr:uid="{3521F258-0E81-4589-8D65-7BF1616C7CAC}"/>
    <cellStyle name="20% - 强调文字颜色 5 3 14 2" xfId="3233" xr:uid="{7A581621-5AEA-457E-B79D-51F0398B4C57}"/>
    <cellStyle name="20% - 强调文字颜色 5 3 15" xfId="9664" xr:uid="{D4A93EBE-2703-4757-82B0-9B6093D98100}"/>
    <cellStyle name="20% - 强调文字颜色 5 3 16" xfId="13397" xr:uid="{F74CC72A-B1F1-4E38-87E2-C41F37B574E5}"/>
    <cellStyle name="20% - 强调文字颜色 5 3 17" xfId="18045" xr:uid="{4F9D5CBE-B69F-449A-87FA-FBAD73C4BA84}"/>
    <cellStyle name="20% - 强调文字颜色 5 3 2" xfId="814" xr:uid="{E39AD2CC-F2D5-4221-9D55-399A934EC5DE}"/>
    <cellStyle name="20% - 强调文字颜色 5 3 2 2" xfId="3234" xr:uid="{09B6A388-6AB6-452F-BE75-CB70A258991F}"/>
    <cellStyle name="20% - 强调文字颜色 5 3 2 3" xfId="9665" xr:uid="{B1E9198E-EBCE-4536-AD19-91D553D0A598}"/>
    <cellStyle name="20% - 强调文字颜色 5 3 2 4" xfId="18046" xr:uid="{A1F1677D-6C00-4BE4-9640-0460D4B892E8}"/>
    <cellStyle name="20% - 强调文字颜色 5 3 2 5" xfId="27297" xr:uid="{E07F40AE-2DC9-47AB-96D4-1743BDF9F148}"/>
    <cellStyle name="20% - 强调文字颜色 5 3 3" xfId="3235" xr:uid="{04024C8C-576D-4869-B1D1-D927690B4783}"/>
    <cellStyle name="20% - 强调文字颜色 5 3 3 2" xfId="3236" xr:uid="{9F3920A4-EDE0-465C-B100-8A55FBF45FA7}"/>
    <cellStyle name="20% - 强调文字颜色 5 3 3 2 2" xfId="18048" xr:uid="{03FACC24-0D2D-479D-99D0-0416BC20F674}"/>
    <cellStyle name="20% - 强调文字颜色 5 3 3 3" xfId="9666" xr:uid="{723FE086-53EE-4458-9D13-AFFF21613782}"/>
    <cellStyle name="20% - 强调文字颜色 5 3 3 4" xfId="18047" xr:uid="{30B78B2F-685D-4C2B-8B16-37862AE10B19}"/>
    <cellStyle name="20% - 强调文字颜色 5 3 3 5" xfId="27298" xr:uid="{72986FD2-4C9D-4E77-B944-87523D3B9279}"/>
    <cellStyle name="20% - 强调文字颜色 5 3 4" xfId="2835" xr:uid="{12B55089-DFA8-4943-85A0-1BBACD3C9FDA}"/>
    <cellStyle name="20% - 强调文字颜色 5 3 4 2" xfId="3237" xr:uid="{91DDEE3D-7697-4ACE-8D3D-D5F98A21603B}"/>
    <cellStyle name="20% - 强调文字颜色 5 3 4 3" xfId="18049" xr:uid="{9D3D1C21-8F97-4365-9E1C-58E73AFF6D70}"/>
    <cellStyle name="20% - 强调文字颜色 5 3 4 4" xfId="27677" xr:uid="{70C41FE2-4C7C-48EB-92AF-F7BF93C92C14}"/>
    <cellStyle name="20% - 强调文字颜色 5 3 5" xfId="3238" xr:uid="{F1FD73DB-FE3F-4583-B1E8-65610F1105DB}"/>
    <cellStyle name="20% - 强调文字颜色 5 3 5 2" xfId="3239" xr:uid="{D512E7D3-6DDF-4BEC-9A40-2B4E7A60DA61}"/>
    <cellStyle name="20% - 强调文字颜色 5 3 5 3" xfId="18050" xr:uid="{7E367C2C-88BA-4177-A32C-30CD75A0A602}"/>
    <cellStyle name="20% - 强调文字颜色 5 3 6" xfId="3240" xr:uid="{B79BE416-5BCC-41A2-B22F-D9D30BB50CE4}"/>
    <cellStyle name="20% - 强调文字颜色 5 3 6 2" xfId="3241" xr:uid="{1EDCD70B-D1F5-4578-B6AD-6F8E8A46C45B}"/>
    <cellStyle name="20% - 强调文字颜色 5 3 7" xfId="3242" xr:uid="{9600CBC7-F445-4F10-80E2-B5C2FAA2820A}"/>
    <cellStyle name="20% - 强调文字颜色 5 3 7 2" xfId="3243" xr:uid="{F456695D-7212-45C5-B9F0-B5B5E987A019}"/>
    <cellStyle name="20% - 强调文字颜色 5 3 8" xfId="3244" xr:uid="{23F18B61-849F-4151-B73D-6EC1C6D8AB12}"/>
    <cellStyle name="20% - 强调文字颜色 5 3 8 2" xfId="3245" xr:uid="{F58F12F5-FB55-4B90-AB1B-05610CA3F8E8}"/>
    <cellStyle name="20% - 强调文字颜色 5 3 9" xfId="3246" xr:uid="{17B69865-9E38-46B6-8348-BC3574B11FA8}"/>
    <cellStyle name="20% - 强调文字颜色 5 30" xfId="3217" xr:uid="{F0BA875B-E23D-48E4-A9E1-9F9266D39FA6}"/>
    <cellStyle name="20% - 强调文字颜色 5 30 2" xfId="18052" xr:uid="{54338B72-A923-48AC-B501-5BA048E8C7A3}"/>
    <cellStyle name="20% - 强调文字颜色 5 30 3" xfId="18053" xr:uid="{A30FDE54-7342-4008-95BB-859FC80931EE}"/>
    <cellStyle name="20% - 强调文字颜色 5 30 4" xfId="18054" xr:uid="{76DECAA2-4F6A-45FE-951E-91C2BF965A17}"/>
    <cellStyle name="20% - 强调文字颜色 5 30 5" xfId="18051" xr:uid="{586CB7E4-5702-429D-9041-77C8F5B36584}"/>
    <cellStyle name="20% - 强调文字颜色 5 31" xfId="3219" xr:uid="{8AF73D9B-2984-4890-B014-8E40466A54DB}"/>
    <cellStyle name="20% - 强调文字颜色 5 31 2" xfId="18056" xr:uid="{F568FF93-036A-471B-8CFD-36EDED190F1B}"/>
    <cellStyle name="20% - 强调文字颜色 5 31 3" xfId="18057" xr:uid="{53165024-C8CB-4809-A7F8-50121BB6B0C1}"/>
    <cellStyle name="20% - 强调文字颜色 5 31 4" xfId="18058" xr:uid="{BD255311-C6BC-46F0-AFDD-9A456B6C2D52}"/>
    <cellStyle name="20% - 强调文字颜色 5 31 5" xfId="18055" xr:uid="{75746102-2613-46AE-8E98-D2E076D60161}"/>
    <cellStyle name="20% - 强调文字颜色 5 32" xfId="3221" xr:uid="{A006C5D6-8681-4B81-9735-27E4CDD28E61}"/>
    <cellStyle name="20% - 强调文字颜色 5 32 2" xfId="18060" xr:uid="{4B238C7B-C5A3-4A11-920D-DD673F85BFA2}"/>
    <cellStyle name="20% - 强调文字颜色 5 32 3" xfId="18061" xr:uid="{6DEBD6B4-DF6E-4E07-8D82-29ED709B0F17}"/>
    <cellStyle name="20% - 强调文字颜色 5 32 4" xfId="18062" xr:uid="{4238B54D-9B24-46CD-91CD-5A85B98180EE}"/>
    <cellStyle name="20% - 强调文字颜色 5 32 5" xfId="18059" xr:uid="{5BC604E1-8B55-4E18-B0F7-D0B7721C76DB}"/>
    <cellStyle name="20% - 强调文字颜色 5 33" xfId="3223" xr:uid="{4F1BAFFE-51D1-4C09-9764-202F492A4FEB}"/>
    <cellStyle name="20% - 强调文字颜色 5 33 2" xfId="18064" xr:uid="{8CB1E15D-E1D9-46CE-9D06-1925C985BB93}"/>
    <cellStyle name="20% - 强调文字颜色 5 33 3" xfId="18065" xr:uid="{8A8EDEE5-6FB1-4DAB-8A82-ADA3B39F39CC}"/>
    <cellStyle name="20% - 强调文字颜色 5 33 4" xfId="18066" xr:uid="{C8DB6EF4-C0B0-43A5-A30F-CA0ADC6EF494}"/>
    <cellStyle name="20% - 强调文字颜色 5 33 5" xfId="18063" xr:uid="{40920E47-9C50-4B2F-94BE-625DEAAF54DD}"/>
    <cellStyle name="20% - 强调文字颜色 5 34" xfId="3225" xr:uid="{6278058C-7379-41FF-80A9-2EC135A1AEA0}"/>
    <cellStyle name="20% - 强调文字颜色 5 34 2" xfId="12209" xr:uid="{1FED57FE-781C-4FEF-8F2E-E01F0FF8FF05}"/>
    <cellStyle name="20% - 强调文字颜色 5 34 2 2" xfId="18068" xr:uid="{0A9A4149-FFB2-4D07-B4C8-AD4B9B73BA90}"/>
    <cellStyle name="20% - 强调文字颜色 5 34 3" xfId="18069" xr:uid="{22B58969-E0AB-476C-ACED-B8622E15536F}"/>
    <cellStyle name="20% - 强调文字颜色 5 34 4" xfId="18070" xr:uid="{7B5D94D7-325E-4588-A062-2453F5F4277A}"/>
    <cellStyle name="20% - 强调文字颜色 5 34 5" xfId="18067" xr:uid="{D060D114-690C-4D97-B5CD-85FF3C381857}"/>
    <cellStyle name="20% - 强调文字颜色 5 35" xfId="3247" xr:uid="{1DBFA109-FD02-47F5-85B8-AC1A2054107A}"/>
    <cellStyle name="20% - 强调文字颜色 5 35 2" xfId="12210" xr:uid="{B3293B67-DCA9-4E5B-96F0-07F07351732A}"/>
    <cellStyle name="20% - 强调文字颜色 5 35 2 2" xfId="18072" xr:uid="{E9057FC2-B415-40E9-B723-8A80DD83DD00}"/>
    <cellStyle name="20% - 强调文字颜色 5 35 3" xfId="18073" xr:uid="{EDF23E9A-E692-4C70-8222-53A9CBADF20E}"/>
    <cellStyle name="20% - 强调文字颜色 5 35 4" xfId="18071" xr:uid="{9BD7B534-4F4A-49B0-B0DE-DD2913C8E7EE}"/>
    <cellStyle name="20% - 强调文字颜色 5 36" xfId="3249" xr:uid="{803D47AB-A916-440E-A529-3EBCF363B208}"/>
    <cellStyle name="20% - 强调文字颜色 5 36 2" xfId="12211" xr:uid="{593AD56D-3511-4DBE-87C6-7FB89367FC3B}"/>
    <cellStyle name="20% - 强调文字颜色 5 36 2 2" xfId="18075" xr:uid="{4473FE77-85C3-421B-B6E4-F8C4AD8FDB20}"/>
    <cellStyle name="20% - 强调文字颜色 5 36 3" xfId="18076" xr:uid="{F66E8FE2-9E04-4871-A653-B1BAF7D411C5}"/>
    <cellStyle name="20% - 强调文字颜色 5 36 4" xfId="18074" xr:uid="{1AF5306E-4992-4D5E-9812-90B1C089B535}"/>
    <cellStyle name="20% - 强调文字颜色 5 37" xfId="3186" xr:uid="{9D45D594-FC3A-4572-9D08-A3A79811E667}"/>
    <cellStyle name="20% - 强调文字颜色 5 37 2" xfId="12212" xr:uid="{32719181-0E7A-4B72-B0C1-F6DEEEDBFD24}"/>
    <cellStyle name="20% - 强调文字颜色 5 37 2 2" xfId="18078" xr:uid="{396379BB-C598-41DB-8419-284D3EBD3C6D}"/>
    <cellStyle name="20% - 强调文字颜色 5 37 3" xfId="18079" xr:uid="{AB27FC78-E975-4D91-9B9A-FD0E5F4FB1F4}"/>
    <cellStyle name="20% - 强调文字颜色 5 37 4" xfId="18077" xr:uid="{6057BCE8-E98C-41A4-986F-3CFD97F962AE}"/>
    <cellStyle name="20% - 强调文字颜色 5 38" xfId="3251" xr:uid="{EBB86334-9117-416D-BA4F-4EFDD92CCCB6}"/>
    <cellStyle name="20% - 强调文字颜色 5 38 10" xfId="18081" xr:uid="{4C818CD8-5259-40E0-B8E0-C93C38CA5E38}"/>
    <cellStyle name="20% - 强调文字颜色 5 38 11" xfId="18082" xr:uid="{B4A1BD2B-DB49-4E59-952B-8A9D1D65B5E3}"/>
    <cellStyle name="20% - 强调文字颜色 5 38 12" xfId="18083" xr:uid="{0355A27D-ADF6-4C7E-8D30-88C5249EBEE9}"/>
    <cellStyle name="20% - 强调文字颜色 5 38 13" xfId="18084" xr:uid="{BFD31EDE-944A-423E-82F6-F5674866EA81}"/>
    <cellStyle name="20% - 强调文字颜色 5 38 14" xfId="18085" xr:uid="{55370553-9D07-4C14-824A-D5797211E764}"/>
    <cellStyle name="20% - 强调文字颜色 5 38 15" xfId="18080" xr:uid="{C355D580-8913-478A-98AB-F0B8017490EB}"/>
    <cellStyle name="20% - 强调文字颜色 5 38 2" xfId="12213" xr:uid="{306E4B6F-0D61-4036-9F72-6C8E9243D018}"/>
    <cellStyle name="20% - 强调文字颜色 5 38 2 2" xfId="18086" xr:uid="{5FAC1CFC-B447-42DF-858E-8CDC0203665D}"/>
    <cellStyle name="20% - 强调文字颜色 5 38 3" xfId="18087" xr:uid="{5CB3BD6C-20C8-42C7-AA8A-F73C8D0CFD2F}"/>
    <cellStyle name="20% - 强调文字颜色 5 38 4" xfId="18088" xr:uid="{C2668E79-D9FA-4E95-AC17-C23BDAF607D1}"/>
    <cellStyle name="20% - 强调文字颜色 5 38 5" xfId="18089" xr:uid="{77D15B28-60B2-4E6E-B8A8-5CEACF0B1A70}"/>
    <cellStyle name="20% - 强调文字颜色 5 38 6" xfId="18090" xr:uid="{7BEB485A-BEAA-4CD1-AD8A-2581F3646DF8}"/>
    <cellStyle name="20% - 强调文字颜色 5 38 7" xfId="18091" xr:uid="{D289BD0F-8187-42D5-97C6-664608DBE593}"/>
    <cellStyle name="20% - 强调文字颜色 5 38 8" xfId="18092" xr:uid="{E8B2D473-5BCB-4108-BF59-549D6DD8CA6C}"/>
    <cellStyle name="20% - 强调文字颜色 5 38 9" xfId="18093" xr:uid="{FF73AD51-9A73-4361-BFC0-98F85C1C1A96}"/>
    <cellStyle name="20% - 强调文字颜色 5 39" xfId="3254" xr:uid="{778C893D-FB93-454E-BD1E-036B31DD5EA7}"/>
    <cellStyle name="20% - 强调文字颜色 5 39 2" xfId="12214" xr:uid="{A34AA5E2-4915-4964-AFB8-F23EA0965AC8}"/>
    <cellStyle name="20% - 强调文字颜色 5 39 2 2" xfId="18095" xr:uid="{8ED7EBA4-A121-451F-8013-AED159711298}"/>
    <cellStyle name="20% - 强调文字颜色 5 39 3" xfId="18096" xr:uid="{4C0018E5-289F-4E7B-91D8-472C94D5BD5B}"/>
    <cellStyle name="20% - 强调文字颜色 5 39 4" xfId="18094" xr:uid="{CA692744-5925-46BC-826B-4A17DABAD5BB}"/>
    <cellStyle name="20% - 强调文字颜色 5 4" xfId="820" xr:uid="{CA71BD9D-EC11-472D-ABD6-B8D9ABF4C665}"/>
    <cellStyle name="20% - 强调文字颜色 5 4 10" xfId="3256" xr:uid="{E788B7B7-4D18-4227-AEA6-FA04F74E5F4E}"/>
    <cellStyle name="20% - 强调文字颜色 5 4 10 2" xfId="3258" xr:uid="{085E36A4-4237-466D-BB47-E2F70F7BB48D}"/>
    <cellStyle name="20% - 强调文字颜色 5 4 11" xfId="3260" xr:uid="{FA8D5E87-56A2-4841-87B0-A333D49E0667}"/>
    <cellStyle name="20% - 强调文字颜色 5 4 11 2" xfId="335" xr:uid="{40A3B36F-945F-4241-87B2-7B9BEB3060B7}"/>
    <cellStyle name="20% - 强调文字颜色 5 4 12" xfId="3262" xr:uid="{FEBF799E-C876-460D-B13B-0D21AF49C46F}"/>
    <cellStyle name="20% - 强调文字颜色 5 4 13" xfId="3264" xr:uid="{87F35F6E-B4B4-4311-8510-0576B8025992}"/>
    <cellStyle name="20% - 强调文字颜色 5 4 13 2" xfId="380" xr:uid="{E7CEBA7F-1951-45DB-805D-B0EDFB25C4E6}"/>
    <cellStyle name="20% - 强调文字颜色 5 4 14" xfId="3266" xr:uid="{E791FA0D-C055-41A8-A0EB-412CA1381014}"/>
    <cellStyle name="20% - 强调文字颜色 5 4 14 2" xfId="36" xr:uid="{60FB5FBF-C5B4-42E5-AB4E-233DE6C8622C}"/>
    <cellStyle name="20% - 强调文字颜色 5 4 15" xfId="9667" xr:uid="{13CF69E8-FF1C-428D-A1BD-76C24060AB71}"/>
    <cellStyle name="20% - 强调文字颜色 5 4 16" xfId="13389" xr:uid="{8302A505-09CC-449D-9988-B9601A2F760A}"/>
    <cellStyle name="20% - 强调文字颜色 5 4 17" xfId="18097" xr:uid="{E812F35C-8479-491F-9ECE-EF3B49253B78}"/>
    <cellStyle name="20% - 强调文字颜色 5 4 2" xfId="631" xr:uid="{90B40A58-23B8-41AD-B8F8-22D648E34F35}"/>
    <cellStyle name="20% - 强调文字颜色 5 4 2 2" xfId="3267" xr:uid="{9D11CB43-FE1E-48CB-88A7-DE259C0D8E81}"/>
    <cellStyle name="20% - 强调文字颜色 5 4 2 2 2" xfId="18099" xr:uid="{70AF1C2B-A216-44BF-AC8E-7F6BDD378843}"/>
    <cellStyle name="20% - 强调文字颜色 5 4 2 3" xfId="9668" xr:uid="{C173F51F-60F4-4B22-8357-554FD5A1955F}"/>
    <cellStyle name="20% - 强调文字颜色 5 4 2 4" xfId="18098" xr:uid="{0762BECD-CDAC-4583-BA99-3A93C17B3437}"/>
    <cellStyle name="20% - 强调文字颜色 5 4 3" xfId="3268" xr:uid="{EFEEF6E7-BE61-4630-A48E-1B0DD40EE3F2}"/>
    <cellStyle name="20% - 强调文字颜色 5 4 3 2" xfId="3269" xr:uid="{DCE7964A-5740-44D8-A39A-F60BB408D3EA}"/>
    <cellStyle name="20% - 强调文字颜色 5 4 3 3" xfId="9669" xr:uid="{A4EF87E3-361D-44EF-A411-312B18781A51}"/>
    <cellStyle name="20% - 强调文字颜色 5 4 3 4" xfId="18100" xr:uid="{D0893EEA-1D81-4362-9922-E46D64BD7ADD}"/>
    <cellStyle name="20% - 强调文字颜色 5 4 4" xfId="2840" xr:uid="{BD15FD2D-6EC5-4E8B-BB5B-363DA997490C}"/>
    <cellStyle name="20% - 强调文字颜色 5 4 4 2" xfId="3270" xr:uid="{5BCD99D6-0D3A-4D2C-9AD7-BE5A80801AFF}"/>
    <cellStyle name="20% - 强调文字颜色 5 4 4 3" xfId="18101" xr:uid="{912AE5D9-A8CF-4C17-B11E-438051B3D50B}"/>
    <cellStyle name="20% - 强调文字颜色 5 4 5" xfId="3271" xr:uid="{7CEEFF8F-1DBC-4888-991F-3A2F92AFF163}"/>
    <cellStyle name="20% - 强调文字颜色 5 4 5 2" xfId="3272" xr:uid="{F67509C5-95DB-4ED4-8879-3C13381A5EF8}"/>
    <cellStyle name="20% - 强调文字颜色 5 4 6" xfId="3273" xr:uid="{68874C11-43C3-42B8-907B-D95864DDBCD0}"/>
    <cellStyle name="20% - 强调文字颜色 5 4 6 2" xfId="3274" xr:uid="{C51A8A3B-9ED5-450A-9DCC-BE0947725815}"/>
    <cellStyle name="20% - 强调文字颜色 5 4 7" xfId="3275" xr:uid="{6CE4DD31-5B7E-466A-8C54-056478591696}"/>
    <cellStyle name="20% - 强调文字颜色 5 4 7 2" xfId="3276" xr:uid="{20DAD482-C0B1-455C-93A3-1BFED6462EF8}"/>
    <cellStyle name="20% - 强调文字颜色 5 4 8" xfId="3277" xr:uid="{F493BF17-A118-435E-B89E-B9AE3F09EAAB}"/>
    <cellStyle name="20% - 强调文字颜色 5 4 8 2" xfId="3278" xr:uid="{EC287E58-5099-4AED-B649-424C6A3ECA9F}"/>
    <cellStyle name="20% - 强调文字颜色 5 4 9" xfId="3280" xr:uid="{02B6BB9A-C347-4A3B-BF89-09CB03AC9344}"/>
    <cellStyle name="20% - 强调文字颜色 5 40" xfId="3248" xr:uid="{766A7070-0468-4E58-8CC5-A45EB9F89A7F}"/>
    <cellStyle name="20% - 强调文字颜色 5 40 2" xfId="12215" xr:uid="{59A311DF-B171-4110-A710-C66DC17482EA}"/>
    <cellStyle name="20% - 强调文字颜色 5 40 2 2" xfId="18103" xr:uid="{3A3A06E8-3569-4765-AE27-DAA272EEE22E}"/>
    <cellStyle name="20% - 强调文字颜色 5 40 3" xfId="18102" xr:uid="{4872846B-9278-490F-B153-1DE05D85D577}"/>
    <cellStyle name="20% - 强调文字颜色 5 41" xfId="3250" xr:uid="{AF5FA4D4-B35F-4459-B1C7-8064393A50B6}"/>
    <cellStyle name="20% - 强调文字颜色 5 41 2" xfId="12216" xr:uid="{86355B0D-5512-426A-9D6A-A42E86BD7241}"/>
    <cellStyle name="20% - 强调文字颜色 5 41 2 2" xfId="18105" xr:uid="{D9076642-3FDB-45B9-9580-8342F5544D6B}"/>
    <cellStyle name="20% - 强调文字颜色 5 41 3" xfId="18104" xr:uid="{997A1A87-BA11-4C0E-98F3-01F25C910A66}"/>
    <cellStyle name="20% - 强调文字颜色 5 42" xfId="3187" xr:uid="{D1560785-583C-4995-8D61-06FB0D8D5A73}"/>
    <cellStyle name="20% - 强调文字颜色 5 42 2" xfId="12217" xr:uid="{A0C5120A-5F50-4F3B-B268-A1B4496E6F34}"/>
    <cellStyle name="20% - 强调文字颜色 5 42 2 2" xfId="18107" xr:uid="{50FCDFF2-82E6-4478-8846-12D649AC4C57}"/>
    <cellStyle name="20% - 强调文字颜色 5 42 3" xfId="18106" xr:uid="{3136EF0D-BEFF-44FC-8C2C-ACDF2843233A}"/>
    <cellStyle name="20% - 强调文字颜色 5 43" xfId="3252" xr:uid="{A8BE478E-7969-4100-8167-8D22A14CD260}"/>
    <cellStyle name="20% - 强调文字颜色 5 43 2" xfId="12218" xr:uid="{896E7AA7-BC3A-442A-A55B-286819F89492}"/>
    <cellStyle name="20% - 强调文字颜色 5 43 2 2" xfId="18109" xr:uid="{E35B2A77-E916-4151-9A9C-9E706CA7EA28}"/>
    <cellStyle name="20% - 强调文字颜色 5 43 3" xfId="18108" xr:uid="{13EEBF35-D761-4C13-8FFE-E1C3323B39AC}"/>
    <cellStyle name="20% - 强调文字颜色 5 44" xfId="3255" xr:uid="{D98FF58E-87A3-4733-9A90-5BB2D1FF47CE}"/>
    <cellStyle name="20% - 强调文字颜色 5 44 2" xfId="12219" xr:uid="{847E4E64-AB7F-4DB3-AEF4-B59FF02191F3}"/>
    <cellStyle name="20% - 强调文字颜色 5 44 2 2" xfId="18111" xr:uid="{8EC4EDF7-4F3A-44C5-AB34-182D3523136A}"/>
    <cellStyle name="20% - 强调文字颜色 5 44 3" xfId="18110" xr:uid="{F26D23E1-250C-4262-A16D-EE40DEC9B6E2}"/>
    <cellStyle name="20% - 强调文字颜色 5 45" xfId="3282" xr:uid="{4B96A375-412A-4834-BF7A-A3A2E484D178}"/>
    <cellStyle name="20% - 强调文字颜色 5 45 2" xfId="12220" xr:uid="{079FC8CF-A70B-4784-93DF-9C2E3C230328}"/>
    <cellStyle name="20% - 强调文字颜色 5 45 2 2" xfId="18113" xr:uid="{E6290294-1BDB-4CA2-9450-B1B8386C6AD2}"/>
    <cellStyle name="20% - 强调文字颜色 5 45 3" xfId="18112" xr:uid="{04215F89-90F6-479C-8134-99C636479D30}"/>
    <cellStyle name="20% - 强调文字颜色 5 46" xfId="1797" xr:uid="{83A348AF-5F2A-4215-8BF5-D3FB97FF3C34}"/>
    <cellStyle name="20% - 强调文字颜色 5 46 2" xfId="12221" xr:uid="{B2BE7D74-0324-4A1F-B1BE-3C1F0C5F6166}"/>
    <cellStyle name="20% - 强调文字颜色 5 46 2 2" xfId="18115" xr:uid="{D3BE2ACF-8326-456F-965E-839FD23D91DB}"/>
    <cellStyle name="20% - 强调文字颜色 5 46 3" xfId="18114" xr:uid="{C7403FB7-CEB5-40DE-B337-3C3DFB59CC1D}"/>
    <cellStyle name="20% - 强调文字颜色 5 47" xfId="3285" xr:uid="{8BA15ED9-98C9-4507-BC2E-799608558DFA}"/>
    <cellStyle name="20% - 强调文字颜色 5 47 2" xfId="12222" xr:uid="{B0604E39-2200-40AB-8541-4EBD113B0B82}"/>
    <cellStyle name="20% - 强调文字颜色 5 47 3" xfId="18116" xr:uid="{E923D309-0215-4102-8189-4E7BE16184FD}"/>
    <cellStyle name="20% - 强调文字颜色 5 48" xfId="3288" xr:uid="{85F5116F-A8B5-489E-A314-DD14741ADEA8}"/>
    <cellStyle name="20% - 强调文字颜色 5 48 2" xfId="12223" xr:uid="{73CF09E6-CAD6-40A0-9FDF-16617DFAD6BB}"/>
    <cellStyle name="20% - 强调文字颜色 5 48 3" xfId="18117" xr:uid="{E061B965-EB69-40A2-82AC-A64E2FD4DC75}"/>
    <cellStyle name="20% - 强调文字颜色 5 49" xfId="3292" xr:uid="{391F2ABA-4CC5-44F9-9CF0-9475E1835C4C}"/>
    <cellStyle name="20% - 强调文字颜色 5 49 2" xfId="12224" xr:uid="{0354759F-DDBF-45E1-A254-36147D0DA0C9}"/>
    <cellStyle name="20% - 强调文字颜色 5 49 3" xfId="18118" xr:uid="{D07FDF85-6A45-417C-94A8-6BBEDBEE3BD0}"/>
    <cellStyle name="20% - 强调文字颜色 5 5" xfId="827" xr:uid="{50A3DAE5-6925-4BAC-B0E5-53549076F183}"/>
    <cellStyle name="20% - 强调文字颜色 5 5 10" xfId="3294" xr:uid="{ADCBE674-244D-44BE-8D28-26031EB19FF3}"/>
    <cellStyle name="20% - 强调文字颜色 5 5 10 2" xfId="3296" xr:uid="{7EAAB9E2-8B7C-4B6E-8EAC-BF6965CC833C}"/>
    <cellStyle name="20% - 强调文字颜色 5 5 11" xfId="3298" xr:uid="{62944B5C-9002-41AC-BDEF-ECEF93CC9433}"/>
    <cellStyle name="20% - 强调文字颜色 5 5 11 2" xfId="3301" xr:uid="{34F73F36-AB1A-4D3D-B023-0ACDE4EABB33}"/>
    <cellStyle name="20% - 强调文字颜色 5 5 12" xfId="3302" xr:uid="{8F17BF43-E71F-487D-9C19-C52730008B90}"/>
    <cellStyle name="20% - 强调文字颜色 5 5 13" xfId="3304" xr:uid="{F323ACA9-175A-4BA3-9555-6F5C21A17C4A}"/>
    <cellStyle name="20% - 强调文字颜色 5 5 13 2" xfId="3306" xr:uid="{6E803E4B-9157-4BC5-9AEF-BB6EFBBAE54A}"/>
    <cellStyle name="20% - 强调文字颜色 5 5 14" xfId="3308" xr:uid="{BC083377-857C-4368-A68D-408447696D9A}"/>
    <cellStyle name="20% - 强调文字颜色 5 5 14 2" xfId="2262" xr:uid="{0902AA15-EB35-4DC9-A821-C05C264E6BAD}"/>
    <cellStyle name="20% - 强调文字颜色 5 5 15" xfId="9670" xr:uid="{2E6EA08E-D5E7-4418-BFF9-43BAC0C3D8BF}"/>
    <cellStyle name="20% - 强调文字颜色 5 5 16" xfId="13366" xr:uid="{88C5E49A-7044-43E5-B644-EDB807316554}"/>
    <cellStyle name="20% - 强调文字颜色 5 5 17" xfId="18119" xr:uid="{30B1CBF8-8A12-4EAB-9D2B-3ED095BE5422}"/>
    <cellStyle name="20% - 强调文字颜色 5 5 2" xfId="832" xr:uid="{07F85E4E-B209-48EA-B0A2-6C20C3CC57E4}"/>
    <cellStyle name="20% - 强调文字颜色 5 5 2 2" xfId="3311" xr:uid="{D0E20405-21C2-4C6D-B7A9-5B32DF4FF7B3}"/>
    <cellStyle name="20% - 强调文字颜色 5 5 2 2 2" xfId="18121" xr:uid="{6640EC78-33B5-4ECD-BDFD-FF186D621C72}"/>
    <cellStyle name="20% - 强调文字颜色 5 5 2 3" xfId="9671" xr:uid="{69B7FBD3-7742-4609-834E-0F46D83373DC}"/>
    <cellStyle name="20% - 强调文字颜色 5 5 2 4" xfId="18120" xr:uid="{8353FC39-2C81-4B63-B5B9-C4E76238273B}"/>
    <cellStyle name="20% - 强调文字颜色 5 5 3" xfId="3312" xr:uid="{0874CB5A-E4B6-4D53-9996-CBB035124209}"/>
    <cellStyle name="20% - 强调文字颜色 5 5 3 2" xfId="3313" xr:uid="{24E82954-D9E7-4BD3-9149-9F4D9D75D140}"/>
    <cellStyle name="20% - 强调文字颜色 5 5 3 3" xfId="9672" xr:uid="{A8C80502-7F10-4605-800A-0DC7387B831F}"/>
    <cellStyle name="20% - 强调文字颜色 5 5 3 4" xfId="18122" xr:uid="{DD35D78B-23ED-45E2-AAF3-0373CB7B02F0}"/>
    <cellStyle name="20% - 强调文字颜色 5 5 4" xfId="2843" xr:uid="{0BE11C9A-EAEB-4D94-863D-E14EABE9F886}"/>
    <cellStyle name="20% - 强调文字颜色 5 5 4 2" xfId="3314" xr:uid="{5441FC1E-82D2-4295-A36E-F06A1F12E4BA}"/>
    <cellStyle name="20% - 强调文字颜色 5 5 4 3" xfId="18123" xr:uid="{D36E1A2A-9DC3-4D43-8037-BEA12AD59CDD}"/>
    <cellStyle name="20% - 强调文字颜色 5 5 5" xfId="3316" xr:uid="{EA40DC78-2CAB-4504-A86C-012827F924B0}"/>
    <cellStyle name="20% - 强调文字颜色 5 5 5 2" xfId="2676" xr:uid="{3A07B071-50F6-4F5D-BE90-FB1A19B943F1}"/>
    <cellStyle name="20% - 强调文字颜色 5 5 6" xfId="3317" xr:uid="{BBAA0878-CF39-42C9-A139-0C9B2117B921}"/>
    <cellStyle name="20% - 强调文字颜色 5 5 6 2" xfId="3318" xr:uid="{93AB24D7-9162-47E0-82E4-930DD6C2E5F4}"/>
    <cellStyle name="20% - 强调文字颜色 5 5 7" xfId="3319" xr:uid="{D5F41313-05F1-424E-AA71-FFD2028BD5D8}"/>
    <cellStyle name="20% - 强调文字颜色 5 5 7 2" xfId="3320" xr:uid="{4C3BB00A-8AF0-47E1-A386-3E7B6D892B23}"/>
    <cellStyle name="20% - 强调文字颜色 5 5 8" xfId="3321" xr:uid="{014961D2-0A62-4818-BC48-EA7C63087EAF}"/>
    <cellStyle name="20% - 强调文字颜色 5 5 8 2" xfId="3322" xr:uid="{C613E6B1-B1E2-4AD7-9562-B844CD277BBF}"/>
    <cellStyle name="20% - 强调文字颜色 5 5 9" xfId="3323" xr:uid="{630D7FE4-CEA9-473D-8686-262BD17EDA26}"/>
    <cellStyle name="20% - 强调文字颜色 5 50" xfId="3283" xr:uid="{7135DFA4-8C82-4792-B8ED-5C27476EE46B}"/>
    <cellStyle name="20% - 强调文字颜色 5 50 2" xfId="12225" xr:uid="{AF2B4DFE-9CB5-4D41-8379-A9C1DA3697DF}"/>
    <cellStyle name="20% - 强调文字颜色 5 50 3" xfId="18124" xr:uid="{96EF367D-32E8-4035-8E24-0DA630BE8D64}"/>
    <cellStyle name="20% - 强调文字颜色 5 51" xfId="1798" xr:uid="{1DDF7DF5-829A-40C7-89C3-8442C8C73F43}"/>
    <cellStyle name="20% - 强调文字颜色 5 51 2" xfId="12226" xr:uid="{7CD0D067-358B-44C5-A366-EE9B239F0AE9}"/>
    <cellStyle name="20% - 强调文字颜色 5 51 3" xfId="18125" xr:uid="{6129BAB2-6B75-4581-9D12-168869A68BBE}"/>
    <cellStyle name="20% - 强调文字颜色 5 52" xfId="3286" xr:uid="{D437FECF-2B66-4180-8940-6ECFD8CC8FA9}"/>
    <cellStyle name="20% - 强调文字颜色 5 52 2" xfId="12227" xr:uid="{DF27C951-EE35-45D2-BEB3-E43F581E8AA4}"/>
    <cellStyle name="20% - 强调文字颜色 5 52 3" xfId="18126" xr:uid="{5EEB3ADE-3F8C-434C-AA38-DE0D05159969}"/>
    <cellStyle name="20% - 强调文字颜色 5 53" xfId="3289" xr:uid="{80CBCFC4-AD4A-4588-B2B0-84527995A108}"/>
    <cellStyle name="20% - 强调文字颜色 5 53 2" xfId="12228" xr:uid="{FF4E06E7-A9D4-417B-8E26-3B4A01CD636A}"/>
    <cellStyle name="20% - 强调文字颜色 5 53 3" xfId="18127" xr:uid="{D0F52BA3-225D-4A6D-B909-C865AE77DD06}"/>
    <cellStyle name="20% - 强调文字颜色 5 54" xfId="3293" xr:uid="{9ED2AD59-E906-47F5-8C0F-0E980DB14C4B}"/>
    <cellStyle name="20% - 强调文字颜色 5 54 2" xfId="12229" xr:uid="{FE29E906-FDF5-4462-A6ED-7953056B738F}"/>
    <cellStyle name="20% - 强调文字颜色 5 54 3" xfId="18128" xr:uid="{384BD073-7497-4475-88FB-E5932685795A}"/>
    <cellStyle name="20% - 强调文字颜色 5 55" xfId="3325" xr:uid="{5B1EA7FE-A7D7-413C-9B79-ECBCEF632E55}"/>
    <cellStyle name="20% - 强调文字颜色 5 55 2" xfId="12230" xr:uid="{AA83EFF2-6C3E-487D-AB62-C2F2BA6D911F}"/>
    <cellStyle name="20% - 强调文字颜色 5 55 3" xfId="18129" xr:uid="{E3E91AF5-BAA2-4F17-B2CF-B01EE2C8892D}"/>
    <cellStyle name="20% - 强调文字颜色 5 56" xfId="3327" xr:uid="{09F5580E-35AC-4AF4-A5AC-4B33FF644F67}"/>
    <cellStyle name="20% - 强调文字颜色 5 56 2" xfId="12231" xr:uid="{48C6B75C-E0FC-446D-BD64-BC93E9324389}"/>
    <cellStyle name="20% - 强调文字颜色 5 56 3" xfId="18130" xr:uid="{27803713-784F-4170-A1B1-D4ED832B6FFB}"/>
    <cellStyle name="20% - 强调文字颜色 5 57" xfId="3329" xr:uid="{15C73303-5061-446D-B8CF-5A5FAEFCDFAA}"/>
    <cellStyle name="20% - 强调文字颜色 5 57 2" xfId="12232" xr:uid="{F2D9D34B-40FD-4077-A859-5CA0B1CCE589}"/>
    <cellStyle name="20% - 强调文字颜色 5 58" xfId="3331" xr:uid="{210D3714-8AC1-4FEE-9AE8-B2D7A71CD84F}"/>
    <cellStyle name="20% - 强调文字颜色 5 58 2" xfId="12233" xr:uid="{20A117DB-EC4E-419C-94C8-8AC45844CBD8}"/>
    <cellStyle name="20% - 强调文字颜色 5 59" xfId="3334" xr:uid="{63399CE0-35FC-499E-863C-E423E1E12EF3}"/>
    <cellStyle name="20% - 强调文字颜色 5 59 2" xfId="12234" xr:uid="{DAAB3BE4-FB72-4ABE-80E0-CC9875A433E6}"/>
    <cellStyle name="20% - 强调文字颜色 5 6" xfId="834" xr:uid="{3B7E58AB-FF9D-4919-93B7-51E1E714C7DE}"/>
    <cellStyle name="20% - 强调文字颜色 5 6 10" xfId="18131" xr:uid="{499A0F4E-A076-4F92-B3FD-C3470C1BBF90}"/>
    <cellStyle name="20% - 强调文字颜色 5 6 2" xfId="839" xr:uid="{A08EDFD8-481D-4B06-8D71-24E8CFD4253D}"/>
    <cellStyle name="20% - 强调文字颜色 5 6 2 2" xfId="9674" xr:uid="{B4BE90D9-BE67-49E4-8B2D-232879FE83C9}"/>
    <cellStyle name="20% - 强调文字颜色 5 6 2 2 2" xfId="18133" xr:uid="{A5FC2D25-C272-420B-9C48-61BA5F50BA33}"/>
    <cellStyle name="20% - 强调文字颜色 5 6 2 3" xfId="18132" xr:uid="{1213E441-CEEC-4E41-8623-CDAD70F4C07F}"/>
    <cellStyle name="20% - 强调文字颜色 5 6 3" xfId="3336" xr:uid="{37EB3E2F-48B9-484D-B303-080531A1D767}"/>
    <cellStyle name="20% - 强调文字颜色 5 6 3 2" xfId="3337" xr:uid="{6AE90A6B-853C-47A1-A4A2-594C59E80BA8}"/>
    <cellStyle name="20% - 强调文字颜色 5 6 3 3" xfId="9675" xr:uid="{A834BE7B-DF1F-47A7-8D0E-736D85C6096B}"/>
    <cellStyle name="20% - 强调文字颜色 5 6 3 4" xfId="18134" xr:uid="{653F4259-9239-4A43-A381-BF04C8985BB5}"/>
    <cellStyle name="20% - 强调文字颜色 5 6 4" xfId="2846" xr:uid="{495FDAED-331D-4F16-9B92-287D3C0E30A0}"/>
    <cellStyle name="20% - 强调文字颜色 5 6 4 2" xfId="3338" xr:uid="{99F923FC-57CA-413C-8B4D-B44B6FE2251F}"/>
    <cellStyle name="20% - 强调文字颜色 5 6 4 3" xfId="18135" xr:uid="{760F9AA5-67E5-4218-8F7B-9E4801B92FF8}"/>
    <cellStyle name="20% - 强调文字颜色 5 6 5" xfId="3339" xr:uid="{5ACBE51C-BF41-4FC2-9800-A65B16629182}"/>
    <cellStyle name="20% - 强调文字颜色 5 6 6" xfId="3341" xr:uid="{FA0E519E-F661-4F80-8365-40EE6329ACD9}"/>
    <cellStyle name="20% - 强调文字颜色 5 6 6 2" xfId="3343" xr:uid="{A52A643B-9A9D-4D1D-AE9F-0D830C0EDC18}"/>
    <cellStyle name="20% - 强调文字颜色 5 6 7" xfId="3346" xr:uid="{AD346540-93EC-4922-9AD3-21DBDB88220C}"/>
    <cellStyle name="20% - 强调文字颜色 5 6 7 2" xfId="3348" xr:uid="{72673FE0-9EEF-420A-85A1-E731412EAB5C}"/>
    <cellStyle name="20% - 强调文字颜色 5 6 8" xfId="9673" xr:uid="{1C827FBA-D7BC-4B63-ABF7-FD3822566BD5}"/>
    <cellStyle name="20% - 强调文字颜色 5 6 9" xfId="13344" xr:uid="{EC7F0929-C3DF-49CA-9CFE-C0AF023A1B5A}"/>
    <cellStyle name="20% - 强调文字颜色 5 60" xfId="3326" xr:uid="{4C5C8294-EB16-4956-AF3D-DD8424921230}"/>
    <cellStyle name="20% - 强调文字颜色 5 60 2" xfId="12235" xr:uid="{B6A44E03-D759-4921-ACB1-836C949648FB}"/>
    <cellStyle name="20% - 强调文字颜色 5 61" xfId="3328" xr:uid="{D315A3CC-E7FF-493E-A0DE-3B631F1FBA37}"/>
    <cellStyle name="20% - 强调文字颜色 5 61 2" xfId="12236" xr:uid="{6BEBAA93-762E-4BCB-8E12-B314C517F27B}"/>
    <cellStyle name="20% - 强调文字颜色 5 62" xfId="3330" xr:uid="{7E1897F2-D7D0-4C3F-BA5A-BA705A5A3A42}"/>
    <cellStyle name="20% - 强调文字颜色 5 62 2" xfId="12237" xr:uid="{B11D4584-B2B4-4477-9161-CCEA26385240}"/>
    <cellStyle name="20% - 强调文字颜色 5 63" xfId="3332" xr:uid="{9BA74461-D232-42CF-978E-577DD2D1DFC6}"/>
    <cellStyle name="20% - 强调文字颜色 5 63 2" xfId="12238" xr:uid="{D901B9C8-46AA-4948-B46F-C5148101841E}"/>
    <cellStyle name="20% - 强调文字颜色 5 64" xfId="3335" xr:uid="{14E4144E-3785-4739-8F77-B30B1C475B1E}"/>
    <cellStyle name="20% - 强调文字颜色 5 64 2" xfId="12239" xr:uid="{D49DBA20-DD3B-4EFF-915B-37B61EFB3E62}"/>
    <cellStyle name="20% - 强调文字颜色 5 65" xfId="3351" xr:uid="{A1369572-E578-444B-BC34-BC7DB8646441}"/>
    <cellStyle name="20% - 强调文字颜色 5 65 2" xfId="12240" xr:uid="{4BB36E5C-737D-43D1-95AB-32BFC287021A}"/>
    <cellStyle name="20% - 强调文字颜色 5 66" xfId="3353" xr:uid="{F8E76271-D809-47E1-B5EC-952FB3E93424}"/>
    <cellStyle name="20% - 强调文字颜色 5 66 2" xfId="12241" xr:uid="{5FB17EDC-4D91-4FCC-90BA-EF482A553E13}"/>
    <cellStyle name="20% - 强调文字颜色 5 67" xfId="3355" xr:uid="{CE7D5C35-390B-4837-9B8D-0E262A2B4A49}"/>
    <cellStyle name="20% - 强调文字颜色 5 67 2" xfId="12242" xr:uid="{AC604771-5FF1-4F7E-BDC9-8FD1FC2A6866}"/>
    <cellStyle name="20% - 强调文字颜色 5 68" xfId="3357" xr:uid="{2468A0CC-4C82-4292-98B4-6480D8E4FFC4}"/>
    <cellStyle name="20% - 强调文字颜色 5 68 2" xfId="12243" xr:uid="{C0562AB1-7167-457B-800C-056298060FFF}"/>
    <cellStyle name="20% - 强调文字颜色 5 69" xfId="3359" xr:uid="{135D900E-BDF8-4F8C-A981-AAC358790351}"/>
    <cellStyle name="20% - 强调文字颜色 5 69 2" xfId="12244" xr:uid="{582E4883-0446-4309-92B8-FAA47ECE1F23}"/>
    <cellStyle name="20% - 强调文字颜色 5 7" xfId="841" xr:uid="{7D30E782-E5DC-4B5E-950A-A0A4FE5578D8}"/>
    <cellStyle name="20% - 强调文字颜色 5 7 2" xfId="845" xr:uid="{B76B2E9E-4DCA-4090-A72B-D3BE4842D99C}"/>
    <cellStyle name="20% - 强调文字颜色 5 7 2 2" xfId="3362" xr:uid="{B20F6D42-3AE7-4F80-8E44-E3D27E51475B}"/>
    <cellStyle name="20% - 强调文字颜色 5 7 2 2 2" xfId="18138" xr:uid="{251379DF-F2FB-449E-9885-E952C2074EE0}"/>
    <cellStyle name="20% - 强调文字颜色 5 7 2 3" xfId="9677" xr:uid="{4A4B3A86-00D0-46DB-B862-9250800C1818}"/>
    <cellStyle name="20% - 强调文字颜色 5 7 2 4" xfId="18137" xr:uid="{49DB6923-2F86-47D1-A9B4-54A129186789}"/>
    <cellStyle name="20% - 强调文字颜色 5 7 3" xfId="3364" xr:uid="{397C9475-E04B-4694-8097-E8B884684609}"/>
    <cellStyle name="20% - 强调文字颜色 5 7 3 2" xfId="3365" xr:uid="{4B4BBD9C-2A2A-4477-BCD1-1C8A8BBB8C29}"/>
    <cellStyle name="20% - 强调文字颜色 5 7 3 3" xfId="9678" xr:uid="{757778C9-738B-4FA5-BBFD-54C4552F97E4}"/>
    <cellStyle name="20% - 强调文字颜色 5 7 3 4" xfId="18139" xr:uid="{E8714D5C-8634-458E-AD14-76800F91B110}"/>
    <cellStyle name="20% - 强调文字颜色 5 7 4" xfId="2849" xr:uid="{CF1B6009-AB26-4A50-AB6D-066CEDAAD69A}"/>
    <cellStyle name="20% - 强调文字颜色 5 7 4 2" xfId="18140" xr:uid="{AE103D4F-26A5-45EE-B813-30251709246F}"/>
    <cellStyle name="20% - 强调文字颜色 5 7 5" xfId="3366" xr:uid="{40C4EE77-E10D-471F-91C1-87D31379CADA}"/>
    <cellStyle name="20% - 强调文字颜色 5 7 5 2" xfId="3367" xr:uid="{704538D9-7E0E-4E8E-9909-06AA93E440EF}"/>
    <cellStyle name="20% - 强调文字颜色 5 7 6" xfId="3368" xr:uid="{692A4B11-18B6-493D-B62E-5CA09B0F99D7}"/>
    <cellStyle name="20% - 强调文字颜色 5 7 6 2" xfId="3369" xr:uid="{84CB0238-5328-4558-A695-CBD2696E1180}"/>
    <cellStyle name="20% - 强调文字颜色 5 7 7" xfId="9676" xr:uid="{F7C34FAC-5C11-45A7-87F2-95DF3841B57E}"/>
    <cellStyle name="20% - 强调文字颜色 5 7 8" xfId="13323" xr:uid="{9767FBBB-013A-4382-9F85-C6C7C30E4942}"/>
    <cellStyle name="20% - 强调文字颜色 5 7 9" xfId="18136" xr:uid="{7069F0C4-BFFB-416A-88B2-BC62E2C01E2C}"/>
    <cellStyle name="20% - 强调文字颜色 5 70" xfId="3352" xr:uid="{569BB91C-CF43-4477-B5D1-6A64BE6CBFAA}"/>
    <cellStyle name="20% - 强调文字颜色 5 70 2" xfId="12246" xr:uid="{BD562A6C-FFDC-4E0E-9F6E-6221885A33D6}"/>
    <cellStyle name="20% - 强调文字颜色 5 71" xfId="3354" xr:uid="{29294A76-CE37-4AA7-9A27-CE3AE8C1549D}"/>
    <cellStyle name="20% - 强调文字颜色 5 71 2" xfId="12247" xr:uid="{ADDD58A3-3214-4F3D-A7F0-012A1F9B1642}"/>
    <cellStyle name="20% - 强调文字颜色 5 72" xfId="3356" xr:uid="{2F413A4A-E287-46B3-903B-26FFD3A9792F}"/>
    <cellStyle name="20% - 强调文字颜色 5 72 2" xfId="12248" xr:uid="{3E5B0913-2CAA-4510-9EBD-767666A5E9B7}"/>
    <cellStyle name="20% - 强调文字颜色 5 73" xfId="3358" xr:uid="{4BB56794-086E-4A9B-83D3-BEE346F6936F}"/>
    <cellStyle name="20% - 强调文字颜色 5 73 2" xfId="12249" xr:uid="{A2F67152-E1D2-4CEF-BBDD-52CD235CD451}"/>
    <cellStyle name="20% - 强调文字颜色 5 74" xfId="3360" xr:uid="{B02BA655-59EF-49E9-9E10-0EF1C310CE93}"/>
    <cellStyle name="20% - 强调文字颜色 5 74 2" xfId="12250" xr:uid="{FC17FBBD-5C91-4390-9D07-0511EE14D8AB}"/>
    <cellStyle name="20% - 强调文字颜色 5 75" xfId="3372" xr:uid="{036600E6-A343-4E15-B8E9-8D0901B60689}"/>
    <cellStyle name="20% - 强调文字颜色 5 75 2" xfId="12251" xr:uid="{FE97248D-33E4-4FA7-9C0C-E30547E59015}"/>
    <cellStyle name="20% - 强调文字颜色 5 76" xfId="3375" xr:uid="{7290BB76-17A9-4936-B460-A6DD6F14DE16}"/>
    <cellStyle name="20% - 强调文字颜色 5 76 2" xfId="12252" xr:uid="{A5D122E9-483C-4A4E-A021-439EC8D7401E}"/>
    <cellStyle name="20% - 强调文字颜色 5 77" xfId="3378" xr:uid="{D8016EE5-52EF-44C9-80B8-9EFF1EF7866B}"/>
    <cellStyle name="20% - 强调文字颜色 5 77 2" xfId="12253" xr:uid="{F935EB58-BA7D-4E5A-9F1E-40ED4F402263}"/>
    <cellStyle name="20% - 强调文字颜色 5 78" xfId="3381" xr:uid="{178315B3-0095-42F4-B441-31D60A932AA5}"/>
    <cellStyle name="20% - 强调文字颜色 5 78 2" xfId="12254" xr:uid="{85B584D5-4456-47B3-9FC1-221C880060C1}"/>
    <cellStyle name="20% - 强调文字颜色 5 79" xfId="3384" xr:uid="{F4BA5551-E90C-441A-8C40-343EE779796C}"/>
    <cellStyle name="20% - 强调文字颜色 5 79 2" xfId="12255" xr:uid="{C8D1B593-DF5D-4A3D-A3F9-294385C58486}"/>
    <cellStyle name="20% - 强调文字颜色 5 8" xfId="847" xr:uid="{1AD4F991-15A3-4D15-A643-BD892E59DCCD}"/>
    <cellStyle name="20% - 强调文字颜色 5 8 2" xfId="851" xr:uid="{046EA2C7-5517-4507-990E-B31C7803675B}"/>
    <cellStyle name="20% - 强调文字颜色 5 8 2 2" xfId="2988" xr:uid="{7031A67D-5CB6-46AD-BF33-0FDCF704FA57}"/>
    <cellStyle name="20% - 强调文字颜色 5 8 2 2 2" xfId="18143" xr:uid="{0EF8A17D-3204-4226-9ECC-EDD3AC26C843}"/>
    <cellStyle name="20% - 强调文字颜色 5 8 2 3" xfId="9680" xr:uid="{99BA6973-577C-45B1-8068-235AFA48F86C}"/>
    <cellStyle name="20% - 强调文字颜色 5 8 2 4" xfId="18142" xr:uid="{7483BFE4-332E-4D4F-96C8-EBB0DB175E38}"/>
    <cellStyle name="20% - 强调文字颜色 5 8 3" xfId="3388" xr:uid="{9DC25B71-944A-4872-B96C-400F0E4EC037}"/>
    <cellStyle name="20% - 强调文字颜色 5 8 3 2" xfId="9681" xr:uid="{2F47AC6E-4FFF-46FD-9E8D-7756C215C18B}"/>
    <cellStyle name="20% - 强调文字颜色 5 8 3 3" xfId="18144" xr:uid="{C5E36012-113C-42D3-B395-70DD0C98C170}"/>
    <cellStyle name="20% - 强调文字颜色 5 8 4" xfId="2852" xr:uid="{4775523A-909B-427A-BB64-5317BB3C8CE9}"/>
    <cellStyle name="20% - 强调文字颜色 5 8 4 2" xfId="3390" xr:uid="{F8ACDEE3-385B-41F9-8EC1-4707BC60736A}"/>
    <cellStyle name="20% - 强调文字颜色 5 8 4 3" xfId="18145" xr:uid="{F7100F4E-F11A-4B27-A82F-4C51643DEBEF}"/>
    <cellStyle name="20% - 强调文字颜色 5 8 5" xfId="3391" xr:uid="{30E86250-822F-46EB-AB5D-C4C6F9CDDB4B}"/>
    <cellStyle name="20% - 强调文字颜色 5 8 5 2" xfId="3392" xr:uid="{FC8037D6-7552-4315-BD80-A5FEB3935DC2}"/>
    <cellStyle name="20% - 强调文字颜色 5 8 6" xfId="3393" xr:uid="{F104F2F6-0D9D-4C2E-99AD-114868F3447A}"/>
    <cellStyle name="20% - 强调文字颜色 5 8 7" xfId="9679" xr:uid="{E8FCF6D6-DF73-40B3-8293-E80F8912FB52}"/>
    <cellStyle name="20% - 强调文字颜色 5 8 8" xfId="13289" xr:uid="{2249A1CD-25E2-4E6F-9435-12C6277BD088}"/>
    <cellStyle name="20% - 强调文字颜色 5 8 9" xfId="18141" xr:uid="{46A14A49-8DD6-41B6-A357-5214A66B2F95}"/>
    <cellStyle name="20% - 强调文字颜色 5 80" xfId="3373" xr:uid="{F457BCE0-7EB2-4702-8C28-5CF4CF605EB2}"/>
    <cellStyle name="20% - 强调文字颜色 5 80 2" xfId="12257" xr:uid="{F89E0B70-DB59-478C-9F32-FC7F7F95ACE4}"/>
    <cellStyle name="20% - 强调文字颜色 5 81" xfId="3376" xr:uid="{190A7B35-461F-41AF-BF76-DFEA22F2FDD4}"/>
    <cellStyle name="20% - 强调文字颜色 5 81 2" xfId="12258" xr:uid="{7CC06227-E79E-4643-B3B2-69551F998FFC}"/>
    <cellStyle name="20% - 强调文字颜色 5 82" xfId="3379" xr:uid="{4F7D9304-7B64-446C-9CAD-B891C76709A0}"/>
    <cellStyle name="20% - 强调文字颜色 5 82 2" xfId="12259" xr:uid="{DBBA380A-4A12-457E-89F8-A67438D8B4ED}"/>
    <cellStyle name="20% - 强调文字颜色 5 83" xfId="3382" xr:uid="{C9C4D505-1726-425E-8E0A-0BCE4F907BE4}"/>
    <cellStyle name="20% - 强调文字颜色 5 83 2" xfId="12260" xr:uid="{F152A79F-2349-45E2-AA9D-5A2925266418}"/>
    <cellStyle name="20% - 强调文字颜色 5 84" xfId="3385" xr:uid="{4FCFB8E9-5714-4B85-B1E9-21639379885D}"/>
    <cellStyle name="20% - 强调文字颜色 5 84 2" xfId="12261" xr:uid="{81721DE7-E5F6-45A6-8E7B-1D96D4D0B06D}"/>
    <cellStyle name="20% - 强调文字颜色 5 85" xfId="3394" xr:uid="{DD76C1CD-6897-4FC4-8AD0-22C5AC6E86E9}"/>
    <cellStyle name="20% - 强调文字颜色 5 86" xfId="3398" xr:uid="{4B3FD79B-7F20-4098-888A-71AB8B0D90EA}"/>
    <cellStyle name="20% - 强调文字颜色 5 86 2" xfId="2589" xr:uid="{9663648A-2602-4D8F-A988-E1B0C94DFC3B}"/>
    <cellStyle name="20% - 强调文字颜色 5 87" xfId="3192" xr:uid="{6E1E5CA0-7191-4711-8DED-753770C7517F}"/>
    <cellStyle name="20% - 强调文字颜色 5 87 2" xfId="2595" xr:uid="{B21752AD-4415-41CE-9BAC-03332B24F965}"/>
    <cellStyle name="20% - 强调文字颜色 5 88" xfId="3403" xr:uid="{CAD8C714-7EFF-48DB-8502-58D738A92600}"/>
    <cellStyle name="20% - 强调文字颜色 5 88 2" xfId="2615" xr:uid="{D31731E7-F4DF-4ACD-9703-F7F70F3BEE9B}"/>
    <cellStyle name="20% - 强调文字颜色 5 89" xfId="3405" xr:uid="{00BBDF77-B68C-499B-8B08-0F9910D29B8C}"/>
    <cellStyle name="20% - 强调文字颜色 5 9" xfId="855" xr:uid="{01446511-7CF3-41F7-A7FD-9A1667159494}"/>
    <cellStyle name="20% - 强调文字颜色 5 9 2" xfId="859" xr:uid="{26B8E295-BA27-40AC-AAB9-4F7CF2936655}"/>
    <cellStyle name="20% - 强调文字颜色 5 9 2 2" xfId="3406" xr:uid="{8BE11A19-275A-4A11-B9F0-54FB3AEB57E2}"/>
    <cellStyle name="20% - 强调文字颜色 5 9 2 2 2" xfId="18148" xr:uid="{C75986F8-8936-4FD0-B173-A0F80C7F3D6C}"/>
    <cellStyle name="20% - 强调文字颜色 5 9 2 3" xfId="9683" xr:uid="{7D2D6E35-766C-4530-B633-15F672EFC29F}"/>
    <cellStyle name="20% - 强调文字颜色 5 9 2 4" xfId="18147" xr:uid="{57B5B336-BFE2-47D1-98CB-6C0874641901}"/>
    <cellStyle name="20% - 强调文字颜色 5 9 3" xfId="3409" xr:uid="{BB1F1DC8-438A-43A4-8612-96682DBEC565}"/>
    <cellStyle name="20% - 强调文字颜色 5 9 3 2" xfId="9684" xr:uid="{73D504DB-FD5B-40E2-86BD-0F8D97F4DBCC}"/>
    <cellStyle name="20% - 强调文字颜色 5 9 3 3" xfId="18149" xr:uid="{06F9B1C3-2B0B-4D22-BC9C-7407CF824A4F}"/>
    <cellStyle name="20% - 强调文字颜色 5 9 4" xfId="2855" xr:uid="{9214DAB8-4490-4951-A436-86D632791B74}"/>
    <cellStyle name="20% - 强调文字颜色 5 9 4 2" xfId="3411" xr:uid="{528AFD8E-9D50-4815-BA99-D6EB18610D6E}"/>
    <cellStyle name="20% - 强调文字颜色 5 9 4 3" xfId="18150" xr:uid="{CAC6DA13-4D06-4858-8C53-6D95C50FD944}"/>
    <cellStyle name="20% - 强调文字颜色 5 9 5" xfId="3413" xr:uid="{8BAE1FA6-42E9-4EDF-AF9C-CF60F9B7557F}"/>
    <cellStyle name="20% - 强调文字颜色 5 9 5 2" xfId="3414" xr:uid="{4D28D79B-A910-41B4-A957-3D2D76AA5604}"/>
    <cellStyle name="20% - 强调文字颜色 5 9 6" xfId="3415" xr:uid="{C88ADE6D-AA98-43F3-ABBD-FF6339A3D9D5}"/>
    <cellStyle name="20% - 强调文字颜色 5 9 7" xfId="9682" xr:uid="{C5792305-C630-4B42-BB76-1A7D7B7DDC8A}"/>
    <cellStyle name="20% - 强调文字颜色 5 9 8" xfId="13279" xr:uid="{75DCE633-F074-47D5-BF9E-DA31BF95D2F4}"/>
    <cellStyle name="20% - 强调文字颜色 5 9 9" xfId="18146" xr:uid="{76F727CC-AE0D-44BC-9C0F-7E02A840DEB1}"/>
    <cellStyle name="20% - 强调文字颜色 5 90" xfId="3395" xr:uid="{46332ABD-FB2E-4007-844F-D250194D3CA5}"/>
    <cellStyle name="20% - 强调文字颜色 5 91" xfId="3399" xr:uid="{82990497-708B-464F-A8C6-6E3323A6ED3D}"/>
    <cellStyle name="20% - 强调文字颜色 5 92" xfId="9353" xr:uid="{6C20498E-68AE-4AA3-869E-2C05EC74B626}"/>
    <cellStyle name="20% - 强调文字颜色 5 92 2" xfId="27148" xr:uid="{B918047F-3F9F-457F-BADB-584F4B2DC382}"/>
    <cellStyle name="20% - 强调文字颜色 5 93" xfId="9631" xr:uid="{577548AA-842F-4031-95AC-4578886E46D9}"/>
    <cellStyle name="20% - 强调文字颜色 5 94" xfId="13613" xr:uid="{39A962DC-F908-4594-A6FA-5840B4215A05}"/>
    <cellStyle name="20% - 强调文字颜色 5 95" xfId="13445" xr:uid="{79869FD3-E72C-405D-AE6B-ACC242074F85}"/>
    <cellStyle name="20% - 强调文字颜色 6" xfId="3416" xr:uid="{418DB16C-572F-4499-9B61-9AE3E370A19F}"/>
    <cellStyle name="20% - 强调文字颜色 6 10" xfId="3417" xr:uid="{80FDD1DC-0CEE-4F0E-803C-BB0AB76C6A09}"/>
    <cellStyle name="20% - 强调文字颜色 6 10 2" xfId="3418" xr:uid="{6703F61B-04FE-4D54-B30F-7C0025C8247D}"/>
    <cellStyle name="20% - 强调文字颜色 6 10 2 2" xfId="3419" xr:uid="{9007D863-B5BF-455C-99CE-1F2CF6FA134B}"/>
    <cellStyle name="20% - 强调文字颜色 6 10 2 2 2" xfId="18153" xr:uid="{A4241C01-6578-47AF-A3DC-2A53A0669071}"/>
    <cellStyle name="20% - 强调文字颜色 6 10 2 3" xfId="9687" xr:uid="{B8785147-1D2A-4150-83FA-C2AAEC01042A}"/>
    <cellStyle name="20% - 强调文字颜色 6 10 2 4" xfId="18152" xr:uid="{9EFD396F-FF30-4A5E-BBAA-ED50BDBCBCB0}"/>
    <cellStyle name="20% - 强调文字颜色 6 10 3" xfId="3420" xr:uid="{4D1582C1-43E0-4454-98F1-5BCA84AF15DA}"/>
    <cellStyle name="20% - 强调文字颜色 6 10 3 2" xfId="9688" xr:uid="{FADCCCBE-8D51-4601-A743-B3E68FB6E0EC}"/>
    <cellStyle name="20% - 强调文字颜色 6 10 3 3" xfId="18154" xr:uid="{896BB99A-A457-4239-9947-B4A4D8CD708D}"/>
    <cellStyle name="20% - 强调文字颜色 6 10 4" xfId="3422" xr:uid="{AF80FBE0-5606-411F-B117-E4C30418C896}"/>
    <cellStyle name="20% - 强调文字颜色 6 10 4 2" xfId="3423" xr:uid="{65A4BA94-6F8A-4743-B9B7-BEB290A1475E}"/>
    <cellStyle name="20% - 强调文字颜色 6 10 4 3" xfId="18155" xr:uid="{4016601E-D853-4290-A59D-FB0623289D83}"/>
    <cellStyle name="20% - 强调文字颜色 6 10 5" xfId="597" xr:uid="{9AB5F5F9-F8DA-4AA4-A2B4-1F9757BB0E5B}"/>
    <cellStyle name="20% - 强调文字颜色 6 10 5 2" xfId="3426" xr:uid="{D1742919-393A-4714-ABC6-798A7ADCAB22}"/>
    <cellStyle name="20% - 强调文字颜色 6 10 6" xfId="3427" xr:uid="{6BE0237B-DC0D-4EB7-A809-D603773E0C2C}"/>
    <cellStyle name="20% - 强调文字颜色 6 10 7" xfId="9686" xr:uid="{A852BA05-668F-49EC-8A0D-89BBE16646B4}"/>
    <cellStyle name="20% - 强调文字颜色 6 10 8" xfId="13269" xr:uid="{A8C82CCC-D206-4515-A2CD-0C5369C7D7FA}"/>
    <cellStyle name="20% - 强调文字颜色 6 10 9" xfId="18151" xr:uid="{E06EFCC5-26E8-4C33-8073-64B249B4C837}"/>
    <cellStyle name="20% - 强调文字颜色 6 11" xfId="3429" xr:uid="{A920946F-1800-47AF-80D5-A29C34BAD9FA}"/>
    <cellStyle name="20% - 强调文字颜色 6 11 2" xfId="3430" xr:uid="{FA2E66EF-8C6C-4F37-BF51-6B0F4C3D4234}"/>
    <cellStyle name="20% - 强调文字颜色 6 11 2 2" xfId="3431" xr:uid="{111F933E-A3F3-4B65-89EA-540F7D30AF97}"/>
    <cellStyle name="20% - 强调文字颜色 6 11 2 2 2" xfId="18158" xr:uid="{F12BF392-49B9-4F08-8A5F-F899B5CA56E5}"/>
    <cellStyle name="20% - 强调文字颜色 6 11 2 3" xfId="9690" xr:uid="{F101A912-0F0E-4E95-BF26-BD253D09761F}"/>
    <cellStyle name="20% - 强调文字颜色 6 11 2 4" xfId="18157" xr:uid="{94E8CF8B-7FF9-4F35-9C63-37B8D753AC5B}"/>
    <cellStyle name="20% - 强调文字颜色 6 11 3" xfId="3432" xr:uid="{35F5D0A8-415E-488F-B5AC-15EA46EC2441}"/>
    <cellStyle name="20% - 强调文字颜色 6 11 3 2" xfId="9691" xr:uid="{65C5B143-9D63-4FA4-8FC5-625D6B44A153}"/>
    <cellStyle name="20% - 强调文字颜色 6 11 3 3" xfId="18159" xr:uid="{54A88312-49C7-449F-BB9A-AEEBED15D32A}"/>
    <cellStyle name="20% - 强调文字颜色 6 11 4" xfId="3434" xr:uid="{8A18609C-45AA-4A4B-B3EA-15F4E8B293D4}"/>
    <cellStyle name="20% - 强调文字颜色 6 11 4 2" xfId="3435" xr:uid="{363F0355-817D-4FFF-8B02-2685A8E6DEE2}"/>
    <cellStyle name="20% - 强调文字颜色 6 11 4 3" xfId="18160" xr:uid="{806D82D4-4835-45E3-A968-016A3CCFD832}"/>
    <cellStyle name="20% - 强调文字颜色 6 11 5" xfId="3436" xr:uid="{657E3DAB-D358-4478-A6DA-E836A1B532A2}"/>
    <cellStyle name="20% - 强调文字颜色 6 11 5 2" xfId="3437" xr:uid="{8BBFFE4B-B975-401F-90AA-972CE9E93DDA}"/>
    <cellStyle name="20% - 强调文字颜色 6 11 6" xfId="3438" xr:uid="{DF061753-AB71-4A88-BB6F-C71075B8DA9B}"/>
    <cellStyle name="20% - 强调文字颜色 6 11 7" xfId="9689" xr:uid="{E595EDB9-E1BB-4065-A00E-6680A07002F9}"/>
    <cellStyle name="20% - 强调文字颜色 6 11 8" xfId="13256" xr:uid="{D3B7C052-3693-4681-B5E8-89BB35DA0AF7}"/>
    <cellStyle name="20% - 强调文字颜色 6 11 9" xfId="18156" xr:uid="{6BD907EF-7A75-474D-B527-99DBFBDA3641}"/>
    <cellStyle name="20% - 强调文字颜色 6 12" xfId="3440" xr:uid="{AD135550-37DC-44C5-A52F-0C40B15C9549}"/>
    <cellStyle name="20% - 强调文字颜色 6 12 2" xfId="3441" xr:uid="{D59426AC-7911-43F0-BA37-8030C8AFFC39}"/>
    <cellStyle name="20% - 强调文字颜色 6 12 2 2" xfId="181" xr:uid="{7707C9D9-2F43-406A-96E6-1CA4AB7B6F48}"/>
    <cellStyle name="20% - 强调文字颜色 6 12 2 2 2" xfId="18163" xr:uid="{DFA6F6B4-3890-4E51-9F9B-79D69B7C6A6F}"/>
    <cellStyle name="20% - 强调文字颜色 6 12 2 3" xfId="9693" xr:uid="{D96F176D-D8C0-40E8-9CF9-5C9FDECC9762}"/>
    <cellStyle name="20% - 强调文字颜色 6 12 2 4" xfId="18162" xr:uid="{8EC04E43-2BD5-421D-81C0-EA65019E5769}"/>
    <cellStyle name="20% - 强调文字颜色 6 12 3" xfId="3442" xr:uid="{14286B2B-2C9D-40AF-8341-8096D2FEBF46}"/>
    <cellStyle name="20% - 强调文字颜色 6 12 3 2" xfId="9694" xr:uid="{5B9F56BF-8E12-4415-83F6-BAA837D40EEF}"/>
    <cellStyle name="20% - 强调文字颜色 6 12 3 3" xfId="18164" xr:uid="{78C05058-C874-44CE-94B3-94EDCBEDD888}"/>
    <cellStyle name="20% - 强调文字颜色 6 12 4" xfId="3446" xr:uid="{2B93551A-FB73-4756-B43E-B45B293AC469}"/>
    <cellStyle name="20% - 强调文字颜色 6 12 4 2" xfId="419" xr:uid="{34915EB3-7FA5-405E-BB3C-6BFE0DC4A282}"/>
    <cellStyle name="20% - 强调文字颜色 6 12 4 3" xfId="18165" xr:uid="{D73A73C3-F1AA-4822-9593-F2DE39270618}"/>
    <cellStyle name="20% - 强调文字颜色 6 12 5" xfId="670" xr:uid="{728759CD-EC7B-4A34-93BC-E47EF261B364}"/>
    <cellStyle name="20% - 强调文字颜色 6 12 5 2" xfId="433" xr:uid="{354332F7-679C-44A9-BC5E-56A2A8189762}"/>
    <cellStyle name="20% - 强调文字颜色 6 12 6" xfId="3447" xr:uid="{1CBCB259-E577-4CCB-9784-F75B0C4B48AF}"/>
    <cellStyle name="20% - 强调文字颜色 6 12 7" xfId="9692" xr:uid="{27EE498A-17EC-464B-A596-4D893D9A25D3}"/>
    <cellStyle name="20% - 强调文字颜色 6 12 8" xfId="13243" xr:uid="{B865D6BA-846F-4B99-A23D-652B83621605}"/>
    <cellStyle name="20% - 强调文字颜色 6 12 9" xfId="18161" xr:uid="{67846A6A-4273-460F-A005-6C76F8B059F0}"/>
    <cellStyle name="20% - 强调文字颜色 6 13" xfId="2943" xr:uid="{E318345E-5A7F-4B78-B514-FCFC1F21758A}"/>
    <cellStyle name="20% - 强调文字颜色 6 13 2" xfId="3449" xr:uid="{C8AA995D-A1C5-442E-BE59-E1619CA90B48}"/>
    <cellStyle name="20% - 强调文字颜色 6 13 2 2" xfId="3450" xr:uid="{0A41E2B8-BC20-48D7-96FE-AAD52DE5D883}"/>
    <cellStyle name="20% - 强调文字颜色 6 13 2 2 2" xfId="18168" xr:uid="{0F28B4FD-D840-40EC-B749-E74CD0B9760D}"/>
    <cellStyle name="20% - 强调文字颜色 6 13 2 3" xfId="9696" xr:uid="{2F214E1A-CBAE-4B9C-BFC0-A1C3312EE249}"/>
    <cellStyle name="20% - 强调文字颜色 6 13 2 4" xfId="18167" xr:uid="{D6C6A98D-DB43-42E7-9678-4BB322EB1F58}"/>
    <cellStyle name="20% - 强调文字颜色 6 13 3" xfId="3451" xr:uid="{1C7174B7-70C5-4460-AB12-CD5D5BEB73D8}"/>
    <cellStyle name="20% - 强调文字颜色 6 13 3 2" xfId="9697" xr:uid="{13A969DF-60C4-4EFB-8666-276A3BBA7F12}"/>
    <cellStyle name="20% - 强调文字颜色 6 13 3 3" xfId="18169" xr:uid="{B292549E-0167-4163-B84F-82B5E635600B}"/>
    <cellStyle name="20% - 强调文字颜色 6 13 4" xfId="3453" xr:uid="{00825285-4538-4211-ACEF-0557BFDCF413}"/>
    <cellStyle name="20% - 强调文字颜色 6 13 4 2" xfId="3454" xr:uid="{DFBB8FAE-5B01-45C4-97F8-531148976335}"/>
    <cellStyle name="20% - 强调文字颜色 6 13 4 3" xfId="18170" xr:uid="{14546D74-0A75-4BCE-A7C0-1675DC9B14BB}"/>
    <cellStyle name="20% - 强调文字颜色 6 13 5" xfId="745" xr:uid="{B783448B-CE4E-4500-A287-1F66BBD81BD2}"/>
    <cellStyle name="20% - 强调文字颜色 6 13 5 2" xfId="3455" xr:uid="{ED6AA14F-0EB9-4F3A-8B6A-0E47524F3408}"/>
    <cellStyle name="20% - 强调文字颜色 6 13 6" xfId="3456" xr:uid="{FCDDBBDB-3E0D-4A45-A9D0-31A7AC3BF1CD}"/>
    <cellStyle name="20% - 强调文字颜色 6 13 7" xfId="9695" xr:uid="{13FBE2E6-D616-4FCA-B5A8-394848021691}"/>
    <cellStyle name="20% - 强调文字颜色 6 13 8" xfId="13230" xr:uid="{35382B4D-53FB-420B-8B48-34402E39F6B1}"/>
    <cellStyle name="20% - 强调文字颜色 6 13 9" xfId="18166" xr:uid="{9F5EB76C-CD85-441C-B217-2510EAF10701}"/>
    <cellStyle name="20% - 强调文字颜色 6 14" xfId="3458" xr:uid="{1C6E7325-FDDB-486A-905D-3FC6CB72B09F}"/>
    <cellStyle name="20% - 强调文字颜色 6 14 2" xfId="3460" xr:uid="{69287A20-D9C0-4471-9605-51A41D500BB1}"/>
    <cellStyle name="20% - 强调文字颜色 6 14 2 2" xfId="3461" xr:uid="{3DC87F58-8741-4981-A26C-8D6E1F23BF1B}"/>
    <cellStyle name="20% - 强调文字颜色 6 14 2 2 2" xfId="18173" xr:uid="{A962206D-941C-4040-8428-CB3B16A0E7EB}"/>
    <cellStyle name="20% - 强调文字颜色 6 14 2 3" xfId="9699" xr:uid="{863664D5-78B1-4C23-A8F2-75702373BE33}"/>
    <cellStyle name="20% - 强调文字颜色 6 14 2 4" xfId="18172" xr:uid="{9324C45E-2887-4C09-AC3F-782811D81FDF}"/>
    <cellStyle name="20% - 强调文字颜色 6 14 3" xfId="3463" xr:uid="{D2E886AE-6412-4A1E-AD61-6E5146E624DA}"/>
    <cellStyle name="20% - 强调文字颜色 6 14 3 2" xfId="9700" xr:uid="{A67BD98E-2032-4512-BA67-C909184BC852}"/>
    <cellStyle name="20% - 强调文字颜色 6 14 3 3" xfId="18174" xr:uid="{6FF06017-0792-4F32-848D-6890FCCC0DB4}"/>
    <cellStyle name="20% - 强调文字颜色 6 14 4" xfId="3466" xr:uid="{D6BFE9D3-6F4C-476F-AB5D-15B30BD53BA0}"/>
    <cellStyle name="20% - 强调文字颜色 6 14 4 2" xfId="3468" xr:uid="{9C354C0D-E38F-4806-B5B7-99FA81F51532}"/>
    <cellStyle name="20% - 强调文字颜色 6 14 4 3" xfId="18175" xr:uid="{0601CDBB-373E-4D49-8500-A195A800A1C5}"/>
    <cellStyle name="20% - 强调文字颜色 6 14 5" xfId="3470" xr:uid="{20014E13-817E-4498-A14B-6F115D960914}"/>
    <cellStyle name="20% - 强调文字颜色 6 14 5 2" xfId="3471" xr:uid="{6D838AA1-2C38-4E0F-8328-2A12453E5264}"/>
    <cellStyle name="20% - 强调文字颜色 6 14 6" xfId="3472" xr:uid="{E4D6B900-6545-4A20-B981-EFD10446B488}"/>
    <cellStyle name="20% - 强调文字颜色 6 14 7" xfId="9698" xr:uid="{EAC21F25-7C97-43AB-9236-072CAF2EA330}"/>
    <cellStyle name="20% - 强调文字颜色 6 14 8" xfId="13217" xr:uid="{4EE1E662-BF97-4897-B98C-C8607C8651C3}"/>
    <cellStyle name="20% - 强调文字颜色 6 14 9" xfId="18171" xr:uid="{A3B3C4E4-7009-474D-B07B-72D92227584C}"/>
    <cellStyle name="20% - 强调文字颜色 6 15" xfId="3473" xr:uid="{2BF86C31-D7F8-425B-B5B5-CA225632E2BB}"/>
    <cellStyle name="20% - 强调文字颜色 6 15 2" xfId="3476" xr:uid="{F0C0F5A0-70D4-4993-85E7-225CCD9C807F}"/>
    <cellStyle name="20% - 强调文字颜色 6 15 2 2" xfId="9702" xr:uid="{37F57769-6F50-4AD2-BB4E-24596AA52F18}"/>
    <cellStyle name="20% - 强调文字颜色 6 15 2 2 2" xfId="18178" xr:uid="{2B42F2E5-B29C-4B73-8AAD-365DB7CE4ABD}"/>
    <cellStyle name="20% - 强调文字颜色 6 15 2 3" xfId="18177" xr:uid="{EAAEA5B0-3D0B-44AB-9630-78CA11AB426F}"/>
    <cellStyle name="20% - 强调文字颜色 6 15 3" xfId="3479" xr:uid="{6D77EDD5-6A72-43EB-B30E-E67D24F8FAD3}"/>
    <cellStyle name="20% - 强调文字颜色 6 15 3 2" xfId="317" xr:uid="{9DEEE988-A156-49C7-A453-6C7513B5E001}"/>
    <cellStyle name="20% - 强调文字颜色 6 15 3 3" xfId="9703" xr:uid="{8B0B45A6-C341-45D9-BD4F-A5CCF7F19671}"/>
    <cellStyle name="20% - 强调文字颜色 6 15 3 4" xfId="18179" xr:uid="{4AB4D868-58B0-4C51-A5E3-CC1191143C93}"/>
    <cellStyle name="20% - 强调文字颜色 6 15 4" xfId="3482" xr:uid="{3B844892-7709-4665-8912-84BBF4A3BF3C}"/>
    <cellStyle name="20% - 强调文字颜色 6 15 4 2" xfId="551" xr:uid="{4ED72D42-85B9-4A5A-93BC-E305216E300A}"/>
    <cellStyle name="20% - 强调文字颜色 6 15 4 3" xfId="18180" xr:uid="{8F8FD354-C286-4A98-BD65-DE6D9B7B3BDD}"/>
    <cellStyle name="20% - 强调文字颜色 6 15 5" xfId="3484" xr:uid="{2BE47037-5F4B-4F91-8EBB-69C4DDB8249B}"/>
    <cellStyle name="20% - 强调文字颜色 6 15 6" xfId="9701" xr:uid="{4E02C75E-9E76-410E-9434-BAF6D9703AAF}"/>
    <cellStyle name="20% - 强调文字颜色 6 15 7" xfId="13204" xr:uid="{5D67D136-E234-4B6D-A9C1-85BC66DBC514}"/>
    <cellStyle name="20% - 强调文字颜色 6 15 8" xfId="18176" xr:uid="{064819A7-31D6-4775-848C-6E344DC96A51}"/>
    <cellStyle name="20% - 强调文字颜色 6 16" xfId="3485" xr:uid="{7DAE924E-B18D-486D-BC17-C7375BC642E0}"/>
    <cellStyle name="20% - 强调文字颜色 6 16 2" xfId="3489" xr:uid="{8AD5F89F-5E64-4CDA-90F5-27CDC1AA2E0B}"/>
    <cellStyle name="20% - 强调文字颜色 6 16 2 2" xfId="9705" xr:uid="{D8461017-9FA6-42CE-A1D3-5FC8E4BCDB4E}"/>
    <cellStyle name="20% - 强调文字颜色 6 16 2 2 2" xfId="18183" xr:uid="{0386F84F-EC25-427A-A159-CF44F661B539}"/>
    <cellStyle name="20% - 强调文字颜色 6 16 2 3" xfId="18182" xr:uid="{AC328D0E-10C8-40FE-A7F3-AC782D680C6F}"/>
    <cellStyle name="20% - 强调文字颜色 6 16 3" xfId="3492" xr:uid="{EA21AF70-70FA-4D9C-AFFD-BD8EA6D163D7}"/>
    <cellStyle name="20% - 强调文字颜色 6 16 3 2" xfId="1707" xr:uid="{2048A149-D1EE-4F55-8606-19983AAEE1BA}"/>
    <cellStyle name="20% - 强调文字颜色 6 16 3 3" xfId="9706" xr:uid="{CB0D9271-6624-4CFA-BD94-F71EE8778AE2}"/>
    <cellStyle name="20% - 强调文字颜色 6 16 3 4" xfId="18184" xr:uid="{AE1FF174-0C89-4C70-97C4-B62E1042F625}"/>
    <cellStyle name="20% - 强调文字颜色 6 16 4" xfId="3495" xr:uid="{D0698AAD-1CB0-41D0-AEFD-60514BD2F7B0}"/>
    <cellStyle name="20% - 强调文字颜色 6 16 4 2" xfId="1762" xr:uid="{04FAF4EA-B55A-4736-B72F-74F04D3F6CDA}"/>
    <cellStyle name="20% - 强调文字颜色 6 16 4 3" xfId="18185" xr:uid="{1DDA400D-BDAA-4E5C-8094-179AA37BCAE7}"/>
    <cellStyle name="20% - 强调文字颜色 6 16 5" xfId="3497" xr:uid="{E0459777-D46B-4B45-BDFB-54C22467DB22}"/>
    <cellStyle name="20% - 强调文字颜色 6 16 6" xfId="9704" xr:uid="{B84405DA-07D1-45F9-8B43-842F5FA7A5A6}"/>
    <cellStyle name="20% - 强调文字颜色 6 16 7" xfId="13183" xr:uid="{B51E07EE-B06A-41C0-8FB7-15538B2E9B3C}"/>
    <cellStyle name="20% - 强调文字颜色 6 16 8" xfId="18181" xr:uid="{A9B0F981-6AB0-40F0-A8E7-A343CD825F3F}"/>
    <cellStyle name="20% - 强调文字颜色 6 17" xfId="3498" xr:uid="{8F45D410-270B-4422-A31A-F2B8159755C3}"/>
    <cellStyle name="20% - 强调文字颜色 6 17 2" xfId="3500" xr:uid="{8B27C489-55A2-4BCA-B25E-0B4C92A7F71F}"/>
    <cellStyle name="20% - 强调文字颜色 6 17 2 2" xfId="2269" xr:uid="{11AB305A-F2D9-40FF-9557-77EF7EE6F3FD}"/>
    <cellStyle name="20% - 强调文字颜色 6 17 2 2 2" xfId="18188" xr:uid="{1D3C34C4-E8E4-4A80-A644-203845D09A48}"/>
    <cellStyle name="20% - 强调文字颜色 6 17 2 3" xfId="9708" xr:uid="{6EEE08E2-297A-4D6C-9407-D24E7E5A212D}"/>
    <cellStyle name="20% - 强调文字颜色 6 17 2 4" xfId="18187" xr:uid="{ACDA4620-8F50-4C95-86A6-74C95089DB2C}"/>
    <cellStyle name="20% - 强调文字颜色 6 17 3" xfId="3502" xr:uid="{4A816730-2A34-485B-B5BF-923A2C846322}"/>
    <cellStyle name="20% - 强调文字颜色 6 17 3 2" xfId="2334" xr:uid="{44630BDE-4739-4FA5-B38F-F00F7D164665}"/>
    <cellStyle name="20% - 强调文字颜色 6 17 3 3" xfId="9709" xr:uid="{1006AB0E-7B25-4923-AD82-8ABE50761D48}"/>
    <cellStyle name="20% - 强调文字颜色 6 17 3 4" xfId="18189" xr:uid="{AA82F31D-FCDE-4454-A44D-4A50CB7A237F}"/>
    <cellStyle name="20% - 强调文字颜色 6 17 4" xfId="9707" xr:uid="{DBCDCA44-9141-4ED4-898E-AF17326F5ADD}"/>
    <cellStyle name="20% - 强调文字颜色 6 17 4 2" xfId="18190" xr:uid="{A35ED8C1-DD36-4CEE-837B-8E62E75E540E}"/>
    <cellStyle name="20% - 强调文字颜色 6 17 5" xfId="13176" xr:uid="{833595D1-8EA5-4C27-A2E0-A4F8A83C7872}"/>
    <cellStyle name="20% - 强调文字颜色 6 17 6" xfId="18186" xr:uid="{571BE03D-A53D-4CFB-8CAE-66E0A10DE4B6}"/>
    <cellStyle name="20% - 强调文字颜色 6 18" xfId="3503" xr:uid="{12D8C79D-A784-4E7D-AA60-8C4C9CACBDAA}"/>
    <cellStyle name="20% - 强调文字颜色 6 18 2" xfId="3505" xr:uid="{2EC68AF0-EDBC-4420-8BF8-6CA0705B51F6}"/>
    <cellStyle name="20% - 强调文字颜色 6 18 2 2" xfId="2731" xr:uid="{18C45F70-2CAB-4AC8-9ADA-2556236D6205}"/>
    <cellStyle name="20% - 强调文字颜色 6 18 2 2 2" xfId="18193" xr:uid="{3D9AE0EC-9905-47BD-B691-A46B4A681A11}"/>
    <cellStyle name="20% - 强调文字颜色 6 18 2 3" xfId="18192" xr:uid="{A820F443-5C99-4CCD-8218-5300BAB916CB}"/>
    <cellStyle name="20% - 强调文字颜色 6 18 3" xfId="3507" xr:uid="{A4363364-E9F9-45C1-898A-C1021FC75F66}"/>
    <cellStyle name="20% - 强调文字颜色 6 18 3 2" xfId="2790" xr:uid="{D0B11CE3-58A7-442B-BF34-3A97D81719EA}"/>
    <cellStyle name="20% - 强调文字颜色 6 18 3 3" xfId="18194" xr:uid="{F55DD68D-7724-472F-A388-4E201D6FD1A6}"/>
    <cellStyle name="20% - 强调文字颜色 6 18 4" xfId="9710" xr:uid="{B4A6A9DC-4EEF-476E-A21B-10008EAA5492}"/>
    <cellStyle name="20% - 强调文字颜色 6 18 4 2" xfId="18195" xr:uid="{C4EEEDA6-A588-4EE1-B348-C8228A68BE0D}"/>
    <cellStyle name="20% - 强调文字颜色 6 18 5" xfId="13163" xr:uid="{BC688AAE-CE69-4FF1-A3A1-3FCC0311B106}"/>
    <cellStyle name="20% - 强调文字颜色 6 18 6" xfId="18191" xr:uid="{6CA734F7-BDCD-4E17-91E6-146991A5211D}"/>
    <cellStyle name="20% - 强调文字颜色 6 19" xfId="3508" xr:uid="{42F1EE7F-EA6D-4D7A-AA19-35279DBAFB93}"/>
    <cellStyle name="20% - 强调文字颜色 6 19 2" xfId="3510" xr:uid="{0BC8653D-22AE-4E0B-B9CF-1ED6B2655133}"/>
    <cellStyle name="20% - 强调文字颜色 6 19 2 2" xfId="3203" xr:uid="{0D463CFB-F219-4702-9AE1-5167559678FB}"/>
    <cellStyle name="20% - 强调文字颜色 6 19 2 2 2" xfId="18198" xr:uid="{ED9CA4F7-D7B4-4792-8F61-3567EDF0C78C}"/>
    <cellStyle name="20% - 强调文字颜色 6 19 2 3" xfId="18197" xr:uid="{CE01C76F-03FE-4223-B95C-A9927A704006}"/>
    <cellStyle name="20% - 强调文字颜色 6 19 3" xfId="9711" xr:uid="{CE6E8AE4-EBDC-46B7-9722-46675D82BE94}"/>
    <cellStyle name="20% - 强调文字颜色 6 19 3 2" xfId="18199" xr:uid="{13E87F02-F636-473A-88D9-950D979B00A3}"/>
    <cellStyle name="20% - 强调文字颜色 6 19 4" xfId="13144" xr:uid="{B6D702F7-06E8-4EA0-8269-BE36952D390A}"/>
    <cellStyle name="20% - 强调文字颜色 6 19 4 2" xfId="18200" xr:uid="{8CED949A-422B-4CE9-8F37-832BA9F7C890}"/>
    <cellStyle name="20% - 强调文字颜色 6 19 5" xfId="18196" xr:uid="{2E069B1B-911F-4BBF-8434-125C5A555CD7}"/>
    <cellStyle name="20% - 强调文字颜色 6 2" xfId="3511" xr:uid="{65B8F506-AB9A-412A-837F-A0CC1E665920}"/>
    <cellStyle name="20% - 强调文字颜色 6 2 10" xfId="3183" xr:uid="{C11C4C10-3DEC-4B59-81B6-A47231481296}"/>
    <cellStyle name="20% - 强调文字颜色 6 2 10 2" xfId="3189" xr:uid="{4A714EF0-C316-4FD6-BB1F-FE745AD56C8B}"/>
    <cellStyle name="20% - 强调文字颜色 6 2 11" xfId="3191" xr:uid="{6BA0DB18-D74A-418C-A34D-87B75803D6B9}"/>
    <cellStyle name="20% - 强调文字颜色 6 2 11 2" xfId="3194" xr:uid="{F59614A5-14FC-4457-B33B-59DF19F9CEB9}"/>
    <cellStyle name="20% - 强调文字颜色 6 2 12" xfId="3512" xr:uid="{AC3545AD-E677-4693-A299-01F3721D64D6}"/>
    <cellStyle name="20% - 强调文字颜色 6 2 12 2" xfId="1601" xr:uid="{2426CB1F-7F81-4B37-91EF-1CFB1D6FC463}"/>
    <cellStyle name="20% - 强调文字颜色 6 2 13" xfId="3513" xr:uid="{0829A8CF-490A-4767-AC3F-D150F4E4C1B3}"/>
    <cellStyle name="20% - 强调文字颜色 6 2 13 2" xfId="3514" xr:uid="{3CD751AC-BBC4-4DDA-A32A-F81BFB679550}"/>
    <cellStyle name="20% - 强调文字颜色 6 2 14" xfId="3515" xr:uid="{CF1F1A17-BE20-4C05-B5DB-F9F6E42D731E}"/>
    <cellStyle name="20% - 强调文字颜色 6 2 14 2" xfId="3516" xr:uid="{79F4BEBB-AA37-4A70-94DE-624CFA8926E8}"/>
    <cellStyle name="20% - 强调文字颜色 6 2 15" xfId="1374" xr:uid="{47FBB777-1DED-4782-B953-89CBD1EBFD28}"/>
    <cellStyle name="20% - 强调文字颜色 6 2 15 2" xfId="1378" xr:uid="{1D7CEA2C-1603-4078-93A3-60C6D2FC0E55}"/>
    <cellStyle name="20% - 强调文字颜色 6 2 16" xfId="1384" xr:uid="{5157990C-C799-4784-85BE-A35AC64913A1}"/>
    <cellStyle name="20% - 强调文字颜色 6 2 17" xfId="1388" xr:uid="{195AF74C-9C96-4F38-89B8-01FB35D84D74}"/>
    <cellStyle name="20% - 强调文字颜色 6 2 17 2" xfId="1391" xr:uid="{5CEDAD66-E056-4EBE-A818-FBC27FBC5F59}"/>
    <cellStyle name="20% - 强调文字颜色 6 2 18" xfId="1394" xr:uid="{E2B336CB-4208-4D16-97C4-433C56DAC69D}"/>
    <cellStyle name="20% - 强调文字颜色 6 2 18 2" xfId="1397" xr:uid="{71E968B5-90A1-4B07-BA80-FEAF17AB68C0}"/>
    <cellStyle name="20% - 强调文字颜色 6 2 19" xfId="1400" xr:uid="{B963BFE4-88E1-4FBC-AF72-205EB5A86B79}"/>
    <cellStyle name="20% - 强调文字颜色 6 2 2" xfId="3517" xr:uid="{78DBE2A7-954E-4732-9FB7-5FACE97F991F}"/>
    <cellStyle name="20% - 强调文字颜色 6 2 2 10" xfId="871" xr:uid="{D7170560-011D-46DE-A0EC-F7C327E825D2}"/>
    <cellStyle name="20% - 强调文字颜色 6 2 2 10 2" xfId="1126" xr:uid="{A6CD3058-13EC-4492-9A0E-E6F285A18D6E}"/>
    <cellStyle name="20% - 强调文字颜色 6 2 2 11" xfId="1201" xr:uid="{152DED32-BCC3-4BBF-A7BB-9972ACF84D44}"/>
    <cellStyle name="20% - 强调文字颜色 6 2 2 11 2" xfId="1203" xr:uid="{D86AD066-FD5B-45D9-9188-77855AA44DC3}"/>
    <cellStyle name="20% - 强调文字颜色 6 2 2 12" xfId="191" xr:uid="{AB753218-AC39-49CA-93AC-1CF5DB7495D6}"/>
    <cellStyle name="20% - 强调文字颜色 6 2 2 12 2" xfId="196" xr:uid="{4FCB4029-1C8D-435E-9777-D824945185D9}"/>
    <cellStyle name="20% - 强调文字颜色 6 2 2 13" xfId="212" xr:uid="{B817E08C-2BC3-483A-A1E5-A30D715C968C}"/>
    <cellStyle name="20% - 强调文字颜色 6 2 2 13 2" xfId="99" xr:uid="{0EE000DC-D937-4278-8128-D5A881D8338D}"/>
    <cellStyle name="20% - 强调文字颜色 6 2 2 14" xfId="1205" xr:uid="{94813532-CB65-412A-B9DD-560D8AC5662D}"/>
    <cellStyle name="20% - 强调文字颜色 6 2 2 14 2" xfId="3518" xr:uid="{0E10D2B8-4829-48FA-A8B0-E59E2A17BD0A}"/>
    <cellStyle name="20% - 强调文字颜色 6 2 2 15" xfId="54" xr:uid="{FCB1FE4D-B68E-4F30-B576-08FDFDDD593A}"/>
    <cellStyle name="20% - 强调文字颜色 6 2 2 15 2" xfId="80" xr:uid="{7A9856EB-7403-4CA4-B2C1-21DCD145B9EB}"/>
    <cellStyle name="20% - 强调文字颜色 6 2 2 16" xfId="9713" xr:uid="{CBBCB908-43B7-404A-989C-E4AC846CE757}"/>
    <cellStyle name="20% - 强调文字颜色 6 2 2 17" xfId="13348" xr:uid="{927EE780-CF75-460A-BC20-CDABE0F715D7}"/>
    <cellStyle name="20% - 强调文字颜色 6 2 2 18" xfId="18201" xr:uid="{5E125383-4096-4A81-BD00-DBBAA6125469}"/>
    <cellStyle name="20% - 强调文字颜色 6 2 2 19" xfId="27299" xr:uid="{4CDCAFF6-E98A-48C2-9B4C-296143FDB879}"/>
    <cellStyle name="20% - 强调文字颜色 6 2 2 2" xfId="557" xr:uid="{498E06AE-76CA-4B8B-B732-C2FE6B7DF3BD}"/>
    <cellStyle name="20% - 强调文字颜色 6 2 2 2 2" xfId="18202" xr:uid="{06F431A3-928D-43CA-8E81-3DBF6A0D2D81}"/>
    <cellStyle name="20% - 强调文字颜色 6 2 2 3" xfId="564" xr:uid="{9DEE7E52-52FF-4749-A743-43B64E2505DF}"/>
    <cellStyle name="20% - 强调文字颜色 6 2 2 4" xfId="571" xr:uid="{556F8008-D213-4AB2-A7D8-70217AADEF06}"/>
    <cellStyle name="20% - 强调文字颜色 6 2 2 4 2" xfId="1035" xr:uid="{6A237860-577D-457F-9DFE-FA3C09A74CA4}"/>
    <cellStyle name="20% - 强调文字颜色 6 2 2 5" xfId="449" xr:uid="{D3CFBA66-65A9-440D-8C8A-59BCC2713791}"/>
    <cellStyle name="20% - 强调文字颜色 6 2 2 5 2" xfId="1047" xr:uid="{68D1493B-22D2-4C5D-9345-66A5CED2E041}"/>
    <cellStyle name="20% - 强调文字颜色 6 2 2 6" xfId="456" xr:uid="{7CE0E128-B53A-4126-94F3-78EAF1D7C15F}"/>
    <cellStyle name="20% - 强调文字颜色 6 2 2 6 2" xfId="3521" xr:uid="{7335C5DD-4571-4D05-BF52-58C172C5C737}"/>
    <cellStyle name="20% - 强调文字颜色 6 2 2 7" xfId="469" xr:uid="{30748D19-719F-4E57-8AFB-79511BC6683C}"/>
    <cellStyle name="20% - 强调文字颜色 6 2 2 7 2" xfId="3522" xr:uid="{4F088977-1F76-4435-ABA7-2C5F5BDE785B}"/>
    <cellStyle name="20% - 强调文字颜色 6 2 2 8" xfId="479" xr:uid="{407C26F9-93B5-41AF-A881-E7E618A881D7}"/>
    <cellStyle name="20% - 强调文字颜色 6 2 2 8 2" xfId="3523" xr:uid="{9CDE7467-3BA9-4580-9179-ADF2728BAB2B}"/>
    <cellStyle name="20% - 强调文字颜色 6 2 2 9" xfId="487" xr:uid="{EAE75BBC-FD21-4C83-BC8F-37F937C2DC13}"/>
    <cellStyle name="20% - 强调文字颜色 6 2 2 9 2" xfId="3524" xr:uid="{262117B6-3FD7-451B-87A6-99CFC4A212A5}"/>
    <cellStyle name="20% - 强调文字颜色 6 2 20" xfId="1375" xr:uid="{9E053764-C3AC-4C14-9C5B-12FEF42CB85B}"/>
    <cellStyle name="20% - 强调文字颜色 6 2 20 2" xfId="1379" xr:uid="{77710596-EA3A-4AA3-B06A-7660A51283D6}"/>
    <cellStyle name="20% - 强调文字颜色 6 2 21" xfId="1385" xr:uid="{695D5C68-BD21-453D-A72A-E1905CB507FC}"/>
    <cellStyle name="20% - 强调文字颜色 6 2 21 2" xfId="3525" xr:uid="{9AFFEC38-DF77-43C6-95F3-456B324CDC7D}"/>
    <cellStyle name="20% - 强调文字颜色 6 2 22" xfId="9712" xr:uid="{F8D41A5F-5870-4960-B0E0-1E832F8DCE95}"/>
    <cellStyle name="20% - 强调文字颜色 6 2 23" xfId="13403" xr:uid="{16E86396-3EBA-4B30-84F7-658563D041BD}"/>
    <cellStyle name="20% - 强调文字颜色 6 2 24" xfId="12732" xr:uid="{C4044656-7047-4556-9169-7F3FB441CAA7}"/>
    <cellStyle name="20% - 强调文字颜色 6 2 3" xfId="3527" xr:uid="{6E59D252-F9E9-4021-95D9-482C30C427D4}"/>
    <cellStyle name="20% - 强调文字颜色 6 2 3 2" xfId="9714" xr:uid="{6C1F87C0-FDC0-42C0-8AA2-790CEC5741A7}"/>
    <cellStyle name="20% - 强调文字颜色 6 2 3 2 2" xfId="18204" xr:uid="{CDD84D01-E356-469F-94A3-27005E3FB02A}"/>
    <cellStyle name="20% - 强调文字颜色 6 2 3 3" xfId="13327" xr:uid="{249904B0-CF14-48EC-8F13-2B1FD1C2CD85}"/>
    <cellStyle name="20% - 强调文字颜色 6 2 3 4" xfId="18203" xr:uid="{E1FFF23C-1114-4A3F-BBEE-18A87DBEEC1C}"/>
    <cellStyle name="20% - 强调文字颜色 6 2 3 5" xfId="27300" xr:uid="{37E0331C-E1BB-45CD-8550-1827C45E1A53}"/>
    <cellStyle name="20% - 强调文字颜色 6 2 4" xfId="3528" xr:uid="{FA2E39CD-D6F6-4A8B-973B-7048A14FE989}"/>
    <cellStyle name="20% - 强调文字颜色 6 2 4 2" xfId="3530" xr:uid="{72131757-E8D7-416A-90DD-3F56C756E7E9}"/>
    <cellStyle name="20% - 强调文字颜色 6 2 4 3" xfId="13308" xr:uid="{EE37AF8B-B021-448E-ABA4-41357384D5E8}"/>
    <cellStyle name="20% - 强调文字颜色 6 2 4 4" xfId="18205" xr:uid="{6877ADC7-C591-41DE-A296-8511066E2A48}"/>
    <cellStyle name="20% - 强调文字颜色 6 2 4 5" xfId="27678" xr:uid="{1091DC31-3D04-4EB2-BCFA-31CF58697C67}"/>
    <cellStyle name="20% - 强调文字颜色 6 2 5" xfId="3531" xr:uid="{4357F8F3-DFFA-4444-A80B-906AD3DE5400}"/>
    <cellStyle name="20% - 强调文字颜色 6 2 5 2" xfId="3532" xr:uid="{4F79D968-E09A-4503-8018-162F0F5AC8EF}"/>
    <cellStyle name="20% - 强调文字颜色 6 2 5 3" xfId="18206" xr:uid="{D1065438-62B5-46C9-BA07-39E1A3BE921B}"/>
    <cellStyle name="20% - 强调文字颜色 6 2 6" xfId="3533" xr:uid="{56546CCF-E0D4-4D8B-A1CC-4E67FF84FC39}"/>
    <cellStyle name="20% - 强调文字颜色 6 2 6 2" xfId="3534" xr:uid="{153D5E80-6328-4D82-ACAA-FE9FAE182FB3}"/>
    <cellStyle name="20% - 强调文字颜色 6 2 6 3" xfId="18207" xr:uid="{3E66A3AB-5AF1-4473-8F99-454ABE22E606}"/>
    <cellStyle name="20% - 强调文字颜色 6 2 7" xfId="3535" xr:uid="{848A128A-E1AD-47AC-BD0C-405E0F8F7D5D}"/>
    <cellStyle name="20% - 强调文字颜色 6 2 7 2" xfId="1497" xr:uid="{FDE443F8-9BC3-4BE0-9719-B846035EE57E}"/>
    <cellStyle name="20% - 强调文字颜色 6 2 7 3" xfId="18208" xr:uid="{2311EFC1-AA90-4F7A-9693-F92108A072FC}"/>
    <cellStyle name="20% - 强调文字颜色 6 2 8" xfId="3536" xr:uid="{AF039E54-EF74-45FC-9AC2-2048465F307C}"/>
    <cellStyle name="20% - 强调文字颜色 6 2 8 2" xfId="1873" xr:uid="{7FCCA026-ADAA-4F93-B4B8-338780CFC443}"/>
    <cellStyle name="20% - 强调文字颜色 6 2 9" xfId="3537" xr:uid="{BEFAFBBD-146D-4743-8E61-775A25416D9F}"/>
    <cellStyle name="20% - 强调文字颜色 6 2 9 2" xfId="579" xr:uid="{20B42617-742D-45A6-AD0A-FFC0CD6B34A9}"/>
    <cellStyle name="20% - 强调文字颜色 6 2_动力部" xfId="18209" xr:uid="{F6E2BAE6-98B4-43B8-8958-BF528897364D}"/>
    <cellStyle name="20% - 强调文字颜色 6 20" xfId="3474" xr:uid="{0CFB1C1B-1CB7-4595-80E6-8E7B368747FE}"/>
    <cellStyle name="20% - 强调文字颜色 6 20 2" xfId="3477" xr:uid="{2B302BEC-9275-4A98-B532-71A24568A7DD}"/>
    <cellStyle name="20% - 强调文字颜色 6 20 2 2" xfId="60" xr:uid="{FD1C8BDE-C184-49B4-82C1-A832E93B5B25}"/>
    <cellStyle name="20% - 强调文字颜色 6 20 2 2 2" xfId="18212" xr:uid="{943DD0D1-BC51-40A8-8722-052822CF2F67}"/>
    <cellStyle name="20% - 强调文字颜色 6 20 2 3" xfId="18211" xr:uid="{B7D0E7D6-25CB-4055-83AF-9940BBEC1760}"/>
    <cellStyle name="20% - 强调文字颜色 6 20 3" xfId="9715" xr:uid="{EA118FFC-36B1-41AA-8026-7439B860E068}"/>
    <cellStyle name="20% - 强调文字颜色 6 20 3 2" xfId="18213" xr:uid="{3AF419A5-08AF-4A6B-9371-9DF03CE60E8D}"/>
    <cellStyle name="20% - 强调文字颜色 6 20 4" xfId="13137" xr:uid="{3BBA4C90-7736-4D85-8722-11C688118E59}"/>
    <cellStyle name="20% - 强调文字颜色 6 20 4 2" xfId="18214" xr:uid="{2D70E0DF-CE9E-428B-B2BD-D43544409C30}"/>
    <cellStyle name="20% - 强调文字颜色 6 20 5" xfId="18210" xr:uid="{0D9492D3-1A6A-4ADA-A1FB-A9394AD85C15}"/>
    <cellStyle name="20% - 强调文字颜色 6 21" xfId="3486" xr:uid="{FBD637DC-63B0-4DB5-B6FE-5FAC08956A60}"/>
    <cellStyle name="20% - 强调文字颜色 6 21 2" xfId="3490" xr:uid="{E60E138B-D57E-444C-939A-155EC483FC13}"/>
    <cellStyle name="20% - 强调文字颜色 6 21 2 2" xfId="1636" xr:uid="{E8C8E740-0C54-4361-819E-B19966128436}"/>
    <cellStyle name="20% - 强调文字颜色 6 21 2 2 2" xfId="18217" xr:uid="{3EEE6BA7-11F3-46A7-9ADE-0108F6D93C46}"/>
    <cellStyle name="20% - 强调文字颜色 6 21 2 3" xfId="18216" xr:uid="{605EE21E-FA91-404D-BA87-B93AF760C841}"/>
    <cellStyle name="20% - 强调文字颜色 6 21 3" xfId="9716" xr:uid="{A2CC1EA3-308F-4443-AC7F-BCD110F88DF9}"/>
    <cellStyle name="20% - 强调文字颜色 6 21 3 2" xfId="18218" xr:uid="{28303C31-D6FB-4C93-B1DA-A6BA4D94519F}"/>
    <cellStyle name="20% - 强调文字颜色 6 21 4" xfId="13123" xr:uid="{AD54E5F0-8000-40AA-AD60-96919BFBFB45}"/>
    <cellStyle name="20% - 强调文字颜色 6 21 4 2" xfId="18219" xr:uid="{A39DCA85-A292-474F-B980-FEAA0B7EEB18}"/>
    <cellStyle name="20% - 强调文字颜色 6 21 5" xfId="18215" xr:uid="{6F7C7476-29AE-43A4-AA7A-B3F3D2505573}"/>
    <cellStyle name="20% - 强调文字颜色 6 22" xfId="3499" xr:uid="{F9A2CA03-E199-492D-8061-03ABB603B30A}"/>
    <cellStyle name="20% - 强调文字颜色 6 22 2" xfId="3501" xr:uid="{E78053FF-245A-4293-91E6-7265098F59B9}"/>
    <cellStyle name="20% - 强调文字颜色 6 22 2 2" xfId="2270" xr:uid="{A9480354-B8F6-467A-94F6-05D711738ABF}"/>
    <cellStyle name="20% - 强调文字颜色 6 22 2 2 2" xfId="18222" xr:uid="{89094AFF-1408-489F-9552-167E4022CCB6}"/>
    <cellStyle name="20% - 强调文字颜色 6 22 2 3" xfId="18221" xr:uid="{C23F534F-67CE-4C75-AF63-55B17648BEBE}"/>
    <cellStyle name="20% - 强调文字颜色 6 22 3" xfId="9717" xr:uid="{C1375963-785D-487C-BCD6-FB2CA54FC88C}"/>
    <cellStyle name="20% - 强调文字颜色 6 22 3 2" xfId="18223" xr:uid="{EC5D6632-F72E-4BE6-B428-092F0D634A48}"/>
    <cellStyle name="20% - 强调文字颜色 6 22 4" xfId="13110" xr:uid="{77C8694F-9C94-4ED2-B4DE-6C441188F45E}"/>
    <cellStyle name="20% - 强调文字颜色 6 22 4 2" xfId="18224" xr:uid="{5D560211-E927-4A23-B984-0188864ED6B6}"/>
    <cellStyle name="20% - 强调文字颜色 6 22 5" xfId="18220" xr:uid="{757C61D1-F480-42EF-8A96-1E423BB8EEC9}"/>
    <cellStyle name="20% - 强调文字颜色 6 23" xfId="3504" xr:uid="{CACD512D-A16C-41C6-9600-46615FC2069B}"/>
    <cellStyle name="20% - 强调文字颜色 6 23 2" xfId="3506" xr:uid="{68B41E32-ECB1-4A67-BA29-A1C5A9BE2817}"/>
    <cellStyle name="20% - 强调文字颜色 6 23 2 2" xfId="2732" xr:uid="{ECAEDE51-A074-4788-A069-3A1516B8A066}"/>
    <cellStyle name="20% - 强调文字颜色 6 23 2 2 2" xfId="18227" xr:uid="{6FF1B925-5875-4CCF-A8A4-99881A8C8799}"/>
    <cellStyle name="20% - 强调文字颜色 6 23 2 3" xfId="18226" xr:uid="{4AEBCEAD-B895-4792-A43D-BD65DA3D1F2B}"/>
    <cellStyle name="20% - 强调文字颜色 6 23 3" xfId="13040" xr:uid="{9A9B8044-55C9-49C3-98E9-FD771554DF5D}"/>
    <cellStyle name="20% - 强调文字颜色 6 23 3 2" xfId="18228" xr:uid="{B0262036-5CFA-4E02-BD32-75A93C7C1AD6}"/>
    <cellStyle name="20% - 强调文字颜色 6 23 4" xfId="18229" xr:uid="{D75290F2-F619-4481-9646-C4EF0F4B6DB2}"/>
    <cellStyle name="20% - 强调文字颜色 6 23 5" xfId="18225" xr:uid="{FDDECED2-B7C1-416C-9E49-43AEB1DC25FA}"/>
    <cellStyle name="20% - 强调文字颜色 6 24" xfId="3509" xr:uid="{93999B1B-3B56-466C-8FA2-4047C5316E34}"/>
    <cellStyle name="20% - 强调文字颜色 6 24 2" xfId="13033" xr:uid="{A29F0E60-D094-4C8C-BA31-6B220478BB29}"/>
    <cellStyle name="20% - 强调文字颜色 6 24 2 2" xfId="18232" xr:uid="{9FF6133F-3F11-4AAF-99D4-84B126345391}"/>
    <cellStyle name="20% - 强调文字颜色 6 24 2 3" xfId="18231" xr:uid="{B48711B1-6865-48DA-ADAE-EC1467246E96}"/>
    <cellStyle name="20% - 强调文字颜色 6 24 3" xfId="18233" xr:uid="{14D6D4A3-6AE9-4D81-870A-4D9FFB8BC116}"/>
    <cellStyle name="20% - 强调文字颜色 6 24 4" xfId="18234" xr:uid="{2453333F-9A9A-4D99-B3F7-BC549D3139B4}"/>
    <cellStyle name="20% - 强调文字颜色 6 24 5" xfId="18230" xr:uid="{E52F4FB6-7936-4370-8639-15ADEDE9CBE0}"/>
    <cellStyle name="20% - 强调文字颜色 6 25" xfId="3538" xr:uid="{44FBE200-8852-4A58-94CB-32B94D91FF33}"/>
    <cellStyle name="20% - 强调文字颜色 6 25 2" xfId="13015" xr:uid="{BE680AE6-8A3F-401F-990F-73A9B2CDB341}"/>
    <cellStyle name="20% - 强调文字颜色 6 25 2 2" xfId="18237" xr:uid="{3ADEFED8-7891-45F7-BFEE-60111A541D3C}"/>
    <cellStyle name="20% - 强调文字颜色 6 25 2 3" xfId="18236" xr:uid="{A0D658E7-B4CC-42D5-8705-A2129E2478C9}"/>
    <cellStyle name="20% - 强调文字颜色 6 25 3" xfId="18238" xr:uid="{EAB510D9-9A07-419F-ADE9-40F90CADB7EF}"/>
    <cellStyle name="20% - 强调文字颜色 6 25 4" xfId="18239" xr:uid="{61B6DDEE-F865-493D-B1EE-CE80D5433E03}"/>
    <cellStyle name="20% - 强调文字颜色 6 25 5" xfId="18235" xr:uid="{B8B1DF5A-E927-4976-BA71-571C507595D2}"/>
    <cellStyle name="20% - 强调文字颜色 6 26" xfId="3541" xr:uid="{865E5539-024A-4024-A8D7-779C76550E7D}"/>
    <cellStyle name="20% - 强调文字颜色 6 26 2" xfId="18241" xr:uid="{1734B127-BDFD-4370-BB1C-F65731813C55}"/>
    <cellStyle name="20% - 强调文字颜色 6 26 2 2" xfId="18242" xr:uid="{2E2775A7-EB0A-4E77-99EA-BD687F1CDD7D}"/>
    <cellStyle name="20% - 强调文字颜色 6 26 3" xfId="18243" xr:uid="{92527AD9-E5CF-44B9-8E3B-B69FCBF3C0C6}"/>
    <cellStyle name="20% - 强调文字颜色 6 26 4" xfId="18244" xr:uid="{40A6EC19-5CB8-4E69-91B4-9CCA8F5321ED}"/>
    <cellStyle name="20% - 强调文字颜色 6 26 5" xfId="18240" xr:uid="{84246528-B07F-4F68-BC38-2C1AB292641A}"/>
    <cellStyle name="20% - 强调文字颜色 6 27" xfId="3545" xr:uid="{43D02534-9349-46A6-8E16-0782C630DD98}"/>
    <cellStyle name="20% - 强调文字颜色 6 27 2" xfId="18246" xr:uid="{5FCAF553-FA73-4B0E-A7C0-3A6405B6CFB6}"/>
    <cellStyle name="20% - 强调文字颜色 6 27 2 2" xfId="18247" xr:uid="{7AD9875E-EDDB-476B-928A-9B8548DD3004}"/>
    <cellStyle name="20% - 强调文字颜色 6 27 3" xfId="18248" xr:uid="{285EC23A-2672-4C2A-B395-5B2EACAC52FE}"/>
    <cellStyle name="20% - 强调文字颜色 6 27 4" xfId="18249" xr:uid="{F621B6B4-7B33-4CA4-8A32-FA99CA1AB2DF}"/>
    <cellStyle name="20% - 强调文字颜色 6 27 5" xfId="18245" xr:uid="{BDE708A6-5887-46DC-8115-F40BF0F2F4FD}"/>
    <cellStyle name="20% - 强调文字颜色 6 28" xfId="3549" xr:uid="{139C3131-1D14-48CC-9CD0-70A4FD2FDBD7}"/>
    <cellStyle name="20% - 强调文字颜色 6 28 2" xfId="18251" xr:uid="{B8B3A119-FB3C-4C76-AEAE-289C87C37DEF}"/>
    <cellStyle name="20% - 强调文字颜色 6 28 3" xfId="18252" xr:uid="{8BFFE033-A4F6-4E36-8BE4-BCEF33A27E88}"/>
    <cellStyle name="20% - 强调文字颜色 6 28 4" xfId="18253" xr:uid="{63857496-3BCA-4707-B1D6-8E34E42E8B71}"/>
    <cellStyle name="20% - 强调文字颜色 6 28 5" xfId="18250" xr:uid="{6531ACBF-53BD-41C5-B8E7-635482EAD7EF}"/>
    <cellStyle name="20% - 强调文字颜色 6 29" xfId="3553" xr:uid="{359A6A31-6EE3-44D7-B9F0-05EAA01BE16F}"/>
    <cellStyle name="20% - 强调文字颜色 6 29 2" xfId="18255" xr:uid="{3CDD1D19-F704-4670-8675-AA79F5FA6C53}"/>
    <cellStyle name="20% - 强调文字颜色 6 29 3" xfId="18256" xr:uid="{CFC0DFE7-80BC-46D3-8EBE-16B6004828E0}"/>
    <cellStyle name="20% - 强调文字颜色 6 29 4" xfId="18257" xr:uid="{60AD2A2B-8637-4820-994D-45C83DBF731D}"/>
    <cellStyle name="20% - 强调文字颜色 6 29 5" xfId="18254" xr:uid="{88A3D312-7715-44E6-B8A7-1EEA92B4DA60}"/>
    <cellStyle name="20% - 强调文字颜色 6 3" xfId="868" xr:uid="{911D3B6F-4269-46B9-99C0-5AFFD64AEAC7}"/>
    <cellStyle name="20% - 强调文字颜色 6 3 10" xfId="1823" xr:uid="{20C49ECE-9C9F-421E-B216-EC5E2438DC4A}"/>
    <cellStyle name="20% - 强调文字颜色 6 3 10 2" xfId="3555" xr:uid="{736041E4-4B17-49C8-B2BE-A249F61D7AC7}"/>
    <cellStyle name="20% - 强调文字颜色 6 3 11" xfId="637" xr:uid="{A56835C5-B626-4DD6-828C-04C65F9FFFA4}"/>
    <cellStyle name="20% - 强调文字颜色 6 3 11 2" xfId="1682" xr:uid="{5BA5707E-CD69-47BF-864C-994EA82B39E3}"/>
    <cellStyle name="20% - 强调文字颜色 6 3 12" xfId="1689" xr:uid="{2D878E38-E63C-4E99-A2A5-D93D82A17089}"/>
    <cellStyle name="20% - 强调文字颜色 6 3 13" xfId="1700" xr:uid="{8017256A-11D2-4B23-814E-6B1D5F58B2DC}"/>
    <cellStyle name="20% - 强调文字颜色 6 3 13 2" xfId="1703" xr:uid="{B11F4AE6-7FA0-48F7-8955-2DDF7BE74D56}"/>
    <cellStyle name="20% - 强调文字颜色 6 3 14" xfId="1708" xr:uid="{6BF711FF-4AE3-4551-B11F-2AF9393BE1D8}"/>
    <cellStyle name="20% - 强调文字颜色 6 3 14 2" xfId="1710" xr:uid="{1988DE79-F227-42DD-A330-8B302F74E7DF}"/>
    <cellStyle name="20% - 强调文字颜色 6 3 15" xfId="1503" xr:uid="{4F45CD77-F415-4E7A-8DC4-A1B5ECA8F371}"/>
    <cellStyle name="20% - 强调文字颜色 6 3 16" xfId="9718" xr:uid="{FE9DF4A0-98B5-4794-8EB4-D1D036B8EEA5}"/>
    <cellStyle name="20% - 强调文字颜色 6 3 17" xfId="13394" xr:uid="{D76B37D8-079F-4F48-A99E-F024EBF8894C}"/>
    <cellStyle name="20% - 强调文字颜色 6 3 18" xfId="18258" xr:uid="{8E840E55-CE2C-4E81-9EFC-57FC993323CD}"/>
    <cellStyle name="20% - 强调文字颜色 6 3 2" xfId="873" xr:uid="{96185242-8078-46A5-8725-418D1FDA983A}"/>
    <cellStyle name="20% - 强调文字颜色 6 3 2 2" xfId="3487" xr:uid="{EB316220-726E-4A06-88F4-E18BBDA22ACB}"/>
    <cellStyle name="20% - 强调文字颜色 6 3 2 3" xfId="9719" xr:uid="{4AE70E86-0EDA-4387-8733-4276955C3AB3}"/>
    <cellStyle name="20% - 强调文字颜色 6 3 2 4" xfId="18259" xr:uid="{C25934EF-2B4D-4C56-95CC-D0E777531E7C}"/>
    <cellStyle name="20% - 强调文字颜色 6 3 2 5" xfId="27301" xr:uid="{7239658A-4D3E-45B8-80F6-8DAF3CC76353}"/>
    <cellStyle name="20% - 强调文字颜色 6 3 3" xfId="3558" xr:uid="{91F4C089-6B7B-4F77-8728-313C739CEF03}"/>
    <cellStyle name="20% - 强调文字颜色 6 3 3 2" xfId="3559" xr:uid="{EABE7AB1-A5DF-4375-8279-C5BB0D353B54}"/>
    <cellStyle name="20% - 强调文字颜色 6 3 3 2 2" xfId="18261" xr:uid="{4CAF62FA-A6D6-43F1-A07D-57AE87C3D924}"/>
    <cellStyle name="20% - 强调文字颜色 6 3 3 3" xfId="9720" xr:uid="{7AD5267B-00B7-4A9F-8BF1-1661F108A978}"/>
    <cellStyle name="20% - 强调文字颜色 6 3 3 4" xfId="18260" xr:uid="{8E02730F-7992-43EA-A38F-056163A6DAEC}"/>
    <cellStyle name="20% - 强调文字颜色 6 3 3 5" xfId="27302" xr:uid="{092B0CA0-0776-4050-B28D-62F6F46340AF}"/>
    <cellStyle name="20% - 强调文字颜色 6 3 4" xfId="2879" xr:uid="{2974FB77-B78F-4C43-B395-133B29B6523B}"/>
    <cellStyle name="20% - 强调文字颜色 6 3 4 2" xfId="3562" xr:uid="{988D204A-7162-45A9-9428-A4D56CBC059C}"/>
    <cellStyle name="20% - 强调文字颜色 6 3 4 3" xfId="18262" xr:uid="{5CADEC0F-C5D8-47BD-8C14-A47BC5D420B1}"/>
    <cellStyle name="20% - 强调文字颜色 6 3 4 4" xfId="27679" xr:uid="{CA456A62-573A-4F6B-8DF2-F4F856786CE6}"/>
    <cellStyle name="20% - 强调文字颜色 6 3 5" xfId="3563" xr:uid="{42663827-3172-4255-A5D6-6B639A43A8A7}"/>
    <cellStyle name="20% - 强调文字颜色 6 3 5 2" xfId="3564" xr:uid="{C86B1FF0-7B26-4FFD-B41A-18F7F908423A}"/>
    <cellStyle name="20% - 强调文字颜色 6 3 5 3" xfId="18263" xr:uid="{AFEC6131-34B6-4725-B2A2-1618820DD809}"/>
    <cellStyle name="20% - 强调文字颜色 6 3 6" xfId="3565" xr:uid="{33D0821C-F136-415B-9D2B-D0035604C4B7}"/>
    <cellStyle name="20% - 强调文字颜色 6 3 6 2" xfId="3566" xr:uid="{CBD28013-9552-49C1-861E-E9ED581A092A}"/>
    <cellStyle name="20% - 强调文字颜色 6 3 7" xfId="3567" xr:uid="{316DCA11-20AB-4BCB-B99E-0C0C1C081057}"/>
    <cellStyle name="20% - 强调文字颜色 6 3 7 2" xfId="3568" xr:uid="{440ACDA6-DFB4-4778-B624-262D76AE1866}"/>
    <cellStyle name="20% - 强调文字颜色 6 3 8" xfId="3569" xr:uid="{6A31FF89-28F1-4E7C-BF48-E7D19003EFF0}"/>
    <cellStyle name="20% - 强调文字颜色 6 3 8 2" xfId="3570" xr:uid="{2E6191AA-9333-4FDE-A887-378803ED5578}"/>
    <cellStyle name="20% - 强调文字颜色 6 3 9" xfId="3571" xr:uid="{7297846E-D8E7-437A-8A4E-02E5EFB33A08}"/>
    <cellStyle name="20% - 强调文字颜色 6 30" xfId="3539" xr:uid="{1AF5CDF2-1782-4FDB-AA77-4E6083566778}"/>
    <cellStyle name="20% - 强调文字颜色 6 30 2" xfId="18265" xr:uid="{836C2016-CCF1-47E9-A5A6-283449CF23C2}"/>
    <cellStyle name="20% - 强调文字颜色 6 30 3" xfId="18266" xr:uid="{F6B1D017-2C37-4A80-BC47-BE927E7BCD8B}"/>
    <cellStyle name="20% - 强调文字颜色 6 30 4" xfId="18267" xr:uid="{D6CA46A1-8AD8-442E-8461-56EF9622E432}"/>
    <cellStyle name="20% - 强调文字颜色 6 30 5" xfId="18264" xr:uid="{349ED158-5F8C-4C90-83BB-E8A91F12CAD9}"/>
    <cellStyle name="20% - 强调文字颜色 6 31" xfId="3542" xr:uid="{1C60F869-21E3-4B01-8254-7F24CE6D6C7B}"/>
    <cellStyle name="20% - 强调文字颜色 6 31 2" xfId="18269" xr:uid="{00389511-38D0-476B-911B-69781B22A97F}"/>
    <cellStyle name="20% - 强调文字颜色 6 31 3" xfId="18270" xr:uid="{1C56D7FB-C373-4B78-AA57-7C97029560D2}"/>
    <cellStyle name="20% - 强调文字颜色 6 31 4" xfId="18271" xr:uid="{9939C1A3-33B6-461B-8ECB-B0F38D5F4F59}"/>
    <cellStyle name="20% - 强调文字颜色 6 31 5" xfId="18268" xr:uid="{C3F9427C-1311-4FA6-8E6F-4A5D2CAD39D2}"/>
    <cellStyle name="20% - 强调文字颜色 6 32" xfId="3546" xr:uid="{C6E90283-FE2E-4E81-A451-EBCDC9E043D6}"/>
    <cellStyle name="20% - 强调文字颜色 6 32 2" xfId="18273" xr:uid="{4DED9B9B-93FF-47FD-A8AC-62C9638B8E82}"/>
    <cellStyle name="20% - 强调文字颜色 6 32 3" xfId="18274" xr:uid="{E8AAC7AF-68C8-43ED-AC11-87729698C2CD}"/>
    <cellStyle name="20% - 强调文字颜色 6 32 4" xfId="18275" xr:uid="{E9247F66-9026-4148-B8D6-9CE6FCB334FA}"/>
    <cellStyle name="20% - 强调文字颜色 6 32 5" xfId="18272" xr:uid="{73E28520-B05B-4101-ADCF-2C183C1CEC9B}"/>
    <cellStyle name="20% - 强调文字颜色 6 33" xfId="3550" xr:uid="{5C7AFC65-3F89-4DB6-9379-C35F5ED7E3D9}"/>
    <cellStyle name="20% - 强调文字颜色 6 33 2" xfId="18277" xr:uid="{F64B5271-EA78-4F78-AAB6-E726B05800C0}"/>
    <cellStyle name="20% - 强调文字颜色 6 33 3" xfId="18278" xr:uid="{A803952B-9CCC-40DB-971C-134783D1426C}"/>
    <cellStyle name="20% - 强调文字颜色 6 33 4" xfId="18279" xr:uid="{2F623F1E-7A54-4A28-AF6E-B9B86E4490B1}"/>
    <cellStyle name="20% - 强调文字颜色 6 33 5" xfId="18276" xr:uid="{C4DA5CD7-1C27-44E7-8F2D-983B85A15413}"/>
    <cellStyle name="20% - 强调文字颜色 6 34" xfId="3554" xr:uid="{A9C4F841-203F-4E26-9BBB-F04D78176A27}"/>
    <cellStyle name="20% - 强调文字颜色 6 34 2" xfId="12279" xr:uid="{DB62A436-7D04-4D2E-92A1-713760073A0C}"/>
    <cellStyle name="20% - 强调文字颜色 6 34 2 2" xfId="18281" xr:uid="{D92512E7-0C2D-4F12-92BD-1EA8DDA7DA52}"/>
    <cellStyle name="20% - 强调文字颜色 6 34 3" xfId="18282" xr:uid="{DF8FD154-F22F-4739-8229-20EA2A76B7FA}"/>
    <cellStyle name="20% - 强调文字颜色 6 34 4" xfId="18283" xr:uid="{C880059E-0B4B-40AF-840B-9807218671C2}"/>
    <cellStyle name="20% - 强调文字颜色 6 34 5" xfId="18280" xr:uid="{838C9AAB-C781-4560-B01C-21FE42990BF8}"/>
    <cellStyle name="20% - 强调文字颜色 6 35" xfId="3574" xr:uid="{7CC3E4E2-ACBD-44B2-8F07-8637D14DBF10}"/>
    <cellStyle name="20% - 强调文字颜色 6 35 2" xfId="12280" xr:uid="{FD02E754-7552-4685-BB07-D1B835F0E482}"/>
    <cellStyle name="20% - 强调文字颜色 6 35 2 2" xfId="18285" xr:uid="{0D90ABB2-E3E8-4C0A-B1B7-77ED48EA5B3D}"/>
    <cellStyle name="20% - 强调文字颜色 6 35 3" xfId="18286" xr:uid="{5C73FF64-4C8B-45B5-BDBF-1307A22677E9}"/>
    <cellStyle name="20% - 强调文字颜色 6 35 4" xfId="18284" xr:uid="{311EC377-8A37-409C-A8E3-ED075BF29DD2}"/>
    <cellStyle name="20% - 强调文字颜色 6 36" xfId="3577" xr:uid="{0CBA04D4-5916-4D6A-836A-B9FB9FCEAD5A}"/>
    <cellStyle name="20% - 强调文字颜色 6 36 2" xfId="12281" xr:uid="{C794B3CF-73FD-46F9-901D-1EA03C5DAFA0}"/>
    <cellStyle name="20% - 强调文字颜色 6 36 2 2" xfId="18288" xr:uid="{28A84DD3-32C5-4A51-B51D-FCB421D99E60}"/>
    <cellStyle name="20% - 强调文字颜色 6 36 3" xfId="18289" xr:uid="{54D92371-6164-4C36-BA95-04B0AC26D6B1}"/>
    <cellStyle name="20% - 强调文字颜色 6 36 4" xfId="18287" xr:uid="{C708D5CC-CC3A-4AD2-A75F-08461B31AC06}"/>
    <cellStyle name="20% - 强调文字颜色 6 37" xfId="1380" xr:uid="{A675C3AB-D6E4-48D1-8018-36E9C81500C8}"/>
    <cellStyle name="20% - 强调文字颜色 6 37 2" xfId="12282" xr:uid="{537EAF7A-230B-4885-B9A0-0A608881D6CE}"/>
    <cellStyle name="20% - 强调文字颜色 6 37 2 2" xfId="18291" xr:uid="{4BFFBC37-8B0D-4AC8-A4CC-DE2FA00E16B7}"/>
    <cellStyle name="20% - 强调文字颜色 6 37 3" xfId="18292" xr:uid="{C9504A6A-1CF1-49C0-A61A-71268F9BB594}"/>
    <cellStyle name="20% - 强调文字颜色 6 37 4" xfId="18290" xr:uid="{B087FEE0-3BF4-405B-AAA7-C03E283680ED}"/>
    <cellStyle name="20% - 强调文字颜色 6 38" xfId="3580" xr:uid="{1DCB53A5-0D37-457A-8AC9-4259E462FA60}"/>
    <cellStyle name="20% - 强调文字颜色 6 38 10" xfId="18294" xr:uid="{B527FE9E-5823-46D8-935E-4938CDE210E8}"/>
    <cellStyle name="20% - 强调文字颜色 6 38 11" xfId="18295" xr:uid="{78F3200F-6D88-474B-A613-1DCC68C0F36F}"/>
    <cellStyle name="20% - 强调文字颜色 6 38 12" xfId="18296" xr:uid="{D9C25AE6-C74F-43AA-9CEE-41270AA7C998}"/>
    <cellStyle name="20% - 强调文字颜色 6 38 13" xfId="18297" xr:uid="{7214345C-7632-4214-BE3E-21A8FFCEC1EA}"/>
    <cellStyle name="20% - 强调文字颜色 6 38 14" xfId="18298" xr:uid="{CA948088-1BA5-4F4C-9F8D-9CA756AFB82A}"/>
    <cellStyle name="20% - 强调文字颜色 6 38 15" xfId="18293" xr:uid="{5689DBDF-BE4A-4EDC-A04B-E5A5F9CE620D}"/>
    <cellStyle name="20% - 强调文字颜色 6 38 2" xfId="12283" xr:uid="{88CA20C0-67AF-4BF2-A860-07DE8C085E72}"/>
    <cellStyle name="20% - 强调文字颜色 6 38 2 2" xfId="18299" xr:uid="{0E06200C-25BA-4D9E-BB96-E0902C3F7DD8}"/>
    <cellStyle name="20% - 强调文字颜色 6 38 3" xfId="18300" xr:uid="{9E634CA5-CB00-4BCD-ACCD-D0D9491AC43D}"/>
    <cellStyle name="20% - 强调文字颜色 6 38 4" xfId="18301" xr:uid="{E6E55C25-16CC-4D2A-BA22-67DE50C6986E}"/>
    <cellStyle name="20% - 强调文字颜色 6 38 5" xfId="18302" xr:uid="{A0283C09-55ED-48C6-B332-18433688220D}"/>
    <cellStyle name="20% - 强调文字颜色 6 38 6" xfId="18303" xr:uid="{56687EA6-10D0-48F1-B155-66EC39EBDDFD}"/>
    <cellStyle name="20% - 强调文字颜色 6 38 7" xfId="18304" xr:uid="{EBB2A968-2B78-4FB7-9660-67BA6C7A8F5B}"/>
    <cellStyle name="20% - 强调文字颜色 6 38 8" xfId="18305" xr:uid="{7969D737-D843-4D9F-89C7-03E374726C6B}"/>
    <cellStyle name="20% - 强调文字颜色 6 38 9" xfId="18306" xr:uid="{28A2343F-396C-48B4-BADF-671F98100850}"/>
    <cellStyle name="20% - 强调文字颜色 6 39" xfId="3583" xr:uid="{69F7AA03-01F5-4DB5-A1A3-575618D6EAEC}"/>
    <cellStyle name="20% - 强调文字颜色 6 39 2" xfId="12284" xr:uid="{A663398A-71B7-4900-8B7A-40AEFEF86A91}"/>
    <cellStyle name="20% - 强调文字颜色 6 39 2 2" xfId="18308" xr:uid="{B3D9A5A6-FF54-4D47-9094-886D0CBF82C9}"/>
    <cellStyle name="20% - 强调文字颜色 6 39 3" xfId="18309" xr:uid="{B4430D90-B464-4606-B424-31AEE2528CFB}"/>
    <cellStyle name="20% - 强调文字颜色 6 39 4" xfId="18307" xr:uid="{CBC5FEFC-2BD3-431B-88FB-FADF73CD510E}"/>
    <cellStyle name="20% - 强调文字颜色 6 4" xfId="875" xr:uid="{2247C3C2-F409-4C66-8672-1C71ECBB1054}"/>
    <cellStyle name="20% - 强调文字颜色 6 4 10" xfId="3585" xr:uid="{09BD0974-0514-4834-8CFE-0B0429F1E86B}"/>
    <cellStyle name="20% - 强调文字颜色 6 4 10 2" xfId="3588" xr:uid="{1C13E262-734B-4ABB-B411-DEE0203958BC}"/>
    <cellStyle name="20% - 强调文字颜色 6 4 11" xfId="653" xr:uid="{ED7D586B-DAC5-4651-B851-ED13D3417A3C}"/>
    <cellStyle name="20% - 强调文字颜色 6 4 11 2" xfId="1933" xr:uid="{14CF0508-4DF0-473F-AD64-00255FDF7EF8}"/>
    <cellStyle name="20% - 强调文字颜色 6 4 12" xfId="1939" xr:uid="{3AE91FC1-F4F8-4980-B3F5-1D40EB49994A}"/>
    <cellStyle name="20% - 强调文字颜色 6 4 13" xfId="1942" xr:uid="{B1422776-F9CF-4191-9E55-908B986047B1}"/>
    <cellStyle name="20% - 强调文字颜色 6 4 13 2" xfId="1945" xr:uid="{69913E17-B294-4089-B503-E335AFFD9E1F}"/>
    <cellStyle name="20% - 强调文字颜色 6 4 14" xfId="1951" xr:uid="{C805540E-6484-4917-AF72-C6FD86A36683}"/>
    <cellStyle name="20% - 强调文字颜色 6 4 14 2" xfId="1954" xr:uid="{9F0005CD-9FA1-4E8D-82E9-789872F104FA}"/>
    <cellStyle name="20% - 强调文字颜色 6 4 15" xfId="1960" xr:uid="{A4E46B40-9654-47CF-989D-A0B800D11FF1}"/>
    <cellStyle name="20% - 强调文字颜色 6 4 16" xfId="9721" xr:uid="{E8D3C200-A7A7-460A-8E40-EA48AA22E083}"/>
    <cellStyle name="20% - 强调文字颜色 6 4 17" xfId="13387" xr:uid="{FC6B5EB3-381C-4ABA-989B-3B03C35299B1}"/>
    <cellStyle name="20% - 强调文字颜色 6 4 18" xfId="18310" xr:uid="{C859D2A5-8A68-4C0B-9FBA-97A7A329BA8A}"/>
    <cellStyle name="20% - 强调文字颜色 6 4 2" xfId="347" xr:uid="{B949EBF7-99EC-4882-BAE7-C8D5F99F9819}"/>
    <cellStyle name="20% - 强调文字颜色 6 4 2 2" xfId="3592" xr:uid="{9398DA52-DA29-4840-92E7-761A8083FA72}"/>
    <cellStyle name="20% - 强调文字颜色 6 4 2 2 2" xfId="18312" xr:uid="{EDF862A1-052F-450E-97A9-2C01C10881E7}"/>
    <cellStyle name="20% - 强调文字颜色 6 4 2 3" xfId="9722" xr:uid="{08FCBA26-DCEA-4949-9E02-EDA01B916CFE}"/>
    <cellStyle name="20% - 强调文字颜色 6 4 2 4" xfId="18311" xr:uid="{2B0CD4AE-42C1-41B9-A2A6-4F80CD4BF906}"/>
    <cellStyle name="20% - 强调文字颜色 6 4 3" xfId="3593" xr:uid="{E64660C9-709A-4413-A5B3-961F2841D5AF}"/>
    <cellStyle name="20% - 强调文字颜色 6 4 3 2" xfId="3594" xr:uid="{C25D33B2-D9D0-42C7-844F-20DD1E854B9F}"/>
    <cellStyle name="20% - 强调文字颜色 6 4 3 3" xfId="9723" xr:uid="{C7CADC43-B74A-477B-87D2-1ED2E0F1EF17}"/>
    <cellStyle name="20% - 强调文字颜色 6 4 3 4" xfId="18313" xr:uid="{5910BAAD-2BD0-49D3-A71B-37515B8CF7B4}"/>
    <cellStyle name="20% - 强调文字颜色 6 4 4" xfId="2885" xr:uid="{BD1F6ABC-0AD2-4864-8644-8FF8CF1575A6}"/>
    <cellStyle name="20% - 强调文字颜色 6 4 4 2" xfId="3595" xr:uid="{743A4BC6-8DED-4326-A7A7-50B97344AC25}"/>
    <cellStyle name="20% - 强调文字颜色 6 4 4 3" xfId="18314" xr:uid="{47D50D47-0E58-4036-B74D-33102B4114E6}"/>
    <cellStyle name="20% - 强调文字颜色 6 4 5" xfId="3596" xr:uid="{DC57BEAE-7D62-4A2B-8D46-286B4485BB4B}"/>
    <cellStyle name="20% - 强调文字颜色 6 4 5 2" xfId="3597" xr:uid="{E6E044E7-B607-489C-9426-5EDBD06A16D0}"/>
    <cellStyle name="20% - 强调文字颜色 6 4 6" xfId="3598" xr:uid="{C9A48792-C438-4BBF-ABE7-CB0180529E0B}"/>
    <cellStyle name="20% - 强调文字颜色 6 4 6 2" xfId="3599" xr:uid="{A6BC9598-01E6-456B-B579-87C673BCECD9}"/>
    <cellStyle name="20% - 强调文字颜色 6 4 7" xfId="3600" xr:uid="{374EBEC5-B8DB-46A5-82DF-0A5E27356569}"/>
    <cellStyle name="20% - 强调文字颜色 6 4 7 2" xfId="3601" xr:uid="{10B2E7BD-CA99-43D0-82C7-7044AD44ADD4}"/>
    <cellStyle name="20% - 强调文字颜色 6 4 8" xfId="3602" xr:uid="{3198724B-FC9C-4ADA-94E6-BED29413F0B8}"/>
    <cellStyle name="20% - 强调文字颜色 6 4 8 2" xfId="3603" xr:uid="{A0CC9B7F-E07F-44CF-A461-A7181E7BF195}"/>
    <cellStyle name="20% - 强调文字颜色 6 4 9" xfId="3605" xr:uid="{FA4B56F2-DE76-4C47-95E1-F956896B8AE2}"/>
    <cellStyle name="20% - 强调文字颜色 6 40" xfId="3575" xr:uid="{2C8B53BF-87CF-4B39-841A-3D99F20B3674}"/>
    <cellStyle name="20% - 强调文字颜色 6 40 2" xfId="12286" xr:uid="{CA15F6BE-9DE6-4120-AA4C-5B7B69811D5B}"/>
    <cellStyle name="20% - 强调文字颜色 6 40 2 2" xfId="18316" xr:uid="{FCF40190-E08B-40DE-AC41-BDD9DE0779BF}"/>
    <cellStyle name="20% - 强调文字颜色 6 40 3" xfId="18315" xr:uid="{6DDBBDCE-8BBE-4DCA-AF5C-D774F4C56097}"/>
    <cellStyle name="20% - 强调文字颜色 6 41" xfId="3578" xr:uid="{2A43F8F8-E385-42CD-87D1-BBFFEF4FDD0B}"/>
    <cellStyle name="20% - 强调文字颜色 6 41 2" xfId="12287" xr:uid="{615FCE19-E9CB-4473-99CD-1216CF619F79}"/>
    <cellStyle name="20% - 强调文字颜色 6 41 2 2" xfId="18318" xr:uid="{0996A10D-FA92-47D6-88A9-B15503F2CBC4}"/>
    <cellStyle name="20% - 强调文字颜色 6 41 3" xfId="18317" xr:uid="{E004830D-EE5F-4E7D-B7DD-028AAE36B76A}"/>
    <cellStyle name="20% - 强调文字颜色 6 42" xfId="1381" xr:uid="{245331EA-1852-4DA9-AB41-7A5EE681D04C}"/>
    <cellStyle name="20% - 强调文字颜色 6 42 2" xfId="12288" xr:uid="{C50B7A48-ACEE-4EA1-871F-0015164C4119}"/>
    <cellStyle name="20% - 强调文字颜色 6 42 2 2" xfId="18320" xr:uid="{249A16C0-06BA-47A6-BFFB-847BF42AD8AB}"/>
    <cellStyle name="20% - 强调文字颜色 6 42 3" xfId="18319" xr:uid="{A74EB9EC-D40C-417F-88AB-3DE4F8CEBFC3}"/>
    <cellStyle name="20% - 强调文字颜色 6 43" xfId="3581" xr:uid="{D8757884-809E-455A-9814-B5237FEE2F9E}"/>
    <cellStyle name="20% - 强调文字颜色 6 43 2" xfId="12289" xr:uid="{1D778FED-BC3D-4F6D-8B7D-C391A9F8790A}"/>
    <cellStyle name="20% - 强调文字颜色 6 43 2 2" xfId="18322" xr:uid="{3B470A25-7253-4CC6-9B31-36334688D3BD}"/>
    <cellStyle name="20% - 强调文字颜色 6 43 3" xfId="18321" xr:uid="{68EEA4C0-76EA-4462-8198-989AAC3D737C}"/>
    <cellStyle name="20% - 强调文字颜色 6 44" xfId="3584" xr:uid="{4FEA5B22-2F8C-4CF3-B2A2-B89EBEDA68D4}"/>
    <cellStyle name="20% - 强调文字颜色 6 44 2" xfId="12290" xr:uid="{2D77B6F3-5793-44D2-A719-D7F674301391}"/>
    <cellStyle name="20% - 强调文字颜色 6 44 2 2" xfId="18324" xr:uid="{DA4DC398-7BF2-4580-A8C8-94D9816F7074}"/>
    <cellStyle name="20% - 强调文字颜色 6 44 3" xfId="18323" xr:uid="{1FFB80E5-F934-4F39-9754-018D6AF0E7F3}"/>
    <cellStyle name="20% - 强调文字颜色 6 45" xfId="1044" xr:uid="{3AA0C12F-9C07-4E08-B55A-E1C7B00B59D2}"/>
    <cellStyle name="20% - 强调文字颜色 6 45 2" xfId="12291" xr:uid="{3BD93FF9-A40C-4BCE-80EA-1B418FA2AAA2}"/>
    <cellStyle name="20% - 强调文字颜色 6 45 2 2" xfId="18326" xr:uid="{FAF1DC99-25AA-4184-B858-A48EE38F0E3B}"/>
    <cellStyle name="20% - 强调文字颜色 6 45 3" xfId="18325" xr:uid="{88B8739D-DE7E-40F8-9155-480812EEA13E}"/>
    <cellStyle name="20% - 强调文字颜色 6 46" xfId="3607" xr:uid="{4A13FC54-7020-44CF-8F71-6272D680C509}"/>
    <cellStyle name="20% - 强调文字颜色 6 46 2" xfId="12292" xr:uid="{9430FAFB-724D-4FB8-AEB4-8CABC780D4BC}"/>
    <cellStyle name="20% - 强调文字颜色 6 46 2 2" xfId="18328" xr:uid="{DC7FF7BD-E168-48DB-A612-05AE45C6E020}"/>
    <cellStyle name="20% - 强调文字颜色 6 46 3" xfId="18327" xr:uid="{24A90D71-E2E8-4A8E-8515-CD93EAF2A740}"/>
    <cellStyle name="20% - 强调文字颜色 6 47" xfId="3610" xr:uid="{C142CBFA-7C9F-4E25-9647-FFBC5243F58A}"/>
    <cellStyle name="20% - 强调文字颜色 6 47 2" xfId="12293" xr:uid="{7D7F19E0-903E-4BE1-903B-4F2D7404BC8B}"/>
    <cellStyle name="20% - 强调文字颜色 6 47 3" xfId="18329" xr:uid="{444A34D8-C0B6-4243-A73F-AB82F896B3BE}"/>
    <cellStyle name="20% - 强调文字颜色 6 48" xfId="3612" xr:uid="{156AFDE5-91F7-4FC9-A2B3-72B2B0D3FA5B}"/>
    <cellStyle name="20% - 强调文字颜色 6 48 2" xfId="12294" xr:uid="{49A218B8-FE1B-4605-999F-921640218C81}"/>
    <cellStyle name="20% - 强调文字颜色 6 48 3" xfId="18330" xr:uid="{5079EA55-D8B7-4748-8D6B-6BD2FF642C39}"/>
    <cellStyle name="20% - 强调文字颜色 6 49" xfId="3614" xr:uid="{91A75345-AA18-4E9C-BA5F-5A6145C1EB8F}"/>
    <cellStyle name="20% - 强调文字颜色 6 49 2" xfId="12295" xr:uid="{5B70E245-EECF-44ED-9B25-53B65B69D88A}"/>
    <cellStyle name="20% - 强调文字颜色 6 49 3" xfId="18331" xr:uid="{1FDF8CB4-D219-4288-A0CB-6055E7524177}"/>
    <cellStyle name="20% - 强调文字颜色 6 5" xfId="880" xr:uid="{F837AAEC-7DF7-4E1C-AEE8-580B00F3F423}"/>
    <cellStyle name="20% - 强调文字颜色 6 5 10" xfId="3616" xr:uid="{39F27057-F2B6-4E2C-89DC-4EB73AA8F2A5}"/>
    <cellStyle name="20% - 强调文字颜色 6 5 10 2" xfId="3617" xr:uid="{BD96BC13-136C-4A5B-A90B-02372FE01B22}"/>
    <cellStyle name="20% - 强调文字颜色 6 5 11" xfId="3619" xr:uid="{688C66FE-4A30-41FC-89EA-E8B8521E9ABF}"/>
    <cellStyle name="20% - 强调文字颜色 6 5 11 2" xfId="909" xr:uid="{48780776-1496-4E6E-82CB-27CAABD776F4}"/>
    <cellStyle name="20% - 强调文字颜色 6 5 12" xfId="3620" xr:uid="{B693854B-AB16-4711-AB3B-2EDB7F39B40A}"/>
    <cellStyle name="20% - 强调文字颜色 6 5 13" xfId="3621" xr:uid="{5225F61D-F5A4-4DB9-98D2-86B122463BFF}"/>
    <cellStyle name="20% - 强调文字颜色 6 5 13 2" xfId="730" xr:uid="{0BFFDD73-0F49-497F-ADC5-8A2636226970}"/>
    <cellStyle name="20% - 强调文字颜色 6 5 14" xfId="3622" xr:uid="{8A1232EE-2834-4315-BD22-192653BA0CB2}"/>
    <cellStyle name="20% - 强调文字颜色 6 5 14 2" xfId="962" xr:uid="{56994CDC-6E5E-4E16-9F90-0745CE396888}"/>
    <cellStyle name="20% - 强调文字颜色 6 5 15" xfId="3623" xr:uid="{3FDBE357-CFD5-4266-B3F8-88A05A030B2D}"/>
    <cellStyle name="20% - 强调文字颜色 6 5 16" xfId="9724" xr:uid="{8ACFE0BF-43EE-46B6-A9EB-62D61511C9EF}"/>
    <cellStyle name="20% - 强调文字颜色 6 5 17" xfId="13362" xr:uid="{F03E2D43-296B-491E-A2CA-C03427721DA1}"/>
    <cellStyle name="20% - 强调文字颜色 6 5 18" xfId="18332" xr:uid="{EB0DC342-BEBE-4233-9C85-5391FA483258}"/>
    <cellStyle name="20% - 强调文字颜色 6 5 2" xfId="374" xr:uid="{35EE5090-D4CD-4244-8962-D8AE9B3E1141}"/>
    <cellStyle name="20% - 强调文字颜色 6 5 2 2" xfId="3624" xr:uid="{C98DDECF-1726-4622-BF69-F53DD11B4B6E}"/>
    <cellStyle name="20% - 强调文字颜色 6 5 2 2 2" xfId="18334" xr:uid="{7ABFEB8D-274C-465C-A563-37641B14E9A9}"/>
    <cellStyle name="20% - 强调文字颜色 6 5 2 3" xfId="9725" xr:uid="{4AA2F33B-1241-4FF3-A2EA-B9045C5B0B6C}"/>
    <cellStyle name="20% - 强调文字颜色 6 5 2 4" xfId="18333" xr:uid="{2DDE176D-6D20-4772-8AF6-27E1EB7B7167}"/>
    <cellStyle name="20% - 强调文字颜色 6 5 3" xfId="3626" xr:uid="{1C0CCC32-E439-4FE8-AC8F-B9934E65CB2E}"/>
    <cellStyle name="20% - 强调文字颜色 6 5 3 2" xfId="1189" xr:uid="{25FD9384-BD41-4F8C-9125-DC488C928E60}"/>
    <cellStyle name="20% - 强调文字颜色 6 5 3 3" xfId="9726" xr:uid="{EB29DEFB-BF7B-4C62-A17A-AFCCA5E50365}"/>
    <cellStyle name="20% - 强调文字颜色 6 5 3 4" xfId="18335" xr:uid="{81C33775-276A-44B1-8612-F90D433E7710}"/>
    <cellStyle name="20% - 强调文字颜色 6 5 4" xfId="2888" xr:uid="{7D79EC05-E33E-4CC9-BDA0-B7BA6412B90B}"/>
    <cellStyle name="20% - 强调文字颜色 6 5 4 2" xfId="3627" xr:uid="{19A9535B-C44D-4E08-87CA-7335AF61C9AC}"/>
    <cellStyle name="20% - 强调文字颜色 6 5 4 3" xfId="18336" xr:uid="{2B174911-9223-4D56-A01B-75D09427CF33}"/>
    <cellStyle name="20% - 强调文字颜色 6 5 5" xfId="3628" xr:uid="{AF0E57E6-1A30-402F-8CAA-99606E7005A5}"/>
    <cellStyle name="20% - 强调文字颜色 6 5 5 2" xfId="3629" xr:uid="{1E985841-F608-498F-8342-722FEDE5FB9E}"/>
    <cellStyle name="20% - 强调文字颜色 6 5 6" xfId="3630" xr:uid="{CC2229CE-8FF7-4F4B-840B-51EB9CC9A7BB}"/>
    <cellStyle name="20% - 强调文字颜色 6 5 6 2" xfId="3631" xr:uid="{EE2CAD1A-2E11-400E-B0C9-43AEB89BAEE5}"/>
    <cellStyle name="20% - 强调文字颜色 6 5 7" xfId="502" xr:uid="{230F114B-E4F9-4009-8B91-0B7EEF2D18C2}"/>
    <cellStyle name="20% - 强调文字颜色 6 5 7 2" xfId="3632" xr:uid="{AAE031B2-E080-45A3-9B37-7081B7A75208}"/>
    <cellStyle name="20% - 强调文字颜色 6 5 8" xfId="3633" xr:uid="{4B2E3839-8678-4DAE-85B0-01A1DB5939CD}"/>
    <cellStyle name="20% - 强调文字颜色 6 5 8 2" xfId="3634" xr:uid="{02850F23-8182-4666-8D4A-F90D83B0795C}"/>
    <cellStyle name="20% - 强调文字颜色 6 5 9" xfId="3635" xr:uid="{23BDD56F-9E76-47EB-96E8-A9D592AC5B25}"/>
    <cellStyle name="20% - 强调文字颜色 6 50" xfId="1045" xr:uid="{AC7B4630-F73D-40AB-95B8-B7637527A35E}"/>
    <cellStyle name="20% - 强调文字颜色 6 50 2" xfId="12296" xr:uid="{B86624D3-5179-49CD-B547-40073A33C3AE}"/>
    <cellStyle name="20% - 强调文字颜色 6 50 3" xfId="18337" xr:uid="{B3442C55-9AC2-4FF1-845D-E36ABC401B31}"/>
    <cellStyle name="20% - 强调文字颜色 6 51" xfId="3608" xr:uid="{5DFDCD0E-2AAC-4959-A4E5-98C06F1989D9}"/>
    <cellStyle name="20% - 强调文字颜色 6 51 2" xfId="12297" xr:uid="{D9546D20-CDA9-4613-BFBD-3F5F8DC13801}"/>
    <cellStyle name="20% - 强调文字颜色 6 51 3" xfId="18338" xr:uid="{5CBD8E5D-0EDB-447F-9D79-04A02F566C5A}"/>
    <cellStyle name="20% - 强调文字颜色 6 52" xfId="3611" xr:uid="{C1A9FB7E-337C-4F33-B653-A5E57E7FDE08}"/>
    <cellStyle name="20% - 强调文字颜色 6 52 2" xfId="12298" xr:uid="{73FBF01F-45CE-4770-AC09-2C116B4FFA71}"/>
    <cellStyle name="20% - 强调文字颜色 6 52 3" xfId="18339" xr:uid="{0CE84A0C-642F-4370-B493-55E3EB890239}"/>
    <cellStyle name="20% - 强调文字颜色 6 53" xfId="3613" xr:uid="{4075DF8B-C6C6-417A-B812-EDC80B4C1057}"/>
    <cellStyle name="20% - 强调文字颜色 6 53 2" xfId="12299" xr:uid="{E2F6C570-2F0F-4560-84CF-22F256619827}"/>
    <cellStyle name="20% - 强调文字颜色 6 53 3" xfId="18340" xr:uid="{B0F6158C-0159-4343-8635-D16FA48C7707}"/>
    <cellStyle name="20% - 强调文字颜色 6 54" xfId="3615" xr:uid="{0AEBCC06-56A0-4DCB-8B21-0B067F907319}"/>
    <cellStyle name="20% - 强调文字颜色 6 54 2" xfId="12300" xr:uid="{01201CE0-3156-4D1D-A351-8C4511F96266}"/>
    <cellStyle name="20% - 强调文字颜色 6 54 3" xfId="18341" xr:uid="{F4B6CF6A-873F-421B-90D7-9066D708414D}"/>
    <cellStyle name="20% - 强调文字颜色 6 55" xfId="3636" xr:uid="{8751C1EF-CDFA-4E68-82AD-4FF02B88C50B}"/>
    <cellStyle name="20% - 强调文字颜色 6 55 2" xfId="12301" xr:uid="{147E6A73-4874-4026-8D72-4F867C7C7247}"/>
    <cellStyle name="20% - 强调文字颜色 6 55 3" xfId="18342" xr:uid="{9726DC24-459C-471D-AF1B-53DA7D4F1124}"/>
    <cellStyle name="20% - 强调文字颜色 6 56" xfId="3638" xr:uid="{982FB782-98F0-41B7-A705-8DD1B525C529}"/>
    <cellStyle name="20% - 强调文字颜色 6 56 2" xfId="12302" xr:uid="{ACC304BB-7F87-4F5A-BA52-A510DF8640A4}"/>
    <cellStyle name="20% - 强调文字颜色 6 56 3" xfId="18343" xr:uid="{E6E3E8C9-C50A-4C02-B4F3-93C3616A6873}"/>
    <cellStyle name="20% - 强调文字颜色 6 57" xfId="3640" xr:uid="{8A287766-2D5C-4603-94FF-E75C78B8FC0C}"/>
    <cellStyle name="20% - 强调文字颜色 6 57 2" xfId="12303" xr:uid="{DECD9D73-0A91-4C87-A255-A4C200F3C0D3}"/>
    <cellStyle name="20% - 强调文字颜色 6 58" xfId="2946" xr:uid="{4ADF5F8A-DC8C-48B2-86AE-743555663A78}"/>
    <cellStyle name="20% - 强调文字颜色 6 58 2" xfId="12304" xr:uid="{BB41907A-BE78-4D9D-87CE-F8515D8CBE9F}"/>
    <cellStyle name="20% - 强调文字颜色 6 59" xfId="3642" xr:uid="{CF62A6FC-54DB-4E0A-9D5A-F494328B6D02}"/>
    <cellStyle name="20% - 强调文字颜色 6 59 2" xfId="12305" xr:uid="{F3667F79-0950-487B-9227-E2A271345607}"/>
    <cellStyle name="20% - 强调文字颜色 6 6" xfId="883" xr:uid="{F2BD2196-59BA-4673-978F-790418920D01}"/>
    <cellStyle name="20% - 强调文字颜色 6 6 10" xfId="18344" xr:uid="{C2063DAC-2939-4980-A7F6-9359549EFA63}"/>
    <cellStyle name="20% - 强调文字颜色 6 6 2" xfId="393" xr:uid="{03DE389D-541C-4790-AA7B-E56409ECF435}"/>
    <cellStyle name="20% - 强调文字颜色 6 6 2 2" xfId="9728" xr:uid="{EB4829BD-B8CA-4D5F-857C-D2DA00DADE97}"/>
    <cellStyle name="20% - 强调文字颜色 6 6 2 2 2" xfId="18346" xr:uid="{AABE5FD2-490E-44A2-84C7-16064899FAF6}"/>
    <cellStyle name="20% - 强调文字颜色 6 6 2 3" xfId="18345" xr:uid="{93C0291E-2250-46D3-B487-E56F894A67BF}"/>
    <cellStyle name="20% - 强调文字颜色 6 6 3" xfId="3644" xr:uid="{4675F21B-A77A-4791-8674-92C9B8857226}"/>
    <cellStyle name="20% - 强调文字颜色 6 6 3 2" xfId="533" xr:uid="{44E6A418-8664-437A-AEDD-E90C599A3618}"/>
    <cellStyle name="20% - 强调文字颜色 6 6 3 3" xfId="9729" xr:uid="{7B3CD20F-3563-4B38-86AD-97E0F27EDEDC}"/>
    <cellStyle name="20% - 强调文字颜色 6 6 3 4" xfId="18347" xr:uid="{534644F1-A6E0-4AC1-81F9-19BEE4120308}"/>
    <cellStyle name="20% - 强调文字颜色 6 6 4" xfId="2891" xr:uid="{71692F70-9088-4529-926B-768367C8A6DB}"/>
    <cellStyle name="20% - 强调文字颜色 6 6 4 2" xfId="3646" xr:uid="{8980F826-893B-442A-85F4-72BF9F9BA4F4}"/>
    <cellStyle name="20% - 强调文字颜色 6 6 4 3" xfId="18348" xr:uid="{B1CB3524-0B2E-41F6-90C5-A45D68998C68}"/>
    <cellStyle name="20% - 强调文字颜色 6 6 5" xfId="3647" xr:uid="{62E12C39-D393-4C9C-8D44-1F40AEC63858}"/>
    <cellStyle name="20% - 强调文字颜色 6 6 6" xfId="3648" xr:uid="{29C520FD-02FB-4E89-ADAB-1D38AF5A33F3}"/>
    <cellStyle name="20% - 强调文字颜色 6 6 6 2" xfId="3650" xr:uid="{D08748AF-4A70-4A7A-B6BC-6B3B2E6B8712}"/>
    <cellStyle name="20% - 强调文字颜色 6 6 7" xfId="3652" xr:uid="{A95AD208-52E8-4F21-B859-DF257F6A670C}"/>
    <cellStyle name="20% - 强调文字颜色 6 6 7 2" xfId="3653" xr:uid="{03E1B4D4-7CF6-4B27-B6AA-7E4B93340801}"/>
    <cellStyle name="20% - 强调文字颜色 6 6 8" xfId="9727" xr:uid="{C56A1C16-BF26-447D-AD53-02CF87E01A10}"/>
    <cellStyle name="20% - 强调文字颜色 6 6 9" xfId="13341" xr:uid="{8187F0F4-54A9-483D-9F07-D273E9B43120}"/>
    <cellStyle name="20% - 强调文字颜色 6 60" xfId="3637" xr:uid="{79FC6362-3079-4F0F-9869-5AF6F62113B1}"/>
    <cellStyle name="20% - 强调文字颜色 6 60 2" xfId="12306" xr:uid="{70C943A4-E3C0-4B92-A80B-2599F4056A62}"/>
    <cellStyle name="20% - 强调文字颜色 6 61" xfId="3639" xr:uid="{45644997-34C2-426E-85FA-63792873D3C8}"/>
    <cellStyle name="20% - 强调文字颜色 6 61 2" xfId="12307" xr:uid="{8D430BBB-6114-43E7-83FD-F3CC7529ED99}"/>
    <cellStyle name="20% - 强调文字颜色 6 62" xfId="3641" xr:uid="{91D81FD3-C52D-4E33-8E60-47944D0F15E8}"/>
    <cellStyle name="20% - 强调文字颜色 6 62 2" xfId="12308" xr:uid="{DBAF6337-034C-4B68-B785-AEA417F24F4B}"/>
    <cellStyle name="20% - 强调文字颜色 6 63" xfId="2947" xr:uid="{8F472746-7D7E-4ACA-BB01-CFC593C39162}"/>
    <cellStyle name="20% - 强调文字颜色 6 63 2" xfId="12309" xr:uid="{963DF367-8F0F-48D4-8C24-30FAE309EBA1}"/>
    <cellStyle name="20% - 强调文字颜色 6 64" xfId="3643" xr:uid="{D2DD7E06-CE16-4EAF-B40F-1D9DC7EA8FB9}"/>
    <cellStyle name="20% - 强调文字颜色 6 64 2" xfId="12310" xr:uid="{C32EE472-C32A-49AF-A427-F306E99DE3A2}"/>
    <cellStyle name="20% - 强调文字颜色 6 65" xfId="3654" xr:uid="{5163ABAB-D7A8-4945-9F2F-4CE25F7CDE58}"/>
    <cellStyle name="20% - 强调文字颜色 6 65 2" xfId="12311" xr:uid="{99EC0A71-2E5C-4E16-ACFE-AD17BA01CEE6}"/>
    <cellStyle name="20% - 强调文字颜色 6 66" xfId="3560" xr:uid="{0EE628E2-94FF-4B85-BCB6-F878E0A34EF1}"/>
    <cellStyle name="20% - 强调文字颜色 6 66 2" xfId="12312" xr:uid="{F26890F1-68AE-4210-9C2B-3689E82AF865}"/>
    <cellStyle name="20% - 强调文字颜色 6 67" xfId="3656" xr:uid="{8E46C75B-43D4-4842-B918-9CF9BA6AB1DC}"/>
    <cellStyle name="20% - 强调文字颜色 6 67 2" xfId="12313" xr:uid="{7B3B9935-53B6-4843-AF24-5834075CAB02}"/>
    <cellStyle name="20% - 强调文字颜色 6 68" xfId="3658" xr:uid="{04D77A19-5549-4C2F-AA8A-579F20EB60E0}"/>
    <cellStyle name="20% - 强调文字颜色 6 68 2" xfId="12314" xr:uid="{181F5A11-3A2E-4BFF-9186-E0A77A104C8E}"/>
    <cellStyle name="20% - 强调文字颜色 6 69" xfId="3660" xr:uid="{F4780EC3-70C3-4290-BCF9-83969B5BE08F}"/>
    <cellStyle name="20% - 强调文字颜色 6 69 2" xfId="12315" xr:uid="{1071B1AB-CF6E-4726-8645-61930957774E}"/>
    <cellStyle name="20% - 强调文字颜色 6 7" xfId="885" xr:uid="{9520B394-C86C-4460-8F4B-069D3312D58B}"/>
    <cellStyle name="20% - 强调文字颜色 6 7 2" xfId="399" xr:uid="{9B797D15-4D48-4DCD-89A8-C4EB6061F651}"/>
    <cellStyle name="20% - 强调文字颜色 6 7 2 2" xfId="3663" xr:uid="{BE336B3D-D31B-42F1-AB2F-09AB9A6951D3}"/>
    <cellStyle name="20% - 强调文字颜色 6 7 2 2 2" xfId="18351" xr:uid="{65287691-6D1C-4D4B-ACCE-33D7150ABF88}"/>
    <cellStyle name="20% - 强调文字颜色 6 7 2 3" xfId="9731" xr:uid="{FEE353EC-7AAE-4402-9A5D-E4F97738B0A7}"/>
    <cellStyle name="20% - 强调文字颜色 6 7 2 4" xfId="18350" xr:uid="{26480D95-DCE3-4BAF-8547-FB0EC0A49E01}"/>
    <cellStyle name="20% - 强调文字颜色 6 7 3" xfId="3664" xr:uid="{368019D1-2321-409D-A011-DD467BC1D141}"/>
    <cellStyle name="20% - 强调文字颜色 6 7 3 2" xfId="3665" xr:uid="{C51031F3-50B3-4E2A-9E8D-4BC71422426E}"/>
    <cellStyle name="20% - 强调文字颜色 6 7 3 3" xfId="9732" xr:uid="{91177201-A196-4E5F-B385-D13026EF50FD}"/>
    <cellStyle name="20% - 强调文字颜色 6 7 3 4" xfId="18352" xr:uid="{467B14DC-7385-434D-B431-8380D69062D6}"/>
    <cellStyle name="20% - 强调文字颜色 6 7 4" xfId="2894" xr:uid="{8B57D663-C529-41E8-A53F-DE2B27134D6F}"/>
    <cellStyle name="20% - 强调文字颜色 6 7 4 2" xfId="18353" xr:uid="{53E5B814-75C8-418D-AA82-5BE692B59A15}"/>
    <cellStyle name="20% - 强调文字颜色 6 7 5" xfId="3666" xr:uid="{A88ACD9B-372E-42E7-BB5B-ADA119987C00}"/>
    <cellStyle name="20% - 强调文字颜色 6 7 5 2" xfId="3667" xr:uid="{A8429353-273B-4A35-93AE-8E93EB8139E7}"/>
    <cellStyle name="20% - 强调文字颜色 6 7 6" xfId="3668" xr:uid="{D6FF4D5D-4A80-491A-B15A-87BD82A595CC}"/>
    <cellStyle name="20% - 强调文字颜色 6 7 6 2" xfId="3669" xr:uid="{CDF74D21-798D-4869-8A85-FBA0354F2C8A}"/>
    <cellStyle name="20% - 强调文字颜色 6 7 7" xfId="9730" xr:uid="{6761089E-8510-4C97-85D7-B3A315BAD246}"/>
    <cellStyle name="20% - 强调文字颜色 6 7 8" xfId="13321" xr:uid="{AD71F3DA-AAF9-42DE-8A12-D2BFDBD28619}"/>
    <cellStyle name="20% - 强调文字颜色 6 7 9" xfId="18349" xr:uid="{8BBC66A7-4DB7-4B82-B08D-124F4081F84E}"/>
    <cellStyle name="20% - 强调文字颜色 6 70" xfId="3655" xr:uid="{F8B5E523-FBDC-43AB-9EFC-4AA52FD58F22}"/>
    <cellStyle name="20% - 强调文字颜色 6 70 2" xfId="12316" xr:uid="{C5A0548A-A3F7-4F55-98D6-2F2AF060C170}"/>
    <cellStyle name="20% - 强调文字颜色 6 71" xfId="3561" xr:uid="{4A0850FF-2894-4B3F-9DCD-613ABAAE989B}"/>
    <cellStyle name="20% - 强调文字颜色 6 71 2" xfId="12317" xr:uid="{85A5BDAF-8C69-450E-8BFD-6DDBDD73E1CE}"/>
    <cellStyle name="20% - 强调文字颜色 6 72" xfId="3657" xr:uid="{0B9D48EF-C8E8-47CC-A59E-A09F15855575}"/>
    <cellStyle name="20% - 强调文字颜色 6 72 2" xfId="12318" xr:uid="{222C959D-2DA3-4217-AE74-2BB73950A897}"/>
    <cellStyle name="20% - 强调文字颜色 6 73" xfId="3659" xr:uid="{276E90BF-D5DC-42A0-BD17-42A4D842F5F0}"/>
    <cellStyle name="20% - 强调文字颜色 6 73 2" xfId="12319" xr:uid="{21469275-F3DF-408D-B3CC-A541A57FBC2D}"/>
    <cellStyle name="20% - 强调文字颜色 6 74" xfId="3661" xr:uid="{B19903E0-C878-494D-B44F-8B0C3EDF7554}"/>
    <cellStyle name="20% - 强调文字颜色 6 74 2" xfId="12320" xr:uid="{9C9A1567-6670-46E7-A2D2-9BB365A5BB65}"/>
    <cellStyle name="20% - 强调文字颜色 6 75" xfId="3670" xr:uid="{6718BDAA-99A6-47CE-B518-953A35B795FB}"/>
    <cellStyle name="20% - 强调文字颜色 6 75 2" xfId="12321" xr:uid="{6F5555DD-16AC-4536-B794-71B791E16960}"/>
    <cellStyle name="20% - 强调文字颜色 6 76" xfId="3674" xr:uid="{62819FBB-859E-417B-A783-E1EC79A169C3}"/>
    <cellStyle name="20% - 强调文字颜色 6 76 2" xfId="12322" xr:uid="{FFA16C77-D59D-403E-8B09-538490C99695}"/>
    <cellStyle name="20% - 强调文字颜色 6 77" xfId="3678" xr:uid="{C594BEE6-59AB-445A-9D35-4CB696D97A04}"/>
    <cellStyle name="20% - 强调文字颜色 6 77 2" xfId="12323" xr:uid="{D9A832A6-0AD4-410D-A92D-44E9F570695B}"/>
    <cellStyle name="20% - 强调文字颜色 6 78" xfId="3684" xr:uid="{784EFA15-B0A7-4A1B-A976-FDBA85DFDD77}"/>
    <cellStyle name="20% - 强调文字颜色 6 78 2" xfId="12324" xr:uid="{135E5FED-9DD2-4428-915D-89B7792DCDC9}"/>
    <cellStyle name="20% - 强调文字颜色 6 79" xfId="3689" xr:uid="{1892AEB3-3CEA-4CA9-B014-B758C894E2A6}"/>
    <cellStyle name="20% - 强调文字颜色 6 79 2" xfId="12325" xr:uid="{CCCAF4E3-C59A-452C-9FA4-DC54F77838CA}"/>
    <cellStyle name="20% - 强调文字颜色 6 8" xfId="888" xr:uid="{BDBDC852-81B4-4A27-AB8F-7AA6F703839C}"/>
    <cellStyle name="20% - 强调文字颜色 6 8 2" xfId="411" xr:uid="{F5FC5137-8274-4F60-B016-20B00F99721E}"/>
    <cellStyle name="20% - 强调文字颜色 6 8 2 2" xfId="2227" xr:uid="{1C2C8A5A-4369-4483-9A35-2407B87D738B}"/>
    <cellStyle name="20% - 强调文字颜色 6 8 2 2 2" xfId="18356" xr:uid="{0CD3F6FA-8F4D-4EBB-B76D-C0A5EDFEF1F2}"/>
    <cellStyle name="20% - 强调文字颜色 6 8 2 3" xfId="9734" xr:uid="{4EBD7ADA-DBC9-4CE2-8D47-895989F502E9}"/>
    <cellStyle name="20% - 强调文字颜色 6 8 2 4" xfId="18355" xr:uid="{9A5F34A2-1623-4F16-ABCE-EDBB60CB19E2}"/>
    <cellStyle name="20% - 强调文字颜色 6 8 3" xfId="2229" xr:uid="{F01DF2D1-0E46-46F7-B5DF-241BD845E2FD}"/>
    <cellStyle name="20% - 强调文字颜色 6 8 3 2" xfId="9735" xr:uid="{3C845CB6-2376-46C3-87EC-A3E82CA2E1D2}"/>
    <cellStyle name="20% - 强调文字颜色 6 8 3 3" xfId="18357" xr:uid="{68A46F46-F301-4534-AA40-50DADB4EF190}"/>
    <cellStyle name="20% - 强调文字颜色 6 8 4" xfId="2897" xr:uid="{43A67007-9B92-4B2E-A328-E2C548318B74}"/>
    <cellStyle name="20% - 强调文字颜色 6 8 4 2" xfId="241" xr:uid="{5A24F14B-97D0-49D8-805D-B160FA5D50DA}"/>
    <cellStyle name="20% - 强调文字颜色 6 8 4 3" xfId="18358" xr:uid="{9BF7ED42-B387-4A00-9476-F247D5C814E5}"/>
    <cellStyle name="20% - 强调文字颜色 6 8 5" xfId="3692" xr:uid="{B997A34E-531E-43E1-B0C4-ED67F0EED395}"/>
    <cellStyle name="20% - 强调文字颜色 6 8 5 2" xfId="3693" xr:uid="{7EF8E737-A2A1-4408-A1BA-0A0AFA0A54BD}"/>
    <cellStyle name="20% - 强调文字颜色 6 8 6" xfId="3695" xr:uid="{1835462C-3F25-4922-81E0-8816C7CDF3D3}"/>
    <cellStyle name="20% - 强调文字颜色 6 8 7" xfId="9733" xr:uid="{34A62D3E-9ECD-4FFD-8A4A-5E83223662D1}"/>
    <cellStyle name="20% - 强调文字颜色 6 8 8" xfId="13285" xr:uid="{654AF09D-0F5B-440E-A555-B07A320855F5}"/>
    <cellStyle name="20% - 强调文字颜色 6 8 9" xfId="18354" xr:uid="{46D84176-40F7-4AFA-982A-1BF224A232A3}"/>
    <cellStyle name="20% - 强调文字颜色 6 80" xfId="3671" xr:uid="{3DC3F0ED-36EC-4768-B506-0E25656CE882}"/>
    <cellStyle name="20% - 强调文字颜色 6 80 2" xfId="12326" xr:uid="{A6E6E8BA-11F2-4746-9298-7BD0B038FA4B}"/>
    <cellStyle name="20% - 强调文字颜色 6 81" xfId="3675" xr:uid="{3FA4E26D-6716-4B84-AA3C-268632892629}"/>
    <cellStyle name="20% - 强调文字颜色 6 81 2" xfId="12327" xr:uid="{0F09B626-9898-477B-A321-ABAD229D7114}"/>
    <cellStyle name="20% - 强调文字颜色 6 82" xfId="3679" xr:uid="{C9AEC9F5-0F3E-49F1-ABE2-9FB1DC2DE714}"/>
    <cellStyle name="20% - 强调文字颜色 6 82 2" xfId="12328" xr:uid="{45AA92CF-A881-4917-AF08-BA594D506FF2}"/>
    <cellStyle name="20% - 强调文字颜色 6 83" xfId="3685" xr:uid="{42936CD0-B73E-4C8B-A194-6CC496E6EC0E}"/>
    <cellStyle name="20% - 强调文字颜色 6 83 2" xfId="12329" xr:uid="{56EF2841-0856-4D65-BC53-68F41E8ED84F}"/>
    <cellStyle name="20% - 强调文字颜色 6 84" xfId="3690" xr:uid="{FA0BDF42-0600-4CED-81EC-53A30D05DBFE}"/>
    <cellStyle name="20% - 强调文字颜色 6 84 2" xfId="12330" xr:uid="{1643AB7F-1609-4479-9869-D28E803D969C}"/>
    <cellStyle name="20% - 强调文字颜色 6 85" xfId="3697" xr:uid="{517E0F3C-3EDF-47F3-A9B9-FF23DD3E93B7}"/>
    <cellStyle name="20% - 强调文字颜色 6 86" xfId="3700" xr:uid="{55383160-73E9-4606-AB6D-25C897F1DC92}"/>
    <cellStyle name="20% - 强调文字颜色 6 86 2" xfId="3079" xr:uid="{E995BB92-111B-4900-856B-88DE62BA9B1A}"/>
    <cellStyle name="20% - 强调文字颜色 6 87" xfId="3526" xr:uid="{998098DE-9C52-4C55-B12B-AA2FAF000135}"/>
    <cellStyle name="20% - 强调文字颜色 6 87 2" xfId="3104" xr:uid="{B242C90A-5124-4508-80CD-CFC5EE22FE40}"/>
    <cellStyle name="20% - 强调文字颜色 6 88" xfId="3702" xr:uid="{574D68B9-2F8E-4E94-B418-B9C576889889}"/>
    <cellStyle name="20% - 强调文字颜色 6 88 2" xfId="3124" xr:uid="{40CB3288-708D-43A6-8340-959466272923}"/>
    <cellStyle name="20% - 强调文字颜色 6 89" xfId="2545" xr:uid="{CF9AA777-4678-4CF0-9EF2-97296F731FF1}"/>
    <cellStyle name="20% - 强调文字颜色 6 9" xfId="891" xr:uid="{4934ED65-7E19-4C67-911B-97BA37BDDE24}"/>
    <cellStyle name="20% - 强调文字颜色 6 9 2" xfId="423" xr:uid="{982CE571-4D14-4F8A-8AB6-0C77575F31F5}"/>
    <cellStyle name="20% - 强调文字颜色 6 9 2 2" xfId="2475" xr:uid="{0CC9FD4A-09A5-4E16-B924-D123826F91E9}"/>
    <cellStyle name="20% - 强调文字颜色 6 9 2 2 2" xfId="18361" xr:uid="{2637F0BB-2EA4-4D5A-9505-031BF5DEE5DC}"/>
    <cellStyle name="20% - 强调文字颜色 6 9 2 3" xfId="9737" xr:uid="{7E8BA5A6-E0F6-4ABE-AFF0-0C5A9442F35C}"/>
    <cellStyle name="20% - 强调文字颜色 6 9 2 4" xfId="18360" xr:uid="{70C9C557-2FD2-4CB0-B366-26770A0D7BCE}"/>
    <cellStyle name="20% - 强调文字颜色 6 9 3" xfId="3704" xr:uid="{A8DEF66E-74E6-4461-9469-0F2BDFEF2C6C}"/>
    <cellStyle name="20% - 强调文字颜色 6 9 3 2" xfId="9738" xr:uid="{ED5B4CD4-8DDF-4500-B0AC-DD4D48A325A2}"/>
    <cellStyle name="20% - 强调文字颜色 6 9 3 3" xfId="18362" xr:uid="{B8E59B6A-7CB9-44F5-A05A-3790117C8295}"/>
    <cellStyle name="20% - 强调文字颜色 6 9 4" xfId="2900" xr:uid="{89945BA3-8259-4604-8F12-D9B263A2EF42}"/>
    <cellStyle name="20% - 强调文字颜色 6 9 4 2" xfId="3705" xr:uid="{8207B332-2B09-4B33-AF68-3DA2C836BE4F}"/>
    <cellStyle name="20% - 强调文字颜色 6 9 4 3" xfId="18363" xr:uid="{B331DBE1-5E06-4DA5-A309-B73E9E0643F4}"/>
    <cellStyle name="20% - 强调文字颜色 6 9 5" xfId="3706" xr:uid="{C50A5CD5-87CF-4923-A341-A2A1DF8BA795}"/>
    <cellStyle name="20% - 强调文字颜色 6 9 5 2" xfId="3707" xr:uid="{55C81D89-92E8-415E-A6FA-0FE080E287D9}"/>
    <cellStyle name="20% - 强调文字颜色 6 9 6" xfId="3708" xr:uid="{8B7B5ECF-3A8C-421E-9948-C029C67090CA}"/>
    <cellStyle name="20% - 强调文字颜色 6 9 7" xfId="9736" xr:uid="{43792706-C76A-4BB9-853C-7DB744C03A1E}"/>
    <cellStyle name="20% - 强调文字颜色 6 9 8" xfId="13276" xr:uid="{E7E6EAB3-85A5-453B-8F29-6AC4B15CD095}"/>
    <cellStyle name="20% - 强调文字颜色 6 9 9" xfId="18359" xr:uid="{1A32BD47-13F8-4984-B07F-005F9C4CC5A5}"/>
    <cellStyle name="20% - 强调文字颜色 6 90" xfId="3698" xr:uid="{E80FDA85-917D-4A4D-9E1C-3623345EFD2A}"/>
    <cellStyle name="20% - 强调文字颜色 6 91" xfId="3701" xr:uid="{F3C008A2-9A87-4BA5-BC4C-907DFC5A9424}"/>
    <cellStyle name="20% - 强调文字颜色 6 92" xfId="9357" xr:uid="{939D5036-23FB-41DE-9F5F-18590664FD25}"/>
    <cellStyle name="20% - 强调文字颜色 6 92 2" xfId="27146" xr:uid="{3A3B7A3E-EE71-4879-8C8E-3B5FC87D1395}"/>
    <cellStyle name="20% - 强调文字颜色 6 93" xfId="9685" xr:uid="{DAB97352-B9CF-471D-9D15-231E5BBE4C7B}"/>
    <cellStyle name="20% - 强调文字颜色 6 94" xfId="13612" xr:uid="{025634E8-B715-4950-A112-EE30E469FDE6}"/>
    <cellStyle name="20% - 强调文字颜色 6 95" xfId="13448" xr:uid="{DDDED1EA-618C-4796-B7BD-595D8C8BA4D2}"/>
    <cellStyle name="20% - 着色 1" xfId="27823" builtinId="30" customBuiltin="1"/>
    <cellStyle name="20% - 着色 1 2" xfId="18365" xr:uid="{0613FA2B-19A5-43DD-A16C-5449C228C3AB}"/>
    <cellStyle name="20% - 着色 1 2 2" xfId="27680" xr:uid="{8C1AF756-A78E-46F0-9DBE-4678C993638C}"/>
    <cellStyle name="20% - 着色 1 3" xfId="18366" xr:uid="{076D48F5-5440-4241-BE3D-DD89EBB5B278}"/>
    <cellStyle name="20% - 着色 1 3 2" xfId="27681" xr:uid="{2CF247A8-6011-47D4-9617-AA3CF7B77955}"/>
    <cellStyle name="20% - 着色 1 4" xfId="18364" xr:uid="{AADE426B-F11C-4EAD-8204-1B8009A7E848}"/>
    <cellStyle name="20% - 着色 2" xfId="27827" builtinId="34" customBuiltin="1"/>
    <cellStyle name="20% - 着色 2 2" xfId="18368" xr:uid="{52B0C16B-257F-4E93-BB17-AA2AB7F1955A}"/>
    <cellStyle name="20% - 着色 2 2 2" xfId="27682" xr:uid="{A19E5E8E-F4D4-4D7C-ACA1-E8037449C0BD}"/>
    <cellStyle name="20% - 着色 2 3" xfId="18369" xr:uid="{DA8F1A1A-4B66-4130-A724-C65959E2C185}"/>
    <cellStyle name="20% - 着色 2 3 2" xfId="27683" xr:uid="{76654131-5D3B-4D2C-936C-88F775946C95}"/>
    <cellStyle name="20% - 着色 2 4" xfId="18367" xr:uid="{C023E3F2-4F01-4353-A17D-D7C3D00A6C8B}"/>
    <cellStyle name="20% - 着色 3" xfId="27831" builtinId="38" customBuiltin="1"/>
    <cellStyle name="20% - 着色 3 2" xfId="18371" xr:uid="{BCDD161D-69BE-441D-A72B-9D772318DAF4}"/>
    <cellStyle name="20% - 着色 3 2 2" xfId="27684" xr:uid="{78F861E8-32B4-41D9-A79F-B5BD473931B6}"/>
    <cellStyle name="20% - 着色 3 3" xfId="18372" xr:uid="{CAB8F64A-7A58-45CF-9380-8D74B7141B79}"/>
    <cellStyle name="20% - 着色 3 3 2" xfId="27685" xr:uid="{53963DC6-7E5E-4636-ABC8-CC28582B0BD6}"/>
    <cellStyle name="20% - 着色 3 4" xfId="18370" xr:uid="{17C521F5-C2E7-42ED-9B40-827A40DE1853}"/>
    <cellStyle name="20% - 着色 4" xfId="27835" builtinId="42" customBuiltin="1"/>
    <cellStyle name="20% - 着色 4 2" xfId="18374" xr:uid="{BE0C4F1B-29AA-4B7F-A3E2-1BF810B7C9A0}"/>
    <cellStyle name="20% - 着色 4 2 2" xfId="27686" xr:uid="{F649D15A-10AB-4A6F-9192-4DA0A0E573B1}"/>
    <cellStyle name="20% - 着色 4 3" xfId="18375" xr:uid="{5C0CD99E-5F51-4659-9965-7D778249C982}"/>
    <cellStyle name="20% - 着色 4 3 2" xfId="27687" xr:uid="{C1ECA0FB-AF55-4BF8-915F-3FE0E008957E}"/>
    <cellStyle name="20% - 着色 4 4" xfId="18373" xr:uid="{FAA00387-EFAF-4C7A-888E-ED082F5417F8}"/>
    <cellStyle name="20% - 着色 5" xfId="27839" builtinId="46" customBuiltin="1"/>
    <cellStyle name="20% - 着色 5 2" xfId="18377" xr:uid="{BE68394C-8692-4DBF-951D-066D86551E4F}"/>
    <cellStyle name="20% - 着色 5 2 2" xfId="27688" xr:uid="{2C2023A6-EE79-478B-B8E7-734B7398C0A4}"/>
    <cellStyle name="20% - 着色 5 3" xfId="18378" xr:uid="{DE23839D-F4DB-4A2F-A8EE-8D130AE3D267}"/>
    <cellStyle name="20% - 着色 5 3 2" xfId="27689" xr:uid="{C6C707DB-53B7-4606-A197-36632C5206BF}"/>
    <cellStyle name="20% - 着色 5 4" xfId="18376" xr:uid="{75FDED7C-0384-4D70-9576-C87A2135CE3C}"/>
    <cellStyle name="20% - 着色 6" xfId="27843" builtinId="50" customBuiltin="1"/>
    <cellStyle name="20% - 着色 6 2" xfId="18380" xr:uid="{09930862-945E-4A9D-8625-F0F384E083BB}"/>
    <cellStyle name="20% - 着色 6 2 2" xfId="27690" xr:uid="{5B69E21D-279B-44AC-B621-DEAE154F7EEB}"/>
    <cellStyle name="20% - 着色 6 3" xfId="18381" xr:uid="{E4810269-0D08-49FF-9CC5-130EE152D165}"/>
    <cellStyle name="20% - 着色 6 3 2" xfId="27691" xr:uid="{210BBA19-805B-4523-B8D7-7748EADD854A}"/>
    <cellStyle name="20% - 着色 6 4" xfId="18379" xr:uid="{8F27E09F-0416-447E-9B62-EF57DA872892}"/>
    <cellStyle name="3232" xfId="9739" xr:uid="{C75B1FD9-42C0-4486-B14E-255AA3F117A6}"/>
    <cellStyle name="40% - Accent1" xfId="3007" xr:uid="{31698971-6FDF-42F1-827E-9555678146B5}"/>
    <cellStyle name="40% - Accent1 10" xfId="9740" xr:uid="{FB119DDB-FD42-47A0-B674-CA3BAAF9EFB5}"/>
    <cellStyle name="40% - Accent1 2" xfId="3010" xr:uid="{40777DC6-057A-436B-938C-516F48863F02}"/>
    <cellStyle name="40% - Accent1 2 2" xfId="1776" xr:uid="{13E8077F-7DBC-4139-A4B9-DF3AD94EEE59}"/>
    <cellStyle name="40% - Accent1 2 2 2" xfId="9742" xr:uid="{FEFD073B-21C6-4F40-94C2-DCFC28BBE01A}"/>
    <cellStyle name="40% - Accent1 2 3" xfId="9741" xr:uid="{5B391F28-0420-4F7A-9D71-AC0CD8C344D1}"/>
    <cellStyle name="40% - Accent1 3" xfId="1557" xr:uid="{3A6AF762-78AC-41AC-9E9D-80E204659BDE}"/>
    <cellStyle name="40% - Accent1 3 2" xfId="200" xr:uid="{36EC7D41-4190-4694-A900-42BC3251C0F0}"/>
    <cellStyle name="40% - Accent1 3 2 2" xfId="9744" xr:uid="{0014113E-D4D4-4D38-95EC-2D42836D755D}"/>
    <cellStyle name="40% - Accent1 3 3" xfId="9743" xr:uid="{01294AF0-9439-4BE6-8800-02136E304224}"/>
    <cellStyle name="40% - Accent1 4" xfId="641" xr:uid="{3A9A0374-AA5F-4F78-9414-FA7D6EE6C1A9}"/>
    <cellStyle name="40% - Accent1 4 2" xfId="218" xr:uid="{58D81598-43C0-4FB0-A1BF-D11F6A3ABB3F}"/>
    <cellStyle name="40% - Accent1 5" xfId="1753" xr:uid="{9CC4AF6C-652A-4185-B577-CA3ED0C18FD3}"/>
    <cellStyle name="40% - Accent1 5 2" xfId="235" xr:uid="{7877CAC9-982E-4D8D-8D5C-16EC94ACF963}"/>
    <cellStyle name="40% - Accent1 6" xfId="1758" xr:uid="{4974F403-05C4-469D-83B4-F3AEF0409C95}"/>
    <cellStyle name="40% - Accent1 6 2" xfId="249" xr:uid="{E231AEB3-F07B-4895-B33F-D1385E1FDD3B}"/>
    <cellStyle name="40% - Accent1 7" xfId="1763" xr:uid="{A586F998-A7AE-49B8-8A5D-08769AB5068D}"/>
    <cellStyle name="40% - Accent1 7 2" xfId="282" xr:uid="{9D389286-A3DD-4F97-9C78-2A2AE3B99620}"/>
    <cellStyle name="40% - Accent1 8" xfId="1527" xr:uid="{F49479D4-3595-4A53-98AB-9B24E56BBE1E}"/>
    <cellStyle name="40% - Accent1 8 2" xfId="1533" xr:uid="{CFE3BDA3-1F55-4107-B832-F8CF48E0F172}"/>
    <cellStyle name="40% - Accent1 9" xfId="1539" xr:uid="{1323B515-2C4D-4F4D-9B52-3412DA91B471}"/>
    <cellStyle name="40% - Accent1_球团工序" xfId="18382" xr:uid="{F573F124-9C25-47B1-81CF-46A1DE202D6F}"/>
    <cellStyle name="40% - Accent2" xfId="3015" xr:uid="{C347B4ED-1A39-40B7-AE32-DADEB58762E7}"/>
    <cellStyle name="40% - Accent2 10" xfId="9745" xr:uid="{507D82C1-73A2-4F55-88B0-9ADE5984A0A2}"/>
    <cellStyle name="40% - Accent2 2" xfId="3709" xr:uid="{62DF888C-241F-490A-8EED-7B90468E702A}"/>
    <cellStyle name="40% - Accent2 2 2" xfId="3184" xr:uid="{CBA4BE3E-A941-4C8F-B318-9A549FB932CD}"/>
    <cellStyle name="40% - Accent2 2 2 2" xfId="9747" xr:uid="{5454FDF4-3AD1-417C-88BA-FAA73EFD7038}"/>
    <cellStyle name="40% - Accent2 2 3" xfId="9746" xr:uid="{55A5687E-DE64-4EDD-B4D8-0F561278AEC0}"/>
    <cellStyle name="40% - Accent2 3" xfId="1566" xr:uid="{ED6E0826-DC63-4737-A3F8-D60D9CEB6F48}"/>
    <cellStyle name="40% - Accent2 3 2" xfId="3712" xr:uid="{EF5BF1B7-1428-4DD7-B371-5A5B908BB963}"/>
    <cellStyle name="40% - Accent2 3 2 2" xfId="9749" xr:uid="{E34E932D-13E7-4701-A591-7F2134521C10}"/>
    <cellStyle name="40% - Accent2 3 3" xfId="9748" xr:uid="{CBAA03AB-14DF-46CE-9C68-B7193904F0B8}"/>
    <cellStyle name="40% - Accent2 4" xfId="645" xr:uid="{3B6BE443-B6D8-435D-AD4B-2C292DE2DB16}"/>
    <cellStyle name="40% - Accent2 4 2" xfId="1806" xr:uid="{687F32B3-0BB2-4C5C-BCE0-1047EDB31AA1}"/>
    <cellStyle name="40% - Accent2 5" xfId="1809" xr:uid="{E338C169-2D92-4932-AD94-127E69C5E71D}"/>
    <cellStyle name="40% - Accent2 5 2" xfId="1812" xr:uid="{E9B4DA4E-C34E-47C5-BFA1-59739C27D20F}"/>
    <cellStyle name="40% - Accent2 6" xfId="1815" xr:uid="{22862BF4-4519-46A0-9CFE-E1A9E136669F}"/>
    <cellStyle name="40% - Accent2 6 2" xfId="1818" xr:uid="{1D3C80EC-7CA5-4A7F-B06D-C58310AF2D1A}"/>
    <cellStyle name="40% - Accent2 7" xfId="1821" xr:uid="{555D1543-23E4-4420-B730-26FD8C96927F}"/>
    <cellStyle name="40% - Accent2 7 2" xfId="1824" xr:uid="{15F26A5F-E89A-4ECC-A44A-C5859C881457}"/>
    <cellStyle name="40% - Accent2 8" xfId="1552" xr:uid="{2E372DCF-BD16-46B8-9386-93FE2B9FF1E4}"/>
    <cellStyle name="40% - Accent2 8 2" xfId="1558" xr:uid="{AFCDBDC8-3E38-49BA-BFFD-86704E5768C7}"/>
    <cellStyle name="40% - Accent2 9" xfId="1563" xr:uid="{88636144-3422-4C8D-BD65-C76DCCADCD6A}"/>
    <cellStyle name="40% - Accent2_球团工序" xfId="18383" xr:uid="{84164247-5E13-451D-9FDA-652F09A36D28}"/>
    <cellStyle name="40% - Accent3" xfId="3019" xr:uid="{23E8F2D5-779A-4FDA-88B3-5997760883D6}"/>
    <cellStyle name="40% - Accent3 10" xfId="9750" xr:uid="{DC6F8478-FB13-41F6-930A-9FBEA00215D1}"/>
    <cellStyle name="40% - Accent3 2" xfId="3022" xr:uid="{E9B8F5CE-BD3B-477A-9E0B-1A11925192E5}"/>
    <cellStyle name="40% - Accent3 2 2" xfId="3714" xr:uid="{C916D239-6DA7-49F4-84D9-758D730B236C}"/>
    <cellStyle name="40% - Accent3 2 2 2" xfId="9752" xr:uid="{9ED64D9A-14A5-4E78-85FC-A23C7A114D07}"/>
    <cellStyle name="40% - Accent3 2 3" xfId="9751" xr:uid="{7B61B5F9-C75F-442F-8D6B-B4AE0087115A}"/>
    <cellStyle name="40% - Accent3 3" xfId="1829" xr:uid="{619D00FE-9C10-4298-A2E2-3082BF91BAF0}"/>
    <cellStyle name="40% - Accent3 3 2" xfId="3716" xr:uid="{FD3D4583-D4A6-4E33-B8BC-06E6803D3166}"/>
    <cellStyle name="40% - Accent3 3 2 2" xfId="9754" xr:uid="{34CF0102-48CF-4B7F-8F2D-FA040724AD76}"/>
    <cellStyle name="40% - Accent3 3 3" xfId="9753" xr:uid="{1256A4EC-040D-44CF-8790-7052A490BC01}"/>
    <cellStyle name="40% - Accent3 4" xfId="621" xr:uid="{FE8495D7-7F39-42BC-B12E-72ED5C50273D}"/>
    <cellStyle name="40% - Accent3 4 2" xfId="3718" xr:uid="{F5D5C7FA-2DB0-467B-8270-6F990F6E78AC}"/>
    <cellStyle name="40% - Accent3 5" xfId="1853" xr:uid="{04D04290-3DA8-4F2B-B987-8E8675C6C289}"/>
    <cellStyle name="40% - Accent3 5 2" xfId="1855" xr:uid="{2B29C126-917B-4AF9-AE78-BD5010E25171}"/>
    <cellStyle name="40% - Accent3 6" xfId="1857" xr:uid="{E7209BFA-6D97-4179-BFB3-3EE66A8737E4}"/>
    <cellStyle name="40% - Accent3 6 2" xfId="1859" xr:uid="{EF8D7EFD-EB7B-4862-8707-022FAC8756A9}"/>
    <cellStyle name="40% - Accent3 7" xfId="1862" xr:uid="{4F29E7C6-4D40-4C57-BE29-CC9360BF218A}"/>
    <cellStyle name="40% - Accent3 7 2" xfId="3720" xr:uid="{3425F549-375C-42F6-8DFC-9A43CD94FD54}"/>
    <cellStyle name="40% - Accent3 8" xfId="1574" xr:uid="{D631B473-4076-4EB8-8207-331F38913180}"/>
    <cellStyle name="40% - Accent3 8 2" xfId="1577" xr:uid="{A6DE73C2-6085-406B-AD0F-6C5DF7ADB429}"/>
    <cellStyle name="40% - Accent3 9" xfId="1864" xr:uid="{DAFBBD36-A2B6-4951-90E2-A1464E0FBDA4}"/>
    <cellStyle name="40% - Accent3_球团工序" xfId="18384" xr:uid="{E7B02CB9-6BAA-4717-88F1-2866918DBEA9}"/>
    <cellStyle name="40% - Accent4" xfId="2497" xr:uid="{9F9D1A7C-02B4-4C0F-8FF3-1C8EB5E62BE9}"/>
    <cellStyle name="40% - Accent4 10" xfId="9755" xr:uid="{D9DF67C9-29A2-44BD-BCCB-289A6114FF4C}"/>
    <cellStyle name="40% - Accent4 2" xfId="3027" xr:uid="{06B54A90-252B-404F-B9EA-77AE125D7D6B}"/>
    <cellStyle name="40% - Accent4 2 2" xfId="3722" xr:uid="{40B65720-D5D7-41E6-99B9-A6F25FC30516}"/>
    <cellStyle name="40% - Accent4 2 2 2" xfId="9757" xr:uid="{C01CE51E-2174-406E-8F08-62CB80311BAD}"/>
    <cellStyle name="40% - Accent4 2 3" xfId="9756" xr:uid="{D978625B-6247-4F73-9647-7F4A19A50AC3}"/>
    <cellStyle name="40% - Accent4 3" xfId="3724" xr:uid="{8F581F2A-2699-43AF-891C-5D4568C2640F}"/>
    <cellStyle name="40% - Accent4 3 2" xfId="3727" xr:uid="{3CF80271-6131-4751-A917-C9FCBE79299F}"/>
    <cellStyle name="40% - Accent4 3 2 2" xfId="9759" xr:uid="{DBBB0020-BA57-47F9-948D-A6BFEC2DC425}"/>
    <cellStyle name="40% - Accent4 3 3" xfId="9758" xr:uid="{D4F7C852-053D-4107-879B-71463931005A}"/>
    <cellStyle name="40% - Accent4 4" xfId="546" xr:uid="{87EFF265-5739-4829-AE51-CD77E0FCEA17}"/>
    <cellStyle name="40% - Accent4 4 2" xfId="1889" xr:uid="{28CA006E-E3FF-4FA0-8231-D3BB06CB6C0C}"/>
    <cellStyle name="40% - Accent4 5" xfId="1892" xr:uid="{4254294E-D51C-4072-9EB3-0AF21ACAB592}"/>
    <cellStyle name="40% - Accent4 5 2" xfId="1895" xr:uid="{4FA8BB0F-BC85-465F-8378-1666F08FFF31}"/>
    <cellStyle name="40% - Accent4 6" xfId="1898" xr:uid="{6C44588F-FF8B-4BE2-8347-E6810AA4528B}"/>
    <cellStyle name="40% - Accent4 6 2" xfId="3309" xr:uid="{BA08C4FD-DEF9-473F-A979-81D231726BC1}"/>
    <cellStyle name="40% - Accent4 7" xfId="1901" xr:uid="{319916E6-61D3-4634-A890-659F1852354B}"/>
    <cellStyle name="40% - Accent4 7 2" xfId="1903" xr:uid="{FC4134B3-0029-4D47-AF66-93466354DBA6}"/>
    <cellStyle name="40% - Accent4 8" xfId="1907" xr:uid="{206DBE7C-B145-4855-AF2C-C544090A0949}"/>
    <cellStyle name="40% - Accent4 8 2" xfId="1909" xr:uid="{AFAAE04C-E886-4C51-97C6-A255F4177216}"/>
    <cellStyle name="40% - Accent4 9" xfId="3729" xr:uid="{32221E7C-900F-467F-A8B3-D13EFD191F18}"/>
    <cellStyle name="40% - Accent4_球团工序" xfId="18385" xr:uid="{FFDFBD5B-4449-4070-84A0-B6DC8402ABDB}"/>
    <cellStyle name="40% - Accent5" xfId="3031" xr:uid="{697D9D13-4869-43CB-9036-EFA79C0C89D8}"/>
    <cellStyle name="40% - Accent5 10" xfId="9760" xr:uid="{757E43A0-8AB5-400B-894E-C59822CB4A46}"/>
    <cellStyle name="40% - Accent5 2" xfId="3730" xr:uid="{D70961AB-21AF-43B4-B130-AF481C718382}"/>
    <cellStyle name="40% - Accent5 2 2" xfId="3732" xr:uid="{F0B0CA73-E676-48FF-88CC-D5559C5B49C8}"/>
    <cellStyle name="40% - Accent5 2 2 2" xfId="9762" xr:uid="{B8231B49-1E65-49E9-8B25-0EE616678336}"/>
    <cellStyle name="40% - Accent5 2 3" xfId="9761" xr:uid="{EB4DF545-46DE-4FDA-B3F0-3318E45764ED}"/>
    <cellStyle name="40% - Accent5 3" xfId="3586" xr:uid="{EB87ECD5-D56F-4927-B1C1-46A9642400A7}"/>
    <cellStyle name="40% - Accent5 3 2" xfId="3589" xr:uid="{3395BDFF-E304-40C1-989B-71EAC2F2D895}"/>
    <cellStyle name="40% - Accent5 3 2 2" xfId="9764" xr:uid="{A40A76EF-3132-4D46-884E-3448FBCFBD3E}"/>
    <cellStyle name="40% - Accent5 3 3" xfId="9763" xr:uid="{3E3BEEBB-796F-4D23-A67A-BF3D66A915BE}"/>
    <cellStyle name="40% - Accent5 4" xfId="654" xr:uid="{0CA4593D-DEEE-4E62-8E48-FE2F12ECE267}"/>
    <cellStyle name="40% - Accent5 4 2" xfId="1934" xr:uid="{CD81DACA-2804-4BFA-A8A3-A9D0E9F17A12}"/>
    <cellStyle name="40% - Accent5 5" xfId="1940" xr:uid="{C20B872C-99B2-496D-8D5A-16A1007E6552}"/>
    <cellStyle name="40% - Accent5 5 2" xfId="2694" xr:uid="{1824011A-605C-4F51-84FF-87A99E0F801B}"/>
    <cellStyle name="40% - Accent5 6" xfId="1943" xr:uid="{C74FBE47-6914-4D83-AA1F-81DB7B8B672D}"/>
    <cellStyle name="40% - Accent5 6 2" xfId="1947" xr:uid="{96DAB3A6-B1B6-4684-84FE-683CE8AA3203}"/>
    <cellStyle name="40% - Accent5 7" xfId="1952" xr:uid="{D4BC6AB5-98C7-480E-97CE-6B467CBABF0C}"/>
    <cellStyle name="40% - Accent5 7 2" xfId="1956" xr:uid="{2711B541-279F-4B8A-9428-236DA0B8EE4D}"/>
    <cellStyle name="40% - Accent5 8" xfId="1961" xr:uid="{853F623E-6A4A-421C-A505-29C936C6C031}"/>
    <cellStyle name="40% - Accent5 8 2" xfId="3735" xr:uid="{CB1E1F37-8E75-4D46-A49A-3034A7AC23E4}"/>
    <cellStyle name="40% - Accent5 9" xfId="3738" xr:uid="{9FB2C8BB-F24C-4B31-BAD1-985CD47193E6}"/>
    <cellStyle name="40% - Accent5_球团工序" xfId="18386" xr:uid="{20C5F9D8-F4CA-456A-A8F4-23068E927CFD}"/>
    <cellStyle name="40% - Accent6" xfId="3739" xr:uid="{B3FBF8FE-1ECD-47FA-9EDA-B808D4B7865E}"/>
    <cellStyle name="40% - Accent6 10" xfId="9765" xr:uid="{6CF01811-7579-4590-8588-BDF9035CE328}"/>
    <cellStyle name="40% - Accent6 2" xfId="3740" xr:uid="{A811F887-28B6-4150-8F09-8071D7C298F1}"/>
    <cellStyle name="40% - Accent6 2 2" xfId="3742" xr:uid="{DEBE7BF0-FDCA-44C1-BE38-3340ABFD93EF}"/>
    <cellStyle name="40% - Accent6 2 2 2" xfId="9767" xr:uid="{039B1614-DAA1-4023-8323-5963012E3331}"/>
    <cellStyle name="40% - Accent6 2 3" xfId="9766" xr:uid="{FAEAB8FC-9CAC-4C0D-9C46-3B002E295292}"/>
    <cellStyle name="40% - Accent6 3" xfId="3744" xr:uid="{789EEE9E-0AA9-4848-802E-E75D1C8D3DAA}"/>
    <cellStyle name="40% - Accent6 3 2" xfId="3746" xr:uid="{7A655808-2657-4460-BADA-2F8B818812C3}"/>
    <cellStyle name="40% - Accent6 3 2 2" xfId="9769" xr:uid="{AC743380-67C3-4BF6-AEAB-7E1A909BE23A}"/>
    <cellStyle name="40% - Accent6 3 3" xfId="9768" xr:uid="{00478CA8-07BF-4EDC-80D2-5D5EA962138C}"/>
    <cellStyle name="40% - Accent6 4" xfId="664" xr:uid="{934EA36D-9F90-4D51-82C1-23D30D0E39D6}"/>
    <cellStyle name="40% - Accent6 4 2" xfId="1974" xr:uid="{A03E0C0A-785D-49A6-8324-79F474C2CB05}"/>
    <cellStyle name="40% - Accent6 5" xfId="1976" xr:uid="{FCEF5D7B-92F7-4ED9-BD90-4F99563DF4CA}"/>
    <cellStyle name="40% - Accent6 5 2" xfId="3748" xr:uid="{D4117289-FDBA-4164-A440-D7B0E3F4514E}"/>
    <cellStyle name="40% - Accent6 6" xfId="1978" xr:uid="{1CAFA574-AF20-4E37-BE0C-9320E2575EF2}"/>
    <cellStyle name="40% - Accent6 6 2" xfId="1980" xr:uid="{4664A26D-A8D9-4699-A143-221DCEAE13AC}"/>
    <cellStyle name="40% - Accent6 7" xfId="1982" xr:uid="{C08B5570-867B-4010-863F-A699C184A100}"/>
    <cellStyle name="40% - Accent6 7 2" xfId="1984" xr:uid="{3C213E1C-35CA-4323-A4B7-992E54ABEB5E}"/>
    <cellStyle name="40% - Accent6 8" xfId="1986" xr:uid="{994780B0-DCA0-47F8-9BF5-6C1F467579BB}"/>
    <cellStyle name="40% - Accent6 8 2" xfId="3749" xr:uid="{2185B6FF-B45C-4627-AF72-1102630B3A20}"/>
    <cellStyle name="40% - Accent6 9" xfId="3750" xr:uid="{CD77C19A-7AD5-41CC-9BBD-A0AC440278A6}"/>
    <cellStyle name="40% - Accent6_球团工序" xfId="18387" xr:uid="{04462E36-BD51-454D-AB10-71F1CB681616}"/>
    <cellStyle name="40% - 强调文字颜色 1" xfId="3751" xr:uid="{3CD9C3D7-3A52-4D1D-B436-48016164ED12}"/>
    <cellStyle name="40% - 强调文字颜色 1 10" xfId="3752" xr:uid="{D47B6F8B-5066-4E5E-A675-2D4ADCCFCB48}"/>
    <cellStyle name="40% - 强调文字颜色 1 10 2" xfId="3753" xr:uid="{4B177931-3EA1-475E-B9FC-4B4BFA48DF88}"/>
    <cellStyle name="40% - 强调文字颜色 1 10 2 2" xfId="3754" xr:uid="{5586D08C-69B0-4F17-86CB-85A01A595854}"/>
    <cellStyle name="40% - 强调文字颜色 1 10 2 2 2" xfId="18390" xr:uid="{D6E5CEEA-5591-42F6-A221-DCF0BE0CED13}"/>
    <cellStyle name="40% - 强调文字颜色 1 10 2 3" xfId="9772" xr:uid="{E20127A0-574D-4FBA-A34A-B1639C0C5CD2}"/>
    <cellStyle name="40% - 强调文字颜色 1 10 2 4" xfId="18389" xr:uid="{0E9739DE-7BE4-41A0-B43D-C919BC021D2A}"/>
    <cellStyle name="40% - 强调文字颜色 1 10 3" xfId="3755" xr:uid="{74277DA2-712C-4C14-A5B4-5F349892FFEA}"/>
    <cellStyle name="40% - 强调文字颜色 1 10 3 2" xfId="9773" xr:uid="{51FF9714-9315-4D22-9477-372B11D48117}"/>
    <cellStyle name="40% - 强调文字颜色 1 10 3 3" xfId="18391" xr:uid="{F1FA15A4-7B55-4A88-AAAA-03AA145A2426}"/>
    <cellStyle name="40% - 强调文字颜色 1 10 4" xfId="3757" xr:uid="{F4722DFE-F7D8-42C2-A341-E2FB8B25FFC1}"/>
    <cellStyle name="40% - 强调文字颜色 1 10 4 2" xfId="3760" xr:uid="{E804C238-0151-4EAA-B039-B22F9EA9765F}"/>
    <cellStyle name="40% - 强调文字颜色 1 10 4 3" xfId="18392" xr:uid="{013A4A48-3767-434E-B8F8-C3AEDEBBBD71}"/>
    <cellStyle name="40% - 强调文字颜色 1 10 5" xfId="3591" xr:uid="{B5AAFE0F-CB9C-4B30-8525-B5234159708B}"/>
    <cellStyle name="40% - 强调文字颜色 1 10 5 2" xfId="3762" xr:uid="{CF6C5017-907B-4B31-A019-14D67CC974D7}"/>
    <cellStyle name="40% - 强调文字颜色 1 10 6" xfId="3764" xr:uid="{6BC6FC67-7ABB-4F9F-837E-64E4BA064A32}"/>
    <cellStyle name="40% - 强调文字颜色 1 10 7" xfId="9771" xr:uid="{9EC001A4-B01D-462B-B41A-010EB1B82B52}"/>
    <cellStyle name="40% - 强调文字颜色 1 10 8" xfId="13302" xr:uid="{A1683742-4E26-4B85-92EE-8A87417A402B}"/>
    <cellStyle name="40% - 强调文字颜色 1 10 9" xfId="18388" xr:uid="{1C6E0CDD-F35B-4FE0-93E7-61F556FCC36E}"/>
    <cellStyle name="40% - 强调文字颜色 1 11" xfId="3765" xr:uid="{D0ED236F-3461-446F-932C-EFDB2199C0A0}"/>
    <cellStyle name="40% - 强调文字颜色 1 11 2" xfId="3766" xr:uid="{4449E798-7692-4954-9006-D062FCC1D1FA}"/>
    <cellStyle name="40% - 强调文字颜色 1 11 2 2" xfId="3769" xr:uid="{E46602CC-1C66-47D6-B5C7-5E282422E7B6}"/>
    <cellStyle name="40% - 强调文字颜色 1 11 2 2 2" xfId="18395" xr:uid="{E4BE3FEE-1B9F-4269-BCC4-BC5401580EEB}"/>
    <cellStyle name="40% - 强调文字颜色 1 11 2 3" xfId="9775" xr:uid="{EA4020CF-6555-40A5-854B-524F8CD6EDC7}"/>
    <cellStyle name="40% - 强调文字颜色 1 11 2 4" xfId="18394" xr:uid="{EA035EEB-36EE-49AF-B541-F51EA220B484}"/>
    <cellStyle name="40% - 强调文字颜色 1 11 3" xfId="3772" xr:uid="{0F1222B9-D37F-46CE-9445-EBF1572EEB4F}"/>
    <cellStyle name="40% - 强调文字颜色 1 11 3 2" xfId="9776" xr:uid="{6317046D-E656-44C6-8314-DDDB03E0D055}"/>
    <cellStyle name="40% - 强调文字颜色 1 11 3 3" xfId="18396" xr:uid="{9D9B3FE4-B191-42D7-B564-2124924B9AF0}"/>
    <cellStyle name="40% - 强调文字颜色 1 11 4" xfId="3776" xr:uid="{C68CCAB3-EF40-4069-A8A2-C8E3E59E0C54}"/>
    <cellStyle name="40% - 强调文字颜色 1 11 4 2" xfId="3780" xr:uid="{E4D7D3F3-7F27-432A-B171-800B62527CD3}"/>
    <cellStyle name="40% - 强调文字颜色 1 11 4 3" xfId="18397" xr:uid="{161564F4-2712-4398-B2DB-F6B2EB413FD8}"/>
    <cellStyle name="40% - 强调文字颜色 1 11 5" xfId="1936" xr:uid="{138ADA51-B3FF-4AEA-8004-DAF814D0E9D2}"/>
    <cellStyle name="40% - 强调文字颜色 1 11 5 2" xfId="3784" xr:uid="{4CC9432C-17F4-4811-A30C-14ADA12E1949}"/>
    <cellStyle name="40% - 强调文字颜色 1 11 6" xfId="3787" xr:uid="{EF82E4C3-441E-4D33-A523-A056D2071C77}"/>
    <cellStyle name="40% - 强调文字颜色 1 11 7" xfId="9774" xr:uid="{53A8256C-A4CB-4AC7-9510-B9C7683B355A}"/>
    <cellStyle name="40% - 强调文字颜色 1 11 8" xfId="13265" xr:uid="{B041D4FA-7F90-4798-8CF2-2AA5C0A3C552}"/>
    <cellStyle name="40% - 强调文字颜色 1 11 9" xfId="18393" xr:uid="{06B0B79A-D588-4160-95A3-86C0D8519D39}"/>
    <cellStyle name="40% - 强调文字颜色 1 12" xfId="3790" xr:uid="{96ED322F-FCE7-425F-9E8A-B7D142B0E8D3}"/>
    <cellStyle name="40% - 强调文字颜色 1 12 2" xfId="2682" xr:uid="{83A5F327-07F2-42E2-A71F-6A3C43F9D476}"/>
    <cellStyle name="40% - 强调文字颜色 1 12 2 2" xfId="1345" xr:uid="{3D998F4C-6799-4B5E-B2CC-DB167200D1E8}"/>
    <cellStyle name="40% - 强调文字颜色 1 12 2 2 2" xfId="18400" xr:uid="{529BA90A-75C3-483A-B46B-9DC81C78F532}"/>
    <cellStyle name="40% - 强调文字颜色 1 12 2 3" xfId="9778" xr:uid="{5A781041-A3C8-48CB-8801-A033D601CF42}"/>
    <cellStyle name="40% - 强调文字颜色 1 12 2 4" xfId="18399" xr:uid="{F15C6F93-28DF-4CA4-8922-2FC437D168FA}"/>
    <cellStyle name="40% - 强调文字颜色 1 12 3" xfId="2685" xr:uid="{99ED86F1-5353-4F4F-9708-8316884855FD}"/>
    <cellStyle name="40% - 强调文字颜色 1 12 3 2" xfId="9779" xr:uid="{E53098E4-C3A2-4541-A1E9-91A888A3A0BC}"/>
    <cellStyle name="40% - 强调文字颜色 1 12 3 3" xfId="18401" xr:uid="{BE7EACC3-D1B3-43F5-989B-BBC30866DD4D}"/>
    <cellStyle name="40% - 强调文字颜色 1 12 4" xfId="2688" xr:uid="{2D991F43-FF21-4F75-9CE6-FC5531C0EE13}"/>
    <cellStyle name="40% - 强调文字颜色 1 12 4 2" xfId="2692" xr:uid="{34C3047A-26E2-4FB7-AF38-D507D3E2F028}"/>
    <cellStyle name="40% - 强调文字颜色 1 12 4 3" xfId="18402" xr:uid="{0DB31028-E618-470E-8FE3-0E5A9DC3313B}"/>
    <cellStyle name="40% - 强调文字颜色 1 12 5" xfId="2696" xr:uid="{3D335DCF-4B13-4F53-95D0-2C928F0F3A14}"/>
    <cellStyle name="40% - 强调文字颜色 1 12 5 2" xfId="2699" xr:uid="{5A7F0976-6393-4B59-BBD8-53707E66EFA3}"/>
    <cellStyle name="40% - 强调文字颜色 1 12 6" xfId="2702" xr:uid="{16775788-4CB1-4E8D-A5D6-32089EE71A95}"/>
    <cellStyle name="40% - 强调文字颜色 1 12 7" xfId="9777" xr:uid="{A9F1EB9C-7841-4941-9365-548AE64B5275}"/>
    <cellStyle name="40% - 强调文字颜色 1 12 8" xfId="13252" xr:uid="{9B5EB725-F17D-4E77-854F-513E6427BFB2}"/>
    <cellStyle name="40% - 强调文字颜色 1 12 9" xfId="18398" xr:uid="{B524F554-DDA7-4FF5-BE20-6FE0B067102A}"/>
    <cellStyle name="40% - 强调文字颜色 1 13" xfId="3791" xr:uid="{CDD0C0A3-B5CD-44E9-8558-64EB8F05F007}"/>
    <cellStyle name="40% - 强调文字颜色 1 13 2" xfId="3792" xr:uid="{43EF978F-F0FD-4109-B0E2-3D10765C8524}"/>
    <cellStyle name="40% - 强调文字颜色 1 13 2 2" xfId="3699" xr:uid="{1A767A0B-8C18-4C4C-A155-3A3B455B0656}"/>
    <cellStyle name="40% - 强调文字颜色 1 13 2 2 2" xfId="18405" xr:uid="{0CA6CB14-A300-4EC4-BDEC-FF00C8829FBD}"/>
    <cellStyle name="40% - 强调文字颜色 1 13 2 3" xfId="9781" xr:uid="{C7BDD9E7-4FEF-4527-98EC-7FF494C2C99D}"/>
    <cellStyle name="40% - 强调文字颜色 1 13 2 4" xfId="18404" xr:uid="{7D825204-B7E6-49CB-8D62-1F7FB749349C}"/>
    <cellStyle name="40% - 强调文字颜色 1 13 3" xfId="3793" xr:uid="{2B97B0C7-2213-4368-9806-561B08054230}"/>
    <cellStyle name="40% - 强调文字颜色 1 13 3 2" xfId="9782" xr:uid="{81A195A5-7497-4946-8094-AAC867255299}"/>
    <cellStyle name="40% - 强调文字颜色 1 13 3 3" xfId="18406" xr:uid="{A05FC12C-AC9F-4F39-A5A8-799915EDAD61}"/>
    <cellStyle name="40% - 强调文字颜色 1 13 4" xfId="3795" xr:uid="{5B00A738-FE96-4FF9-ADAC-34D3C55A5F24}"/>
    <cellStyle name="40% - 强调文字颜色 1 13 4 2" xfId="3797" xr:uid="{8AF1128B-4FC7-463B-839D-756C32B0A2F3}"/>
    <cellStyle name="40% - 强调文字颜色 1 13 4 3" xfId="18407" xr:uid="{E60BBE7A-9CD7-43F9-B6F4-00800B0C6BC0}"/>
    <cellStyle name="40% - 强调文字颜色 1 13 5" xfId="1949" xr:uid="{EA196493-7069-4C3C-A1C2-248B4150ABFA}"/>
    <cellStyle name="40% - 强调文字颜色 1 13 5 2" xfId="3799" xr:uid="{CC7A5828-3900-433E-A5D9-F4BDB0F20C2E}"/>
    <cellStyle name="40% - 强调文字颜色 1 13 6" xfId="1355" xr:uid="{E6FED560-14E6-42A4-A91A-862D6BF95100}"/>
    <cellStyle name="40% - 强调文字颜色 1 13 7" xfId="9780" xr:uid="{538F23A0-72CD-40AF-8D78-CE4984422C0D}"/>
    <cellStyle name="40% - 强调文字颜色 1 13 8" xfId="13239" xr:uid="{615DF46F-E931-4283-A14D-DCBAC7D4FB9B}"/>
    <cellStyle name="40% - 强调文字颜色 1 13 9" xfId="18403" xr:uid="{FE22BF79-5CE0-4550-BCB5-70412BACB0A2}"/>
    <cellStyle name="40% - 强调文字颜色 1 14" xfId="3801" xr:uid="{188CB6BD-EDC8-4C4A-9F93-4B7CDC60801E}"/>
    <cellStyle name="40% - 强调文字颜色 1 14 2" xfId="3802" xr:uid="{5D05F5EA-7629-4857-98A8-718B8DE2902E}"/>
    <cellStyle name="40% - 强调文字颜色 1 14 2 2" xfId="3803" xr:uid="{56C7C890-5F27-4556-85D3-510A96C2D014}"/>
    <cellStyle name="40% - 强调文字颜色 1 14 2 2 2" xfId="18410" xr:uid="{5FA320D7-D502-4D53-A8AD-48A5717FBB8F}"/>
    <cellStyle name="40% - 强调文字颜色 1 14 2 3" xfId="9784" xr:uid="{1B0AB69D-6B6D-4D97-956F-3EF52823915E}"/>
    <cellStyle name="40% - 强调文字颜色 1 14 2 4" xfId="18409" xr:uid="{1A9B9DE5-237F-40FF-83A1-E0922B1FE7C0}"/>
    <cellStyle name="40% - 强调文字颜色 1 14 3" xfId="3804" xr:uid="{50619AAE-DEAB-4091-ADFD-D83BAD90D1E7}"/>
    <cellStyle name="40% - 强调文字颜色 1 14 3 2" xfId="9785" xr:uid="{4E202843-3A3A-4A8C-992D-3D8A59C5B5D1}"/>
    <cellStyle name="40% - 强调文字颜色 1 14 3 3" xfId="18411" xr:uid="{2677FC82-5926-4DA4-B73C-45BC0A08B4F4}"/>
    <cellStyle name="40% - 强调文字颜色 1 14 4" xfId="3806" xr:uid="{1B4A957D-DE1F-4C70-BD60-A0A3A5D9390F}"/>
    <cellStyle name="40% - 强调文字颜色 1 14 4 2" xfId="3808" xr:uid="{BD0F6055-4BBC-4E0A-B0D9-3EA895354500}"/>
    <cellStyle name="40% - 强调文字颜色 1 14 4 3" xfId="18412" xr:uid="{023213A4-C9FD-4089-AE18-31FDA8203F2D}"/>
    <cellStyle name="40% - 强调文字颜色 1 14 5" xfId="1958" xr:uid="{BB0A3446-DF73-4C78-924B-D4811F9B4085}"/>
    <cellStyle name="40% - 强调文字颜色 1 14 5 2" xfId="3810" xr:uid="{C03B78F1-A0D9-4C63-997C-2B7F4B66FAF8}"/>
    <cellStyle name="40% - 强调文字颜色 1 14 6" xfId="816" xr:uid="{53DE2733-05E4-494F-A1A7-2EBDB8C2BEB7}"/>
    <cellStyle name="40% - 强调文字颜色 1 14 7" xfId="9783" xr:uid="{B4F1EECC-A181-46A5-BF1E-1B9CC67BACE9}"/>
    <cellStyle name="40% - 强调文字颜色 1 14 8" xfId="13226" xr:uid="{1A4D8D2E-7104-45CB-8FF7-2CB053B1706A}"/>
    <cellStyle name="40% - 强调文字颜色 1 14 9" xfId="18408" xr:uid="{564B53F2-F96C-4877-9B26-F92509525FFF}"/>
    <cellStyle name="40% - 强调文字颜色 1 15" xfId="3811" xr:uid="{2045F7D7-3B79-4AA8-B9B5-C332B48A1DD2}"/>
    <cellStyle name="40% - 强调文字颜色 1 15 2" xfId="3813" xr:uid="{E98BF4A8-610F-4B0C-9925-420BCF26A25F}"/>
    <cellStyle name="40% - 强调文字颜色 1 15 2 2" xfId="9787" xr:uid="{DDA99865-4C02-499E-BA62-9DF146156EDB}"/>
    <cellStyle name="40% - 强调文字颜色 1 15 2 2 2" xfId="18415" xr:uid="{143AB087-C75A-48CF-93E0-8BEACEEDDB69}"/>
    <cellStyle name="40% - 强调文字颜色 1 15 2 3" xfId="18414" xr:uid="{F9E748EE-5710-40E9-9D12-B77003123F3C}"/>
    <cellStyle name="40% - 强调文字颜色 1 15 3" xfId="3815" xr:uid="{D3EAD927-F514-482C-AB90-8CF5180AE3C7}"/>
    <cellStyle name="40% - 强调文字颜色 1 15 3 2" xfId="78" xr:uid="{B56157C4-3D6B-4FDD-B003-750CBE0DAE68}"/>
    <cellStyle name="40% - 强调文字颜色 1 15 3 3" xfId="9788" xr:uid="{7A2BCA3E-FEB1-402B-B5A0-33711E4BA60E}"/>
    <cellStyle name="40% - 强调文字颜色 1 15 3 4" xfId="18416" xr:uid="{1561AF67-09B2-4B25-9EDE-88FAD86851A6}"/>
    <cellStyle name="40% - 强调文字颜色 1 15 4" xfId="3088" xr:uid="{8EDB3AE2-5D5A-4924-9A8D-9C7421D25A8B}"/>
    <cellStyle name="40% - 强调文字颜色 1 15 4 2" xfId="3817" xr:uid="{8651D4C5-57C9-44A3-B612-CABEF91B549C}"/>
    <cellStyle name="40% - 强调文字颜色 1 15 4 3" xfId="18417" xr:uid="{FD9BF122-A035-400E-9492-16FD55B9E656}"/>
    <cellStyle name="40% - 强调文字颜色 1 15 5" xfId="3737" xr:uid="{F42BBDEC-9FDB-4186-AE3D-C176B893B51E}"/>
    <cellStyle name="40% - 强调文字颜色 1 15 6" xfId="9786" xr:uid="{10DECCB8-37F7-49BA-AA6F-E2B7592BCAA1}"/>
    <cellStyle name="40% - 强调文字颜色 1 15 7" xfId="13213" xr:uid="{BECE6F16-362B-4F80-8333-7FBFB52E7CD5}"/>
    <cellStyle name="40% - 强调文字颜色 1 15 8" xfId="18413" xr:uid="{BA721AEC-6FE2-4013-A107-9580A81EB10F}"/>
    <cellStyle name="40% - 强调文字颜色 1 16" xfId="1113" xr:uid="{DF6D91F4-6AD9-4A57-B245-419F8DDA34BA}"/>
    <cellStyle name="40% - 强调文字颜色 1 16 2" xfId="2080" xr:uid="{068C9C14-F0AD-4DFD-AB75-D91728AA04F3}"/>
    <cellStyle name="40% - 强调文字颜色 1 16 2 2" xfId="9790" xr:uid="{DEE0FBB7-F37E-48C8-A919-51AA6E53F370}"/>
    <cellStyle name="40% - 强调文字颜色 1 16 2 2 2" xfId="18420" xr:uid="{6D38BEA8-9A3F-4FF0-B0FD-317B6BEB8EE2}"/>
    <cellStyle name="40% - 强调文字颜色 1 16 2 3" xfId="18419" xr:uid="{BA1E4559-E1B9-47AA-A270-C9AE129C5925}"/>
    <cellStyle name="40% - 强调文字颜色 1 16 3" xfId="3818" xr:uid="{D87CFFF4-9304-46A8-84ED-37ACCC512CAD}"/>
    <cellStyle name="40% - 强调文字颜色 1 16 3 2" xfId="3819" xr:uid="{25300681-5D78-475C-B899-1BBE35388E33}"/>
    <cellStyle name="40% - 强调文字颜色 1 16 3 3" xfId="9791" xr:uid="{70E86197-FA75-4E76-99B5-D5367E061A93}"/>
    <cellStyle name="40% - 强调文字颜色 1 16 3 4" xfId="18421" xr:uid="{83A94949-9315-47A1-9B5A-A4A643619A0C}"/>
    <cellStyle name="40% - 强调文字颜色 1 16 4" xfId="3821" xr:uid="{EB97F352-C91E-490A-A1FA-234042434BEC}"/>
    <cellStyle name="40% - 强调文字颜色 1 16 4 2" xfId="3823" xr:uid="{15449CBB-F592-43C4-9FA4-21208FA6609D}"/>
    <cellStyle name="40% - 强调文字颜色 1 16 4 3" xfId="18422" xr:uid="{66CD17F9-E768-4493-9889-53F48E310E1F}"/>
    <cellStyle name="40% - 强调文字颜色 1 16 5" xfId="3825" xr:uid="{391A2480-75B1-402D-B82C-F6A591095BC7}"/>
    <cellStyle name="40% - 强调文字颜色 1 16 6" xfId="9789" xr:uid="{8E946B60-9A41-4E08-935A-975D9A9C0090}"/>
    <cellStyle name="40% - 强调文字颜色 1 16 7" xfId="13195" xr:uid="{B0F9FB12-AED6-42DD-A5AD-5F32D580A1E6}"/>
    <cellStyle name="40% - 强调文字颜色 1 16 8" xfId="18418" xr:uid="{46AAF496-31BF-4CC4-A6DE-A37049AF11E4}"/>
    <cellStyle name="40% - 强调文字颜色 1 17" xfId="2086" xr:uid="{726BF71E-35DF-43D6-BE8A-6E113753741C}"/>
    <cellStyle name="40% - 强调文字颜色 1 17 2" xfId="2775" xr:uid="{689D35DF-9B20-4894-B1A7-688E5339915B}"/>
    <cellStyle name="40% - 强调文字颜色 1 17 2 2" xfId="3826" xr:uid="{609F1F87-4B25-4CCE-8990-BCC57C98EBAE}"/>
    <cellStyle name="40% - 强调文字颜色 1 17 2 2 2" xfId="18425" xr:uid="{4DC0D601-2F93-4B98-91E4-4CA29917812E}"/>
    <cellStyle name="40% - 强调文字颜色 1 17 2 3" xfId="9793" xr:uid="{98E2D70A-6E7F-4FFE-A55C-022F459BD5EA}"/>
    <cellStyle name="40% - 强调文字颜色 1 17 2 4" xfId="18424" xr:uid="{01B13B91-1788-4370-A903-165ED2E6642D}"/>
    <cellStyle name="40% - 强调文字颜色 1 17 3" xfId="3828" xr:uid="{725FAD04-56D4-4AB4-BDE2-A0E80B9E561F}"/>
    <cellStyle name="40% - 强调文字颜色 1 17 3 2" xfId="3829" xr:uid="{19939B48-5C31-4C04-8F41-A330EC13A0FA}"/>
    <cellStyle name="40% - 强调文字颜色 1 17 3 3" xfId="9794" xr:uid="{0F36F591-3232-4E79-9388-8EF47ADAD1EC}"/>
    <cellStyle name="40% - 强调文字颜色 1 17 3 4" xfId="18426" xr:uid="{CEF4D6B8-63C2-419C-A4A6-349819E05B16}"/>
    <cellStyle name="40% - 强调文字颜色 1 17 4" xfId="9792" xr:uid="{D77A7C13-D622-4E5F-BD54-B225A51E4BB5}"/>
    <cellStyle name="40% - 强调文字颜色 1 17 4 2" xfId="18427" xr:uid="{116FC4BE-244B-4A63-991F-8451C9AA9317}"/>
    <cellStyle name="40% - 强调文字颜色 1 17 5" xfId="13201" xr:uid="{5B6FFB11-AD8F-4441-9DB7-ADAF95A3758E}"/>
    <cellStyle name="40% - 强调文字颜色 1 17 6" xfId="18423" xr:uid="{B7B9F4E2-031C-41E9-A44C-44F539123618}"/>
    <cellStyle name="40% - 强调文字颜色 1 18" xfId="2092" xr:uid="{6DA91E91-8467-4ABE-8AD7-F10FEC2CD2EB}"/>
    <cellStyle name="40% - 强调文字颜色 1 18 2" xfId="2096" xr:uid="{2D911C10-0778-435D-A190-B28DF4486555}"/>
    <cellStyle name="40% - 强调文字颜色 1 18 2 2" xfId="3830" xr:uid="{8E73B5AE-087E-4363-938D-90E6611C1A0B}"/>
    <cellStyle name="40% - 强调文字颜色 1 18 2 2 2" xfId="18430" xr:uid="{1EF89E5E-B63B-48F8-91F1-A0E22A9BAFDA}"/>
    <cellStyle name="40% - 强调文字颜色 1 18 2 3" xfId="18429" xr:uid="{73990E51-C123-4D7F-BFA0-05F8574C50C9}"/>
    <cellStyle name="40% - 强调文字颜色 1 18 3" xfId="3833" xr:uid="{8EB81043-3527-4BD6-86B4-DD9B847F1FA2}"/>
    <cellStyle name="40% - 强调文字颜色 1 18 3 2" xfId="3834" xr:uid="{54046AF2-A437-48DB-9483-F5C885E9DB79}"/>
    <cellStyle name="40% - 强调文字颜色 1 18 3 3" xfId="18431" xr:uid="{50964E97-7BEA-440B-862C-3135D9C164A8}"/>
    <cellStyle name="40% - 强调文字颜色 1 18 4" xfId="9795" xr:uid="{77099827-28D6-4BA6-9688-3236364B6E81}"/>
    <cellStyle name="40% - 强调文字颜色 1 18 4 2" xfId="18432" xr:uid="{2DCF2D6B-04DB-44AC-B069-DD97441AA66A}"/>
    <cellStyle name="40% - 强调文字颜色 1 18 5" xfId="13172" xr:uid="{F47250CE-9244-49D9-9684-8BFE36133362}"/>
    <cellStyle name="40% - 强调文字颜色 1 18 6" xfId="18428" xr:uid="{DF990F58-5B6E-4C17-BFE2-C9A368C843BB}"/>
    <cellStyle name="40% - 强调文字颜色 1 19" xfId="2102" xr:uid="{6ABFEF67-1BBB-4FCB-80CA-E76168E9308D}"/>
    <cellStyle name="40% - 强调文字颜色 1 19 2" xfId="326" xr:uid="{04E0AB18-3BB5-40FA-8D39-A4610EF201A9}"/>
    <cellStyle name="40% - 强调文字颜色 1 19 2 2" xfId="3836" xr:uid="{6CF452F2-E9A7-473F-8F7B-797D00168DBB}"/>
    <cellStyle name="40% - 强调文字颜色 1 19 2 2 2" xfId="18435" xr:uid="{26E0A2E1-38D7-42C4-9C9B-6B5BBF06F4C4}"/>
    <cellStyle name="40% - 强调文字颜色 1 19 2 3" xfId="18434" xr:uid="{FA24C079-893E-47F1-8300-DA3D144F3BDF}"/>
    <cellStyle name="40% - 强调文字颜色 1 19 3" xfId="9796" xr:uid="{780F421E-3F66-4ED0-A064-4103D68CE5AA}"/>
    <cellStyle name="40% - 强调文字颜色 1 19 3 2" xfId="18436" xr:uid="{389E4222-4A67-48F3-BDA3-56FEDDB5EDF8}"/>
    <cellStyle name="40% - 强调文字颜色 1 19 4" xfId="13156" xr:uid="{CD1FA65C-5CFC-4BE3-86DE-BFA6F279070B}"/>
    <cellStyle name="40% - 强调文字颜色 1 19 4 2" xfId="18437" xr:uid="{81559D50-DEE2-4B25-93B1-F20330B25AF9}"/>
    <cellStyle name="40% - 强调文字颜色 1 19 5" xfId="18433" xr:uid="{81D7896C-184A-4E89-8E18-E551724217F5}"/>
    <cellStyle name="40% - 强调文字颜色 1 2" xfId="3839" xr:uid="{10C664A2-8D51-4050-BE0F-1426B613D706}"/>
    <cellStyle name="40% - 强调文字颜色 1 2 10" xfId="3840" xr:uid="{839B5301-A9DC-420C-8E79-C9B43AF1EB58}"/>
    <cellStyle name="40% - 强调文字颜色 1 2 10 2" xfId="3841" xr:uid="{91C3911E-C0F3-4E6C-957D-76875EEDD6AF}"/>
    <cellStyle name="40% - 强调文字颜色 1 2 11" xfId="3842" xr:uid="{91F0F366-A58B-44A2-9860-B68DF6FB76C8}"/>
    <cellStyle name="40% - 强调文字颜色 1 2 11 2" xfId="3843" xr:uid="{06A70433-BED9-4F25-ACD6-1D121A667A80}"/>
    <cellStyle name="40% - 强调文字颜色 1 2 12" xfId="3844" xr:uid="{55B786CB-00D1-497B-84C2-6C87DA5DBD88}"/>
    <cellStyle name="40% - 强调文字颜色 1 2 12 2" xfId="3845" xr:uid="{825B9C86-0661-4A94-8AFF-F61E0A54064E}"/>
    <cellStyle name="40% - 强调文字颜色 1 2 13" xfId="3846" xr:uid="{4BC0F8C6-828C-4302-9CDC-C7ACD1CCB9F5}"/>
    <cellStyle name="40% - 强调文字颜色 1 2 13 2" xfId="3847" xr:uid="{4C010E02-9E27-4ACE-AD92-DE8F832CF2F8}"/>
    <cellStyle name="40% - 强调文字颜色 1 2 14" xfId="3848" xr:uid="{6499A7D0-EE5D-4A70-B9F9-DD673751885C}"/>
    <cellStyle name="40% - 强调文字颜色 1 2 14 2" xfId="3849" xr:uid="{B7A85C44-C35D-4683-82C1-492344BA3CEF}"/>
    <cellStyle name="40% - 强调文字颜色 1 2 15" xfId="3850" xr:uid="{178B07A9-9C37-44A3-A222-FAACA2343A88}"/>
    <cellStyle name="40% - 强调文字颜色 1 2 15 2" xfId="3852" xr:uid="{4150B6B8-F891-4C5A-9382-43BD01103681}"/>
    <cellStyle name="40% - 强调文字颜色 1 2 16" xfId="3854" xr:uid="{64F32D9D-DE8C-4692-B788-BCE6CCDED039}"/>
    <cellStyle name="40% - 强调文字颜色 1 2 17" xfId="3856" xr:uid="{E996C40F-C1ED-4B5E-8883-E6ABC8050F86}"/>
    <cellStyle name="40% - 强调文字颜色 1 2 17 2" xfId="3858" xr:uid="{5843B8EA-1313-41A4-9637-BCF7BE48A328}"/>
    <cellStyle name="40% - 强调文字颜色 1 2 18" xfId="3859" xr:uid="{E084EB3B-167B-4785-9334-99920DF22927}"/>
    <cellStyle name="40% - 强调文字颜色 1 2 18 2" xfId="3860" xr:uid="{CBEA779E-1DDC-49D7-84F8-0C0C63053792}"/>
    <cellStyle name="40% - 强调文字颜色 1 2 19" xfId="3861" xr:uid="{D02ED05A-3D24-4972-8038-F8B6BD137EB2}"/>
    <cellStyle name="40% - 强调文字颜色 1 2 2" xfId="3862" xr:uid="{5D75F625-AC89-48D1-9D93-13F54784B155}"/>
    <cellStyle name="40% - 强调文字颜色 1 2 2 10" xfId="3863" xr:uid="{5C1FEE0B-FE8A-4BAB-AB44-5B510C56B067}"/>
    <cellStyle name="40% - 强调文字颜色 1 2 2 10 2" xfId="3864" xr:uid="{5B9E9E42-9A01-444E-A068-D79E5E5FC283}"/>
    <cellStyle name="40% - 强调文字颜色 1 2 2 11" xfId="3865" xr:uid="{1AA8363A-8A81-4E93-A772-504108D4CFD1}"/>
    <cellStyle name="40% - 强调文字颜色 1 2 2 11 2" xfId="3866" xr:uid="{B232A229-D744-46F0-8923-76B8DB369AA6}"/>
    <cellStyle name="40% - 强调文字颜色 1 2 2 12" xfId="3257" xr:uid="{35C6BBA8-57B7-46C8-8FF4-1BAE9DF12047}"/>
    <cellStyle name="40% - 强调文字颜色 1 2 2 12 2" xfId="3259" xr:uid="{DAAD499E-8C9F-4EF2-BF0E-E27263201580}"/>
    <cellStyle name="40% - 强调文字颜色 1 2 2 13" xfId="3261" xr:uid="{1D5F6E45-9377-459C-B5E8-25D3DF6686CB}"/>
    <cellStyle name="40% - 强调文字颜色 1 2 2 13 2" xfId="334" xr:uid="{173AA118-B1F5-4A44-A7F5-C50F184E2F53}"/>
    <cellStyle name="40% - 强调文字颜色 1 2 2 14" xfId="3263" xr:uid="{D3CB411B-8019-4CCC-B4D7-1022ED5B6846}"/>
    <cellStyle name="40% - 强调文字颜色 1 2 2 14 2" xfId="360" xr:uid="{BB41FC4C-2A01-4F8C-B983-44F28BF316D8}"/>
    <cellStyle name="40% - 强调文字颜色 1 2 2 15" xfId="3265" xr:uid="{A21A2FA5-A188-4F33-9B72-4CBCA442F99D}"/>
    <cellStyle name="40% - 强调文字颜色 1 2 2 15 2" xfId="379" xr:uid="{15691462-67C0-4C40-BB77-40AC811D31EB}"/>
    <cellStyle name="40% - 强调文字颜色 1 2 2 16" xfId="9798" xr:uid="{8FDC0CF2-23A1-4CB4-973E-4ECE17D76070}"/>
    <cellStyle name="40% - 强调文字颜色 1 2 2 17" xfId="13357" xr:uid="{9C5A8D61-291A-44F8-B62E-FF329169D9DE}"/>
    <cellStyle name="40% - 强调文字颜色 1 2 2 18" xfId="18438" xr:uid="{00549CE1-29AB-47B4-ADC5-887CE6D460DC}"/>
    <cellStyle name="40% - 强调文字颜色 1 2 2 19" xfId="27303" xr:uid="{F376FD0E-A5A5-40D1-8817-7BCE4971BB1B}"/>
    <cellStyle name="40% - 强调文字颜色 1 2 2 2" xfId="3867" xr:uid="{DA2BDEE1-570A-4226-BC46-8D206FE1A0F6}"/>
    <cellStyle name="40% - 强调文字颜色 1 2 2 2 2" xfId="18439" xr:uid="{85DBFC86-13CC-411E-95F2-4590E5130635}"/>
    <cellStyle name="40% - 强调文字颜色 1 2 2 3" xfId="3868" xr:uid="{0F1BE4D8-FA66-42CE-97A6-853ADE611A8F}"/>
    <cellStyle name="40% - 强调文字颜色 1 2 2 4" xfId="928" xr:uid="{3446258A-90B2-4B52-9A3C-910897EC0971}"/>
    <cellStyle name="40% - 强调文字颜色 1 2 2 4 2" xfId="568" xr:uid="{B1B5ACC0-CD07-42C7-B9EC-57E02A7F2015}"/>
    <cellStyle name="40% - 强调文字颜色 1 2 2 5" xfId="3870" xr:uid="{8210850D-EA4A-45E0-BCF0-FABCA8A220C1}"/>
    <cellStyle name="40% - 强调文字颜色 1 2 2 5 2" xfId="3872" xr:uid="{2CE89FBD-D824-4E0B-822F-196032A6D269}"/>
    <cellStyle name="40% - 强调文字颜色 1 2 2 6" xfId="3873" xr:uid="{93243FC8-5A41-458B-B4D1-89F66A7E1EA8}"/>
    <cellStyle name="40% - 强调文字颜色 1 2 2 6 2" xfId="3875" xr:uid="{6F3C876B-09DB-4B93-BAA2-28CD0B0C5BD4}"/>
    <cellStyle name="40% - 强调文字颜色 1 2 2 7" xfId="3877" xr:uid="{98D97171-BA68-4014-96AA-CDD8EFEC0004}"/>
    <cellStyle name="40% - 强调文字颜色 1 2 2 7 2" xfId="3881" xr:uid="{6E4306BE-207B-49B2-B9B7-3531CF9A51A4}"/>
    <cellStyle name="40% - 强调文字颜色 1 2 2 8" xfId="3883" xr:uid="{B78796AF-733F-4F21-A94D-B7B83A2B0C71}"/>
    <cellStyle name="40% - 强调文字颜色 1 2 2 8 2" xfId="3886" xr:uid="{7EF9D83C-3075-46A4-9F5D-C1553BEA3B88}"/>
    <cellStyle name="40% - 强调文字颜色 1 2 2 9" xfId="1767" xr:uid="{7EEBF68C-F7F5-4880-B561-A6FA480249E5}"/>
    <cellStyle name="40% - 强调文字颜色 1 2 2 9 2" xfId="3888" xr:uid="{EA065DD5-7E08-45AD-98D4-15FD47EB8F4B}"/>
    <cellStyle name="40% - 强调文字颜色 1 2 20" xfId="3851" xr:uid="{F365012C-49F4-4C45-9D79-248816F0DB61}"/>
    <cellStyle name="40% - 强调文字颜色 1 2 20 2" xfId="3853" xr:uid="{340F15FA-713A-4E2B-8F09-210AA36CFF7A}"/>
    <cellStyle name="40% - 强调文字颜色 1 2 21" xfId="3855" xr:uid="{F17B7987-B19F-42CD-8964-B881C56A505B}"/>
    <cellStyle name="40% - 强调文字颜色 1 2 21 2" xfId="3890" xr:uid="{1FCB3E66-7206-4E32-852E-0425EE621919}"/>
    <cellStyle name="40% - 强调文字颜色 1 2 22" xfId="9797" xr:uid="{53BD1658-CAFA-41D0-826E-0DD89258B4B5}"/>
    <cellStyle name="40% - 强调文字颜色 1 2 23" xfId="13417" xr:uid="{CC29D418-ADDC-481C-AE94-9D67B10534E2}"/>
    <cellStyle name="40% - 强调文字颜色 1 2 24" xfId="12132" xr:uid="{DE22C51F-D381-48A8-B766-6F67AF444722}"/>
    <cellStyle name="40% - 强调文字颜色 1 2 3" xfId="3891" xr:uid="{0D1496E7-2CEF-47F6-A97B-6202A0CB0B85}"/>
    <cellStyle name="40% - 强调文字颜色 1 2 3 2" xfId="9799" xr:uid="{CD387761-970B-4757-ADE4-CDF587BA6DA4}"/>
    <cellStyle name="40% - 强调文字颜色 1 2 3 2 2" xfId="18441" xr:uid="{7C9E45C5-E08B-44B5-8C8F-036C98960C0C}"/>
    <cellStyle name="40% - 强调文字颜色 1 2 3 3" xfId="13336" xr:uid="{421B6C96-3B6A-47AB-98D8-949E40D75AAC}"/>
    <cellStyle name="40% - 强调文字颜色 1 2 3 4" xfId="18440" xr:uid="{04258806-0822-4042-95D5-1CF09FCC1B6C}"/>
    <cellStyle name="40% - 强调文字颜色 1 2 3 5" xfId="27304" xr:uid="{0645851C-D6EE-413B-951D-337DF76222A3}"/>
    <cellStyle name="40% - 强调文字颜色 1 2 4" xfId="3892" xr:uid="{A49847CB-F9CC-425B-97E9-5748A67FE183}"/>
    <cellStyle name="40% - 强调文字颜色 1 2 4 2" xfId="2760" xr:uid="{540F80A6-BA27-4810-8EF7-312A1B3FC41F}"/>
    <cellStyle name="40% - 强调文字颜色 1 2 4 3" xfId="13317" xr:uid="{1938A16D-99D2-4E2F-8803-8D6E02202454}"/>
    <cellStyle name="40% - 强调文字颜色 1 2 4 4" xfId="18442" xr:uid="{8C5BDF51-4E94-48A3-883D-3DB04564D508}"/>
    <cellStyle name="40% - 强调文字颜色 1 2 4 5" xfId="27692" xr:uid="{180BDC77-D93E-4A3D-B27F-1DB2D532E359}"/>
    <cellStyle name="40% - 强调文字颜色 1 2 5" xfId="3893" xr:uid="{27383800-073A-4597-8D97-82EC56D1E3A0}"/>
    <cellStyle name="40% - 强调文字颜色 1 2 5 2" xfId="2966" xr:uid="{8B7BB338-B607-43E1-85E9-A2E80FBC56EB}"/>
    <cellStyle name="40% - 强调文字颜色 1 2 5 3" xfId="18443" xr:uid="{F9B727B8-BD09-4D66-94E2-E958FF9746FC}"/>
    <cellStyle name="40% - 强调文字颜色 1 2 6" xfId="1704" xr:uid="{F9CB96A5-4401-4CF6-937C-FE9F32822144}"/>
    <cellStyle name="40% - 强调文字颜色 1 2 6 2" xfId="3894" xr:uid="{B39E0D12-DD52-4764-B377-E8A6456DF58F}"/>
    <cellStyle name="40% - 强调文字颜色 1 2 6 3" xfId="18444" xr:uid="{0B0266A4-CCE9-40BC-AF3A-C09117081227}"/>
    <cellStyle name="40% - 强调文字颜色 1 2 7" xfId="3895" xr:uid="{57A1AADD-37E0-4CD4-8ECD-EFD62EF1D5C7}"/>
    <cellStyle name="40% - 强调文字颜色 1 2 7 2" xfId="3897" xr:uid="{BCA9C092-9075-4FB8-8567-340458DE2267}"/>
    <cellStyle name="40% - 强调文字颜色 1 2 7 3" xfId="18445" xr:uid="{FD4487A8-0024-4EB4-9931-F612782E89C7}"/>
    <cellStyle name="40% - 强调文字颜色 1 2 8" xfId="3898" xr:uid="{895FDECE-9E1A-40E4-A44E-C5D2CCD71578}"/>
    <cellStyle name="40% - 强调文字颜色 1 2 8 2" xfId="3899" xr:uid="{5571B92F-2CA3-458C-ABE6-CF079F688DE7}"/>
    <cellStyle name="40% - 强调文字颜色 1 2 9" xfId="3900" xr:uid="{F57845CD-D974-4A39-9413-83CD9BB31FAE}"/>
    <cellStyle name="40% - 强调文字颜色 1 2 9 2" xfId="3226" xr:uid="{5CEE81A8-E131-4B88-A45E-2822E5F1947A}"/>
    <cellStyle name="40% - 强调文字颜色 1 2_动力部" xfId="18446" xr:uid="{4831F102-3340-4AA8-84B5-CBBC98B71A12}"/>
    <cellStyle name="40% - 强调文字颜色 1 20" xfId="3812" xr:uid="{80B84A0C-AD6A-4BA1-94DA-6F1312409EED}"/>
    <cellStyle name="40% - 强调文字颜色 1 20 2" xfId="3814" xr:uid="{2345CCDD-5D0A-41A2-916C-1FC9C79CAEA7}"/>
    <cellStyle name="40% - 强调文字颜色 1 20 2 2" xfId="3901" xr:uid="{AB1209FD-FEE1-4725-98EF-51321E7455EC}"/>
    <cellStyle name="40% - 强调文字颜色 1 20 2 2 2" xfId="18449" xr:uid="{EDA7837E-EAEF-4079-96E8-1B9CC6EDD4E0}"/>
    <cellStyle name="40% - 强调文字颜色 1 20 2 3" xfId="18448" xr:uid="{D5D6FE76-4D9A-4CEB-B185-02E885618248}"/>
    <cellStyle name="40% - 强调文字颜色 1 20 3" xfId="9800" xr:uid="{04BBB76A-BEAA-4070-9941-F03DF1A33BB1}"/>
    <cellStyle name="40% - 强调文字颜色 1 20 3 2" xfId="18450" xr:uid="{674509CB-B3AE-47EB-871F-AF1A643A2610}"/>
    <cellStyle name="40% - 强调文字颜色 1 20 4" xfId="13161" xr:uid="{27017403-9CD6-4195-AB77-A46CFCBB009A}"/>
    <cellStyle name="40% - 强调文字颜色 1 20 4 2" xfId="18451" xr:uid="{8C636061-849D-4FFB-A062-73764710223E}"/>
    <cellStyle name="40% - 强调文字颜色 1 20 5" xfId="18447" xr:uid="{A50D850E-5577-4AC7-9497-E3E82F266C96}"/>
    <cellStyle name="40% - 强调文字颜色 1 21" xfId="1114" xr:uid="{B0D61465-D652-4ABA-9539-A16EEC96B45B}"/>
    <cellStyle name="40% - 强调文字颜色 1 21 2" xfId="2081" xr:uid="{9A91AE26-30E4-4DFC-949B-59A9F51B448A}"/>
    <cellStyle name="40% - 强调文字颜色 1 21 2 2" xfId="3902" xr:uid="{57EF9983-BF8A-48B8-B3A9-9DE9D7AEFA1F}"/>
    <cellStyle name="40% - 强调文字颜色 1 21 2 2 2" xfId="18454" xr:uid="{0E60FA25-3284-4825-8BC9-60D92FCB7B2F}"/>
    <cellStyle name="40% - 强调文字颜色 1 21 2 3" xfId="18453" xr:uid="{6012D315-39F7-4289-BD12-B5DC11197D37}"/>
    <cellStyle name="40% - 强调文字颜色 1 21 3" xfId="9801" xr:uid="{38336816-9295-4074-9CAD-FC80EAD553D8}"/>
    <cellStyle name="40% - 强调文字颜色 1 21 3 2" xfId="18455" xr:uid="{F20613A4-1B7E-4A5F-A107-872A9FE91C1C}"/>
    <cellStyle name="40% - 强调文字颜色 1 21 4" xfId="13132" xr:uid="{1884370D-C162-48F2-8CA9-D86480FD761C}"/>
    <cellStyle name="40% - 强调文字颜色 1 21 4 2" xfId="18456" xr:uid="{0F526758-F2BF-4724-AAD5-9F0BB9BC7DFB}"/>
    <cellStyle name="40% - 强调文字颜色 1 21 5" xfId="18452" xr:uid="{D8D149BB-89BF-47D8-8ACA-CD3385F707A2}"/>
    <cellStyle name="40% - 强调文字颜色 1 22" xfId="2087" xr:uid="{8BB847C0-9E13-45A6-A5EE-5FD324ADDD75}"/>
    <cellStyle name="40% - 强调文字颜色 1 22 2" xfId="2776" xr:uid="{40705CC2-65E3-4F61-9BB2-46BBBC137F2A}"/>
    <cellStyle name="40% - 强调文字颜色 1 22 2 2" xfId="3827" xr:uid="{99A398F3-24CB-41BE-8FB7-D091F51A893C}"/>
    <cellStyle name="40% - 强调文字颜色 1 22 2 2 2" xfId="18459" xr:uid="{9E547E7A-8F43-40AC-8E6D-F9C1B35B6D46}"/>
    <cellStyle name="40% - 强调文字颜色 1 22 2 3" xfId="18458" xr:uid="{1BE51BD1-F050-4327-94D2-C24BE86CFC76}"/>
    <cellStyle name="40% - 强调文字颜色 1 22 3" xfId="9802" xr:uid="{98A78FAF-6AF9-4DF5-A01C-B66CA6B5FC43}"/>
    <cellStyle name="40% - 强调文字颜色 1 22 3 2" xfId="18460" xr:uid="{BC6F5B0B-4F8C-4569-B2D0-376974B6E6D2}"/>
    <cellStyle name="40% - 强调文字颜色 1 22 4" xfId="13119" xr:uid="{556E5DA7-5EF6-47E6-B3C2-422D5DDFFA4B}"/>
    <cellStyle name="40% - 强调文字颜色 1 22 4 2" xfId="18461" xr:uid="{8304270B-93C0-4D7E-A182-5BB63C585AF9}"/>
    <cellStyle name="40% - 强调文字颜色 1 22 5" xfId="18457" xr:uid="{5A4DB7E6-F378-4275-8CB6-6CD288019751}"/>
    <cellStyle name="40% - 强调文字颜色 1 23" xfId="2093" xr:uid="{391FB8DE-B9AB-4DC5-8FDA-659B7E9C7CB4}"/>
    <cellStyle name="40% - 强调文字颜色 1 23 2" xfId="2097" xr:uid="{75FA2D48-5876-4148-85C4-773050C20F8D}"/>
    <cellStyle name="40% - 强调文字颜色 1 23 2 2" xfId="3831" xr:uid="{43D25902-9F09-4CB9-B6CC-D1EE270BDB58}"/>
    <cellStyle name="40% - 强调文字颜色 1 23 2 2 2" xfId="18464" xr:uid="{9F81E181-6060-4ABD-A62D-6D53B46C2B66}"/>
    <cellStyle name="40% - 强调文字颜色 1 23 2 3" xfId="18463" xr:uid="{0F265DE5-1940-459C-9882-DDD70366A1B8}"/>
    <cellStyle name="40% - 强调文字颜色 1 23 3" xfId="13088" xr:uid="{B01A502C-4FCA-42B2-95E5-199282BEF26C}"/>
    <cellStyle name="40% - 强调文字颜色 1 23 3 2" xfId="18465" xr:uid="{699FC356-C645-40D3-A135-5E0C1ECBF55D}"/>
    <cellStyle name="40% - 强调文字颜色 1 23 4" xfId="18466" xr:uid="{FE3B8ACF-3A7B-4E49-B317-5FF33BD56BE8}"/>
    <cellStyle name="40% - 强调文字颜色 1 23 5" xfId="18462" xr:uid="{CF225D6F-1067-4BEF-BBB6-943D3AA828B9}"/>
    <cellStyle name="40% - 强调文字颜色 1 24" xfId="2103" xr:uid="{C7F6DD36-71F1-4E44-BF1D-0805C18D8139}"/>
    <cellStyle name="40% - 强调文字颜色 1 24 2" xfId="13108" xr:uid="{C4B5DAFE-958B-48CE-ADCD-A2C828EEBACA}"/>
    <cellStyle name="40% - 强调文字颜色 1 24 2 2" xfId="18469" xr:uid="{BEA115CC-2DE8-407D-B423-84736A1CB755}"/>
    <cellStyle name="40% - 强调文字颜色 1 24 2 3" xfId="18468" xr:uid="{941BFB4B-D6E0-4D70-BD47-5F54A2B601C3}"/>
    <cellStyle name="40% - 强调文字颜色 1 24 3" xfId="18470" xr:uid="{416C0859-E8CF-4592-B9B6-8FDAF67388FB}"/>
    <cellStyle name="40% - 强调文字颜色 1 24 4" xfId="18471" xr:uid="{992544F9-EBCC-4E40-94EC-33A4FBB7B27A}"/>
    <cellStyle name="40% - 强调文字颜色 1 24 5" xfId="18467" xr:uid="{82ED531D-E7A6-4F9C-B72F-DDDAF742C94E}"/>
    <cellStyle name="40% - 强调文字颜色 1 25" xfId="2110" xr:uid="{5020D4B0-8322-4075-BA69-6A4F953F4776}"/>
    <cellStyle name="40% - 强调文字颜色 1 25 2" xfId="13029" xr:uid="{FE41DAAD-35A1-485D-8546-D5567794D540}"/>
    <cellStyle name="40% - 强调文字颜色 1 25 2 2" xfId="18474" xr:uid="{30F43285-FF43-43F2-B27B-CE217CE90DAB}"/>
    <cellStyle name="40% - 强调文字颜色 1 25 2 3" xfId="18473" xr:uid="{803618AE-304F-472E-AA50-25CF30E4940D}"/>
    <cellStyle name="40% - 强调文字颜色 1 25 3" xfId="18475" xr:uid="{578C9388-8D4F-4FE6-BCB8-ABCE34103477}"/>
    <cellStyle name="40% - 强调文字颜色 1 25 4" xfId="18476" xr:uid="{EE25C747-D697-4739-B15E-8F6F1AB15F3D}"/>
    <cellStyle name="40% - 强调文字颜色 1 25 5" xfId="18472" xr:uid="{1D58DCC9-EBD8-4E11-80C9-2308E120D286}"/>
    <cellStyle name="40% - 强调文字颜色 1 26" xfId="3903" xr:uid="{450F3464-2509-4451-BFEE-B882C596B28D}"/>
    <cellStyle name="40% - 强调文字颜色 1 26 2" xfId="18478" xr:uid="{7D927E18-3ED1-4470-BB84-2411A99AD617}"/>
    <cellStyle name="40% - 强调文字颜色 1 26 2 2" xfId="18479" xr:uid="{48ADEE8A-807D-48A3-AFBB-1276C89D1687}"/>
    <cellStyle name="40% - 强调文字颜色 1 26 3" xfId="18480" xr:uid="{6F8A1A5D-43CB-4919-B396-D6F398AAF11E}"/>
    <cellStyle name="40% - 强调文字颜色 1 26 4" xfId="18481" xr:uid="{43FCDF63-7781-4B8C-AF85-229D7F6C3414}"/>
    <cellStyle name="40% - 强调文字颜色 1 26 5" xfId="18477" xr:uid="{C7EAC9B7-E559-44B7-9F40-178456AC47C2}"/>
    <cellStyle name="40% - 强调文字颜色 1 27" xfId="3905" xr:uid="{D555F22B-89BB-4648-B346-AFE0DAA3FA06}"/>
    <cellStyle name="40% - 强调文字颜色 1 27 2" xfId="18483" xr:uid="{DA451FDD-3F70-45A0-B000-6CE4C64A4C99}"/>
    <cellStyle name="40% - 强调文字颜色 1 27 2 2" xfId="18484" xr:uid="{BBB511E9-EF86-4C51-82B9-20F7858074BB}"/>
    <cellStyle name="40% - 强调文字颜色 1 27 3" xfId="18485" xr:uid="{87A5AFA6-DB6C-4081-8F2E-8A70A055BD13}"/>
    <cellStyle name="40% - 强调文字颜色 1 27 4" xfId="18486" xr:uid="{DC78F006-4D8A-4ADA-89F3-29D5F7A0F7F9}"/>
    <cellStyle name="40% - 强调文字颜色 1 27 5" xfId="18482" xr:uid="{26248D6C-E4B7-44C4-B5F3-9CC52E65916C}"/>
    <cellStyle name="40% - 强调文字颜色 1 28" xfId="3907" xr:uid="{141EBCB6-9483-408F-A9C8-B5603ED0AA23}"/>
    <cellStyle name="40% - 强调文字颜色 1 28 2" xfId="18488" xr:uid="{AC926308-3BDB-4F2D-9E7B-917C919E9900}"/>
    <cellStyle name="40% - 强调文字颜色 1 28 3" xfId="18489" xr:uid="{A82BDC6F-3813-4EDA-B76B-6A1B9CA99C78}"/>
    <cellStyle name="40% - 强调文字颜色 1 28 4" xfId="18490" xr:uid="{AEB9987F-14DC-40A3-B97C-DEFEDE180736}"/>
    <cellStyle name="40% - 强调文字颜色 1 28 5" xfId="18487" xr:uid="{7E88A35C-8836-4760-9427-0078CA478ADC}"/>
    <cellStyle name="40% - 强调文字颜色 1 29" xfId="3909" xr:uid="{6E5FB8EE-E58B-47CD-8519-C5674F63A5C2}"/>
    <cellStyle name="40% - 强调文字颜色 1 29 2" xfId="18492" xr:uid="{29001B82-9BA8-43F4-B7A1-7D0D52CDC1D4}"/>
    <cellStyle name="40% - 强调文字颜色 1 29 3" xfId="18493" xr:uid="{4A112C18-683D-43FC-916F-F3B211DA13BA}"/>
    <cellStyle name="40% - 强调文字颜色 1 29 4" xfId="18494" xr:uid="{CEA31E7A-4900-4121-8225-F313482E2790}"/>
    <cellStyle name="40% - 强调文字颜色 1 29 5" xfId="18491" xr:uid="{E589047A-E250-4231-A48B-09A8069FDBCC}"/>
    <cellStyle name="40% - 强调文字颜色 1 3" xfId="3911" xr:uid="{40A0B33D-AC7C-46F6-B811-3C85BADC854C}"/>
    <cellStyle name="40% - 强调文字颜色 1 3 10" xfId="3912" xr:uid="{4BBCB900-4ED4-4B32-8604-D4BD0C950F50}"/>
    <cellStyle name="40% - 强调文字颜色 1 3 10 2" xfId="3913" xr:uid="{68BDE962-6218-416B-9E0A-7C49F4FFC278}"/>
    <cellStyle name="40% - 强调文字颜色 1 3 11" xfId="3914" xr:uid="{9363DB0C-F7F0-4C0B-8ED9-12EE5944C381}"/>
    <cellStyle name="40% - 强调文字颜色 1 3 11 2" xfId="3916" xr:uid="{9C3AB387-1D03-41D5-B4A5-22D1089AFA67}"/>
    <cellStyle name="40% - 强调文字颜色 1 3 12" xfId="3917" xr:uid="{E43EAD0D-4D29-42F1-9A95-5E62F2546C57}"/>
    <cellStyle name="40% - 强调文字颜色 1 3 13" xfId="3918" xr:uid="{3A9AB4E9-03DA-4379-9887-06BB75449B4E}"/>
    <cellStyle name="40% - 强调文字颜色 1 3 13 2" xfId="3919" xr:uid="{D9DC83EB-BBF1-4B57-816B-02B498D22DB9}"/>
    <cellStyle name="40% - 强调文字颜色 1 3 14" xfId="3920" xr:uid="{09C041AD-629A-4FE5-A035-8EFA4EADBC0C}"/>
    <cellStyle name="40% - 强调文字颜色 1 3 14 2" xfId="3921" xr:uid="{A5514511-6F3B-49E2-BE1B-BB428E5B1089}"/>
    <cellStyle name="40% - 强调文字颜色 1 3 15" xfId="3651" xr:uid="{AF201743-2584-4EDA-9AA4-BDEE4B0FB498}"/>
    <cellStyle name="40% - 强调文字颜色 1 3 16" xfId="9803" xr:uid="{6C6AE123-8464-4FEC-B2B8-757A1C247680}"/>
    <cellStyle name="40% - 强调文字颜色 1 3 17" xfId="13424" xr:uid="{45E93AC1-67DB-491D-B480-E64A0CFA8C78}"/>
    <cellStyle name="40% - 强调文字颜色 1 3 18" xfId="18495" xr:uid="{13E42E22-9F8B-4AAA-8FE2-C0AB4CEEBB3E}"/>
    <cellStyle name="40% - 强调文字颜色 1 3 2" xfId="3922" xr:uid="{231EECA9-E8B1-4DCC-A7BB-E01D9D0B6E69}"/>
    <cellStyle name="40% - 强调文字颜色 1 3 2 2" xfId="3421" xr:uid="{20678E4A-D175-4329-9819-124D70F13F77}"/>
    <cellStyle name="40% - 强调文字颜色 1 3 2 3" xfId="9804" xr:uid="{BE8C1E86-9823-49DF-935B-AE3C59196FDC}"/>
    <cellStyle name="40% - 强调文字颜色 1 3 2 4" xfId="18496" xr:uid="{96C6832F-5ED5-45ED-A214-E7488FB6E8E5}"/>
    <cellStyle name="40% - 强调文字颜色 1 3 2 5" xfId="27305" xr:uid="{B47CBA66-9E34-4A1D-8575-50A81C0C45A0}"/>
    <cellStyle name="40% - 强调文字颜色 1 3 3" xfId="3923" xr:uid="{2F639F73-DBFF-41B3-8910-B890887A44EB}"/>
    <cellStyle name="40% - 强调文字颜色 1 3 3 2" xfId="3433" xr:uid="{B45204BA-205E-4599-9B63-DBF097211988}"/>
    <cellStyle name="40% - 强调文字颜色 1 3 3 2 2" xfId="18498" xr:uid="{8178DD6E-8A59-4E0F-A845-6E46C9BF4AF4}"/>
    <cellStyle name="40% - 强调文字颜色 1 3 3 3" xfId="9805" xr:uid="{5D306E5D-E455-4094-9531-8C1C99DF6140}"/>
    <cellStyle name="40% - 强调文字颜色 1 3 3 4" xfId="18497" xr:uid="{7680DE15-3D9A-4040-8D69-996FD610FA42}"/>
    <cellStyle name="40% - 强调文字颜色 1 3 3 5" xfId="27306" xr:uid="{859A6055-95EE-45FA-B4C9-ACD43525F870}"/>
    <cellStyle name="40% - 强调文字颜色 1 3 4" xfId="3924" xr:uid="{294C329B-8FE3-4D43-BB0F-C80BFC237DC1}"/>
    <cellStyle name="40% - 强调文字颜色 1 3 4 2" xfId="3445" xr:uid="{6970AF73-ADAD-461D-89E0-ADB4669A636F}"/>
    <cellStyle name="40% - 强调文字颜色 1 3 4 3" xfId="18499" xr:uid="{B0C5D03D-E6E7-4A56-8368-ACF885145A8C}"/>
    <cellStyle name="40% - 强调文字颜色 1 3 4 4" xfId="27693" xr:uid="{2FFF226D-3FB8-449A-B33F-82AAFD076652}"/>
    <cellStyle name="40% - 强调文字颜色 1 3 5" xfId="3925" xr:uid="{E3709A2B-A156-4ED8-9CDB-ECF6D31E7FA4}"/>
    <cellStyle name="40% - 强调文字颜色 1 3 5 2" xfId="3452" xr:uid="{5B4BE79D-7556-4D32-912A-20E9E1868C12}"/>
    <cellStyle name="40% - 强调文字颜色 1 3 5 3" xfId="18500" xr:uid="{5D643E4C-E219-4759-BB7A-F07AF4861C29}"/>
    <cellStyle name="40% - 强调文字颜色 1 3 6" xfId="1711" xr:uid="{736A805D-5D51-4B1C-B16D-7614B3A00840}"/>
    <cellStyle name="40% - 强调文字颜色 1 3 6 2" xfId="3464" xr:uid="{EFB9471D-7A66-4728-82E8-263B89D7AE47}"/>
    <cellStyle name="40% - 强调文字颜色 1 3 7" xfId="3927" xr:uid="{D2357AE4-5861-423D-8A47-1A7A2181178F}"/>
    <cellStyle name="40% - 强调文字颜色 1 3 7 2" xfId="3480" xr:uid="{DEF22118-E95D-49E4-8303-07BB150CB5D6}"/>
    <cellStyle name="40% - 强调文字颜色 1 3 8" xfId="2740" xr:uid="{035EE266-98D6-421F-80FC-707472D53BB0}"/>
    <cellStyle name="40% - 强调文字颜色 1 3 8 2" xfId="3493" xr:uid="{BF8778E5-F8E9-4B1C-B967-3EE5C56C1E18}"/>
    <cellStyle name="40% - 强调文字颜色 1 3 9" xfId="3929" xr:uid="{9958E551-1EE7-4BD4-A9B4-B97A814B0B4E}"/>
    <cellStyle name="40% - 强调文字颜色 1 30" xfId="2111" xr:uid="{DCAA9EFB-7BAC-4C12-8A10-4E698187C38C}"/>
    <cellStyle name="40% - 强调文字颜色 1 30 2" xfId="18502" xr:uid="{DC7561F2-4979-4F7A-BF6A-49B7B3F7C678}"/>
    <cellStyle name="40% - 强调文字颜色 1 30 3" xfId="18503" xr:uid="{BE31CBD7-9A5C-4F6A-AA9E-265BC9C6DE80}"/>
    <cellStyle name="40% - 强调文字颜色 1 30 4" xfId="18504" xr:uid="{82C632B8-7AFA-4E64-8892-8742FBFFAEA2}"/>
    <cellStyle name="40% - 强调文字颜色 1 30 5" xfId="18501" xr:uid="{D905A787-8C78-40F0-AC96-D88378DCF4C7}"/>
    <cellStyle name="40% - 强调文字颜色 1 31" xfId="3904" xr:uid="{C8029A71-F2BA-48E3-9C6E-DFFB4402EC19}"/>
    <cellStyle name="40% - 强调文字颜色 1 31 2" xfId="18506" xr:uid="{FC80536A-4233-4624-AC50-776A9BCA0131}"/>
    <cellStyle name="40% - 强调文字颜色 1 31 3" xfId="18507" xr:uid="{0F01F922-96A5-4E88-B2A2-0009F841DE2D}"/>
    <cellStyle name="40% - 强调文字颜色 1 31 4" xfId="18508" xr:uid="{603AA698-AC9F-440E-81F8-9E0453D93BF9}"/>
    <cellStyle name="40% - 强调文字颜色 1 31 5" xfId="18505" xr:uid="{CA73BD3C-25F0-4783-B53F-C4A1FA2B08EB}"/>
    <cellStyle name="40% - 强调文字颜色 1 32" xfId="3906" xr:uid="{76F3BA70-64D4-4904-9B2B-BF3FA72D1671}"/>
    <cellStyle name="40% - 强调文字颜色 1 32 2" xfId="18510" xr:uid="{47D8D031-A9DF-46EE-8D07-EB61843EDD36}"/>
    <cellStyle name="40% - 强调文字颜色 1 32 3" xfId="18511" xr:uid="{1D63E3B5-C649-46D8-9335-7E2AE32C2C0C}"/>
    <cellStyle name="40% - 强调文字颜色 1 32 4" xfId="18512" xr:uid="{7BC0DF5D-6699-4130-ABC9-1643611865DB}"/>
    <cellStyle name="40% - 强调文字颜色 1 32 5" xfId="18509" xr:uid="{D3CBFF08-DFE4-4C7B-8B66-FB235537FEB5}"/>
    <cellStyle name="40% - 强调文字颜色 1 33" xfId="3908" xr:uid="{DFEFBE91-29E4-4C57-9F7C-81A2203C7EF0}"/>
    <cellStyle name="40% - 强调文字颜色 1 33 2" xfId="18514" xr:uid="{3C71D5C0-9F63-4ED9-BAAB-7F4A439672A2}"/>
    <cellStyle name="40% - 强调文字颜色 1 33 3" xfId="18515" xr:uid="{364CBBCB-27CB-4DC1-98C4-3C920DEA2CAB}"/>
    <cellStyle name="40% - 强调文字颜色 1 33 4" xfId="18516" xr:uid="{BFA38DDD-5262-4BC7-9D78-1EB750C9A2FA}"/>
    <cellStyle name="40% - 强调文字颜色 1 33 5" xfId="18513" xr:uid="{6A0920EE-374E-4926-8728-DFE564C0F050}"/>
    <cellStyle name="40% - 强调文字颜色 1 34" xfId="3910" xr:uid="{201581E4-9CCF-42A6-A3BB-89B5D7E7118F}"/>
    <cellStyle name="40% - 强调文字颜色 1 34 2" xfId="12342" xr:uid="{5BED23C4-743E-4413-B031-B923FFA85D2C}"/>
    <cellStyle name="40% - 强调文字颜色 1 34 2 2" xfId="18518" xr:uid="{5D6FFF0D-B867-4BFD-8407-B403DE315738}"/>
    <cellStyle name="40% - 强调文字颜色 1 34 3" xfId="18519" xr:uid="{A6985238-FCE8-4ACF-8F5A-789A9EB3E316}"/>
    <cellStyle name="40% - 强调文字颜色 1 34 4" xfId="18520" xr:uid="{A724CF85-224E-461D-9779-2B144E822C37}"/>
    <cellStyle name="40% - 强调文字颜色 1 34 5" xfId="18517" xr:uid="{24E613EC-9952-470D-AD19-AC2DDF61F736}"/>
    <cellStyle name="40% - 强调文字颜色 1 35" xfId="3930" xr:uid="{77EBB221-519A-4659-ABE1-4F9A9A9D7965}"/>
    <cellStyle name="40% - 强调文字颜色 1 35 2" xfId="12343" xr:uid="{F5FB7483-CC15-4250-831F-CFB4C8E68CE3}"/>
    <cellStyle name="40% - 强调文字颜色 1 35 2 2" xfId="18522" xr:uid="{FB100ECC-641C-4CE9-AE2A-96BDD2EF8F96}"/>
    <cellStyle name="40% - 强调文字颜色 1 35 3" xfId="18523" xr:uid="{B73B6E7A-D7FE-4ECD-8283-C94E929E9334}"/>
    <cellStyle name="40% - 强调文字颜色 1 35 4" xfId="18521" xr:uid="{B50DFFEA-DCD5-4553-8718-01ACCCDF1EBA}"/>
    <cellStyle name="40% - 强调文字颜色 1 36" xfId="3932" xr:uid="{FD35AE95-264E-4364-95A5-C8505D6B3D4F}"/>
    <cellStyle name="40% - 强调文字颜色 1 36 2" xfId="12344" xr:uid="{F9C9F6D4-8FBF-48CA-9A0D-ED3742D09237}"/>
    <cellStyle name="40% - 强调文字颜色 1 36 2 2" xfId="18525" xr:uid="{DCB04AA2-A14E-4D07-A661-00C0956B3291}"/>
    <cellStyle name="40% - 强调文字颜色 1 36 3" xfId="18526" xr:uid="{FE45D2AC-B4B0-44BE-90A6-FF0562407D71}"/>
    <cellStyle name="40% - 强调文字颜色 1 36 4" xfId="18524" xr:uid="{2B6BFE53-5D17-4CB6-9DC5-5A2500F3611B}"/>
    <cellStyle name="40% - 强调文字颜色 1 37" xfId="3934" xr:uid="{37B07735-9F8D-4D42-B070-245BA1A075AE}"/>
    <cellStyle name="40% - 强调文字颜色 1 37 2" xfId="12345" xr:uid="{5EAAAD97-5899-4AEB-B6B1-9C09029415AF}"/>
    <cellStyle name="40% - 强调文字颜色 1 37 2 2" xfId="18528" xr:uid="{5091B45B-3887-4A8E-ADCD-7099633BE9E1}"/>
    <cellStyle name="40% - 强调文字颜色 1 37 3" xfId="18529" xr:uid="{7E766689-67CD-4BE9-85A1-5BE25287891E}"/>
    <cellStyle name="40% - 强调文字颜色 1 37 4" xfId="18527" xr:uid="{9FBD1B5F-F7C9-4CC4-9DCB-2FE61496A885}"/>
    <cellStyle name="40% - 强调文字颜色 1 38" xfId="3936" xr:uid="{41FDF681-71D4-4B71-8A02-AE74F8CD5125}"/>
    <cellStyle name="40% - 强调文字颜色 1 38 10" xfId="18531" xr:uid="{708C7EF8-7E8F-4E13-9D3A-4454AE5D271E}"/>
    <cellStyle name="40% - 强调文字颜色 1 38 11" xfId="18532" xr:uid="{7D118423-8B8E-40C0-9E31-C9A88FD70A9B}"/>
    <cellStyle name="40% - 强调文字颜色 1 38 12" xfId="18533" xr:uid="{8EC85296-4A8A-4ECA-9172-4DFD756963D5}"/>
    <cellStyle name="40% - 强调文字颜色 1 38 13" xfId="18534" xr:uid="{1237348B-C71B-4164-AE6B-CF388CC7F3E8}"/>
    <cellStyle name="40% - 强调文字颜色 1 38 14" xfId="18535" xr:uid="{3D97E671-C4F1-4D59-965B-0D4BAD5AEB45}"/>
    <cellStyle name="40% - 强调文字颜色 1 38 15" xfId="18530" xr:uid="{A7B4FA91-DCB7-4B1A-9C46-BD36A68624ED}"/>
    <cellStyle name="40% - 强调文字颜色 1 38 2" xfId="12346" xr:uid="{36561236-4CA4-4D3D-BC11-0C24F38D2521}"/>
    <cellStyle name="40% - 强调文字颜色 1 38 2 2" xfId="18536" xr:uid="{DC321A3D-D641-4D03-A12B-96453B2CE540}"/>
    <cellStyle name="40% - 强调文字颜色 1 38 3" xfId="18537" xr:uid="{BEA7A74A-1B5A-4987-9CB7-72FB8FA48457}"/>
    <cellStyle name="40% - 强调文字颜色 1 38 4" xfId="18538" xr:uid="{F0896C8C-467A-4F50-B927-EBF3F7B92B24}"/>
    <cellStyle name="40% - 强调文字颜色 1 38 5" xfId="18539" xr:uid="{1C2FD4D4-FC64-4644-BD84-42BF6030FBB5}"/>
    <cellStyle name="40% - 强调文字颜色 1 38 6" xfId="18540" xr:uid="{DC3C68C5-B39D-49FA-89F2-6410CB61DC0D}"/>
    <cellStyle name="40% - 强调文字颜色 1 38 7" xfId="18541" xr:uid="{60C6A958-63B2-4A24-AF98-CC847841DADB}"/>
    <cellStyle name="40% - 强调文字颜色 1 38 8" xfId="18542" xr:uid="{E2514151-8283-4C9A-9AE3-CD47FBB39A15}"/>
    <cellStyle name="40% - 强调文字颜色 1 38 9" xfId="18543" xr:uid="{08BB9EDD-CF6F-423B-91ED-B482A59E310F}"/>
    <cellStyle name="40% - 强调文字颜色 1 39" xfId="3938" xr:uid="{1B75B086-45FC-43CF-B773-0B8BFD4F6B53}"/>
    <cellStyle name="40% - 强调文字颜色 1 39 2" xfId="12347" xr:uid="{18BC223A-E5AC-4A5D-AEAE-60E85C5E99ED}"/>
    <cellStyle name="40% - 强调文字颜色 1 39 2 2" xfId="18545" xr:uid="{460CF098-59FE-454A-8192-EFF84FDBD429}"/>
    <cellStyle name="40% - 强调文字颜色 1 39 3" xfId="18546" xr:uid="{3F9F6F59-C76F-48D6-8CF6-7DAE9507C221}"/>
    <cellStyle name="40% - 强调文字颜色 1 39 4" xfId="18544" xr:uid="{C19D6CAE-9009-4556-A386-8993CBDEE24D}"/>
    <cellStyle name="40% - 强调文字颜色 1 4" xfId="2434" xr:uid="{284F9619-F937-4E73-A2F2-846E253F0D53}"/>
    <cellStyle name="40% - 强调文字颜色 1 4 10" xfId="3940" xr:uid="{3C2861B9-E591-489E-9DF1-735A6A771FDE}"/>
    <cellStyle name="40% - 强调文字颜色 1 4 10 2" xfId="3941" xr:uid="{4A3FBDDC-94E7-4B30-A78D-A054930E5BF5}"/>
    <cellStyle name="40% - 强调文字颜色 1 4 11" xfId="3942" xr:uid="{A6AE5AFD-7FC0-45FD-AE5A-41FCFADC352E}"/>
    <cellStyle name="40% - 强调文字颜色 1 4 11 2" xfId="2357" xr:uid="{2A0397B4-08E6-4E8D-B3A5-BDDDECEFC977}"/>
    <cellStyle name="40% - 强调文字颜色 1 4 12" xfId="3943" xr:uid="{53C592C4-322E-41DC-8E0F-E25C7F368EA2}"/>
    <cellStyle name="40% - 强调文字颜色 1 4 13" xfId="3944" xr:uid="{2BD09831-0C8E-4CA0-A16B-8747941F8ABC}"/>
    <cellStyle name="40% - 强调文字颜色 1 4 13 2" xfId="3945" xr:uid="{457381FC-9F97-4B5D-8BA1-68EB10579871}"/>
    <cellStyle name="40% - 强调文字颜色 1 4 14" xfId="3946" xr:uid="{82BBDCC7-87A8-4076-8F61-352BD38B4CA9}"/>
    <cellStyle name="40% - 强调文字颜色 1 4 14 2" xfId="3869" xr:uid="{1546D330-ADA5-44B6-94C0-29DE5921A476}"/>
    <cellStyle name="40% - 强调文字颜色 1 4 15" xfId="3948" xr:uid="{4A8D8715-90EE-4A0D-BC6C-B39213BDB2B1}"/>
    <cellStyle name="40% - 强调文字颜色 1 4 16" xfId="9806" xr:uid="{56AEE2F5-5BB4-4A2E-9A12-164A7FF0B03B}"/>
    <cellStyle name="40% - 强调文字颜色 1 4 17" xfId="13421" xr:uid="{42F1E169-AC6F-45E1-8C35-63BBAE838944}"/>
    <cellStyle name="40% - 强调文字颜色 1 4 18" xfId="18547" xr:uid="{9CB423C8-F100-4DE9-AF04-1254C17ACF5F}"/>
    <cellStyle name="40% - 强调文字颜色 1 4 2" xfId="3949" xr:uid="{7238D163-106C-4389-B5BF-43E77279306D}"/>
    <cellStyle name="40% - 强调文字颜色 1 4 2 2" xfId="3950" xr:uid="{7630DC5F-86BD-434E-8FB8-2DA04B9F9E06}"/>
    <cellStyle name="40% - 强调文字颜色 1 4 2 2 2" xfId="18549" xr:uid="{DBBE8DC9-CEFB-4B8A-ABFB-7A336DBC47F1}"/>
    <cellStyle name="40% - 强调文字颜色 1 4 2 3" xfId="9807" xr:uid="{FE82A1F3-BE4D-4BB5-97F3-FC6AE87071B2}"/>
    <cellStyle name="40% - 强调文字颜色 1 4 2 4" xfId="18548" xr:uid="{7C3D1C88-DC85-4995-9657-9BD645246B37}"/>
    <cellStyle name="40% - 强调文字颜色 1 4 3" xfId="3951" xr:uid="{B6B8A803-BB5E-442F-8903-CAFA69D35D7C}"/>
    <cellStyle name="40% - 强调文字颜色 1 4 3 2" xfId="3952" xr:uid="{307F2778-EA6E-4C17-B884-F91FEBE64F8E}"/>
    <cellStyle name="40% - 强调文字颜色 1 4 3 3" xfId="9808" xr:uid="{6F18F0F8-9EBA-492C-8FE2-CBA7E3849B11}"/>
    <cellStyle name="40% - 强调文字颜色 1 4 3 4" xfId="18550" xr:uid="{F539AE00-0A7E-4889-B68F-7C1A088B7908}"/>
    <cellStyle name="40% - 强调文字颜色 1 4 4" xfId="3953" xr:uid="{126212EA-3370-4E45-AAEF-1FA25061E413}"/>
    <cellStyle name="40% - 强调文字颜色 1 4 4 2" xfId="3954" xr:uid="{21D7777E-DD10-42ED-8D00-39096FA5458D}"/>
    <cellStyle name="40% - 强调文字颜色 1 4 4 3" xfId="18551" xr:uid="{9BB9357E-AD2F-40F1-AB73-454AC863827C}"/>
    <cellStyle name="40% - 强调文字颜色 1 4 5" xfId="3955" xr:uid="{B7147120-8839-4299-9200-88236ED9B3B2}"/>
    <cellStyle name="40% - 强调文字颜色 1 4 5 2" xfId="3957" xr:uid="{5E3B24ED-0BEA-45B9-9F5C-A9DE728F6215}"/>
    <cellStyle name="40% - 强调文字颜色 1 4 6" xfId="1643" xr:uid="{BBBC19D2-254D-48B8-98A3-AB17D59221D9}"/>
    <cellStyle name="40% - 强调文字颜色 1 4 6 2" xfId="3958" xr:uid="{435C3AF3-90D6-4261-8522-9FEE54DCF0AF}"/>
    <cellStyle name="40% - 强调文字颜色 1 4 7" xfId="3959" xr:uid="{9283EE5E-86D4-4EB4-A2D9-A616541212E9}"/>
    <cellStyle name="40% - 强调文字颜色 1 4 7 2" xfId="3960" xr:uid="{E6FD597E-5DE2-41BF-8F7C-E6F185D74DEB}"/>
    <cellStyle name="40% - 强调文字颜色 1 4 8" xfId="2623" xr:uid="{BA718964-DA7D-4C45-84E1-D50D2A22DAB6}"/>
    <cellStyle name="40% - 强调文字颜色 1 4 8 2" xfId="3961" xr:uid="{D2A2DCE9-AAC1-459C-AE7C-40220BD325C8}"/>
    <cellStyle name="40% - 强调文字颜色 1 4 9" xfId="3962" xr:uid="{370A5B7E-9256-4C51-B838-68847D3E3CFF}"/>
    <cellStyle name="40% - 强调文字颜色 1 40" xfId="3931" xr:uid="{138562B7-F761-4CAE-998F-30D81F5A0289}"/>
    <cellStyle name="40% - 强调文字颜色 1 40 2" xfId="12349" xr:uid="{555EBCB4-D01B-4ADE-B48A-A05B42DADD54}"/>
    <cellStyle name="40% - 强调文字颜色 1 40 2 2" xfId="18553" xr:uid="{0ECBF9C8-2368-486D-A13B-BFBB410AEFC9}"/>
    <cellStyle name="40% - 强调文字颜色 1 40 3" xfId="18552" xr:uid="{D3C2FA1A-F48B-4453-B067-41338593B1AB}"/>
    <cellStyle name="40% - 强调文字颜色 1 41" xfId="3933" xr:uid="{F2960BB8-CA1A-4418-B61B-D67352DCD435}"/>
    <cellStyle name="40% - 强调文字颜色 1 41 2" xfId="12350" xr:uid="{0512DF9C-300A-4ED6-B8DD-E06C1190914B}"/>
    <cellStyle name="40% - 强调文字颜色 1 41 2 2" xfId="18555" xr:uid="{F280F0DD-B274-4F28-9F57-7D1AA73D2799}"/>
    <cellStyle name="40% - 强调文字颜色 1 41 3" xfId="18554" xr:uid="{C8BBEA99-853D-4D64-9FFE-A9CC7C7FED99}"/>
    <cellStyle name="40% - 强调文字颜色 1 42" xfId="3935" xr:uid="{D598B590-849B-4EB5-B612-16C8BE74FC9A}"/>
    <cellStyle name="40% - 强调文字颜色 1 42 2" xfId="12351" xr:uid="{3D0ED819-2663-42B7-AD05-3CAE4EAC1612}"/>
    <cellStyle name="40% - 强调文字颜色 1 42 2 2" xfId="18557" xr:uid="{C0A7BD55-CEF4-4BFC-B2A7-06764DA2DF09}"/>
    <cellStyle name="40% - 强调文字颜色 1 42 3" xfId="18556" xr:uid="{8D260482-18C9-4549-BE5B-D0D733E76C17}"/>
    <cellStyle name="40% - 强调文字颜色 1 43" xfId="3937" xr:uid="{04A4D50C-176C-47B9-9CFD-C5C89D8D6506}"/>
    <cellStyle name="40% - 强调文字颜色 1 43 2" xfId="12352" xr:uid="{237F8277-D514-4E3C-AF7D-7C8CDAE49FFB}"/>
    <cellStyle name="40% - 强调文字颜色 1 43 2 2" xfId="18559" xr:uid="{530F11B7-294F-4F2D-91C3-DA8466477032}"/>
    <cellStyle name="40% - 强调文字颜色 1 43 3" xfId="18558" xr:uid="{9494652E-8C44-4395-8DE6-E0A04A78A69F}"/>
    <cellStyle name="40% - 强调文字颜色 1 44" xfId="3939" xr:uid="{39F12FAA-C54E-46B1-8259-90F19554CF2C}"/>
    <cellStyle name="40% - 强调文字颜色 1 44 2" xfId="12353" xr:uid="{C8BF8C67-C48F-4762-BEC7-E6EAE45E06C1}"/>
    <cellStyle name="40% - 强调文字颜色 1 44 2 2" xfId="18561" xr:uid="{E706943D-DB37-4EEF-9244-830A7B8E720D}"/>
    <cellStyle name="40% - 强调文字颜色 1 44 3" xfId="18560" xr:uid="{8C84AEB0-110C-47B4-B214-D1C062F2317A}"/>
    <cellStyle name="40% - 强调文字颜色 1 45" xfId="3370" xr:uid="{F77617E3-40C0-436A-A5B9-E7F9F80CD64A}"/>
    <cellStyle name="40% - 强调文字颜色 1 45 2" xfId="12354" xr:uid="{52E6F41A-4B13-4009-8BE4-F3825BDCF3C2}"/>
    <cellStyle name="40% - 强调文字颜色 1 45 2 2" xfId="18563" xr:uid="{BBA1B55B-A8A9-492A-A7B3-A80A71FCF28E}"/>
    <cellStyle name="40% - 强调文字颜色 1 45 3" xfId="18562" xr:uid="{671C7277-EA8C-4A3D-BCBD-A9C57C5F0921}"/>
    <cellStyle name="40% - 强调文字颜色 1 46" xfId="3963" xr:uid="{755BC64F-867C-4686-A0C1-2D831C4933B8}"/>
    <cellStyle name="40% - 强调文字颜色 1 46 2" xfId="12355" xr:uid="{39A9CBBC-C5DA-4CF9-AE9C-3C7B5B638656}"/>
    <cellStyle name="40% - 强调文字颜色 1 46 2 2" xfId="18565" xr:uid="{E021ADE3-AD3B-4C22-9349-53C61BEA5362}"/>
    <cellStyle name="40% - 强调文字颜色 1 46 3" xfId="18564" xr:uid="{40DD79EE-53EE-4773-B5C6-2D766AE268C9}"/>
    <cellStyle name="40% - 强调文字颜色 1 47" xfId="3965" xr:uid="{A2ED65E3-2235-46EF-AAC0-D81BCE0DB802}"/>
    <cellStyle name="40% - 强调文字颜色 1 47 2" xfId="12356" xr:uid="{629536E1-DDDD-43FD-A995-8C98470A513B}"/>
    <cellStyle name="40% - 强调文字颜色 1 47 3" xfId="18566" xr:uid="{60CE5C8D-A498-4F23-B73E-6868FF7E11FF}"/>
    <cellStyle name="40% - 强调文字颜色 1 48" xfId="3968" xr:uid="{6F9CD353-B55B-44D3-8D01-06FDDF21F196}"/>
    <cellStyle name="40% - 强调文字颜色 1 48 2" xfId="12357" xr:uid="{5F0BD7C9-9FFE-4E63-9E39-AF98FBAC86B5}"/>
    <cellStyle name="40% - 强调文字颜色 1 48 3" xfId="18567" xr:uid="{C41CF2F9-9832-4FA8-8F38-5BC2D0BC0E01}"/>
    <cellStyle name="40% - 强调文字颜色 1 49" xfId="3970" xr:uid="{531E12E6-B99D-491F-9671-54D0E814C13A}"/>
    <cellStyle name="40% - 强调文字颜色 1 49 2" xfId="12358" xr:uid="{93813ACC-F0C6-4C49-B6B1-E5DAE592600C}"/>
    <cellStyle name="40% - 强调文字颜色 1 49 3" xfId="18568" xr:uid="{D2122AD4-8F80-4BD8-80CB-BD38832CB7C0}"/>
    <cellStyle name="40% - 强调文字颜色 1 5" xfId="3972" xr:uid="{F2ECB054-482B-4625-9C0E-C924E8020D91}"/>
    <cellStyle name="40% - 强调文字颜色 1 5 10" xfId="3342" xr:uid="{000A9BC1-A30D-4B82-94CA-7E4CA27BFF61}"/>
    <cellStyle name="40% - 强调文字颜色 1 5 10 2" xfId="3344" xr:uid="{A85F8092-94DE-4C00-9E3A-A859EE1F2563}"/>
    <cellStyle name="40% - 强调文字颜色 1 5 11" xfId="3347" xr:uid="{F7B1A3B9-F122-4F62-AFA4-B9B311266D0C}"/>
    <cellStyle name="40% - 强调文字颜色 1 5 11 2" xfId="3350" xr:uid="{AFB57FC0-EA8E-424F-AE11-2005B90AF6B5}"/>
    <cellStyle name="40% - 强调文字颜色 1 5 12" xfId="3973" xr:uid="{1231485A-B3B6-4AA4-8965-FC3EF24CE100}"/>
    <cellStyle name="40% - 强调文字颜色 1 5 13" xfId="3974" xr:uid="{9ED95D58-D257-4843-8CF4-B9BAB51E019F}"/>
    <cellStyle name="40% - 强调文字颜色 1 5 13 2" xfId="3975" xr:uid="{C404B790-C301-4EED-ACC2-C47C9E01678D}"/>
    <cellStyle name="40% - 强调文字颜色 1 5 14" xfId="1270" xr:uid="{EBCEC6E2-53CD-4A3B-978D-9B8546E23247}"/>
    <cellStyle name="40% - 强调文字颜色 1 5 14 2" xfId="3976" xr:uid="{FADAAC73-9F3F-4DDC-8012-0DF8C993F7EE}"/>
    <cellStyle name="40% - 强调文字颜色 1 5 15" xfId="3977" xr:uid="{C9996F26-5ED0-4248-B121-C1AEE27858DF}"/>
    <cellStyle name="40% - 强调文字颜色 1 5 16" xfId="9809" xr:uid="{B1B72B98-FAED-41B2-AB5A-3BC2662A2F32}"/>
    <cellStyle name="40% - 强调文字颜色 1 5 17" xfId="13378" xr:uid="{95D339E6-BAB2-45DF-84F8-558002F8BA7E}"/>
    <cellStyle name="40% - 强调文字颜色 1 5 18" xfId="18569" xr:uid="{92C0E971-F7B7-4DB2-B263-E1CDCC2C79DB}"/>
    <cellStyle name="40% - 强调文字颜色 1 5 2" xfId="3978" xr:uid="{0391993A-3E81-4443-9511-5A3316EC079B}"/>
    <cellStyle name="40% - 强调文字颜色 1 5 2 2" xfId="3980" xr:uid="{226FDB6E-F45B-4A09-809C-A3684C5D9AB6}"/>
    <cellStyle name="40% - 强调文字颜色 1 5 2 2 2" xfId="18571" xr:uid="{C60314C6-3601-4D08-B7F4-EA01569172A2}"/>
    <cellStyle name="40% - 强调文字颜色 1 5 2 3" xfId="9810" xr:uid="{65B46409-53C6-4D35-815A-3B8E58057821}"/>
    <cellStyle name="40% - 强调文字颜色 1 5 2 4" xfId="18570" xr:uid="{7A9EAFC6-4B1D-4D8F-B014-4DD4B392B894}"/>
    <cellStyle name="40% - 强调文字颜色 1 5 3" xfId="3982" xr:uid="{640914C9-8E6E-4136-83F0-04BCEB866046}"/>
    <cellStyle name="40% - 强调文字颜色 1 5 3 2" xfId="3985" xr:uid="{6F70130B-7112-4627-BD13-374A1C5215E7}"/>
    <cellStyle name="40% - 强调文字颜色 1 5 3 3" xfId="9811" xr:uid="{A1555C0A-2F64-4637-BDF7-0E17694F65BA}"/>
    <cellStyle name="40% - 强调文字颜色 1 5 3 4" xfId="18572" xr:uid="{D0B3CED9-9C2D-4DA8-9963-06D499920DE2}"/>
    <cellStyle name="40% - 强调文字颜色 1 5 4" xfId="3832" xr:uid="{A8296A0A-FD8C-4AC1-8159-CDA1626369F1}"/>
    <cellStyle name="40% - 强调文字颜色 1 5 4 2" xfId="3986" xr:uid="{B263240D-53F1-49F9-B047-0A43D1266A20}"/>
    <cellStyle name="40% - 强调文字颜色 1 5 4 3" xfId="18573" xr:uid="{BA37B807-710E-439D-B75A-4B1E50599A40}"/>
    <cellStyle name="40% - 强调文字颜色 1 5 5" xfId="3987" xr:uid="{1B3C6375-6C01-4BD6-A5F6-9BD0BA747A48}"/>
    <cellStyle name="40% - 强调文字颜色 1 5 5 2" xfId="2252" xr:uid="{28A4A680-B722-45BE-9F11-33062AB7B5B8}"/>
    <cellStyle name="40% - 强调文字颜色 1 5 6" xfId="1511" xr:uid="{06945CBB-58DD-4697-A73B-9C8174BDEFE0}"/>
    <cellStyle name="40% - 强调文字颜色 1 5 6 2" xfId="3988" xr:uid="{992117AD-9324-491B-9FEE-F891060EFC3A}"/>
    <cellStyle name="40% - 强调文字颜色 1 5 7" xfId="3989" xr:uid="{4490141B-9CEA-4F4E-9E03-A00DDED4FF58}"/>
    <cellStyle name="40% - 强调文字颜色 1 5 7 2" xfId="3990" xr:uid="{6639C504-3220-4DC9-8CC4-BBD1F0546DA2}"/>
    <cellStyle name="40% - 强调文字颜色 1 5 8" xfId="2630" xr:uid="{B529A09F-64CB-4242-9965-93500321F764}"/>
    <cellStyle name="40% - 强调文字颜色 1 5 8 2" xfId="3991" xr:uid="{6535BE65-9774-4F3B-854D-4593CE6D9FEE}"/>
    <cellStyle name="40% - 强调文字颜色 1 5 9" xfId="3992" xr:uid="{D159B1C3-F4A4-47A0-B79A-B97D732DF70F}"/>
    <cellStyle name="40% - 强调文字颜色 1 50" xfId="3371" xr:uid="{7E42B93D-D061-475E-9CC3-6C8FA87651C0}"/>
    <cellStyle name="40% - 强调文字颜色 1 50 2" xfId="12359" xr:uid="{E30EC07E-8430-4D92-A56B-E0AD42CDAE6A}"/>
    <cellStyle name="40% - 强调文字颜色 1 50 3" xfId="18574" xr:uid="{075AC97A-D5DA-4D73-8C4A-6C5CA9115B96}"/>
    <cellStyle name="40% - 强调文字颜色 1 51" xfId="3964" xr:uid="{7790E541-013D-4869-9401-CF1F8FA16928}"/>
    <cellStyle name="40% - 强调文字颜色 1 51 2" xfId="12360" xr:uid="{0DED3C08-0649-436D-8BD7-5FB26055F770}"/>
    <cellStyle name="40% - 强调文字颜色 1 51 3" xfId="18575" xr:uid="{15EB2CBD-8244-4A46-9F40-28238AB12980}"/>
    <cellStyle name="40% - 强调文字颜色 1 52" xfId="3966" xr:uid="{C6702057-216B-4F82-B2D8-3A854D2AEB64}"/>
    <cellStyle name="40% - 强调文字颜色 1 52 2" xfId="12361" xr:uid="{885D7172-ACEA-4849-92E2-0D3825E622CC}"/>
    <cellStyle name="40% - 强调文字颜色 1 52 3" xfId="18576" xr:uid="{1E409478-1360-4CBE-A2A0-1F7D75EF36EC}"/>
    <cellStyle name="40% - 强调文字颜色 1 53" xfId="3969" xr:uid="{5F740555-3970-4ED6-875A-101079D5C16C}"/>
    <cellStyle name="40% - 强调文字颜色 1 53 2" xfId="12362" xr:uid="{115B798A-D5E0-4E0C-A4AE-754686DDE267}"/>
    <cellStyle name="40% - 强调文字颜色 1 53 3" xfId="18577" xr:uid="{0BEE5424-EF7C-4E00-9E8E-2F790B780061}"/>
    <cellStyle name="40% - 强调文字颜色 1 54" xfId="3971" xr:uid="{34C72423-6C9A-4372-949A-D96CAEFD5391}"/>
    <cellStyle name="40% - 强调文字颜色 1 54 2" xfId="12363" xr:uid="{E2E9A3C0-0423-44C6-94B4-22D41FE2161F}"/>
    <cellStyle name="40% - 强调文字颜色 1 54 3" xfId="18578" xr:uid="{432027FC-DC42-4C0B-95E1-8BF1B58472BD}"/>
    <cellStyle name="40% - 强调文字颜色 1 55" xfId="3993" xr:uid="{9A0CAA6E-9C04-4D7F-96A2-58E245AB697E}"/>
    <cellStyle name="40% - 强调文字颜色 1 55 2" xfId="12364" xr:uid="{42EE7DC1-3B67-4CDF-8081-76BD9280D327}"/>
    <cellStyle name="40% - 强调文字颜色 1 55 3" xfId="18579" xr:uid="{CC3C53B1-F24D-4E62-8201-37FE41173693}"/>
    <cellStyle name="40% - 强调文字颜色 1 56" xfId="3996" xr:uid="{75C37DE7-B9B0-4088-9C44-C297AEE21533}"/>
    <cellStyle name="40% - 强调文字颜色 1 56 2" xfId="12365" xr:uid="{AAC72E52-5B9F-4F90-8C54-DD2C428CC5B6}"/>
    <cellStyle name="40% - 强调文字颜色 1 56 3" xfId="18580" xr:uid="{65B238BD-DA56-4C56-BB0E-A807A4987B12}"/>
    <cellStyle name="40% - 强调文字颜色 1 57" xfId="3998" xr:uid="{19167241-A044-4331-8639-AB491CA214D3}"/>
    <cellStyle name="40% - 强调文字颜色 1 57 2" xfId="12366" xr:uid="{4BAA35D3-1833-442A-BB69-C6FCD899D547}"/>
    <cellStyle name="40% - 强调文字颜色 1 58" xfId="4000" xr:uid="{C0E233E8-B3DE-4EF8-9FFF-95392871E0B5}"/>
    <cellStyle name="40% - 强调文字颜色 1 58 2" xfId="12367" xr:uid="{5941A4FD-C894-4EA9-BEE1-4DC1E8139529}"/>
    <cellStyle name="40% - 强调文字颜色 1 59" xfId="4002" xr:uid="{19268D8B-BA04-4D8F-B024-AA278C2A2631}"/>
    <cellStyle name="40% - 强调文字颜色 1 59 2" xfId="12368" xr:uid="{F9761D70-8572-47BB-860F-D6096449DE32}"/>
    <cellStyle name="40% - 强调文字颜色 1 6" xfId="4005" xr:uid="{819F9779-8ADF-4F97-9AB2-07B4B402CAF2}"/>
    <cellStyle name="40% - 强调文字颜色 1 6 10" xfId="18581" xr:uid="{7C7D6FA3-AA2D-4276-A437-E424092D5C49}"/>
    <cellStyle name="40% - 强调文字颜色 1 6 2" xfId="2309" xr:uid="{A48B28C4-C792-4CB7-B5E6-F3241E6695B4}"/>
    <cellStyle name="40% - 强调文字颜色 1 6 2 2" xfId="9813" xr:uid="{978559F2-FDA7-47EB-B723-AE3E3574243C}"/>
    <cellStyle name="40% - 强调文字颜色 1 6 2 2 2" xfId="18583" xr:uid="{D5C79B09-3E88-402E-B301-EAE08A68883C}"/>
    <cellStyle name="40% - 强调文字颜色 1 6 2 3" xfId="18582" xr:uid="{4D0215C5-C76A-46D3-BEBC-9FBC1E7FF7F1}"/>
    <cellStyle name="40% - 强调文字颜色 1 6 3" xfId="2315" xr:uid="{6E8442CE-BB72-4965-B3B5-60392D2E95D0}"/>
    <cellStyle name="40% - 强调文字颜色 1 6 3 2" xfId="4006" xr:uid="{85B5CBB5-D446-46FC-9DA0-FAE38DD0431E}"/>
    <cellStyle name="40% - 强调文字颜色 1 6 3 3" xfId="9814" xr:uid="{CB1519E1-FCD8-4B19-94D1-AE5B03BB8FE9}"/>
    <cellStyle name="40% - 强调文字颜色 1 6 3 4" xfId="18584" xr:uid="{2932A09B-164B-4A21-99FE-6D372F9F9C83}"/>
    <cellStyle name="40% - 强调文字颜色 1 6 4" xfId="3835" xr:uid="{FE29D693-D1BD-4541-91A0-03A2316AF335}"/>
    <cellStyle name="40% - 强调文字颜色 1 6 4 2" xfId="226" xr:uid="{DB0EC98A-FB7A-4994-B8E2-FB7D382D220E}"/>
    <cellStyle name="40% - 强调文字颜色 1 6 4 3" xfId="18585" xr:uid="{B4FC7F63-9640-445F-98E1-7FB2C527125B}"/>
    <cellStyle name="40% - 强调文字颜色 1 6 5" xfId="4007" xr:uid="{A14BB562-6ABF-46A2-B5D2-CF4B959B116A}"/>
    <cellStyle name="40% - 强调文字颜色 1 6 6" xfId="1517" xr:uid="{2739AB0B-CCA8-4AB7-9A9C-C2BBDCCBEF38}"/>
    <cellStyle name="40% - 强调文字颜色 1 6 6 2" xfId="4008" xr:uid="{2421E659-624A-4593-BD2D-A1C40AA035BA}"/>
    <cellStyle name="40% - 强调文字颜色 1 6 7" xfId="4010" xr:uid="{63F0603E-270B-417D-B44F-2BD30DF23923}"/>
    <cellStyle name="40% - 强调文字颜色 1 6 7 2" xfId="2823" xr:uid="{9DA87CB9-D607-4558-BF14-A979C786BD66}"/>
    <cellStyle name="40% - 强调文字颜色 1 6 8" xfId="9812" xr:uid="{21E8C288-616B-4CAC-A00C-91482435C9F4}"/>
    <cellStyle name="40% - 强调文字颜色 1 6 9" xfId="13384" xr:uid="{A1522067-D183-4428-B77F-2719D2E00324}"/>
    <cellStyle name="40% - 强调文字颜色 1 60" xfId="3994" xr:uid="{ECFD9FCE-B9B9-431F-8C44-5F4EDE37F22A}"/>
    <cellStyle name="40% - 强调文字颜色 1 60 2" xfId="12370" xr:uid="{9CD6FB0B-F1C3-4B47-BDC9-2B16C075F534}"/>
    <cellStyle name="40% - 强调文字颜色 1 61" xfId="3997" xr:uid="{93B4285A-9C11-4319-9CC9-2D40B02B31D1}"/>
    <cellStyle name="40% - 强调文字颜色 1 61 2" xfId="12371" xr:uid="{3C27A264-FE5D-4324-A04D-B18330EDC1D0}"/>
    <cellStyle name="40% - 强调文字颜色 1 62" xfId="3999" xr:uid="{650597B5-5A45-4AE7-8CE7-9B3EC4CA6ACC}"/>
    <cellStyle name="40% - 强调文字颜色 1 62 2" xfId="12372" xr:uid="{3F04C211-9CF7-4B9D-97F5-79040D02D061}"/>
    <cellStyle name="40% - 强调文字颜色 1 63" xfId="4001" xr:uid="{56D93144-3322-44CD-8EC0-245B9323AB72}"/>
    <cellStyle name="40% - 强调文字颜色 1 63 2" xfId="12373" xr:uid="{12FA9467-389A-479C-805B-3204A839D412}"/>
    <cellStyle name="40% - 强调文字颜色 1 64" xfId="4003" xr:uid="{10AA0789-DB3A-45F9-883E-C25B6FE69396}"/>
    <cellStyle name="40% - 强调文字颜色 1 64 2" xfId="12374" xr:uid="{AD35E2B4-0274-4C86-B327-9A05117D40A8}"/>
    <cellStyle name="40% - 强调文字颜色 1 65" xfId="128" xr:uid="{00CEB0AD-6D0C-4E85-80DB-821731D8E068}"/>
    <cellStyle name="40% - 强调文字颜色 1 65 2" xfId="12375" xr:uid="{B29497F9-9466-47D2-A3F6-13F8FD1A7223}"/>
    <cellStyle name="40% - 强调文字颜色 1 66" xfId="111" xr:uid="{30CF51C4-2192-40BD-91F0-AB9BA937BEAD}"/>
    <cellStyle name="40% - 强调文字颜色 1 66 2" xfId="12376" xr:uid="{65C9A59A-FEEB-46DA-AAFA-FD71A8962037}"/>
    <cellStyle name="40% - 强调文字颜色 1 67" xfId="141" xr:uid="{99DA216B-2CF2-4315-AA68-14BFC8C55B2C}"/>
    <cellStyle name="40% - 强调文字颜色 1 67 2" xfId="12377" xr:uid="{30173A27-239D-4926-9CE8-2506927A8E84}"/>
    <cellStyle name="40% - 强调文字颜色 1 68" xfId="149" xr:uid="{BE1F22F5-2B1E-4382-B727-100D6127A74C}"/>
    <cellStyle name="40% - 强调文字颜色 1 68 2" xfId="12378" xr:uid="{D0967974-4F1A-4D8D-9DE4-B1757229C2FE}"/>
    <cellStyle name="40% - 强调文字颜色 1 69" xfId="161" xr:uid="{7057BF39-8C93-426E-969E-921F3599B251}"/>
    <cellStyle name="40% - 强调文字颜色 1 69 2" xfId="12379" xr:uid="{1B156CAB-EE6F-4926-B6CB-13846394C2D9}"/>
    <cellStyle name="40% - 强调文字颜色 1 7" xfId="3800" xr:uid="{B2330103-7B8A-42E9-AA1E-157457DB857F}"/>
    <cellStyle name="40% - 强调文字颜色 1 7 2" xfId="4011" xr:uid="{C0BF5957-B662-4A23-A68E-932C145E04AE}"/>
    <cellStyle name="40% - 强调文字颜色 1 7 2 2" xfId="4013" xr:uid="{5D33E4F4-09AE-45EB-81E6-462BBC3BD0E1}"/>
    <cellStyle name="40% - 强调文字颜色 1 7 2 2 2" xfId="18588" xr:uid="{B95E0C9E-7195-461C-A386-700B0C3DD723}"/>
    <cellStyle name="40% - 强调文字颜色 1 7 2 3" xfId="9816" xr:uid="{C747A51C-92AB-4569-A91F-430E35B5FFD9}"/>
    <cellStyle name="40% - 强调文字颜色 1 7 2 4" xfId="18587" xr:uid="{BB679B37-6EC8-45D8-9C68-3CEFFC7726E1}"/>
    <cellStyle name="40% - 强调文字颜色 1 7 3" xfId="4014" xr:uid="{5C5E31BE-6D5F-45D3-AE7C-311461CDEE3B}"/>
    <cellStyle name="40% - 强调文字颜色 1 7 3 2" xfId="4017" xr:uid="{DB3A1F88-7EB3-4052-B543-BD9749A1742B}"/>
    <cellStyle name="40% - 强调文字颜色 1 7 3 3" xfId="9817" xr:uid="{1F418CDF-822A-4137-BB4F-40C35B099667}"/>
    <cellStyle name="40% - 强调文字颜色 1 7 3 4" xfId="18589" xr:uid="{BCFDB62F-AA13-4547-9FB5-97C88412AEE2}"/>
    <cellStyle name="40% - 强调文字颜色 1 7 4" xfId="4018" xr:uid="{C0ADAADD-573C-40F9-8938-805D68A6217D}"/>
    <cellStyle name="40% - 强调文字颜色 1 7 4 2" xfId="18590" xr:uid="{5FC1F39C-5162-4F62-9821-706E3CA34E80}"/>
    <cellStyle name="40% - 强调文字颜色 1 7 5" xfId="4019" xr:uid="{4818DD1D-8DEB-4195-A9E9-8FCFC02E91C3}"/>
    <cellStyle name="40% - 强调文字颜色 1 7 5 2" xfId="4021" xr:uid="{2ABF9FCA-5E88-497C-91A6-4C66FADD4CA3}"/>
    <cellStyle name="40% - 强调文字颜色 1 7 6" xfId="4022" xr:uid="{AD8DC7B9-4701-4C54-9FE1-66DC1614DA10}"/>
    <cellStyle name="40% - 强调文字颜色 1 7 6 2" xfId="4024" xr:uid="{6434D596-9CBF-4230-9C95-EF918EB17ABB}"/>
    <cellStyle name="40% - 强调文字颜色 1 7 7" xfId="9815" xr:uid="{727302A7-58D8-4E62-9296-FDB0490F6BAF}"/>
    <cellStyle name="40% - 强调文字颜色 1 7 8" xfId="13363" xr:uid="{A9C2FEDB-0A1E-454B-BCC3-79B15BF63654}"/>
    <cellStyle name="40% - 强调文字颜色 1 7 9" xfId="18586" xr:uid="{1E03DCC6-C776-44B0-9045-F5986D85E5A4}"/>
    <cellStyle name="40% - 强调文字颜色 1 70" xfId="127" xr:uid="{1F33B21F-7165-4229-8A7A-1AD75FF93FA0}"/>
    <cellStyle name="40% - 强调文字颜色 1 70 2" xfId="12381" xr:uid="{951CD1AA-596A-4C6B-B349-0F8C7B0A4130}"/>
    <cellStyle name="40% - 强调文字颜色 1 71" xfId="110" xr:uid="{B42A4088-C86D-42CC-89FA-13AC8CD7CCCA}"/>
    <cellStyle name="40% - 强调文字颜色 1 71 2" xfId="12382" xr:uid="{D405E214-0007-4224-A795-CDD8DBE5A392}"/>
    <cellStyle name="40% - 强调文字颜色 1 72" xfId="140" xr:uid="{0A21A2CA-3C14-4A4A-A59D-C54388E90C55}"/>
    <cellStyle name="40% - 强调文字颜色 1 72 2" xfId="12383" xr:uid="{DD13D186-DB93-4932-B024-4CE10A94D352}"/>
    <cellStyle name="40% - 强调文字颜色 1 73" xfId="148" xr:uid="{32047052-1147-449E-A4EE-653021437C1D}"/>
    <cellStyle name="40% - 强调文字颜色 1 73 2" xfId="12384" xr:uid="{27EB67D9-6AD2-4A26-966F-D1D48CE56F10}"/>
    <cellStyle name="40% - 强调文字颜色 1 74" xfId="160" xr:uid="{23CDF46A-5FA6-4FA8-AEF8-2C0875A3F2E3}"/>
    <cellStyle name="40% - 强调文字颜色 1 74 2" xfId="12385" xr:uid="{C28859FF-DEFA-4AF6-99A2-355226DCC161}"/>
    <cellStyle name="40% - 强调文字颜色 1 75" xfId="171" xr:uid="{0F689BC9-0DA5-4177-A724-17C3F31EF49D}"/>
    <cellStyle name="40% - 强调文字颜色 1 75 2" xfId="12386" xr:uid="{6FAD60B7-C741-46BC-85D8-F947ED10BE25}"/>
    <cellStyle name="40% - 强调文字颜色 1 76" xfId="38" xr:uid="{216FC4EC-40A1-4988-A5AA-ECD4506EFE6D}"/>
    <cellStyle name="40% - 强调文字颜色 1 76 2" xfId="12387" xr:uid="{6A69ACBA-79EF-4F0C-906B-C2213EFC3D25}"/>
    <cellStyle name="40% - 强调文字颜色 1 77" xfId="179" xr:uid="{910B0D64-73BF-4968-A847-145B811AF515}"/>
    <cellStyle name="40% - 强调文字颜色 1 77 2" xfId="12388" xr:uid="{E786391B-B095-4D7A-98F1-194C2ECE536D}"/>
    <cellStyle name="40% - 强调文字颜色 1 78" xfId="4025" xr:uid="{36493996-7428-4B58-9BF4-783D882C2DBD}"/>
    <cellStyle name="40% - 强调文字颜色 1 78 2" xfId="12389" xr:uid="{AA0A0F75-E849-4872-AFD5-85EE5EE6C2B3}"/>
    <cellStyle name="40% - 强调文字颜色 1 79" xfId="4027" xr:uid="{DF094681-098A-4B63-9D37-5227C0FE8CF9}"/>
    <cellStyle name="40% - 强调文字颜色 1 79 2" xfId="12390" xr:uid="{1E433761-C6A8-447A-B761-7544BC127290}"/>
    <cellStyle name="40% - 强调文字颜色 1 8" xfId="4029" xr:uid="{B92F2A57-D136-4495-83C6-79EABC323698}"/>
    <cellStyle name="40% - 强调文字颜色 1 8 2" xfId="4030" xr:uid="{DF79881D-F4FC-433C-8640-6789856033B6}"/>
    <cellStyle name="40% - 强调文字颜色 1 8 2 2" xfId="676" xr:uid="{FD58720F-AD3A-4EE4-BF0D-1519DA9ABDCC}"/>
    <cellStyle name="40% - 强调文字颜色 1 8 2 2 2" xfId="18593" xr:uid="{E70E806A-4612-4146-A43B-6F5C17CCB710}"/>
    <cellStyle name="40% - 强调文字颜色 1 8 2 3" xfId="9819" xr:uid="{32A6C858-C240-4B53-BEA6-CA5CFDEB1C00}"/>
    <cellStyle name="40% - 强调文字颜色 1 8 2 4" xfId="18592" xr:uid="{B13BA7F1-11EC-4116-A8ED-16C57CF69E4B}"/>
    <cellStyle name="40% - 强调文字颜色 1 8 3" xfId="4031" xr:uid="{4ED26956-7F04-4A17-871E-F30098BB1E93}"/>
    <cellStyle name="40% - 强调文字颜色 1 8 3 2" xfId="9820" xr:uid="{9BFC27D1-1749-48BB-8788-99B55E198FCE}"/>
    <cellStyle name="40% - 强调文字颜色 1 8 3 3" xfId="18594" xr:uid="{FAF84509-5752-4C38-BDB6-9E1D1D6BE917}"/>
    <cellStyle name="40% - 强调文字颜色 1 8 4" xfId="4033" xr:uid="{887B4BBB-7772-40F1-A43F-BD565DEEA347}"/>
    <cellStyle name="40% - 强调文字颜色 1 8 4 2" xfId="821" xr:uid="{2595914D-40FC-4D66-8B1E-B8FA1D1E6D58}"/>
    <cellStyle name="40% - 强调文字颜色 1 8 4 3" xfId="18595" xr:uid="{6C28578C-500E-4A24-A970-825280529D81}"/>
    <cellStyle name="40% - 强调文字颜色 1 8 5" xfId="4034" xr:uid="{DD2885A7-AB05-4729-A345-FCCADABC1E9D}"/>
    <cellStyle name="40% - 强调文字颜色 1 8 5 2" xfId="876" xr:uid="{CD7A8271-44BD-484A-A311-3F1A3FF070D0}"/>
    <cellStyle name="40% - 强调文字颜色 1 8 6" xfId="4035" xr:uid="{0622A06B-4C0A-4126-A0A9-1BABE95867AB}"/>
    <cellStyle name="40% - 强调文字颜色 1 8 7" xfId="9818" xr:uid="{1EC06E1E-3AA1-4F00-A335-DE70E753E04F}"/>
    <cellStyle name="40% - 强调文字颜色 1 8 8" xfId="13299" xr:uid="{52E33D98-E931-45DA-AA83-13250A5647D8}"/>
    <cellStyle name="40% - 强调文字颜色 1 8 9" xfId="18591" xr:uid="{5BC0B5F9-55BB-4F56-8F1D-F2B171310F6C}"/>
    <cellStyle name="40% - 强调文字颜色 1 80" xfId="170" xr:uid="{8D77584E-8955-44A3-83D0-53A999D31992}"/>
    <cellStyle name="40% - 强调文字颜色 1 80 2" xfId="12392" xr:uid="{60DDA9DC-2CB3-49AD-B515-91A34469DEED}"/>
    <cellStyle name="40% - 强调文字颜色 1 81" xfId="39" xr:uid="{84EE39DD-BA09-4FB2-9806-158771E05573}"/>
    <cellStyle name="40% - 强调文字颜色 1 81 2" xfId="12393" xr:uid="{852257F2-012B-40EA-B669-A2ADB59C1932}"/>
    <cellStyle name="40% - 强调文字颜色 1 82" xfId="178" xr:uid="{C1C0D873-37CE-49E3-8A49-02C079C19F74}"/>
    <cellStyle name="40% - 强调文字颜色 1 82 2" xfId="12394" xr:uid="{5B0D31AF-0A43-4643-A67C-FC7C1A8980DA}"/>
    <cellStyle name="40% - 强调文字颜色 1 83" xfId="4026" xr:uid="{1DEDC81E-5190-486A-B3C5-53F2502EC040}"/>
    <cellStyle name="40% - 强调文字颜色 1 83 2" xfId="12395" xr:uid="{5AF35D1E-036D-4E47-9BAB-0DC372AB30EF}"/>
    <cellStyle name="40% - 强调文字颜色 1 84" xfId="4028" xr:uid="{22494A62-E17D-4668-9B15-A1C1C24DD45F}"/>
    <cellStyle name="40% - 强调文字颜色 1 84 2" xfId="12396" xr:uid="{ED559B06-7B0C-4399-92AC-90BC83E04606}"/>
    <cellStyle name="40% - 强调文字颜色 1 85" xfId="4036" xr:uid="{EB2DC6DA-0923-4A26-B4A3-D93188502DFF}"/>
    <cellStyle name="40% - 强调文字颜色 1 86" xfId="2671" xr:uid="{B30F60AC-B2C1-407F-B41B-BE5D57776F7C}"/>
    <cellStyle name="40% - 强调文字颜色 1 86 2" xfId="2208" xr:uid="{452F6DE7-F924-4588-8689-5F1E05174CB2}"/>
    <cellStyle name="40% - 强调文字颜色 1 87" xfId="4038" xr:uid="{396A34BD-3440-455C-AF55-5368D7B1E6B9}"/>
    <cellStyle name="40% - 强调文字颜色 1 87 2" xfId="3896" xr:uid="{65649018-2BD2-4D9F-9005-FD070C94A56C}"/>
    <cellStyle name="40% - 强调文字颜色 1 88" xfId="4039" xr:uid="{57E77AB0-70C1-41A1-A637-39CE249FD0A5}"/>
    <cellStyle name="40% - 强调文字颜色 1 88 2" xfId="3928" xr:uid="{12E59909-3FE5-4228-814C-0921ABB1D965}"/>
    <cellStyle name="40% - 强调文字颜色 1 89" xfId="4040" xr:uid="{172D5118-D935-438F-A169-4113B446D988}"/>
    <cellStyle name="40% - 强调文字颜色 1 9" xfId="4041" xr:uid="{D06852FE-F60F-4A15-AB0D-26082B778C78}"/>
    <cellStyle name="40% - 强调文字颜色 1 9 2" xfId="4042" xr:uid="{D0E7F6CD-0D25-4FD6-96D0-34972FEA6C61}"/>
    <cellStyle name="40% - 强调文字颜色 1 9 2 2" xfId="4043" xr:uid="{7F7FCA5F-7F3A-4F3D-A47D-9B880D8CFDAA}"/>
    <cellStyle name="40% - 强调文字颜色 1 9 2 2 2" xfId="18598" xr:uid="{D51D279C-0F62-4438-8ADE-AC2E6CE0B9FF}"/>
    <cellStyle name="40% - 强调文字颜色 1 9 2 3" xfId="9822" xr:uid="{15D2ABFE-CFDA-4165-85BF-0A6366F949D1}"/>
    <cellStyle name="40% - 强调文字颜色 1 9 2 4" xfId="18597" xr:uid="{EF9EB4C3-9C88-4045-B8C1-C2085849BBCD}"/>
    <cellStyle name="40% - 强调文字颜色 1 9 3" xfId="4044" xr:uid="{DE0F3509-38C3-4B18-AF28-548C2856D2BA}"/>
    <cellStyle name="40% - 强调文字颜色 1 9 3 2" xfId="9823" xr:uid="{7E29CEA9-EBF6-4539-B11C-43C527B214FC}"/>
    <cellStyle name="40% - 强调文字颜色 1 9 3 3" xfId="18599" xr:uid="{A9F918D5-BED2-4821-B8EA-9A32538F3C3C}"/>
    <cellStyle name="40% - 强调文字颜色 1 9 4" xfId="3363" xr:uid="{6D83D8CC-9AE5-4CE3-AA4D-2BC6EF4F526E}"/>
    <cellStyle name="40% - 强调文字颜色 1 9 4 2" xfId="3703" xr:uid="{8390B163-1745-4A49-BC4E-A4756335EC43}"/>
    <cellStyle name="40% - 强调文字颜色 1 9 4 3" xfId="18600" xr:uid="{420C67BE-314A-4A81-8973-0A181795B54D}"/>
    <cellStyle name="40% - 强调文字颜色 1 9 5" xfId="4045" xr:uid="{627927EB-680E-4196-8620-291400932CC2}"/>
    <cellStyle name="40% - 强调文字颜色 1 9 5 2" xfId="4046" xr:uid="{606B65EA-3E90-4E19-AE4E-3395D41D0962}"/>
    <cellStyle name="40% - 强调文字颜色 1 9 6" xfId="4047" xr:uid="{95D6077D-AA5A-48CD-889A-10DF518EA1AB}"/>
    <cellStyle name="40% - 强调文字颜色 1 9 7" xfId="9821" xr:uid="{3EB33198-5734-4F52-883E-4B35DB59DC72}"/>
    <cellStyle name="40% - 强调文字颜色 1 9 8" xfId="13305" xr:uid="{3A93B6EA-FABF-4D3B-9EAB-8DFD171F2967}"/>
    <cellStyle name="40% - 强调文字颜色 1 9 9" xfId="18596" xr:uid="{E0ED69E6-FF08-456C-A479-61C569AD3F81}"/>
    <cellStyle name="40% - 强调文字颜色 1 90" xfId="4037" xr:uid="{68E22270-4632-4C8C-8265-3A39309F51D8}"/>
    <cellStyle name="40% - 强调文字颜色 1 91" xfId="2672" xr:uid="{74B51741-88D6-4D54-8A87-6B85A7ADD126}"/>
    <cellStyle name="40% - 强调文字颜色 1 92" xfId="9338" xr:uid="{71987B4C-FA78-4603-A0EE-5CF7E1CD31B6}"/>
    <cellStyle name="40% - 强调文字颜色 1 92 2" xfId="27155" xr:uid="{C5752D24-A74E-4DBE-9CA8-45A409AEACD6}"/>
    <cellStyle name="40% - 强调文字颜色 1 93" xfId="9770" xr:uid="{6896F9AF-1553-4041-8193-ED5A95E9737F}"/>
    <cellStyle name="40% - 强调文字颜色 1 94" xfId="13611" xr:uid="{342489A8-8B2F-4DB8-ADD1-95A639E9F987}"/>
    <cellStyle name="40% - 强调文字颜色 1 95" xfId="13436" xr:uid="{9C864AD8-4701-453A-9F74-07F5ACCC7AE4}"/>
    <cellStyle name="40% - 强调文字颜色 2" xfId="4048" xr:uid="{572BD766-EB80-4805-A8CE-05673024EAE0}"/>
    <cellStyle name="40% - 强调文字颜色 2 10" xfId="728" xr:uid="{728D08B3-95A7-4ADE-8C2D-A444C52D1523}"/>
    <cellStyle name="40% - 强调文字颜色 2 10 2" xfId="4049" xr:uid="{6D150F03-3BF5-449E-8473-9D8848FA40F8}"/>
    <cellStyle name="40% - 强调文字颜色 2 10 2 2" xfId="4050" xr:uid="{8D8A20B6-ADA9-4CA8-9299-4B1A7876026C}"/>
    <cellStyle name="40% - 强调文字颜色 2 10 2 2 2" xfId="18603" xr:uid="{F5B640FB-41F8-48C0-8470-E8EC4013A200}"/>
    <cellStyle name="40% - 强调文字颜色 2 10 2 3" xfId="9826" xr:uid="{86449BCC-704A-430A-9D29-307CABF3DF6F}"/>
    <cellStyle name="40% - 强调文字颜色 2 10 2 4" xfId="18602" xr:uid="{8AEA5FB3-486A-4D57-829F-1621E3F47E2A}"/>
    <cellStyle name="40% - 强调文字颜色 2 10 3" xfId="4051" xr:uid="{7F61E5A1-1EFB-460C-A286-5AB73E58B2E7}"/>
    <cellStyle name="40% - 强调文字颜色 2 10 3 2" xfId="9827" xr:uid="{449AE571-1FE1-42A7-86E6-ADD406B25873}"/>
    <cellStyle name="40% - 强调文字颜色 2 10 3 3" xfId="18604" xr:uid="{B8D5BBF0-AD9A-40C7-8AF0-8E56A0BBFB4D}"/>
    <cellStyle name="40% - 强调文字颜色 2 10 4" xfId="2738" xr:uid="{EED5E659-FC55-4F88-BD4A-197FE00040E0}"/>
    <cellStyle name="40% - 强调文字颜色 2 10 4 2" xfId="4052" xr:uid="{CAA68D08-5EA6-406C-AF1D-088AFD20995C}"/>
    <cellStyle name="40% - 强调文字颜色 2 10 4 3" xfId="18605" xr:uid="{AC8C5C64-E597-43EC-9D80-0E6DC9151AD6}"/>
    <cellStyle name="40% - 强调文字颜色 2 10 5" xfId="3618" xr:uid="{56EAE694-ED6D-42F1-ABB0-50CE305BD327}"/>
    <cellStyle name="40% - 强调文字颜色 2 10 5 2" xfId="4053" xr:uid="{E4836EFD-5593-4885-9461-5F6C7CAB934D}"/>
    <cellStyle name="40% - 强调文字颜色 2 10 6" xfId="4054" xr:uid="{0CB8F9EC-2095-46A9-A452-038635192B94}"/>
    <cellStyle name="40% - 强调文字颜色 2 10 7" xfId="9825" xr:uid="{2FFAB6BD-3617-435B-A49C-B1F893502EE8}"/>
    <cellStyle name="40% - 强调文字颜色 2 10 8" xfId="13280" xr:uid="{CC19FAF0-1F58-459E-9B4D-6E99918A28F2}"/>
    <cellStyle name="40% - 强调文字颜色 2 10 9" xfId="18601" xr:uid="{26F6C4EE-070B-4D5B-BC56-76554E4FA155}"/>
    <cellStyle name="40% - 强调文字颜色 2 11" xfId="73" xr:uid="{E9923488-A148-4AE3-9FF1-037E3574307D}"/>
    <cellStyle name="40% - 强调文字颜色 2 11 2" xfId="586" xr:uid="{B9F3E5A0-3ECD-4396-B184-8D06ED965BCF}"/>
    <cellStyle name="40% - 强调文字颜色 2 11 2 2" xfId="895" xr:uid="{DD7DCB10-5BA1-418F-B705-AD35C2D92569}"/>
    <cellStyle name="40% - 强调文字颜色 2 11 2 2 2" xfId="18608" xr:uid="{A4485DAB-2671-4AD6-8253-3147716B4362}"/>
    <cellStyle name="40% - 强调文字颜色 2 11 2 3" xfId="9829" xr:uid="{7E1106BA-CB98-461F-B99A-FA2AC5040986}"/>
    <cellStyle name="40% - 强调文字颜色 2 11 2 4" xfId="18607" xr:uid="{E11B9980-06C1-4766-9811-E5F3EC069F9E}"/>
    <cellStyle name="40% - 强调文字颜色 2 11 3" xfId="897" xr:uid="{F5258630-B697-4C29-B16C-993664DF1C94}"/>
    <cellStyle name="40% - 强调文字颜色 2 11 3 2" xfId="9830" xr:uid="{46BB8004-F4B7-456F-B602-67970CD6CBA4}"/>
    <cellStyle name="40% - 强调文字颜色 2 11 3 3" xfId="18609" xr:uid="{DDF75EFA-FC49-48A1-AC38-E1A47B255590}"/>
    <cellStyle name="40% - 强调文字颜色 2 11 4" xfId="899" xr:uid="{3F65DA55-C6C2-4F52-A051-97D6B7641DA9}"/>
    <cellStyle name="40% - 强调文字颜色 2 11 4 2" xfId="906" xr:uid="{6828C818-AA2C-424E-BFC9-E901FB62EC1D}"/>
    <cellStyle name="40% - 强调文字颜色 2 11 4 3" xfId="18610" xr:uid="{4B432CB8-C4B3-41CE-8210-16E029DBE3DB}"/>
    <cellStyle name="40% - 强调文字颜色 2 11 5" xfId="910" xr:uid="{C96F29F9-966C-4466-9306-367223F15701}"/>
    <cellStyle name="40% - 强调文字颜色 2 11 5 2" xfId="913" xr:uid="{FBDF3104-F3E8-4C50-BA2F-FF7BD2B189FA}"/>
    <cellStyle name="40% - 强调文字颜色 2 11 6" xfId="915" xr:uid="{5DC28F40-3D0F-42EA-B83F-28504E508F4D}"/>
    <cellStyle name="40% - 强调文字颜色 2 11 7" xfId="9828" xr:uid="{10B32E2B-AA22-405E-9CA8-B20A66A74393}"/>
    <cellStyle name="40% - 强调文字颜色 2 11 8" xfId="13263" xr:uid="{556D8D1B-EF09-460D-B141-618714BA166D}"/>
    <cellStyle name="40% - 强调文字颜色 2 11 9" xfId="18606" xr:uid="{09A5EAA3-EE85-4C01-B01A-14756B2C7F0C}"/>
    <cellStyle name="40% - 强调文字颜色 2 12" xfId="919" xr:uid="{CCF2F092-E500-4C98-8D10-0D5D241F60FC}"/>
    <cellStyle name="40% - 强调文字颜色 2 12 2" xfId="924" xr:uid="{99FA8011-023C-47DB-8FAA-26E4558B62A4}"/>
    <cellStyle name="40% - 强调文字颜色 2 12 2 2" xfId="929" xr:uid="{3E386B51-3F70-463F-8BF5-F59E9DF3CC2E}"/>
    <cellStyle name="40% - 强调文字颜色 2 12 2 2 2" xfId="18613" xr:uid="{AD7CD979-B6CF-4A9A-AF22-3D442406286C}"/>
    <cellStyle name="40% - 强调文字颜色 2 12 2 3" xfId="9832" xr:uid="{A014F0CA-652A-4B2B-9FC7-F4C83BE989F5}"/>
    <cellStyle name="40% - 强调文字颜色 2 12 2 4" xfId="18612" xr:uid="{6D912C1A-E1EF-4908-8D3B-4DB91C483672}"/>
    <cellStyle name="40% - 强调文字颜色 2 12 3" xfId="811" xr:uid="{E50152C2-3E2F-4D72-9BCA-A97F98323529}"/>
    <cellStyle name="40% - 强调文字颜色 2 12 3 2" xfId="9833" xr:uid="{8A6197AC-DD01-4E33-904C-DA9494B78A58}"/>
    <cellStyle name="40% - 强调文字颜色 2 12 3 3" xfId="18614" xr:uid="{0EBFCBDD-50EF-4CB7-97C7-ECB0A91B0C94}"/>
    <cellStyle name="40% - 强调文字颜色 2 12 4" xfId="933" xr:uid="{0FFD9DE7-8627-4BFF-AE56-81199DB8BE3D}"/>
    <cellStyle name="40% - 强调文字颜色 2 12 4 2" xfId="939" xr:uid="{7AF7F5C3-9B35-40AB-BDB8-10CAB4E60D95}"/>
    <cellStyle name="40% - 强调文字颜色 2 12 4 3" xfId="18615" xr:uid="{3B370FDA-D1DB-4628-A2BE-598B66E7F36E}"/>
    <cellStyle name="40% - 强调文字颜色 2 12 5" xfId="92" xr:uid="{B4E80A67-3F95-466D-B000-EA0AB5719D7D}"/>
    <cellStyle name="40% - 强调文字颜色 2 12 5 2" xfId="133" xr:uid="{05EDD2C4-684D-4C06-8B23-A61163F380D9}"/>
    <cellStyle name="40% - 强调文字颜色 2 12 6" xfId="945" xr:uid="{C2E740A9-9935-4EFF-838F-2CDBA036C900}"/>
    <cellStyle name="40% - 强调文字颜色 2 12 7" xfId="9831" xr:uid="{95128871-8D0F-4C43-A729-7ACDCB5A98CE}"/>
    <cellStyle name="40% - 强调文字颜色 2 12 8" xfId="13250" xr:uid="{80419160-623A-4DAD-A77B-991D51876264}"/>
    <cellStyle name="40% - 强调文字颜色 2 12 9" xfId="18611" xr:uid="{44100697-10ED-431E-9C23-49AB02082A8C}"/>
    <cellStyle name="40% - 强调文字颜色 2 13" xfId="949" xr:uid="{C30197EA-794F-437F-B310-A6998CC5C468}"/>
    <cellStyle name="40% - 强调文字颜色 2 13 2" xfId="590" xr:uid="{A193D686-F494-4097-A873-5AD4F9A4CE2F}"/>
    <cellStyle name="40% - 强调文字颜色 2 13 2 2" xfId="598" xr:uid="{5350AA3B-CD83-4462-AE4B-7479C2D3D4E8}"/>
    <cellStyle name="40% - 强调文字颜色 2 13 2 2 2" xfId="18618" xr:uid="{24DAE954-752F-4AA9-8E77-C72A59390AB4}"/>
    <cellStyle name="40% - 强调文字颜色 2 13 2 3" xfId="9835" xr:uid="{948760B9-2085-4365-86F7-B9DE4203F24C}"/>
    <cellStyle name="40% - 强调文字颜色 2 13 2 4" xfId="18617" xr:uid="{56819DBC-63D4-4D74-9049-109743E163A3}"/>
    <cellStyle name="40% - 强调文字颜色 2 13 3" xfId="628" xr:uid="{AFC3DCDB-AD28-45A3-9ECC-18177D15287E}"/>
    <cellStyle name="40% - 强调文字颜色 2 13 3 2" xfId="9836" xr:uid="{037D798C-4D7D-469A-B3AF-729C541C2AD3}"/>
    <cellStyle name="40% - 强调文字颜色 2 13 3 3" xfId="18619" xr:uid="{1A086C71-6FB0-45FC-8C46-116FC4F85DF3}"/>
    <cellStyle name="40% - 强调文字颜色 2 13 4" xfId="666" xr:uid="{8CD092F8-3DAE-4DA0-BE35-963FB761E0E1}"/>
    <cellStyle name="40% - 强调文字颜色 2 13 4 2" xfId="671" xr:uid="{61F19396-DABC-4389-9E56-50136EAF7DAD}"/>
    <cellStyle name="40% - 强调文字颜色 2 13 4 3" xfId="18620" xr:uid="{773D5045-28CD-4C68-93DE-AE1E8168FEF4}"/>
    <cellStyle name="40% - 强调文字颜色 2 13 5" xfId="731" xr:uid="{C33A4E3C-9542-4A84-B49C-124291660E06}"/>
    <cellStyle name="40% - 强调文字颜色 2 13 5 2" xfId="746" xr:uid="{EA4BD224-5F52-4FD9-B2BE-02F83C1E5041}"/>
    <cellStyle name="40% - 强调文字颜色 2 13 6" xfId="798" xr:uid="{CA987F50-4E4D-4C49-A469-08B1785D29F6}"/>
    <cellStyle name="40% - 强调文字颜色 2 13 7" xfId="9834" xr:uid="{4BDFC98D-4BAA-4883-BE2E-5ADEE3E8786C}"/>
    <cellStyle name="40% - 强调文字颜色 2 13 8" xfId="13237" xr:uid="{AADBCEF5-DAC7-4AE0-97C0-EC0A9643BEF5}"/>
    <cellStyle name="40% - 强调文字颜色 2 13 9" xfId="18616" xr:uid="{10C2B4D1-B936-481E-BFF8-EE4A54E67158}"/>
    <cellStyle name="40% - 强调文字颜色 2 14" xfId="952" xr:uid="{1D9F8D80-4EDE-4AE5-ACCC-DEDC3DA2698C}"/>
    <cellStyle name="40% - 强调文字颜色 2 14 2" xfId="954" xr:uid="{922F5C7F-FB94-40D0-A4F0-005F1558D8B5}"/>
    <cellStyle name="40% - 强调文字颜色 2 14 2 2" xfId="956" xr:uid="{392F4120-9C05-4F74-911E-7D675DB18A6F}"/>
    <cellStyle name="40% - 强调文字颜色 2 14 2 2 2" xfId="18623" xr:uid="{F5E5E025-5275-4078-AEA7-3C3A00D76E40}"/>
    <cellStyle name="40% - 强调文字颜色 2 14 2 3" xfId="9838" xr:uid="{56B433C3-BE7C-42FA-B3C4-EE5BD762A6B8}"/>
    <cellStyle name="40% - 强调文字颜色 2 14 2 4" xfId="18622" xr:uid="{AEC7AC5E-6F27-4FE3-8E6E-FDD6F2476287}"/>
    <cellStyle name="40% - 强调文字颜色 2 14 3" xfId="830" xr:uid="{CFA2BB1B-15B7-44E6-9F28-C7020C9A9C68}"/>
    <cellStyle name="40% - 强调文字颜色 2 14 3 2" xfId="9839" xr:uid="{AFA53F81-872F-4244-8FB3-7344FE5221AC}"/>
    <cellStyle name="40% - 强调文字颜色 2 14 3 3" xfId="18624" xr:uid="{8B0E70BE-9531-40D6-9810-7F9CFF788CB9}"/>
    <cellStyle name="40% - 强调文字颜色 2 14 4" xfId="958" xr:uid="{ED01A494-EA64-4083-AFAB-88EE7591B23D}"/>
    <cellStyle name="40% - 强调文字颜色 2 14 4 2" xfId="960" xr:uid="{3CE3CF3E-3EC1-46F6-90C3-2849B920ECEE}"/>
    <cellStyle name="40% - 强调文字颜色 2 14 4 3" xfId="18625" xr:uid="{109F9C0D-4AEC-475D-A517-EB330E16BB43}"/>
    <cellStyle name="40% - 强调文字颜色 2 14 5" xfId="963" xr:uid="{32DC63EC-7D7A-4941-8F0D-894ED66EA3CF}"/>
    <cellStyle name="40% - 强调文字颜色 2 14 5 2" xfId="965" xr:uid="{D475C749-9A04-4AA0-9450-ABE37F9F82EE}"/>
    <cellStyle name="40% - 强调文字颜色 2 14 6" xfId="970" xr:uid="{3F62E525-9AC3-44A1-ABF1-5779AFB58608}"/>
    <cellStyle name="40% - 强调文字颜色 2 14 7" xfId="9837" xr:uid="{61B8C222-C8B7-4E47-94E2-3F11DD8D479B}"/>
    <cellStyle name="40% - 强调文字颜色 2 14 8" xfId="13224" xr:uid="{60EE4636-29B5-4510-A039-DF9FC52D8428}"/>
    <cellStyle name="40% - 强调文字颜色 2 14 9" xfId="18621" xr:uid="{DDFFD681-F77F-46E7-9D03-DB32B251317F}"/>
    <cellStyle name="40% - 强调文字颜色 2 15" xfId="974" xr:uid="{BF882A97-E475-42A1-B5A3-9A613CBA0A6C}"/>
    <cellStyle name="40% - 强调文字颜色 2 15 2" xfId="978" xr:uid="{BF67EEB9-95EC-4FB6-8BE9-0F9EB08142F5}"/>
    <cellStyle name="40% - 强调文字颜色 2 15 2 2" xfId="9841" xr:uid="{9CFA0F5C-E5D6-48CD-9B13-178DEF93D6BB}"/>
    <cellStyle name="40% - 强调文字颜色 2 15 2 2 2" xfId="18628" xr:uid="{89755BAE-2E81-48E5-AAE2-352221F724F3}"/>
    <cellStyle name="40% - 强调文字颜色 2 15 2 3" xfId="18627" xr:uid="{95C6C2BC-0F8C-4BF0-8789-416BF7BA3827}"/>
    <cellStyle name="40% - 强调文字颜色 2 15 3" xfId="837" xr:uid="{A16010E2-003D-4AE0-968C-5EAC312CBF29}"/>
    <cellStyle name="40% - 强调文字颜色 2 15 3 2" xfId="4055" xr:uid="{72C47F7D-51EB-4164-B375-804C6C009812}"/>
    <cellStyle name="40% - 强调文字颜色 2 15 3 3" xfId="9842" xr:uid="{B65B9E85-6EEF-4EA3-87AF-741833F89DDE}"/>
    <cellStyle name="40% - 强调文字颜色 2 15 3 4" xfId="18629" xr:uid="{B7EEC68E-00EB-4781-BC4E-9E1F4565B0EB}"/>
    <cellStyle name="40% - 强调文字颜色 2 15 4" xfId="987" xr:uid="{F3491DD6-5220-4091-A384-34A16F618678}"/>
    <cellStyle name="40% - 强调文字颜色 2 15 4 2" xfId="991" xr:uid="{CD0E2B57-5F1F-4BDC-9437-A9D6BA2AD978}"/>
    <cellStyle name="40% - 强调文字颜色 2 15 4 3" xfId="18630" xr:uid="{7C2EA606-8221-4BC9-AAAF-E146B085539D}"/>
    <cellStyle name="40% - 强调文字颜色 2 15 5" xfId="994" xr:uid="{ADAD19DE-6FF2-4CF0-899C-7B427EADB2A7}"/>
    <cellStyle name="40% - 强调文字颜色 2 15 6" xfId="9840" xr:uid="{7D630C01-25F1-481E-A6C7-B53CB85DE903}"/>
    <cellStyle name="40% - 强调文字颜色 2 15 7" xfId="13211" xr:uid="{E21D890E-3FAA-4D30-9D3C-895CA5B02627}"/>
    <cellStyle name="40% - 强调文字颜色 2 15 8" xfId="18626" xr:uid="{470D5EF0-4914-4DE9-890A-5CE149EFB569}"/>
    <cellStyle name="40% - 强调文字颜色 2 16" xfId="1007" xr:uid="{1B02E228-E49F-46A1-820B-0480AFCB2B4C}"/>
    <cellStyle name="40% - 强调文字颜色 2 16 2" xfId="1012" xr:uid="{13CA06E0-BA89-41A2-8516-946AA9821A1B}"/>
    <cellStyle name="40% - 强调文字颜色 2 16 2 2" xfId="9844" xr:uid="{3A9BAF6E-AE71-4A4A-A4F7-3FC8FDA2BDC5}"/>
    <cellStyle name="40% - 强调文字颜色 2 16 2 2 2" xfId="18633" xr:uid="{F33DE1ED-9F7A-4569-89C9-911A09737766}"/>
    <cellStyle name="40% - 强调文字颜色 2 16 2 3" xfId="18632" xr:uid="{3EE4CF4F-24EA-4BBE-BE70-6226E0AADDE1}"/>
    <cellStyle name="40% - 强调文字颜色 2 16 3" xfId="843" xr:uid="{426C6B62-921F-4D4D-81F9-D3601CA23E8F}"/>
    <cellStyle name="40% - 强调文字颜色 2 16 3 2" xfId="1015" xr:uid="{8B512985-E72E-4B4B-8CE8-3BB27A7E5279}"/>
    <cellStyle name="40% - 强调文字颜色 2 16 3 3" xfId="9845" xr:uid="{01D21949-E1EA-4A79-8EA0-53A683D0F6B1}"/>
    <cellStyle name="40% - 强调文字颜色 2 16 3 4" xfId="18634" xr:uid="{B124588B-EC81-446F-9C7D-1D63934D7E0F}"/>
    <cellStyle name="40% - 强调文字颜色 2 16 4" xfId="1018" xr:uid="{F6FD5EE8-B8D5-43B0-B476-EA5BEEF9F4DF}"/>
    <cellStyle name="40% - 强调文字颜色 2 16 4 2" xfId="269" xr:uid="{8A603A2B-E1C7-49FA-A35B-8D638363DB17}"/>
    <cellStyle name="40% - 强调文字颜色 2 16 4 3" xfId="18635" xr:uid="{6441AD3B-3143-49E4-B299-DF01666AD271}"/>
    <cellStyle name="40% - 强调文字颜色 2 16 5" xfId="1020" xr:uid="{9A94B7AA-09D6-4452-ADF5-2EAFA23EC4EE}"/>
    <cellStyle name="40% - 强调文字颜色 2 16 6" xfId="9843" xr:uid="{373ECCFE-C243-46FA-B012-1AC83226E962}"/>
    <cellStyle name="40% - 强调文字颜色 2 16 7" xfId="13192" xr:uid="{9FB71548-FC1C-45D4-8EA3-63F1DDC46DA7}"/>
    <cellStyle name="40% - 强调文字颜色 2 16 8" xfId="18631" xr:uid="{12B76EB5-281F-42EE-8212-359A7E4B5F66}"/>
    <cellStyle name="40% - 强调文字颜色 2 17" xfId="558" xr:uid="{84409984-4F14-47F0-8AA3-D50E32CB0869}"/>
    <cellStyle name="40% - 强调文字颜色 2 17 2" xfId="1023" xr:uid="{533A2884-2FBA-496E-8753-095AC808236E}"/>
    <cellStyle name="40% - 强调文字颜色 2 17 2 2" xfId="1122" xr:uid="{618C2183-5478-4D71-895F-8B1AE6DD390D}"/>
    <cellStyle name="40% - 强调文字颜色 2 17 2 2 2" xfId="18638" xr:uid="{CA4D18F7-6C48-403A-8DAB-C662188100C4}"/>
    <cellStyle name="40% - 强调文字颜色 2 17 2 3" xfId="9847" xr:uid="{04D91D1F-8FC5-4937-9A37-693240CC55E0}"/>
    <cellStyle name="40% - 强调文字颜色 2 17 2 4" xfId="18637" xr:uid="{CC326BE1-55C9-46D4-A1E7-E7A8ADF452D2}"/>
    <cellStyle name="40% - 强调文字颜色 2 17 3" xfId="849" xr:uid="{A08CC282-9C30-43CA-A693-28CF16F7D973}"/>
    <cellStyle name="40% - 强调文字颜色 2 17 3 2" xfId="155" xr:uid="{A3E4527C-D1F0-433C-ACEA-0A6FEB9B4F56}"/>
    <cellStyle name="40% - 强调文字颜色 2 17 3 3" xfId="9848" xr:uid="{5388D3A7-A32A-4F57-8CE8-DDA2A90C4D9B}"/>
    <cellStyle name="40% - 强调文字颜色 2 17 3 4" xfId="18639" xr:uid="{DFD970D8-CD50-404D-9DBB-7792AAF4F13C}"/>
    <cellStyle name="40% - 强调文字颜色 2 17 4" xfId="9846" xr:uid="{4DF8277E-E2E0-40C5-8E55-5D59F600E2F4}"/>
    <cellStyle name="40% - 强调文字颜色 2 17 4 2" xfId="18640" xr:uid="{652B9E8A-9BEF-4DF6-9295-788CDB15E8C3}"/>
    <cellStyle name="40% - 强调文字颜色 2 17 5" xfId="13187" xr:uid="{1A0F1549-B2C4-4974-BC15-24AACDA48375}"/>
    <cellStyle name="40% - 强调文字颜色 2 17 6" xfId="18636" xr:uid="{7FF24C13-6F08-4F67-AC48-56319798093B}"/>
    <cellStyle name="40% - 强调文字颜色 2 18" xfId="565" xr:uid="{B2A46D2B-3ADB-4374-B9BB-42F12BD6EF4B}"/>
    <cellStyle name="40% - 强调文字颜色 2 18 2" xfId="1029" xr:uid="{9044D836-2F44-406C-815C-AB57C2F659EC}"/>
    <cellStyle name="40% - 强调文字颜色 2 18 2 2" xfId="692" xr:uid="{0E235615-E139-4639-94BB-779CA9C1668A}"/>
    <cellStyle name="40% - 强调文字颜色 2 18 2 2 2" xfId="18643" xr:uid="{37B20ACA-1FAB-4F63-A486-02459CF40105}"/>
    <cellStyle name="40% - 强调文字颜色 2 18 2 3" xfId="18642" xr:uid="{F0D39444-D746-40BF-84A1-9C71C553494D}"/>
    <cellStyle name="40% - 强调文字颜色 2 18 3" xfId="857" xr:uid="{4E12643E-4DBD-4D4A-B6CB-9D39042CD308}"/>
    <cellStyle name="40% - 强调文字颜色 2 18 3 2" xfId="774" xr:uid="{F88B44A5-6BDA-439F-B625-870D91147593}"/>
    <cellStyle name="40% - 强调文字颜色 2 18 3 3" xfId="18644" xr:uid="{C6C4EDA7-289E-4792-AD3E-E92CE09D19BA}"/>
    <cellStyle name="40% - 强调文字颜色 2 18 4" xfId="9849" xr:uid="{3C1BD10A-9E81-40FF-B94D-F1E51988C573}"/>
    <cellStyle name="40% - 强调文字颜色 2 18 4 2" xfId="18645" xr:uid="{8A16F484-6B7A-4F74-85A1-938283197931}"/>
    <cellStyle name="40% - 强调文字颜色 2 18 5" xfId="13170" xr:uid="{74671387-8151-4A16-85C1-075064EA9583}"/>
    <cellStyle name="40% - 强调文字颜色 2 18 6" xfId="18641" xr:uid="{FBB6C32B-02AE-4443-BD8B-656F0DCD9C54}"/>
    <cellStyle name="40% - 强调文字颜色 2 19" xfId="572" xr:uid="{A7A151CD-C547-434F-B03A-F6B84E147123}"/>
    <cellStyle name="40% - 强调文字颜色 2 19 2" xfId="1036" xr:uid="{6DC70466-C52B-4876-B21A-4B0DB97A28DC}"/>
    <cellStyle name="40% - 强调文字颜色 2 19 2 2" xfId="1040" xr:uid="{83EDE484-BD1C-4EA9-8200-140BACB3E209}"/>
    <cellStyle name="40% - 强调文字颜色 2 19 2 2 2" xfId="18648" xr:uid="{95FD1C9C-107E-4246-9ACC-DF0E9D621413}"/>
    <cellStyle name="40% - 强调文字颜色 2 19 2 3" xfId="18647" xr:uid="{A6C7CF98-E1E6-462C-898F-59921C57E3C7}"/>
    <cellStyle name="40% - 强调文字颜色 2 19 3" xfId="9850" xr:uid="{31D0D7E9-09A3-490A-ACFC-7CA7A66EECB2}"/>
    <cellStyle name="40% - 强调文字颜色 2 19 3 2" xfId="18649" xr:uid="{7B521C12-97EF-4E1E-B35F-23733F3309D7}"/>
    <cellStyle name="40% - 强调文字颜色 2 19 4" xfId="13153" xr:uid="{AC2EA9E1-E690-467E-8CD9-B3EA45FE2416}"/>
    <cellStyle name="40% - 强调文字颜色 2 19 4 2" xfId="18650" xr:uid="{3EA2E089-8BDA-480A-9D79-FC73C572F8B9}"/>
    <cellStyle name="40% - 强调文字颜色 2 19 5" xfId="18646" xr:uid="{5E3B9E82-DFFB-4917-A13D-9F6094F2AD5B}"/>
    <cellStyle name="40% - 强调文字颜色 2 2" xfId="4056" xr:uid="{8FE883E3-5B8B-42CA-AC81-48DCB1C61B56}"/>
    <cellStyle name="40% - 强调文字颜色 2 2 10" xfId="4057" xr:uid="{24EBD89A-D571-4BFD-AE68-107EA9C759DF}"/>
    <cellStyle name="40% - 强调文字颜色 2 2 10 2" xfId="3857" xr:uid="{CDE588D6-C358-4320-A413-94504EA803B4}"/>
    <cellStyle name="40% - 强调文字颜色 2 2 11" xfId="4059" xr:uid="{440C9436-0975-4961-A542-9CD8548E8016}"/>
    <cellStyle name="40% - 强调文字颜色 2 2 11 2" xfId="4060" xr:uid="{5CB04DB3-9231-4E64-9EF6-76E7E517B9A5}"/>
    <cellStyle name="40% - 强调文字颜色 2 2 12" xfId="4061" xr:uid="{689D12F7-C815-4975-A074-6368B5D47EBF}"/>
    <cellStyle name="40% - 强调文字颜色 2 2 12 2" xfId="549" xr:uid="{55B112DE-121C-4273-8216-B55F5A67A4E7}"/>
    <cellStyle name="40% - 强调文字颜色 2 2 13" xfId="4062" xr:uid="{48A3CD27-8812-4287-B81B-AA66DC655A9E}"/>
    <cellStyle name="40% - 强调文字颜色 2 2 13 2" xfId="4063" xr:uid="{290045DB-1FD6-454A-99CD-7643A3FE0553}"/>
    <cellStyle name="40% - 强调文字颜色 2 2 14" xfId="4064" xr:uid="{9557CCC5-6476-45F5-B7C5-0580719EF674}"/>
    <cellStyle name="40% - 强调文字颜色 2 2 14 2" xfId="4065" xr:uid="{B5C6673C-62C3-4495-813A-98144A9305A3}"/>
    <cellStyle name="40% - 强调文字颜色 2 2 15" xfId="4066" xr:uid="{5577FE94-DED0-42CC-B148-A350E06C39A4}"/>
    <cellStyle name="40% - 强调文字颜色 2 2 15 2" xfId="4068" xr:uid="{F8F3F816-A9BC-4ED7-86D6-22431B7C12DD}"/>
    <cellStyle name="40% - 强调文字颜色 2 2 16" xfId="4070" xr:uid="{E010146E-30EF-4A6B-B143-27014526467A}"/>
    <cellStyle name="40% - 强调文字颜色 2 2 17" xfId="4072" xr:uid="{3CADCDE8-8481-4E6A-8D5E-60CCC3DAE2A6}"/>
    <cellStyle name="40% - 强调文字颜色 2 2 17 2" xfId="4074" xr:uid="{F3B5FC72-9C26-4524-9009-32EFF38E9B22}"/>
    <cellStyle name="40% - 强调文字颜色 2 2 18" xfId="4075" xr:uid="{CFC55BA8-7702-407C-9B38-F35724D6B28A}"/>
    <cellStyle name="40% - 强调文字颜色 2 2 18 2" xfId="4076" xr:uid="{011549A9-6294-467F-91E7-407D9EDEFE96}"/>
    <cellStyle name="40% - 强调文字颜色 2 2 19" xfId="4078" xr:uid="{4CE7194F-8B31-4521-AA24-B1C55C7D3B9D}"/>
    <cellStyle name="40% - 强调文字颜色 2 2 2" xfId="4079" xr:uid="{ADA219EE-38F0-4931-9739-07D8F589291D}"/>
    <cellStyle name="40% - 强调文字颜色 2 2 2 10" xfId="996" xr:uid="{3A6F21B3-4B28-493F-86F1-E3635EA7C04D}"/>
    <cellStyle name="40% - 强调文字颜色 2 2 2 10 2" xfId="4080" xr:uid="{51C0C320-0E47-4AA7-8155-ABB4CACCDBC5}"/>
    <cellStyle name="40% - 强调文字颜色 2 2 2 11" xfId="4082" xr:uid="{126003D1-45FA-48AB-9123-1A0056DD19EA}"/>
    <cellStyle name="40% - 强调文字颜色 2 2 2 11 2" xfId="4086" xr:uid="{05CB5F59-C233-48BB-9E0C-6E37F4472900}"/>
    <cellStyle name="40% - 强调文字颜色 2 2 2 12" xfId="4089" xr:uid="{87150F3E-B47A-4D2B-95D8-6E2E2A95492F}"/>
    <cellStyle name="40% - 强调文字颜色 2 2 2 12 2" xfId="4093" xr:uid="{518B2E52-DAE7-4747-9BBA-6FF20487B4F1}"/>
    <cellStyle name="40% - 强调文字颜色 2 2 2 13" xfId="4094" xr:uid="{95AA9BBB-080A-45C4-9234-08F2250D960B}"/>
    <cellStyle name="40% - 强调文字颜色 2 2 2 13 2" xfId="4098" xr:uid="{108A922C-8D45-46BB-9149-7B70C69F9611}"/>
    <cellStyle name="40% - 强调文字颜色 2 2 2 14" xfId="4100" xr:uid="{44FC7AF2-037C-41B4-8DE0-B1DD42DDC478}"/>
    <cellStyle name="40% - 强调文字颜色 2 2 2 14 2" xfId="4104" xr:uid="{0B9352EA-D5E8-45D5-BF5F-69607EE2F8BD}"/>
    <cellStyle name="40% - 强调文字颜色 2 2 2 15" xfId="4106" xr:uid="{F8A6E34E-A1AA-4DD3-AD1E-E1EA611228CD}"/>
    <cellStyle name="40% - 强调文字颜色 2 2 2 15 2" xfId="4110" xr:uid="{B597D31C-EE8A-4BB2-9643-357BAB132B2B}"/>
    <cellStyle name="40% - 强调文字颜色 2 2 2 16" xfId="9852" xr:uid="{0408AD9E-1BDF-49D4-9421-E6E2E7EEE740}"/>
    <cellStyle name="40% - 强调文字颜色 2 2 2 17" xfId="13355" xr:uid="{AEBB0650-60DF-463D-A4B8-7AB765DFBD1D}"/>
    <cellStyle name="40% - 强调文字颜色 2 2 2 18" xfId="18651" xr:uid="{21CCE134-1278-490E-AACE-1EE2BFF8435B}"/>
    <cellStyle name="40% - 强调文字颜色 2 2 2 19" xfId="27307" xr:uid="{83B5A862-BC1A-47BC-B0E4-C4A963314A31}"/>
    <cellStyle name="40% - 强调文字颜色 2 2 2 2" xfId="4112" xr:uid="{4C7FD160-4C05-4E5E-8A5A-E4314C28AB51}"/>
    <cellStyle name="40% - 强调文字颜色 2 2 2 2 2" xfId="18652" xr:uid="{E0905ABF-3783-44D7-83B8-44FF860D8B35}"/>
    <cellStyle name="40% - 强调文字颜色 2 2 2 3" xfId="4113" xr:uid="{35B2E426-5352-4566-9269-4C180E98F5E3}"/>
    <cellStyle name="40% - 强调文字颜色 2 2 2 4" xfId="4115" xr:uid="{30708D3A-1B1B-4E27-92EC-9A6409667930}"/>
    <cellStyle name="40% - 强调文字颜色 2 2 2 4 2" xfId="4117" xr:uid="{3E1B10C5-1606-4201-BAE0-BD5602E3F2C3}"/>
    <cellStyle name="40% - 强调文字颜色 2 2 2 5" xfId="4118" xr:uid="{3ADB0F48-0DA5-4269-BB53-0802396DDAC5}"/>
    <cellStyle name="40% - 强调文字颜色 2 2 2 5 2" xfId="4119" xr:uid="{FB8F9186-24C0-4C29-A6E6-469003B560CD}"/>
    <cellStyle name="40% - 强调文字颜色 2 2 2 6" xfId="4120" xr:uid="{778C7669-C7A2-4A87-9B27-ECE6DC715BFB}"/>
    <cellStyle name="40% - 强调文字颜色 2 2 2 6 2" xfId="4121" xr:uid="{D0F23247-FF31-4A3D-9A5B-A0DFC32DAFE3}"/>
    <cellStyle name="40% - 强调文字颜色 2 2 2 7" xfId="2220" xr:uid="{703BFC6A-433C-4E68-8AC3-69C26B37EA07}"/>
    <cellStyle name="40% - 强调文字颜色 2 2 2 7 2" xfId="4122" xr:uid="{01278F95-8FAD-490F-B994-BC713B7668A5}"/>
    <cellStyle name="40% - 强调文字颜色 2 2 2 8" xfId="4123" xr:uid="{49AA39BA-9B25-41B6-B3F2-3C1BECA6A469}"/>
    <cellStyle name="40% - 强调文字颜色 2 2 2 8 2" xfId="4125" xr:uid="{C77BF245-D981-4DE5-A3FD-A998E87D9A72}"/>
    <cellStyle name="40% - 强调文字颜色 2 2 2 9" xfId="2404" xr:uid="{2F82B288-FB41-4E88-BED6-8C85C15D7450}"/>
    <cellStyle name="40% - 强调文字颜色 2 2 2 9 2" xfId="2178" xr:uid="{C23111A0-88B8-413F-B2AE-EB33DBACBF83}"/>
    <cellStyle name="40% - 强调文字颜色 2 2 20" xfId="4067" xr:uid="{FE8BF09C-770B-462D-8BDA-875C67CF78B6}"/>
    <cellStyle name="40% - 强调文字颜色 2 2 20 2" xfId="4069" xr:uid="{1C8D18F5-541F-4020-8709-AD6862EA33A6}"/>
    <cellStyle name="40% - 强调文字颜色 2 2 21" xfId="4071" xr:uid="{C5557B45-A2D6-45E8-B8FC-CE5A6E63869F}"/>
    <cellStyle name="40% - 强调文字颜色 2 2 21 2" xfId="4126" xr:uid="{A5AB2EF0-7A2A-4E38-B4FC-EDC307C0297A}"/>
    <cellStyle name="40% - 强调文字颜色 2 2 22" xfId="9851" xr:uid="{9ED58B7B-2852-4264-B965-D29777093B65}"/>
    <cellStyle name="40% - 强调文字颜色 2 2 23" xfId="13414" xr:uid="{28BCCC70-8373-4F7F-A708-E87290E5C098}"/>
    <cellStyle name="40% - 强调文字颜色 2 2 24" xfId="12471" xr:uid="{0BC05914-9C7C-4EF6-9415-FBCF68DDFB56}"/>
    <cellStyle name="40% - 强调文字颜色 2 2 3" xfId="4127" xr:uid="{D6207E2B-2784-4FFA-9F18-62C5ADA8E543}"/>
    <cellStyle name="40% - 强调文字颜色 2 2 3 2" xfId="9853" xr:uid="{125CC9C7-A38F-4761-923E-61CC9B3234F9}"/>
    <cellStyle name="40% - 强调文字颜色 2 2 3 2 2" xfId="18654" xr:uid="{E814E690-0D7F-4CA2-97FC-0A94C44887B2}"/>
    <cellStyle name="40% - 强调文字颜色 2 2 3 3" xfId="13334" xr:uid="{7CB3796F-68E8-41D5-ACC7-39FB92AB641C}"/>
    <cellStyle name="40% - 强调文字颜色 2 2 3 4" xfId="18653" xr:uid="{0065A17B-5504-4B00-81B4-420AA6848627}"/>
    <cellStyle name="40% - 强调文字颜色 2 2 3 5" xfId="27308" xr:uid="{C5C0E516-46CB-4F9B-93DE-AD87C601DB01}"/>
    <cellStyle name="40% - 强调文字颜色 2 2 4" xfId="82" xr:uid="{7AAF5D37-A54F-4DAA-90B9-1124B586ABAF}"/>
    <cellStyle name="40% - 强调文字颜色 2 2 4 2" xfId="4128" xr:uid="{2F5CEC15-EDF6-4276-82C8-6139B71B72F1}"/>
    <cellStyle name="40% - 强调文字颜色 2 2 4 3" xfId="13315" xr:uid="{BEB7ECAE-8E53-43CD-9604-C6933BBA85BA}"/>
    <cellStyle name="40% - 强调文字颜色 2 2 4 4" xfId="18655" xr:uid="{2511E60D-6C12-4AC5-988F-E0F4C41445D9}"/>
    <cellStyle name="40% - 强调文字颜色 2 2 4 5" xfId="27694" xr:uid="{CC5D3836-E4B8-4ABD-BDCF-EB626A29AC1B}"/>
    <cellStyle name="40% - 强调文字颜色 2 2 5" xfId="245" xr:uid="{221A2A3F-F27A-4AA0-8C90-915546406E74}"/>
    <cellStyle name="40% - 强调文字颜色 2 2 5 2" xfId="4129" xr:uid="{60B0F2D0-F02E-431A-9E12-3AAD70CE3720}"/>
    <cellStyle name="40% - 强调文字颜色 2 2 5 3" xfId="18656" xr:uid="{52E1EB6E-0525-41F3-8E0E-F81C90D4743E}"/>
    <cellStyle name="40% - 强调文字颜色 2 2 6" xfId="248" xr:uid="{853A0E49-9441-422B-BC6A-6102361FB1B7}"/>
    <cellStyle name="40% - 强调文字颜色 2 2 6 2" xfId="4130" xr:uid="{EB59F6A7-D78F-4E8E-AF13-B57657570940}"/>
    <cellStyle name="40% - 强调文字颜色 2 2 6 3" xfId="18657" xr:uid="{A52BF786-6A08-4B9C-AE5C-244BC3F1B909}"/>
    <cellStyle name="40% - 强调文字颜色 2 2 7" xfId="254" xr:uid="{622F1499-BEDD-48F3-98E4-0C105700F87E}"/>
    <cellStyle name="40% - 强调文字颜色 2 2 7 2" xfId="1069" xr:uid="{EF85EE01-89EC-4E2D-AF5C-EB2B841EC700}"/>
    <cellStyle name="40% - 强调文字颜色 2 2 7 3" xfId="18658" xr:uid="{006489D2-B733-43E8-8844-13BC175F0CF3}"/>
    <cellStyle name="40% - 强调文字颜色 2 2 8" xfId="258" xr:uid="{4FAB8071-22DE-4DC8-B42E-45108A728315}"/>
    <cellStyle name="40% - 强调文字颜色 2 2 8 2" xfId="4131" xr:uid="{EB346C91-12CE-4562-9122-F8E31AC17AD0}"/>
    <cellStyle name="40% - 强调文字颜色 2 2 9" xfId="265" xr:uid="{AFDB7F60-1826-41E5-80A6-C2B43AFADB13}"/>
    <cellStyle name="40% - 强调文字颜色 2 2 9 2" xfId="1079" xr:uid="{44B24270-0947-49F1-9F8E-2BE69285AC83}"/>
    <cellStyle name="40% - 强调文字颜色 2 2_动力部" xfId="18659" xr:uid="{FE686BA9-D4F5-4065-9E4D-7CF73D719DA4}"/>
    <cellStyle name="40% - 强调文字颜色 2 20" xfId="975" xr:uid="{5EE7B078-9A89-4A6A-8C3B-2ABB4F232337}"/>
    <cellStyle name="40% - 强调文字颜色 2 20 2" xfId="979" xr:uid="{F8B48CD0-7F67-4740-A2CD-1A0A80DEDAB4}"/>
    <cellStyle name="40% - 强调文字颜色 2 20 2 2" xfId="981" xr:uid="{EC872AA9-E947-4242-AB1B-68B4BECAE2DD}"/>
    <cellStyle name="40% - 强调文字颜色 2 20 2 2 2" xfId="18662" xr:uid="{FAE5581C-C425-4B86-88D4-B90B7FD901A5}"/>
    <cellStyle name="40% - 强调文字颜色 2 20 2 3" xfId="18661" xr:uid="{DDB2D665-690E-43B8-9207-BC9E1B283FDD}"/>
    <cellStyle name="40% - 强调文字颜色 2 20 3" xfId="9854" xr:uid="{C57EC14E-A01C-4B9E-AF06-2BEB698F8D20}"/>
    <cellStyle name="40% - 强调文字颜色 2 20 3 2" xfId="18663" xr:uid="{0B692DD0-B4DC-4EC2-893E-80FE25F65029}"/>
    <cellStyle name="40% - 强调文字颜色 2 20 4" xfId="13148" xr:uid="{51BAF791-C163-44A5-BA1C-4B4ED4A241EC}"/>
    <cellStyle name="40% - 强调文字颜色 2 20 4 2" xfId="18664" xr:uid="{A72C6ED1-49A7-46BD-9CF5-13C189659077}"/>
    <cellStyle name="40% - 强调文字颜色 2 20 5" xfId="18660" xr:uid="{9BF684DA-16F9-427A-88BB-DC82ED0D3CF4}"/>
    <cellStyle name="40% - 强调文字颜色 2 21" xfId="1008" xr:uid="{743D6DB9-6609-4A2F-AFD1-C11E0C6E07FA}"/>
    <cellStyle name="40% - 强调文字颜色 2 21 2" xfId="1013" xr:uid="{4D5A2DC2-E61A-4E51-8DF9-5E23097474E6}"/>
    <cellStyle name="40% - 强调文字颜色 2 21 2 2" xfId="1120" xr:uid="{B0D5E936-D9B6-454D-BD59-898ECE27BD1D}"/>
    <cellStyle name="40% - 强调文字颜色 2 21 2 2 2" xfId="18667" xr:uid="{26B025F6-5B01-4351-93D5-CE8B67E5B9A5}"/>
    <cellStyle name="40% - 强调文字颜色 2 21 2 3" xfId="18666" xr:uid="{9628EA28-2FB6-4F2D-AB75-E436083FA8BF}"/>
    <cellStyle name="40% - 强调文字颜色 2 21 3" xfId="9855" xr:uid="{F28F6FBD-EA69-49CA-87C5-09CA82B9BE3A}"/>
    <cellStyle name="40% - 强调文字颜色 2 21 3 2" xfId="18668" xr:uid="{2B3F754A-CB55-47B9-93E1-89D686B2F229}"/>
    <cellStyle name="40% - 强调文字颜色 2 21 4" xfId="13130" xr:uid="{54ADAADD-C45C-4E8B-AFB5-22D2F9C71F41}"/>
    <cellStyle name="40% - 强调文字颜色 2 21 4 2" xfId="18669" xr:uid="{1AA1962B-6680-440D-8A54-328A743418EA}"/>
    <cellStyle name="40% - 强调文字颜色 2 21 5" xfId="18665" xr:uid="{0313EAA5-F5E5-4338-B7EB-0D8D2378D59A}"/>
    <cellStyle name="40% - 强调文字颜色 2 22" xfId="559" xr:uid="{271FD851-D8C7-40AE-B636-8502DF12B6EE}"/>
    <cellStyle name="40% - 强调文字颜色 2 22 2" xfId="1024" xr:uid="{47BA73DE-6949-4AAC-880C-5CE60643B9FD}"/>
    <cellStyle name="40% - 强调文字颜色 2 22 2 2" xfId="1123" xr:uid="{CC61D43A-513C-4F3D-8D2E-88B9E6B4B46C}"/>
    <cellStyle name="40% - 强调文字颜色 2 22 2 2 2" xfId="18672" xr:uid="{60BA5C9B-8668-4166-89DE-E8044CE7D40D}"/>
    <cellStyle name="40% - 强调文字颜色 2 22 2 3" xfId="18671" xr:uid="{E0BC5EDA-0595-4454-B024-65AC18C97B70}"/>
    <cellStyle name="40% - 强调文字颜色 2 22 3" xfId="9856" xr:uid="{AE4F7AA4-3A87-42FB-A0B4-CD361DF71CB6}"/>
    <cellStyle name="40% - 强调文字颜色 2 22 3 2" xfId="18673" xr:uid="{5B599356-F3C3-44EB-B4C8-5FE72AD3835B}"/>
    <cellStyle name="40% - 强调文字颜色 2 22 4" xfId="13117" xr:uid="{83260482-FA4A-4048-B8C8-8CE2DA095CC0}"/>
    <cellStyle name="40% - 强调文字颜色 2 22 4 2" xfId="18674" xr:uid="{E360AA1C-6529-4B52-B03B-449643D31053}"/>
    <cellStyle name="40% - 强调文字颜色 2 22 5" xfId="18670" xr:uid="{0C83F194-F56A-4A7F-AFC1-ED338860C994}"/>
    <cellStyle name="40% - 强调文字颜色 2 23" xfId="566" xr:uid="{2A890E74-4A20-419F-A7B8-B2D4B306A407}"/>
    <cellStyle name="40% - 强调文字颜色 2 23 2" xfId="1030" xr:uid="{A849AA2C-EB7D-485E-9118-69D60B9B4CBD}"/>
    <cellStyle name="40% - 强调文字颜色 2 23 2 2" xfId="693" xr:uid="{D29A3562-FDBC-4CCA-9E00-5CD929DAC304}"/>
    <cellStyle name="40% - 强调文字颜色 2 23 2 2 2" xfId="18677" xr:uid="{3BA9F2B5-FA7C-4C4F-93F9-A0B5FCA2A362}"/>
    <cellStyle name="40% - 强调文字颜色 2 23 2 3" xfId="18676" xr:uid="{E8736E9E-A100-41FB-AAC4-AB0D1A4A3AC7}"/>
    <cellStyle name="40% - 强调文字颜色 2 23 3" xfId="13055" xr:uid="{C52498FA-2E87-4A55-B981-A36D2AD75BB0}"/>
    <cellStyle name="40% - 强调文字颜色 2 23 3 2" xfId="18678" xr:uid="{306C1D19-BED0-4EB6-A311-5FB8BCCF4687}"/>
    <cellStyle name="40% - 强调文字颜色 2 23 4" xfId="18679" xr:uid="{8264B2D2-E58F-4CDC-A921-0D9496403F03}"/>
    <cellStyle name="40% - 强调文字颜色 2 23 5" xfId="18675" xr:uid="{02BBB005-1999-4783-9867-6AFDBAC1B1F9}"/>
    <cellStyle name="40% - 强调文字颜色 2 24" xfId="573" xr:uid="{7D11C0C9-109C-4B65-93B3-774E00047503}"/>
    <cellStyle name="40% - 强调文字颜色 2 24 2" xfId="13044" xr:uid="{4E2033E7-7D2B-4BDD-BB63-6F59A02CCDDD}"/>
    <cellStyle name="40% - 强调文字颜色 2 24 2 2" xfId="18682" xr:uid="{2B2E42D0-A3B6-409F-B71F-1D02CF616ABA}"/>
    <cellStyle name="40% - 强调文字颜色 2 24 2 3" xfId="18681" xr:uid="{B98B92B6-A33D-41C4-95E7-5D1F30879FEA}"/>
    <cellStyle name="40% - 强调文字颜色 2 24 3" xfId="18683" xr:uid="{26DF533D-DF1D-4537-A820-CCFB8919092D}"/>
    <cellStyle name="40% - 强调文字颜色 2 24 4" xfId="18684" xr:uid="{738F2408-BC53-4EDB-95AA-6A391B443D5D}"/>
    <cellStyle name="40% - 强调文字颜色 2 24 5" xfId="18680" xr:uid="{667D9D12-3F07-4F6B-A951-BA89336D01A6}"/>
    <cellStyle name="40% - 强调文字颜色 2 25" xfId="448" xr:uid="{131E1D8F-5F9A-4F57-B923-68B989F89CED}"/>
    <cellStyle name="40% - 强调文字颜色 2 25 2" xfId="13027" xr:uid="{41C4F3D8-EF06-4544-97E6-584F8EEAE307}"/>
    <cellStyle name="40% - 强调文字颜色 2 25 2 2" xfId="18687" xr:uid="{D7BD2B1E-FB36-4C76-882D-0DA94A7EE948}"/>
    <cellStyle name="40% - 强调文字颜色 2 25 2 3" xfId="18686" xr:uid="{5ABE42E5-1D34-4E2D-B12C-F35F836795D1}"/>
    <cellStyle name="40% - 强调文字颜色 2 25 3" xfId="18688" xr:uid="{B0071E73-A00B-436F-BDE8-8A09D7C130C6}"/>
    <cellStyle name="40% - 强调文字颜色 2 25 4" xfId="18689" xr:uid="{4B519F47-921A-43BD-A3BD-C31AA31DF931}"/>
    <cellStyle name="40% - 强调文字颜色 2 25 5" xfId="18685" xr:uid="{B3E31F4E-A367-43F5-BC38-BF4F5B69DC36}"/>
    <cellStyle name="40% - 强调文字颜色 2 26" xfId="455" xr:uid="{0AA9E01B-2C25-494A-A625-A6C03CA44A60}"/>
    <cellStyle name="40% - 强调文字颜色 2 26 2" xfId="18691" xr:uid="{C79EE340-98A4-4BFC-AC50-B10B18470BAB}"/>
    <cellStyle name="40% - 强调文字颜色 2 26 2 2" xfId="18692" xr:uid="{594B55EE-12A7-4058-B695-5CE7938DB6D6}"/>
    <cellStyle name="40% - 强调文字颜色 2 26 3" xfId="18693" xr:uid="{91D0973C-3B9C-49AD-A5D1-F718C7E07D84}"/>
    <cellStyle name="40% - 强调文字颜色 2 26 4" xfId="18694" xr:uid="{C2E557C3-1B67-404A-9625-657F91F8D469}"/>
    <cellStyle name="40% - 强调文字颜色 2 26 5" xfId="18690" xr:uid="{56BFAB0F-5636-4704-A67C-76FA3B8D947D}"/>
    <cellStyle name="40% - 强调文字颜色 2 27" xfId="468" xr:uid="{1C87737A-89AB-4C38-A6C4-69974ADE386B}"/>
    <cellStyle name="40% - 强调文字颜色 2 27 2" xfId="18696" xr:uid="{35E3390B-ACCF-4F9D-BED6-58DE79F02ACD}"/>
    <cellStyle name="40% - 强调文字颜色 2 27 2 2" xfId="18697" xr:uid="{D7F0F413-D32C-437A-8B0D-A82480A645AE}"/>
    <cellStyle name="40% - 强调文字颜色 2 27 3" xfId="18698" xr:uid="{D5C2F4F1-67A3-4435-A143-E97BCB31E45B}"/>
    <cellStyle name="40% - 强调文字颜色 2 27 4" xfId="18699" xr:uid="{B02BFE30-1A50-42C1-BFB7-AAB75A96354F}"/>
    <cellStyle name="40% - 强调文字颜色 2 27 5" xfId="18695" xr:uid="{3EA48CD6-629D-4346-A999-850E163C56B3}"/>
    <cellStyle name="40% - 强调文字颜色 2 28" xfId="478" xr:uid="{4CDF0106-4C15-4A8F-AC94-72DAE0D6792E}"/>
    <cellStyle name="40% - 强调文字颜色 2 28 2" xfId="18701" xr:uid="{0157BD00-ECA5-4C8E-81FE-485C0A324E52}"/>
    <cellStyle name="40% - 强调文字颜色 2 28 3" xfId="18702" xr:uid="{19E66F83-79CF-4663-B327-BE791E8A4F3C}"/>
    <cellStyle name="40% - 强调文字颜色 2 28 4" xfId="18703" xr:uid="{48FAF902-8CC4-41F0-A216-8508ABC14E76}"/>
    <cellStyle name="40% - 强调文字颜色 2 28 5" xfId="18700" xr:uid="{265D167F-81C1-4C2E-AA89-3F920C8B4563}"/>
    <cellStyle name="40% - 强调文字颜色 2 29" xfId="486" xr:uid="{D5B357AE-1A63-4D1C-8F2E-C4563A5C4137}"/>
    <cellStyle name="40% - 强调文字颜色 2 29 2" xfId="18705" xr:uid="{ED646B3C-C4D9-4807-A324-AE18B6DEA3BA}"/>
    <cellStyle name="40% - 强调文字颜色 2 29 3" xfId="18706" xr:uid="{E56D336B-63EB-460D-8E34-714730BCD99F}"/>
    <cellStyle name="40% - 强调文字颜色 2 29 4" xfId="18707" xr:uid="{E3FCECF7-0E33-4EC3-BC7B-4DD5281958F1}"/>
    <cellStyle name="40% - 强调文字颜色 2 29 5" xfId="18704" xr:uid="{2F6B36B8-C3DA-460F-9A11-B07A060CB4DF}"/>
    <cellStyle name="40% - 强调文字颜色 2 3" xfId="4132" xr:uid="{CA0FA32D-8A9C-4527-B310-715463472215}"/>
    <cellStyle name="40% - 强调文字颜色 2 3 10" xfId="1199" xr:uid="{3EF98AB6-A6E0-4FA7-9A30-8797969AE6DD}"/>
    <cellStyle name="40% - 强调文字颜色 2 3 10 2" xfId="4073" xr:uid="{3A47CB2E-E979-4032-B398-2595F8EF1115}"/>
    <cellStyle name="40% - 强调文字颜色 2 3 11" xfId="4133" xr:uid="{677E3F48-D4CF-4184-9C1D-3F2E993E996F}"/>
    <cellStyle name="40% - 强调文字颜色 2 3 11 2" xfId="917" xr:uid="{7AC21B76-567F-4B2B-8E12-8ECC4182FC34}"/>
    <cellStyle name="40% - 强调文字颜色 2 3 12" xfId="4134" xr:uid="{29024208-8459-420B-BE21-821C67F1658C}"/>
    <cellStyle name="40% - 强调文字颜色 2 3 13" xfId="4135" xr:uid="{1ADCCD1D-5E63-4C85-94FB-5ECC38F6D976}"/>
    <cellStyle name="40% - 强调文字颜色 2 3 13 2" xfId="4136" xr:uid="{5DD44888-0358-4476-9168-BAD3D38893A8}"/>
    <cellStyle name="40% - 强调文字颜色 2 3 14" xfId="4137" xr:uid="{049FD95F-2731-4BAA-9130-7BAE3217FC18}"/>
    <cellStyle name="40% - 强调文字颜色 2 3 14 2" xfId="4138" xr:uid="{602EDF7E-61BD-4A0B-8A33-5BA6FE908734}"/>
    <cellStyle name="40% - 强调文字颜色 2 3 15" xfId="9857" xr:uid="{821F29FE-8899-428C-A071-167758EC858B}"/>
    <cellStyle name="40% - 强调文字颜色 2 3 16" xfId="13408" xr:uid="{1958968D-4334-408C-934E-525CBC1A489E}"/>
    <cellStyle name="40% - 强调文字颜色 2 3 17" xfId="18708" xr:uid="{A616B8E5-A713-43C4-A54E-9263614948B1}"/>
    <cellStyle name="40% - 强调文字颜色 2 3 2" xfId="2367" xr:uid="{CD5AC72D-7659-4F29-8045-82A44D72065D}"/>
    <cellStyle name="40% - 强调文字颜色 2 3 2 2" xfId="4139" xr:uid="{D4E92523-7DF0-4D60-AE9E-F00DDCE5759B}"/>
    <cellStyle name="40% - 强调文字颜色 2 3 2 3" xfId="9858" xr:uid="{4C173ED7-4852-40A2-907B-88EE46A7E9FA}"/>
    <cellStyle name="40% - 强调文字颜色 2 3 2 4" xfId="18709" xr:uid="{AFB90D35-4C6A-43CB-9D0C-3E0C64A6D9CE}"/>
    <cellStyle name="40% - 强调文字颜色 2 3 2 5" xfId="27309" xr:uid="{A7E10D5F-7F31-4779-B61B-D8042065D72D}"/>
    <cellStyle name="40% - 强调文字颜色 2 3 3" xfId="2372" xr:uid="{53E3ED96-7136-42E8-AEAD-0F2C473830B9}"/>
    <cellStyle name="40% - 强调文字颜色 2 3 3 2" xfId="4140" xr:uid="{0257F15D-CDB4-44DF-9E3B-571D57603211}"/>
    <cellStyle name="40% - 强调文字颜色 2 3 3 2 2" xfId="18711" xr:uid="{3AB353D4-52F5-4341-B742-82683D6BFE26}"/>
    <cellStyle name="40% - 强调文字颜色 2 3 3 3" xfId="9859" xr:uid="{BA084A9E-E7CE-47E9-8687-D101FE3CAEBE}"/>
    <cellStyle name="40% - 强调文字颜色 2 3 3 4" xfId="18710" xr:uid="{81F25518-D4DF-4153-8011-51334DBF543D}"/>
    <cellStyle name="40% - 强调文字颜色 2 3 3 5" xfId="27310" xr:uid="{8CFEAB18-CCC0-4306-8D0B-9B7477247B4F}"/>
    <cellStyle name="40% - 强调文字颜色 2 3 4" xfId="275" xr:uid="{2BEDFCA6-CEE6-4303-8BB1-3FCD397B45D0}"/>
    <cellStyle name="40% - 强调文字颜色 2 3 4 2" xfId="2114" xr:uid="{471F0DB7-84AD-4733-94E6-B86F2E0EFF15}"/>
    <cellStyle name="40% - 强调文字颜色 2 3 4 3" xfId="18712" xr:uid="{48C846BA-B914-45B0-87C3-88B150D65928}"/>
    <cellStyle name="40% - 强调文字颜色 2 3 4 4" xfId="27695" xr:uid="{72F08777-18D6-4286-B477-27301C2B6CF0}"/>
    <cellStyle name="40% - 强调文字颜色 2 3 5" xfId="45" xr:uid="{B01EB995-7F3D-457D-9954-F57A0EB314FB}"/>
    <cellStyle name="40% - 强调文字颜色 2 3 5 2" xfId="2443" xr:uid="{46259C1B-20F2-4BD2-BDE2-A6212B57D480}"/>
    <cellStyle name="40% - 强调文字颜色 2 3 5 3" xfId="18713" xr:uid="{6270EE9A-A671-493C-B709-6022330F01DD}"/>
    <cellStyle name="40% - 强调文字颜色 2 3 6" xfId="281" xr:uid="{D2EA795A-2CF0-4E96-B392-09A5AF7ECBEF}"/>
    <cellStyle name="40% - 强调文字颜色 2 3 6 2" xfId="4141" xr:uid="{981E6998-AF71-4662-8EB4-C4788409BFF6}"/>
    <cellStyle name="40% - 强调文字颜色 2 3 7" xfId="292" xr:uid="{0F7EB063-518A-4390-A159-566885429A10}"/>
    <cellStyle name="40% - 强调文字颜色 2 3 7 2" xfId="55" xr:uid="{062F920E-5038-41F9-AAFD-F727EF639634}"/>
    <cellStyle name="40% - 强调文字颜色 2 3 8" xfId="302" xr:uid="{996FE38D-7B52-49E3-9A22-A6A68C3C5EFD}"/>
    <cellStyle name="40% - 强调文字颜色 2 3 8 2" xfId="1138" xr:uid="{B7C80417-9477-49F9-BC2E-DF78DA1C9A68}"/>
    <cellStyle name="40% - 强调文字颜色 2 3 9" xfId="310" xr:uid="{E6CF4682-4EDF-4724-B08A-3C9C5CE13984}"/>
    <cellStyle name="40% - 强调文字颜色 2 30" xfId="447" xr:uid="{64E35914-7A6A-44CE-9A10-40FF8F67BD9E}"/>
    <cellStyle name="40% - 强调文字颜色 2 30 2" xfId="18715" xr:uid="{1A2C0779-467B-41BD-8119-754ABEB6577F}"/>
    <cellStyle name="40% - 强调文字颜色 2 30 3" xfId="18716" xr:uid="{60524FF8-3F3B-48C5-8CEC-1EFB73695868}"/>
    <cellStyle name="40% - 强调文字颜色 2 30 4" xfId="18717" xr:uid="{1BFA9F34-BD2D-4545-B56C-A11D1049D260}"/>
    <cellStyle name="40% - 强调文字颜色 2 30 5" xfId="18714" xr:uid="{3DC28931-1B73-453F-8544-C2AB100CB4C5}"/>
    <cellStyle name="40% - 强调文字颜色 2 31" xfId="454" xr:uid="{D6AEEAEA-96E6-4CD7-BF16-18D0F7887DB1}"/>
    <cellStyle name="40% - 强调文字颜色 2 31 2" xfId="18719" xr:uid="{C973DD02-F490-4114-8A98-4F7BC568662A}"/>
    <cellStyle name="40% - 强调文字颜色 2 31 3" xfId="18720" xr:uid="{438BBCA0-CE17-44C4-A0FE-FD4149B7A009}"/>
    <cellStyle name="40% - 强调文字颜色 2 31 4" xfId="18721" xr:uid="{66844F6B-DC8C-4A3B-89DF-0363A39E2630}"/>
    <cellStyle name="40% - 强调文字颜色 2 31 5" xfId="18718" xr:uid="{62438779-2352-46C8-BB27-8243174A484E}"/>
    <cellStyle name="40% - 强调文字颜色 2 32" xfId="467" xr:uid="{819F1CA4-54A3-4493-8AAD-EC840E49C783}"/>
    <cellStyle name="40% - 强调文字颜色 2 32 2" xfId="18723" xr:uid="{E76DCDE2-47B8-4E3A-B44C-00F50602FC26}"/>
    <cellStyle name="40% - 强调文字颜色 2 32 3" xfId="18724" xr:uid="{31A30C25-F905-430F-9B94-23241AEDD272}"/>
    <cellStyle name="40% - 强调文字颜色 2 32 4" xfId="18725" xr:uid="{0AFAC9EF-BAE2-4916-95B2-A5F99DCE956C}"/>
    <cellStyle name="40% - 强调文字颜色 2 32 5" xfId="18722" xr:uid="{612A805D-6B10-49E9-8421-62E2E31C4765}"/>
    <cellStyle name="40% - 强调文字颜色 2 33" xfId="477" xr:uid="{5B8E58A4-6433-45B5-9650-9169088EBB88}"/>
    <cellStyle name="40% - 强调文字颜色 2 33 2" xfId="18727" xr:uid="{40DA948C-9A59-4D6C-B0F7-5750E71B958E}"/>
    <cellStyle name="40% - 强调文字颜色 2 33 3" xfId="18728" xr:uid="{2BBBD0F0-380E-41FA-83AE-32455BBA2562}"/>
    <cellStyle name="40% - 强调文字颜色 2 33 4" xfId="18729" xr:uid="{0EBD0963-FAF7-4866-B60B-ABD18AAC1E96}"/>
    <cellStyle name="40% - 强调文字颜色 2 33 5" xfId="18726" xr:uid="{7711415C-306A-40D8-9D9E-122EF6A5B04B}"/>
    <cellStyle name="40% - 强调文字颜色 2 34" xfId="485" xr:uid="{3FC81DFF-346A-4B44-8E81-CEE5B5CFB228}"/>
    <cellStyle name="40% - 强调文字颜色 2 34 2" xfId="12414" xr:uid="{47954D17-1668-4149-944A-8499EF8B0AA6}"/>
    <cellStyle name="40% - 强调文字颜色 2 34 2 2" xfId="18731" xr:uid="{F8CE30B2-DDCB-4176-BD3B-43E4916B86EE}"/>
    <cellStyle name="40% - 强调文字颜色 2 34 3" xfId="18732" xr:uid="{5A7250CC-91C8-4972-81BC-B733ADC2B50A}"/>
    <cellStyle name="40% - 强调文字颜色 2 34 4" xfId="18733" xr:uid="{0C15B33A-2CCF-42E6-917C-B2D36E120189}"/>
    <cellStyle name="40% - 强调文字颜色 2 34 5" xfId="18730" xr:uid="{8E6C466C-60DB-43FF-868E-493629321BA0}"/>
    <cellStyle name="40% - 强调文字颜色 2 35" xfId="493" xr:uid="{3F1F6D89-7EB9-458F-9987-F2861F20C609}"/>
    <cellStyle name="40% - 强调文字颜色 2 35 2" xfId="12415" xr:uid="{4F012BA7-D4FA-46E2-A381-18886B17DBB7}"/>
    <cellStyle name="40% - 强调文字颜色 2 35 2 2" xfId="18735" xr:uid="{D4A91942-EE6F-4B68-B2FE-B492826001AE}"/>
    <cellStyle name="40% - 强调文字颜色 2 35 3" xfId="18736" xr:uid="{8034FF81-E880-4318-8388-C93287FCF3AC}"/>
    <cellStyle name="40% - 强调文字颜色 2 35 4" xfId="18734" xr:uid="{438BFD22-9E79-437C-A4E4-01CB3D3B4089}"/>
    <cellStyle name="40% - 强调文字颜色 2 36" xfId="498" xr:uid="{A094C041-F9F2-4DE0-8316-BA3B43B8A7A4}"/>
    <cellStyle name="40% - 强调文字颜色 2 36 2" xfId="12416" xr:uid="{AF3DBF0E-E405-4912-994D-4C8A2E2A1423}"/>
    <cellStyle name="40% - 强调文字颜色 2 36 2 2" xfId="18738" xr:uid="{C9206575-0CDB-4DF7-8241-DC2FBEC1F0F6}"/>
    <cellStyle name="40% - 强调文字颜色 2 36 3" xfId="18739" xr:uid="{3CD33C3F-AFDC-458E-92AC-C09F9E77F225}"/>
    <cellStyle name="40% - 强调文字颜色 2 36 4" xfId="18737" xr:uid="{0290E54B-F796-4DE2-A81B-D817F73A25C3}"/>
    <cellStyle name="40% - 强调文字颜色 2 37" xfId="1164" xr:uid="{AC82E697-F43A-46BC-91E3-C36D1B1A36CA}"/>
    <cellStyle name="40% - 强调文字颜色 2 37 2" xfId="12417" xr:uid="{04F2ACBC-32BC-4FCE-8846-020CF8FFF77C}"/>
    <cellStyle name="40% - 强调文字颜色 2 37 2 2" xfId="18741" xr:uid="{7D506424-3617-4538-9FC7-F2DA88637638}"/>
    <cellStyle name="40% - 强调文字颜色 2 37 3" xfId="18742" xr:uid="{405F0DE3-CFD7-4F0E-B16A-FE8674C1E464}"/>
    <cellStyle name="40% - 强调文字颜色 2 37 4" xfId="18740" xr:uid="{CDFF802C-EEE8-40F6-8C16-7516AD55F516}"/>
    <cellStyle name="40% - 强调文字颜色 2 38" xfId="739" xr:uid="{B33B49B5-240D-4EDD-BB69-F6164D7AB4CA}"/>
    <cellStyle name="40% - 强调文字颜色 2 38 10" xfId="18744" xr:uid="{49D4BA3A-8532-47C5-9B9A-C682CC2A0C2E}"/>
    <cellStyle name="40% - 强调文字颜色 2 38 11" xfId="18745" xr:uid="{EAB3D705-F0F6-4F10-9A63-D85C3EC1E4E8}"/>
    <cellStyle name="40% - 强调文字颜色 2 38 12" xfId="18746" xr:uid="{773D1DE3-06CC-4D7F-9827-DABC39CB082C}"/>
    <cellStyle name="40% - 强调文字颜色 2 38 13" xfId="18747" xr:uid="{9D72BFA7-4DD6-40F4-AA11-C209B02ED03A}"/>
    <cellStyle name="40% - 强调文字颜色 2 38 14" xfId="18748" xr:uid="{FB66785D-3189-4805-AC7C-CBBF6FC7537C}"/>
    <cellStyle name="40% - 强调文字颜色 2 38 15" xfId="18743" xr:uid="{78F4DFCC-9F6B-4F9D-BA3D-7C6FC9576064}"/>
    <cellStyle name="40% - 强调文字颜色 2 38 2" xfId="12418" xr:uid="{40352B12-D78C-43D5-826B-084236EED47E}"/>
    <cellStyle name="40% - 强调文字颜色 2 38 2 2" xfId="18749" xr:uid="{228E6F5D-CC25-4A9A-A262-FA599ACED71C}"/>
    <cellStyle name="40% - 强调文字颜色 2 38 3" xfId="18750" xr:uid="{DCD495D1-F91F-467A-BE60-7DB0A24FE97F}"/>
    <cellStyle name="40% - 强调文字颜色 2 38 4" xfId="18751" xr:uid="{92EE4B46-57BA-4ABC-AFD8-8963177DBF3D}"/>
    <cellStyle name="40% - 强调文字颜色 2 38 5" xfId="18752" xr:uid="{270D7755-0F0F-40FE-ACB1-891E2D793554}"/>
    <cellStyle name="40% - 强调文字颜色 2 38 6" xfId="18753" xr:uid="{F095FF8F-F5DE-4F03-98E2-E1D4A5D569B2}"/>
    <cellStyle name="40% - 强调文字颜色 2 38 7" xfId="18754" xr:uid="{5E6FE59D-6732-4A69-BDC6-57DC5A02D0C9}"/>
    <cellStyle name="40% - 强调文字颜色 2 38 8" xfId="18755" xr:uid="{EC621405-4588-4492-BD87-FB653C4DD588}"/>
    <cellStyle name="40% - 强调文字颜色 2 38 9" xfId="18756" xr:uid="{06469622-8CFF-4E3E-A5BF-C2FCA0AD90AA}"/>
    <cellStyle name="40% - 强调文字颜色 2 39" xfId="754" xr:uid="{9B054457-476E-4701-AA05-B8AFCC4C6981}"/>
    <cellStyle name="40% - 强调文字颜色 2 39 2" xfId="12419" xr:uid="{DB4F61A0-8BA2-441A-AF38-B28F0B5DF825}"/>
    <cellStyle name="40% - 强调文字颜色 2 39 2 2" xfId="18758" xr:uid="{C0B961CB-A85F-445B-8338-3F67E5FEA261}"/>
    <cellStyle name="40% - 强调文字颜色 2 39 3" xfId="18759" xr:uid="{56D76271-FE1C-4049-BD70-18058231A6F3}"/>
    <cellStyle name="40% - 强调文字颜色 2 39 4" xfId="18757" xr:uid="{FBD0E06C-CBE9-45D4-A511-BBEE663F5AD3}"/>
    <cellStyle name="40% - 强调文字颜色 2 4" xfId="4142" xr:uid="{3F404B5A-DF15-4F69-B477-B4AD981A5D1E}"/>
    <cellStyle name="40% - 强调文字颜色 2 4 10" xfId="3520" xr:uid="{133F4A19-012B-4E69-96EC-92AC76B8DA63}"/>
    <cellStyle name="40% - 强调文字颜色 2 4 10 2" xfId="3401" xr:uid="{CF7C8E72-87EE-4FEB-B3D0-CE69C84FF4B2}"/>
    <cellStyle name="40% - 强调文字颜色 2 4 11" xfId="4143" xr:uid="{DD2AE5B8-1C6D-4A52-9922-8FFFFAD11A0D}"/>
    <cellStyle name="40% - 强调文字颜色 2 4 11 2" xfId="1599" xr:uid="{F204C7EC-8E56-4ADF-B1DB-2C97DDC4E677}"/>
    <cellStyle name="40% - 强调文字颜色 2 4 12" xfId="4145" xr:uid="{37D7A012-47DD-43C5-9A4C-C15798771236}"/>
    <cellStyle name="40% - 强调文字颜色 2 4 13" xfId="4147" xr:uid="{7484D1BC-B3D9-4D07-88FA-66BB6EB01E67}"/>
    <cellStyle name="40% - 强调文字颜色 2 4 13 2" xfId="4148" xr:uid="{2B600CF4-34C8-44A7-9FD2-8E32DD9EA1D9}"/>
    <cellStyle name="40% - 强调文字颜色 2 4 14" xfId="4149" xr:uid="{852D328A-A598-4545-892C-9EC4A494DC94}"/>
    <cellStyle name="40% - 强调文字颜色 2 4 14 2" xfId="3579" xr:uid="{2ED2A92E-17D9-4749-BABE-ACF5D1B5A306}"/>
    <cellStyle name="40% - 强调文字颜色 2 4 15" xfId="9860" xr:uid="{3AB44220-DF99-4345-A8C6-E325CD9083A9}"/>
    <cellStyle name="40% - 强调文字颜色 2 4 16" xfId="13398" xr:uid="{4AA53AB8-4B26-4EDE-A27A-6B4BBC4ECCA8}"/>
    <cellStyle name="40% - 强调文字颜色 2 4 17" xfId="18760" xr:uid="{5FDD3402-23D8-4078-A209-527339927832}"/>
    <cellStyle name="40% - 强调文字颜色 2 4 2" xfId="2519" xr:uid="{094D0445-9384-4C06-94CA-0A76D587BB3C}"/>
    <cellStyle name="40% - 强调文字颜色 2 4 2 2" xfId="1443" xr:uid="{FD5B73A9-34F8-459A-97BA-92F262EF4B42}"/>
    <cellStyle name="40% - 强调文字颜色 2 4 2 2 2" xfId="18762" xr:uid="{1CBEC7DF-120A-4834-900B-11F89B8073BE}"/>
    <cellStyle name="40% - 强调文字颜色 2 4 2 3" xfId="9861" xr:uid="{69584339-DE4E-4E69-A53C-35317DCC88CA}"/>
    <cellStyle name="40% - 强调文字颜色 2 4 2 4" xfId="18761" xr:uid="{9441B62E-E4B8-4787-9262-0BA84860444B}"/>
    <cellStyle name="40% - 强调文字颜色 2 4 3" xfId="2522" xr:uid="{8A003C29-DDB7-40EA-B03D-6DF9DC9BD5C7}"/>
    <cellStyle name="40% - 强调文字颜色 2 4 3 2" xfId="1470" xr:uid="{C130E570-F828-45CF-B756-06ADD555CB13}"/>
    <cellStyle name="40% - 强调文字颜色 2 4 3 3" xfId="9862" xr:uid="{37736EA1-8CF4-44FE-872B-9D67CC99B077}"/>
    <cellStyle name="40% - 强调文字颜色 2 4 3 4" xfId="18763" xr:uid="{743815D7-B1E8-45C3-90FF-E2BD3F33BC02}"/>
    <cellStyle name="40% - 强调文字颜色 2 4 4" xfId="2525" xr:uid="{C24EA9B3-A3AA-4413-AF38-701EC0A8E3D2}"/>
    <cellStyle name="40% - 强调文字颜色 2 4 4 2" xfId="4150" xr:uid="{1587B6A4-7BC1-420B-9091-8790B0E1BC53}"/>
    <cellStyle name="40% - 强调文字颜色 2 4 4 3" xfId="18764" xr:uid="{33511FF2-B83E-452D-8BC8-F4317187059B}"/>
    <cellStyle name="40% - 强调文字颜色 2 4 5" xfId="1191" xr:uid="{AD69C131-BD13-4358-81E9-42E6612BA92F}"/>
    <cellStyle name="40% - 强调文字颜色 2 4 5 2" xfId="4153" xr:uid="{4669E2A1-51FD-462E-AC93-8B01C6617422}"/>
    <cellStyle name="40% - 强调文字颜色 2 4 6" xfId="1534" xr:uid="{811AEEA0-3099-430F-835B-34F51FC430EC}"/>
    <cellStyle name="40% - 强调文字颜色 2 4 6 2" xfId="4154" xr:uid="{51F203AB-2604-4CCC-8742-D86BF9892FD6}"/>
    <cellStyle name="40% - 强调文字颜色 2 4 7" xfId="605" xr:uid="{0EE1511B-F7D1-41A0-84B9-5B885D8642A1}"/>
    <cellStyle name="40% - 强调文字颜色 2 4 7 2" xfId="1170" xr:uid="{74E40E86-1072-4FE9-BFDB-A6374FD4261A}"/>
    <cellStyle name="40% - 强调文字颜色 2 4 8" xfId="1173" xr:uid="{95079231-BD17-404F-AD3D-28140B888F94}"/>
    <cellStyle name="40% - 强调文字颜色 2 4 8 2" xfId="1176" xr:uid="{4B74D275-3330-4F9F-B350-0DD879013128}"/>
    <cellStyle name="40% - 强调文字颜色 2 4 9" xfId="1178" xr:uid="{0B95616E-1718-405D-954F-CCE4623BD5AB}"/>
    <cellStyle name="40% - 强调文字颜色 2 40" xfId="492" xr:uid="{189C84A7-98CE-4306-BA55-E377B3166937}"/>
    <cellStyle name="40% - 强调文字颜色 2 40 2" xfId="12421" xr:uid="{851F58F4-FBB5-475F-B671-D9458EACC2A5}"/>
    <cellStyle name="40% - 强调文字颜色 2 40 2 2" xfId="18766" xr:uid="{6FD8C73E-E5D7-483B-B4ED-74A78375459A}"/>
    <cellStyle name="40% - 强调文字颜色 2 40 3" xfId="18765" xr:uid="{4768F776-2EF7-4979-8F60-DC2260191DDC}"/>
    <cellStyle name="40% - 强调文字颜色 2 41" xfId="497" xr:uid="{76EE5784-4DBA-4522-A809-1D1E2320944C}"/>
    <cellStyle name="40% - 强调文字颜色 2 41 2" xfId="12422" xr:uid="{61A821CD-2B18-4F37-A6BA-B914521E1F22}"/>
    <cellStyle name="40% - 强调文字颜色 2 41 2 2" xfId="18768" xr:uid="{C9443CA8-CE15-4FED-B653-C7355A0E2879}"/>
    <cellStyle name="40% - 强调文字颜色 2 41 3" xfId="18767" xr:uid="{AD8ABA1D-5AAD-4076-A5AC-4A637A0D5B32}"/>
    <cellStyle name="40% - 强调文字颜色 2 42" xfId="1165" xr:uid="{51DAAFB0-B4DB-4174-A3B3-364A06E4EE4B}"/>
    <cellStyle name="40% - 强调文字颜色 2 42 2" xfId="12423" xr:uid="{9CD77CCB-81D7-44D4-AAA9-C108CB86B6E8}"/>
    <cellStyle name="40% - 强调文字颜色 2 42 2 2" xfId="18770" xr:uid="{4D1DD9D6-7D59-4E6F-8779-0E90C8A66D3A}"/>
    <cellStyle name="40% - 强调文字颜色 2 42 3" xfId="18769" xr:uid="{EAB08AB0-9AAB-4650-BC7D-51AEAEF41799}"/>
    <cellStyle name="40% - 强调文字颜色 2 43" xfId="740" xr:uid="{42490DD1-B702-40A8-89DE-D0031A4F80EB}"/>
    <cellStyle name="40% - 强调文字颜色 2 43 2" xfId="12424" xr:uid="{A3797D17-4BBB-4F99-A5C2-6B5B220327CF}"/>
    <cellStyle name="40% - 强调文字颜色 2 43 2 2" xfId="18772" xr:uid="{FB69AE9A-C096-487B-B266-3FF54FBF7D5F}"/>
    <cellStyle name="40% - 强调文字颜色 2 43 3" xfId="18771" xr:uid="{F3FC41CE-5C26-4B9A-9F67-222360272FF5}"/>
    <cellStyle name="40% - 强调文字颜色 2 44" xfId="755" xr:uid="{59CBD62E-2EBE-4663-907C-8CACD737FD14}"/>
    <cellStyle name="40% - 强调文字颜色 2 44 2" xfId="12425" xr:uid="{B1EDFABF-BAAE-4D24-AA4E-FB0724364DDF}"/>
    <cellStyle name="40% - 强调文字颜色 2 44 2 2" xfId="18774" xr:uid="{9D812902-39AB-4BD7-93D3-8021BDBA6F87}"/>
    <cellStyle name="40% - 强调文字颜色 2 44 3" xfId="18773" xr:uid="{33981E82-15AA-4DD8-A1FD-CE78C1295C3E}"/>
    <cellStyle name="40% - 强调文字颜色 2 45" xfId="764" xr:uid="{32B4B8BA-3D79-4AE7-B5A8-96FB0ED49FF2}"/>
    <cellStyle name="40% - 强调文字颜色 2 45 2" xfId="12426" xr:uid="{3E5873DF-95D0-44A2-9FE1-B04DF4F63193}"/>
    <cellStyle name="40% - 强调文字颜色 2 45 2 2" xfId="18776" xr:uid="{6A0747D3-B8D7-420B-9D15-4D0AFC4DC603}"/>
    <cellStyle name="40% - 强调文字颜色 2 45 3" xfId="18775" xr:uid="{9E1BE2E0-5ACA-4D92-A39D-1DC27589C317}"/>
    <cellStyle name="40% - 强调文字颜色 2 46" xfId="775" xr:uid="{C07918EF-3245-49C6-B399-2D819EDBAE91}"/>
    <cellStyle name="40% - 强调文字颜色 2 46 2" xfId="12427" xr:uid="{87561EBC-67D2-41CF-8F4C-2A75C78EB378}"/>
    <cellStyle name="40% - 强调文字颜色 2 46 2 2" xfId="18778" xr:uid="{719535F9-7BCF-49E9-8BEB-E0B4BEDAAD82}"/>
    <cellStyle name="40% - 强调文字颜色 2 46 3" xfId="18777" xr:uid="{6102AFE6-2B8E-4830-B58D-8EF9CC0DF9AD}"/>
    <cellStyle name="40% - 强调文字颜色 2 47" xfId="781" xr:uid="{C5EC687D-0912-4CCF-80D0-C0ADE92B9383}"/>
    <cellStyle name="40% - 强调文字颜色 2 47 2" xfId="12428" xr:uid="{8E63DF21-8C5F-4A21-B00C-02B62F2A9933}"/>
    <cellStyle name="40% - 强调文字颜色 2 47 3" xfId="18779" xr:uid="{9F119A7C-D1BF-4E2B-8CA0-C73F137D806E}"/>
    <cellStyle name="40% - 强调文字颜色 2 48" xfId="788" xr:uid="{64625B80-D7CC-48CC-AB0F-CDC937253A29}"/>
    <cellStyle name="40% - 强调文字颜色 2 48 2" xfId="12429" xr:uid="{AF227FE4-CC51-48D2-AB51-6A58207A51F8}"/>
    <cellStyle name="40% - 强调文字颜色 2 48 3" xfId="18780" xr:uid="{DDBA64C4-3300-42AF-84C2-08188465466D}"/>
    <cellStyle name="40% - 强调文字颜色 2 49" xfId="660" xr:uid="{447A38A9-387D-4CDE-AA50-96D2E9DFA3B4}"/>
    <cellStyle name="40% - 强调文字颜色 2 49 2" xfId="12430" xr:uid="{BCCE40BC-449E-40A5-8588-F3EC37320A93}"/>
    <cellStyle name="40% - 强调文字颜色 2 49 3" xfId="18781" xr:uid="{25B69F1E-5852-4214-8E7B-FDF9A60BDCBE}"/>
    <cellStyle name="40% - 强调文字颜色 2 5" xfId="4155" xr:uid="{6149BA09-1FD9-4A93-BE06-6D32F725C347}"/>
    <cellStyle name="40% - 强调文字颜色 2 5 10" xfId="4156" xr:uid="{BCDB5BFA-5D26-4AE0-848B-58A34A292458}"/>
    <cellStyle name="40% - 强调文字颜色 2 5 10 2" xfId="4158" xr:uid="{273B6EA9-02E6-43D8-9863-651C764AE7EB}"/>
    <cellStyle name="40% - 强调文字颜色 2 5 11" xfId="3625" xr:uid="{437A807D-7DBA-4B46-83D4-B44A51A1AA7E}"/>
    <cellStyle name="40% - 强调文字颜色 2 5 11 2" xfId="2203" xr:uid="{AC2D9F03-4D9F-496E-903B-A22660B1FC18}"/>
    <cellStyle name="40% - 强调文字颜色 2 5 12" xfId="4159" xr:uid="{E8957542-C2E7-4731-A391-7ABE7FCC709D}"/>
    <cellStyle name="40% - 强调文字颜色 2 5 13" xfId="4160" xr:uid="{FE77CBCA-0263-4C88-88D7-61FBDCC2EDCF}"/>
    <cellStyle name="40% - 强调文字颜色 2 5 13 2" xfId="3926" xr:uid="{7F858062-B34E-4149-9983-1447F1B666A9}"/>
    <cellStyle name="40% - 强调文字颜色 2 5 14" xfId="4161" xr:uid="{F222FA7C-1FE3-4A46-84B5-DF8C43304530}"/>
    <cellStyle name="40% - 强调文字颜色 2 5 14 2" xfId="3956" xr:uid="{9441983E-B6A9-4244-8284-8851F59137B4}"/>
    <cellStyle name="40% - 强调文字颜色 2 5 15" xfId="9863" xr:uid="{8E553D7E-DADC-42F0-B6C0-2C11569DBADF}"/>
    <cellStyle name="40% - 强调文字颜色 2 5 16" xfId="13375" xr:uid="{B24654D2-5CC4-4245-8376-668F555B0C7F}"/>
    <cellStyle name="40% - 强调文字颜色 2 5 17" xfId="18782" xr:uid="{081448A3-502A-4F7E-8565-E40FE9F98213}"/>
    <cellStyle name="40% - 强调文字颜色 2 5 2" xfId="4162" xr:uid="{D5EF34E1-4945-4019-93E6-4F1025A6F1FA}"/>
    <cellStyle name="40% - 强调文字颜色 2 5 2 2" xfId="4163" xr:uid="{86944E59-8B28-4AB3-8979-1A8834158395}"/>
    <cellStyle name="40% - 强调文字颜色 2 5 2 2 2" xfId="18784" xr:uid="{A77B1ED9-6F67-4318-89F5-A66B3187BFEB}"/>
    <cellStyle name="40% - 强调文字颜色 2 5 2 3" xfId="9864" xr:uid="{91DD90A8-9FEE-45E4-B49C-FF2422AB9D1D}"/>
    <cellStyle name="40% - 强调文字颜色 2 5 2 4" xfId="18783" xr:uid="{E117678D-7A4D-4790-9BEA-59CAFFB95E4D}"/>
    <cellStyle name="40% - 强调文字颜色 2 5 3" xfId="1989" xr:uid="{837770F4-C404-43C2-AFF3-4C95EB17925B}"/>
    <cellStyle name="40% - 强调文字颜色 2 5 3 2" xfId="4164" xr:uid="{221C8F6B-2472-4FD9-ADE5-84605CB0CFA7}"/>
    <cellStyle name="40% - 强调文字颜色 2 5 3 3" xfId="9865" xr:uid="{D5854DDE-0A87-4225-9F3E-42332C00E440}"/>
    <cellStyle name="40% - 强调文字颜色 2 5 3 4" xfId="18785" xr:uid="{C5A0D0B5-E288-4994-A1D2-69C931CA1675}"/>
    <cellStyle name="40% - 强调文字颜色 2 5 4" xfId="3837" xr:uid="{5318E919-62D4-4ED4-84D4-AED8BC3611BA}"/>
    <cellStyle name="40% - 强调文字颜色 2 5 4 2" xfId="4058" xr:uid="{AB4B0EEB-DDE4-4F62-93E1-93DBE00159DE}"/>
    <cellStyle name="40% - 强调文字颜色 2 5 4 3" xfId="18786" xr:uid="{8E21DA4A-8009-4F3B-8697-658121B69FB7}"/>
    <cellStyle name="40% - 强调文字颜色 2 5 5" xfId="4165" xr:uid="{6743ACBE-1A6C-4526-97DF-2DBB9F5A6818}"/>
    <cellStyle name="40% - 强调文字颜色 2 5 5 2" xfId="679" xr:uid="{905E5CF2-2BA2-40EA-AE00-45C020B95C08}"/>
    <cellStyle name="40% - 强调文字颜色 2 5 6" xfId="1543" xr:uid="{AC3CB884-3EA8-442A-A3CA-F5D3BF580C43}"/>
    <cellStyle name="40% - 强调文字颜色 2 5 6 2" xfId="4166" xr:uid="{15544FA8-C401-4A89-A5BB-22DEE4594E84}"/>
    <cellStyle name="40% - 强调文字颜色 2 5 7" xfId="102" xr:uid="{B8EA5B20-13CA-4215-97FA-66C433633FC7}"/>
    <cellStyle name="40% - 强调文字颜色 2 5 7 2" xfId="824" xr:uid="{2FC7CB8B-BCF3-4EE4-8B9A-BF5DAA74B495}"/>
    <cellStyle name="40% - 强调文字颜色 2 5 8" xfId="1195" xr:uid="{571E4BF0-2A28-4706-8EE2-A5D5787B5310}"/>
    <cellStyle name="40% - 强调文字颜色 2 5 8 2" xfId="878" xr:uid="{59D02716-032F-4542-8F56-044AA4A35B29}"/>
    <cellStyle name="40% - 强调文字颜色 2 5 9" xfId="1197" xr:uid="{BDC2F50A-AE07-4404-8CA6-5ADB18169F12}"/>
    <cellStyle name="40% - 强调文字颜色 2 50" xfId="765" xr:uid="{5189F22C-4DF3-4854-9E34-D216A52E87E2}"/>
    <cellStyle name="40% - 强调文字颜色 2 50 2" xfId="12432" xr:uid="{60C2E2CE-AB26-46FE-A5BA-A6F5C2DC37D0}"/>
    <cellStyle name="40% - 强调文字颜色 2 50 3" xfId="18787" xr:uid="{F9A99949-8879-4FAE-9FEB-1CCC32B81780}"/>
    <cellStyle name="40% - 强调文字颜色 2 51" xfId="776" xr:uid="{FEAF287E-3306-43A6-9729-EE69BFBE0BDB}"/>
    <cellStyle name="40% - 强调文字颜色 2 51 2" xfId="12433" xr:uid="{488B2057-985E-47C0-8646-DAA6E0DB0FCF}"/>
    <cellStyle name="40% - 强调文字颜色 2 51 3" xfId="18788" xr:uid="{86588015-EC22-44E4-8DD9-B08324C81296}"/>
    <cellStyle name="40% - 强调文字颜色 2 52" xfId="782" xr:uid="{F663DF92-95BE-41F6-9B2C-417CF4A1A341}"/>
    <cellStyle name="40% - 强调文字颜色 2 52 2" xfId="12434" xr:uid="{C02F9DA4-44C2-4E08-A438-BA568F18D519}"/>
    <cellStyle name="40% - 强调文字颜色 2 52 3" xfId="18789" xr:uid="{6FF2F969-BFB1-4B30-A09E-28864F121D2B}"/>
    <cellStyle name="40% - 强调文字颜色 2 53" xfId="789" xr:uid="{48E9BD4E-6322-42B4-928B-493A91755336}"/>
    <cellStyle name="40% - 强调文字颜色 2 53 2" xfId="12435" xr:uid="{9E2B5B3A-C302-431B-841E-08CEB2B50F94}"/>
    <cellStyle name="40% - 强调文字颜色 2 53 3" xfId="18790" xr:uid="{E5D035BA-F588-417A-B296-4AE93365EC06}"/>
    <cellStyle name="40% - 强调文字颜色 2 54" xfId="661" xr:uid="{E180F5FC-76EA-4810-879C-3EC67824020C}"/>
    <cellStyle name="40% - 强调文字颜色 2 54 2" xfId="12436" xr:uid="{73E9644A-D86F-4E5F-870E-2C2664CAA836}"/>
    <cellStyle name="40% - 强调文字颜色 2 54 3" xfId="18791" xr:uid="{45205ECA-F1F3-4A2D-8E81-23BE5FEFFFCB}"/>
    <cellStyle name="40% - 强调文字颜色 2 55" xfId="794" xr:uid="{FB7AB6F4-713E-43D3-BB6A-F45826002E9D}"/>
    <cellStyle name="40% - 强调文字颜色 2 55 2" xfId="12437" xr:uid="{93045D5F-8045-4DE6-96A3-2AD4C2276760}"/>
    <cellStyle name="40% - 强调文字颜色 2 55 3" xfId="18792" xr:uid="{A378A901-232A-497E-BFCA-98BD764664DC}"/>
    <cellStyle name="40% - 强调文字颜色 2 56" xfId="1209" xr:uid="{948A0CA6-FF4F-453D-BE12-F87FE8A17740}"/>
    <cellStyle name="40% - 强调文字颜色 2 56 2" xfId="12438" xr:uid="{D7867D17-51BB-46EE-AFEC-DF6AD8A3BED7}"/>
    <cellStyle name="40% - 强调文字颜色 2 56 3" xfId="18793" xr:uid="{EF37C410-64D7-4A0F-ACB8-032719EA0CF8}"/>
    <cellStyle name="40% - 强调文字颜色 2 57" xfId="1214" xr:uid="{FBDC216F-3AE9-45F0-88BE-101CC41E0056}"/>
    <cellStyle name="40% - 强调文字颜色 2 57 2" xfId="12439" xr:uid="{AFA5C74E-92B1-4081-8953-B5D513255120}"/>
    <cellStyle name="40% - 强调文字颜色 2 58" xfId="1219" xr:uid="{B86C370E-8DFD-4E8D-BAB3-CC58F1ED46A0}"/>
    <cellStyle name="40% - 强调文字颜色 2 58 2" xfId="12440" xr:uid="{3ACE1FC9-4173-4DB9-B230-31EC169DF70E}"/>
    <cellStyle name="40% - 强调文字颜色 2 59" xfId="1225" xr:uid="{7CEBBD86-0271-48CF-9E67-743AB55F4075}"/>
    <cellStyle name="40% - 强调文字颜色 2 59 2" xfId="12441" xr:uid="{FE680CF6-AB52-4FC2-B306-3EEC6A7FCAFC}"/>
    <cellStyle name="40% - 强调文字颜色 2 6" xfId="4168" xr:uid="{D921D6A7-15F7-45FC-B290-FD31C0C613CB}"/>
    <cellStyle name="40% - 强调文字颜色 2 6 10" xfId="18794" xr:uid="{29C25808-0A73-499B-A4C2-9639CD374314}"/>
    <cellStyle name="40% - 强调文字颜色 2 6 2" xfId="3871" xr:uid="{B9821232-75DB-4CA8-950D-42FDE22163D6}"/>
    <cellStyle name="40% - 强调文字颜色 2 6 2 2" xfId="9867" xr:uid="{BCB69F3B-DB4B-4684-9C4D-B3CAE9B2F672}"/>
    <cellStyle name="40% - 强调文字颜色 2 6 2 2 2" xfId="18796" xr:uid="{EC13EE97-B609-4DB1-87D6-24BF38DB3EE0}"/>
    <cellStyle name="40% - 强调文字颜色 2 6 2 3" xfId="18795" xr:uid="{1FCDA302-73A8-4FAD-B4F5-2F9612D08F02}"/>
    <cellStyle name="40% - 强调文字颜色 2 6 3" xfId="3874" xr:uid="{5B0EBE74-4845-43BB-9025-6FE98EF7E06E}"/>
    <cellStyle name="40% - 强调文字颜色 2 6 3 2" xfId="3876" xr:uid="{A2FFD565-135C-4442-918F-CFEE1AE765B1}"/>
    <cellStyle name="40% - 强调文字颜色 2 6 3 3" xfId="9868" xr:uid="{20464C6A-179B-43B6-B558-2A2034FA50BF}"/>
    <cellStyle name="40% - 强调文字颜色 2 6 3 4" xfId="18797" xr:uid="{DF59B020-7405-430A-843B-09E23A6EB6D3}"/>
    <cellStyle name="40% - 强调文字颜色 2 6 4" xfId="3878" xr:uid="{6DB91ED0-75F0-4ACE-967E-7B89DABDA88F}"/>
    <cellStyle name="40% - 强调文字颜色 2 6 4 2" xfId="3882" xr:uid="{8AB9641D-C58A-445C-9471-1598473D105C}"/>
    <cellStyle name="40% - 强调文字颜色 2 6 4 3" xfId="18798" xr:uid="{BF84E195-0B03-45D0-988C-F07939D127E3}"/>
    <cellStyle name="40% - 强调文字颜色 2 6 5" xfId="3884" xr:uid="{04AC8FD0-8E5E-494E-A2C0-0DC960D67733}"/>
    <cellStyle name="40% - 强调文字颜色 2 6 6" xfId="1768" xr:uid="{9AA931C4-DD47-448D-B251-415719D096E3}"/>
    <cellStyle name="40% - 强调文字颜色 2 6 6 2" xfId="3889" xr:uid="{9C9DF15D-3876-4C3D-9574-5B145C16BFDF}"/>
    <cellStyle name="40% - 强调文字颜色 2 6 7" xfId="337" xr:uid="{848EA9EA-7C52-4E7A-858B-D40F10B5AA7D}"/>
    <cellStyle name="40% - 强调文字颜色 2 6 7 2" xfId="4169" xr:uid="{103ACBB9-8906-496A-A248-D35956963977}"/>
    <cellStyle name="40% - 强调文字颜色 2 6 8" xfId="9866" xr:uid="{83405F5E-123B-4345-B6C2-585FCABA3C82}"/>
    <cellStyle name="40% - 强调文字颜色 2 6 9" xfId="13364" xr:uid="{DBB089BC-F47C-4BF4-AEAC-F011654E511A}"/>
    <cellStyle name="40% - 强调文字颜色 2 60" xfId="795" xr:uid="{E54EF3FF-7390-4470-A338-BEAA4017E3FF}"/>
    <cellStyle name="40% - 强调文字颜色 2 60 2" xfId="12443" xr:uid="{2EE50F78-16D7-48AC-98B2-8A9BD14CF786}"/>
    <cellStyle name="40% - 强调文字颜色 2 61" xfId="1210" xr:uid="{28AD4FA2-E655-4D69-B880-A54586325A97}"/>
    <cellStyle name="40% - 强调文字颜色 2 61 2" xfId="12444" xr:uid="{7AF9C883-429E-42F4-BAA9-D87A3792AD81}"/>
    <cellStyle name="40% - 强调文字颜色 2 62" xfId="1215" xr:uid="{EA46EB66-FF73-4108-97C6-9BE114F2F7A3}"/>
    <cellStyle name="40% - 强调文字颜色 2 62 2" xfId="12445" xr:uid="{5C9E23F9-CF7E-4098-AE45-84B6A7D25D18}"/>
    <cellStyle name="40% - 强调文字颜色 2 63" xfId="1220" xr:uid="{96408D3B-1624-4D12-931C-ECC85927A9E8}"/>
    <cellStyle name="40% - 强调文字颜色 2 63 2" xfId="12446" xr:uid="{9EFA8553-A93E-4BD4-838A-DC636413C76B}"/>
    <cellStyle name="40% - 强调文字颜色 2 64" xfId="1226" xr:uid="{EED907B9-4A8E-4B5C-B870-20E1A27A5BF2}"/>
    <cellStyle name="40% - 强调文字颜色 2 64 2" xfId="12447" xr:uid="{4C9B6FF1-1E56-4A92-A31A-33C003658AAD}"/>
    <cellStyle name="40% - 强调文字颜色 2 65" xfId="1231" xr:uid="{D9632189-E697-4FA2-9416-7B7CA81DFD76}"/>
    <cellStyle name="40% - 强调文字颜色 2 65 2" xfId="12448" xr:uid="{1A2F18CC-C85E-4498-81E7-921992901045}"/>
    <cellStyle name="40% - 强调文字颜色 2 66" xfId="1246" xr:uid="{C85909B2-0E5A-4D0C-9A96-706DA8826525}"/>
    <cellStyle name="40% - 强调文字颜色 2 66 2" xfId="12449" xr:uid="{473E3D3F-4F0B-4147-B949-892F2EDEEB35}"/>
    <cellStyle name="40% - 强调文字颜色 2 67" xfId="1251" xr:uid="{3F950CB3-A4A0-4FFE-BC11-22A6D6959838}"/>
    <cellStyle name="40% - 强调文字颜色 2 67 2" xfId="12450" xr:uid="{06FA0432-3791-4DA9-BF03-2BA5FF13589C}"/>
    <cellStyle name="40% - 强调文字颜色 2 68" xfId="1256" xr:uid="{EC791754-E629-4129-AA83-7223E32D09CC}"/>
    <cellStyle name="40% - 强调文字颜色 2 68 2" xfId="12451" xr:uid="{8E1341A8-37CA-48B7-BE08-F841F1E7C5FB}"/>
    <cellStyle name="40% - 强调文字颜色 2 69" xfId="1260" xr:uid="{96390B62-E6C1-47CB-B512-49C6E26D1FF2}"/>
    <cellStyle name="40% - 强调文字颜色 2 69 2" xfId="12452" xr:uid="{567BC37F-B430-4E86-A8C4-D6C11C04492C}"/>
    <cellStyle name="40% - 强调文字颜色 2 7" xfId="3168" xr:uid="{B44977D1-9122-4312-97C8-8658BD1F0BA4}"/>
    <cellStyle name="40% - 强调文字颜色 2 7 2" xfId="4170" xr:uid="{B6C64DB6-8331-45F6-9B6C-AF6CF901FB5A}"/>
    <cellStyle name="40% - 强调文字颜色 2 7 2 2" xfId="4171" xr:uid="{E7EAE3F1-0F37-4A54-8D81-0A1C93211AD4}"/>
    <cellStyle name="40% - 强调文字颜色 2 7 2 2 2" xfId="18801" xr:uid="{F2D3C008-EA9D-4F04-98E5-E44AFB0D587C}"/>
    <cellStyle name="40% - 强调文字颜色 2 7 2 3" xfId="9870" xr:uid="{6CFE6159-C9F8-437C-BEF0-A1C65110B0AF}"/>
    <cellStyle name="40% - 强调文字颜色 2 7 2 4" xfId="18800" xr:uid="{52550BEB-76AD-497C-970E-9D163B0D60CD}"/>
    <cellStyle name="40% - 强调文字颜色 2 7 3" xfId="2000" xr:uid="{2FAB29FB-33EE-45C1-9AFB-B0CFC50EA65B}"/>
    <cellStyle name="40% - 强调文字颜色 2 7 3 2" xfId="3947" xr:uid="{A58B7FF4-905C-4000-A1A2-A3B9227E6953}"/>
    <cellStyle name="40% - 强调文字颜色 2 7 3 3" xfId="9871" xr:uid="{FF3DA53B-D724-466F-82FB-18780FAF4733}"/>
    <cellStyle name="40% - 强调文字颜色 2 7 3 4" xfId="18802" xr:uid="{7F7FFCDA-DE5B-4817-B0DF-7C4A5A6846D3}"/>
    <cellStyle name="40% - 强调文字颜色 2 7 4" xfId="4174" xr:uid="{E53DF18A-16A9-4EE8-BB5C-A57A4BBDE80E}"/>
    <cellStyle name="40% - 强调文字颜色 2 7 4 2" xfId="18803" xr:uid="{7CC50334-9D39-49D7-AD20-8751C564C13E}"/>
    <cellStyle name="40% - 强调文字颜色 2 7 5" xfId="4176" xr:uid="{B79D423E-76EE-40EB-B0AB-65B5B587F008}"/>
    <cellStyle name="40% - 强调文字颜色 2 7 5 2" xfId="4177" xr:uid="{D0D7CD56-FDDA-4F74-815A-6B544D8B98D7}"/>
    <cellStyle name="40% - 强调文字颜色 2 7 6" xfId="4178" xr:uid="{74BBA4D3-64DC-4346-87BE-D2691B8DBE9E}"/>
    <cellStyle name="40% - 强调文字颜色 2 7 6 2" xfId="4179" xr:uid="{AA767FD4-100A-4B8E-8B7C-79BE3526171F}"/>
    <cellStyle name="40% - 强调文字颜色 2 7 7" xfId="9869" xr:uid="{8F7F1AAD-AD73-4195-B28B-62C9E5D730A6}"/>
    <cellStyle name="40% - 强调文字颜色 2 7 8" xfId="13342" xr:uid="{A9D3478A-1771-4ED5-9163-0B81063EC21C}"/>
    <cellStyle name="40% - 强调文字颜色 2 7 9" xfId="18799" xr:uid="{EBFA2CD6-D63E-4DDA-8C19-FEF4B7A9144C}"/>
    <cellStyle name="40% - 强调文字颜色 2 70" xfId="1232" xr:uid="{3606871D-E077-445D-9AC2-10504C3BE552}"/>
    <cellStyle name="40% - 强调文字颜色 2 70 2" xfId="12453" xr:uid="{CE4FA617-12A7-478F-B99F-5B79BEC70340}"/>
    <cellStyle name="40% - 强调文字颜色 2 71" xfId="1247" xr:uid="{EB3080E0-D030-421E-9A43-7C5C38591FC2}"/>
    <cellStyle name="40% - 强调文字颜色 2 71 2" xfId="12454" xr:uid="{1BBF687B-444C-42E9-80AE-2C3662EE8A41}"/>
    <cellStyle name="40% - 强调文字颜色 2 72" xfId="1252" xr:uid="{667239C3-3A30-4CAC-93E7-15A8B85FDE33}"/>
    <cellStyle name="40% - 强调文字颜色 2 72 2" xfId="12455" xr:uid="{8D448EC8-DD4F-44A2-9771-C5335352520C}"/>
    <cellStyle name="40% - 强调文字颜色 2 73" xfId="1257" xr:uid="{8871691C-25B3-482C-B317-DCC60FEDA85D}"/>
    <cellStyle name="40% - 强调文字颜色 2 73 2" xfId="12456" xr:uid="{FB33C127-83DC-46F3-9EC2-94E93F14B33C}"/>
    <cellStyle name="40% - 强调文字颜色 2 74" xfId="1261" xr:uid="{A362051B-F487-43C6-840C-F3CA0317C8F4}"/>
    <cellStyle name="40% - 强调文字颜色 2 74 2" xfId="12457" xr:uid="{2B7946FD-9670-44CE-9316-DC7F0840508A}"/>
    <cellStyle name="40% - 强调文字颜色 2 75" xfId="1265" xr:uid="{D993CFB0-0F45-469C-8DEB-64DAA3FEBBFC}"/>
    <cellStyle name="40% - 强调文字颜色 2 75 2" xfId="12458" xr:uid="{38FFC90D-4B79-4AD9-B8B5-F034628790E5}"/>
    <cellStyle name="40% - 强调文字颜色 2 76" xfId="1287" xr:uid="{4A259F29-7D02-4572-9252-05161B0652C1}"/>
    <cellStyle name="40% - 强调文字颜色 2 76 2" xfId="12459" xr:uid="{3C2E70D9-5B09-4A10-AE6B-6CAE5FF9E9DE}"/>
    <cellStyle name="40% - 强调文字颜色 2 77" xfId="1291" xr:uid="{20DAE866-3628-4F4D-B444-3003E1509442}"/>
    <cellStyle name="40% - 强调文字颜色 2 77 2" xfId="12460" xr:uid="{4D711F71-7274-4819-AB33-C896BE9F4414}"/>
    <cellStyle name="40% - 强调文字颜色 2 78" xfId="1295" xr:uid="{5EB1C05B-5F22-48E9-B506-2C41A05239BC}"/>
    <cellStyle name="40% - 强调文字颜色 2 78 2" xfId="12461" xr:uid="{054B9D8B-D95B-47BE-A240-7A7285882D05}"/>
    <cellStyle name="40% - 强调文字颜色 2 79" xfId="1302" xr:uid="{352EC727-CAD6-429D-90B3-E763AAA55D9D}"/>
    <cellStyle name="40% - 强调文字颜色 2 79 2" xfId="12462" xr:uid="{DCFD476D-6BD7-4BD7-8DA7-6276D49EE470}"/>
    <cellStyle name="40% - 强调文字颜色 2 8" xfId="3170" xr:uid="{7A330330-3AD7-4D26-BC1A-C2A96963F59C}"/>
    <cellStyle name="40% - 强调文字颜色 2 8 2" xfId="2809" xr:uid="{2EC0B51C-4825-416B-859E-FA33F59AF196}"/>
    <cellStyle name="40% - 强调文字颜色 2 8 2 2" xfId="4181" xr:uid="{7496474E-A175-454D-B9BC-083FADCCCA85}"/>
    <cellStyle name="40% - 强调文字颜色 2 8 2 2 2" xfId="18806" xr:uid="{68E9BE6D-2182-431A-A0D8-A0AAACF7812F}"/>
    <cellStyle name="40% - 强调文字颜色 2 8 2 3" xfId="9873" xr:uid="{3960539F-6F6F-4FCE-965D-CA5FA4FA491B}"/>
    <cellStyle name="40% - 强调文字颜色 2 8 2 4" xfId="18805" xr:uid="{5321BDF7-46AC-4A9F-92CC-CEE82FBA6F2C}"/>
    <cellStyle name="40% - 强调文字颜色 2 8 3" xfId="2010" xr:uid="{19BB067F-6171-403D-993C-22853B03AA2E}"/>
    <cellStyle name="40% - 强调文字颜色 2 8 3 2" xfId="9874" xr:uid="{D43A23D8-B342-4BF5-BF3C-53BD3AB9F85D}"/>
    <cellStyle name="40% - 强调文字颜色 2 8 3 3" xfId="18807" xr:uid="{666C9803-24E9-44AC-B172-B278DA79073B}"/>
    <cellStyle name="40% - 强调文字颜色 2 8 4" xfId="2815" xr:uid="{D10D0480-E385-4CB9-B497-490D69EE4C15}"/>
    <cellStyle name="40% - 强调文字颜色 2 8 4 2" xfId="4182" xr:uid="{B0B01172-EB30-4BEF-A0B1-DC6260D1C59E}"/>
    <cellStyle name="40% - 强调文字颜色 2 8 4 3" xfId="18808" xr:uid="{BD6605FB-12D6-4D75-9790-55E6FAF0397E}"/>
    <cellStyle name="40% - 强调文字颜色 2 8 5" xfId="2861" xr:uid="{1AABFBF8-26CA-4CB8-A486-E18C275D5FF3}"/>
    <cellStyle name="40% - 强调文字颜色 2 8 5 2" xfId="4183" xr:uid="{7F3060B6-75C0-45F3-B2D3-99CEC2B3AD87}"/>
    <cellStyle name="40% - 强调文字颜色 2 8 6" xfId="2867" xr:uid="{6157AD70-F454-41BB-919A-1691AF94729C}"/>
    <cellStyle name="40% - 强调文字颜色 2 8 7" xfId="9872" xr:uid="{4129EDD2-5CB8-4CAF-89F5-4C7F8C1C4907}"/>
    <cellStyle name="40% - 强调文字颜色 2 8 8" xfId="13296" xr:uid="{AC8B4BE7-EA4B-4D83-861D-58C1E8255405}"/>
    <cellStyle name="40% - 强调文字颜色 2 8 9" xfId="18804" xr:uid="{B2A2B6EC-D67C-4B66-B010-4144FEA2F28D}"/>
    <cellStyle name="40% - 强调文字颜色 2 80" xfId="1266" xr:uid="{EC45801F-B2DE-48A4-B773-195EBB8CC263}"/>
    <cellStyle name="40% - 强调文字颜色 2 80 2" xfId="12463" xr:uid="{548704F8-2CF1-4915-BEFF-D314F8BC15FF}"/>
    <cellStyle name="40% - 强调文字颜色 2 81" xfId="1288" xr:uid="{F68E094C-A323-491C-BAE2-A81BA491B2FE}"/>
    <cellStyle name="40% - 强调文字颜色 2 81 2" xfId="12464" xr:uid="{33C0EF0D-EBB5-4C8A-BD3F-61914C4C6C1A}"/>
    <cellStyle name="40% - 强调文字颜色 2 82" xfId="1292" xr:uid="{68BB0EBD-704B-4CBD-8AAE-F1C5C0EE544D}"/>
    <cellStyle name="40% - 强调文字颜色 2 82 2" xfId="12465" xr:uid="{BB6A3E2A-0C83-4CB8-8C4B-99A2862DF81B}"/>
    <cellStyle name="40% - 强调文字颜色 2 83" xfId="1296" xr:uid="{3514F9B7-6852-4CC6-9B13-519430CF6C34}"/>
    <cellStyle name="40% - 强调文字颜色 2 83 2" xfId="12466" xr:uid="{434F1EC8-FA2F-4708-BB3E-A96C68BEA241}"/>
    <cellStyle name="40% - 强调文字颜色 2 84" xfId="1303" xr:uid="{6BAA3460-785E-488E-B1FC-38D21C295BC6}"/>
    <cellStyle name="40% - 强调文字颜色 2 84 2" xfId="12467" xr:uid="{349600FD-6246-4C2D-8CE0-F95F55259AFA}"/>
    <cellStyle name="40% - 强调文字颜色 2 85" xfId="1306" xr:uid="{5BBDACA2-0E9D-4E0C-9BB8-024C14E73373}"/>
    <cellStyle name="40% - 强调文字颜色 2 86" xfId="1346" xr:uid="{4E6765AD-E1E2-4992-A24B-DAC52B103A2A}"/>
    <cellStyle name="40% - 强调文字颜色 2 86 2" xfId="2703" xr:uid="{80305C02-0071-4709-8CD0-03BFD58B6F43}"/>
    <cellStyle name="40% - 强调文字颜色 2 87" xfId="1351" xr:uid="{6F42F474-1AD6-4022-9DD5-441587933197}"/>
    <cellStyle name="40% - 强调文字颜色 2 87 2" xfId="1356" xr:uid="{D4A89779-A04E-42D1-B75C-0DB859DB80D3}"/>
    <cellStyle name="40% - 强调文字颜色 2 88" xfId="807" xr:uid="{6DF737A9-67B1-4F7E-910D-5528F6927A9F}"/>
    <cellStyle name="40% - 强调文字颜色 2 88 2" xfId="817" xr:uid="{F06D2E63-22EB-4FE0-816B-C2024C0A80FB}"/>
    <cellStyle name="40% - 强调文字颜色 2 89" xfId="822" xr:uid="{AD4C0BB6-F397-4302-865B-9FC7607DCE94}"/>
    <cellStyle name="40% - 强调文字颜色 2 9" xfId="3172" xr:uid="{EE9DCDD9-F206-4F0B-8000-890BBC31585F}"/>
    <cellStyle name="40% - 强调文字颜色 2 9 2" xfId="2982" xr:uid="{9140FD25-F3BD-4C1A-8DA5-588B1311CE57}"/>
    <cellStyle name="40% - 强调文字颜色 2 9 2 2" xfId="2075" xr:uid="{5E3A717E-8CE5-4B1C-AF98-75B793F45932}"/>
    <cellStyle name="40% - 强调文字颜色 2 9 2 2 2" xfId="18811" xr:uid="{39E333BA-2F83-42C0-97BE-05D0CC2F1FB1}"/>
    <cellStyle name="40% - 强调文字颜色 2 9 2 3" xfId="9876" xr:uid="{4DD010F6-F74D-4116-9D11-E164FA40258C}"/>
    <cellStyle name="40% - 强调文字颜色 2 9 2 4" xfId="18810" xr:uid="{E6AADA9C-0813-4F90-A845-459905D27EB8}"/>
    <cellStyle name="40% - 强调文字颜色 2 9 3" xfId="2985" xr:uid="{1B9FB7F5-1FF8-4A57-BC4F-A09BAD3BB947}"/>
    <cellStyle name="40% - 强调文字颜色 2 9 3 2" xfId="9877" xr:uid="{475FF14F-78F9-46A8-9F21-F809D0C99F11}"/>
    <cellStyle name="40% - 强调文字颜色 2 9 3 3" xfId="18812" xr:uid="{29A1D9CD-F9ED-4E99-90E2-05BF51CAA52E}"/>
    <cellStyle name="40% - 强调文字颜色 2 9 4" xfId="2989" xr:uid="{55A7F3B6-779E-40E7-B0AB-109DF024172E}"/>
    <cellStyle name="40% - 强调文字颜色 2 9 4 2" xfId="169" xr:uid="{53CCD160-1A76-466A-9405-63C96734B572}"/>
    <cellStyle name="40% - 强调文字颜色 2 9 4 3" xfId="18813" xr:uid="{144CF407-EFEF-4267-B901-13192447B34C}"/>
    <cellStyle name="40% - 强调文字颜色 2 9 5" xfId="4184" xr:uid="{30B3EDD0-34A6-4127-BF75-FFAC35A6A927}"/>
    <cellStyle name="40% - 强调文字颜色 2 9 5 2" xfId="4185" xr:uid="{9804502C-39C5-43BA-A1F9-A89E15909626}"/>
    <cellStyle name="40% - 强调文字颜色 2 9 6" xfId="4186" xr:uid="{7CF6DE25-90EC-49C9-A678-6A5E2EB4A58E}"/>
    <cellStyle name="40% - 强调文字颜色 2 9 7" xfId="9875" xr:uid="{EEF89445-659F-41B4-B983-26D0479364F2}"/>
    <cellStyle name="40% - 强调文字颜色 2 9 8" xfId="13290" xr:uid="{686DA86B-A533-4565-BDA8-E1CF8A886170}"/>
    <cellStyle name="40% - 强调文字颜色 2 9 9" xfId="18809" xr:uid="{AD606660-CC3F-404D-AF89-3D891031C6DA}"/>
    <cellStyle name="40% - 强调文字颜色 2 90" xfId="1307" xr:uid="{5DF57FAA-8512-4CDB-81DA-070B1D56AE05}"/>
    <cellStyle name="40% - 强调文字颜色 2 91" xfId="1347" xr:uid="{C27D9BB1-6E02-4BF4-BFCA-527635714A82}"/>
    <cellStyle name="40% - 强调文字颜色 2 92" xfId="9342" xr:uid="{472E82D4-E3AF-42EB-9DAA-727C9EE1764D}"/>
    <cellStyle name="40% - 强调文字颜色 2 92 2" xfId="27153" xr:uid="{EE1804B2-951E-4C1A-84E5-1EFDD3B781FC}"/>
    <cellStyle name="40% - 强调文字颜色 2 93" xfId="9824" xr:uid="{9AE452A4-FFBE-44A1-8D09-08978FEC6111}"/>
    <cellStyle name="40% - 强调文字颜色 2 94" xfId="13610" xr:uid="{4D401230-1158-4DB9-8446-4467BA163211}"/>
    <cellStyle name="40% - 强调文字颜色 2 95" xfId="13439" xr:uid="{091AC88E-3D62-453E-9B60-B460BF77E477}"/>
    <cellStyle name="40% - 强调文字颜色 3" xfId="4188" xr:uid="{EC53995B-3040-4080-AEBF-FBF41BFE70C0}"/>
    <cellStyle name="40% - 强调文字颜色 3 10" xfId="4189" xr:uid="{DB16EDC0-6845-44E2-9BEC-491989197367}"/>
    <cellStyle name="40% - 强调文字颜色 3 10 2" xfId="4190" xr:uid="{7F7207FA-0A2F-4858-9FAD-94B8F78B1336}"/>
    <cellStyle name="40% - 强调文字颜色 3 10 2 2" xfId="4191" xr:uid="{5D8816BF-1A03-4009-B554-36726E07DA91}"/>
    <cellStyle name="40% - 强调文字颜色 3 10 2 2 2" xfId="18816" xr:uid="{9F0E70C7-B291-4D06-8957-B7DFEE29638A}"/>
    <cellStyle name="40% - 强调文字颜色 3 10 2 3" xfId="9880" xr:uid="{2DE836BC-5811-4C8F-90D1-E917A0136FE0}"/>
    <cellStyle name="40% - 强调文字颜色 3 10 2 4" xfId="18815" xr:uid="{BDED0A61-DA2E-4E9B-85CD-B11CBE15F07D}"/>
    <cellStyle name="40% - 强调文字颜色 3 10 3" xfId="4192" xr:uid="{EC56D885-A450-442D-B90F-883ABF3369C9}"/>
    <cellStyle name="40% - 强调文字颜色 3 10 3 2" xfId="9881" xr:uid="{29500FD7-10F9-491E-BF4B-6FB6EB7BD6AC}"/>
    <cellStyle name="40% - 强调文字颜色 3 10 3 3" xfId="18817" xr:uid="{AE6C91D5-B50F-4B79-BFCF-AC4E0DA9DE25}"/>
    <cellStyle name="40% - 强调文字颜色 3 10 4" xfId="4193" xr:uid="{3526FE48-0265-44F0-88CE-60DA0AD7872F}"/>
    <cellStyle name="40% - 强调文字颜色 3 10 4 2" xfId="4194" xr:uid="{22C98B74-602F-4F8A-80D1-40107F3307CF}"/>
    <cellStyle name="40% - 强调文字颜色 3 10 4 3" xfId="18818" xr:uid="{021B59C7-CACB-4622-9814-0ED1966CFE63}"/>
    <cellStyle name="40% - 强调文字颜色 3 10 5" xfId="4197" xr:uid="{F9A71BF5-9553-4A2F-AFFF-B53A11E106EF}"/>
    <cellStyle name="40% - 强调文字颜色 3 10 5 2" xfId="4198" xr:uid="{B768EE53-1EA9-401F-92D7-457D48376B57}"/>
    <cellStyle name="40% - 强调文字颜色 3 10 6" xfId="4199" xr:uid="{A79C031A-EB10-4B7A-B859-5D21EE67DFA3}"/>
    <cellStyle name="40% - 强调文字颜色 3 10 7" xfId="9879" xr:uid="{F64EABEC-41DE-4BA2-BF73-5B430A8E87CD}"/>
    <cellStyle name="40% - 强调文字颜色 3 10 8" xfId="13274" xr:uid="{FB906B73-B666-413B-B397-5011241A9F7D}"/>
    <cellStyle name="40% - 强调文字颜色 3 10 9" xfId="18814" xr:uid="{DB1D5E1E-F672-41BF-B598-0D276B7309B7}"/>
    <cellStyle name="40% - 强调文字颜色 3 11" xfId="1364" xr:uid="{26F5BC57-48C4-4D89-997D-4364E0A62DCE}"/>
    <cellStyle name="40% - 强调文字颜色 3 11 2" xfId="735" xr:uid="{9B4BCF35-F0E9-42C5-939E-5AA441374462}"/>
    <cellStyle name="40% - 强调文字颜色 3 11 2 2" xfId="743" xr:uid="{52D976BB-8739-4BAA-BC97-4070E0FCA185}"/>
    <cellStyle name="40% - 强调文字颜色 3 11 2 2 2" xfId="18821" xr:uid="{81632765-6900-4E13-8C11-65B98BC18724}"/>
    <cellStyle name="40% - 强调文字颜色 3 11 2 3" xfId="9883" xr:uid="{CF6DD065-1E53-4D25-A753-4943F1EEFA59}"/>
    <cellStyle name="40% - 强调文字颜色 3 11 2 4" xfId="18820" xr:uid="{5DA1AAF5-5F37-4828-B387-B8BB297A0875}"/>
    <cellStyle name="40% - 强调文字颜色 3 11 3" xfId="803" xr:uid="{810A6BAE-2132-496F-B87D-5072ECD6A0F4}"/>
    <cellStyle name="40% - 强调文字颜色 3 11 3 2" xfId="9884" xr:uid="{E83BD521-3049-4BFF-B941-70B4621F41B1}"/>
    <cellStyle name="40% - 强调文字颜色 3 11 3 3" xfId="18822" xr:uid="{9B1E31AD-85BE-42A6-9825-75B085E9CA65}"/>
    <cellStyle name="40% - 强调文字颜色 3 11 4" xfId="865" xr:uid="{B692C2AD-22F8-4FE3-A625-892D41FE5F82}"/>
    <cellStyle name="40% - 强调文字颜色 3 11 4 2" xfId="869" xr:uid="{8A7A5C90-C964-4B32-AAF3-B645469A2EE0}"/>
    <cellStyle name="40% - 强调文字颜色 3 11 4 3" xfId="18823" xr:uid="{006F69B5-4B23-4AA7-A773-5B06FAC9C4EB}"/>
    <cellStyle name="40% - 强调文字颜色 3 11 5" xfId="1366" xr:uid="{2FB9CF4E-E092-40B3-A3DE-999786D8081C}"/>
    <cellStyle name="40% - 强调文字颜色 3 11 5 2" xfId="1368" xr:uid="{DBFB39AA-39E1-4B1E-9EA9-AAEC46FC7209}"/>
    <cellStyle name="40% - 强调文字颜色 3 11 6" xfId="1370" xr:uid="{9943517C-A23D-4DC2-8D47-644A17923E3D}"/>
    <cellStyle name="40% - 强调文字颜色 3 11 7" xfId="9882" xr:uid="{654FF1A8-0D68-4D7E-B0FB-4686EA7FF959}"/>
    <cellStyle name="40% - 强调文字颜色 3 11 8" xfId="13261" xr:uid="{DE0D8FEC-3220-4FD8-944A-BD57ADC0251A}"/>
    <cellStyle name="40% - 强调文字颜色 3 11 9" xfId="18819" xr:uid="{04CF4E5E-BA80-4E1D-A86E-F519126A03B5}"/>
    <cellStyle name="40% - 强调文字颜色 3 12" xfId="1372" xr:uid="{D8E0B824-A49D-4CEC-930A-8C4D39CF82FD}"/>
    <cellStyle name="40% - 强调文字颜色 3 12 2" xfId="1376" xr:uid="{6E772567-3AF1-4DCE-8E6A-9F9198E5AD12}"/>
    <cellStyle name="40% - 强调文字颜色 3 12 2 2" xfId="1382" xr:uid="{FAF70924-FD91-43EB-BFB8-4C20F72421F5}"/>
    <cellStyle name="40% - 强调文字颜色 3 12 2 2 2" xfId="18826" xr:uid="{04983B15-7B71-4EBA-B2D9-B4CFC6BAC699}"/>
    <cellStyle name="40% - 强调文字颜色 3 12 2 3" xfId="9886" xr:uid="{55081ABF-7221-48CD-A9FC-B2964CA13380}"/>
    <cellStyle name="40% - 强调文字颜色 3 12 2 4" xfId="18825" xr:uid="{6B9FB27C-E816-4A92-901D-967C9AE7A3C9}"/>
    <cellStyle name="40% - 强调文字颜色 3 12 3" xfId="1386" xr:uid="{F779B3C9-A6F3-48F3-9078-554C50EE5D89}"/>
    <cellStyle name="40% - 强调文字颜色 3 12 3 2" xfId="9887" xr:uid="{83E1E4BE-E439-479A-898B-66B89D947195}"/>
    <cellStyle name="40% - 强调文字颜色 3 12 3 3" xfId="18827" xr:uid="{14298D84-D739-4A56-8BB6-7FD25691A99F}"/>
    <cellStyle name="40% - 强调文字颜色 3 12 4" xfId="1389" xr:uid="{737D95A5-D956-41F6-8ACF-B2B4B172B9D0}"/>
    <cellStyle name="40% - 强调文字颜色 3 12 4 2" xfId="1392" xr:uid="{203D9899-4E73-433F-BEC3-20906619B507}"/>
    <cellStyle name="40% - 强调文字颜色 3 12 4 3" xfId="18828" xr:uid="{DE725995-77E3-4379-B3D1-BFB9B72C5F1D}"/>
    <cellStyle name="40% - 强调文字颜色 3 12 5" xfId="1395" xr:uid="{797B8027-0DD5-472D-A223-4A6D67241604}"/>
    <cellStyle name="40% - 强调文字颜色 3 12 5 2" xfId="1398" xr:uid="{FCCE6C8F-DE5A-41BC-969B-036AE47B131E}"/>
    <cellStyle name="40% - 强调文字颜色 3 12 6" xfId="1401" xr:uid="{703C8B85-FF63-4B0D-B17F-D5E2C798B134}"/>
    <cellStyle name="40% - 强调文字颜色 3 12 7" xfId="9885" xr:uid="{4867314E-856E-4785-A155-3ADC52DAC51F}"/>
    <cellStyle name="40% - 强调文字颜色 3 12 8" xfId="13248" xr:uid="{198A62FB-E616-492A-BCB1-B9F8C866D97A}"/>
    <cellStyle name="40% - 强调文字颜色 3 12 9" xfId="18824" xr:uid="{FC3DB5EC-45DE-4D2D-8954-FACCD76D957F}"/>
    <cellStyle name="40% - 强调文字颜色 3 13" xfId="1404" xr:uid="{58D62429-53D0-4F15-9578-F30F3A309B22}"/>
    <cellStyle name="40% - 强调文字颜色 3 13 2" xfId="1406" xr:uid="{36ED4B2A-6D93-4B0D-B093-C24A4BF438C3}"/>
    <cellStyle name="40% - 强调文字颜色 3 13 2 2" xfId="1408" xr:uid="{FCAEB374-A7A8-4967-B50E-38FFC1352830}"/>
    <cellStyle name="40% - 强调文字颜色 3 13 2 2 2" xfId="18831" xr:uid="{C7434865-761D-4EB1-8387-8ED4EFC91602}"/>
    <cellStyle name="40% - 强调文字颜色 3 13 2 3" xfId="9889" xr:uid="{FCF5E3B6-2211-4109-ACBE-113D5072669C}"/>
    <cellStyle name="40% - 强调文字颜色 3 13 2 4" xfId="18830" xr:uid="{729930E8-109D-4807-A9C7-A920DEFBACBD}"/>
    <cellStyle name="40% - 强调文字颜色 3 13 3" xfId="1410" xr:uid="{49CC2304-A2DF-47B8-AE59-10CB463BF451}"/>
    <cellStyle name="40% - 强调文字颜色 3 13 3 2" xfId="9890" xr:uid="{B7F74B1F-8A59-46F9-B61D-8ABFF3F8A106}"/>
    <cellStyle name="40% - 强调文字颜色 3 13 3 3" xfId="18832" xr:uid="{E9F5EC44-CE61-40A7-9340-B50932B9EC1C}"/>
    <cellStyle name="40% - 强调文字颜色 3 13 4" xfId="1412" xr:uid="{7DB9C1C6-EDD8-4D0E-A519-47FFFC1EF858}"/>
    <cellStyle name="40% - 强调文字颜色 3 13 4 2" xfId="1415" xr:uid="{EAFF45E9-AE56-4FCD-BC04-FAB4E0B48D27}"/>
    <cellStyle name="40% - 强调文字颜色 3 13 4 3" xfId="18833" xr:uid="{C6DD438D-F1BB-4653-932E-92FC1C81774B}"/>
    <cellStyle name="40% - 强调文字颜色 3 13 5" xfId="1417" xr:uid="{2777E021-940D-4BE3-ACE0-C2E6ED098ECC}"/>
    <cellStyle name="40% - 强调文字颜色 3 13 5 2" xfId="1420" xr:uid="{A7CF1F63-552F-4909-9A41-E8F709D81DEA}"/>
    <cellStyle name="40% - 强调文字颜色 3 13 6" xfId="1423" xr:uid="{75924250-EE53-4C80-AC1D-9CA04391C9B7}"/>
    <cellStyle name="40% - 强调文字颜色 3 13 7" xfId="9888" xr:uid="{86C85E6B-CD10-4240-9389-5059AC89A1D2}"/>
    <cellStyle name="40% - 强调文字颜色 3 13 8" xfId="13235" xr:uid="{392B3306-F3D4-410A-878C-40AA0CE9B08F}"/>
    <cellStyle name="40% - 强调文字颜色 3 13 9" xfId="18829" xr:uid="{98B66507-3DCB-4A5D-868D-CF21BAA77F36}"/>
    <cellStyle name="40% - 强调文字颜色 3 14" xfId="1426" xr:uid="{BBF9B7BE-A408-4C07-98CF-CD1B59EEBDC9}"/>
    <cellStyle name="40% - 强调文字颜色 3 14 2" xfId="1428" xr:uid="{710F989B-7ED8-4AEB-A12E-EED47D0288AF}"/>
    <cellStyle name="40% - 强调文字颜色 3 14 2 2" xfId="1430" xr:uid="{6CDC0308-B373-4892-96D2-8C41BE997DBB}"/>
    <cellStyle name="40% - 强调文字颜色 3 14 2 2 2" xfId="18836" xr:uid="{E20F52A7-8CA2-4CA7-A18B-E50D933B97EF}"/>
    <cellStyle name="40% - 强调文字颜色 3 14 2 3" xfId="9892" xr:uid="{EFB6C067-804E-496D-BC93-8413D40C3CB3}"/>
    <cellStyle name="40% - 强调文字颜色 3 14 2 4" xfId="18835" xr:uid="{A9BD4C95-A35D-4CA0-9BD8-323767619BCD}"/>
    <cellStyle name="40% - 强调文字颜色 3 14 3" xfId="1432" xr:uid="{44C08BD7-9F43-4F56-8045-6F37FB96AFBD}"/>
    <cellStyle name="40% - 强调文字颜色 3 14 3 2" xfId="9893" xr:uid="{D8D674F7-0257-451C-B8E9-39E49C823290}"/>
    <cellStyle name="40% - 强调文字颜色 3 14 3 3" xfId="18837" xr:uid="{9483C98F-D1BF-49D6-A934-B02F3760DAF0}"/>
    <cellStyle name="40% - 强调文字颜色 3 14 4" xfId="1434" xr:uid="{CD3FDA13-6416-4917-ABB1-B955092E329B}"/>
    <cellStyle name="40% - 强调文字颜色 3 14 4 2" xfId="1436" xr:uid="{3496857E-F25B-4396-99A3-F0186904F4BF}"/>
    <cellStyle name="40% - 强调文字颜色 3 14 4 3" xfId="18838" xr:uid="{B9DC742A-ECB3-43C9-B7EB-A0DB139864C2}"/>
    <cellStyle name="40% - 强调文字颜色 3 14 5" xfId="1438" xr:uid="{6F713C1F-90A4-4EF0-9E2D-E7A32F69C100}"/>
    <cellStyle name="40% - 强调文字颜色 3 14 5 2" xfId="1440" xr:uid="{4EE1E23B-375D-4C4B-A7F3-BE9526F139C2}"/>
    <cellStyle name="40% - 强调文字颜色 3 14 6" xfId="1444" xr:uid="{8B334395-3642-40A0-863C-53A0C09CC0BA}"/>
    <cellStyle name="40% - 强调文字颜色 3 14 7" xfId="9891" xr:uid="{F1FCBEFD-1925-45CD-8E0C-D490AE08F31E}"/>
    <cellStyle name="40% - 强调文字颜色 3 14 8" xfId="13222" xr:uid="{9DC4B07F-B96E-4C9F-863B-6BA0E900EB53}"/>
    <cellStyle name="40% - 强调文字颜色 3 14 9" xfId="18834" xr:uid="{BC51F1C6-81EC-43A7-BCB4-5E1879068630}"/>
    <cellStyle name="40% - 强调文字颜色 3 15" xfId="1447" xr:uid="{77BE76C0-8CCB-4716-B29E-FE81815BCD39}"/>
    <cellStyle name="40% - 强调文字颜色 3 15 2" xfId="1450" xr:uid="{28E82605-C541-4548-B29A-5DFAFFB5E432}"/>
    <cellStyle name="40% - 强调文字颜色 3 15 2 2" xfId="9895" xr:uid="{9D239A79-286C-4F9D-B332-1C39B4393D26}"/>
    <cellStyle name="40% - 强调文字颜色 3 15 2 2 2" xfId="18841" xr:uid="{06AC1FBC-B78B-40ED-BFCD-1483DE6B2CB1}"/>
    <cellStyle name="40% - 强调文字颜色 3 15 2 3" xfId="18840" xr:uid="{85E097C2-6AB5-45BD-B443-95564FCB12B3}"/>
    <cellStyle name="40% - 强调文字颜色 3 15 3" xfId="1455" xr:uid="{534E2F46-B0AA-439B-AC70-181DB244F8D5}"/>
    <cellStyle name="40% - 强调文字颜色 3 15 3 2" xfId="4200" xr:uid="{810123D6-FE87-43A6-98F0-E23AF194A36E}"/>
    <cellStyle name="40% - 强调文字颜色 3 15 3 3" xfId="9896" xr:uid="{6809D518-1716-4551-B337-B497BA7BBC55}"/>
    <cellStyle name="40% - 强调文字颜色 3 15 3 4" xfId="18842" xr:uid="{08EFCAD6-03A7-436D-9EF3-A9B29E49AAD8}"/>
    <cellStyle name="40% - 强调文字颜色 3 15 4" xfId="1457" xr:uid="{2E8EBDAA-CC9B-4D1E-BE6F-8BB34A4B7307}"/>
    <cellStyle name="40% - 强调文字颜色 3 15 4 2" xfId="1459" xr:uid="{8CA1CF74-95B5-43D0-AFA6-3B4E96648324}"/>
    <cellStyle name="40% - 强调文字颜色 3 15 4 3" xfId="18843" xr:uid="{DF4E10D5-69B6-43A5-B4B4-831BF4C2C0FB}"/>
    <cellStyle name="40% - 强调文字颜色 3 15 5" xfId="1461" xr:uid="{7507CBB3-0462-4747-8BE8-2F5947937F70}"/>
    <cellStyle name="40% - 强调文字颜色 3 15 6" xfId="9894" xr:uid="{99EC921F-932B-4883-A74E-1CBF623A2BDD}"/>
    <cellStyle name="40% - 强调文字颜色 3 15 7" xfId="13209" xr:uid="{4848B435-003D-4F3B-B730-A19BCC256A43}"/>
    <cellStyle name="40% - 强调文字颜色 3 15 8" xfId="18839" xr:uid="{268DB13F-36D3-4BF9-8419-08603D863671}"/>
    <cellStyle name="40% - 强调文字颜色 3 16" xfId="1473" xr:uid="{4BBEF679-D5C7-4991-BA4B-2DBE23726E54}"/>
    <cellStyle name="40% - 强调文字颜色 3 16 2" xfId="1478" xr:uid="{BBAD96D5-B4D5-40E5-9AD8-3877B7B69973}"/>
    <cellStyle name="40% - 强调文字颜色 3 16 2 2" xfId="9898" xr:uid="{2191E6C4-9658-4548-8E14-FA2F35159FF7}"/>
    <cellStyle name="40% - 强调文字颜色 3 16 2 2 2" xfId="18846" xr:uid="{DA5856CE-504D-4DFE-9441-B29515D9061C}"/>
    <cellStyle name="40% - 强调文字颜色 3 16 2 3" xfId="18845" xr:uid="{004193B0-0FA0-4EE7-943B-456CBC4B1171}"/>
    <cellStyle name="40% - 强调文字颜色 3 16 3" xfId="1482" xr:uid="{5281C6AF-BC5D-4F13-8C7C-BE7A1753A03C}"/>
    <cellStyle name="40% - 强调文字颜色 3 16 3 2" xfId="1485" xr:uid="{C8D80C1A-3FA1-42BC-8DE3-19834B6840D3}"/>
    <cellStyle name="40% - 强调文字颜色 3 16 3 3" xfId="9899" xr:uid="{3865A9A6-8198-4C33-8AC4-215C12B9C22C}"/>
    <cellStyle name="40% - 强调文字颜色 3 16 3 4" xfId="18847" xr:uid="{49C8F912-876D-4C9E-886A-B1E79E1CFA72}"/>
    <cellStyle name="40% - 强调文字颜色 3 16 4" xfId="1488" xr:uid="{F2C73B5C-061F-4247-AA14-DF52D7A31AFB}"/>
    <cellStyle name="40% - 强调文字颜色 3 16 4 2" xfId="1491" xr:uid="{56C265E2-F544-46DF-8C75-5FF6173EAE50}"/>
    <cellStyle name="40% - 强调文字颜色 3 16 4 3" xfId="18848" xr:uid="{FB29A635-B65C-4C2A-BC35-4B6E8374CFA8}"/>
    <cellStyle name="40% - 强调文字颜色 3 16 5" xfId="1494" xr:uid="{57E17FB6-67D1-43E3-BE4C-75BB5405B284}"/>
    <cellStyle name="40% - 强调文字颜色 3 16 6" xfId="9897" xr:uid="{182D56AF-BC68-4800-8455-EC1D48803863}"/>
    <cellStyle name="40% - 强调文字颜色 3 16 7" xfId="13190" xr:uid="{A253F940-51DE-4880-9DB6-4E825B19FF32}"/>
    <cellStyle name="40% - 强调文字颜色 3 16 8" xfId="18844" xr:uid="{D7289578-B3AC-4BAB-8DB8-F8E81B9476E1}"/>
    <cellStyle name="40% - 强调文字颜色 3 17" xfId="1498" xr:uid="{0652A065-8F2B-4DB1-BA79-B4F312A0B9F8}"/>
    <cellStyle name="40% - 强调文字颜色 3 17 2" xfId="1504" xr:uid="{5EBC30F4-831C-44BA-AAF0-994C0C7DA070}"/>
    <cellStyle name="40% - 强调文字颜色 3 17 2 2" xfId="1644" xr:uid="{D32ED94F-3020-45AF-9E7E-422530ECD7A0}"/>
    <cellStyle name="40% - 强调文字颜色 3 17 2 2 2" xfId="18851" xr:uid="{F12E1F1A-38F3-4A76-A07C-DF06094123B3}"/>
    <cellStyle name="40% - 强调文字颜色 3 17 2 3" xfId="9901" xr:uid="{16D097BD-699F-4D9A-8415-CA1C087B232A}"/>
    <cellStyle name="40% - 强调文字颜色 3 17 2 4" xfId="18850" xr:uid="{8A5FB90E-0278-45DA-B75A-F30A6E2B492D}"/>
    <cellStyle name="40% - 强调文字颜色 3 17 3" xfId="1508" xr:uid="{2721A61F-E90A-498A-B500-62153890DC6E}"/>
    <cellStyle name="40% - 强调文字颜色 3 17 3 2" xfId="1512" xr:uid="{505C44AE-2B02-4248-88A0-4BF3D70C16AE}"/>
    <cellStyle name="40% - 强调文字颜色 3 17 3 3" xfId="9902" xr:uid="{9942A78D-0158-4CB9-8AB7-8E324B55B708}"/>
    <cellStyle name="40% - 强调文字颜色 3 17 3 4" xfId="18852" xr:uid="{88513AA4-3571-492F-A819-A54BB7E31316}"/>
    <cellStyle name="40% - 强调文字颜色 3 17 4" xfId="9900" xr:uid="{D9A278BA-9AE0-4FAA-B36D-4624D5721859}"/>
    <cellStyle name="40% - 强调文字颜色 3 17 4 2" xfId="18853" xr:uid="{B07F925B-AA8E-4AAE-AD79-8058C147CF8F}"/>
    <cellStyle name="40% - 强调文字颜色 3 17 5" xfId="13181" xr:uid="{676AF2C7-8FC8-4D3F-BB18-AECD5A8EBD74}"/>
    <cellStyle name="40% - 强调文字颜色 3 17 6" xfId="18849" xr:uid="{7A8CB194-69A2-42ED-806F-CC9343E09EB5}"/>
    <cellStyle name="40% - 强调文字颜色 3 18" xfId="1522" xr:uid="{D463E9A3-A874-44FA-93EB-450DA14E33EE}"/>
    <cellStyle name="40% - 强调文字颜色 3 18 2" xfId="1528" xr:uid="{1262994D-0E21-48F6-B95C-A2D741AC4BB3}"/>
    <cellStyle name="40% - 强调文字颜色 3 18 2 2" xfId="1535" xr:uid="{FB39FE79-8EC0-4BCE-99FF-5E20649395A6}"/>
    <cellStyle name="40% - 强调文字颜色 3 18 2 2 2" xfId="18856" xr:uid="{A0C6001D-C88B-414E-8B26-1B647800F250}"/>
    <cellStyle name="40% - 强调文字颜色 3 18 2 3" xfId="18855" xr:uid="{2B2EEACC-D7CE-48B5-880E-EEF6E70974D9}"/>
    <cellStyle name="40% - 强调文字颜色 3 18 3" xfId="1540" xr:uid="{742A732E-4F33-4F59-A9E3-C6063CFA7932}"/>
    <cellStyle name="40% - 强调文字颜色 3 18 3 2" xfId="1544" xr:uid="{F83875DB-DF3D-4CAA-BC6B-30F7CF9A5A9F}"/>
    <cellStyle name="40% - 强调文字颜色 3 18 3 3" xfId="18857" xr:uid="{6A86EB94-3F15-4AC2-B05D-6ACE80AF5588}"/>
    <cellStyle name="40% - 强调文字颜色 3 18 4" xfId="9903" xr:uid="{0970AEF3-74E1-4F29-823E-7695750D790E}"/>
    <cellStyle name="40% - 强调文字颜色 3 18 4 2" xfId="18858" xr:uid="{5CDAB0C7-9B1E-4DB4-B124-A0A068076426}"/>
    <cellStyle name="40% - 强调文字颜色 3 18 5" xfId="13168" xr:uid="{58B1B271-DF25-47D9-B616-72EC5BB17870}"/>
    <cellStyle name="40% - 强调文字颜色 3 18 6" xfId="18854" xr:uid="{70F1A78D-3C24-4C71-8143-56F1C337A1E3}"/>
    <cellStyle name="40% - 强调文字颜色 3 19" xfId="1547" xr:uid="{B704E5EF-7937-48E1-BEBA-013EC6BA0A85}"/>
    <cellStyle name="40% - 强调文字颜色 3 19 2" xfId="1553" xr:uid="{948FB198-5AD0-459D-97EA-5F669137FC84}"/>
    <cellStyle name="40% - 强调文字颜色 3 19 2 2" xfId="1559" xr:uid="{D6FD05CF-EC58-4463-A74C-93F1F01C48E6}"/>
    <cellStyle name="40% - 强调文字颜色 3 19 2 2 2" xfId="18861" xr:uid="{8813B456-6E91-4644-AE96-ED3E5100F1CB}"/>
    <cellStyle name="40% - 强调文字颜色 3 19 2 3" xfId="18860" xr:uid="{6B914E71-153B-4467-9909-527D41082D33}"/>
    <cellStyle name="40% - 强调文字颜色 3 19 3" xfId="9904" xr:uid="{61F26575-FB0B-4C89-9A6F-AABAE3EF09A9}"/>
    <cellStyle name="40% - 强调文字颜色 3 19 3 2" xfId="18862" xr:uid="{20E981D9-40DC-4593-85E6-E8D879F7EC7D}"/>
    <cellStyle name="40% - 强调文字颜色 3 19 4" xfId="13151" xr:uid="{CEE6BA11-81D4-42E4-A836-3DE4C5D6788C}"/>
    <cellStyle name="40% - 强调文字颜色 3 19 4 2" xfId="18863" xr:uid="{3F7F706B-72BA-45D6-BEFC-50176357303F}"/>
    <cellStyle name="40% - 强调文字颜色 3 19 5" xfId="18859" xr:uid="{D7C079B2-FE01-40A9-A25B-52F26892949D}"/>
    <cellStyle name="40% - 强调文字颜色 3 2" xfId="4202" xr:uid="{D27E5BFD-47D8-463A-AAD9-3AB445481BC0}"/>
    <cellStyle name="40% - 强调文字颜色 3 2 10" xfId="3361" xr:uid="{5B336F79-6D2C-4337-87CC-E6FB60343248}"/>
    <cellStyle name="40% - 强调文字颜色 3 2 10 2" xfId="4203" xr:uid="{5A93083A-34AE-4CAE-93EE-7CEE2E4D1770}"/>
    <cellStyle name="40% - 强调文字颜色 3 2 11" xfId="3374" xr:uid="{4569D654-C09C-45F3-AE55-981C8A86F0BD}"/>
    <cellStyle name="40% - 强调文字颜色 3 2 11 2" xfId="4204" xr:uid="{E3559AD6-1E79-46D0-B6C2-BC9C7E967B6B}"/>
    <cellStyle name="40% - 强调文字颜色 3 2 12" xfId="3377" xr:uid="{E5243128-DF89-4C2A-B09B-AAC71ECAAC5D}"/>
    <cellStyle name="40% - 强调文字颜色 3 2 12 2" xfId="4205" xr:uid="{06595731-5917-4D46-AABD-C89D9205A3D4}"/>
    <cellStyle name="40% - 强调文字颜色 3 2 13" xfId="3380" xr:uid="{EE3151F5-0965-4E2A-9B2F-2020C7096598}"/>
    <cellStyle name="40% - 强调文字颜色 3 2 13 2" xfId="4206" xr:uid="{50C377C1-7A99-48F9-9946-9EFC750A22B2}"/>
    <cellStyle name="40% - 强调文字颜色 3 2 14" xfId="3383" xr:uid="{836E423D-F398-409A-9E29-0C9FF4766D38}"/>
    <cellStyle name="40% - 强调文字颜色 3 2 14 2" xfId="4208" xr:uid="{100F08E5-BCB5-4171-B6BD-F70907C2B6D4}"/>
    <cellStyle name="40% - 强调文字颜色 3 2 15" xfId="3386" xr:uid="{04A94E61-17B4-4CDF-821E-A4465D05FE58}"/>
    <cellStyle name="40% - 强调文字颜色 3 2 15 2" xfId="2550" xr:uid="{8EC7155B-898F-4BEA-96E1-D5399C356739}"/>
    <cellStyle name="40% - 强调文字颜色 3 2 16" xfId="3396" xr:uid="{3315AB31-D7F2-47B7-93C3-90CA6C9AB139}"/>
    <cellStyle name="40% - 强调文字颜色 3 2 17" xfId="3402" xr:uid="{3527F09B-BC6D-4864-9BAA-049036B1CC2F}"/>
    <cellStyle name="40% - 强调文字颜色 3 2 17 2" xfId="2590" xr:uid="{985CE81E-55B0-4F74-8AE4-AB3B81C0EEDC}"/>
    <cellStyle name="40% - 强调文字颜色 3 2 18" xfId="3195" xr:uid="{BCBE3531-986B-4358-B96E-6D1367FC9815}"/>
    <cellStyle name="40% - 强调文字颜色 3 2 18 2" xfId="2596" xr:uid="{1C5EFA2B-56C3-4AD8-A080-C5323DE20296}"/>
    <cellStyle name="40% - 强调文字颜色 3 2 19" xfId="3404" xr:uid="{FC8795EB-B93D-4B60-9F79-A15AEEC60A57}"/>
    <cellStyle name="40% - 强调文字颜色 3 2 2" xfId="4210" xr:uid="{C1754451-5992-4EB1-ADAF-4D94812D08F2}"/>
    <cellStyle name="40% - 强调文字颜色 3 2 2 10" xfId="1466" xr:uid="{84F67AC8-CEF4-4AC5-B020-4BACCB889E6E}"/>
    <cellStyle name="40% - 强调文字颜色 3 2 2 10 2" xfId="4211" xr:uid="{EE6CE9A5-52FE-4010-90D9-678A2C1C2A34}"/>
    <cellStyle name="40% - 强调文字颜色 3 2 2 11" xfId="4212" xr:uid="{DF696623-8F82-4CD0-9A5F-6855449593B3}"/>
    <cellStyle name="40% - 强调文字颜色 3 2 2 11 2" xfId="4216" xr:uid="{5FE0BDC2-4ADF-49B1-BA99-7D5AC6325831}"/>
    <cellStyle name="40% - 强调文字颜色 3 2 2 12" xfId="4217" xr:uid="{09F258B8-A515-4EE9-AEA1-1A611DDD15C3}"/>
    <cellStyle name="40% - 强调文字颜色 3 2 2 12 2" xfId="4220" xr:uid="{B29591A6-FECB-42FA-A7C2-4381BE4E7D88}"/>
    <cellStyle name="40% - 强调文字颜色 3 2 2 13" xfId="4221" xr:uid="{7D7B8B14-5189-4989-A312-80F9397AA126}"/>
    <cellStyle name="40% - 强调文字颜色 3 2 2 13 2" xfId="4224" xr:uid="{7A18EA4D-EB0D-4D90-9AD0-388BC2D816A5}"/>
    <cellStyle name="40% - 强调文字颜色 3 2 2 14" xfId="4225" xr:uid="{268C55AE-BEBF-427D-9E7A-E5BB71EFD563}"/>
    <cellStyle name="40% - 强调文字颜色 3 2 2 14 2" xfId="4228" xr:uid="{35378D3D-6D8E-4750-8E16-5B04C72DCBD5}"/>
    <cellStyle name="40% - 强调文字颜色 3 2 2 15" xfId="4229" xr:uid="{5B4C3548-CEC0-40B5-A77F-E63F6F864BE3}"/>
    <cellStyle name="40% - 强调文字颜色 3 2 2 15 2" xfId="4232" xr:uid="{0EF70F63-7526-44BC-9DAA-DA32604235C9}"/>
    <cellStyle name="40% - 强调文字颜色 3 2 2 16" xfId="9906" xr:uid="{0EC20B20-A428-46D9-A049-7BF98265BC73}"/>
    <cellStyle name="40% - 强调文字颜色 3 2 2 17" xfId="13353" xr:uid="{66BD68FB-4D0A-499E-9B4E-C2B4868EB1B4}"/>
    <cellStyle name="40% - 强调文字颜色 3 2 2 18" xfId="18864" xr:uid="{07F3D239-688A-4525-A0E5-9F917477CA4B}"/>
    <cellStyle name="40% - 强调文字颜色 3 2 2 19" xfId="27311" xr:uid="{0F9FB6F3-14C8-456B-B95E-CE40B74C7085}"/>
    <cellStyle name="40% - 强调文字颜色 3 2 2 2" xfId="1056" xr:uid="{D4961205-4B93-47AC-8A38-498D066A5B34}"/>
    <cellStyle name="40% - 强调文字颜色 3 2 2 2 2" xfId="18865" xr:uid="{CBACB079-97F3-4C25-BEC4-79D6454692AA}"/>
    <cellStyle name="40% - 强调文字颜色 3 2 2 3" xfId="1060" xr:uid="{6999BB32-BE28-47CC-850A-1CFFC27A2BB1}"/>
    <cellStyle name="40% - 强调文字颜色 3 2 2 4" xfId="1064" xr:uid="{D25D6867-DCCC-4B3F-8A10-AF36D173A64B}"/>
    <cellStyle name="40% - 强调文字颜色 3 2 2 4 2" xfId="609" xr:uid="{9E7A06E4-DA1F-4A28-996A-87C81D7E2F48}"/>
    <cellStyle name="40% - 强调文字颜色 3 2 2 5" xfId="1066" xr:uid="{7F1AFE08-5D61-45D0-AAB9-9B9D99E90924}"/>
    <cellStyle name="40% - 强调文字颜色 3 2 2 5 2" xfId="527" xr:uid="{6F0C84D0-CCBC-46FA-92BB-CAFCB6EDD7A7}"/>
    <cellStyle name="40% - 强调文字颜色 3 2 2 6" xfId="1032" xr:uid="{5B2849A5-BD51-422D-95E7-017D98B62AC6}"/>
    <cellStyle name="40% - 强调文字颜色 3 2 2 6 2" xfId="694" xr:uid="{2EDDB46A-C046-49CE-B320-3C79BE8DA81C}"/>
    <cellStyle name="40% - 强调文字颜色 3 2 2 7" xfId="860" xr:uid="{02447AC3-238D-4A38-A324-0DF6514EF1FD}"/>
    <cellStyle name="40% - 强调文字颜色 3 2 2 7 2" xfId="3407" xr:uid="{AFBE45E8-7033-4E77-BFA2-DB3B409EF103}"/>
    <cellStyle name="40% - 强调文字颜色 3 2 2 8" xfId="3410" xr:uid="{F9FCF8BF-B414-431E-9369-0487CE4E02AD}"/>
    <cellStyle name="40% - 强调文字颜色 3 2 2 8 2" xfId="4233" xr:uid="{D655FEA2-391D-4AEF-894C-17B5D7C89734}"/>
    <cellStyle name="40% - 强调文字颜色 3 2 2 9" xfId="2856" xr:uid="{0AAEC1DC-DE50-4849-8058-FE23D39A5947}"/>
    <cellStyle name="40% - 强调文字颜色 3 2 2 9 2" xfId="3412" xr:uid="{7E4CF92C-ED80-4252-A1EF-4FE505967915}"/>
    <cellStyle name="40% - 强调文字颜色 3 2 20" xfId="3387" xr:uid="{43655756-1D34-4446-A67C-851D8FB7AA02}"/>
    <cellStyle name="40% - 强调文字颜色 3 2 20 2" xfId="2551" xr:uid="{B50F7B36-2E1B-4E2F-8186-941F4797899F}"/>
    <cellStyle name="40% - 强调文字颜色 3 2 21" xfId="3397" xr:uid="{FF8C833E-458E-407B-9894-41693E1CBAE2}"/>
    <cellStyle name="40% - 强调文字颜色 3 2 21 2" xfId="2569" xr:uid="{2215E61C-23C3-4A8B-96B6-AE5E72D06B08}"/>
    <cellStyle name="40% - 强调文字颜色 3 2 22" xfId="9905" xr:uid="{8541BA9D-A4DB-4DAA-B285-F9B03AFB8F8C}"/>
    <cellStyle name="40% - 强调文字颜色 3 2 23" xfId="13411" xr:uid="{A3C0F694-1B53-4A4D-A5EF-68AD2B29453A}"/>
    <cellStyle name="40% - 强调文字颜色 3 2 24" xfId="12807" xr:uid="{093D4F15-CC07-4D43-86A0-7B191ABAC710}"/>
    <cellStyle name="40% - 强调文字颜色 3 2 3" xfId="4234" xr:uid="{0E420F20-A9DC-4627-81A6-EF87653E3FB3}"/>
    <cellStyle name="40% - 强调文字颜色 3 2 3 2" xfId="9907" xr:uid="{9B8ABA80-8700-4F05-9445-BBB082DD43E4}"/>
    <cellStyle name="40% - 强调文字颜色 3 2 3 2 2" xfId="18867" xr:uid="{829DBBAE-94F9-49B3-B3AA-B6E91BC44FA6}"/>
    <cellStyle name="40% - 强调文字颜色 3 2 3 3" xfId="13332" xr:uid="{09C7F972-9A44-4860-A7CC-8DE0C33C4C8C}"/>
    <cellStyle name="40% - 强调文字颜色 3 2 3 4" xfId="12802" xr:uid="{4FED8236-EE09-44EE-B371-6A983149DD03}"/>
    <cellStyle name="40% - 强调文字颜色 3 2 3 5" xfId="18866" xr:uid="{4A064B3F-F714-48C0-8EC3-396C88579F8C}"/>
    <cellStyle name="40% - 强调文字颜色 3 2 3 6" xfId="27312" xr:uid="{0E75A75E-7421-4103-BE9A-8BEC3AC6FAC7}"/>
    <cellStyle name="40% - 强调文字颜色 3 2 4" xfId="4236" xr:uid="{2477C8A3-BAB3-420C-818E-80657B5861B1}"/>
    <cellStyle name="40% - 强调文字颜色 3 2 4 2" xfId="2830" xr:uid="{E6CA2358-B996-4B5F-AF29-EF925BFDAC81}"/>
    <cellStyle name="40% - 强调文字颜色 3 2 4 3" xfId="13313" xr:uid="{57E24CCE-65CF-4009-A946-C52764B9D33A}"/>
    <cellStyle name="40% - 强调文字颜色 3 2 4 4" xfId="18868" xr:uid="{9F806C68-6675-451F-A66B-64C07FCB96B0}"/>
    <cellStyle name="40% - 强调文字颜色 3 2 4 5" xfId="27696" xr:uid="{E998B4C3-0727-45D6-9D36-E9CD6AD10D10}"/>
    <cellStyle name="40% - 强调文字颜色 3 2 5" xfId="4237" xr:uid="{E1E920D5-31BE-4722-9BB1-9932DA8AB197}"/>
    <cellStyle name="40% - 强调文字颜色 3 2 5 2" xfId="4238" xr:uid="{EF7498A8-3378-4F99-8A8F-685C03CD9336}"/>
    <cellStyle name="40% - 强调文字颜色 3 2 5 3" xfId="18869" xr:uid="{576463E6-9209-4875-ABA2-9128F2C902CC}"/>
    <cellStyle name="40% - 强调文字颜色 3 2 6" xfId="1819" xr:uid="{EBB53439-5393-40F5-8478-4925AA45AD82}"/>
    <cellStyle name="40% - 强调文字颜色 3 2 6 2" xfId="4239" xr:uid="{038D885C-2EC2-433C-924B-CA9A7BD432B6}"/>
    <cellStyle name="40% - 强调文字颜色 3 2 6 3" xfId="18870" xr:uid="{2BF12F17-0C09-481B-8841-AB8B864A236A}"/>
    <cellStyle name="40% - 强调文字颜色 3 2 7" xfId="1606" xr:uid="{501B078B-7353-41AB-B468-D04B3066A962}"/>
    <cellStyle name="40% - 强调文字颜色 3 2 7 2" xfId="1616" xr:uid="{B2C4A6AB-7DB5-48A6-9C6E-441C92BC8849}"/>
    <cellStyle name="40% - 强调文字颜色 3 2 7 3" xfId="18871" xr:uid="{E963CE20-8B0B-459F-A08B-967F9DA0018C}"/>
    <cellStyle name="40% - 强调文字颜色 3 2 8" xfId="1628" xr:uid="{0347E7D7-82C8-4583-BEDE-499A91AB3452}"/>
    <cellStyle name="40% - 强调文字颜色 3 2 8 2" xfId="4241" xr:uid="{5A7B8A50-48C5-4EC3-8BDB-927F6867E19F}"/>
    <cellStyle name="40% - 强调文字颜色 3 2 9" xfId="1630" xr:uid="{F69D893D-2593-40B9-86B4-AF8DBD14366C}"/>
    <cellStyle name="40% - 强调文字颜色 3 2 9 2" xfId="1633" xr:uid="{04C779E4-3781-40FD-AF16-C9E14B4B34AD}"/>
    <cellStyle name="40% - 强调文字颜色 3 2_动力部" xfId="18872" xr:uid="{5E5D5BB1-A186-4862-8E33-0FAEF7A365CE}"/>
    <cellStyle name="40% - 强调文字颜色 3 20" xfId="1448" xr:uid="{7750E2EE-F5EC-44ED-BDDC-71C3F4023961}"/>
    <cellStyle name="40% - 强调文字颜色 3 20 2" xfId="1451" xr:uid="{BB825B9D-F45D-40D8-9966-465D8E737452}"/>
    <cellStyle name="40% - 强调文字颜色 3 20 2 2" xfId="1453" xr:uid="{76174181-52D6-475F-8FB5-FF89F2B6922D}"/>
    <cellStyle name="40% - 强调文字颜色 3 20 2 2 2" xfId="18875" xr:uid="{F228C9DF-AA21-44DA-80E9-A1C7882186F6}"/>
    <cellStyle name="40% - 强调文字颜色 3 20 2 3" xfId="18874" xr:uid="{D8399D27-7897-4843-9885-4B941D2D44F8}"/>
    <cellStyle name="40% - 强调文字颜色 3 20 3" xfId="9908" xr:uid="{C2A4A6E8-E430-415B-90B8-25ACA739B55F}"/>
    <cellStyle name="40% - 强调文字颜色 3 20 3 2" xfId="18876" xr:uid="{4D9E4CD2-5B1A-410B-A0B7-DE9EF0351B97}"/>
    <cellStyle name="40% - 强调文字颜色 3 20 4" xfId="13142" xr:uid="{47B9F7BC-A7A4-4087-BDC4-849671DB16F9}"/>
    <cellStyle name="40% - 强调文字颜色 3 20 4 2" xfId="18877" xr:uid="{0119A45C-5BE8-4EC6-B65A-654062B6086C}"/>
    <cellStyle name="40% - 强调文字颜色 3 20 5" xfId="18873" xr:uid="{318B1035-971E-47D2-A891-202F4243B553}"/>
    <cellStyle name="40% - 强调文字颜色 3 21" xfId="1474" xr:uid="{B98F62C4-4A2D-433A-97B1-EA72DD06F7B3}"/>
    <cellStyle name="40% - 强调文字颜色 3 21 2" xfId="1479" xr:uid="{958E32D0-6A18-4E66-AAE4-427173FFD6C6}"/>
    <cellStyle name="40% - 强调文字颜色 3 21 2 2" xfId="1640" xr:uid="{CB57394B-A0D1-4C89-A00B-60C0039007C6}"/>
    <cellStyle name="40% - 强调文字颜色 3 21 2 2 2" xfId="18880" xr:uid="{77946FA1-1E2D-4F06-90F1-57C920DFE7A4}"/>
    <cellStyle name="40% - 强调文字颜色 3 21 2 3" xfId="18879" xr:uid="{7725EF60-FC09-4E83-AABA-36F4B89A5445}"/>
    <cellStyle name="40% - 强调文字颜色 3 21 3" xfId="9909" xr:uid="{DBF142BC-31EE-4E5C-851C-26F0F9B4B130}"/>
    <cellStyle name="40% - 强调文字颜色 3 21 3 2" xfId="18881" xr:uid="{683F4978-C567-4902-94B7-A331710DDB6D}"/>
    <cellStyle name="40% - 强调文字颜色 3 21 4" xfId="13128" xr:uid="{D6183760-2D8E-4B0A-ADE4-CC706E2B5D89}"/>
    <cellStyle name="40% - 强调文字颜色 3 21 4 2" xfId="18882" xr:uid="{5AB2D981-B09E-43FE-93E5-517DD53E5279}"/>
    <cellStyle name="40% - 强调文字颜色 3 21 5" xfId="18878" xr:uid="{4BEE5589-E1FD-45DA-8B02-E145E9101620}"/>
    <cellStyle name="40% - 强调文字颜色 3 22" xfId="1499" xr:uid="{FECF7613-2F54-4A65-91AA-A5BFAD852276}"/>
    <cellStyle name="40% - 强调文字颜色 3 22 2" xfId="1505" xr:uid="{4A08BB2B-FC8A-4B64-B579-B3F518424A47}"/>
    <cellStyle name="40% - 强调文字颜色 3 22 2 2" xfId="1645" xr:uid="{43908AA9-846F-4597-B366-27A8B16145A5}"/>
    <cellStyle name="40% - 强调文字颜色 3 22 2 2 2" xfId="18885" xr:uid="{310AFB52-45EB-4B57-983F-E84BEF175AB7}"/>
    <cellStyle name="40% - 强调文字颜色 3 22 2 3" xfId="18884" xr:uid="{C7656D99-E384-4CD8-9454-3839649F2F3A}"/>
    <cellStyle name="40% - 强调文字颜色 3 22 3" xfId="9910" xr:uid="{726BE9B8-6F05-4FE5-9390-8EA7B76803C9}"/>
    <cellStyle name="40% - 强调文字颜色 3 22 3 2" xfId="18886" xr:uid="{1B192CEA-75E6-4100-B529-EABCBBBBB846}"/>
    <cellStyle name="40% - 强调文字颜色 3 22 4" xfId="13115" xr:uid="{5EC14543-5A39-4D9D-80C0-1B9DEFF56E01}"/>
    <cellStyle name="40% - 强调文字颜色 3 22 4 2" xfId="18887" xr:uid="{CC2301EA-91ED-4937-BA89-5A52ED5FD87B}"/>
    <cellStyle name="40% - 强调文字颜色 3 22 5" xfId="18883" xr:uid="{170FBA83-B939-440E-B11E-E3632852BD06}"/>
    <cellStyle name="40% - 强调文字颜色 3 23" xfId="1523" xr:uid="{8157D60C-58A9-4789-80E6-875DA0FDC942}"/>
    <cellStyle name="40% - 强调文字颜色 3 23 2" xfId="1529" xr:uid="{9FFB2876-8E6B-44F7-889D-4B1661675A39}"/>
    <cellStyle name="40% - 强调文字颜色 3 23 2 2" xfId="1536" xr:uid="{656A286B-9224-4D66-B78F-94F7787CFC7D}"/>
    <cellStyle name="40% - 强调文字颜色 3 23 2 2 2" xfId="18890" xr:uid="{3B3D2637-7363-43E7-8C87-B6DBEAA9C915}"/>
    <cellStyle name="40% - 强调文字颜色 3 23 2 3" xfId="18889" xr:uid="{925F2769-3726-4A2B-BCAF-4A27FC95A869}"/>
    <cellStyle name="40% - 强调文字颜色 3 23 3" xfId="13047" xr:uid="{B303320C-3158-43F3-8CC7-6D7865C14612}"/>
    <cellStyle name="40% - 强调文字颜色 3 23 3 2" xfId="18891" xr:uid="{012A2753-34C9-43BE-A473-97FB7986A076}"/>
    <cellStyle name="40% - 强调文字颜色 3 23 4" xfId="18892" xr:uid="{29BAEFCD-7A6C-491E-8713-1ED912E4FEFD}"/>
    <cellStyle name="40% - 强调文字颜色 3 23 5" xfId="18888" xr:uid="{00A04CD0-CB35-4A83-83FE-F003AA2F12BA}"/>
    <cellStyle name="40% - 强调文字颜色 3 24" xfId="1548" xr:uid="{BE0DF112-B2D3-41E8-91D7-26117F762B7B}"/>
    <cellStyle name="40% - 强调文字颜色 3 24 2" xfId="13038" xr:uid="{245586E9-F4DE-400F-95C2-A4D78F36E2CE}"/>
    <cellStyle name="40% - 强调文字颜色 3 24 2 2" xfId="18895" xr:uid="{35131E7F-5991-4929-A98D-48FDE19F6169}"/>
    <cellStyle name="40% - 强调文字颜色 3 24 2 3" xfId="18894" xr:uid="{43E32A19-494E-4B61-8D78-E2DECFF311A3}"/>
    <cellStyle name="40% - 强调文字颜色 3 24 3" xfId="18896" xr:uid="{6CE028B4-A99A-4E74-BAB5-D293634FC9CF}"/>
    <cellStyle name="40% - 强调文字颜色 3 24 4" xfId="18897" xr:uid="{43C2200A-04FA-41FA-9AEF-37198E37414A}"/>
    <cellStyle name="40% - 强调文字颜色 3 24 5" xfId="18893" xr:uid="{49E89E91-B592-4074-AC05-61960E00CA3A}"/>
    <cellStyle name="40% - 强调文字颜色 3 25" xfId="1570" xr:uid="{D9AC84DB-8E36-4997-A4C6-873E80593BD1}"/>
    <cellStyle name="40% - 强调文字颜色 3 25 2" xfId="13025" xr:uid="{7C87FD46-3CF1-4736-9C30-086AE5238657}"/>
    <cellStyle name="40% - 强调文字颜色 3 25 2 2" xfId="18900" xr:uid="{47C88121-89C4-4164-8505-9EE9E1B6CB55}"/>
    <cellStyle name="40% - 强调文字颜色 3 25 2 3" xfId="18899" xr:uid="{F2ED38F8-B859-41D3-B5C3-F576DD288B68}"/>
    <cellStyle name="40% - 强调文字颜色 3 25 3" xfId="18901" xr:uid="{E3C4B356-36E2-4794-B5F1-0E738FF2086F}"/>
    <cellStyle name="40% - 强调文字颜色 3 25 4" xfId="18902" xr:uid="{A0BACC65-58B8-44F0-97D3-BCCC51DD5F47}"/>
    <cellStyle name="40% - 强调文字颜色 3 25 5" xfId="18898" xr:uid="{E29A5628-ECC6-4EFE-97B4-FBF607E4435F}"/>
    <cellStyle name="40% - 强调文字颜色 3 26" xfId="1648" xr:uid="{952DF617-D6DF-4C34-9930-5584DACB5C64}"/>
    <cellStyle name="40% - 强调文字颜色 3 26 2" xfId="18904" xr:uid="{BE89561D-A9CF-45B6-9C5A-0B7DB4DE47CB}"/>
    <cellStyle name="40% - 强调文字颜色 3 26 2 2" xfId="18905" xr:uid="{25421A21-728C-49AA-BB1F-1919C8A38483}"/>
    <cellStyle name="40% - 强调文字颜色 3 26 3" xfId="18906" xr:uid="{6C4A466A-06D6-41A7-8F8A-DD5C8FFB647E}"/>
    <cellStyle name="40% - 强调文字颜色 3 26 4" xfId="18907" xr:uid="{9A745A01-1222-4FA7-A670-CCF4655A52FF}"/>
    <cellStyle name="40% - 强调文字颜色 3 26 5" xfId="18903" xr:uid="{6444C5E7-C3E0-4DFE-B254-2CFA856AB78B}"/>
    <cellStyle name="40% - 强调文字颜色 3 27" xfId="1652" xr:uid="{279E72B9-12F7-4147-A692-F596AB85B4A3}"/>
    <cellStyle name="40% - 强调文字颜色 3 27 2" xfId="18909" xr:uid="{BF82A40A-3E26-418A-A3C7-21C2CDC0477F}"/>
    <cellStyle name="40% - 强调文字颜色 3 27 2 2" xfId="18910" xr:uid="{BDCCF3D8-756A-4164-89C7-574AD4E32658}"/>
    <cellStyle name="40% - 强调文字颜色 3 27 3" xfId="18911" xr:uid="{A16239DC-DB9B-42FF-9E03-69EE5AA476A4}"/>
    <cellStyle name="40% - 强调文字颜色 3 27 4" xfId="18912" xr:uid="{304C196A-8AAF-4AAD-8AF7-184C66F968F5}"/>
    <cellStyle name="40% - 强调文字颜色 3 27 5" xfId="18908" xr:uid="{C9AEFFCC-4B04-4A96-8F00-AE78FA968B80}"/>
    <cellStyle name="40% - 强调文字颜色 3 28" xfId="1657" xr:uid="{9AC4BDD9-9D57-4FD3-AB55-FCE2DD6FB0ED}"/>
    <cellStyle name="40% - 强调文字颜色 3 28 2" xfId="18914" xr:uid="{F36181AF-72FF-48E2-971B-56A6AF806903}"/>
    <cellStyle name="40% - 强调文字颜色 3 28 3" xfId="18915" xr:uid="{7550DA82-1665-4694-92A4-0AA00463D9DD}"/>
    <cellStyle name="40% - 强调文字颜色 3 28 4" xfId="18916" xr:uid="{26C9A0F3-896F-44DA-A34E-FEDEAD167642}"/>
    <cellStyle name="40% - 强调文字颜色 3 28 5" xfId="18913" xr:uid="{56CF0A67-B0C9-4E06-955F-DC320950DC3F}"/>
    <cellStyle name="40% - 强调文字颜色 3 29" xfId="1662" xr:uid="{1B87C415-5860-47D5-A1E5-5D40BC0E6478}"/>
    <cellStyle name="40% - 强调文字颜色 3 29 2" xfId="18918" xr:uid="{54E755F4-8AE0-4560-8817-13C63C052CF7}"/>
    <cellStyle name="40% - 强调文字颜色 3 29 3" xfId="18919" xr:uid="{5CEECF13-3B8C-422A-B787-7EAEF32C6A49}"/>
    <cellStyle name="40% - 强调文字颜色 3 29 4" xfId="18920" xr:uid="{351C9C0E-9D89-43D5-9696-5CCB703B8E36}"/>
    <cellStyle name="40% - 强调文字颜色 3 29 5" xfId="18917" xr:uid="{25726E2E-6062-45C0-A0BD-8DBDA9722F5D}"/>
    <cellStyle name="40% - 强调文字颜色 3 3" xfId="4243" xr:uid="{F376406F-3009-4EDF-B0E9-A2ED58E66154}"/>
    <cellStyle name="40% - 强调文字颜色 3 3 10" xfId="3662" xr:uid="{5AE1BD9B-63D6-474F-AB27-973F81B0010B}"/>
    <cellStyle name="40% - 强调文字颜色 3 3 10 2" xfId="4244" xr:uid="{45F4572A-09EF-4016-8596-9B80DA65B5CF}"/>
    <cellStyle name="40% - 强调文字颜色 3 3 11" xfId="3672" xr:uid="{98FE5082-2E63-4278-A0CB-E7F09DF26ED3}"/>
    <cellStyle name="40% - 强调文字颜色 3 3 11 2" xfId="4245" xr:uid="{CFC90032-2CF9-498C-84C6-057B496F355A}"/>
    <cellStyle name="40% - 强调文字颜色 3 3 12" xfId="3676" xr:uid="{C9F0972F-CBA4-4B58-9E0E-BA72DA1DC3D7}"/>
    <cellStyle name="40% - 强调文字颜色 3 3 13" xfId="3680" xr:uid="{A0FC0707-8A6E-4AEE-893C-452F80FE0857}"/>
    <cellStyle name="40% - 强调文字颜色 3 3 13 2" xfId="4246" xr:uid="{A8EBCF4B-9207-4499-AB71-29C31B17ACF0}"/>
    <cellStyle name="40% - 强调文字颜色 3 3 14" xfId="3686" xr:uid="{6600D748-E223-4C95-B81F-1F8950E7F6C4}"/>
    <cellStyle name="40% - 强调文字颜色 3 3 14 2" xfId="4248" xr:uid="{AEBA0BD6-C014-4A66-A43D-0B0247383F8E}"/>
    <cellStyle name="40% - 强调文字颜色 3 3 15" xfId="3691" xr:uid="{7EE3486F-8C3F-4111-8B2C-777897B6AD8A}"/>
    <cellStyle name="40% - 强调文字颜色 3 3 16" xfId="9911" xr:uid="{C20B0849-19FD-4EE4-947C-23D00C5C5A85}"/>
    <cellStyle name="40% - 强调文字颜色 3 3 17" xfId="13401" xr:uid="{072186E4-A306-4D31-BA39-857A2C09F20D}"/>
    <cellStyle name="40% - 强调文字颜色 3 3 18" xfId="18921" xr:uid="{FCB1783D-7A8E-4FF3-B977-5CDFAAE03B6C}"/>
    <cellStyle name="40% - 强调文字颜色 3 3 2" xfId="4249" xr:uid="{1F5DB845-8116-4ADB-A5E5-A15FC786A7CB}"/>
    <cellStyle name="40% - 强调文字颜色 3 3 2 2" xfId="4250" xr:uid="{058DBA23-F3AF-47E4-BC87-BAC953AF13C1}"/>
    <cellStyle name="40% - 强调文字颜色 3 3 2 3" xfId="9912" xr:uid="{EFD6EAF2-C814-4296-9F70-F5AA274C1E20}"/>
    <cellStyle name="40% - 强调文字颜色 3 3 2 4" xfId="18922" xr:uid="{44100FCF-15E2-4CF1-A8D2-C47576A0AEAF}"/>
    <cellStyle name="40% - 强调文字颜色 3 3 2 5" xfId="27313" xr:uid="{E83CB933-79D1-4981-BB14-CDD6F2B87CB9}"/>
    <cellStyle name="40% - 强调文字颜色 3 3 3" xfId="4251" xr:uid="{32366D5E-45CD-4210-9D84-6FED5AF937BE}"/>
    <cellStyle name="40% - 强调文字颜色 3 3 3 2" xfId="4187" xr:uid="{A220310E-0D2E-4620-B79E-92BD211BF689}"/>
    <cellStyle name="40% - 强调文字颜色 3 3 3 2 2" xfId="18924" xr:uid="{F0F66692-FC34-496F-A077-0FB1D5D90AFE}"/>
    <cellStyle name="40% - 强调文字颜色 3 3 3 3" xfId="9913" xr:uid="{EBBA03E2-910D-453F-AF38-2BC1073083BC}"/>
    <cellStyle name="40% - 强调文字颜色 3 3 3 4" xfId="18923" xr:uid="{D0458397-071E-4CF3-8350-37F055CD09FB}"/>
    <cellStyle name="40% - 强调文字颜色 3 3 3 5" xfId="27314" xr:uid="{E3E24A4F-0698-494E-A0D3-B88CB237338C}"/>
    <cellStyle name="40% - 强调文字颜色 3 3 4" xfId="1054" xr:uid="{F2D8CBCC-2068-40FD-9DB1-FFDFD5663FA7}"/>
    <cellStyle name="40% - 强调文字颜色 3 3 4 2" xfId="4252" xr:uid="{688E9079-A1E6-4B48-909D-720D7B3F3DE9}"/>
    <cellStyle name="40% - 强调文字颜色 3 3 4 3" xfId="18925" xr:uid="{2BCAD6B5-74A9-453C-8C77-BF711916E79F}"/>
    <cellStyle name="40% - 强调文字颜色 3 3 4 4" xfId="27697" xr:uid="{FB5327B0-E477-4D72-BCBB-6327C926BBDB}"/>
    <cellStyle name="40% - 强调文字颜色 3 3 5" xfId="4253" xr:uid="{ED3C3F75-2310-4C64-9FAE-3AC9F4ED56DC}"/>
    <cellStyle name="40% - 强调文字颜色 3 3 5 2" xfId="4254" xr:uid="{F1CB3694-0C47-4419-AD33-D8F39073A842}"/>
    <cellStyle name="40% - 强调文字颜色 3 3 5 3" xfId="18926" xr:uid="{6280F838-E801-4005-A071-D804CC77D402}"/>
    <cellStyle name="40% - 强调文字颜色 3 3 6" xfId="1825" xr:uid="{DFCB41B2-43CF-46C9-B283-CCFC53B0C1B0}"/>
    <cellStyle name="40% - 强调文字颜色 3 3 6 2" xfId="3556" xr:uid="{0835B8D4-BF87-477D-8A52-5AB62E367F6E}"/>
    <cellStyle name="40% - 强调文字颜色 3 3 7" xfId="638" xr:uid="{12C2E915-BFEA-4F8F-8AE7-CA0A2E48ECF9}"/>
    <cellStyle name="40% - 强调文字颜色 3 3 7 2" xfId="1683" xr:uid="{CC8CCC70-016F-4F97-97FA-74CB0588843A}"/>
    <cellStyle name="40% - 强调文字颜色 3 3 8" xfId="1692" xr:uid="{A002BA13-AF3A-46C7-BA8E-A9ABCBD4AE5F}"/>
    <cellStyle name="40% - 强调文字颜色 3 3 8 2" xfId="1698" xr:uid="{88E03906-D354-478B-9CEC-90F17F493ED3}"/>
    <cellStyle name="40% - 强调文字颜色 3 3 9" xfId="1701" xr:uid="{C23418A3-2A41-4312-A432-5A0C64EDA920}"/>
    <cellStyle name="40% - 强调文字颜色 3 30" xfId="1571" xr:uid="{9F9ABB4B-2444-4086-923B-A1E80448EA83}"/>
    <cellStyle name="40% - 强调文字颜色 3 30 2" xfId="18928" xr:uid="{BAAD0FA2-0EB1-4233-9E61-EF37A669530A}"/>
    <cellStyle name="40% - 强调文字颜色 3 30 3" xfId="18929" xr:uid="{52608D7D-8BF8-424B-938E-BC468A3BB095}"/>
    <cellStyle name="40% - 强调文字颜色 3 30 4" xfId="18930" xr:uid="{59EF786D-4BA7-4B12-96CD-B1D4B56061A0}"/>
    <cellStyle name="40% - 强调文字颜色 3 30 5" xfId="18927" xr:uid="{D5B8A2EC-8A65-4C67-9D79-3D98E4767628}"/>
    <cellStyle name="40% - 强调文字颜色 3 31" xfId="1649" xr:uid="{C54CFE75-137F-41F9-A0A2-49AC5F562B76}"/>
    <cellStyle name="40% - 强调文字颜色 3 31 2" xfId="18932" xr:uid="{D32BFE4D-041E-42D2-834A-E7322A4BF30E}"/>
    <cellStyle name="40% - 强调文字颜色 3 31 3" xfId="18933" xr:uid="{3B0D6D23-058B-44BE-8D86-C446E65DA01B}"/>
    <cellStyle name="40% - 强调文字颜色 3 31 4" xfId="18934" xr:uid="{0809CDFD-C123-4839-8990-121D24272C46}"/>
    <cellStyle name="40% - 强调文字颜色 3 31 5" xfId="18931" xr:uid="{93F21DA0-A555-49C8-9C6C-68A6466B65EA}"/>
    <cellStyle name="40% - 强调文字颜色 3 32" xfId="1653" xr:uid="{A5D5903A-4385-4B32-91EE-476D5AC1F9FA}"/>
    <cellStyle name="40% - 强调文字颜色 3 32 2" xfId="18936" xr:uid="{504F36B6-5383-476B-9B76-C74DBDD076A4}"/>
    <cellStyle name="40% - 强调文字颜色 3 32 3" xfId="18937" xr:uid="{7CD1C285-48CC-40E2-9A50-8C449429D452}"/>
    <cellStyle name="40% - 强调文字颜色 3 32 4" xfId="18938" xr:uid="{43C39E16-EAD4-4ECC-B838-2C2A3080B8F8}"/>
    <cellStyle name="40% - 强调文字颜色 3 32 5" xfId="18935" xr:uid="{BDECCC5A-8878-447F-B8C2-5AB40039F803}"/>
    <cellStyle name="40% - 强调文字颜色 3 33" xfId="1658" xr:uid="{8CBFFCF3-1DEA-4422-9D81-8F869B731367}"/>
    <cellStyle name="40% - 强调文字颜色 3 33 2" xfId="18940" xr:uid="{9FD01971-6C75-4559-B4C8-38C813F08F16}"/>
    <cellStyle name="40% - 强调文字颜色 3 33 3" xfId="18941" xr:uid="{497983D5-C3EF-40E4-83D8-B93A5E0DE5B5}"/>
    <cellStyle name="40% - 强调文字颜色 3 33 4" xfId="18942" xr:uid="{67CB99AF-DA4F-4CA7-9F09-49AFB72E96BD}"/>
    <cellStyle name="40% - 强调文字颜色 3 33 5" xfId="18939" xr:uid="{38491555-9A2A-448A-894A-AD8FCD619C23}"/>
    <cellStyle name="40% - 强调文字颜色 3 34" xfId="1663" xr:uid="{C82008E8-470F-42A4-8A2F-4337527E8DAA}"/>
    <cellStyle name="40% - 强调文字颜色 3 34 2" xfId="12479" xr:uid="{5C926C5F-13AD-4100-892C-60523668CB83}"/>
    <cellStyle name="40% - 强调文字颜色 3 34 2 2" xfId="18944" xr:uid="{A3225FF7-2A4A-46E3-9DD7-5384C1AAB462}"/>
    <cellStyle name="40% - 强调文字颜色 3 34 3" xfId="18945" xr:uid="{BEE2B39D-2A9F-435D-8C99-C7C458D709CD}"/>
    <cellStyle name="40% - 强调文字颜色 3 34 4" xfId="18946" xr:uid="{88F0CB9D-E81D-4DA1-82D5-94A609795ED1}"/>
    <cellStyle name="40% - 强调文字颜色 3 34 5" xfId="18943" xr:uid="{FE0510D7-5836-4BE0-8DC5-1068DBB50D02}"/>
    <cellStyle name="40% - 强调文字颜色 3 35" xfId="1666" xr:uid="{D2F9CE20-9A75-4F8F-B34C-849B5D92973E}"/>
    <cellStyle name="40% - 强调文字颜色 3 35 2" xfId="12480" xr:uid="{6AFA4D0B-5252-476A-96E4-E9590BE2706B}"/>
    <cellStyle name="40% - 强调文字颜色 3 35 2 2" xfId="18948" xr:uid="{DF2E70E1-85CF-4AF1-99E3-33C4E209ED74}"/>
    <cellStyle name="40% - 强调文字颜色 3 35 3" xfId="18949" xr:uid="{71CBA4EC-593A-4B7E-9942-7F7C1EEC676C}"/>
    <cellStyle name="40% - 强调文字颜色 3 35 4" xfId="18947" xr:uid="{C3951638-DD4E-41F2-91FB-23FD569AFBA4}"/>
    <cellStyle name="40% - 强调文字颜色 3 36" xfId="1714" xr:uid="{EDF7BC00-7FE7-4605-99FA-D93CEB0F9D0D}"/>
    <cellStyle name="40% - 强调文字颜色 3 36 2" xfId="12481" xr:uid="{B7359CF0-4829-4149-8950-F94DF2EDA44F}"/>
    <cellStyle name="40% - 强调文字颜色 3 36 2 2" xfId="18951" xr:uid="{4CC3C3E9-00B7-441C-AD03-036B380219A9}"/>
    <cellStyle name="40% - 强调文字颜色 3 36 3" xfId="18952" xr:uid="{E2A81E12-B119-4D98-9846-1A91BB03A279}"/>
    <cellStyle name="40% - 强调文字颜色 3 36 4" xfId="18950" xr:uid="{3BBD0A2D-C990-4414-8F13-5F28C4E12777}"/>
    <cellStyle name="40% - 强调文字颜色 3 37" xfId="1718" xr:uid="{8408B7EE-8336-4A40-B27E-266574CE39D1}"/>
    <cellStyle name="40% - 强调文字颜色 3 37 2" xfId="12482" xr:uid="{1A56D007-11DF-4036-A681-C3DE5B2B6467}"/>
    <cellStyle name="40% - 强调文字颜色 3 37 2 2" xfId="18954" xr:uid="{761EE647-3D9E-4E94-B884-EDB52C5558C8}"/>
    <cellStyle name="40% - 强调文字颜色 3 37 3" xfId="18955" xr:uid="{793ADEC2-335B-4752-B38B-82E42E82D406}"/>
    <cellStyle name="40% - 强调文字颜色 3 37 4" xfId="18953" xr:uid="{0D993818-99BC-41C1-A940-0512AAC71554}"/>
    <cellStyle name="40% - 强调文字颜色 3 38" xfId="1722" xr:uid="{52339E71-D98E-42B3-820B-8CC8E7138A0F}"/>
    <cellStyle name="40% - 强调文字颜色 3 38 10" xfId="18957" xr:uid="{EA4F7894-B04B-48F0-98DE-5C5940566579}"/>
    <cellStyle name="40% - 强调文字颜色 3 38 11" xfId="18958" xr:uid="{9E6F1E3F-5B79-48C4-A358-F92EDBB19A67}"/>
    <cellStyle name="40% - 强调文字颜色 3 38 12" xfId="18959" xr:uid="{951EFF07-50CE-46FD-A697-39CF952F1B6D}"/>
    <cellStyle name="40% - 强调文字颜色 3 38 13" xfId="18960" xr:uid="{BACDFEA7-E3D6-4E4D-8D2B-D49446E21B44}"/>
    <cellStyle name="40% - 强调文字颜色 3 38 14" xfId="18961" xr:uid="{2C8EE379-D358-4EF0-A6AE-46AC1650BF3F}"/>
    <cellStyle name="40% - 强调文字颜色 3 38 15" xfId="18956" xr:uid="{2DB3263A-6758-4F25-AADC-27916BC36EFA}"/>
    <cellStyle name="40% - 强调文字颜色 3 38 2" xfId="12483" xr:uid="{A1054FAE-ED79-4631-89F0-E367FA3C321E}"/>
    <cellStyle name="40% - 强调文字颜色 3 38 2 2" xfId="18962" xr:uid="{D5170C19-DFD8-45F0-B47D-3DD7F4367BA7}"/>
    <cellStyle name="40% - 强调文字颜色 3 38 3" xfId="18963" xr:uid="{EE5D3D28-D715-4CB5-B773-8C593BC03D34}"/>
    <cellStyle name="40% - 强调文字颜色 3 38 4" xfId="18964" xr:uid="{AE7BCE87-518C-4069-BF5B-AEE730840D42}"/>
    <cellStyle name="40% - 强调文字颜色 3 38 5" xfId="18965" xr:uid="{B2004972-0197-4A68-BCBA-179C0F8C9823}"/>
    <cellStyle name="40% - 强调文字颜色 3 38 6" xfId="18966" xr:uid="{4A6EA671-310A-4F0C-B3CB-85ED9F93FFF6}"/>
    <cellStyle name="40% - 强调文字颜色 3 38 7" xfId="18967" xr:uid="{EA0630D9-FA73-4F3D-BA29-86A9BD7BE007}"/>
    <cellStyle name="40% - 强调文字颜色 3 38 8" xfId="18968" xr:uid="{677D50F9-8FE2-42EE-BA03-A9761F8746BA}"/>
    <cellStyle name="40% - 强调文字颜色 3 38 9" xfId="18969" xr:uid="{B364369A-3702-44F6-A216-4108089C4082}"/>
    <cellStyle name="40% - 强调文字颜色 3 39" xfId="1726" xr:uid="{0C9310E9-1ED6-43DE-A794-52332E8860AF}"/>
    <cellStyle name="40% - 强调文字颜色 3 39 2" xfId="12484" xr:uid="{DEACB3F4-6486-49DF-80D0-C1DFBBEB1B66}"/>
    <cellStyle name="40% - 强调文字颜色 3 39 2 2" xfId="18971" xr:uid="{CDA76F63-E383-4717-9320-A0BC270A1E11}"/>
    <cellStyle name="40% - 强调文字颜色 3 39 3" xfId="18972" xr:uid="{A253CD13-E20E-4D5C-830F-C6E50C15C493}"/>
    <cellStyle name="40% - 强调文字颜色 3 39 4" xfId="18970" xr:uid="{1836C8DB-9E50-48C4-B97E-FE906C820FAD}"/>
    <cellStyle name="40% - 强调文字颜色 3 4" xfId="2438" xr:uid="{101A9D25-7B40-4B28-820F-D63169FBEE44}"/>
    <cellStyle name="40% - 强调文字颜色 3 4 10" xfId="4255" xr:uid="{9C9FDEA6-908B-4502-AC63-4612CA82CE9F}"/>
    <cellStyle name="40% - 强调文字颜色 3 4 10 2" xfId="4257" xr:uid="{CEEDD820-4BFF-40C7-98FE-E8DD5172EDA6}"/>
    <cellStyle name="40% - 强调文字颜色 3 4 11" xfId="4201" xr:uid="{6183DCE6-0BB7-45AD-9B4F-5E8586062461}"/>
    <cellStyle name="40% - 强调文字颜色 3 4 11 2" xfId="4209" xr:uid="{33EF1095-E206-4A52-9E09-40AEF9D8CD10}"/>
    <cellStyle name="40% - 强调文字颜色 3 4 12" xfId="4242" xr:uid="{A6F93FED-8E36-43D7-8B46-56DE2397414B}"/>
    <cellStyle name="40% - 强调文字颜色 3 4 13" xfId="2439" xr:uid="{75A680B7-C515-43AB-AC7B-E97648FCD1D3}"/>
    <cellStyle name="40% - 强调文字颜色 3 4 13 2" xfId="4259" xr:uid="{823E6146-6CB1-4B51-93FE-D80C7549D3C1}"/>
    <cellStyle name="40% - 强调文字颜色 3 4 14" xfId="4261" xr:uid="{37439B02-57ED-4913-9BB6-0F9513E73880}"/>
    <cellStyle name="40% - 强调文字颜色 3 4 14 2" xfId="4263" xr:uid="{3B33C3B7-CC62-428D-939C-47BA4621154C}"/>
    <cellStyle name="40% - 强调文字颜色 3 4 15" xfId="4265" xr:uid="{45335D99-0900-4C0B-80B0-A55340938FA2}"/>
    <cellStyle name="40% - 强调文字颜色 3 4 16" xfId="9914" xr:uid="{EB83EB91-83A5-47CC-AA41-C242FF3EEEA8}"/>
    <cellStyle name="40% - 强调文字颜色 3 4 17" xfId="13392" xr:uid="{C9DD8BB8-C5F9-4846-A173-B7DA2EC5E41C}"/>
    <cellStyle name="40% - 强调文字颜色 3 4 18" xfId="18973" xr:uid="{C1E740EF-ACB2-4CD1-A762-AA4CF8CFEFAE}"/>
    <cellStyle name="40% - 强调文字颜色 3 4 2" xfId="4258" xr:uid="{5B553029-C398-4D0D-9634-4272E6EAFE48}"/>
    <cellStyle name="40% - 强调文字颜色 3 4 2 2" xfId="886" xr:uid="{A10B4EFA-37EA-42CD-AB5B-A2B43A8F36D6}"/>
    <cellStyle name="40% - 强调文字颜色 3 4 2 2 2" xfId="18975" xr:uid="{494DE87F-FF47-4573-8103-0F6C885F360C}"/>
    <cellStyle name="40% - 强调文字颜色 3 4 2 3" xfId="9915" xr:uid="{F7A6BADC-92BC-4362-B7D5-4EE3CB10DABB}"/>
    <cellStyle name="40% - 强调文字颜色 3 4 2 4" xfId="18974" xr:uid="{9F351CDB-8007-4334-885F-C1CA4E29D2BB}"/>
    <cellStyle name="40% - 强调文字颜色 3 4 3" xfId="4266" xr:uid="{B01A2C3E-ABF2-4C17-8229-5E671290A978}"/>
    <cellStyle name="40% - 强调文字颜色 3 4 3 2" xfId="4267" xr:uid="{5FEE8063-51B7-4244-8987-869571DBB36B}"/>
    <cellStyle name="40% - 强调文字颜色 3 4 3 3" xfId="9916" xr:uid="{79EFF768-315A-4761-938B-AD1791B4A181}"/>
    <cellStyle name="40% - 强调文字颜色 3 4 3 4" xfId="18976" xr:uid="{DF5915DD-44C7-45AD-96C6-FD30E8990EBA}"/>
    <cellStyle name="40% - 强调文字颜色 3 4 4" xfId="1058" xr:uid="{29F84F03-BC07-4A6E-B6DC-B89C0CDE8165}"/>
    <cellStyle name="40% - 强调文字颜色 3 4 4 2" xfId="4268" xr:uid="{1A42C24C-5FAE-40D6-844C-005023BBAA49}"/>
    <cellStyle name="40% - 强调文字颜色 3 4 4 3" xfId="18977" xr:uid="{0B15CF06-C3D9-4490-B0B9-81298F90CC69}"/>
    <cellStyle name="40% - 强调文字颜色 3 4 5" xfId="3011" xr:uid="{C28BD951-95D5-4CBF-B796-640A8A76F1EB}"/>
    <cellStyle name="40% - 强调文字颜色 3 4 5 2" xfId="1777" xr:uid="{D92390B9-0A74-499A-8A76-0AB67924E970}"/>
    <cellStyle name="40% - 强调文字颜色 3 4 6" xfId="1560" xr:uid="{C6AB4739-3786-42AE-94F3-7A93695B09D4}"/>
    <cellStyle name="40% - 强调文字颜色 3 4 6 2" xfId="199" xr:uid="{52A704E1-E0A0-4AC5-88DA-437402BE49DD}"/>
    <cellStyle name="40% - 强调文字颜色 3 4 7" xfId="642" xr:uid="{D9E87881-1ECF-49B8-AECD-D8CDBAE48EE5}"/>
    <cellStyle name="40% - 强调文字颜色 3 4 7 2" xfId="217" xr:uid="{29A6F665-8B73-4716-A6C0-11B87B39E680}"/>
    <cellStyle name="40% - 强调文字颜色 3 4 8" xfId="1754" xr:uid="{E509B1BF-80A2-47FD-A89A-00A7DCE3835F}"/>
    <cellStyle name="40% - 强调文字颜色 3 4 8 2" xfId="234" xr:uid="{04931940-98FC-44BB-979F-1E585D5B149F}"/>
    <cellStyle name="40% - 强调文字颜色 3 4 9" xfId="1759" xr:uid="{38D8DE07-031C-4B32-9401-3D7D306EC410}"/>
    <cellStyle name="40% - 强调文字颜色 3 40" xfId="1667" xr:uid="{40AFA07A-826D-4AF6-B357-219D22527F5E}"/>
    <cellStyle name="40% - 强调文字颜色 3 40 2" xfId="12485" xr:uid="{AACF3C01-A096-4835-B7A7-541658C7DBB4}"/>
    <cellStyle name="40% - 强调文字颜色 3 40 2 2" xfId="18979" xr:uid="{A8047DDA-3B16-4C04-8012-F82E4472BD3A}"/>
    <cellStyle name="40% - 强调文字颜色 3 40 3" xfId="18978" xr:uid="{CFCF4727-471F-4E75-B47C-96CC07D37328}"/>
    <cellStyle name="40% - 强调文字颜色 3 41" xfId="1715" xr:uid="{09F3D622-DD4A-46E2-AD86-3ADFE052F03E}"/>
    <cellStyle name="40% - 强调文字颜色 3 41 2" xfId="12486" xr:uid="{10931170-1855-48A2-9866-222F76AAFFB1}"/>
    <cellStyle name="40% - 强调文字颜色 3 41 2 2" xfId="18981" xr:uid="{66B63A99-93A5-48DE-B970-911B6D81A90B}"/>
    <cellStyle name="40% - 强调文字颜色 3 41 3" xfId="18980" xr:uid="{E437CADB-54C5-45E3-B983-AEB3E40C6DFB}"/>
    <cellStyle name="40% - 强调文字颜色 3 42" xfId="1719" xr:uid="{63F8F963-76CA-40AB-850D-8D40D3096F34}"/>
    <cellStyle name="40% - 强调文字颜色 3 42 2" xfId="12487" xr:uid="{86E624D2-FCC6-4FE1-9F7C-80BF1E6D6EDA}"/>
    <cellStyle name="40% - 强调文字颜色 3 42 2 2" xfId="18983" xr:uid="{FD560A14-83DE-404E-9E7F-46D6D53C8530}"/>
    <cellStyle name="40% - 强调文字颜色 3 42 3" xfId="18982" xr:uid="{5C3DA2DC-A0ED-4AD3-AD14-4FD8708E9320}"/>
    <cellStyle name="40% - 强调文字颜色 3 43" xfId="1723" xr:uid="{B5F71F94-3FAF-4CFA-B22B-6723C2695C54}"/>
    <cellStyle name="40% - 强调文字颜色 3 43 2" xfId="12488" xr:uid="{99D526FC-8F07-486C-BC27-475B7B1BB4F4}"/>
    <cellStyle name="40% - 强调文字颜色 3 43 2 2" xfId="18985" xr:uid="{890C1078-B2D9-495B-918A-29D0BBE09F5F}"/>
    <cellStyle name="40% - 强调文字颜色 3 43 3" xfId="18984" xr:uid="{4AD872CF-F862-4F09-8A94-F7FCC9E89B5C}"/>
    <cellStyle name="40% - 强调文字颜色 3 44" xfId="1727" xr:uid="{D93AE464-681B-42F7-A20B-93D93AB21206}"/>
    <cellStyle name="40% - 强调文字颜色 3 44 2" xfId="12489" xr:uid="{D5AB9E4D-DD9C-4D0A-8B3F-E8FFA1A47EBA}"/>
    <cellStyle name="40% - 强调文字颜色 3 44 2 2" xfId="18987" xr:uid="{920BF9CB-004E-44CC-960F-FEE4F31BB4F9}"/>
    <cellStyle name="40% - 强调文字颜色 3 44 3" xfId="18986" xr:uid="{8FD3E830-56B1-4C4E-8225-5583B16FB647}"/>
    <cellStyle name="40% - 强调文字颜色 3 45" xfId="1730" xr:uid="{A8F73ECE-1227-42C4-8070-BD5E749667D2}"/>
    <cellStyle name="40% - 强调文字颜色 3 45 2" xfId="12490" xr:uid="{B6D7F8DA-637A-46C7-A517-5C440EE06026}"/>
    <cellStyle name="40% - 强调文字颜色 3 45 2 2" xfId="18989" xr:uid="{0440AFE0-2D56-45FF-B49F-8A33BD5E0EE8}"/>
    <cellStyle name="40% - 强调文字颜色 3 45 3" xfId="18988" xr:uid="{85A6B942-059C-49E7-9549-99DC3A240333}"/>
    <cellStyle name="40% - 强调文字颜色 3 46" xfId="1772" xr:uid="{9ACDFF48-751B-48A7-8B93-6406EE73AE67}"/>
    <cellStyle name="40% - 强调文字颜色 3 46 2" xfId="12491" xr:uid="{CE24C61C-CF55-4F3A-BF87-ADE57F814323}"/>
    <cellStyle name="40% - 强调文字颜色 3 46 2 2" xfId="18991" xr:uid="{4A141D7F-AFBC-46E8-8A80-CB72837CD577}"/>
    <cellStyle name="40% - 强调文字颜色 3 46 3" xfId="18990" xr:uid="{6E6F4AD9-0DED-4352-8CBE-9E8D5529067A}"/>
    <cellStyle name="40% - 强调文字颜色 3 47" xfId="1778" xr:uid="{389E999F-06E4-4F5D-9881-1CD0F5EBDA6D}"/>
    <cellStyle name="40% - 强调文字颜色 3 47 2" xfId="12492" xr:uid="{C0050826-CE3F-4980-A80F-9311565B85DD}"/>
    <cellStyle name="40% - 强调文字颜色 3 47 3" xfId="18992" xr:uid="{60D75382-6C4C-4B27-833A-153F583FF5B7}"/>
    <cellStyle name="40% - 强调文字颜色 3 48" xfId="1782" xr:uid="{5A4A44D6-C623-42F9-A2BA-4DD02FFBF431}"/>
    <cellStyle name="40% - 强调文字颜色 3 48 2" xfId="12493" xr:uid="{3D2F925B-59FE-495C-BC52-7F00B628B130}"/>
    <cellStyle name="40% - 强调文字颜色 3 48 3" xfId="18993" xr:uid="{FE898264-87E5-4E15-96FD-1B981CEB49B5}"/>
    <cellStyle name="40% - 强调文字颜色 3 49" xfId="1786" xr:uid="{DB37DD04-E587-4C35-9626-EB8E971F58BB}"/>
    <cellStyle name="40% - 强调文字颜色 3 49 2" xfId="12494" xr:uid="{41945DC6-8E37-434C-928D-F400E78861C1}"/>
    <cellStyle name="40% - 强调文字颜色 3 49 3" xfId="18994" xr:uid="{27E1B8D1-A831-4CD1-AC5D-05F7B4A0B729}"/>
    <cellStyle name="40% - 强调文字颜色 3 5" xfId="4260" xr:uid="{C55305AD-D191-451F-AF24-A7E9369A749B}"/>
    <cellStyle name="40% - 强调文字颜色 3 5 10" xfId="4269" xr:uid="{27C41B07-9FE9-475F-BED5-97498DC7EAF3}"/>
    <cellStyle name="40% - 强调文字颜色 3 5 10 2" xfId="4270" xr:uid="{CD9E84CD-3287-40FE-8A27-2397603D6FD1}"/>
    <cellStyle name="40% - 强调文字颜色 3 5 11" xfId="4271" xr:uid="{D79B2C83-88A0-433E-BF18-62BF929CB6FB}"/>
    <cellStyle name="40% - 强调文字颜色 3 5 11 2" xfId="3967" xr:uid="{CC1E87F1-071E-4330-B9ED-DC8A9A71CB90}"/>
    <cellStyle name="40% - 强调文字颜色 3 5 12" xfId="4272" xr:uid="{F278E760-FC36-48A0-982F-92EC5F7C89DA}"/>
    <cellStyle name="40% - 强调文字颜色 3 5 13" xfId="4273" xr:uid="{89997B14-32B3-418C-A7BB-99B595808CF0}"/>
    <cellStyle name="40% - 强调文字颜色 3 5 13 2" xfId="616" xr:uid="{2F8A30C4-B32A-4AF7-9B77-8DAE32876777}"/>
    <cellStyle name="40% - 强调文字颜色 3 5 14" xfId="4274" xr:uid="{35564C30-6352-4F46-9408-3365A5AF332F}"/>
    <cellStyle name="40% - 强调文字颜色 3 5 14 2" xfId="530" xr:uid="{52956B2A-6F27-498A-9E70-89B2BAF08AE7}"/>
    <cellStyle name="40% - 强调文字颜色 3 5 15" xfId="4275" xr:uid="{9968EF35-4AEB-42DE-A1F2-EC81E6530C33}"/>
    <cellStyle name="40% - 强调文字颜色 3 5 16" xfId="9917" xr:uid="{3C85CF76-8092-4D9F-BD52-13E784FB84A3}"/>
    <cellStyle name="40% - 强调文字颜色 3 5 17" xfId="13371" xr:uid="{A1F00029-4B3E-4A68-87E6-8CA309A17E33}"/>
    <cellStyle name="40% - 强调文字颜色 3 5 18" xfId="18995" xr:uid="{1480F2C1-A244-4ED6-B011-73A742F42F46}"/>
    <cellStyle name="40% - 强调文字颜色 3 5 2" xfId="4262" xr:uid="{5ABD1EBD-E3B7-426D-8EC8-48B3025930A8}"/>
    <cellStyle name="40% - 强调文字颜色 3 5 2 2" xfId="4276" xr:uid="{4DBD3CAC-AB03-45F5-978D-D93BFDFBD153}"/>
    <cellStyle name="40% - 强调文字颜色 3 5 2 2 2" xfId="18997" xr:uid="{6E41D60D-0274-4E9C-B0AF-8ACA26ED5C49}"/>
    <cellStyle name="40% - 强调文字颜色 3 5 2 3" xfId="9918" xr:uid="{EF1F3E90-10A8-453C-923F-9ACCF3EA96DE}"/>
    <cellStyle name="40% - 强调文字颜色 3 5 2 4" xfId="18996" xr:uid="{53AC2DBC-0D36-48EA-A41B-4CE4ED552064}"/>
    <cellStyle name="40% - 强调文字颜色 3 5 3" xfId="2019" xr:uid="{0A83F02E-6910-4ADE-BF9E-74DDBF809892}"/>
    <cellStyle name="40% - 强调文字颜色 3 5 3 2" xfId="4277" xr:uid="{0FC2F252-D0BC-46E4-9AA5-C879257EA10F}"/>
    <cellStyle name="40% - 强调文字颜色 3 5 3 3" xfId="9919" xr:uid="{315B0C3D-E920-4132-90A3-AE7331AADB77}"/>
    <cellStyle name="40% - 强调文字颜色 3 5 3 4" xfId="18998" xr:uid="{0F970CA4-B833-4EE2-B08E-88E3BA443851}"/>
    <cellStyle name="40% - 强调文字颜色 3 5 4" xfId="1062" xr:uid="{4E663A63-5890-44CE-BD95-671B3CD8E90E}"/>
    <cellStyle name="40% - 强调文字颜色 3 5 4 2" xfId="4278" xr:uid="{9387100E-5A1F-4F23-AFCF-727A0654FDFF}"/>
    <cellStyle name="40% - 强调文字颜色 3 5 4 3" xfId="18999" xr:uid="{589745C3-49F5-4156-9BD0-E2F24F12603B}"/>
    <cellStyle name="40% - 强调文字颜色 3 5 5" xfId="3710" xr:uid="{0B4B77FC-8CB6-4624-8C06-A4B183662E12}"/>
    <cellStyle name="40% - 强调文字颜色 3 5 5 2" xfId="3185" xr:uid="{B8A2759B-03E3-4C5D-B940-07BA21C7551A}"/>
    <cellStyle name="40% - 强调文字颜色 3 5 6" xfId="1567" xr:uid="{3A343AD0-973D-4799-9118-ACDB5521F048}"/>
    <cellStyle name="40% - 强调文字颜色 3 5 6 2" xfId="3713" xr:uid="{6885AE56-0BC9-4DEF-9648-D615B311FCA6}"/>
    <cellStyle name="40% - 强调文字颜色 3 5 7" xfId="646" xr:uid="{87062C76-06FE-4AC0-B858-1275BDEA3433}"/>
    <cellStyle name="40% - 强调文字颜色 3 5 7 2" xfId="1807" xr:uid="{91CB8835-1682-417D-BF8C-DB194090C9C7}"/>
    <cellStyle name="40% - 强调文字颜色 3 5 8" xfId="1810" xr:uid="{7916D10D-5087-4D8E-A42D-2FFBB81A9397}"/>
    <cellStyle name="40% - 强调文字颜色 3 5 8 2" xfId="1813" xr:uid="{624B6451-F466-4769-8801-F5515ACD34A5}"/>
    <cellStyle name="40% - 强调文字颜色 3 5 9" xfId="1816" xr:uid="{517650FC-4E78-43CE-B7D8-889AE8D4C830}"/>
    <cellStyle name="40% - 强调文字颜色 3 50" xfId="1731" xr:uid="{20B0B0B9-B6F4-4B09-894F-77B9D54D40AA}"/>
    <cellStyle name="40% - 强调文字颜色 3 50 2" xfId="12495" xr:uid="{231DBE72-BAE9-4B58-AAC1-B6B619EDBFA0}"/>
    <cellStyle name="40% - 强调文字颜色 3 50 3" xfId="19000" xr:uid="{47E61C4A-6C7F-4A31-96C8-C79084FBEBCA}"/>
    <cellStyle name="40% - 强调文字颜色 3 51" xfId="1773" xr:uid="{8CA9CF98-7910-421C-BF4E-979840FB46E0}"/>
    <cellStyle name="40% - 强调文字颜色 3 51 2" xfId="12496" xr:uid="{93F79ABE-3A56-4050-BF93-356FA9BE3DE8}"/>
    <cellStyle name="40% - 强调文字颜色 3 51 3" xfId="19001" xr:uid="{22E68CA5-9E3A-4425-B8FD-9652CA12044C}"/>
    <cellStyle name="40% - 强调文字颜色 3 52" xfId="1779" xr:uid="{ACE4C9AF-1932-4CBD-905A-B40CBBF1CF3E}"/>
    <cellStyle name="40% - 强调文字颜色 3 52 2" xfId="12497" xr:uid="{AE6AC5B6-5354-432E-9EBE-DFE3CF901C2C}"/>
    <cellStyle name="40% - 强调文字颜色 3 52 3" xfId="19002" xr:uid="{0C71662F-D9C5-4807-9CCD-B762565DCCC4}"/>
    <cellStyle name="40% - 强调文字颜色 3 53" xfId="1783" xr:uid="{6335FAC6-DD8D-49FC-A3A6-5C46BE5B2F7E}"/>
    <cellStyle name="40% - 强调文字颜色 3 53 2" xfId="12498" xr:uid="{71ABA5D5-4044-4020-88AA-E6E62F16A9CE}"/>
    <cellStyle name="40% - 强调文字颜色 3 53 3" xfId="19003" xr:uid="{C25E9C72-A845-4677-B819-AA9D9C4E4F66}"/>
    <cellStyle name="40% - 强调文字颜色 3 54" xfId="1787" xr:uid="{C9306A13-2AA8-4EE9-8CF7-39088E521A9E}"/>
    <cellStyle name="40% - 强调文字颜色 3 54 2" xfId="12499" xr:uid="{CA6DF627-2169-4975-9BEA-F9F9BD96E0A6}"/>
    <cellStyle name="40% - 强调文字颜色 3 54 3" xfId="19004" xr:uid="{72A62DDA-AA5A-44B8-BF7C-B3475B721841}"/>
    <cellStyle name="40% - 强调文字颜色 3 55" xfId="1790" xr:uid="{17230776-258B-4FAA-A6FF-3B36421D58DF}"/>
    <cellStyle name="40% - 强调文字颜色 3 55 2" xfId="12500" xr:uid="{6EDB914C-04F6-4A3B-AA79-820281A07191}"/>
    <cellStyle name="40% - 强调文字颜色 3 55 3" xfId="19005" xr:uid="{22AC3EA4-83D0-41E4-B732-4168A15CC641}"/>
    <cellStyle name="40% - 强调文字颜色 3 56" xfId="1834" xr:uid="{B202FD1F-B372-44E2-B6C8-5F9E5B80BB92}"/>
    <cellStyle name="40% - 强调文字颜色 3 56 2" xfId="12501" xr:uid="{7975402C-2ACB-488A-B7D2-87E5190312E3}"/>
    <cellStyle name="40% - 强调文字颜色 3 56 3" xfId="19006" xr:uid="{FC863C7D-CF00-45E4-B664-DC4969EC2D5F}"/>
    <cellStyle name="40% - 强调文字颜色 3 57" xfId="1838" xr:uid="{CE2E8A6D-E549-40B8-B164-411F6A52C9FD}"/>
    <cellStyle name="40% - 强调文字颜色 3 57 2" xfId="12502" xr:uid="{BD4A4AFE-C619-42A2-8677-C2317B53F33A}"/>
    <cellStyle name="40% - 强调文字颜色 3 58" xfId="1842" xr:uid="{80B76A58-B6A4-45CE-942C-CBB64A1A9CEC}"/>
    <cellStyle name="40% - 强调文字颜色 3 58 2" xfId="12503" xr:uid="{0D9B9AC1-AD70-4C3C-B091-943590D2981D}"/>
    <cellStyle name="40% - 强调文字颜色 3 59" xfId="1846" xr:uid="{30E4620F-ED8F-41A2-A2C8-65608792ACEE}"/>
    <cellStyle name="40% - 强调文字颜色 3 59 2" xfId="12504" xr:uid="{980EB7BE-1556-4EA7-A683-51BFEC1C396D}"/>
    <cellStyle name="40% - 强调文字颜色 3 6" xfId="4264" xr:uid="{1436B4D0-CA56-44C3-92A4-1239137E7B4F}"/>
    <cellStyle name="40% - 强调文字颜色 3 6 10" xfId="19007" xr:uid="{F9CEC553-84C2-4790-9FEE-05F1A90D6B89}"/>
    <cellStyle name="40% - 强调文字颜色 3 6 2" xfId="3428" xr:uid="{99E30827-8F6C-48BB-9411-5A2464A08735}"/>
    <cellStyle name="40% - 强调文字颜色 3 6 2 2" xfId="9921" xr:uid="{6645960B-A717-44B4-9D3B-33891CD9EDEF}"/>
    <cellStyle name="40% - 强调文字颜色 3 6 2 2 2" xfId="19009" xr:uid="{B2E16C5A-15C9-4E58-BA8D-3691501ACAAB}"/>
    <cellStyle name="40% - 强调文字颜色 3 6 2 3" xfId="19008" xr:uid="{B0B0F3FB-54C2-4C8E-8ECE-64B7A84080AF}"/>
    <cellStyle name="40% - 强调文字颜色 3 6 3" xfId="4279" xr:uid="{EBA8B9BF-B9A4-475F-B052-0BC85169E3C9}"/>
    <cellStyle name="40% - 强调文字颜色 3 6 3 2" xfId="4280" xr:uid="{31A8BF8F-B766-4F46-8914-746C7576C953}"/>
    <cellStyle name="40% - 强调文字颜色 3 6 3 3" xfId="9922" xr:uid="{C3B1F721-00A6-4928-B6AA-2D22C425D8FF}"/>
    <cellStyle name="40% - 强调文字颜色 3 6 3 4" xfId="19010" xr:uid="{27908965-83A4-47C9-A3CD-DEF89EE049BB}"/>
    <cellStyle name="40% - 强调文字颜色 3 6 4" xfId="611" xr:uid="{4BE6C895-C537-42EB-8A9E-84A44F5FA02E}"/>
    <cellStyle name="40% - 强调文字颜色 3 6 4 2" xfId="4281" xr:uid="{60428F2D-DC41-40A8-997D-A770F5E0C5BE}"/>
    <cellStyle name="40% - 强调文字颜色 3 6 4 3" xfId="19011" xr:uid="{A553A3E5-3B3A-434C-9BA3-3F65E03BB70E}"/>
    <cellStyle name="40% - 强调文字颜色 3 6 5" xfId="3023" xr:uid="{EDEC6090-B279-4B0A-94E5-645DDF6214A0}"/>
    <cellStyle name="40% - 强调文字颜色 3 6 6" xfId="1830" xr:uid="{B61D6277-F808-4660-BAF0-F36E54CBBDAC}"/>
    <cellStyle name="40% - 强调文字颜色 3 6 6 2" xfId="3717" xr:uid="{7A985F73-3462-41ED-A770-8560C8182ADE}"/>
    <cellStyle name="40% - 强调文字颜色 3 6 7" xfId="622" xr:uid="{970929BE-86FD-46DB-8C16-3F531A6501DD}"/>
    <cellStyle name="40% - 强调文字颜色 3 6 7 2" xfId="3719" xr:uid="{154E21B6-85F0-4889-87CC-0715285C7B44}"/>
    <cellStyle name="40% - 强调文字颜色 3 6 8" xfId="9920" xr:uid="{510B2D75-D007-4A2B-B51D-86C6B7830622}"/>
    <cellStyle name="40% - 强调文字颜色 3 6 9" xfId="13377" xr:uid="{71C84B87-24B6-4138-AF2F-B1BBCD1E0DDA}"/>
    <cellStyle name="40% - 强调文字颜色 3 60" xfId="1791" xr:uid="{DDF88FA2-4A78-4D5B-A712-CA28AFE3BBD6}"/>
    <cellStyle name="40% - 强调文字颜色 3 60 2" xfId="12505" xr:uid="{AA4781CB-3729-444F-A1F6-B8C422A7BA70}"/>
    <cellStyle name="40% - 强调文字颜色 3 61" xfId="1835" xr:uid="{3F286975-8A14-48FE-91F1-A6E8C9C59D9E}"/>
    <cellStyle name="40% - 强调文字颜色 3 61 2" xfId="12506" xr:uid="{3CD0F4F7-F35F-4D50-86A2-D3AEF0FEF054}"/>
    <cellStyle name="40% - 强调文字颜色 3 62" xfId="1839" xr:uid="{D149CDAC-47CE-41BE-8322-5A966DB65721}"/>
    <cellStyle name="40% - 强调文字颜色 3 62 2" xfId="12507" xr:uid="{7B826EBB-61C3-4E01-BF40-08EAEA42C95E}"/>
    <cellStyle name="40% - 强调文字颜色 3 63" xfId="1843" xr:uid="{5426B5E3-2828-4856-B9E8-1F894CA21DA5}"/>
    <cellStyle name="40% - 强调文字颜色 3 63 2" xfId="12508" xr:uid="{63B2C9B6-0CF7-41BC-91CD-C0B9CD290C44}"/>
    <cellStyle name="40% - 强调文字颜色 3 64" xfId="1847" xr:uid="{44A678AC-DFBC-4DA8-9784-23E7C6DAA97F}"/>
    <cellStyle name="40% - 强调文字颜色 3 64 2" xfId="12509" xr:uid="{1CCC0384-1720-410D-AD4E-F3114839AA4F}"/>
    <cellStyle name="40% - 强调文字颜色 3 65" xfId="1850" xr:uid="{641FC6C2-759A-4732-920F-733BEDFA2FF7}"/>
    <cellStyle name="40% - 强调文字颜色 3 65 2" xfId="12510" xr:uid="{8EF76F0E-D827-4AFF-BE9D-0F1519C655B4}"/>
    <cellStyle name="40% - 强调文字颜色 3 66" xfId="1869" xr:uid="{741E9705-6032-4865-8763-999BFDEED1BE}"/>
    <cellStyle name="40% - 强调文字颜色 3 66 2" xfId="12511" xr:uid="{FE911C85-6552-46E8-ACCA-3F29DBBE8701}"/>
    <cellStyle name="40% - 强调文字颜色 3 67" xfId="1874" xr:uid="{B3265864-2694-4E3D-89CB-6ED396E22197}"/>
    <cellStyle name="40% - 强调文字颜色 3 67 2" xfId="12512" xr:uid="{B57E4067-6E48-4482-97FB-97D50C36E1EF}"/>
    <cellStyle name="40% - 强调文字颜色 3 68" xfId="1878" xr:uid="{3FFE8347-20CD-4FCD-9F2E-C8D111A7726C}"/>
    <cellStyle name="40% - 强调文字颜色 3 68 2" xfId="12513" xr:uid="{FBE55B03-93ED-4710-B1E2-ED08E5D3917C}"/>
    <cellStyle name="40% - 强调文字颜色 3 69" xfId="1882" xr:uid="{FC9E3D61-A3F6-4D1F-B350-1E0C40F114FC}"/>
    <cellStyle name="40% - 强调文字颜色 3 69 2" xfId="12514" xr:uid="{E6F22585-50BF-4656-862E-74D3327F210F}"/>
    <cellStyle name="40% - 强调文字颜色 3 7" xfId="4282" xr:uid="{8564DA61-3A1B-4B32-AA8A-F61EA0C4002B}"/>
    <cellStyle name="40% - 强调文字颜色 3 7 2" xfId="3439" xr:uid="{DC6DCAE9-D128-493F-A888-BF7B8F99FAC9}"/>
    <cellStyle name="40% - 强调文字颜色 3 7 2 2" xfId="4283" xr:uid="{F1D98680-29EC-437C-BDC5-B8A79FDCDBEA}"/>
    <cellStyle name="40% - 强调文字颜色 3 7 2 2 2" xfId="19014" xr:uid="{0A5A6D63-D35E-4ED3-A383-EF4E4FEE7EE9}"/>
    <cellStyle name="40% - 强调文字颜色 3 7 2 3" xfId="9924" xr:uid="{B851299D-9533-490C-BF4D-34F10DFF3F4C}"/>
    <cellStyle name="40% - 强调文字颜色 3 7 2 4" xfId="19013" xr:uid="{4E2B49BE-A156-41A0-B335-D91621C8E599}"/>
    <cellStyle name="40% - 强调文字颜色 3 7 3" xfId="2026" xr:uid="{2AD45D03-B173-4E95-901F-142FB7030603}"/>
    <cellStyle name="40% - 强调文字颜色 3 7 3 2" xfId="4284" xr:uid="{2D69BB74-5623-46CB-BB31-8C271F29307E}"/>
    <cellStyle name="40% - 强调文字颜色 3 7 3 3" xfId="9925" xr:uid="{E2E8C2C3-5EEA-4FA6-B0DB-ECBC0762AB83}"/>
    <cellStyle name="40% - 强调文字颜色 3 7 3 4" xfId="19015" xr:uid="{08697577-F96E-48C7-8601-71D99B0F4588}"/>
    <cellStyle name="40% - 强调文字颜色 3 7 4" xfId="525" xr:uid="{5C7130B7-ADD8-46D6-910E-6B75D38E05CB}"/>
    <cellStyle name="40% - 强调文字颜色 3 7 4 2" xfId="19016" xr:uid="{0091A6E7-79A8-4A76-A032-2301C7B35B79}"/>
    <cellStyle name="40% - 强调文字颜色 3 7 5" xfId="3028" xr:uid="{3A323C12-1DEB-4B47-9FE2-331CE757AD5B}"/>
    <cellStyle name="40% - 强调文字颜色 3 7 5 2" xfId="3723" xr:uid="{B5B574FD-CB4D-42DB-BE01-D6C5DD3671F7}"/>
    <cellStyle name="40% - 强调文字颜色 3 7 6" xfId="3725" xr:uid="{566039D8-83B1-4468-B337-3EFC9B5D54E5}"/>
    <cellStyle name="40% - 强调文字颜色 3 7 6 2" xfId="3728" xr:uid="{69D1EAEC-A75B-422C-BAF7-168A3BC09389}"/>
    <cellStyle name="40% - 强调文字颜色 3 7 7" xfId="9923" xr:uid="{46EA5676-B7F5-46E6-B92E-1A5421EF059D}"/>
    <cellStyle name="40% - 强调文字颜色 3 7 8" xfId="13385" xr:uid="{0637CB49-2A83-46DE-88E0-C0423753528F}"/>
    <cellStyle name="40% - 强调文字颜色 3 7 9" xfId="19012" xr:uid="{1E9697E2-E985-4A5B-977D-D673F0BEE3E5}"/>
    <cellStyle name="40% - 强调文字颜色 3 70" xfId="1851" xr:uid="{ADBBC101-F1B5-4917-BDF1-CA21EFC4DC05}"/>
    <cellStyle name="40% - 强调文字颜色 3 70 2" xfId="12515" xr:uid="{14B766BF-8241-4E3A-8517-48603C68A455}"/>
    <cellStyle name="40% - 强调文字颜色 3 71" xfId="1870" xr:uid="{B10AB311-31CE-42CD-8B4E-2FB3A2960490}"/>
    <cellStyle name="40% - 强调文字颜色 3 71 2" xfId="12516" xr:uid="{C758615A-EAD3-4F14-969C-DF8A9962A9A1}"/>
    <cellStyle name="40% - 强调文字颜色 3 72" xfId="1875" xr:uid="{8DECE0B9-F73F-4BE1-88F3-4F79F6530F91}"/>
    <cellStyle name="40% - 强调文字颜色 3 72 2" xfId="12517" xr:uid="{DB7C0DD1-F336-47AC-9C5D-5203C265B392}"/>
    <cellStyle name="40% - 强调文字颜色 3 73" xfId="1879" xr:uid="{C58B8DC5-1EBB-4B40-BD6F-78B0141AE4C7}"/>
    <cellStyle name="40% - 强调文字颜色 3 73 2" xfId="12518" xr:uid="{5819FA63-A436-4219-82F6-690A731DA446}"/>
    <cellStyle name="40% - 强调文字颜色 3 74" xfId="1883" xr:uid="{EB3ADF7A-E193-46AD-9020-A00625961313}"/>
    <cellStyle name="40% - 强调文字颜色 3 74 2" xfId="12519" xr:uid="{C5EE81CE-435C-4B0B-A6EA-C019DB6DC980}"/>
    <cellStyle name="40% - 强调文字颜色 3 75" xfId="1886" xr:uid="{2B83A898-0E99-46F5-AA27-3C0CE160F508}"/>
    <cellStyle name="40% - 强调文字颜色 3 75 2" xfId="12520" xr:uid="{E985E92C-B3B2-458E-A8CE-EBCC81063ACC}"/>
    <cellStyle name="40% - 强调文字颜色 3 76" xfId="1913" xr:uid="{22794C1B-F3B9-4357-A53A-BF2F85BA5CEE}"/>
    <cellStyle name="40% - 强调文字颜色 3 76 2" xfId="12521" xr:uid="{46CFE7A1-4865-4346-8CAD-3454BEF445FD}"/>
    <cellStyle name="40% - 强调文字颜色 3 77" xfId="1917" xr:uid="{7551E992-E41B-410C-A7E1-CB92233DD037}"/>
    <cellStyle name="40% - 强调文字颜色 3 77 2" xfId="12522" xr:uid="{C1B02F09-4BE4-43C2-B93E-331A31F5AA22}"/>
    <cellStyle name="40% - 强调文字颜色 3 78" xfId="1922" xr:uid="{08D695D8-8993-4267-94E9-E8AEE3844F32}"/>
    <cellStyle name="40% - 强调文字颜色 3 78 2" xfId="12523" xr:uid="{25057DA7-C583-4577-BE09-6627BA795E1A}"/>
    <cellStyle name="40% - 强调文字颜色 3 79" xfId="1926" xr:uid="{DDF1DCE1-82F4-4086-8B2E-CFE9CFF455AD}"/>
    <cellStyle name="40% - 强调文字颜色 3 79 2" xfId="12524" xr:uid="{8C90C073-2F0E-444D-9631-58C02BC0DD88}"/>
    <cellStyle name="40% - 强调文字颜色 3 8" xfId="4285" xr:uid="{3F6BFDE5-0643-4ABA-AE65-BCF16FB5EA0F}"/>
    <cellStyle name="40% - 强调文字颜色 3 8 2" xfId="3448" xr:uid="{7A050B96-1D2F-471B-BCE1-4760EA136A95}"/>
    <cellStyle name="40% - 强调文字颜色 3 8 2 2" xfId="459" xr:uid="{51ED40CB-8F8E-47B2-9E41-35FE662ABCF8}"/>
    <cellStyle name="40% - 强调文字颜色 3 8 2 2 2" xfId="19019" xr:uid="{D79A9B0F-B4AE-4B16-A9B2-FCF7D9F81DC5}"/>
    <cellStyle name="40% - 强调文字颜色 3 8 2 3" xfId="9927" xr:uid="{0BD5A5F0-77C2-4E6C-B22F-6D3572191D47}"/>
    <cellStyle name="40% - 强调文字颜色 3 8 2 4" xfId="19018" xr:uid="{21454E68-2106-4A04-9FAD-C4C3426E7EE7}"/>
    <cellStyle name="40% - 强调文字颜色 3 8 3" xfId="2031" xr:uid="{E28A2D52-37E1-4592-81D1-FEDBE7EC6921}"/>
    <cellStyle name="40% - 强调文字颜色 3 8 3 2" xfId="9928" xr:uid="{CD6DFFB2-6720-4302-B3E7-C9E25CA5A028}"/>
    <cellStyle name="40% - 强调文字颜色 3 8 3 3" xfId="19020" xr:uid="{434859C7-B9C3-498C-B7A3-18E725144939}"/>
    <cellStyle name="40% - 强调文字颜色 3 8 4" xfId="696" xr:uid="{B10CA1F7-788C-4ABB-8F5A-DE5650A4140E}"/>
    <cellStyle name="40% - 强调文字颜色 3 8 4 2" xfId="4286" xr:uid="{EF00C674-1C09-478F-A6F0-319633D319D9}"/>
    <cellStyle name="40% - 强调文字颜色 3 8 4 3" xfId="19021" xr:uid="{A79E4FF5-4317-415C-A321-510B731A9095}"/>
    <cellStyle name="40% - 强调文字颜色 3 8 5" xfId="3731" xr:uid="{BCFA5527-9E90-4E83-A3A1-F009FB38F098}"/>
    <cellStyle name="40% - 强调文字颜色 3 8 5 2" xfId="3733" xr:uid="{ED05F379-3917-4A24-A173-CF53BE21CEFA}"/>
    <cellStyle name="40% - 强调文字颜色 3 8 6" xfId="3587" xr:uid="{6CF770C3-86A2-4C97-AB66-5270294CC08D}"/>
    <cellStyle name="40% - 强调文字颜色 3 8 7" xfId="9926" xr:uid="{FE9B8D5A-8321-48B7-A61E-9AAE8E057108}"/>
    <cellStyle name="40% - 强调文字颜色 3 8 8" xfId="13293" xr:uid="{6C7C9703-238F-4EEC-B23F-10E5717AF3AA}"/>
    <cellStyle name="40% - 强调文字颜色 3 8 9" xfId="19017" xr:uid="{4D2B5565-823C-4DD7-94D9-A56902CF142B}"/>
    <cellStyle name="40% - 强调文字颜色 3 80" xfId="1887" xr:uid="{9F29045E-84BB-4AC1-B1C7-B756E6C8CB88}"/>
    <cellStyle name="40% - 强调文字颜色 3 80 2" xfId="12525" xr:uid="{D302BAD8-402A-4B7A-9CB8-7CB39C715469}"/>
    <cellStyle name="40% - 强调文字颜色 3 81" xfId="1914" xr:uid="{13741ED1-119C-439B-A61F-3681F231EF5A}"/>
    <cellStyle name="40% - 强调文字颜色 3 81 2" xfId="12526" xr:uid="{3C32854A-044B-44E2-ACC5-52E5213E7D88}"/>
    <cellStyle name="40% - 强调文字颜色 3 82" xfId="1918" xr:uid="{E23E6467-3B26-469B-BE4A-8B0EB5902F81}"/>
    <cellStyle name="40% - 强调文字颜色 3 82 2" xfId="12527" xr:uid="{6B5C0BE4-A06B-4F46-BEBC-721BEBB9845A}"/>
    <cellStyle name="40% - 强调文字颜色 3 83" xfId="1923" xr:uid="{8906CC24-4FB8-476C-8A80-6088EC150BF5}"/>
    <cellStyle name="40% - 强调文字颜色 3 83 2" xfId="12528" xr:uid="{41CA64B9-BF1E-43AB-BE88-1400720CA8C7}"/>
    <cellStyle name="40% - 强调文字颜色 3 84" xfId="1927" xr:uid="{8E1D1A76-7BCF-4F66-8285-BE235FBD2F3C}"/>
    <cellStyle name="40% - 强调文字颜色 3 84 2" xfId="12529" xr:uid="{FB1E17F8-F162-41B2-8098-29DBD0F7814D}"/>
    <cellStyle name="40% - 强调文字颜色 3 85" xfId="1930" xr:uid="{96236876-695C-4A15-B478-C89C9F4AAAC1}"/>
    <cellStyle name="40% - 强调文字颜色 3 86" xfId="1964" xr:uid="{4BFABBDC-2114-4DDB-BB00-3164E223A1E0}"/>
    <cellStyle name="40% - 强调文字颜色 3 86 2" xfId="946" xr:uid="{94131D6D-29D5-49EF-8D66-C651601874A1}"/>
    <cellStyle name="40% - 强调文字颜色 3 87" xfId="1968" xr:uid="{FF483825-7EBA-4633-B984-685B0F379FDE}"/>
    <cellStyle name="40% - 强调文字颜色 3 87 2" xfId="799" xr:uid="{3DD40A44-6EDE-4AFF-920E-A05DD396C97E}"/>
    <cellStyle name="40% - 强调文字颜色 3 88" xfId="1970" xr:uid="{53F96AD4-BD57-41A8-AA8E-7E08BA1576D0}"/>
    <cellStyle name="40% - 强调文字颜色 3 88 2" xfId="971" xr:uid="{C81D4BBE-63D3-4DF0-B62B-08336696992F}"/>
    <cellStyle name="40% - 强调文字颜色 3 89" xfId="1972" xr:uid="{36DB3BD1-536B-440B-A62A-D957D3CCB7EF}"/>
    <cellStyle name="40% - 强调文字颜色 3 9" xfId="4287" xr:uid="{D75F07FB-CD48-4BD2-9592-BF505682B60A}"/>
    <cellStyle name="40% - 强调文字颜色 3 9 2" xfId="3457" xr:uid="{E1605531-0888-4B86-813D-1C4A7881A43C}"/>
    <cellStyle name="40% - 强调文字颜色 3 9 2 2" xfId="4289" xr:uid="{0145CAC5-0FE1-48D0-911D-282A48B7CA42}"/>
    <cellStyle name="40% - 强调文字颜色 3 9 2 2 2" xfId="19024" xr:uid="{1F465817-3B15-4D12-B0EC-57965D44C953}"/>
    <cellStyle name="40% - 强调文字颜色 3 9 2 3" xfId="9930" xr:uid="{FD7646CB-D230-456C-A437-BE378DE7171D}"/>
    <cellStyle name="40% - 强调文字颜色 3 9 2 4" xfId="19023" xr:uid="{29AF0E7A-9C1F-4DC0-89AF-8C942D42A5DC}"/>
    <cellStyle name="40% - 强调文字颜色 3 9 3" xfId="4290" xr:uid="{CF3882E2-CDB2-4F16-A987-44E59DE81A73}"/>
    <cellStyle name="40% - 强调文字颜色 3 9 3 2" xfId="9931" xr:uid="{E952B887-0ED8-4364-88A6-CB1E5530D269}"/>
    <cellStyle name="40% - 强调文字颜色 3 9 3 3" xfId="19025" xr:uid="{DEF61709-E2CC-45C7-8372-16B4CDF06128}"/>
    <cellStyle name="40% - 强调文字颜色 3 9 4" xfId="3408" xr:uid="{619550A6-B9AD-42C9-A8E4-8D12AC962030}"/>
    <cellStyle name="40% - 强调文字颜色 3 9 4 2" xfId="4291" xr:uid="{5BEB4D10-0B27-4B15-A85D-EDC29F4E54F5}"/>
    <cellStyle name="40% - 强调文字颜色 3 9 4 3" xfId="19026" xr:uid="{4D5C7B74-47A8-443C-B32F-1F34661E59D2}"/>
    <cellStyle name="40% - 强调文字颜色 3 9 5" xfId="3741" xr:uid="{93F0F7F8-A253-4843-A86C-66C8E90E412F}"/>
    <cellStyle name="40% - 强调文字颜色 3 9 5 2" xfId="3743" xr:uid="{BD3CBC09-9783-42F2-86E0-E3F784B91137}"/>
    <cellStyle name="40% - 强调文字颜色 3 9 6" xfId="3745" xr:uid="{7244936C-DA6A-4D79-85E4-025A232E097F}"/>
    <cellStyle name="40% - 强调文字颜色 3 9 7" xfId="9929" xr:uid="{914E8857-39A3-466E-87D3-B05457688A6E}"/>
    <cellStyle name="40% - 强调文字颜色 3 9 8" xfId="13283" xr:uid="{288E8447-BB2E-441D-A1CA-34CAA74499E0}"/>
    <cellStyle name="40% - 强调文字颜色 3 9 9" xfId="19022" xr:uid="{1DDC3C3D-259C-4BAB-9376-6008880D815D}"/>
    <cellStyle name="40% - 强调文字颜色 3 90" xfId="1931" xr:uid="{89902835-947A-4791-B722-B8C8493C53F9}"/>
    <cellStyle name="40% - 强调文字颜色 3 91" xfId="1965" xr:uid="{2210BA2C-A3B4-495E-897C-753F8F49E9AE}"/>
    <cellStyle name="40% - 强调文字颜色 3 92" xfId="9346" xr:uid="{F4DDBCDF-F80B-4C70-A239-81E00463DEEA}"/>
    <cellStyle name="40% - 强调文字颜色 3 92 2" xfId="27151" xr:uid="{5330E0FB-BAF1-4DD7-8370-53E00463DEEA}"/>
    <cellStyle name="40% - 强调文字颜色 3 93" xfId="9878" xr:uid="{2E56DBD4-3F1C-4C02-83F2-37DFB2F5E2B4}"/>
    <cellStyle name="40% - 强调文字颜色 3 94" xfId="13609" xr:uid="{ED560B15-1146-4B4E-ADAB-73DFFF262822}"/>
    <cellStyle name="40% - 强调文字颜色 3 95" xfId="13441" xr:uid="{1FACABA5-F75E-4831-AF14-559A4E4F05AF}"/>
    <cellStyle name="40% - 强调文字颜色 4" xfId="4292" xr:uid="{6A0D7241-ED01-4368-8846-7C2FD7627BCF}"/>
    <cellStyle name="40% - 强调文字颜色 4 10" xfId="264" xr:uid="{2D78BA87-B923-41EC-9974-84EF1A67E59C}"/>
    <cellStyle name="40% - 强调文字颜色 4 10 2" xfId="1080" xr:uid="{6BB07B44-781A-4102-97E9-37330A1CFAE5}"/>
    <cellStyle name="40% - 强调文字颜色 4 10 2 2" xfId="3983" xr:uid="{4279627D-E04E-4662-A120-1F110C775ABC}"/>
    <cellStyle name="40% - 强调文字颜色 4 10 2 2 2" xfId="19029" xr:uid="{CFC90799-491A-4638-BF34-9DB0D787E2CF}"/>
    <cellStyle name="40% - 强调文字颜色 4 10 2 3" xfId="9934" xr:uid="{5ED5E3FB-C10C-4440-91CD-E5070414611D}"/>
    <cellStyle name="40% - 强调文字颜色 4 10 2 4" xfId="19028" xr:uid="{1DD7C0A9-8874-43C6-8D0A-948436451E48}"/>
    <cellStyle name="40% - 强调文字颜色 4 10 3" xfId="4293" xr:uid="{DB597148-25CF-4EE6-A169-6B525A8AC834}"/>
    <cellStyle name="40% - 强调文字颜色 4 10 3 2" xfId="9935" xr:uid="{0FEF0BC7-214C-4855-A674-62108883DF2E}"/>
    <cellStyle name="40% - 强调文字颜色 4 10 3 3" xfId="19030" xr:uid="{AA51DF74-3EE4-4390-A8CA-A0E5D0C35819}"/>
    <cellStyle name="40% - 强调文字颜色 4 10 4" xfId="4294" xr:uid="{75495280-F45A-49F7-8E08-644CDE02E31C}"/>
    <cellStyle name="40% - 强调文字颜色 4 10 4 2" xfId="4015" xr:uid="{FA4911E4-4C59-4129-8768-E2A877B89C5D}"/>
    <cellStyle name="40% - 强调文字颜色 4 10 4 3" xfId="19031" xr:uid="{70774B46-C115-4DA6-9754-7BE44EAEDC91}"/>
    <cellStyle name="40% - 强调文字颜色 4 10 5" xfId="4295" xr:uid="{DEAE2093-4776-4AAB-B299-44B135B02452}"/>
    <cellStyle name="40% - 强调文字颜色 4 10 5 2" xfId="4032" xr:uid="{38AE6927-19DF-4885-9526-27701968DE69}"/>
    <cellStyle name="40% - 强调文字颜色 4 10 6" xfId="4296" xr:uid="{BD1370AD-6125-445F-B735-BE13BB81CE88}"/>
    <cellStyle name="40% - 强调文字颜色 4 10 7" xfId="9933" xr:uid="{6422964F-771D-4957-AE0A-17DCCADBBBDA}"/>
    <cellStyle name="40% - 强调文字颜色 4 10 8" xfId="13272" xr:uid="{2B7C342E-CA88-4D2C-8D9C-90FAC09B23E0}"/>
    <cellStyle name="40% - 强调文字颜色 4 10 9" xfId="19027" xr:uid="{27E7B185-4C68-4A72-99FD-EBC8947062EC}"/>
    <cellStyle name="40% - 强调文字颜色 4 11" xfId="61" xr:uid="{FE830901-3095-462D-86B9-A4A37C6A587A}"/>
    <cellStyle name="40% - 强调文字颜色 4 11 2" xfId="1085" xr:uid="{2F6DAEE1-541E-455A-A449-DDF9AD70AF17}"/>
    <cellStyle name="40% - 强调文字颜色 4 11 2 2" xfId="1990" xr:uid="{ABF6D332-D88C-43B1-9022-B7AD71BD786E}"/>
    <cellStyle name="40% - 强调文字颜色 4 11 2 2 2" xfId="19034" xr:uid="{1F52C32C-13ED-4C56-92A6-D2D6679F9252}"/>
    <cellStyle name="40% - 强调文字颜色 4 11 2 3" xfId="9937" xr:uid="{5F2F75D1-A6D1-45D9-AB6F-0FE4F7DEF678}"/>
    <cellStyle name="40% - 强调文字颜色 4 11 2 4" xfId="19033" xr:uid="{4A1D4470-1E40-4784-9143-E13605AD2E5B}"/>
    <cellStyle name="40% - 强调文字颜色 4 11 3" xfId="1994" xr:uid="{AAD57C14-6342-43C4-9A7F-80C02F90D7E9}"/>
    <cellStyle name="40% - 强调文字颜色 4 11 3 2" xfId="9938" xr:uid="{B4F62E60-E9E0-4099-A71E-8981E5865226}"/>
    <cellStyle name="40% - 强调文字颜色 4 11 3 3" xfId="19035" xr:uid="{D494A9B6-E63D-4C0D-8585-18652F6FDA48}"/>
    <cellStyle name="40% - 强调文字颜色 4 11 4" xfId="1998" xr:uid="{3815A4A0-8799-4C5B-9480-0C7CE140A447}"/>
    <cellStyle name="40% - 强调文字颜色 4 11 4 2" xfId="2001" xr:uid="{C3CEA060-6A8A-4C40-831F-48001EE1B40B}"/>
    <cellStyle name="40% - 强调文字颜色 4 11 4 3" xfId="19036" xr:uid="{D232ACA7-DD27-4AB2-ABE6-F51F1CCE35FE}"/>
    <cellStyle name="40% - 强调文字颜色 4 11 5" xfId="2005" xr:uid="{20A1FFC7-F876-4B43-A61E-B1509A7CCE4D}"/>
    <cellStyle name="40% - 强调文字颜色 4 11 5 2" xfId="2011" xr:uid="{66B62B0F-B132-46FB-8B08-B37434C88D52}"/>
    <cellStyle name="40% - 强调文字颜色 4 11 6" xfId="2017" xr:uid="{1233A84C-9FBC-42CF-83F4-0A034F6DA760}"/>
    <cellStyle name="40% - 强调文字颜色 4 11 7" xfId="9936" xr:uid="{B4642359-7BF9-4FDA-BCCA-8362686D7EC2}"/>
    <cellStyle name="40% - 强调文字颜色 4 11 8" xfId="13259" xr:uid="{78B57344-B6B6-43CD-9083-D20BBC23154B}"/>
    <cellStyle name="40% - 强调文字颜色 4 11 9" xfId="19032" xr:uid="{BBA14D20-6FF0-47CB-BE82-1CE2835490E7}"/>
    <cellStyle name="40% - 强调文字颜色 4 12" xfId="1088" xr:uid="{A8C492AB-DC23-4D31-B2F7-8ECB4B0F1E0A}"/>
    <cellStyle name="40% - 强调文字颜色 4 12 2" xfId="1091" xr:uid="{E0E94A35-C39F-4A8F-B0C9-652175731EED}"/>
    <cellStyle name="40% - 强调文字颜色 4 12 2 2" xfId="2020" xr:uid="{6B3B6D57-336D-4A36-A4C1-3494A65ED2F5}"/>
    <cellStyle name="40% - 强调文字颜色 4 12 2 2 2" xfId="19039" xr:uid="{398D6FEF-B8EF-4346-BAD9-0232F85BCDCE}"/>
    <cellStyle name="40% - 强调文字颜色 4 12 2 3" xfId="9940" xr:uid="{91FC30D1-A40E-4412-86C5-FC1C252A1A9A}"/>
    <cellStyle name="40% - 强调文字颜色 4 12 2 4" xfId="19038" xr:uid="{81E1A5B9-FC7C-45B6-9493-40A23A05C8B6}"/>
    <cellStyle name="40% - 强调文字颜色 4 12 3" xfId="2022" xr:uid="{1B19E33F-D08B-4EC3-9F77-53817CFCB645}"/>
    <cellStyle name="40% - 强调文字颜色 4 12 3 2" xfId="9941" xr:uid="{DEB46FD3-4832-4393-B0B2-4B2B8DD5738B}"/>
    <cellStyle name="40% - 强调文字颜色 4 12 3 3" xfId="19040" xr:uid="{F65138A4-1750-47E9-A57E-3F19F137AEB5}"/>
    <cellStyle name="40% - 强调文字颜色 4 12 4" xfId="2024" xr:uid="{36740F29-8FEE-4B63-BB71-7C906110139D}"/>
    <cellStyle name="40% - 强调文字颜色 4 12 4 2" xfId="2027" xr:uid="{7342AE5C-3102-4B56-A686-B83BC446F753}"/>
    <cellStyle name="40% - 强调文字颜色 4 12 4 3" xfId="19041" xr:uid="{EBB36283-5ECD-409D-9278-A750F4A4B4B2}"/>
    <cellStyle name="40% - 强调文字颜色 4 12 5" xfId="2029" xr:uid="{CF7EFE1F-7F6C-4C4B-AC8F-C82EAF6E807D}"/>
    <cellStyle name="40% - 强调文字颜色 4 12 5 2" xfId="2032" xr:uid="{BE77830A-23B1-4A89-8460-527430618F6A}"/>
    <cellStyle name="40% - 强调文字颜色 4 12 6" xfId="2034" xr:uid="{2031AC58-4006-48B4-9353-41F2B3081C55}"/>
    <cellStyle name="40% - 强调文字颜色 4 12 7" xfId="9939" xr:uid="{118BB024-EB40-4396-8B07-BE815AF80D8B}"/>
    <cellStyle name="40% - 强调文字颜色 4 12 8" xfId="13246" xr:uid="{8A08E236-5A3E-4656-A4F7-89CA5298FB0E}"/>
    <cellStyle name="40% - 强调文字颜色 4 12 9" xfId="19037" xr:uid="{B1008439-BF72-40B5-AE4C-22CA70D4DEAB}"/>
    <cellStyle name="40% - 强调文字颜色 4 13" xfId="1095" xr:uid="{81A5F63E-9ED9-41B7-AB86-E0D735897800}"/>
    <cellStyle name="40% - 强调文字颜色 4 13 2" xfId="1098" xr:uid="{76193E08-377B-43EE-B5F9-6E191B97DFD0}"/>
    <cellStyle name="40% - 强调文字颜色 4 13 2 2" xfId="2037" xr:uid="{5BC02DAF-C02F-4F49-8CB0-9EB1FD147971}"/>
    <cellStyle name="40% - 强调文字颜色 4 13 2 2 2" xfId="19044" xr:uid="{FC8460C6-38CD-4A4E-B5DC-5569DDDE75E6}"/>
    <cellStyle name="40% - 强调文字颜色 4 13 2 3" xfId="9943" xr:uid="{7D334BE6-A408-49E2-AF84-C8810C6327DB}"/>
    <cellStyle name="40% - 强调文字颜色 4 13 2 4" xfId="19043" xr:uid="{B68E0F8E-AD40-4870-9E7B-A51C2652C880}"/>
    <cellStyle name="40% - 强调文字颜色 4 13 3" xfId="2040" xr:uid="{B5243250-AB8E-450A-BD44-E51AA5BF827D}"/>
    <cellStyle name="40% - 强调文字颜色 4 13 3 2" xfId="9944" xr:uid="{B54FD056-6B0A-4EC6-852D-0934D9136203}"/>
    <cellStyle name="40% - 强调文字颜色 4 13 3 3" xfId="19045" xr:uid="{2EBF72E0-A33E-430E-ABEE-A4DA22CDD866}"/>
    <cellStyle name="40% - 强调文字颜色 4 13 4" xfId="2042" xr:uid="{0A25644D-8D37-492F-8F76-0E41669FD43D}"/>
    <cellStyle name="40% - 强调文字颜色 4 13 4 2" xfId="2044" xr:uid="{84F2FE1C-4B79-4436-89B3-4747DEA66035}"/>
    <cellStyle name="40% - 强调文字颜色 4 13 4 3" xfId="19046" xr:uid="{6158F5FC-B802-4B89-B827-0B7A34B4AEEC}"/>
    <cellStyle name="40% - 强调文字颜色 4 13 5" xfId="2047" xr:uid="{8136301F-EA7C-4BE1-A10D-718B2B973D8F}"/>
    <cellStyle name="40% - 强调文字颜色 4 13 5 2" xfId="2049" xr:uid="{585C68CB-4BBB-4005-BC92-D02EB5FAB47F}"/>
    <cellStyle name="40% - 强调文字颜色 4 13 6" xfId="2054" xr:uid="{2F58B17B-2DA9-4A7A-8FC4-AA9795BE2EE2}"/>
    <cellStyle name="40% - 强调文字颜色 4 13 7" xfId="9942" xr:uid="{8A2EB1F9-D27F-42CC-BB91-5EF27D033103}"/>
    <cellStyle name="40% - 强调文字颜色 4 13 8" xfId="13233" xr:uid="{16177F67-9AA3-4865-A945-410FC7335E19}"/>
    <cellStyle name="40% - 强调文字颜色 4 13 9" xfId="19042" xr:uid="{2BEED725-314A-4D27-BB79-05E89A8C10B0}"/>
    <cellStyle name="40% - 强调文字颜色 4 14" xfId="1101" xr:uid="{C8BC701C-3378-4D1C-B584-036FF77E99FC}"/>
    <cellStyle name="40% - 强调文字颜色 4 14 2" xfId="1104" xr:uid="{6C8E28FF-A41D-4D60-BDEC-8934EB9D5386}"/>
    <cellStyle name="40% - 强调文字颜色 4 14 2 2" xfId="2057" xr:uid="{5AECBB2A-8EB7-4022-9BE7-27F79B849B6D}"/>
    <cellStyle name="40% - 强调文字颜色 4 14 2 2 2" xfId="19049" xr:uid="{3A556BBC-3AFC-4973-A9B4-CAE3AE630D93}"/>
    <cellStyle name="40% - 强调文字颜色 4 14 2 3" xfId="9946" xr:uid="{CF83522E-7B4F-4006-A799-2DDECA567055}"/>
    <cellStyle name="40% - 强调文字颜色 4 14 2 4" xfId="19048" xr:uid="{A7B890AF-687F-4F72-AF65-CC4A06FE8E33}"/>
    <cellStyle name="40% - 强调文字颜色 4 14 3" xfId="2060" xr:uid="{A6DF6BE4-AD95-4C8D-801A-35C40B67AFEA}"/>
    <cellStyle name="40% - 强调文字颜色 4 14 3 2" xfId="9947" xr:uid="{1380CF0E-BD9F-4BE9-A888-4D44C8427BB7}"/>
    <cellStyle name="40% - 强调文字颜色 4 14 3 3" xfId="19050" xr:uid="{303E8B55-036F-4DDA-9A17-D1F03227701D}"/>
    <cellStyle name="40% - 强调文字颜色 4 14 4" xfId="2062" xr:uid="{24B86A84-715D-4656-AE8D-FD0F971D28AE}"/>
    <cellStyle name="40% - 强调文字颜色 4 14 4 2" xfId="2064" xr:uid="{195B0413-1029-4423-9D6C-E3EFC293D82F}"/>
    <cellStyle name="40% - 强调文字颜色 4 14 4 3" xfId="19051" xr:uid="{C6EF0511-CFE9-4B06-B53F-E9E3BD431255}"/>
    <cellStyle name="40% - 强调文字颜色 4 14 5" xfId="2067" xr:uid="{E7CC126C-0296-43DD-A62F-6FC65D5D8E6C}"/>
    <cellStyle name="40% - 强调文字颜色 4 14 5 2" xfId="2071" xr:uid="{6C9C86E1-DE86-4B87-AD8B-A6560A513029}"/>
    <cellStyle name="40% - 强调文字颜色 4 14 6" xfId="2077" xr:uid="{557AF720-9C9B-418B-B840-C0A9D125E124}"/>
    <cellStyle name="40% - 强调文字颜色 4 14 7" xfId="9945" xr:uid="{5F5AA802-24B0-42A6-BAA4-9CD08C5B7B25}"/>
    <cellStyle name="40% - 强调文字颜色 4 14 8" xfId="13220" xr:uid="{194DB462-4230-469F-ADE3-4B85EAA6CBA5}"/>
    <cellStyle name="40% - 强调文字颜色 4 14 9" xfId="19047" xr:uid="{357BFD95-D637-4DAD-9C08-F4F958AA3DE8}"/>
    <cellStyle name="40% - 强调文字颜色 4 15" xfId="1107" xr:uid="{8FFE8451-1012-4134-BBE2-D6899979472C}"/>
    <cellStyle name="40% - 强调文字颜色 4 15 2" xfId="1115" xr:uid="{6C9E40B1-66BC-4561-B1E1-93E27D4B9087}"/>
    <cellStyle name="40% - 强调文字颜色 4 15 2 2" xfId="9949" xr:uid="{F6346710-3CA0-4743-92D1-5EAB1CC8E34A}"/>
    <cellStyle name="40% - 强调文字颜色 4 15 2 2 2" xfId="19054" xr:uid="{D7A51C9B-E813-4A42-989F-41A366CCA26A}"/>
    <cellStyle name="40% - 强调文字颜色 4 15 2 3" xfId="19053" xr:uid="{BDCE8F8E-07B1-4D90-BA74-8D124055F6E2}"/>
    <cellStyle name="40% - 强调文字颜色 4 15 3" xfId="2088" xr:uid="{D49FD12C-3EFF-4DE0-B01F-A18F8AD57C60}"/>
    <cellStyle name="40% - 强调文字颜色 4 15 3 2" xfId="2777" xr:uid="{D799B24A-D1CB-4B69-B243-F37F449F5ECB}"/>
    <cellStyle name="40% - 强调文字颜色 4 15 3 3" xfId="9950" xr:uid="{149472F1-9CB7-46F0-BA5F-12E1F81153C6}"/>
    <cellStyle name="40% - 强调文字颜色 4 15 3 4" xfId="19055" xr:uid="{47CEB8BF-A767-4EE4-8B8F-2E127B514948}"/>
    <cellStyle name="40% - 强调文字颜色 4 15 4" xfId="2094" xr:uid="{BEC3A119-D2D4-4717-9D58-D17723210577}"/>
    <cellStyle name="40% - 强调文字颜色 4 15 4 2" xfId="2098" xr:uid="{14CFD202-7B34-4D37-A35D-DFF0B77E8D49}"/>
    <cellStyle name="40% - 强调文字颜色 4 15 4 3" xfId="19056" xr:uid="{822160CA-E8EF-4D7D-8C56-0FBBBFA6190B}"/>
    <cellStyle name="40% - 强调文字颜色 4 15 5" xfId="2104" xr:uid="{DD8EB882-DA6F-4104-9D4C-96A5F97B2A63}"/>
    <cellStyle name="40% - 强调文字颜色 4 15 6" xfId="9948" xr:uid="{CF0542BB-629A-4404-B801-7E8DA8B77365}"/>
    <cellStyle name="40% - 强调文字颜色 4 15 7" xfId="13207" xr:uid="{D2458B57-7E3B-4FBD-94AE-8392B471E52B}"/>
    <cellStyle name="40% - 强调文字颜色 4 15 8" xfId="19052" xr:uid="{772358D1-8EDF-4981-867F-E4FC80C62E43}"/>
    <cellStyle name="40% - 强调文字颜色 4 16" xfId="2115" xr:uid="{28ABD482-FD88-4AF4-AC30-44EDB4937EBD}"/>
    <cellStyle name="40% - 强调文字颜色 4 16 2" xfId="109" xr:uid="{95C77AF3-E1E3-47AD-AB14-1C2F5A2E2899}"/>
    <cellStyle name="40% - 强调文字颜色 4 16 2 2" xfId="9952" xr:uid="{6FDE9190-E7CD-493F-9D74-00D3D7DCE733}"/>
    <cellStyle name="40% - 强调文字颜色 4 16 2 2 2" xfId="19059" xr:uid="{F7FDBA51-9D4C-4DF8-A3A1-CF1B1E8CAC76}"/>
    <cellStyle name="40% - 强调文字颜色 4 16 2 3" xfId="19058" xr:uid="{D66F1435-4F76-4447-A4B3-12C7D8C37DDF}"/>
    <cellStyle name="40% - 强调文字颜色 4 16 3" xfId="139" xr:uid="{8CB40ABD-0C17-43FA-9692-934E7B05D02B}"/>
    <cellStyle name="40% - 强调文字颜色 4 16 3 2" xfId="2119" xr:uid="{62FF71B1-CD0F-4D18-BB74-3B4114BDF40A}"/>
    <cellStyle name="40% - 强调文字颜色 4 16 3 3" xfId="9953" xr:uid="{555814D3-03B9-414C-B3FA-ED3C1B9DC731}"/>
    <cellStyle name="40% - 强调文字颜色 4 16 3 4" xfId="19060" xr:uid="{1DFA622F-7F6F-432E-91CD-5521CB0F85C0}"/>
    <cellStyle name="40% - 强调文字颜色 4 16 4" xfId="147" xr:uid="{4BD40249-668E-4792-AFDC-8C5CA647D77B}"/>
    <cellStyle name="40% - 强调文字颜色 4 16 4 2" xfId="2122" xr:uid="{9CC9751A-00CC-4312-B167-33B007AD4118}"/>
    <cellStyle name="40% - 强调文字颜色 4 16 4 3" xfId="19061" xr:uid="{9F724062-36F5-41C0-A211-0B3C7BE650E1}"/>
    <cellStyle name="40% - 强调文字颜色 4 16 5" xfId="158" xr:uid="{6B421BCD-DD66-4FE3-B36C-D13005E352A5}"/>
    <cellStyle name="40% - 强调文字颜色 4 16 6" xfId="9951" xr:uid="{5BCCEDD8-9C4B-4563-A729-E7403B5D98A2}"/>
    <cellStyle name="40% - 强调文字颜色 4 16 7" xfId="13188" xr:uid="{3C7256C9-35CA-4EEA-8B20-822B6FC925FE}"/>
    <cellStyle name="40% - 强调文字颜色 4 16 8" xfId="19057" xr:uid="{79DF6509-78DB-4069-BB2C-484C066620E6}"/>
    <cellStyle name="40% - 强调文字颜色 4 17" xfId="2125" xr:uid="{0D4DE80C-686B-4916-A0FA-62D26862BB69}"/>
    <cellStyle name="40% - 强调文字颜色 4 17 2" xfId="2129" xr:uid="{6415D304-2DA5-48BD-AA35-B4C4D80B42C5}"/>
    <cellStyle name="40% - 强调文字颜色 4 17 2 2" xfId="537" xr:uid="{9E933991-2C83-498D-9F1E-FC0EA63F0796}"/>
    <cellStyle name="40% - 强调文字颜色 4 17 2 2 2" xfId="19064" xr:uid="{45845FA7-44A2-4298-A8FC-E243C20AAB1A}"/>
    <cellStyle name="40% - 强调文字颜色 4 17 2 3" xfId="9955" xr:uid="{90863D2E-2962-4BC0-AAC1-8F9580C3C0E3}"/>
    <cellStyle name="40% - 强调文字颜色 4 17 2 4" xfId="19063" xr:uid="{C47BE4F3-C2AE-4292-ACCA-3654CC211D93}"/>
    <cellStyle name="40% - 强调文字颜色 4 17 3" xfId="2132" xr:uid="{698DC5BC-B41B-4C7D-BB23-ACE93552C958}"/>
    <cellStyle name="40% - 强调文字颜色 4 17 3 2" xfId="715" xr:uid="{E8753AD6-882C-44A1-BB95-0A06C039D79E}"/>
    <cellStyle name="40% - 强调文字颜色 4 17 3 3" xfId="9956" xr:uid="{7AC9128D-1B24-4F41-BA9A-B1E9DF620E27}"/>
    <cellStyle name="40% - 强调文字颜色 4 17 3 4" xfId="19065" xr:uid="{15E97175-4AF4-4266-8401-866E64BA201F}"/>
    <cellStyle name="40% - 强调文字颜色 4 17 4" xfId="9954" xr:uid="{9948FFA6-950D-4E61-A87E-DDEB514B21CB}"/>
    <cellStyle name="40% - 强调文字颜色 4 17 4 2" xfId="19066" xr:uid="{58FB6995-B780-42AA-9139-A7C3D083A34D}"/>
    <cellStyle name="40% - 强调文字颜色 4 17 5" xfId="13179" xr:uid="{3F6FC8AE-B384-410C-805B-A657A501B313}"/>
    <cellStyle name="40% - 强调文字颜色 4 17 6" xfId="19062" xr:uid="{C27FEDA7-8091-4150-A18F-7C0C45375643}"/>
    <cellStyle name="40% - 强调文字颜色 4 18" xfId="2138" xr:uid="{F8C4824C-FD44-48B3-B43B-6593A1FBEE2B}"/>
    <cellStyle name="40% - 强调文字颜色 4 18 2" xfId="2142" xr:uid="{6EA0620C-E79F-4B5B-A2CD-4CC301D445AB}"/>
    <cellStyle name="40% - 强调文字颜色 4 18 2 2" xfId="2146" xr:uid="{0EC91232-3A3C-480C-95B8-6EF07A64E719}"/>
    <cellStyle name="40% - 强调文字颜色 4 18 2 2 2" xfId="19069" xr:uid="{2EA7A78F-0191-4111-B415-EEFDB6F08B2F}"/>
    <cellStyle name="40% - 强调文字颜色 4 18 2 3" xfId="19068" xr:uid="{DB660564-6422-4193-9D81-F6A7D27A1CBF}"/>
    <cellStyle name="40% - 强调文字颜色 4 18 3" xfId="2149" xr:uid="{2AE8EF70-258E-4CBA-9774-CEA22852CF02}"/>
    <cellStyle name="40% - 强调文字颜色 4 18 3 2" xfId="2152" xr:uid="{F83BB861-861E-4B0A-A66F-25C4288B68B2}"/>
    <cellStyle name="40% - 强调文字颜色 4 18 3 3" xfId="19070" xr:uid="{35733E02-4C3A-4742-A323-A5A52BDEF735}"/>
    <cellStyle name="40% - 强调文字颜色 4 18 4" xfId="9957" xr:uid="{BF4677B7-14E0-4922-AC97-AE6320794290}"/>
    <cellStyle name="40% - 强调文字颜色 4 18 4 2" xfId="19071" xr:uid="{3AB28AEE-93AC-405E-8574-76E964CD86EF}"/>
    <cellStyle name="40% - 强调文字颜色 4 18 5" xfId="13166" xr:uid="{265231CE-C3B9-42CB-9C85-69F6A71866E2}"/>
    <cellStyle name="40% - 强调文字颜色 4 18 6" xfId="19067" xr:uid="{0C55FB9E-1F4C-4CE6-8454-32FA4BEC9A10}"/>
    <cellStyle name="40% - 强调文字颜色 4 19" xfId="2155" xr:uid="{3104443C-EC25-40B2-9CCC-7A03799108BF}"/>
    <cellStyle name="40% - 强调文字颜色 4 19 2" xfId="2159" xr:uid="{CED6E400-109C-4E49-A4E7-6A20DFD5506B}"/>
    <cellStyle name="40% - 强调文字颜色 4 19 2 2" xfId="2163" xr:uid="{70270292-4651-485C-976D-D0E540F9CBC1}"/>
    <cellStyle name="40% - 强调文字颜色 4 19 2 2 2" xfId="19074" xr:uid="{C4399855-0569-489F-A7AB-0837F3982488}"/>
    <cellStyle name="40% - 强调文字颜色 4 19 2 3" xfId="19073" xr:uid="{136DEA86-DEBF-4DF7-A39B-9287786D4B43}"/>
    <cellStyle name="40% - 强调文字颜色 4 19 3" xfId="9958" xr:uid="{44D9CFAE-3C9D-4968-AA40-1069726B5899}"/>
    <cellStyle name="40% - 强调文字颜色 4 19 3 2" xfId="19075" xr:uid="{E3EBE1D3-3AB4-42E5-88D7-D11C70B58DD6}"/>
    <cellStyle name="40% - 强调文字颜色 4 19 4" xfId="13149" xr:uid="{3D68AE00-7500-4A5F-9542-9726DB153634}"/>
    <cellStyle name="40% - 强调文字颜色 4 19 4 2" xfId="19076" xr:uid="{250F8774-38AB-44A5-9A79-3D04F8F7B351}"/>
    <cellStyle name="40% - 强调文字颜色 4 19 5" xfId="19072" xr:uid="{794B088F-8309-4A3A-A810-5793B952CABE}"/>
    <cellStyle name="40% - 强调文字颜色 4 2" xfId="1735" xr:uid="{DED5916A-3415-4DAF-B7DB-83EF7313CE2C}"/>
    <cellStyle name="40% - 强调文字颜色 4 2 10" xfId="4297" xr:uid="{A8D571DA-9719-43CF-BF0E-ED471D62CCCA}"/>
    <cellStyle name="40% - 强调文字颜色 4 2 10 2" xfId="4298" xr:uid="{B2840320-EF6A-45A4-AB14-56F4D8574566}"/>
    <cellStyle name="40% - 强调文字颜色 4 2 11" xfId="4124" xr:uid="{9989EA5A-7F81-4611-A919-315D8E857848}"/>
    <cellStyle name="40% - 强调文字颜色 4 2 11 2" xfId="4299" xr:uid="{BE8B969E-B8AD-4603-9276-ABA6C6509AD4}"/>
    <cellStyle name="40% - 强调文字颜色 4 2 12" xfId="4300" xr:uid="{378ED9E5-F90C-4571-B2E9-1062BCCE4C5C}"/>
    <cellStyle name="40% - 强调文字颜色 4 2 12 2" xfId="4301" xr:uid="{D0AD4A09-35B5-478E-B57C-BE3A4F382074}"/>
    <cellStyle name="40% - 强调文字颜色 4 2 13" xfId="4304" xr:uid="{22013047-C7BA-45FE-8D70-E2124E59F565}"/>
    <cellStyle name="40% - 强调文字颜色 4 2 13 2" xfId="4305" xr:uid="{E0F8811F-EC0B-4216-AD8A-A326428C0C48}"/>
    <cellStyle name="40% - 强调文字颜色 4 2 14" xfId="4308" xr:uid="{4348662E-D335-4850-835C-A507F600CEE4}"/>
    <cellStyle name="40% - 强调文字颜色 4 2 14 2" xfId="4309" xr:uid="{7516F12B-40F3-4CF4-A932-A6D042D2F762}"/>
    <cellStyle name="40% - 强调文字颜色 4 2 15" xfId="4311" xr:uid="{576387C3-4B58-43C7-9DEF-782275A96995}"/>
    <cellStyle name="40% - 强调文字颜色 4 2 15 2" xfId="4313" xr:uid="{E0D27FE9-DD11-4456-AFED-9D65CC2B82C0}"/>
    <cellStyle name="40% - 强调文字颜色 4 2 16" xfId="4315" xr:uid="{C2200BC8-D02A-4713-9029-CC7E11297A14}"/>
    <cellStyle name="40% - 强调文字颜色 4 2 17" xfId="4157" xr:uid="{C9BA06FB-2F0C-4243-B425-674DB558C296}"/>
    <cellStyle name="40% - 强调文字颜色 4 2 17 2" xfId="4316" xr:uid="{ED86E4C0-5FFE-41C2-B9D6-F0E25834C3AD}"/>
    <cellStyle name="40% - 强调文字颜色 4 2 18" xfId="1687" xr:uid="{C174F6F7-E1A3-4AF4-9543-B5116083EACF}"/>
    <cellStyle name="40% - 强调文字颜色 4 2 18 2" xfId="4317" xr:uid="{146B2616-519F-4EDD-A11A-0D7F70726257}"/>
    <cellStyle name="40% - 强调文字颜色 4 2 19" xfId="4318" xr:uid="{093F25F9-4CF9-484A-B225-C24E960ADE52}"/>
    <cellStyle name="40% - 强调文字颜色 4 2 2" xfId="1737" xr:uid="{14605A6C-7022-466C-9E5E-86FF2F008CD1}"/>
    <cellStyle name="40% - 强调文字颜色 4 2 2 10" xfId="324" xr:uid="{8FB851A3-8AD6-4F96-8271-84B2E63A382A}"/>
    <cellStyle name="40% - 强调文字颜色 4 2 2 10 2" xfId="3838" xr:uid="{B3FB75EC-1B28-4C87-9EFE-48391BF1371A}"/>
    <cellStyle name="40% - 强调文字颜色 4 2 2 11" xfId="4319" xr:uid="{0F327D13-04A7-455A-849B-F9835D4942C0}"/>
    <cellStyle name="40% - 强调文字颜色 4 2 2 11 2" xfId="3880" xr:uid="{A059B37F-8E11-4FCA-A645-BEDCD6FA1016}"/>
    <cellStyle name="40% - 强调文字颜色 4 2 2 12" xfId="4321" xr:uid="{FB556A62-E899-4200-A6ED-9C8CE4D06CB1}"/>
    <cellStyle name="40% - 强调文字颜色 4 2 2 12 2" xfId="4172" xr:uid="{CAC86FEE-8A23-4B83-8029-77AEF0FEF5DA}"/>
    <cellStyle name="40% - 强调文字颜色 4 2 2 13" xfId="4323" xr:uid="{B9555B7D-C3F5-4597-801C-FAD8FDDF17F8}"/>
    <cellStyle name="40% - 强调文字颜色 4 2 2 13 2" xfId="2817" xr:uid="{2DBBD1E6-4275-4284-AA24-F2F7E143284D}"/>
    <cellStyle name="40% - 强调文字颜色 4 2 2 14" xfId="852" xr:uid="{D115C5DD-D4AE-4F53-AA61-2EB06CEE3DB4}"/>
    <cellStyle name="40% - 强调文字颜色 4 2 2 14 2" xfId="2991" xr:uid="{905B5D3B-E25C-4212-B36A-581739708E80}"/>
    <cellStyle name="40% - 强调文字颜色 4 2 2 15" xfId="3389" xr:uid="{CDC9D995-0FC5-4F51-BE41-9CF5D4D8B229}"/>
    <cellStyle name="40% - 强调文字颜色 4 2 2 15 2" xfId="4325" xr:uid="{CFFB8559-1E9F-446F-8CC3-B73EA35FBF19}"/>
    <cellStyle name="40% - 强调文字颜色 4 2 2 16" xfId="9960" xr:uid="{22F6A2AD-B766-4D65-B442-EDE8B90F15E9}"/>
    <cellStyle name="40% - 强调文字颜色 4 2 2 17" xfId="13351" xr:uid="{2DDB98E7-3863-4FB6-BF45-A50BC7D1F977}"/>
    <cellStyle name="40% - 强调文字颜色 4 2 2 18" xfId="19077" xr:uid="{A2D4087C-1015-4AC6-A292-42B2FD8BED88}"/>
    <cellStyle name="40% - 强调文字颜色 4 2 2 19" xfId="27315" xr:uid="{3DC59230-D3BF-4011-8862-A0F88D8B53C5}"/>
    <cellStyle name="40% - 强调文字颜色 4 2 2 2" xfId="4327" xr:uid="{44D8C7C1-44C2-431A-852B-501F242D9DE0}"/>
    <cellStyle name="40% - 强调文字颜色 4 2 2 2 2" xfId="19078" xr:uid="{65A099D3-6C02-4B66-8150-561220BABBA3}"/>
    <cellStyle name="40% - 强调文字颜色 4 2 2 3" xfId="3155" xr:uid="{87BADBA8-4CC2-48CE-A68A-CA6E9F10B977}"/>
    <cellStyle name="40% - 强调文字颜色 4 2 2 4" xfId="4328" xr:uid="{1F397D51-A19F-4FE2-A2E0-E7750F7E4951}"/>
    <cellStyle name="40% - 强调文字颜色 4 2 2 4 2" xfId="401" xr:uid="{B2627969-AD37-4771-A22E-E4481ACA8536}"/>
    <cellStyle name="40% - 强调文字颜色 4 2 2 5" xfId="4329" xr:uid="{0A1332F6-5946-4D06-B05D-2A65D5AB548D}"/>
    <cellStyle name="40% - 强调文字颜色 4 2 2 5 2" xfId="414" xr:uid="{E0D24AE1-D38D-4127-B65C-74404D2BB391}"/>
    <cellStyle name="40% - 强调文字颜色 4 2 2 6" xfId="1132" xr:uid="{FCED3BFF-E082-4705-8661-E394EB5D680F}"/>
    <cellStyle name="40% - 强调文字颜色 4 2 2 6 2" xfId="425" xr:uid="{BEF3088B-9B40-496E-8FDC-98489FB1ADD8}"/>
    <cellStyle name="40% - 强调文字颜色 4 2 2 7" xfId="4330" xr:uid="{386A850B-855E-480F-B784-8310734DF870}"/>
    <cellStyle name="40% - 强调文字颜色 4 2 2 7 2" xfId="439" xr:uid="{44A3DED8-0F37-496F-96D3-085C22CA0B2A}"/>
    <cellStyle name="40% - 强调文字颜色 4 2 2 8" xfId="4331" xr:uid="{F0A5E031-F166-48FA-B24D-4C128C7A8550}"/>
    <cellStyle name="40% - 强调文字颜色 4 2 2 8 2" xfId="490" xr:uid="{E7AC8017-DD60-4995-8F94-A6DF262E25D6}"/>
    <cellStyle name="40% - 强调文字颜色 4 2 2 9" xfId="3279" xr:uid="{90DDAE82-AD97-4714-A8AF-4200E6E5F42E}"/>
    <cellStyle name="40% - 强调文字颜色 4 2 2 9 2" xfId="4332" xr:uid="{D423217F-153B-41C4-B082-ABA5A1E36A96}"/>
    <cellStyle name="40% - 强调文字颜色 4 2 20" xfId="4310" xr:uid="{00986C4E-FEFD-4DEE-9EB3-70DEC03589FC}"/>
    <cellStyle name="40% - 强调文字颜色 4 2 20 2" xfId="4312" xr:uid="{3E123D21-E494-4B25-8912-CE157ECDD312}"/>
    <cellStyle name="40% - 强调文字颜色 4 2 21" xfId="4314" xr:uid="{91405D8A-1057-4C0B-B69A-87183E3CD34B}"/>
    <cellStyle name="40% - 强调文字颜色 4 2 21 2" xfId="4333" xr:uid="{F1599954-8481-49F4-BB78-7CCCAE66E78C}"/>
    <cellStyle name="40% - 强调文字颜色 4 2 22" xfId="9959" xr:uid="{90E3859D-5FF4-4A9B-9B91-65E951E8F8E4}"/>
    <cellStyle name="40% - 强调文字颜色 4 2 23" xfId="13409" xr:uid="{1612D378-553B-4519-A765-5FCCACC5FE2C}"/>
    <cellStyle name="40% - 强调文字颜色 4 2 24" xfId="13430" xr:uid="{EF759532-06DE-4A97-886B-87C4EF938525}"/>
    <cellStyle name="40% - 强调文字颜色 4 2 3" xfId="4334" xr:uid="{8EFFFB76-B4CF-4E86-B979-8BE7A5559A39}"/>
    <cellStyle name="40% - 强调文字颜色 4 2 3 2" xfId="9961" xr:uid="{F1AC6FCB-517B-4D31-A94E-12354414B9A2}"/>
    <cellStyle name="40% - 强调文字颜色 4 2 3 2 2" xfId="19080" xr:uid="{53807A34-1BAC-47BF-8942-C6F3DC029B5A}"/>
    <cellStyle name="40% - 强调文字颜色 4 2 3 3" xfId="13330" xr:uid="{AB6A0098-00E3-4EEA-8C47-0DF921911C21}"/>
    <cellStyle name="40% - 强调文字颜色 4 2 3 4" xfId="19079" xr:uid="{5D46A252-29F4-49B7-BAD8-7CBE59F86C61}"/>
    <cellStyle name="40% - 强调文字颜色 4 2 3 5" xfId="27316" xr:uid="{38B7AA43-66E4-4238-AF2E-EBBF2E457F6F}"/>
    <cellStyle name="40% - 强调文字颜色 4 2 4" xfId="4336" xr:uid="{E83E5470-BC6A-4E0D-BC89-147551788F5B}"/>
    <cellStyle name="40% - 强调文字颜色 4 2 4 2" xfId="4337" xr:uid="{4DAE7AE2-AF6F-47A3-9F0C-7F7CEF315C1C}"/>
    <cellStyle name="40% - 强调文字颜色 4 2 4 3" xfId="13311" xr:uid="{67D62AC1-0540-4708-A48D-46F8FE171708}"/>
    <cellStyle name="40% - 强调文字颜色 4 2 4 4" xfId="19081" xr:uid="{E3DEA417-8DF4-4654-B2EE-8297E710852E}"/>
    <cellStyle name="40% - 强调文字颜色 4 2 4 5" xfId="27698" xr:uid="{7438B5CD-D277-4411-9BDE-16CD014785FA}"/>
    <cellStyle name="40% - 强调文字颜色 4 2 5" xfId="4338" xr:uid="{00000003-D277-4411-9BDE-16CD014785FA}"/>
    <cellStyle name="40% - 强调文字颜色 4 2 5 2" xfId="4339" xr:uid="{15FC1566-7C66-4061-A15E-6A2355F68AC6}"/>
    <cellStyle name="40% - 强调文字颜色 4 2 5 3" xfId="19082" xr:uid="{FD79205F-D64D-4F12-B9D4-F050104F3876}"/>
    <cellStyle name="40% - 强调文字颜色 4 2 6" xfId="1860" xr:uid="{77AA2E86-466E-4186-970B-60A7B27BACC5}"/>
    <cellStyle name="40% - 强调文字颜色 4 2 6 2" xfId="4340" xr:uid="{EDD5775F-EF80-4995-AAFB-AA7B21CB005E}"/>
    <cellStyle name="40% - 强调文字颜色 4 2 6 3" xfId="19083" xr:uid="{04CF24F4-30C6-4C57-8E93-0A63C292B7A7}"/>
    <cellStyle name="40% - 强调文字颜色 4 2 7" xfId="2210" xr:uid="{A1E88475-707E-4EA7-BE62-19775E1026B0}"/>
    <cellStyle name="40% - 强调文字颜色 4 2 7 2" xfId="2234" xr:uid="{B5B914EC-A937-4333-9ADD-C6207822A0DD}"/>
    <cellStyle name="40% - 强调文字颜色 4 2 7 3" xfId="19084" xr:uid="{288924C6-0BCA-4727-B3DB-26B47C35F913}"/>
    <cellStyle name="40% - 强调文字颜色 4 2 8" xfId="2260" xr:uid="{ED1598F5-5BDE-4636-AA62-066B2010420A}"/>
    <cellStyle name="40% - 强调文字颜色 4 2 8 2" xfId="4343" xr:uid="{F88504FC-D180-4BFD-AF38-5E23C10DDA04}"/>
    <cellStyle name="40% - 强调文字颜色 4 2 9" xfId="2264" xr:uid="{E271A388-3155-4B99-A134-C6C2AA51742D}"/>
    <cellStyle name="40% - 强调文字颜色 4 2 9 2" xfId="2267" xr:uid="{6415CBC0-059D-436B-B85D-D512FFAD30D4}"/>
    <cellStyle name="40% - 强调文字颜色 4 2_动力部" xfId="19085" xr:uid="{3BBFF0D3-638A-4611-A8B2-F77F2A314AF8}"/>
    <cellStyle name="40% - 强调文字颜色 4 20" xfId="1108" xr:uid="{C09BF555-C1E1-494A-9A2E-A21328752D7C}"/>
    <cellStyle name="40% - 强调文字颜色 4 20 2" xfId="1116" xr:uid="{6ADF60E0-547E-474C-8984-E6767BCCA026}"/>
    <cellStyle name="40% - 强调文字颜色 4 20 2 2" xfId="2082" xr:uid="{8A0BC4FD-4CFF-49EE-A340-8557F6E37DD6}"/>
    <cellStyle name="40% - 强调文字颜色 4 20 2 2 2" xfId="19088" xr:uid="{49C5E2E9-1E0F-4F92-B44B-A2DE6FCD6F9A}"/>
    <cellStyle name="40% - 强调文字颜色 4 20 2 3" xfId="19087" xr:uid="{1BB726ED-F954-47E2-AD84-728E11D7C389}"/>
    <cellStyle name="40% - 强调文字颜色 4 20 3" xfId="9962" xr:uid="{B2CEFE68-B352-4BD1-8306-BDB9F0F37B47}"/>
    <cellStyle name="40% - 强调文字颜色 4 20 3 2" xfId="19089" xr:uid="{EEB7C4B1-01EB-423D-90A5-99FE9B95490D}"/>
    <cellStyle name="40% - 强调文字颜色 4 20 4" xfId="13140" xr:uid="{0B72EB6F-C5D9-4506-AA51-A5AC4BE2C608}"/>
    <cellStyle name="40% - 强调文字颜色 4 20 4 2" xfId="19090" xr:uid="{655AFEDF-2598-4DCE-A812-9B2FC3197B60}"/>
    <cellStyle name="40% - 强调文字颜色 4 20 5" xfId="19086" xr:uid="{66EDF4DC-3665-4702-B364-AC0AA3A8688E}"/>
    <cellStyle name="40% - 强调文字颜色 4 21" xfId="2116" xr:uid="{3161E23A-C388-4536-88D5-0495CE77651D}"/>
    <cellStyle name="40% - 强调文字颜色 4 21 2" xfId="108" xr:uid="{B5BF32BC-AB2F-4C2E-B909-E80429870E07}"/>
    <cellStyle name="40% - 强调文字颜色 4 21 2 2" xfId="2280" xr:uid="{4E03A6AA-280F-48D3-BDC8-853CE6FB4714}"/>
    <cellStyle name="40% - 强调文字颜色 4 21 2 2 2" xfId="19093" xr:uid="{DFB45A28-B5F5-4157-9FC7-23E5841FBB2E}"/>
    <cellStyle name="40% - 强调文字颜色 4 21 2 3" xfId="19092" xr:uid="{CF5CAA04-232C-49F3-94DC-EF67D71B90DB}"/>
    <cellStyle name="40% - 强调文字颜色 4 21 3" xfId="9963" xr:uid="{59505D47-5EBC-4924-BA44-B9B8A284076D}"/>
    <cellStyle name="40% - 强调文字颜色 4 21 3 2" xfId="19094" xr:uid="{8908E3AC-617B-40FD-BB87-B6507B65049D}"/>
    <cellStyle name="40% - 强调文字颜色 4 21 4" xfId="13126" xr:uid="{8E2080CA-F4B5-442A-8E91-51504873CFFE}"/>
    <cellStyle name="40% - 强调文字颜色 4 21 4 2" xfId="19095" xr:uid="{524EF7A9-EC1E-4CCE-82C8-368AB95A05E8}"/>
    <cellStyle name="40% - 强调文字颜色 4 21 5" xfId="19091" xr:uid="{D62F3CF7-64D9-435D-90AA-78971E92B07B}"/>
    <cellStyle name="40% - 强调文字颜色 4 22" xfId="2126" xr:uid="{D28CD460-9470-4707-9607-310F8889552E}"/>
    <cellStyle name="40% - 强调文字颜色 4 22 2" xfId="2130" xr:uid="{28F4BF9C-610B-4B3E-9BE8-19262AC09854}"/>
    <cellStyle name="40% - 强调文字颜色 4 22 2 2" xfId="538" xr:uid="{9FC87262-76C7-4B64-8DEE-67357C6D0345}"/>
    <cellStyle name="40% - 强调文字颜色 4 22 2 2 2" xfId="19098" xr:uid="{E7A32A4E-EE95-4086-AB7A-B2E490EB8154}"/>
    <cellStyle name="40% - 强调文字颜色 4 22 2 3" xfId="19097" xr:uid="{F12A44D7-C039-4C65-B058-F3A779E7326A}"/>
    <cellStyle name="40% - 强调文字颜色 4 22 3" xfId="9964" xr:uid="{E8C44432-2119-4624-855C-BC6B1B705AE9}"/>
    <cellStyle name="40% - 强调文字颜色 4 22 3 2" xfId="19099" xr:uid="{D2057C67-9708-4E35-8398-22CCD5100872}"/>
    <cellStyle name="40% - 强调文字颜色 4 22 4" xfId="13113" xr:uid="{84761163-804C-4E35-B0B4-B616D8141DA8}"/>
    <cellStyle name="40% - 强调文字颜色 4 22 4 2" xfId="19100" xr:uid="{6647CB51-6C6F-4FD7-9BF3-1D7D33B28603}"/>
    <cellStyle name="40% - 强调文字颜色 4 22 5" xfId="19096" xr:uid="{F95600E7-6AF5-4E12-BC28-420C7D8F7A0F}"/>
    <cellStyle name="40% - 强调文字颜色 4 23" xfId="2139" xr:uid="{0FD0D131-E873-4D65-9965-7F0B781AEF1D}"/>
    <cellStyle name="40% - 强调文字颜色 4 23 2" xfId="2143" xr:uid="{4F010FE1-577D-40C6-A154-4C90DECC870B}"/>
    <cellStyle name="40% - 强调文字颜色 4 23 2 2" xfId="2147" xr:uid="{92FDEE4F-1F14-40D5-8439-B9E5E2D422E6}"/>
    <cellStyle name="40% - 强调文字颜色 4 23 2 2 2" xfId="19103" xr:uid="{045BE582-940B-4BF1-8CBA-0A198B28C3B2}"/>
    <cellStyle name="40% - 强调文字颜色 4 23 2 3" xfId="19102" xr:uid="{421007F7-F0AA-47B8-90FA-B7C0410AB288}"/>
    <cellStyle name="40% - 强调文字颜色 4 23 3" xfId="13045" xr:uid="{C952B1A4-A78A-4616-81A3-422FCB86FAF6}"/>
    <cellStyle name="40% - 强调文字颜色 4 23 3 2" xfId="19104" xr:uid="{6ED2B578-DB1F-4B20-A86F-119408FE0417}"/>
    <cellStyle name="40% - 强调文字颜色 4 23 4" xfId="19105" xr:uid="{A6CF5990-DF02-45BA-83B9-B939AE548CE2}"/>
    <cellStyle name="40% - 强调文字颜色 4 23 5" xfId="19101" xr:uid="{D176F64D-8FC0-48DF-A7A4-6CBD7511B66F}"/>
    <cellStyle name="40% - 强调文字颜色 4 24" xfId="2156" xr:uid="{EE5066CF-B0DC-43DF-872D-B85603F27E17}"/>
    <cellStyle name="40% - 强调文字颜色 4 24 2" xfId="13036" xr:uid="{C09BD02F-FD69-4132-A723-5194860061C9}"/>
    <cellStyle name="40% - 强调文字颜色 4 24 2 2" xfId="19108" xr:uid="{80D7B316-2180-4D04-BB37-8A2E32F5F91E}"/>
    <cellStyle name="40% - 强调文字颜色 4 24 2 3" xfId="19107" xr:uid="{25BFE9BF-DB37-4B8C-8F9C-402817818D46}"/>
    <cellStyle name="40% - 强调文字颜色 4 24 3" xfId="19109" xr:uid="{1C2FEBCF-C34D-4B79-B2E7-6F109DA22575}"/>
    <cellStyle name="40% - 强调文字颜色 4 24 4" xfId="19110" xr:uid="{9682457C-8C8B-4658-8EE2-401E14BE0960}"/>
    <cellStyle name="40% - 强调文字颜色 4 24 5" xfId="19106" xr:uid="{AC5BF38F-078F-484C-B3CB-D7E3C19EC557}"/>
    <cellStyle name="40% - 强调文字颜色 4 25" xfId="2169" xr:uid="{1A09651C-CEFE-4FAC-98B3-E66EB6D3B0C6}"/>
    <cellStyle name="40% - 强调文字颜色 4 25 2" xfId="13023" xr:uid="{0A53FC82-1B49-488E-B218-A813686DAFC8}"/>
    <cellStyle name="40% - 强调文字颜色 4 25 2 2" xfId="19113" xr:uid="{1A9467B3-A73C-412D-BDAF-21F4A324C389}"/>
    <cellStyle name="40% - 强调文字颜色 4 25 2 3" xfId="19112" xr:uid="{4A10DA0A-0276-4DF8-AE51-6E24A4B9FE61}"/>
    <cellStyle name="40% - 强调文字颜色 4 25 3" xfId="19114" xr:uid="{ECC9121A-8061-4055-807A-B04AAD2C0CFA}"/>
    <cellStyle name="40% - 强调文字颜色 4 25 4" xfId="19115" xr:uid="{E73A0B21-45D0-4D83-A9AA-30C7817AA5FB}"/>
    <cellStyle name="40% - 强调文字颜色 4 25 5" xfId="19111" xr:uid="{4775361F-D949-4024-AE78-1B7B272465BE}"/>
    <cellStyle name="40% - 强调文字颜色 4 26" xfId="2283" xr:uid="{21E9FC68-CBD8-4878-97A0-901DB9536599}"/>
    <cellStyle name="40% - 强调文字颜色 4 26 2" xfId="19117" xr:uid="{765FD3BA-AE55-40CE-9A8E-29640A88CB68}"/>
    <cellStyle name="40% - 强调文字颜色 4 26 2 2" xfId="19118" xr:uid="{C1735081-FF45-440F-B173-755B8D45BC73}"/>
    <cellStyle name="40% - 强调文字颜色 4 26 3" xfId="19119" xr:uid="{92C0FC6C-A468-46BB-B2B1-B3B7EB29FF62}"/>
    <cellStyle name="40% - 强调文字颜色 4 26 4" xfId="19120" xr:uid="{4F283F5E-7ADA-4524-8017-9F0AC15D4F3B}"/>
    <cellStyle name="40% - 强调文字颜色 4 26 5" xfId="19116" xr:uid="{557F14B8-1994-4696-B86E-530AC15D4F3B}"/>
    <cellStyle name="40% - 强调文字颜色 4 27" xfId="2287" xr:uid="{32DE4B39-0F97-4C6E-A0CA-62ED02DBB524}"/>
    <cellStyle name="40% - 强调文字颜色 4 27 2" xfId="19122" xr:uid="{2C395EBD-86E7-4C2C-9A71-32F2A28FB547}"/>
    <cellStyle name="40% - 强调文字颜色 4 27 2 2" xfId="19123" xr:uid="{681C963E-0241-4B4B-9592-A2E7B6FBE6B5}"/>
    <cellStyle name="40% - 强调文字颜色 4 27 3" xfId="19124" xr:uid="{6181E04F-924C-4012-A29B-8060BA9D0623}"/>
    <cellStyle name="40% - 强调文字颜色 4 27 4" xfId="19125" xr:uid="{8DA27C9A-AC5F-4361-ADD4-D07D49A8B860}"/>
    <cellStyle name="40% - 强调文字颜色 4 27 5" xfId="19121" xr:uid="{E56402CD-6626-4319-8B9E-5730F1008409}"/>
    <cellStyle name="40% - 强调文字颜色 4 28" xfId="2291" xr:uid="{CB8B0955-055D-4348-9F49-32CB04DA8322}"/>
    <cellStyle name="40% - 强调文字颜色 4 28 2" xfId="19127" xr:uid="{7801ABAA-56A5-4C73-9A32-1C2656F5F9BD}"/>
    <cellStyle name="40% - 强调文字颜色 4 28 3" xfId="19128" xr:uid="{D098A004-96B4-46E8-B9E5-195867B2BABE}"/>
    <cellStyle name="40% - 强调文字颜色 4 28 4" xfId="19129" xr:uid="{F426E5E3-A430-4144-B865-A8C92B43DCCA}"/>
    <cellStyle name="40% - 强调文字颜色 4 28 5" xfId="19126" xr:uid="{168EA63C-91C9-4EBD-B095-D867282C30A9}"/>
    <cellStyle name="40% - 强调文字颜色 4 29" xfId="2295" xr:uid="{FD69AEB4-3C74-4D06-B674-9144A174FC48}"/>
    <cellStyle name="40% - 强调文字颜色 4 29 2" xfId="19131" xr:uid="{CBB4B6B6-E97B-46B6-AECC-31877EAEACC1}"/>
    <cellStyle name="40% - 强调文字颜色 4 29 3" xfId="19132" xr:uid="{4AAE6574-B4D2-45A6-B151-8F727C89AA1F}"/>
    <cellStyle name="40% - 强调文字颜色 4 29 4" xfId="19133" xr:uid="{5A240F7B-1C05-4287-9A2B-6651348F06E4}"/>
    <cellStyle name="40% - 强调文字颜色 4 29 5" xfId="19130" xr:uid="{4D5BC30C-208C-4B7D-A737-785387C34048}"/>
    <cellStyle name="40% - 强调文字颜色 4 3" xfId="1739" xr:uid="{960640ED-EE70-449E-B17F-F113FA0F488A}"/>
    <cellStyle name="40% - 强调文字颜色 4 3 10" xfId="4344" xr:uid="{6C9BBEB7-544F-4C7F-ABA6-FBF6242DD495}"/>
    <cellStyle name="40% - 强调文字颜色 4 3 10 2" xfId="4345" xr:uid="{F9751965-4607-469A-BCFA-691F2A3CB758}"/>
    <cellStyle name="40% - 强调文字颜色 4 3 11" xfId="2189" xr:uid="{FE320749-CF4F-4161-8C38-5C9890FAED1A}"/>
    <cellStyle name="40% - 强调文字颜色 4 3 11 2" xfId="4346" xr:uid="{06288C61-E25F-4CD7-BBAE-FFA68C268661}"/>
    <cellStyle name="40% - 强调文字颜色 4 3 12" xfId="4347" xr:uid="{59DF552E-0D40-42C4-BE73-31FCC490714B}"/>
    <cellStyle name="40% - 强调文字颜色 4 3 13" xfId="4348" xr:uid="{51570CCF-D93A-4CCA-BFBD-70D37A719F5B}"/>
    <cellStyle name="40% - 强调文字颜色 4 3 13 2" xfId="4349" xr:uid="{B23C0F89-715C-423D-9450-B464181F7A77}"/>
    <cellStyle name="40% - 强调文字颜色 4 3 14" xfId="3979" xr:uid="{22B032A8-F89D-47BE-8CA1-A4AA505E1368}"/>
    <cellStyle name="40% - 强调文字颜色 4 3 14 2" xfId="3981" xr:uid="{091523C4-C789-412C-9EB6-4B4A6B7EABB2}"/>
    <cellStyle name="40% - 强调文字颜色 4 3 15" xfId="3984" xr:uid="{B0F2D508-F7AD-4079-AAFD-A1101EE021D3}"/>
    <cellStyle name="40% - 强调文字颜色 4 3 16" xfId="9965" xr:uid="{6E0CF09C-82FD-4A53-B136-3EADF2EA2B0C}"/>
    <cellStyle name="40% - 强调文字颜色 4 3 17" xfId="13399" xr:uid="{7679E793-B095-4425-8A64-9FC83931605F}"/>
    <cellStyle name="40% - 强调文字颜色 4 3 18" xfId="19134" xr:uid="{39BC9504-EC54-4C4C-97C8-59DA7652FE1C}"/>
    <cellStyle name="40% - 强调文字颜色 4 3 2" xfId="4350" xr:uid="{6A25654B-5D0F-486F-8DE6-F33D6288C688}"/>
    <cellStyle name="40% - 强调文字颜色 4 3 2 2" xfId="4351" xr:uid="{A5EBF6CF-5D06-4391-BC29-DC8D35543C0F}"/>
    <cellStyle name="40% - 强调文字颜色 4 3 2 3" xfId="9966" xr:uid="{EFD2EE88-F984-4D98-89F3-06844CE296DC}"/>
    <cellStyle name="40% - 强调文字颜色 4 3 2 4" xfId="19135" xr:uid="{BA7A35CE-2590-49B7-BC66-C6CB659ADF11}"/>
    <cellStyle name="40% - 强调文字颜色 4 3 2 5" xfId="27317" xr:uid="{C2B0BEBC-9E7B-4747-B37D-784371A2171F}"/>
    <cellStyle name="40% - 强调文字颜色 4 3 3" xfId="4352" xr:uid="{B59EAF95-55F5-4219-AFE0-1D41831B2322}"/>
    <cellStyle name="40% - 强调文字颜色 4 3 3 2" xfId="4353" xr:uid="{ED3F734A-7E5B-4531-82F3-3154A17E15B0}"/>
    <cellStyle name="40% - 强调文字颜色 4 3 3 2 2" xfId="19137" xr:uid="{1B22BF1D-97E2-416B-B9CE-6257D5C147AC}"/>
    <cellStyle name="40% - 强调文字颜色 4 3 3 3" xfId="9967" xr:uid="{5B0FFBD1-7150-4ED0-9906-583084958D41}"/>
    <cellStyle name="40% - 强调文字颜色 4 3 3 4" xfId="19136" xr:uid="{28EFBEC3-7DE1-49F8-BDFC-636C8B38629B}"/>
    <cellStyle name="40% - 强调文字颜色 4 3 3 5" xfId="27318" xr:uid="{BD097E7B-FE7D-437B-AFF3-2665EA5EF4E1}"/>
    <cellStyle name="40% - 强调文字颜色 4 3 4" xfId="4355" xr:uid="{06564084-4F3E-4776-9B1D-663FF261C7E0}"/>
    <cellStyle name="40% - 强调文字颜色 4 3 4 2" xfId="4356" xr:uid="{CDF741E4-E817-4B63-ACB7-81A6EA4AA020}"/>
    <cellStyle name="40% - 强调文字颜色 4 3 4 3" xfId="19138" xr:uid="{19515107-E279-4979-A8DD-37DDC435E7FD}"/>
    <cellStyle name="40% - 强调文字颜色 4 3 4 4" xfId="27699" xr:uid="{8F7A5579-2FAE-4CB5-A2FC-350C4BAB8737}"/>
    <cellStyle name="40% - 强调文字颜色 4 3 5" xfId="4357" xr:uid="{58C1AC41-C2DD-4CFA-B45C-1AE055320305}"/>
    <cellStyle name="40% - 强调文字颜色 4 3 5 2" xfId="4358" xr:uid="{93C179A3-A1CC-423F-9EB0-7D68AAD34F87}"/>
    <cellStyle name="40% - 强调文字颜色 4 3 5 3" xfId="19139" xr:uid="{7DB7A021-5B92-4145-AB36-15A220AE872C}"/>
    <cellStyle name="40% - 强调文字颜色 4 3 6" xfId="3721" xr:uid="{E24FA68B-5EB3-42C2-87C6-60C9015FBCFA}"/>
    <cellStyle name="40% - 强调文字颜色 4 3 6 2" xfId="4360" xr:uid="{5B3BEC74-FE98-4247-B826-B4368268965B}"/>
    <cellStyle name="40% - 强调文字颜色 4 3 7" xfId="435" xr:uid="{4B0B4FA2-325D-4AB2-AE2E-BF85EEA2EED1}"/>
    <cellStyle name="40% - 强调文字颜色 4 3 7 2" xfId="2318" xr:uid="{AF3AC6EB-0B38-4A5A-930A-DF488B60CA1F}"/>
    <cellStyle name="40% - 强调文字颜色 4 3 8" xfId="2323" xr:uid="{DE86FF5A-B125-41C1-BE44-64978631EB2B}"/>
    <cellStyle name="40% - 强调文字颜色 4 3 8 2" xfId="2327" xr:uid="{4C1A307B-2F7E-4E68-8CA4-0D00CC4D3E93}"/>
    <cellStyle name="40% - 强调文字颜色 4 3 9" xfId="85" xr:uid="{62BD07AB-BF30-4BA2-9BAA-63BDEE260E1A}"/>
    <cellStyle name="40% - 强调文字颜色 4 30" xfId="2170" xr:uid="{18E05E1A-324E-498A-9C8D-043C2027501F}"/>
    <cellStyle name="40% - 强调文字颜色 4 30 2" xfId="19141" xr:uid="{33999C7F-8697-482E-A9F6-BDE05EEEEA13}"/>
    <cellStyle name="40% - 强调文字颜色 4 30 3" xfId="19142" xr:uid="{3C31DC7D-5CA1-4690-B0F5-95E9DD7526F9}"/>
    <cellStyle name="40% - 强调文字颜色 4 30 4" xfId="19143" xr:uid="{A3647728-B5DE-44B7-ADF8-FD8E56F61A07}"/>
    <cellStyle name="40% - 强调文字颜色 4 30 5" xfId="19140" xr:uid="{A39DD215-A58B-48AB-B141-1BA240C61E8C}"/>
    <cellStyle name="40% - 强调文字颜色 4 31" xfId="2284" xr:uid="{65ED3026-1CF4-4BB3-9C19-3DD23BD8416D}"/>
    <cellStyle name="40% - 强调文字颜色 4 31 2" xfId="19145" xr:uid="{733FC28F-0CB7-4BCA-8814-45C1E983A69D}"/>
    <cellStyle name="40% - 强调文字颜色 4 31 3" xfId="19146" xr:uid="{5E173482-F60B-4425-85F1-7F92FEA564D0}"/>
    <cellStyle name="40% - 强调文字颜色 4 31 4" xfId="19147" xr:uid="{74868E09-B087-40D8-BC8C-F271A156B6D0}"/>
    <cellStyle name="40% - 强调文字颜色 4 31 5" xfId="19144" xr:uid="{4BBBB0B8-559F-4860-8154-6AB12029967F}"/>
    <cellStyle name="40% - 强调文字颜色 4 32" xfId="2288" xr:uid="{FF0486FD-C76D-4EF2-8415-C053C92AF3F1}"/>
    <cellStyle name="40% - 强调文字颜色 4 32 2" xfId="19149" xr:uid="{122849B7-563E-4662-8A47-58DE970B80D0}"/>
    <cellStyle name="40% - 强调文字颜色 4 32 3" xfId="19150" xr:uid="{D72108C8-47CD-4148-8733-57563C121116}"/>
    <cellStyle name="40% - 强调文字颜色 4 32 4" xfId="19151" xr:uid="{09E8B0FC-E5C3-4D0B-9741-882F6C98BDAF}"/>
    <cellStyle name="40% - 强调文字颜色 4 32 5" xfId="19148" xr:uid="{B8A6D020-003E-4B75-9801-4013653ECD95}"/>
    <cellStyle name="40% - 强调文字颜色 4 33" xfId="2292" xr:uid="{38046BAF-7238-477F-8711-4CD73670BC66}"/>
    <cellStyle name="40% - 强调文字颜色 4 33 2" xfId="19153" xr:uid="{CAE1A0DC-01AB-4085-B4D5-798FBF9DBF0D}"/>
    <cellStyle name="40% - 强调文字颜色 4 33 3" xfId="19154" xr:uid="{0F820991-9587-4D4D-A7BD-FBB16E34225B}"/>
    <cellStyle name="40% - 强调文字颜色 4 33 4" xfId="19155" xr:uid="{29F8E21F-1C7D-42E2-950F-95BC75112084}"/>
    <cellStyle name="40% - 强调文字颜色 4 33 5" xfId="19152" xr:uid="{B66D9E2B-0F2C-4FF3-ACDD-870E0A15C522}"/>
    <cellStyle name="40% - 强调文字颜色 4 34" xfId="2296" xr:uid="{1E0C45C1-14FC-4961-8A56-B6E1E91C84BB}"/>
    <cellStyle name="40% - 强调文字颜色 4 34 2" xfId="12539" xr:uid="{00000000-14FC-4961-8A56-B6E1E91C84BB}"/>
    <cellStyle name="40% - 强调文字颜色 4 34 2 2" xfId="19157" xr:uid="{DABD584D-90B4-42D8-A445-51A50024DCA6}"/>
    <cellStyle name="40% - 强调文字颜色 4 34 3" xfId="19158" xr:uid="{791C8F20-C1C5-44C0-A52C-FBFD004D4DC4}"/>
    <cellStyle name="40% - 强调文字颜色 4 34 4" xfId="19159" xr:uid="{09136286-EDFC-41B8-90A6-20A1FCC688F2}"/>
    <cellStyle name="40% - 强调文字颜色 4 34 5" xfId="19156" xr:uid="{775BAB17-BE60-47D2-A8AD-7C0F820615EF}"/>
    <cellStyle name="40% - 强调文字颜色 4 35" xfId="2299" xr:uid="{A35D4D80-D267-4626-93A3-C584AEE6489B}"/>
    <cellStyle name="40% - 强调文字颜色 4 35 2" xfId="12540" xr:uid="{17E5A5E6-DDDE-4397-AFD3-B03B2DD40A20}"/>
    <cellStyle name="40% - 强调文字颜色 4 35 2 2" xfId="19161" xr:uid="{3A46EBD5-2387-42F4-97C5-4E8FF501C61D}"/>
    <cellStyle name="40% - 强调文字颜色 4 35 3" xfId="19162" xr:uid="{70606899-17F3-4A90-9D40-5F36661C674A}"/>
    <cellStyle name="40% - 强调文字颜色 4 35 4" xfId="19160" xr:uid="{ABB905A8-A381-4D51-A1CA-6A51C41831B6}"/>
    <cellStyle name="40% - 强调文字颜色 4 36" xfId="2358" xr:uid="{FB22F11D-F8DA-466A-9E93-3759EBD02D9D}"/>
    <cellStyle name="40% - 强调文字颜色 4 36 2" xfId="12541" xr:uid="{14E63288-4056-45BB-9DCC-77121524CB7D}"/>
    <cellStyle name="40% - 强调文字颜色 4 36 2 2" xfId="19164" xr:uid="{C8D06F2E-2084-470D-BC42-FF672BB8439E}"/>
    <cellStyle name="40% - 强调文字颜色 4 36 3" xfId="19165" xr:uid="{A9D356A1-673E-45C6-A537-898237DE98F9}"/>
    <cellStyle name="40% - 强调文字颜色 4 36 4" xfId="19163" xr:uid="{AA913808-D8E4-48E5-A26D-216D1AF3F28A}"/>
    <cellStyle name="40% - 强调文字颜色 4 37" xfId="2363" xr:uid="{E4D32F00-8A5B-4A81-9C70-C010A0A916EF}"/>
    <cellStyle name="40% - 强调文字颜色 4 37 2" xfId="12542" xr:uid="{BABF868B-4B31-4129-BFB9-2FA78F274EB7}"/>
    <cellStyle name="40% - 强调文字颜色 4 37 2 2" xfId="19167" xr:uid="{E18BEBD5-DB44-4484-8048-9F89EEAF0E75}"/>
    <cellStyle name="40% - 强调文字颜色 4 37 3" xfId="19168" xr:uid="{D1A45E71-A9FA-4C4B-9BC1-742D597DDE54}"/>
    <cellStyle name="40% - 强调文字颜色 4 37 4" xfId="19166" xr:uid="{9E5927B1-088D-4D06-99C3-FE00E143AAE7}"/>
    <cellStyle name="40% - 强调文字颜色 4 38" xfId="2368" xr:uid="{C4931421-0639-40D7-A6FF-0D4EC9150893}"/>
    <cellStyle name="40% - 强调文字颜色 4 38 10" xfId="19170" xr:uid="{E27149C2-2C48-4962-96A5-9A0C217C6C2A}"/>
    <cellStyle name="40% - 强调文字颜色 4 38 11" xfId="19171" xr:uid="{0000000E-2C48-4962-96A5-9A0C217C6C2A}"/>
    <cellStyle name="40% - 强调文字颜色 4 38 12" xfId="19172" xr:uid="{64CDE360-F988-4BB6-A86E-FEBDEB04BA0C}"/>
    <cellStyle name="40% - 强调文字颜色 4 38 13" xfId="19173" xr:uid="{2C0C7A8D-5AF7-4A25-AD0F-DAD46955F1DD}"/>
    <cellStyle name="40% - 强调文字颜色 4 38 14" xfId="19174" xr:uid="{2DAF19D4-AB6E-4544-A5B4-E13A60702251}"/>
    <cellStyle name="40% - 强调文字颜色 4 38 15" xfId="19169" xr:uid="{3E2D42F6-3497-424B-AC97-D0C152558EDD}"/>
    <cellStyle name="40% - 强调文字颜色 4 38 2" xfId="12543" xr:uid="{8AAB68A2-F5AC-44B6-BEDD-61E8CD123061}"/>
    <cellStyle name="40% - 强调文字颜色 4 38 2 2" xfId="19175" xr:uid="{FE817096-4686-4FA2-B916-D7C80F81CAF5}"/>
    <cellStyle name="40% - 强调文字颜色 4 38 3" xfId="19176" xr:uid="{2273DA29-D502-499A-90FC-BA5259E0F6E6}"/>
    <cellStyle name="40% - 强调文字颜色 4 38 4" xfId="19177" xr:uid="{B6C68293-F827-402D-920A-1F732931CF7A}"/>
    <cellStyle name="40% - 强调文字颜色 4 38 5" xfId="19178" xr:uid="{E9C25E86-01DA-4875-9F7B-54C437C2E1FC}"/>
    <cellStyle name="40% - 强调文字颜色 4 38 6" xfId="19179" xr:uid="{F673198D-C682-4BC5-B89A-0469EFCD15C2}"/>
    <cellStyle name="40% - 强调文字颜色 4 38 7" xfId="19180" xr:uid="{5361D5D0-1603-41A3-A409-248AC4405101}"/>
    <cellStyle name="40% - 强调文字颜色 4 38 8" xfId="19181" xr:uid="{39E5EDEF-C75C-4C39-8BC8-8B2E6ED36E2B}"/>
    <cellStyle name="40% - 强调文字颜色 4 38 9" xfId="19182" xr:uid="{D4C393DB-60FA-4593-AD1A-9EC9BC60EB05}"/>
    <cellStyle name="40% - 强调文字颜色 4 39" xfId="2373" xr:uid="{E7135083-B2BD-4CF8-98E4-201AD2B9D6E4}"/>
    <cellStyle name="40% - 强调文字颜色 4 39 2" xfId="12544" xr:uid="{0AC95DB7-60F6-46E9-AACE-AC26AD406B05}"/>
    <cellStyle name="40% - 强调文字颜色 4 39 2 2" xfId="19184" xr:uid="{5C60BE14-E03D-4C69-8DEA-FFC7B05458BC}"/>
    <cellStyle name="40% - 强调文字颜色 4 39 3" xfId="19185" xr:uid="{5590A84D-AA34-4BEC-AD10-AE30EC7DD9D2}"/>
    <cellStyle name="40% - 强调文字颜色 4 39 4" xfId="19183" xr:uid="{738B808E-ED50-44DF-A875-869B4F5D855A}"/>
    <cellStyle name="40% - 强调文字颜色 4 4" xfId="1742" xr:uid="{07976397-FB16-4844-AB4D-234D17557A85}"/>
    <cellStyle name="40% - 强调文字颜色 4 4 10" xfId="4361" xr:uid="{38182B15-F7D7-45F8-B6C2-323BB364DE9E}"/>
    <cellStyle name="40% - 强调文字颜色 4 4 10 2" xfId="4362" xr:uid="{4037A8F9-472E-4504-92F5-B57E12BDF3CE}"/>
    <cellStyle name="40% - 强调文字颜色 4 4 11" xfId="2206" xr:uid="{88D34BD6-D25D-42B4-A47A-960EB3A96835}"/>
    <cellStyle name="40% - 强调文字颜色 4 4 11 2" xfId="4363" xr:uid="{A1291452-D7D7-4C2D-97D8-583C29FB28BD}"/>
    <cellStyle name="40% - 强调文字颜色 4 4 12" xfId="4364" xr:uid="{4B0BF427-57D8-43AC-8080-98FE68D0DA1C}"/>
    <cellStyle name="40% - 强调文字颜色 4 4 13" xfId="4365" xr:uid="{3ACFFBB9-9E07-4451-BF79-B3C0B59DBA2D}"/>
    <cellStyle name="40% - 强调文字颜色 4 4 13 2" xfId="4366" xr:uid="{6D535B2F-B6B7-418F-A907-9A8346B0B037}"/>
    <cellStyle name="40% - 强调文字颜色 4 4 14" xfId="4367" xr:uid="{FFDFF2CC-6F0A-4E50-A510-407D6A3E1261}"/>
    <cellStyle name="40% - 强调文字颜色 4 4 14 2" xfId="4368" xr:uid="{04BCA87B-BDC3-4F1F-A2CE-F48D6F162F3B}"/>
    <cellStyle name="40% - 强调文字颜色 4 4 15" xfId="4369" xr:uid="{BAAE4A66-0938-414C-A3CC-6F9D6B319E5F}"/>
    <cellStyle name="40% - 强调文字颜色 4 4 16" xfId="9968" xr:uid="{16A5FEAD-D698-4C5B-B183-A6B32F006223}"/>
    <cellStyle name="40% - 强调文字颜色 4 4 17" xfId="13390" xr:uid="{4C51B5FD-9E8A-4CCB-B25C-DE58E2AA7A8C}"/>
    <cellStyle name="40% - 强调文字颜色 4 4 18" xfId="19186" xr:uid="{7306B65C-4C17-4D02-B143-F14C9A57CA1B}"/>
    <cellStyle name="40% - 强调文字颜色 4 4 2" xfId="1744" xr:uid="{EE594BCB-E1DA-415B-BAB3-91060D1EEB97}"/>
    <cellStyle name="40% - 强调文字颜色 4 4 2 2" xfId="4370" xr:uid="{7EB706FC-390D-43D2-87E5-B0DFAC55D5ED}"/>
    <cellStyle name="40% - 强调文字颜色 4 4 2 2 2" xfId="19188" xr:uid="{C54CAADA-33AA-4099-92D5-4F57308A7489}"/>
    <cellStyle name="40% - 强调文字颜色 4 4 2 3" xfId="9969" xr:uid="{4E959C7A-324A-4595-B82E-7300B161A371}"/>
    <cellStyle name="40% - 强调文字颜色 4 4 2 4" xfId="19187" xr:uid="{55286FAB-A7D1-4C99-88BE-87161E8F8BEA}"/>
    <cellStyle name="40% - 强调文字颜色 4 4 3" xfId="4371" xr:uid="{CD3A922C-7AEB-4ACF-8523-3103B8239813}"/>
    <cellStyle name="40% - 强调文字颜色 4 4 3 2" xfId="4372" xr:uid="{0FD5A7AC-11DE-4C71-900E-AA1E165F76B9}"/>
    <cellStyle name="40% - 强调文字颜色 4 4 3 3" xfId="9970" xr:uid="{3B86E012-6733-4F0D-9049-82BB39E445D8}"/>
    <cellStyle name="40% - 强调文字颜色 4 4 3 4" xfId="19189" xr:uid="{17CB2F70-CB79-4BED-A096-366C69FD6943}"/>
    <cellStyle name="40% - 强调文字颜色 4 4 4" xfId="4374" xr:uid="{D1649EA7-737F-446B-9F40-632F11C0F445}"/>
    <cellStyle name="40% - 强调文字颜色 4 4 4 2" xfId="4375" xr:uid="{F86E0901-4C70-41F8-BEEA-3885B352492F}"/>
    <cellStyle name="40% - 强调文字颜色 4 4 4 3" xfId="19190" xr:uid="{38DED19A-56A3-4C9F-B124-6DF5DBE60824}"/>
    <cellStyle name="40% - 强调文字颜色 4 4 5" xfId="3040" xr:uid="{D365706A-DB4D-4C50-89CE-CED2C9CE3A33}"/>
    <cellStyle name="40% - 强调文字颜色 4 4 5 2" xfId="4376" xr:uid="{85474E42-254B-47C9-A4D2-C6FCFBE12D4B}"/>
    <cellStyle name="40% - 强调文字颜色 4 4 6" xfId="1578" xr:uid="{235DE2CA-EA14-4919-B687-31BB009C446B}"/>
    <cellStyle name="40% - 强调文字颜色 4 4 6 2" xfId="4377" xr:uid="{3941C768-19F0-444E-9174-1B180CAFC917}"/>
    <cellStyle name="40% - 强调文字颜色 4 4 7" xfId="464" xr:uid="{6E0ECFA1-D275-45A7-890D-5AC4BA70AE7A}"/>
    <cellStyle name="40% - 强调文字颜色 4 4 7 2" xfId="2387" xr:uid="{CF0D81D1-DDC1-4CEE-A069-601686F4D539}"/>
    <cellStyle name="40% - 强调文字颜色 4 4 8" xfId="2390" xr:uid="{A40EF0AC-1A78-48CD-A6D9-D9484C4F026C}"/>
    <cellStyle name="40% - 强调文字颜色 4 4 8 2" xfId="2392" xr:uid="{68F821FE-81C8-43BA-9201-3A3F1621C3AC}"/>
    <cellStyle name="40% - 强调文字颜色 4 4 9" xfId="2394" xr:uid="{63C105AD-7EB4-49A4-B3DE-967801325419}"/>
    <cellStyle name="40% - 强调文字颜色 4 40" xfId="2300" xr:uid="{D6F9BAF1-4B3D-4BA2-B30F-C0138F43CF3F}"/>
    <cellStyle name="40% - 强调文字颜色 4 40 2" xfId="12545" xr:uid="{0A453E81-4247-4A52-A948-63A63FDEA214}"/>
    <cellStyle name="40% - 强调文字颜色 4 40 2 2" xfId="19192" xr:uid="{3FA1EC1A-FEDF-4F08-A884-6333C3DF6E16}"/>
    <cellStyle name="40% - 强调文字颜色 4 40 3" xfId="19191" xr:uid="{4038F6B7-7EE6-4C24-B285-89BCD4208CA8}"/>
    <cellStyle name="40% - 强调文字颜色 4 41" xfId="2359" xr:uid="{72D80E82-92D9-42D4-BE58-9AEE038E5C4B}"/>
    <cellStyle name="40% - 强调文字颜色 4 41 2" xfId="12546" xr:uid="{67474B6D-76B4-466F-8333-379C2164DD00}"/>
    <cellStyle name="40% - 强调文字颜色 4 41 2 2" xfId="19194" xr:uid="{BA180323-A210-4284-A6FA-2DDE1F8E620E}"/>
    <cellStyle name="40% - 强调文字颜色 4 41 3" xfId="19193" xr:uid="{0BC52126-96BF-4064-AF15-B7798068DD14}"/>
    <cellStyle name="40% - 强调文字颜色 4 42" xfId="2364" xr:uid="{AC6627D0-C190-4B44-8B47-7C05CC3F8B7C}"/>
    <cellStyle name="40% - 强调文字颜色 4 42 2" xfId="12547" xr:uid="{760E798D-BE52-441F-8233-170EDD64EBE1}"/>
    <cellStyle name="40% - 强调文字颜色 4 42 2 2" xfId="19196" xr:uid="{6175BA6F-A71A-482E-93AB-08B99BA2362D}"/>
    <cellStyle name="40% - 强调文字颜色 4 42 3" xfId="19195" xr:uid="{0A81568E-A6EB-44E3-9B73-AE2C78D86670}"/>
    <cellStyle name="40% - 强调文字颜色 4 43" xfId="2369" xr:uid="{C1C51113-2A3A-44E3-A27A-05E76A3057EA}"/>
    <cellStyle name="40% - 强调文字颜色 4 43 2" xfId="12548" xr:uid="{59DF4808-FA31-4409-A4F6-609F4D871E72}"/>
    <cellStyle name="40% - 强调文字颜色 4 43 2 2" xfId="19198" xr:uid="{247B8191-58B0-42AB-98BA-BF580C70076D}"/>
    <cellStyle name="40% - 强调文字颜色 4 43 3" xfId="19197" xr:uid="{3516FDFD-3FBE-467B-9ED8-9F7F6EF0B59E}"/>
    <cellStyle name="40% - 强调文字颜色 4 44" xfId="2374" xr:uid="{7709740E-C710-4B46-9592-13AF6F236CC8}"/>
    <cellStyle name="40% - 强调文字颜色 4 44 2" xfId="12549" xr:uid="{E44D5558-9E4D-4F08-B622-C18A9C99D1D8}"/>
    <cellStyle name="40% - 强调文字颜色 4 44 2 2" xfId="19200" xr:uid="{0C42B408-1FE9-4A25-ADB3-3A3A31438B6E}"/>
    <cellStyle name="40% - 强调文字颜色 4 44 3" xfId="19199" xr:uid="{1AE9E128-8D8B-4B9B-B163-410B7E013C7F}"/>
    <cellStyle name="40% - 强调文字颜色 4 45" xfId="273" xr:uid="{092E5B31-FB53-4B20-94B8-53CEBAB1534D}"/>
    <cellStyle name="40% - 强调文字颜色 4 45 2" xfId="12550" xr:uid="{DDE8ECE5-8EDE-41EC-968F-D531FFCCB5DE}"/>
    <cellStyle name="40% - 强调文字颜色 4 45 2 2" xfId="19202" xr:uid="{19F568AD-693F-4719-8FBC-7AFEB17E33A4}"/>
    <cellStyle name="40% - 强调文字颜色 4 45 3" xfId="19201" xr:uid="{03A729C3-286A-49B7-9BA3-AE17B090B151}"/>
    <cellStyle name="40% - 强调文字颜色 4 46" xfId="46" xr:uid="{4430FAA1-6268-4765-9625-301A31A7013E}"/>
    <cellStyle name="40% - 强调文字颜色 4 46 2" xfId="12551" xr:uid="{F4308DFB-B289-4039-B607-E2E30A7D3428}"/>
    <cellStyle name="40% - 强调文字颜色 4 46 2 2" xfId="19204" xr:uid="{D0807386-B352-4761-96F0-6CAB3B0732AA}"/>
    <cellStyle name="40% - 强调文字颜色 4 46 3" xfId="19203" xr:uid="{DDEE7E56-FCBE-4F1E-92BE-2F36CE04B5FC}"/>
    <cellStyle name="40% - 强调文字颜色 4 47" xfId="280" xr:uid="{79E7D7C1-F2EE-4707-BF46-7CCEA0D8E2B4}"/>
    <cellStyle name="40% - 强调文字颜色 4 47 2" xfId="12552" xr:uid="{F3AA9E31-55B8-41D6-AAAE-58443A60D85B}"/>
    <cellStyle name="40% - 强调文字颜色 4 47 3" xfId="19205" xr:uid="{77D65AF1-C7FE-4EFE-A444-7DBF3899D78B}"/>
    <cellStyle name="40% - 强调文字颜色 4 48" xfId="288" xr:uid="{13372DFA-5F16-4227-9DF4-EDAA14A7324E}"/>
    <cellStyle name="40% - 强调文字颜色 4 48 2" xfId="12553" xr:uid="{C8C229C4-81DE-47EC-A836-EAB5282C211C}"/>
    <cellStyle name="40% - 强调文字颜色 4 48 3" xfId="19206" xr:uid="{38408F38-2227-4EA7-BD61-6F5591DB478E}"/>
    <cellStyle name="40% - 强调文字颜色 4 49" xfId="301" xr:uid="{953F1DD3-76AD-437F-9994-0D001C651C1C}"/>
    <cellStyle name="40% - 强调文字颜色 4 49 2" xfId="12554" xr:uid="{5FE74A62-0DA5-4243-9970-15FA51748429}"/>
    <cellStyle name="40% - 强调文字颜色 4 49 3" xfId="19207" xr:uid="{471A37F4-4452-44B7-AFC2-E153527AD2CC}"/>
    <cellStyle name="40% - 强调文字颜色 4 5" xfId="1746" xr:uid="{28D0991A-7FC9-492D-94CA-CA88611948DA}"/>
    <cellStyle name="40% - 强调文字颜色 4 5 10" xfId="4378" xr:uid="{35D37BA8-6690-4554-B5AC-05F25E6A2DB2}"/>
    <cellStyle name="40% - 强调文字颜色 4 5 10 2" xfId="202" xr:uid="{5753B7E3-7390-4B49-84DC-7CA3594510BB}"/>
    <cellStyle name="40% - 强调文字颜色 4 5 11" xfId="4379" xr:uid="{1D59AD17-4638-4BD6-A5B4-0D095BC8D851}"/>
    <cellStyle name="40% - 强调文字颜色 4 5 11 2" xfId="223" xr:uid="{7658B194-25AB-4C94-AFEF-031CE78E5A5E}"/>
    <cellStyle name="40% - 强调文字颜色 4 5 12" xfId="2674" xr:uid="{493DF7AB-75E1-4403-B44A-C14CF9435E89}"/>
    <cellStyle name="40% - 强调文字颜色 4 5 13" xfId="1049" xr:uid="{6CF9C895-A175-4F36-A6FA-C556AFD3A4C6}"/>
    <cellStyle name="40% - 强调文字颜色 4 5 13 2" xfId="253" xr:uid="{98F32D48-D7F8-422C-878E-E4260D630A3A}"/>
    <cellStyle name="40% - 强调文字颜色 4 5 14" xfId="595" xr:uid="{90619A02-E27E-4213-9AF9-C810AD4D5CD6}"/>
    <cellStyle name="40% - 强调文字颜色 4 5 14 2" xfId="289" xr:uid="{4048F1BD-A5C1-4A02-89EA-F9C1F5AB75C8}"/>
    <cellStyle name="40% - 强调文字颜色 4 5 15" xfId="601" xr:uid="{BA44B08A-232A-4BE6-BE47-305CA0943DF3}"/>
    <cellStyle name="40% - 强调文字颜色 4 5 16" xfId="9971" xr:uid="{FDEA0B89-D786-46E3-BCE8-90B9E4EF26BC}"/>
    <cellStyle name="40% - 强调文字颜色 4 5 17" xfId="13369" xr:uid="{08938E74-38DD-436D-8285-E9E1BC690FE6}"/>
    <cellStyle name="40% - 强调文字颜色 4 5 18" xfId="19208" xr:uid="{8F7402F2-97C1-4E77-8F6B-55CABAE0CADD}"/>
    <cellStyle name="40% - 强调文字颜色 4 5 2" xfId="1748" xr:uid="{5ECB9CBA-6728-47EE-A7DD-B983A79D2A3F}"/>
    <cellStyle name="40% - 强调文字颜色 4 5 2 2" xfId="4380" xr:uid="{5B9E6C85-61DB-4B25-993C-E8638853A78C}"/>
    <cellStyle name="40% - 强调文字颜色 4 5 2 2 2" xfId="19210" xr:uid="{12F143BB-106F-4925-A836-BE9E7737E70A}"/>
    <cellStyle name="40% - 强调文字颜色 4 5 2 3" xfId="9972" xr:uid="{7447EA5A-A399-493E-88A1-922CE83393F0}"/>
    <cellStyle name="40% - 强调文字颜色 4 5 2 4" xfId="19209" xr:uid="{9A0D426E-2901-4AEF-9166-210A4A2DCFF0}"/>
    <cellStyle name="40% - 强调文字颜色 4 5 3" xfId="2038" xr:uid="{67B84AFB-4FC6-4DE8-BED0-A51307AD3667}"/>
    <cellStyle name="40% - 强调文字颜色 4 5 3 2" xfId="4381" xr:uid="{47E3087B-05A7-4101-8780-5CC046BD8DFE}"/>
    <cellStyle name="40% - 强调文字颜色 4 5 3 3" xfId="9973" xr:uid="{E0355B99-17BD-44CF-AAA4-2C81253D9CDE}"/>
    <cellStyle name="40% - 强调文字颜色 4 5 3 4" xfId="19211" xr:uid="{C5F0F88C-6044-4C83-BA0E-D07774A63423}"/>
    <cellStyle name="40% - 强调文字颜色 4 5 4" xfId="4383" xr:uid="{33375AA1-88C7-4796-8095-FEDE98A3CC38}"/>
    <cellStyle name="40% - 强调文字颜色 4 5 4 2" xfId="4384" xr:uid="{B73479A4-BC16-429B-8296-1E401CF361B6}"/>
    <cellStyle name="40% - 强调文字颜色 4 5 4 3" xfId="19212" xr:uid="{190A7862-5799-48D1-BE96-F81429555C5D}"/>
    <cellStyle name="40% - 强调文字颜色 4 5 5" xfId="4385" xr:uid="{47F02443-C2E7-4349-826C-8ABB3295F904}"/>
    <cellStyle name="40% - 强调文字颜色 4 5 5 2" xfId="476" xr:uid="{97006B5A-CE75-4A82-8186-14924D96061A}"/>
    <cellStyle name="40% - 强调文字颜色 4 5 6" xfId="1866" xr:uid="{E23D4BFC-3EE3-4D7F-9313-4A85D2BCC013}"/>
    <cellStyle name="40% - 强调文字颜色 4 5 6 2" xfId="1298" xr:uid="{326076BD-B548-4FB3-ACBB-87436DDDA05E}"/>
    <cellStyle name="40% - 强调文字颜色 4 5 7" xfId="687" xr:uid="{D49B5BAC-711A-406E-81FD-C53F80773D36}"/>
    <cellStyle name="40% - 强调文字颜色 4 5 7 2" xfId="2416" xr:uid="{D1C5F409-B1A6-436F-B023-C2D680ED2F65}"/>
    <cellStyle name="40% - 强调文字颜色 4 5 8" xfId="2418" xr:uid="{E70E84FD-5E4A-4693-BBB9-9265078F4CD6}"/>
    <cellStyle name="40% - 强调文字颜色 4 5 8 2" xfId="2420" xr:uid="{D0B58CBC-ACC5-45DB-96B8-B97FE3D5EA83}"/>
    <cellStyle name="40% - 强调文字颜色 4 5 9" xfId="28" xr:uid="{AC47B97C-6C41-4C19-A122-B8925866A5EB}"/>
    <cellStyle name="40% - 强调文字颜色 4 50" xfId="272" xr:uid="{27ABE4EA-5413-4817-B7A8-4D198EACF4AE}"/>
    <cellStyle name="40% - 强调文字颜色 4 50 2" xfId="12555" xr:uid="{5D13D8F1-2A3C-48B1-AD9E-23376E0FE9B4}"/>
    <cellStyle name="40% - 强调文字颜色 4 50 3" xfId="19213" xr:uid="{6FECAE38-CC0E-43C0-B773-91437D34984E}"/>
    <cellStyle name="40% - 强调文字颜色 4 51" xfId="47" xr:uid="{9E3226D9-B814-4561-8C3B-B7CAF41292B4}"/>
    <cellStyle name="40% - 强调文字颜色 4 51 2" xfId="12556" xr:uid="{AA600911-D2FE-4791-A8D5-F31D1592E6C5}"/>
    <cellStyle name="40% - 强调文字颜色 4 51 3" xfId="19214" xr:uid="{CC02477E-DE2F-4E2E-8DF4-AE15FE3D60EB}"/>
    <cellStyle name="40% - 强调文字颜色 4 52" xfId="279" xr:uid="{3075651D-D703-4A88-8B54-7300A41EE7CA}"/>
    <cellStyle name="40% - 强调文字颜色 4 52 2" xfId="12557" xr:uid="{30700B25-74DE-4A30-A0A8-943FF6DE09EC}"/>
    <cellStyle name="40% - 强调文字颜色 4 52 3" xfId="19215" xr:uid="{92C01CE0-11CB-45C0-AF08-E9F5824D2831}"/>
    <cellStyle name="40% - 强调文字颜色 4 53" xfId="287" xr:uid="{5844CE51-892A-4ED3-B0AE-7C2CC155B115}"/>
    <cellStyle name="40% - 强调文字颜色 4 53 2" xfId="12558" xr:uid="{58D50B49-D799-46F8-96C3-23E7826A7369}"/>
    <cellStyle name="40% - 强调文字颜色 4 53 3" xfId="19216" xr:uid="{1AFA660D-6863-4D7C-9C56-4F4D6F4A3216}"/>
    <cellStyle name="40% - 强调文字颜色 4 54" xfId="300" xr:uid="{21A35833-6D63-47B4-A6B3-CF7B7519101B}"/>
    <cellStyle name="40% - 强调文字颜色 4 54 2" xfId="12559" xr:uid="{68138A29-3FE9-4DDB-B459-4CF22B46A7A9}"/>
    <cellStyle name="40% - 强调文字颜色 4 54 3" xfId="19217" xr:uid="{E2BD3E6F-C64B-42C9-898C-28083C7CB848}"/>
    <cellStyle name="40% - 强调文字颜色 4 55" xfId="309" xr:uid="{B3C62163-4A18-4C05-A1CF-4FF4362A6BDA}"/>
    <cellStyle name="40% - 强调文字颜色 4 55 2" xfId="12560" xr:uid="{70973830-4ACB-47A5-A524-A214B6873E76}"/>
    <cellStyle name="40% - 强调文字颜色 4 55 3" xfId="19218" xr:uid="{84A3C6DB-3A0D-42B3-B405-A32FD39E007E}"/>
    <cellStyle name="40% - 强调文字颜色 4 56" xfId="316" xr:uid="{9767D5CC-BA9A-4753-85A7-90D0B19DC3BD}"/>
    <cellStyle name="40% - 强调文字颜色 4 56 2" xfId="12561" xr:uid="{684062D1-C9C0-4BF4-A994-F8330DB800A5}"/>
    <cellStyle name="40% - 强调文字颜色 4 56 3" xfId="19219" xr:uid="{CF3F5451-E00C-47D2-AD64-A12456F96364}"/>
    <cellStyle name="40% - 强调文字颜色 4 57" xfId="1147" xr:uid="{C8F2F695-D6A1-4D5A-8A3C-6D9E7CA8FE56}"/>
    <cellStyle name="40% - 强调文字颜色 4 57 2" xfId="12562" xr:uid="{BD5F09AA-4D5D-4A2A-86DC-80A4E7F2FA06}"/>
    <cellStyle name="40% - 强调文字颜色 4 58" xfId="1154" xr:uid="{04320A25-2E81-4D17-8371-4BC01DCC72CE}"/>
    <cellStyle name="40% - 强调文字颜色 4 58 2" xfId="12563" xr:uid="{C9DC2CAD-5CA6-47C8-88BA-ED8F6B729FEF}"/>
    <cellStyle name="40% - 强调文字颜色 4 59" xfId="903" xr:uid="{6CD78E37-BA5C-48E1-9166-41A0A3475CD4}"/>
    <cellStyle name="40% - 强调文字颜色 4 59 2" xfId="12564" xr:uid="{0CBFB9E1-4B3D-47AC-B2AD-31857BA3158E}"/>
    <cellStyle name="40% - 强调文字颜色 4 6" xfId="1750" xr:uid="{A30C3219-C1CB-481D-B219-4BBABACC5E2C}"/>
    <cellStyle name="40% - 强调文字颜色 4 6 10" xfId="19220" xr:uid="{11C43D3D-2546-4363-980A-F94580A9F236}"/>
    <cellStyle name="40% - 强调文字颜色 4 6 2" xfId="4386" xr:uid="{48B98081-2C55-408D-BF1A-65A3797C692E}"/>
    <cellStyle name="40% - 强调文字颜色 4 6 2 2" xfId="9975" xr:uid="{A122D167-2356-4DCD-8247-0EFB18F6895E}"/>
    <cellStyle name="40% - 强调文字颜色 4 6 2 2 2" xfId="19222" xr:uid="{7DE187B2-02FD-4F41-81B8-45A99B7D7C13}"/>
    <cellStyle name="40% - 强调文字颜色 4 6 2 3" xfId="19221" xr:uid="{9FCA32D5-2498-4C79-A62F-B9B1C24E4BFF}"/>
    <cellStyle name="40% - 强调文字颜色 4 6 3" xfId="4387" xr:uid="{49257528-F15D-49C3-86BB-579DF267CBDC}"/>
    <cellStyle name="40% - 强调文字颜色 4 6 3 2" xfId="4388" xr:uid="{FDD058CA-A48B-4657-AE86-0023035069AF}"/>
    <cellStyle name="40% - 强调文字颜色 4 6 3 3" xfId="9976" xr:uid="{2E2B4493-BBE9-44EA-A01B-F898F25F9A24}"/>
    <cellStyle name="40% - 强调文字颜色 4 6 3 4" xfId="19223" xr:uid="{632162AB-5E89-4D0C-A9E5-49EC02F89F38}"/>
    <cellStyle name="40% - 强调文字颜色 4 6 4" xfId="4389" xr:uid="{03BE1789-91E6-4D6D-9C6D-9179ADE1F2E1}"/>
    <cellStyle name="40% - 强调文字颜色 4 6 4 2" xfId="4390" xr:uid="{28F8C44C-AB62-4589-8537-B11FEC703E5A}"/>
    <cellStyle name="40% - 强调文字颜色 4 6 4 3" xfId="19224" xr:uid="{44DC214B-A59B-4A1F-B065-7B49CCDEC64B}"/>
    <cellStyle name="40% - 强调文字颜色 4 6 5" xfId="3049" xr:uid="{DA5D44B3-F36E-4DDE-A939-B9F28C851308}"/>
    <cellStyle name="40% - 强调文字颜色 4 6 6" xfId="4391" xr:uid="{ADB83612-18F4-416C-93E9-A29D7E217947}"/>
    <cellStyle name="40% - 强调文字颜色 4 6 6 2" xfId="3682" xr:uid="{87C7B399-2538-45E4-8993-9D6F1FD30833}"/>
    <cellStyle name="40% - 强调文字颜色 4 6 7" xfId="703" xr:uid="{37B66FE6-4734-4967-B894-BD59D5CA351D}"/>
    <cellStyle name="40% - 强调文字颜色 4 6 7 2" xfId="1674" xr:uid="{B121916F-0789-412F-BD74-D9DB7F1F2418}"/>
    <cellStyle name="40% - 强调文字颜色 4 6 8" xfId="9974" xr:uid="{9F2DC088-AD9C-4544-9C54-6DB45E6E3D9F}"/>
    <cellStyle name="40% - 强调文字颜色 4 6 9" xfId="13345" xr:uid="{72C4B0FA-8742-4B6B-A07B-8D1CEE311062}"/>
    <cellStyle name="40% - 强调文字颜色 4 60" xfId="308" xr:uid="{D1969ADE-CD57-4F50-9306-DCEB75799119}"/>
    <cellStyle name="40% - 强调文字颜色 4 60 2" xfId="12566" xr:uid="{CE9AA8E8-B3A3-4569-9F95-841D1F9FB7CD}"/>
    <cellStyle name="40% - 强调文字颜色 4 61" xfId="315" xr:uid="{3F876863-D154-4861-B0B7-6F199C956393}"/>
    <cellStyle name="40% - 强调文字颜色 4 61 2" xfId="12567" xr:uid="{D9FD2613-F469-4372-AD89-803211AA2F46}"/>
    <cellStyle name="40% - 强调文字颜色 4 62" xfId="1148" xr:uid="{8314033F-9753-4D9C-9991-C2511B437BE2}"/>
    <cellStyle name="40% - 强调文字颜色 4 62 2" xfId="12568" xr:uid="{14E8CA5B-D55C-45CC-9643-FDD96B51B530}"/>
    <cellStyle name="40% - 强调文字颜色 4 63" xfId="1155" xr:uid="{A58C8F6C-7D8D-4A75-88CD-D8F8EBC85C5F}"/>
    <cellStyle name="40% - 强调文字颜色 4 63 2" xfId="12569" xr:uid="{AE789EF0-7DA8-4549-8DE4-0F7FF6D16218}"/>
    <cellStyle name="40% - 强调文字颜色 4 64" xfId="904" xr:uid="{DD522030-76C3-4BA1-A39C-DEA14B6B157B}"/>
    <cellStyle name="40% - 强调文字颜色 4 64 2" xfId="12570" xr:uid="{8327D03F-B164-464C-B7E3-8BC8C453403D}"/>
    <cellStyle name="40% - 强调文字颜色 4 65" xfId="1159" xr:uid="{448704EE-4428-44DF-A234-D1D263E75085}"/>
    <cellStyle name="40% - 强调文字颜色 4 65 2" xfId="12571" xr:uid="{E3514E70-AE5E-4EC8-93A7-2B5E7945E0B3}"/>
    <cellStyle name="40% - 强调文字颜色 4 66" xfId="2444" xr:uid="{FF7D6880-B54B-4258-8378-C4EC54FB59E0}"/>
    <cellStyle name="40% - 强调文字颜色 4 66 2" xfId="12572" xr:uid="{B55044C7-EFEF-4851-BE6C-788B55E24030}"/>
    <cellStyle name="40% - 强调文字颜色 4 67" xfId="2448" xr:uid="{F51B85E4-3937-432F-AF36-AD4DB72613C3}"/>
    <cellStyle name="40% - 强调文字颜色 4 67 2" xfId="12573" xr:uid="{C207417D-EE69-4737-8878-8BEAF270363B}"/>
    <cellStyle name="40% - 强调文字颜色 4 68" xfId="2452" xr:uid="{B8587A5A-72FF-4DD1-B427-9E38467421EC}"/>
    <cellStyle name="40% - 强调文字颜色 4 68 2" xfId="12574" xr:uid="{D5393CB4-AC41-4D8A-B0A6-063E10EB521D}"/>
    <cellStyle name="40% - 强调文字颜色 4 69" xfId="2456" xr:uid="{E1532AA8-55C5-435D-AC45-86EC4022D625}"/>
    <cellStyle name="40% - 强调文字颜色 4 69 2" xfId="12575" xr:uid="{25968325-EC20-463C-93B8-2C02A03E5E29}"/>
    <cellStyle name="40% - 强调文字颜色 4 7" xfId="3201" xr:uid="{74C16BBC-FC3A-436C-86FD-235CE6C35E87}"/>
    <cellStyle name="40% - 强调文字颜色 4 7 2" xfId="4392" xr:uid="{CE744F42-2EE6-4A6D-897A-52E80D665474}"/>
    <cellStyle name="40% - 强调文字颜色 4 7 2 2" xfId="4393" xr:uid="{96C11704-4339-43D8-9401-A5A8DDC0F99F}"/>
    <cellStyle name="40% - 强调文字颜色 4 7 2 2 2" xfId="19227" xr:uid="{4E242556-C2E4-4372-9045-149722C7CB9A}"/>
    <cellStyle name="40% - 强调文字颜色 4 7 2 3" xfId="9978" xr:uid="{EEDD71FA-23DC-45A8-89A5-0022C42187D3}"/>
    <cellStyle name="40% - 强调文字颜色 4 7 2 4" xfId="19226" xr:uid="{10EEA26A-6C00-41DC-98F3-8596EEF5ACA5}"/>
    <cellStyle name="40% - 强调文字颜色 4 7 3" xfId="2045" xr:uid="{C867816D-1539-4B76-ABC3-087F370CE1EF}"/>
    <cellStyle name="40% - 强调文字颜色 4 7 3 2" xfId="4394" xr:uid="{AB103C91-8221-4885-9E27-71F48CD75E6C}"/>
    <cellStyle name="40% - 强调文字颜色 4 7 3 3" xfId="9979" xr:uid="{E44BD8A2-3073-4D8A-934C-D927F1260104}"/>
    <cellStyle name="40% - 强调文字颜色 4 7 3 4" xfId="19228" xr:uid="{AA2AB374-6131-466E-9490-EC2BC0054014}"/>
    <cellStyle name="40% - 强调文字颜色 4 7 4" xfId="4395" xr:uid="{6457635F-F63D-4578-92A9-BB926FB0996F}"/>
    <cellStyle name="40% - 强调文字颜色 4 7 4 2" xfId="19229" xr:uid="{833E0DAC-0FB9-4D33-933C-2FD9B236A5AB}"/>
    <cellStyle name="40% - 强调文字颜色 4 7 5" xfId="3054" xr:uid="{604F59F9-FD70-4139-8848-27B84C6C1DE2}"/>
    <cellStyle name="40% - 强调文字颜色 4 7 5 2" xfId="4396" xr:uid="{B1EA8892-514E-42ED-8F5C-524B9A4ECA93}"/>
    <cellStyle name="40% - 强调文字颜色 4 7 6" xfId="4397" xr:uid="{3261D5C1-0D11-4141-A090-00C341FBF9C9}"/>
    <cellStyle name="40% - 强调文字颜色 4 7 6 2" xfId="4398" xr:uid="{91729685-16ED-4E8C-9B18-660A5BF72E59}"/>
    <cellStyle name="40% - 强调文字颜色 4 7 7" xfId="9977" xr:uid="{B6A0300D-A2F2-41EA-87B3-718202809145}"/>
    <cellStyle name="40% - 强调文字颜色 4 7 8" xfId="13324" xr:uid="{97A3530E-9874-46E0-81BC-B542E26489AD}"/>
    <cellStyle name="40% - 强调文字颜色 4 7 9" xfId="19225" xr:uid="{0E8096E6-A170-4D22-9A5C-BB697270BEBD}"/>
    <cellStyle name="40% - 强调文字颜色 4 70" xfId="1160" xr:uid="{7B825EA5-AA18-41B4-9879-2D13319FACFA}"/>
    <cellStyle name="40% - 强调文字颜色 4 70 2" xfId="12577" xr:uid="{5ECB85FA-4A3D-47A6-BCEC-E5826614851C}"/>
    <cellStyle name="40% - 强调文字颜色 4 71" xfId="2445" xr:uid="{0AD79551-3306-498C-B209-E69BD9B2DA0C}"/>
    <cellStyle name="40% - 强调文字颜色 4 71 2" xfId="12578" xr:uid="{20FF165F-F163-4A61-AA80-986BB2B80A7A}"/>
    <cellStyle name="40% - 强调文字颜色 4 72" xfId="2449" xr:uid="{E8785A92-1891-4170-8C54-31127A8626A1}"/>
    <cellStyle name="40% - 强调文字颜色 4 72 2" xfId="12579" xr:uid="{A5AF02EE-0663-46EE-9A9B-98BC51ACC8A4}"/>
    <cellStyle name="40% - 强调文字颜色 4 73" xfId="2453" xr:uid="{4E4F4A8D-F8E6-44D4-AC59-23E74ADC5F7D}"/>
    <cellStyle name="40% - 强调文字颜色 4 73 2" xfId="12580" xr:uid="{8EA086DF-E050-4365-9A6C-E7FC3A27B6CB}"/>
    <cellStyle name="40% - 强调文字颜色 4 74" xfId="2457" xr:uid="{8AF24850-9339-465D-B5DF-10C457022C0C}"/>
    <cellStyle name="40% - 强调文字颜色 4 74 2" xfId="12581" xr:uid="{F5B8E93D-DE64-4AA2-95F0-32922BD7BCDC}"/>
    <cellStyle name="40% - 强调文字颜色 4 75" xfId="2460" xr:uid="{05BA9331-B4DF-4413-85DB-AD36C190278D}"/>
    <cellStyle name="40% - 强调文字颜色 4 75 2" xfId="12582" xr:uid="{0B508963-A9C7-4B1A-AE37-EAB779CBDDD7}"/>
    <cellStyle name="40% - 强调文字颜色 4 76" xfId="2476" xr:uid="{560F37B2-1011-4A91-8B38-3B3C4DF32C33}"/>
    <cellStyle name="40% - 强调文字颜色 4 76 2" xfId="12583" xr:uid="{A6D792BD-72FB-493F-904A-2A04F8B12275}"/>
    <cellStyle name="40% - 强调文字颜色 4 77" xfId="2480" xr:uid="{7D95ECC8-EFC6-4625-B288-16E47F4B96A7}"/>
    <cellStyle name="40% - 强调文字颜色 4 77 2" xfId="12584" xr:uid="{92A9B067-B21C-4DAB-83F7-CDF3A1940AA0}"/>
    <cellStyle name="40% - 强调文字颜色 4 78" xfId="2484" xr:uid="{001929E5-CDDE-4951-932D-45C9F5E4753B}"/>
    <cellStyle name="40% - 强调文字颜色 4 78 2" xfId="12585" xr:uid="{99EA1602-2C03-4784-884F-335D36349818}"/>
    <cellStyle name="40% - 强调文字颜色 4 79" xfId="2488" xr:uid="{565C20E0-DEBD-4627-981D-8354B6161513}"/>
    <cellStyle name="40% - 强调文字颜色 4 79 2" xfId="12586" xr:uid="{CB247126-AC80-4D04-9628-00FD3EF34D8F}"/>
    <cellStyle name="40% - 强调文字颜色 4 8" xfId="4400" xr:uid="{698ED81E-636E-4EA9-8D4B-D44AD4F7ADD8}"/>
    <cellStyle name="40% - 强调文字颜色 4 8 2" xfId="4401" xr:uid="{B20DC1E9-E225-4974-909D-BDF14E43FD12}"/>
    <cellStyle name="40% - 强调文字颜色 4 8 2 2" xfId="4402" xr:uid="{29CB6EFA-E4FA-43A5-80BC-12D0F08AE7BA}"/>
    <cellStyle name="40% - 强调文字颜色 4 8 2 2 2" xfId="19232" xr:uid="{B65A3E6D-88B7-4E08-A607-2AA7673B1D89}"/>
    <cellStyle name="40% - 强调文字颜色 4 8 2 3" xfId="9981" xr:uid="{935B7845-77EA-42D5-8993-4150CD8750CC}"/>
    <cellStyle name="40% - 强调文字颜色 4 8 2 4" xfId="19231" xr:uid="{588C976B-AE45-4FB8-86F9-62299A7622D5}"/>
    <cellStyle name="40% - 强调文字颜色 4 8 3" xfId="2050" xr:uid="{2B24A1F1-7A3F-4844-ABA7-942EEAA83AAD}"/>
    <cellStyle name="40% - 强调文字颜色 4 8 3 2" xfId="9982" xr:uid="{5AFFDDB8-2ED6-4BE5-B34D-994B6FCC2499}"/>
    <cellStyle name="40% - 强调文字颜色 4 8 3 3" xfId="19233" xr:uid="{779A4857-22D2-485C-985F-484544F0355D}"/>
    <cellStyle name="40% - 强调文字颜色 4 8 4" xfId="4403" xr:uid="{B41892AA-958E-4FF1-9445-914C6E948C49}"/>
    <cellStyle name="40% - 强调文字颜色 4 8 4 2" xfId="4404" xr:uid="{01A056EB-D57B-4BCE-B17C-E023D6729FE2}"/>
    <cellStyle name="40% - 强调文字颜色 4 8 4 3" xfId="19234" xr:uid="{D4C2DDD8-40EA-45A0-9A5A-5B80FD9B49A5}"/>
    <cellStyle name="40% - 强调文字颜色 4 8 5" xfId="4405" xr:uid="{3CC82B1E-EE82-4590-B18F-11BE8048DBC2}"/>
    <cellStyle name="40% - 强调文字颜色 4 8 5 2" xfId="4406" xr:uid="{6B497A27-B0B6-4EAC-BA43-9B3AD2D28DE8}"/>
    <cellStyle name="40% - 强调文字颜色 4 8 6" xfId="4407" xr:uid="{DB6EFE55-C054-4206-A72B-8DE0998D9122}"/>
    <cellStyle name="40% - 强调文字颜色 4 8 7" xfId="9980" xr:uid="{B822D222-A0A8-425C-9278-1469B3FF78B7}"/>
    <cellStyle name="40% - 强调文字颜色 4 8 8" xfId="13291" xr:uid="{CFD697DE-7BC6-4F7A-83F4-2CFB5EE7CF6E}"/>
    <cellStyle name="40% - 强调文字颜色 4 8 9" xfId="19230" xr:uid="{EA468ADD-8FC5-432A-9498-BD1EC343C660}"/>
    <cellStyle name="40% - 强调文字颜色 4 80" xfId="2461" xr:uid="{B057C48E-31A7-4745-89CC-E4D7EB4575BD}"/>
    <cellStyle name="40% - 强调文字颜色 4 80 2" xfId="12588" xr:uid="{B664517D-F8F2-47D2-960B-A3E7A7D7917E}"/>
    <cellStyle name="40% - 强调文字颜色 4 81" xfId="2477" xr:uid="{43761538-A505-4D75-ADA5-E39B3FB97561}"/>
    <cellStyle name="40% - 强调文字颜色 4 81 2" xfId="12589" xr:uid="{C043B88B-05FF-4794-AB99-C36B365D3A40}"/>
    <cellStyle name="40% - 强调文字颜色 4 82" xfId="2481" xr:uid="{E3430753-42AB-4964-9E1D-983D7CA1D002}"/>
    <cellStyle name="40% - 强调文字颜色 4 82 2" xfId="12590" xr:uid="{85955A36-9377-4B7A-BC64-CAC5D12BE9E3}"/>
    <cellStyle name="40% - 强调文字颜色 4 83" xfId="2485" xr:uid="{925E6A81-A3EC-4596-ABE4-9D6774BD16F0}"/>
    <cellStyle name="40% - 强调文字颜色 4 83 2" xfId="12591" xr:uid="{EB7B01BC-DFA8-40F4-BBF1-0D1D145376B7}"/>
    <cellStyle name="40% - 强调文字颜色 4 84" xfId="2489" xr:uid="{0A7045C3-3C14-47A5-AFED-0DF486EF0685}"/>
    <cellStyle name="40% - 强调文字颜色 4 84 2" xfId="12592" xr:uid="{ECBD43A0-947C-4013-B653-2F1484A72BD0}"/>
    <cellStyle name="40% - 强调文字颜色 4 85" xfId="2492" xr:uid="{04394F5C-B829-49FB-89D0-CA92AF7055C0}"/>
    <cellStyle name="40% - 强调文字颜色 4 86" xfId="2512" xr:uid="{80D2309F-6C84-48D0-B733-CCC131D43D15}"/>
    <cellStyle name="40% - 强调文字颜色 4 86 2" xfId="1402" xr:uid="{7023CC4A-5827-44DC-A6F0-867EF2C132EA}"/>
    <cellStyle name="40% - 强调文字颜色 4 87" xfId="2517" xr:uid="{B26E8A89-EFA4-42CA-8FAE-F0AF8299C517}"/>
    <cellStyle name="40% - 强调文字颜色 4 87 2" xfId="1424" xr:uid="{E341F580-771C-42DB-A392-819D08F9C97C}"/>
    <cellStyle name="40% - 强调文字颜色 4 88" xfId="2520" xr:uid="{39A28E22-3A49-4E9A-B2D4-BC8BB833C741}"/>
    <cellStyle name="40% - 强调文字颜色 4 88 2" xfId="1445" xr:uid="{BAD94CDB-95F3-4B36-B97B-5BAD9F8EE1AA}"/>
    <cellStyle name="40% - 强调文字颜色 4 89" xfId="2523" xr:uid="{E59A75AE-ED9E-4DBF-84C4-2CD85269D0E8}"/>
    <cellStyle name="40% - 强调文字颜色 4 9" xfId="4408" xr:uid="{E45F87A8-CCC4-40D8-BBB3-5AB47B2F948D}"/>
    <cellStyle name="40% - 强调文字颜色 4 9 2" xfId="4409" xr:uid="{855C534F-85F4-4D9F-8A45-5B63EE3EE54C}"/>
    <cellStyle name="40% - 强调文字颜色 4 9 2 2" xfId="4410" xr:uid="{815478B3-15F5-4AD2-8E0F-B510D255575C}"/>
    <cellStyle name="40% - 强调文字颜色 4 9 2 2 2" xfId="19237" xr:uid="{48DD8952-7AAF-4282-959E-734E7F19A419}"/>
    <cellStyle name="40% - 强调文字颜色 4 9 2 3" xfId="9984" xr:uid="{D3B7AEC9-6086-4DA3-B7BA-287C01E1004D}"/>
    <cellStyle name="40% - 强调文字颜色 4 9 2 4" xfId="19236" xr:uid="{71703B6E-3D34-4E10-8C6E-EA35FD667B0A}"/>
    <cellStyle name="40% - 强调文字颜色 4 9 3" xfId="4411" xr:uid="{29F95530-53EF-4951-AAB0-6ACB9CF2C5B3}"/>
    <cellStyle name="40% - 强调文字颜色 4 9 3 2" xfId="9985" xr:uid="{31A568C7-9992-423E-AF65-2F775D5FABE3}"/>
    <cellStyle name="40% - 强调文字颜色 4 9 3 3" xfId="19238" xr:uid="{DF104F59-D6D3-4DE5-B6BE-A43E55F47342}"/>
    <cellStyle name="40% - 强调文字颜色 4 9 4" xfId="4412" xr:uid="{D2FBE795-F9FC-48E8-82E1-0115204CD509}"/>
    <cellStyle name="40% - 强调文字颜色 4 9 4 2" xfId="4413" xr:uid="{854861A8-772C-4250-8B7F-DF1BA88A3942}"/>
    <cellStyle name="40% - 强调文字颜色 4 9 4 3" xfId="19239" xr:uid="{0996ABB4-6BEA-4D62-ADE2-E48B17DFC977}"/>
    <cellStyle name="40% - 强调文字颜色 4 9 5" xfId="4414" xr:uid="{AC6A688C-99EC-40DE-9ABA-E7A39B16EF28}"/>
    <cellStyle name="40% - 强调文字颜色 4 9 5 2" xfId="4415" xr:uid="{B3206B98-84D5-401A-8900-39478E8CF387}"/>
    <cellStyle name="40% - 强调文字颜色 4 9 6" xfId="4416" xr:uid="{ED6FDC65-B205-4C0C-9C31-755A97F76A10}"/>
    <cellStyle name="40% - 强调文字颜色 4 9 7" xfId="9983" xr:uid="{468C2568-8D96-47FF-9723-8AEF8A59BB92}"/>
    <cellStyle name="40% - 强调文字颜色 4 9 8" xfId="13281" xr:uid="{944FFDCE-2C73-44BD-B97D-94A81C29D63E}"/>
    <cellStyle name="40% - 强调文字颜色 4 9 9" xfId="19235" xr:uid="{9EA9719A-ED77-4CDD-A892-806B15BD3245}"/>
    <cellStyle name="40% - 强调文字颜色 4 90" xfId="2493" xr:uid="{75B2BA28-B9CA-46A2-85A5-32DD784483F0}"/>
    <cellStyle name="40% - 强调文字颜色 4 91" xfId="2513" xr:uid="{85C4E4B0-9028-43D5-AB99-8B086834219F}"/>
    <cellStyle name="40% - 强调文字颜色 4 92" xfId="9350" xr:uid="{D6A2C40E-DBC3-479B-906B-52FFA8C3872F}"/>
    <cellStyle name="40% - 强调文字颜色 4 92 2" xfId="27149" xr:uid="{70774398-1F74-46D2-91FD-E64DA061BDDE}"/>
    <cellStyle name="40% - 强调文字颜色 4 93" xfId="9932" xr:uid="{1C6F1966-B5E8-4BC8-8B9F-8E5A7B1B95F9}"/>
    <cellStyle name="40% - 强调文字颜色 4 94" xfId="13608" xr:uid="{FB8C1604-5170-4413-9DB4-8BF0E7854776}"/>
    <cellStyle name="40% - 强调文字颜色 4 95" xfId="13444" xr:uid="{921F9256-6B9D-4AB9-8B85-FD1200A7D166}"/>
    <cellStyle name="40% - 强调文字颜色 5" xfId="4417" xr:uid="{B01FEA2A-1C26-4B24-BCED-9CACA9C0FFB7}"/>
    <cellStyle name="40% - 强调文字颜色 5 10" xfId="1272" xr:uid="{010AE01D-2540-4FC8-AECE-D91A2FEA27EE}"/>
    <cellStyle name="40% - 强调文字颜色 5 10 2" xfId="4418" xr:uid="{085FB331-25D2-43DF-A543-77C036397BF0}"/>
    <cellStyle name="40% - 强调文字颜色 5 10 2 2" xfId="682" xr:uid="{896D84D9-831D-42DC-82D6-DDCA79D44574}"/>
    <cellStyle name="40% - 强调文字颜色 5 10 2 2 2" xfId="19242" xr:uid="{841E2DC7-874E-4B12-A5BC-9943933269D7}"/>
    <cellStyle name="40% - 强调文字颜色 5 10 2 3" xfId="9988" xr:uid="{C71F3566-17AE-44D4-A448-28E6A5E97797}"/>
    <cellStyle name="40% - 强调文字颜色 5 10 2 4" xfId="19241" xr:uid="{752CEBDE-5EC7-43E4-B440-02BDC6B69409}"/>
    <cellStyle name="40% - 强调文字颜色 5 10 3" xfId="4419" xr:uid="{BC03535D-AF86-43C5-B719-DE49D46A4DED}"/>
    <cellStyle name="40% - 强调文字颜色 5 10 3 2" xfId="9989" xr:uid="{D2F27325-51D3-4762-8329-752F5E40948B}"/>
    <cellStyle name="40% - 强调文字颜色 5 10 3 3" xfId="19243" xr:uid="{4EB5A019-7022-4F7B-AF46-F0E55C31F447}"/>
    <cellStyle name="40% - 强调文字颜色 5 10 4" xfId="4421" xr:uid="{C8A87E91-E167-467C-B738-0540B3CA0DAB}"/>
    <cellStyle name="40% - 强调文字颜色 5 10 4 2" xfId="828" xr:uid="{AA8DDAF3-95BA-461C-A94A-3C6E20A69656}"/>
    <cellStyle name="40% - 强调文字颜色 5 10 4 3" xfId="19244" xr:uid="{71D12E25-BA3D-4297-A2F5-62CA52C5611A}"/>
    <cellStyle name="40% - 强调文字颜色 5 10 5" xfId="4359" xr:uid="{3BE52E40-75EE-4FED-855F-8CEA33ACAB99}"/>
    <cellStyle name="40% - 强调文字颜色 5 10 5 2" xfId="881" xr:uid="{80AFC0F7-3484-466A-96EB-A7D863892EA1}"/>
    <cellStyle name="40% - 强调文字颜色 5 10 6" xfId="4207" xr:uid="{4FD95C84-FC81-4CB9-8A7F-0DD1CECE7167}"/>
    <cellStyle name="40% - 强调文字颜色 5 10 7" xfId="9987" xr:uid="{1A55FD62-4FB0-486C-9EE0-B4003FCBE16E}"/>
    <cellStyle name="40% - 强调文字颜色 5 10 8" xfId="13270" xr:uid="{A51BB2BF-E669-4646-A7E7-E25F8DEB899A}"/>
    <cellStyle name="40% - 强调文字颜色 5 10 9" xfId="19240" xr:uid="{054F70BF-0A6B-495D-8319-F9056594990C}"/>
    <cellStyle name="40% - 强调文字颜色 5 11" xfId="1275" xr:uid="{E66CC1D2-350C-4D9A-A1D4-34FEABDD4585}"/>
    <cellStyle name="40% - 强调文字颜色 5 11 2" xfId="1278" xr:uid="{645E9066-D65A-4493-B47D-B3C6E765841E}"/>
    <cellStyle name="40% - 强调文字颜色 5 11 2 2" xfId="2538" xr:uid="{E8940C66-C78D-4D97-9AD6-C0AD18970F77}"/>
    <cellStyle name="40% - 强调文字颜色 5 11 2 2 2" xfId="19247" xr:uid="{88C7B672-5355-4473-AD1E-FB1A4957A47D}"/>
    <cellStyle name="40% - 强调文字颜色 5 11 2 3" xfId="9991" xr:uid="{6B490496-3305-4908-8854-C89205B42A92}"/>
    <cellStyle name="40% - 强调文字颜色 5 11 2 4" xfId="19246" xr:uid="{81E89F9F-4B0F-4211-A3CD-927F7CD132C5}"/>
    <cellStyle name="40% - 强调文字颜色 5 11 3" xfId="2541" xr:uid="{3B77F927-8DDD-4678-87FA-06486B71C475}"/>
    <cellStyle name="40% - 强调文字颜色 5 11 3 2" xfId="9992" xr:uid="{97D5E0E0-0EA6-4E8F-B92C-B61CDB670172}"/>
    <cellStyle name="40% - 强调文字颜色 5 11 3 3" xfId="19248" xr:uid="{5340B73D-4C03-4938-929A-58349AE52528}"/>
    <cellStyle name="40% - 强调文字颜色 5 11 4" xfId="2543" xr:uid="{C9735A70-B6D5-4AF9-B023-0CAA18D6CDD2}"/>
    <cellStyle name="40% - 强调文字颜色 5 11 4 2" xfId="2546" xr:uid="{F52FF76F-E26D-4A91-A21E-7E1FAC111913}"/>
    <cellStyle name="40% - 强调文字颜色 5 11 4 3" xfId="19249" xr:uid="{4F34C7A2-1D68-47D8-8008-175D869E6CC3}"/>
    <cellStyle name="40% - 强调文字颜色 5 11 5" xfId="2319" xr:uid="{0892D2FA-180D-4EED-A8D4-39BDAED74093}"/>
    <cellStyle name="40% - 强调文字颜色 5 11 5 2" xfId="2548" xr:uid="{7C2D0366-AB91-41C9-AA00-B5AF7A636BD4}"/>
    <cellStyle name="40% - 强调文字颜色 5 11 6" xfId="2552" xr:uid="{BE8CDD70-A8F6-4D05-8656-97A54DB83248}"/>
    <cellStyle name="40% - 强调文字颜色 5 11 7" xfId="9990" xr:uid="{0B4501BF-12A9-476B-A39C-6FEEB3B0FB77}"/>
    <cellStyle name="40% - 强调文字颜色 5 11 8" xfId="13257" xr:uid="{5B99D4C4-D66A-455B-BD48-FA3B8415E217}"/>
    <cellStyle name="40% - 强调文字颜色 5 11 9" xfId="19245" xr:uid="{BDC3B6B1-E361-4A17-8E63-6868E954BD1D}"/>
    <cellStyle name="40% - 强调文字颜色 5 12" xfId="1281" xr:uid="{8273719B-693C-4820-8A7D-D5C233793E8C}"/>
    <cellStyle name="40% - 强调文字颜色 5 12 2" xfId="1284" xr:uid="{217E52EC-D847-4F57-9ED0-172161E7AE12}"/>
    <cellStyle name="40% - 强调文字颜色 5 12 2 2" xfId="2555" xr:uid="{777C70B5-9B81-4AED-B40B-4B2501DCAB4C}"/>
    <cellStyle name="40% - 强调文字颜色 5 12 2 2 2" xfId="19252" xr:uid="{426ECDC9-A260-490E-B5D7-FE1A3A5B9776}"/>
    <cellStyle name="40% - 强调文字颜色 5 12 2 3" xfId="9994" xr:uid="{8CC1A234-EF00-43BB-9C44-02F5A2B72267}"/>
    <cellStyle name="40% - 强调文字颜色 5 12 2 4" xfId="19251" xr:uid="{E2FBF4FC-54A6-45E7-A5DD-E0A7E0714CCE}"/>
    <cellStyle name="40% - 强调文字颜色 5 12 3" xfId="2558" xr:uid="{DC5AB479-73F0-437A-BC9F-F2249956C456}"/>
    <cellStyle name="40% - 强调文字颜色 5 12 3 2" xfId="9995" xr:uid="{93C86D79-97CF-49AA-9E7D-B0F39B425BCD}"/>
    <cellStyle name="40% - 强调文字颜色 5 12 3 3" xfId="19253" xr:uid="{ED6C8DEC-0EB3-4975-AB80-D900FAEE713E}"/>
    <cellStyle name="40% - 强调文字颜色 5 12 4" xfId="2560" xr:uid="{5C33BF44-4102-46C9-AC1B-DDB01AA29AC0}"/>
    <cellStyle name="40% - 强调文字颜色 5 12 4 2" xfId="2564" xr:uid="{ADB49CC4-E92C-420E-8567-8635A4D04A00}"/>
    <cellStyle name="40% - 强调文字颜色 5 12 4 3" xfId="19254" xr:uid="{18D10F8A-164F-498F-AF8E-356A22499282}"/>
    <cellStyle name="40% - 强调文字颜色 5 12 5" xfId="2328" xr:uid="{B4E59997-672D-4A4E-9188-0FB5A280D7FF}"/>
    <cellStyle name="40% - 强调文字颜色 5 12 5 2" xfId="2567" xr:uid="{4CC39552-AC2C-47E4-B7E0-F4AA7991C219}"/>
    <cellStyle name="40% - 强调文字颜色 5 12 6" xfId="2570" xr:uid="{89B3A6CA-F07D-46CD-876B-61C22659F473}"/>
    <cellStyle name="40% - 强调文字颜色 5 12 7" xfId="9993" xr:uid="{89C0214C-5FB8-4D81-B56B-24B548EF9392}"/>
    <cellStyle name="40% - 强调文字颜色 5 12 8" xfId="13244" xr:uid="{31B873BA-F280-4544-B50A-2D5F93F9870E}"/>
    <cellStyle name="40% - 强调文字颜色 5 12 9" xfId="19250" xr:uid="{74BD7F13-50D8-460C-98B4-C41E40F6D0AE}"/>
    <cellStyle name="40% - 强调文字颜色 5 13" xfId="2572" xr:uid="{BC32251F-89FD-4825-9B02-53412DB127AC}"/>
    <cellStyle name="40% - 强调文字颜色 5 13 2" xfId="2574" xr:uid="{ED07E3EF-40D3-4A8A-B5D2-01B581C71D15}"/>
    <cellStyle name="40% - 强调文字颜色 5 13 2 2" xfId="2577" xr:uid="{F039E8A2-027E-47BB-92B1-C5BCA8DD6898}"/>
    <cellStyle name="40% - 强调文字颜色 5 13 2 2 2" xfId="19257" xr:uid="{E1E33BAB-D2CC-44BC-94F2-53C4DF845C60}"/>
    <cellStyle name="40% - 强调文字颜色 5 13 2 3" xfId="9997" xr:uid="{0F741EDE-E894-45C4-B21A-84FCA93C4E1F}"/>
    <cellStyle name="40% - 强调文字颜色 5 13 2 4" xfId="19256" xr:uid="{57D14816-F567-41F0-9EEB-F5EB40163C95}"/>
    <cellStyle name="40% - 强调文字颜色 5 13 3" xfId="2580" xr:uid="{4D92E57F-DA10-4ECA-86B4-87B72FF7DD44}"/>
    <cellStyle name="40% - 强调文字颜色 5 13 3 2" xfId="9998" xr:uid="{5D109577-D724-4E59-9783-AD67A7890CC3}"/>
    <cellStyle name="40% - 强调文字颜色 5 13 3 3" xfId="19258" xr:uid="{0CF46E0C-27F1-4E74-B813-6912DB092D19}"/>
    <cellStyle name="40% - 强调文字颜色 5 13 4" xfId="2582" xr:uid="{29714B15-6181-4EB8-931F-9A455AB9BD77}"/>
    <cellStyle name="40% - 强调文字颜色 5 13 4 2" xfId="2584" xr:uid="{EA86D72E-562C-47D0-BD65-AF3DBEE411A1}"/>
    <cellStyle name="40% - 强调文字颜色 5 13 4 3" xfId="19259" xr:uid="{E7830400-F66C-4247-8767-D59B8CCB36D0}"/>
    <cellStyle name="40% - 强调文字颜色 5 13 5" xfId="2331" xr:uid="{69B74264-942A-4AC4-AB39-63142F9F1651}"/>
    <cellStyle name="40% - 强调文字颜色 5 13 5 2" xfId="2587" xr:uid="{7CF97659-C743-4B45-9C1F-9255BCCC84AD}"/>
    <cellStyle name="40% - 强调文字颜色 5 13 6" xfId="2591" xr:uid="{BC260A17-082A-491C-8F46-A9AF6B3ACF9A}"/>
    <cellStyle name="40% - 强调文字颜色 5 13 7" xfId="9996" xr:uid="{CD5641D2-A8A4-444D-A990-9654AFF6E010}"/>
    <cellStyle name="40% - 强调文字颜色 5 13 8" xfId="13231" xr:uid="{F7C3C151-A9CD-45F3-B192-87E5FFB4BAF7}"/>
    <cellStyle name="40% - 强调文字颜色 5 13 9" xfId="19255" xr:uid="{2517C065-5B9E-40DA-AA9B-D2AA20B44FEB}"/>
    <cellStyle name="40% - 强调文字颜色 5 14" xfId="2593" xr:uid="{C4A77D8E-DBE9-4A4E-932C-612D3BFD0042}"/>
    <cellStyle name="40% - 强调文字颜色 5 14 2" xfId="166" xr:uid="{4254E586-E0FB-4A5B-9EB0-A3B74DD5BB52}"/>
    <cellStyle name="40% - 强调文字颜色 5 14 2 2" xfId="404" xr:uid="{89EB7229-4437-4448-8A8B-C5766EEACC83}"/>
    <cellStyle name="40% - 强调文字颜色 5 14 2 2 2" xfId="19262" xr:uid="{38661F7A-C4BC-4D9F-9721-E12431617F34}"/>
    <cellStyle name="40% - 强调文字颜色 5 14 2 3" xfId="10000" xr:uid="{A9473458-D7B5-4E8A-A19C-AF42AC4C7B8A}"/>
    <cellStyle name="40% - 强调文字颜色 5 14 2 4" xfId="19261" xr:uid="{56DDD396-CBA6-4E4F-8C6A-D34C33D2B944}"/>
    <cellStyle name="40% - 强调文字颜色 5 14 3" xfId="174" xr:uid="{41D215DE-C710-4DF7-A962-C16277B88ABF}"/>
    <cellStyle name="40% - 强调文字颜色 5 14 3 2" xfId="10001" xr:uid="{6926DB49-016C-4F5A-A111-2A284554649E}"/>
    <cellStyle name="40% - 强调文字颜色 5 14 3 3" xfId="19263" xr:uid="{E6111770-89E9-495C-A1E5-D0F436ED48D2}"/>
    <cellStyle name="40% - 强调文字颜色 5 14 4" xfId="32" xr:uid="{AD31C6B0-68E7-4F31-AFD5-18DDA33AAE7E}"/>
    <cellStyle name="40% - 强调文字颜色 5 14 4 2" xfId="429" xr:uid="{25494C60-1C2C-48C0-8D94-10DA7B818F91}"/>
    <cellStyle name="40% - 强调文字颜色 5 14 4 3" xfId="19264" xr:uid="{6DE7FCE0-CD8E-43A5-9DA3-821DE5EC7921}"/>
    <cellStyle name="40% - 强调文字颜色 5 14 5" xfId="183" xr:uid="{B990564A-F931-4DF7-83C9-6082EBF2DBBE}"/>
    <cellStyle name="40% - 强调文字颜色 5 14 5 2" xfId="442" xr:uid="{AB4EDF24-63CD-4CB0-B0A1-79553004BDF1}"/>
    <cellStyle name="40% - 强调文字颜色 5 14 6" xfId="2597" xr:uid="{9685B814-BC40-48F7-9F36-B4DA25061689}"/>
    <cellStyle name="40% - 强调文字颜色 5 14 7" xfId="9999" xr:uid="{8D581464-C1E3-4F10-A03F-21E152F84444}"/>
    <cellStyle name="40% - 强调文字颜色 5 14 8" xfId="13218" xr:uid="{B12293C6-353C-4215-A523-034A5F8E4CDF}"/>
    <cellStyle name="40% - 强调文字颜色 5 14 9" xfId="19260" xr:uid="{A2CE0031-42DD-4774-875F-ABEA92FA8E9A}"/>
    <cellStyle name="40% - 强调文字颜色 5 15" xfId="2599" xr:uid="{980149C0-19DD-4703-A123-8CD339E49589}"/>
    <cellStyle name="40% - 强调文字颜色 5 15 2" xfId="2602" xr:uid="{56F757FC-11AC-4D92-875D-613D248B48F1}"/>
    <cellStyle name="40% - 强调文字颜色 5 15 2 2" xfId="10003" xr:uid="{6EABB64F-CE19-411B-8723-498F2A7443FB}"/>
    <cellStyle name="40% - 强调文字颜色 5 15 2 2 2" xfId="19267" xr:uid="{84A9546F-2D4A-482C-BDE4-65158F4A1702}"/>
    <cellStyle name="40% - 强调文字颜色 5 15 2 3" xfId="19266" xr:uid="{86C08078-26F6-4AFA-A03F-61DFE20AAC26}"/>
    <cellStyle name="40% - 强调文字颜色 5 15 3" xfId="2608" xr:uid="{EAFDB975-B658-46C0-ADB9-AD516139FFE7}"/>
    <cellStyle name="40% - 强调文字颜色 5 15 3 2" xfId="4422" xr:uid="{69513019-DFAE-4631-A2B7-59DCD0C49BDC}"/>
    <cellStyle name="40% - 强调文字颜色 5 15 3 3" xfId="10004" xr:uid="{87523269-3573-4F02-8AC7-220619CBC79E}"/>
    <cellStyle name="40% - 强调文字颜色 5 15 3 4" xfId="19268" xr:uid="{BFB8A31F-5AFA-4FDB-A39B-BA1A8AAA8FFF}"/>
    <cellStyle name="40% - 强调文字颜色 5 15 4" xfId="2611" xr:uid="{65CB1553-E69B-4A13-B141-F9986F48DED6}"/>
    <cellStyle name="40% - 强调文字颜色 5 15 4 2" xfId="118" xr:uid="{A2EBEEE8-2A81-4B49-99E0-0397FA1481E0}"/>
    <cellStyle name="40% - 强调文字颜色 5 15 4 3" xfId="19269" xr:uid="{7A5756A9-36AB-4A31-B754-344BF928A83D}"/>
    <cellStyle name="40% - 强调文字颜色 5 15 5" xfId="2341" xr:uid="{B65E8290-9A94-4BEB-808D-1F93FB9A582B}"/>
    <cellStyle name="40% - 强调文字颜色 5 15 6" xfId="10002" xr:uid="{483F2280-B970-4046-A51E-D997B0FD189F}"/>
    <cellStyle name="40% - 强调文字颜色 5 15 7" xfId="13205" xr:uid="{7BA0BDAF-E37B-4443-9177-DE8E24682511}"/>
    <cellStyle name="40% - 强调文字颜色 5 15 8" xfId="19265" xr:uid="{5747A398-9CBE-494A-B178-6D23884F3FE3}"/>
    <cellStyle name="40% - 强调文字颜色 5 16" xfId="505" xr:uid="{E832B293-A910-4C04-A184-9155229D0749}"/>
    <cellStyle name="40% - 强调文字颜色 5 16 2" xfId="2618" xr:uid="{5105D85D-F819-4F89-9AB3-411B3B67CE3E}"/>
    <cellStyle name="40% - 强调文字颜色 5 16 2 2" xfId="10006" xr:uid="{FF86B396-3E68-4FE8-BA39-7F7248AA1C86}"/>
    <cellStyle name="40% - 强调文字颜色 5 16 2 2 2" xfId="19272" xr:uid="{3B7BDAC9-43D7-4CD9-99AC-7E47725E246F}"/>
    <cellStyle name="40% - 强调文字颜色 5 16 2 3" xfId="19271" xr:uid="{C330421D-56AB-48B4-8C21-44D51EE67A56}"/>
    <cellStyle name="40% - 强调文字颜色 5 16 3" xfId="2621" xr:uid="{0823CF5E-DF6D-4216-B8A6-DD024CB92638}"/>
    <cellStyle name="40% - 强调文字颜色 5 16 3 2" xfId="2625" xr:uid="{C8E7A21F-0A3E-40D3-9D5E-C18F690AB00B}"/>
    <cellStyle name="40% - 强调文字颜色 5 16 3 3" xfId="10007" xr:uid="{CB852943-8361-453C-B0F4-30E3492420A6}"/>
    <cellStyle name="40% - 强调文字颜色 5 16 3 4" xfId="19273" xr:uid="{C8C704CD-761D-4F82-9A81-2A482E9F9567}"/>
    <cellStyle name="40% - 强调文字颜色 5 16 4" xfId="2628" xr:uid="{20DA353B-EF30-466A-8EB2-11F3BD8CF07A}"/>
    <cellStyle name="40% - 强调文字颜色 5 16 4 2" xfId="2631" xr:uid="{0FBB6841-B350-4882-A6A7-8940D1BEC9E8}"/>
    <cellStyle name="40% - 强调文字颜色 5 16 4 3" xfId="19274" xr:uid="{EAA00881-D5A8-4F96-9471-AA6E0C78D989}"/>
    <cellStyle name="40% - 强调文字颜色 5 16 5" xfId="2348" xr:uid="{2CDDF1E5-C61A-440E-B3D2-22F6DDC68E5F}"/>
    <cellStyle name="40% - 强调文字颜色 5 16 6" xfId="10005" xr:uid="{65D5CFC5-3603-4195-8788-5C8C3E075C83}"/>
    <cellStyle name="40% - 强调文字颜色 5 16 7" xfId="13185" xr:uid="{0C09F092-1F45-4BCE-8058-8C0F260F89A3}"/>
    <cellStyle name="40% - 强调文字颜色 5 16 8" xfId="19270" xr:uid="{42430EDF-067D-4124-A740-4E19C0DF2F76}"/>
    <cellStyle name="40% - 强调文字颜色 5 17" xfId="2634" xr:uid="{03363437-B17A-480D-B035-13159453FAEC}"/>
    <cellStyle name="40% - 强调文字颜色 5 17 2" xfId="2638" xr:uid="{50022D37-AED0-450B-8757-73EBC1C323EE}"/>
    <cellStyle name="40% - 强调文字颜色 5 17 2 2" xfId="299" xr:uid="{A7633ED8-8897-4655-A53C-0673A152C71A}"/>
    <cellStyle name="40% - 强调文字颜色 5 17 2 2 2" xfId="19277" xr:uid="{26550708-B63C-42C4-BCBE-628641848595}"/>
    <cellStyle name="40% - 强调文字颜色 5 17 2 3" xfId="10009" xr:uid="{845230D8-FD34-495F-AE25-96A55B607A18}"/>
    <cellStyle name="40% - 强调文字颜色 5 17 2 4" xfId="19276" xr:uid="{580F27C6-4BD3-4C55-AE9D-4D9BEB371CB2}"/>
    <cellStyle name="40% - 强调文字颜色 5 17 3" xfId="2641" xr:uid="{F737255C-3561-49FB-ACED-DD35263AB847}"/>
    <cellStyle name="40% - 强调文字颜色 5 17 3 2" xfId="1174" xr:uid="{1737BC37-0A44-452F-8EB5-A66E9D04E305}"/>
    <cellStyle name="40% - 强调文字颜色 5 17 3 3" xfId="10010" xr:uid="{A231BA95-BE1F-43DD-8DFB-3683D06C4F2A}"/>
    <cellStyle name="40% - 强调文字颜色 5 17 3 4" xfId="19278" xr:uid="{BC60989F-A207-455A-AC03-8E6BD93C7D50}"/>
    <cellStyle name="40% - 强调文字颜色 5 17 4" xfId="10008" xr:uid="{8FA91958-D942-4020-A739-AD9EFE685CA9}"/>
    <cellStyle name="40% - 强调文字颜色 5 17 4 2" xfId="19279" xr:uid="{D6823F3F-1EDA-4D7B-B235-E7895EDEB0CA}"/>
    <cellStyle name="40% - 强调文字颜色 5 17 5" xfId="13177" xr:uid="{B98EC892-CDCE-4A9E-BBE3-DC3B01388E5F}"/>
    <cellStyle name="40% - 强调文字颜色 5 17 6" xfId="19275" xr:uid="{91980330-DBDB-45F6-9819-2C8FCE6CB55E}"/>
    <cellStyle name="40% - 强调文字颜色 5 18" xfId="2645" xr:uid="{1058A5AE-DACE-432D-BF4E-853E1BE7E7D0}"/>
    <cellStyle name="40% - 强调文字颜色 5 18 2" xfId="2649" xr:uid="{1A489184-6C6D-4E54-8829-FBF25A7C4666}"/>
    <cellStyle name="40% - 强调文字颜色 5 18 2 2" xfId="1694" xr:uid="{52F0A693-015E-470E-A72C-562CEB2A8EB4}"/>
    <cellStyle name="40% - 强调文字颜色 5 18 2 2 2" xfId="19282" xr:uid="{8CA7300B-BD60-4058-B401-99A9CDD28E56}"/>
    <cellStyle name="40% - 强调文字颜色 5 18 2 3" xfId="19281" xr:uid="{87F3F84E-4354-4EAA-95B9-B0EA68DAC957}"/>
    <cellStyle name="40% - 强调文字颜色 5 18 3" xfId="2652" xr:uid="{2CE71FBE-3C1B-4E2A-8A27-82D548A852F9}"/>
    <cellStyle name="40% - 强调文字颜色 5 18 3 2" xfId="1756" xr:uid="{43344C0F-C1B0-405C-B9A1-E97107B49EC9}"/>
    <cellStyle name="40% - 强调文字颜色 5 18 3 3" xfId="19283" xr:uid="{BEB489EB-F01C-4D37-9FEF-F3BE718C075A}"/>
    <cellStyle name="40% - 强调文字颜色 5 18 4" xfId="10011" xr:uid="{6CE00381-CFCA-4B19-95FD-BAFB8DF71EDB}"/>
    <cellStyle name="40% - 强调文字颜色 5 18 4 2" xfId="19284" xr:uid="{4E40EE1C-179D-4589-B4ED-8FC5A29C47BA}"/>
    <cellStyle name="40% - 强调文字颜色 5 18 5" xfId="13164" xr:uid="{DBE666E5-F95B-48F6-820B-6DCEE7A68344}"/>
    <cellStyle name="40% - 强调文字颜色 5 18 6" xfId="19280" xr:uid="{07199CF3-50B4-400F-B492-C3B9B52ACFBA}"/>
    <cellStyle name="40% - 强调文字颜色 5 19" xfId="2655" xr:uid="{802F03C2-EF14-40F4-9A08-B2537D8A186E}"/>
    <cellStyle name="40% - 强调文字颜色 5 19 2" xfId="2659" xr:uid="{F5A3669C-C5CE-4EFF-B5BD-F26675AA38F1}"/>
    <cellStyle name="40% - 强调文字颜色 5 19 2 2" xfId="2324" xr:uid="{7131BA78-8F52-44B0-92CE-EEC368FDDE56}"/>
    <cellStyle name="40% - 强调文字颜色 5 19 2 2 2" xfId="19287" xr:uid="{104655DF-0FA6-4058-AE24-5A7F47DAE5C5}"/>
    <cellStyle name="40% - 强调文字颜色 5 19 2 3" xfId="19286" xr:uid="{5B29A34C-163A-49BB-A537-875906E3A63C}"/>
    <cellStyle name="40% - 强调文字颜色 5 19 3" xfId="10012" xr:uid="{328E3B9E-4AA3-48F7-92A1-CBBBAE20B2F4}"/>
    <cellStyle name="40% - 强调文字颜色 5 19 3 2" xfId="19288" xr:uid="{4A9AAFEB-D8D4-4D8B-808E-9CD7F1BAE571}"/>
    <cellStyle name="40% - 强调文字颜色 5 19 4" xfId="13146" xr:uid="{0CABAF1F-EC31-47A4-9DC6-5787C162F69B}"/>
    <cellStyle name="40% - 强调文字颜色 5 19 4 2" xfId="19289" xr:uid="{1932C466-D905-468D-BFA2-FB31257C390E}"/>
    <cellStyle name="40% - 强调文字颜色 5 19 5" xfId="19285" xr:uid="{1430C088-941A-499B-822F-155C1DA8DE41}"/>
    <cellStyle name="40% - 强调文字颜色 5 2" xfId="4423" xr:uid="{E9671B94-2EE0-45D5-ACBD-A5AEDDA18056}"/>
    <cellStyle name="40% - 强调文字颜色 5 2 10" xfId="4424" xr:uid="{1DA59895-5FC2-4B0B-98BB-FA2653636F79}"/>
    <cellStyle name="40% - 强调文字颜色 5 2 10 2" xfId="4425" xr:uid="{8598E460-4E8F-42EF-A852-D8F82F7774D7}"/>
    <cellStyle name="40% - 强调文字颜色 5 2 11" xfId="1075" xr:uid="{6847B290-0B07-43B9-B1E0-33183AD13CF9}"/>
    <cellStyle name="40% - 强调文字颜色 5 2 11 2" xfId="4427" xr:uid="{A845E55B-B119-479A-BCCF-E5F05BF1509A}"/>
    <cellStyle name="40% - 强调文字颜色 5 2 12" xfId="3315" xr:uid="{B204D0B8-85D0-4229-8883-D1B048726972}"/>
    <cellStyle name="40% - 强调文字颜色 5 2 12 2" xfId="4429" xr:uid="{2D9ACDEF-70DB-4C9C-A41D-C71CAC938AF5}"/>
    <cellStyle name="40% - 强调文字颜色 5 2 13" xfId="4431" xr:uid="{13F616E9-5AD4-4596-984B-1EEF68412CC0}"/>
    <cellStyle name="40% - 强调文字颜色 5 2 13 2" xfId="4432" xr:uid="{8F3CAAC4-8768-4F90-889A-44C5BD88EA26}"/>
    <cellStyle name="40% - 强调文字颜色 5 2 14" xfId="4433" xr:uid="{20380616-06D8-409A-94FD-26918264166F}"/>
    <cellStyle name="40% - 强调文字颜色 5 2 14 2" xfId="4434" xr:uid="{02749E6B-B283-43BA-A9C2-1B9F434EDE23}"/>
    <cellStyle name="40% - 强调文字颜色 5 2 15" xfId="3767" xr:uid="{F6778772-F3A0-4819-965A-70266110F3BA}"/>
    <cellStyle name="40% - 强调文字颜色 5 2 15 2" xfId="3770" xr:uid="{9C65DC6D-FAAF-4A38-8272-A9761C080EED}"/>
    <cellStyle name="40% - 强调文字颜色 5 2 16" xfId="3773" xr:uid="{B827C857-DA3F-4361-8E05-F4F8F315DDC9}"/>
    <cellStyle name="40% - 强调文字颜色 5 2 17" xfId="3777" xr:uid="{BA8D4BAA-2A2E-40DF-A1F1-0839D93C57FB}"/>
    <cellStyle name="40% - 强调文字颜色 5 2 17 2" xfId="3782" xr:uid="{C326E05A-3DE2-4DA6-8058-DFD5CB2B18E1}"/>
    <cellStyle name="40% - 强调文字颜色 5 2 18" xfId="1937" xr:uid="{09DED42C-EBBB-433B-9F69-7F450D322A9E}"/>
    <cellStyle name="40% - 强调文字颜色 5 2 18 2" xfId="3785" xr:uid="{7E79D50A-25B6-45F6-BD62-84741D52D2FE}"/>
    <cellStyle name="40% - 强调文字颜色 5 2 19" xfId="3788" xr:uid="{2D06690A-4658-4BAF-BF50-7A3B273723F1}"/>
    <cellStyle name="40% - 强调文字颜色 5 2 2" xfId="3295" xr:uid="{25ACB39A-58FD-453A-A0E6-28E8C2874766}"/>
    <cellStyle name="40% - 强调文字颜色 5 2 2 10" xfId="2613" xr:uid="{4AE8CB56-A818-4D15-903A-41277027386C}"/>
    <cellStyle name="40% - 强调文字颜色 5 2 2 10 2" xfId="4435" xr:uid="{C17DF7A3-9A6B-463D-8986-2711AB3D9A28}"/>
    <cellStyle name="40% - 强调文字颜色 5 2 2 11" xfId="4436" xr:uid="{5536BBD3-DB55-4E83-93C5-30AAE953F791}"/>
    <cellStyle name="40% - 强调文字颜色 5 2 2 11 2" xfId="4437" xr:uid="{319ED84A-2395-41C4-86AF-9D82C52CF7C5}"/>
    <cellStyle name="40% - 强调文字颜色 5 2 2 12" xfId="4288" xr:uid="{E166E444-BEC8-4BBC-8C8E-C7DEC6405D15}"/>
    <cellStyle name="40% - 强调文字颜色 5 2 2 12 2" xfId="4438" xr:uid="{1B81B32D-1BC1-4027-924F-57E6195D71C0}"/>
    <cellStyle name="40% - 强调文字颜色 5 2 2 13" xfId="4439" xr:uid="{B23ADFAF-70F8-48E2-91C3-3292D7DE42A2}"/>
    <cellStyle name="40% - 强调文字颜色 5 2 2 13 2" xfId="2717" xr:uid="{C9D47460-AC2E-48C4-A108-ACB6791825C7}"/>
    <cellStyle name="40% - 强调文字颜色 5 2 2 14" xfId="4440" xr:uid="{C7817A7A-A879-4CF2-B2BF-AF9A0E052256}"/>
    <cellStyle name="40% - 强调文字颜色 5 2 2 14 2" xfId="4441" xr:uid="{4543AA36-DFD2-4D25-9DB1-2CBBF2030124}"/>
    <cellStyle name="40% - 强调文字颜色 5 2 2 15" xfId="4442" xr:uid="{7C5AD771-E47F-41EC-9B42-9CDA4C64420E}"/>
    <cellStyle name="40% - 强调文字颜色 5 2 2 15 2" xfId="4443" xr:uid="{D9CC8767-1C91-49E3-86D9-0B8B6FC4D27A}"/>
    <cellStyle name="40% - 强调文字颜色 5 2 2 16" xfId="10014" xr:uid="{EDA1C28A-38E0-408F-9530-45EB599542FB}"/>
    <cellStyle name="40% - 强调文字颜色 5 2 2 17" xfId="13349" xr:uid="{1805C1D1-1C9F-4D13-A2E4-83C0CE6CF93A}"/>
    <cellStyle name="40% - 强调文字颜色 5 2 2 18" xfId="19290" xr:uid="{1E1558F7-1E16-4BFD-A886-CAFCE6148DD5}"/>
    <cellStyle name="40% - 强调文字颜色 5 2 2 19" xfId="27319" xr:uid="{1182CBDE-579E-4424-B8F6-6B40B31FD82B}"/>
    <cellStyle name="40% - 强调文字颜色 5 2 2 2" xfId="3297" xr:uid="{4F112860-33F9-436B-8A9C-AE3DE4189091}"/>
    <cellStyle name="40% - 强调文字颜色 5 2 2 2 2" xfId="19291" xr:uid="{0760063E-46E2-4331-A3BB-75412DCA7F18}"/>
    <cellStyle name="40% - 强调文字颜色 5 2 2 3" xfId="4444" xr:uid="{39A447F9-EE7B-4B8D-BB1A-5831693179EA}"/>
    <cellStyle name="40% - 强调文字颜色 5 2 2 4" xfId="4445" xr:uid="{8A9955BB-4945-4299-A9C4-A13058F3DC93}"/>
    <cellStyle name="40% - 强调文字颜色 5 2 2 4 2" xfId="2105" xr:uid="{6BCE22D5-E5F5-4C5B-B2C0-033EC5D128D2}"/>
    <cellStyle name="40% - 强调文字颜色 5 2 2 5" xfId="4446" xr:uid="{954E787F-B5F1-4377-9D75-A8F2499F71FD}"/>
    <cellStyle name="40% - 强调文字颜色 5 2 2 5 2" xfId="157" xr:uid="{132E0398-C1E5-4097-B2AB-A6356815CF8D}"/>
    <cellStyle name="40% - 强调文字颜色 5 2 2 6" xfId="4447" xr:uid="{B32580A8-30D8-4377-9BB2-FBF15BB8F0E5}"/>
    <cellStyle name="40% - 强调文字颜色 5 2 2 6 2" xfId="2135" xr:uid="{996B3582-E373-46A1-86CD-C8796788B659}"/>
    <cellStyle name="40% - 强调文字颜色 5 2 2 7" xfId="4448" xr:uid="{7779697B-54FD-46E8-86AC-94E157B4A20D}"/>
    <cellStyle name="40% - 强调文字颜色 5 2 2 7 2" xfId="4449" xr:uid="{58E92841-5AE1-414E-8415-F33B7860A873}"/>
    <cellStyle name="40% - 强调文字颜色 5 2 2 8" xfId="4450" xr:uid="{4781F5D5-5DAD-4402-B212-A2E5C84CE70E}"/>
    <cellStyle name="40% - 强调文字颜色 5 2 2 8 2" xfId="4451" xr:uid="{F921AA12-568F-43BC-B460-938583462978}"/>
    <cellStyle name="40% - 强调文字颜色 5 2 2 9" xfId="3604" xr:uid="{2ED16B53-4FCA-4009-926D-1B6469766B5B}"/>
    <cellStyle name="40% - 强调文字颜色 5 2 2 9 2" xfId="574" xr:uid="{11C7A15D-1ADC-45DB-A05F-1A42F065D081}"/>
    <cellStyle name="40% - 强调文字颜色 5 2 20" xfId="3768" xr:uid="{5F1055EC-1A25-4FCF-99AE-8C64665DF932}"/>
    <cellStyle name="40% - 强调文字颜色 5 2 20 2" xfId="3771" xr:uid="{67B786B3-B5D4-47ED-A178-CE9868774095}"/>
    <cellStyle name="40% - 强调文字颜色 5 2 21" xfId="3774" xr:uid="{0F665B8B-B62E-43F1-BFB7-B4A6A86D86D6}"/>
    <cellStyle name="40% - 强调文字颜色 5 2 21 2" xfId="4452" xr:uid="{7B17F3F8-4CD3-4C91-B346-5EDA855F332B}"/>
    <cellStyle name="40% - 强调文字颜色 5 2 22" xfId="10013" xr:uid="{165DC081-6BF5-41B0-ABA0-EC8DD3F7DD5A}"/>
    <cellStyle name="40% - 强调文字颜色 5 2 23" xfId="13406" xr:uid="{B5970F47-2848-4906-971C-06D46EB37E79}"/>
    <cellStyle name="40% - 强调文字颜色 5 2 24" xfId="12796" xr:uid="{7E38A002-07F6-482D-A3BC-50D18FBC69EB}"/>
    <cellStyle name="40% - 强调文字颜色 5 2 3" xfId="3300" xr:uid="{F5FB0A91-7EA8-4795-AF0D-310382C3B91F}"/>
    <cellStyle name="40% - 强调文字颜色 5 2 3 2" xfId="10015" xr:uid="{47FD2D4B-32E4-49AC-BEB4-D8A12334B0A2}"/>
    <cellStyle name="40% - 强调文字颜色 5 2 3 2 2" xfId="19293" xr:uid="{137FDAF5-8F4D-4A15-BF16-3AE0895D193C}"/>
    <cellStyle name="40% - 强调文字颜色 5 2 3 3" xfId="13328" xr:uid="{84FDA650-EA4B-4650-8CC9-DD32959FA16D}"/>
    <cellStyle name="40% - 强调文字颜色 5 2 3 4" xfId="19292" xr:uid="{8A609E56-31B7-4A80-8F32-8A6421FB995C}"/>
    <cellStyle name="40% - 强调文字颜色 5 2 3 5" xfId="27320" xr:uid="{B14F9EE8-B1BE-4DB4-8C92-FFA5C2DB3B02}"/>
    <cellStyle name="40% - 强调文字颜色 5 2 4" xfId="3303" xr:uid="{679ECE63-15A4-4E0B-A85D-139565F0E3D8}"/>
    <cellStyle name="40% - 强调文字颜色 5 2 4 2" xfId="4453" xr:uid="{06565A21-4EF2-4676-8B0C-78BDC1590925}"/>
    <cellStyle name="40% - 强调文字颜色 5 2 4 3" xfId="13309" xr:uid="{4E00195E-9EBF-4D04-BC9A-698061302C33}"/>
    <cellStyle name="40% - 强调文字颜色 5 2 4 4" xfId="19294" xr:uid="{564A4C31-5A00-4555-B890-CF8942FCB9AD}"/>
    <cellStyle name="40% - 强调文字颜色 5 2 4 5" xfId="27700" xr:uid="{60EC9EF9-F5E3-433B-8FD1-46E04C5473CD}"/>
    <cellStyle name="40% - 强调文字颜色 5 2 5" xfId="3305" xr:uid="{A131AEF5-5023-42F1-811F-481419F534D8}"/>
    <cellStyle name="40% - 强调文字颜色 5 2 5 2" xfId="3307" xr:uid="{C7901D78-86F5-486E-9826-0F5A24D6035C}"/>
    <cellStyle name="40% - 强调文字颜色 5 2 5 3" xfId="19295" xr:uid="{6640323D-8FF3-4524-85FC-292BCE7B09A2}"/>
    <cellStyle name="40% - 强调文字颜色 5 2 6" xfId="3310" xr:uid="{D952ABC1-4433-4FB8-BF9B-56E9A1E2B10A}"/>
    <cellStyle name="40% - 强调文字颜色 5 2 6 2" xfId="2265" xr:uid="{0A45CB0B-B881-47B1-B912-7B963495CDE0}"/>
    <cellStyle name="40% - 强调文字颜色 5 2 6 3" xfId="19296" xr:uid="{B3795ED6-33DD-4F7F-86BA-FA3CB644E94D}"/>
    <cellStyle name="40% - 强调文字颜色 5 2 7" xfId="2705" xr:uid="{C6055815-8602-4AF1-992A-FA1F45D97714}"/>
    <cellStyle name="40% - 强调文字颜色 5 2 7 2" xfId="83" xr:uid="{A20F5AAB-C47A-4C27-8DA6-D66CA421A455}"/>
    <cellStyle name="40% - 强调文字颜色 5 2 7 3" xfId="19297" xr:uid="{B215F89C-4095-4CEF-9E44-042EF422DD55}"/>
    <cellStyle name="40% - 强调文字颜色 5 2 8" xfId="2726" xr:uid="{4C42FDAB-3921-4F7C-977B-B2000D3ED1B1}"/>
    <cellStyle name="40% - 强调文字颜色 5 2 8 2" xfId="2395" xr:uid="{6FAF10E5-C373-4485-AC88-4906B8A51B7B}"/>
    <cellStyle name="40% - 强调文字颜色 5 2 9" xfId="2728" xr:uid="{4AC49FF4-C313-44CE-A8E8-3338851CDC11}"/>
    <cellStyle name="40% - 强调文字颜色 5 2 9 2" xfId="29" xr:uid="{19AECECA-F6D6-4596-B7B2-8BFE1A9CB146}"/>
    <cellStyle name="40% - 强调文字颜色 5 2_动力部" xfId="19298" xr:uid="{8B5039C7-AA36-4321-B656-B247303B7747}"/>
    <cellStyle name="40% - 强调文字颜色 5 20" xfId="2600" xr:uid="{0F4BAF8E-74E3-4510-AE17-756C415D58C9}"/>
    <cellStyle name="40% - 强调文字颜色 5 20 2" xfId="2603" xr:uid="{2CFB5D15-C5A5-44B8-A94A-328C5E88525B}"/>
    <cellStyle name="40% - 强调文字颜色 5 20 2 2" xfId="2605" xr:uid="{0F15F62F-59BB-4733-8D15-4ACCA9EE88B9}"/>
    <cellStyle name="40% - 强调文字颜色 5 20 2 2 2" xfId="19301" xr:uid="{77A2BC48-0260-4D2C-BAE4-A9788D6742D9}"/>
    <cellStyle name="40% - 强调文字颜色 5 20 2 3" xfId="19300" xr:uid="{18AD6931-2026-44C7-990B-4F1259F4BAC0}"/>
    <cellStyle name="40% - 强调文字颜色 5 20 3" xfId="10016" xr:uid="{8ACC4DD1-9EE3-41D0-9B40-2CCFD75C0583}"/>
    <cellStyle name="40% - 强调文字颜色 5 20 3 2" xfId="19302" xr:uid="{7BC7BCE6-8DAB-448C-833E-30AFF56BAA25}"/>
    <cellStyle name="40% - 强调文字颜色 5 20 4" xfId="13138" xr:uid="{CAE89C96-8900-4DED-A2DA-96C129A35193}"/>
    <cellStyle name="40% - 强调文字颜色 5 20 4 2" xfId="19303" xr:uid="{6879E459-BF9F-4049-8ABE-ABFF5838AB2E}"/>
    <cellStyle name="40% - 强调文字颜色 5 20 5" xfId="19299" xr:uid="{909891A2-7605-4FAA-8614-BFC973B1667A}"/>
    <cellStyle name="40% - 强调文字颜色 5 21" xfId="504" xr:uid="{EE873EA3-780D-4324-979F-830500D280FD}"/>
    <cellStyle name="40% - 强调文字颜色 5 21 2" xfId="2619" xr:uid="{4B2794BB-BAAC-4316-BC87-0EC0B8FC59D7}"/>
    <cellStyle name="40% - 强调文字颜色 5 21 2 2" xfId="2741" xr:uid="{4EB98C86-FD62-497E-BB85-6F6D00BE31E4}"/>
    <cellStyle name="40% - 强调文字颜色 5 21 2 2 2" xfId="19306" xr:uid="{9361E7F5-3E4F-4CE2-B67F-5143BFC34FCA}"/>
    <cellStyle name="40% - 强调文字颜色 5 21 2 3" xfId="19305" xr:uid="{A41F50FF-6B2E-40CD-A81C-5CE752191815}"/>
    <cellStyle name="40% - 强调文字颜色 5 21 3" xfId="10017" xr:uid="{5C0D938F-E60E-49AC-856E-01E6892D9CD8}"/>
    <cellStyle name="40% - 强调文字颜色 5 21 3 2" xfId="19307" xr:uid="{2AFE8D84-3321-4F7D-91C5-77D1D23AA1AE}"/>
    <cellStyle name="40% - 强调文字颜色 5 21 4" xfId="13124" xr:uid="{7A7AFFFC-3F9C-4FB5-AD3A-F3C34DD8831E}"/>
    <cellStyle name="40% - 强调文字颜色 5 21 4 2" xfId="19308" xr:uid="{86BB197B-7FA9-44F6-ACAE-0EC30CAD4B39}"/>
    <cellStyle name="40% - 强调文字颜色 5 21 5" xfId="19304" xr:uid="{3D23A5BA-5734-4267-B031-5A489E1F5FEA}"/>
    <cellStyle name="40% - 强调文字颜色 5 22" xfId="2635" xr:uid="{C14C0E2E-EAAC-4097-B85B-4F30F4A45A7B}"/>
    <cellStyle name="40% - 强调文字颜色 5 22 2" xfId="2639" xr:uid="{2C873511-B873-4652-8569-41E80BDF69C2}"/>
    <cellStyle name="40% - 强调文字颜色 5 22 2 2" xfId="298" xr:uid="{A282D1FF-737B-4B30-81FB-42D46D74BA1F}"/>
    <cellStyle name="40% - 强调文字颜色 5 22 2 2 2" xfId="19311" xr:uid="{28DBEF79-76C3-41F0-A9DD-807A7C86622D}"/>
    <cellStyle name="40% - 强调文字颜色 5 22 2 3" xfId="19310" xr:uid="{411851C1-BE88-4DFE-B479-9F3F5CDA76DE}"/>
    <cellStyle name="40% - 强调文字颜色 5 22 3" xfId="10018" xr:uid="{FC446782-8BAE-4365-8094-9B063A7A5F6A}"/>
    <cellStyle name="40% - 强调文字颜色 5 22 3 2" xfId="19312" xr:uid="{F3AC64CA-E3DD-48FD-9AAA-D988461ACF94}"/>
    <cellStyle name="40% - 强调文字颜色 5 22 4" xfId="13111" xr:uid="{78AA2651-949D-4056-8FEF-0CFB58DB7C89}"/>
    <cellStyle name="40% - 强调文字颜色 5 22 4 2" xfId="19313" xr:uid="{7272C5C9-B353-49F6-9583-F512E0FFC28F}"/>
    <cellStyle name="40% - 强调文字颜色 5 22 5" xfId="19309" xr:uid="{74868FA6-13D4-4A18-B425-70403CE88F0E}"/>
    <cellStyle name="40% - 强调文字颜色 5 23" xfId="2646" xr:uid="{F7FE9F81-D2BF-495D-9DC4-7D9F10E4613E}"/>
    <cellStyle name="40% - 强调文字颜色 5 23 2" xfId="2650" xr:uid="{9C819AF6-F35E-451A-B7CE-0128A534212A}"/>
    <cellStyle name="40% - 强调文字颜色 5 23 2 2" xfId="1695" xr:uid="{3C885134-2B37-4D4A-A75C-B23952553590}"/>
    <cellStyle name="40% - 强调文字颜色 5 23 2 2 2" xfId="19316" xr:uid="{1628EECA-A0B1-43E4-A9D5-0D3C6665D868}"/>
    <cellStyle name="40% - 强调文字颜色 5 23 2 3" xfId="19315" xr:uid="{675B86FC-BD78-4F77-ABAE-EDA24EE4D7E6}"/>
    <cellStyle name="40% - 强调文字颜色 5 23 3" xfId="13042" xr:uid="{FB9BF47A-DBF4-400D-B083-3E79A589F421}"/>
    <cellStyle name="40% - 强调文字颜色 5 23 3 2" xfId="19317" xr:uid="{EF674801-F7D0-4365-9E7A-25EA05DC6847}"/>
    <cellStyle name="40% - 强调文字颜色 5 23 4" xfId="19318" xr:uid="{5EB33BBD-E2C7-4A2A-B2B2-D34744D6A1E0}"/>
    <cellStyle name="40% - 强调文字颜色 5 23 5" xfId="19314" xr:uid="{A088B763-C4A7-4E36-A1D3-39A0A6C19BD5}"/>
    <cellStyle name="40% - 强调文字颜色 5 24" xfId="2656" xr:uid="{403A9C53-0B06-4CE3-AC8A-D68BE5000AE7}"/>
    <cellStyle name="40% - 强调文字颜色 5 24 2" xfId="13034" xr:uid="{248C3CAC-2500-46A7-B37F-6E90DC87A160}"/>
    <cellStyle name="40% - 强调文字颜色 5 24 2 2" xfId="19321" xr:uid="{29C51AD4-8EA4-4499-AA81-F5CAB00494B7}"/>
    <cellStyle name="40% - 强调文字颜色 5 24 2 3" xfId="19320" xr:uid="{F3EACB10-A5E8-42F8-B8C0-331378709564}"/>
    <cellStyle name="40% - 强调文字颜色 5 24 3" xfId="19322" xr:uid="{94A206D7-EDD7-4877-91F6-4EE14ECFCBA2}"/>
    <cellStyle name="40% - 强调文字颜色 5 24 4" xfId="19323" xr:uid="{A625D349-B03C-4ED9-BA9E-8370D9C2945B}"/>
    <cellStyle name="40% - 强调文字颜色 5 24 5" xfId="19319" xr:uid="{E011DE44-D48E-4701-AD76-F4BE15264A80}"/>
    <cellStyle name="40% - 强调文字颜色 5 25" xfId="2663" xr:uid="{8D92275D-621E-4E1E-B7A3-D5C84CF5E8C9}"/>
    <cellStyle name="40% - 强调文字颜色 5 25 2" xfId="13021" xr:uid="{CE8706F3-3CAA-45EF-B2E1-393D6689FA06}"/>
    <cellStyle name="40% - 强调文字颜色 5 25 2 2" xfId="19326" xr:uid="{66F09126-6D56-4697-B876-8D45EF041F3F}"/>
    <cellStyle name="40% - 强调文字颜色 5 25 2 3" xfId="19325" xr:uid="{B7D5DEC7-DEB9-4448-8AC5-F97E12707174}"/>
    <cellStyle name="40% - 强调文字颜色 5 25 3" xfId="19327" xr:uid="{E1E7094B-49A4-4906-BFE6-13B908E68520}"/>
    <cellStyle name="40% - 强调文字颜色 5 25 4" xfId="19328" xr:uid="{8D06AD2A-FA2D-4D42-899A-2F584966909B}"/>
    <cellStyle name="40% - 强调文字颜色 5 25 5" xfId="19324" xr:uid="{DDD0A6AA-984B-440F-ABF2-A14B27E64884}"/>
    <cellStyle name="40% - 强调文字颜色 5 26" xfId="2744" xr:uid="{488FCD05-AF8F-4871-B744-0C214F84D9D5}"/>
    <cellStyle name="40% - 强调文字颜色 5 26 2" xfId="19330" xr:uid="{57D329CD-BE42-435F-BA6B-7EB08A31A25B}"/>
    <cellStyle name="40% - 强调文字颜色 5 26 2 2" xfId="19331" xr:uid="{5EB5D655-1DB3-4424-8F59-113694FABE9A}"/>
    <cellStyle name="40% - 强调文字颜色 5 26 3" xfId="19332" xr:uid="{CA598C8B-41C4-4B1C-AC67-797FD0E8B0BD}"/>
    <cellStyle name="40% - 强调文字颜色 5 26 4" xfId="19333" xr:uid="{40A26E76-AA61-4EEC-88F0-289DAF3F1786}"/>
    <cellStyle name="40% - 强调文字颜色 5 26 5" xfId="19329" xr:uid="{760A1F22-CC64-4F37-BCF7-F189BA220ACF}"/>
    <cellStyle name="40% - 强调文字颜色 5 27" xfId="2748" xr:uid="{0AD52CCB-244F-429D-A899-F2324AEC7DFB}"/>
    <cellStyle name="40% - 强调文字颜色 5 27 2" xfId="19335" xr:uid="{80E0FD62-D994-45A0-8839-C1262825C147}"/>
    <cellStyle name="40% - 强调文字颜色 5 27 2 2" xfId="19336" xr:uid="{CCCC5F21-0C02-4A96-8CC1-D182F8421BA9}"/>
    <cellStyle name="40% - 强调文字颜色 5 27 3" xfId="19337" xr:uid="{11FDAF7F-1306-4747-B6D9-817BF4CD6BFF}"/>
    <cellStyle name="40% - 强调文字颜色 5 27 4" xfId="19338" xr:uid="{811FBA48-515D-4991-B5D2-E62C02D9E6F1}"/>
    <cellStyle name="40% - 强调文字颜色 5 27 5" xfId="19334" xr:uid="{ADCAC6CB-DEE7-4E28-9BC4-E0A494E0F22B}"/>
    <cellStyle name="40% - 强调文字颜色 5 28" xfId="2752" xr:uid="{5D6ABA7A-EB22-4ED0-9EB0-932CB3420F78}"/>
    <cellStyle name="40% - 强调文字颜色 5 28 2" xfId="19340" xr:uid="{36CC062C-D5FA-4727-97B8-D7E7BDB9B29B}"/>
    <cellStyle name="40% - 强调文字颜色 5 28 3" xfId="19341" xr:uid="{62A955C7-09AB-4DF6-8C7E-D35ACFC2BF25}"/>
    <cellStyle name="40% - 强调文字颜色 5 28 4" xfId="19342" xr:uid="{C8AEB1F9-575C-4822-AA31-8B1A862877DB}"/>
    <cellStyle name="40% - 强调文字颜色 5 28 5" xfId="19339" xr:uid="{F737DE4D-380C-42F2-A728-A12B0EA01408}"/>
    <cellStyle name="40% - 强调文字颜色 5 29" xfId="2756" xr:uid="{0CB94C50-BA73-4A63-AAE2-357E04CF9591}"/>
    <cellStyle name="40% - 强调文字颜色 5 29 2" xfId="19344" xr:uid="{B28D5AE0-A489-402B-9672-608AA0D5DB99}"/>
    <cellStyle name="40% - 强调文字颜色 5 29 3" xfId="19345" xr:uid="{AB5EAC7D-EA72-4846-AA6A-4D8C635D46B0}"/>
    <cellStyle name="40% - 强调文字颜色 5 29 4" xfId="19346" xr:uid="{05CB11DC-A279-4D0C-948A-6B048D6DA095}"/>
    <cellStyle name="40% - 强调文字颜色 5 29 5" xfId="19343" xr:uid="{8EDC5183-A843-426B-89C9-1A15B707342F}"/>
    <cellStyle name="40% - 强调文字颜色 5 3" xfId="4454" xr:uid="{0B21B309-AC69-4FC6-A415-49ACDDFB9594}"/>
    <cellStyle name="40% - 强调文字颜色 5 3 10" xfId="4455" xr:uid="{D722F030-AB54-450B-A66F-CA5E7E5AA8C8}"/>
    <cellStyle name="40% - 强调文字颜色 5 3 10 2" xfId="4456" xr:uid="{9EB35E9B-F2D7-474C-9DF4-92A9A704938C}"/>
    <cellStyle name="40% - 强调文字颜色 5 3 11" xfId="2306" xr:uid="{0F2EB466-E00E-4F3F-8CE0-E308E4679401}"/>
    <cellStyle name="40% - 强调文字颜色 5 3 11 2" xfId="4457" xr:uid="{F3D58E90-8712-4489-B519-BC2FD8BFE484}"/>
    <cellStyle name="40% - 强调文字颜色 5 3 12" xfId="4458" xr:uid="{5CF1AC22-77A5-49B0-96D5-E67FB4168EDC}"/>
    <cellStyle name="40% - 强调文字颜色 5 3 13" xfId="4459" xr:uid="{30BF3EB5-BD20-4270-90D7-7EBF6A9957C4}"/>
    <cellStyle name="40% - 强调文字颜色 5 3 13 2" xfId="4460" xr:uid="{EE397A0E-0E2B-4C57-B3C0-1027A5C9FE38}"/>
    <cellStyle name="40% - 强调文字颜色 5 3 14" xfId="4461" xr:uid="{42F4E883-B658-410C-AAEE-26B92A7D2F18}"/>
    <cellStyle name="40% - 强调文字颜色 5 3 14 2" xfId="4462" xr:uid="{07872680-68F9-49F4-96FA-CA5CC53C684C}"/>
    <cellStyle name="40% - 强调文字颜色 5 3 15" xfId="10019" xr:uid="{75541962-619B-4440-871E-A70A77247906}"/>
    <cellStyle name="40% - 强调文字颜色 5 3 16" xfId="13396" xr:uid="{83672ED9-7B8B-44A8-B8BC-EC1C3815B6AA}"/>
    <cellStyle name="40% - 强调文字颜色 5 3 17" xfId="19347" xr:uid="{C755547F-41F8-489D-B239-6AE28D7F5B22}"/>
    <cellStyle name="40% - 强调文字颜色 5 3 2" xfId="4463" xr:uid="{4885F37F-8315-4BC6-B074-FB30903F919E}"/>
    <cellStyle name="40% - 强调文字颜色 5 3 2 2" xfId="4464" xr:uid="{EBBDA0E9-78E6-4CC9-B719-FD468F84286F}"/>
    <cellStyle name="40% - 强调文字颜色 5 3 2 3" xfId="10020" xr:uid="{8748A64D-D519-4556-8DCE-5387900BFE7B}"/>
    <cellStyle name="40% - 强调文字颜色 5 3 2 4" xfId="19348" xr:uid="{64C972D2-D004-44A1-8717-307BC83E0DD4}"/>
    <cellStyle name="40% - 强调文字颜色 5 3 2 5" xfId="27321" xr:uid="{DD7C33BE-1ABE-4385-BD90-FBCAD788865D}"/>
    <cellStyle name="40% - 强调文字颜色 5 3 3" xfId="4465" xr:uid="{BA5DDA81-EC25-46B4-8B36-2B2B9EED52CE}"/>
    <cellStyle name="40% - 强调文字颜色 5 3 3 2" xfId="4466" xr:uid="{ECA589BD-9032-41EB-8CDC-0F0FF1EBF85C}"/>
    <cellStyle name="40% - 强调文字颜色 5 3 3 2 2" xfId="19350" xr:uid="{1EFB1527-F237-4A5C-B06C-CB622F0ABAE4}"/>
    <cellStyle name="40% - 强调文字颜色 5 3 3 3" xfId="10021" xr:uid="{0EE126FD-8D1E-4DD1-9C58-47D7BDC662A4}"/>
    <cellStyle name="40% - 强调文字颜色 5 3 3 4" xfId="19349" xr:uid="{F2CC5B3D-C44F-443D-B331-FB525765546E}"/>
    <cellStyle name="40% - 强调文字颜色 5 3 3 5" xfId="27322" xr:uid="{FB52FFEC-8C1B-4A1F-9793-F4B06FD766AB}"/>
    <cellStyle name="40% - 强调文字颜色 5 3 4" xfId="2828" xr:uid="{A4C84391-6FB0-43F9-89F1-468B2F6557B8}"/>
    <cellStyle name="40% - 强调文字颜色 5 3 4 2" xfId="4467" xr:uid="{4F453929-8035-473E-8201-3C368374DE66}"/>
    <cellStyle name="40% - 强调文字颜色 5 3 4 3" xfId="19351" xr:uid="{F20A8500-F235-4ABE-8AFA-1A3B17588984}"/>
    <cellStyle name="40% - 强调文字颜色 5 3 4 4" xfId="27701" xr:uid="{05DB6FC2-469B-4D57-8D7B-705B3C9B00E8}"/>
    <cellStyle name="40% - 强调文字颜色 5 3 5" xfId="4468" xr:uid="{7857A2F9-D6FB-42B7-9BA4-ACB704D6EAEB}"/>
    <cellStyle name="40% - 强调文字颜色 5 3 5 2" xfId="4469" xr:uid="{F27652A7-BD3B-4C83-9938-59BA1259C451}"/>
    <cellStyle name="40% - 强调文字颜色 5 3 5 3" xfId="19352" xr:uid="{30FDCC1A-E6EF-4B0E-BB71-E3E525EE956D}"/>
    <cellStyle name="40% - 强调文字颜色 5 3 6" xfId="1904" xr:uid="{64EA8858-35DD-4860-B60D-BD33939B1190}"/>
    <cellStyle name="40% - 强调文字颜色 5 3 6 2" xfId="2729" xr:uid="{8A9A17E9-0F4D-41FB-81B3-E5842009D29D}"/>
    <cellStyle name="40% - 强调文字颜色 5 3 7" xfId="749" xr:uid="{23828062-3530-41A9-AB69-F8038AFF6215}"/>
    <cellStyle name="40% - 强调文字颜色 5 3 7 2" xfId="2780" xr:uid="{8D4D5ACC-B8E2-4588-92FE-2B4186DF2FE3}"/>
    <cellStyle name="40% - 强调文字颜色 5 3 8" xfId="2668" xr:uid="{8BA18665-1A4B-40BB-AA75-020D04A1E5BA}"/>
    <cellStyle name="40% - 强调文字颜色 5 3 8 2" xfId="2784" xr:uid="{7D15C2DB-7C5D-4136-B5EC-2EB44D23656F}"/>
    <cellStyle name="40% - 强调文字颜色 5 3 9" xfId="2781" xr:uid="{E020382F-274A-427F-9DF7-4AC7596ED9A3}"/>
    <cellStyle name="40% - 强调文字颜色 5 30" xfId="2664" xr:uid="{F07378F6-5F01-4B19-933E-A4D0EA8D1E40}"/>
    <cellStyle name="40% - 强调文字颜色 5 30 2" xfId="19354" xr:uid="{DDD5D9BC-A4BA-4824-90DC-A5E97D8F2F8A}"/>
    <cellStyle name="40% - 强调文字颜色 5 30 3" xfId="19355" xr:uid="{202703D1-9A6E-4FB3-ADA0-A2E899858105}"/>
    <cellStyle name="40% - 强调文字颜色 5 30 4" xfId="19356" xr:uid="{5CC2A80D-03C2-4FB9-81EE-7386E59CA2F6}"/>
    <cellStyle name="40% - 强调文字颜色 5 30 5" xfId="19353" xr:uid="{FD255BFC-CFB1-4E09-AF32-30552EF794DB}"/>
    <cellStyle name="40% - 强调文字颜色 5 31" xfId="2745" xr:uid="{0CFF50D6-93C4-4CD1-926B-8B253A894030}"/>
    <cellStyle name="40% - 强调文字颜色 5 31 2" xfId="19358" xr:uid="{21BF6043-1EF6-4BFC-913C-1F18AB440D09}"/>
    <cellStyle name="40% - 强调文字颜色 5 31 3" xfId="19359" xr:uid="{5D0E3EE0-CA2A-448C-A21E-C83BE019D06B}"/>
    <cellStyle name="40% - 强调文字颜色 5 31 4" xfId="19360" xr:uid="{AAB5D401-A4AE-4B18-B44A-5979F0574D61}"/>
    <cellStyle name="40% - 强调文字颜色 5 31 5" xfId="19357" xr:uid="{F8560CC2-9943-4A3D-84F3-4E42A9E4E584}"/>
    <cellStyle name="40% - 强调文字颜色 5 32" xfId="2749" xr:uid="{AA3A9C67-D4A8-425D-BDF1-1C781035F050}"/>
    <cellStyle name="40% - 强调文字颜色 5 32 2" xfId="19362" xr:uid="{8FB9E021-CB21-4BE9-991F-0370C2A47F1A}"/>
    <cellStyle name="40% - 强调文字颜色 5 32 3" xfId="19363" xr:uid="{87066A6E-778D-4EC8-AC23-D960E8D93B00}"/>
    <cellStyle name="40% - 强调文字颜色 5 32 4" xfId="19364" xr:uid="{1FA58934-D22E-43DD-9BC2-60927E115BBC}"/>
    <cellStyle name="40% - 强调文字颜色 5 32 5" xfId="19361" xr:uid="{2F4E6154-3604-4535-B1B6-C397CCB3E226}"/>
    <cellStyle name="40% - 强调文字颜色 5 33" xfId="2753" xr:uid="{D5BEAB0F-64E9-4A47-B949-DB66245AD973}"/>
    <cellStyle name="40% - 强调文字颜色 5 33 2" xfId="19366" xr:uid="{FDC9EECE-BCD1-4FFD-90B5-6F79190818C4}"/>
    <cellStyle name="40% - 强调文字颜色 5 33 3" xfId="19367" xr:uid="{F103DA1F-92AB-4A0D-AEE1-E7E415860C10}"/>
    <cellStyle name="40% - 强调文字颜色 5 33 4" xfId="19368" xr:uid="{5F3C4764-5066-47DB-B490-36258533933A}"/>
    <cellStyle name="40% - 强调文字颜色 5 33 5" xfId="19365" xr:uid="{AF0A6473-9293-46AE-8354-02E78B5405D9}"/>
    <cellStyle name="40% - 强调文字颜色 5 34" xfId="2757" xr:uid="{14B18A67-C586-41EB-B147-06A96AB54F6A}"/>
    <cellStyle name="40% - 强调文字颜色 5 34 2" xfId="12606" xr:uid="{632B3EE4-05B4-4F90-A2CE-538BF1038604}"/>
    <cellStyle name="40% - 强调文字颜色 5 34 2 2" xfId="19370" xr:uid="{D17F8711-1D3D-4A50-9280-B542D938C546}"/>
    <cellStyle name="40% - 强调文字颜色 5 34 3" xfId="19371" xr:uid="{210C5BA8-E73C-475C-BB96-416135538658}"/>
    <cellStyle name="40% - 强调文字颜色 5 34 4" xfId="19372" xr:uid="{7FF75427-CFF7-4AA6-A056-DA51B11D1552}"/>
    <cellStyle name="40% - 强调文字颜色 5 34 5" xfId="19369" xr:uid="{BD4C2E79-55EC-4882-8BF6-344C952E414A}"/>
    <cellStyle name="40% - 强调文字颜色 5 35" xfId="2761" xr:uid="{801DAB91-97AA-4A57-ACEF-5C991533FFC0}"/>
    <cellStyle name="40% - 强调文字颜色 5 35 2" xfId="12607" xr:uid="{DB3CC8C6-4202-462C-9F89-8D2AF9380ABA}"/>
    <cellStyle name="40% - 强调文字颜色 5 35 2 2" xfId="19374" xr:uid="{861D9C12-0CF3-4E4C-8EC8-70DD7AFF1D76}"/>
    <cellStyle name="40% - 强调文字颜色 5 35 3" xfId="19375" xr:uid="{42B076FF-11C9-4905-A06A-28E4C78AC0A3}"/>
    <cellStyle name="40% - 强调文字颜色 5 35 4" xfId="19373" xr:uid="{55606678-CC12-4442-8E88-93E01262311C}"/>
    <cellStyle name="40% - 强调文字颜色 5 36" xfId="2805" xr:uid="{F127FE74-2F7E-427E-85F2-C974CF0D3805}"/>
    <cellStyle name="40% - 强调文字颜色 5 36 2" xfId="12608" xr:uid="{DACFD7B2-ADB0-4073-87BE-297423B094CA}"/>
    <cellStyle name="40% - 强调文字颜色 5 36 2 2" xfId="19377" xr:uid="{068FB17A-8348-46EC-8496-E95143E783B6}"/>
    <cellStyle name="40% - 强调文字颜色 5 36 3" xfId="19378" xr:uid="{0BE9A60C-A751-443F-9197-8BC39EF4A1D2}"/>
    <cellStyle name="40% - 强调文字颜色 5 36 4" xfId="19376" xr:uid="{C28145E2-44D5-4D11-A235-2893EBDEB5B8}"/>
    <cellStyle name="40% - 强调文字颜色 5 37" xfId="940" xr:uid="{EBC7F612-8EEE-46A0-BB38-7BD1C31F6DB5}"/>
    <cellStyle name="40% - 强调文字颜色 5 37 2" xfId="12609" xr:uid="{1E2CDFF0-6C89-4AE3-B088-5F3D35D6376E}"/>
    <cellStyle name="40% - 强调文字颜色 5 37 2 2" xfId="19380" xr:uid="{EE783ED5-422C-44EB-B65C-7D1C8B13FAEA}"/>
    <cellStyle name="40% - 强调文字颜色 5 37 3" xfId="19381" xr:uid="{1074A8DB-8DFD-4AC2-9EF5-6582482E825C}"/>
    <cellStyle name="40% - 强调文字颜色 5 37 4" xfId="19379" xr:uid="{42558C52-A4BC-409E-8277-A34887F7F485}"/>
    <cellStyle name="40% - 强调文字颜色 5 38" xfId="2810" xr:uid="{E0C3344E-2370-4638-920B-B6B405EF3287}"/>
    <cellStyle name="40% - 强调文字颜色 5 38 10" xfId="19383" xr:uid="{64DC8096-BDE0-4756-A329-879BC9F8EF9F}"/>
    <cellStyle name="40% - 强调文字颜色 5 38 11" xfId="19384" xr:uid="{5BC7ED2B-8B80-44DC-AA6A-4703235761BD}"/>
    <cellStyle name="40% - 强调文字颜色 5 38 12" xfId="19385" xr:uid="{1D5B7C52-3A47-4074-A9E7-5426CBBE4D14}"/>
    <cellStyle name="40% - 强调文字颜色 5 38 13" xfId="19386" xr:uid="{A185AAEB-231D-4191-83A8-A41DA3D9C4F2}"/>
    <cellStyle name="40% - 强调文字颜色 5 38 14" xfId="19387" xr:uid="{DCFDE1B2-65B1-4E0F-9EF8-E59E6D05EBAE}"/>
    <cellStyle name="40% - 强调文字颜色 5 38 15" xfId="19382" xr:uid="{14201CE5-2D04-4652-87CB-CAB2FD32DDA2}"/>
    <cellStyle name="40% - 强调文字颜色 5 38 2" xfId="12610" xr:uid="{33380A55-48C6-41AE-BEB8-63EE7A07A61D}"/>
    <cellStyle name="40% - 强调文字颜色 5 38 2 2" xfId="19388" xr:uid="{0008BD2C-7AC5-492A-AFCA-911F14462AFE}"/>
    <cellStyle name="40% - 强调文字颜色 5 38 3" xfId="19389" xr:uid="{BF98444F-470B-47FC-921D-9BEF46218B9E}"/>
    <cellStyle name="40% - 强调文字颜色 5 38 4" xfId="19390" xr:uid="{56C88A42-9F81-41E7-9A2C-209498050D6D}"/>
    <cellStyle name="40% - 强调文字颜色 5 38 5" xfId="19391" xr:uid="{BD1A5554-93F1-4663-93C3-051FBF3AE184}"/>
    <cellStyle name="40% - 强调文字颜色 5 38 6" xfId="19392" xr:uid="{25B0AF26-BA64-4F08-80F6-3086B878118F}"/>
    <cellStyle name="40% - 强调文字颜色 5 38 7" xfId="19393" xr:uid="{5532738B-D9D0-4F4E-8347-D7B8C0910F59}"/>
    <cellStyle name="40% - 强调文字颜色 5 38 8" xfId="19394" xr:uid="{B5A87F82-8596-41E7-B0CB-82781403A7F4}"/>
    <cellStyle name="40% - 强调文字颜色 5 38 9" xfId="19395" xr:uid="{7CA22C22-F21C-40E6-9B14-8E12224EC6DB}"/>
    <cellStyle name="40% - 强调文字颜色 5 39" xfId="2012" xr:uid="{0B4725F3-18B4-4A28-8C96-B00AFD725A28}"/>
    <cellStyle name="40% - 强调文字颜色 5 39 2" xfId="12611" xr:uid="{49FC9E8D-DCCF-4B0F-8753-DFEA8397435A}"/>
    <cellStyle name="40% - 强调文字颜色 5 39 2 2" xfId="19397" xr:uid="{306C9DD1-BB59-4D95-A850-82D0F48A2FAF}"/>
    <cellStyle name="40% - 强调文字颜色 5 39 3" xfId="19398" xr:uid="{479E2872-2C2F-4593-BFAE-866BDFD47BCF}"/>
    <cellStyle name="40% - 强调文字颜色 5 39 4" xfId="19396" xr:uid="{4AD0B5B7-F93F-4972-9E5E-89C154206C92}"/>
    <cellStyle name="40% - 强调文字颜色 5 4" xfId="4470" xr:uid="{BFF719E3-A5DD-44C6-9407-BE41A8FA3124}"/>
    <cellStyle name="40% - 强调文字颜色 5 4 10" xfId="4471" xr:uid="{98E76DCE-8377-4AE8-9BE1-68198EAB22B4}"/>
    <cellStyle name="40% - 强调文字颜色 5 4 10 2" xfId="4472" xr:uid="{75A51FEA-22B2-449C-AA79-D2B1648B1010}"/>
    <cellStyle name="40% - 强调文字颜色 5 4 11" xfId="4009" xr:uid="{886248EF-FF32-42DD-9B30-FEE0CEF96033}"/>
    <cellStyle name="40% - 强调文字颜色 5 4 11 2" xfId="4473" xr:uid="{77678823-ABA1-4C5E-8930-8E1CA8739BCD}"/>
    <cellStyle name="40% - 强调文字颜色 5 4 12" xfId="4474" xr:uid="{51844A04-0027-44CB-A977-954C05D9892F}"/>
    <cellStyle name="40% - 强调文字颜色 5 4 13" xfId="4475" xr:uid="{7DB39DA9-AA38-479C-AEB1-A67CD8D40DC5}"/>
    <cellStyle name="40% - 强调文字颜色 5 4 13 2" xfId="4354" xr:uid="{C67A7394-3532-4994-9137-D492D3E86277}"/>
    <cellStyle name="40% - 强调文字颜色 5 4 14" xfId="4476" xr:uid="{BB1C858A-B223-4C3C-99B9-C12DF2424EEF}"/>
    <cellStyle name="40% - 强调文字颜色 5 4 14 2" xfId="4373" xr:uid="{34F4F7B3-0EDF-47B8-A118-0A65D32BCD2D}"/>
    <cellStyle name="40% - 强调文字颜色 5 4 15" xfId="10022" xr:uid="{B229BB48-89CF-4188-86E1-2761E49A5CFF}"/>
    <cellStyle name="40% - 强调文字颜色 5 4 16" xfId="13388" xr:uid="{B24310A3-6E2F-47B9-97CB-7F6CEE992380}"/>
    <cellStyle name="40% - 强调文字颜色 5 4 17" xfId="19399" xr:uid="{51BCF931-7859-4776-B382-1EF4D062CFEA}"/>
    <cellStyle name="40% - 强调文字颜色 5 4 2" xfId="4477" xr:uid="{AEF78CE2-58EA-40BF-BD38-F4C6F300643C}"/>
    <cellStyle name="40% - 强调文字颜色 5 4 2 2" xfId="4478" xr:uid="{47A85864-9941-406F-B1B5-0C6959C87F6C}"/>
    <cellStyle name="40% - 强调文字颜色 5 4 2 2 2" xfId="19401" xr:uid="{6C18EE85-2718-41DC-9B2F-FCA3CF7274FE}"/>
    <cellStyle name="40% - 强调文字颜色 5 4 2 3" xfId="10023" xr:uid="{36E6AFEA-ACFE-4DC7-B8F8-2830826F742C}"/>
    <cellStyle name="40% - 强调文字颜色 5 4 2 4" xfId="19400" xr:uid="{FEE25846-BE4F-4730-93B4-2DA362C85BF3}"/>
    <cellStyle name="40% - 强调文字颜色 5 4 3" xfId="4479" xr:uid="{8E269A2A-3565-4C05-B2ED-D8370775A690}"/>
    <cellStyle name="40% - 强调文字颜色 5 4 3 2" xfId="4480" xr:uid="{AD57BACE-8921-4293-BF66-4922D90A74DE}"/>
    <cellStyle name="40% - 强调文字颜色 5 4 3 3" xfId="10024" xr:uid="{3F1CAF81-FB0B-4E06-B3D7-57078AF5F98F}"/>
    <cellStyle name="40% - 强调文字颜色 5 4 3 4" xfId="19402" xr:uid="{D267534B-1E7B-4F94-AD60-27129C06BEA3}"/>
    <cellStyle name="40% - 强调文字颜色 5 4 4" xfId="2832" xr:uid="{80B18BE6-893D-4A92-8189-4468D74F25CC}"/>
    <cellStyle name="40% - 强调文字颜色 5 4 4 2" xfId="4481" xr:uid="{541CFC49-3B5E-4417-B415-8635840EFEAB}"/>
    <cellStyle name="40% - 强调文字颜色 5 4 4 3" xfId="19403" xr:uid="{43A3FAEA-F4D5-43F9-B01F-D66D5D696AC2}"/>
    <cellStyle name="40% - 强调文字颜色 5 4 5" xfId="3064" xr:uid="{38BEE14C-0D2E-4145-9F0B-E5BD98E75FB6}"/>
    <cellStyle name="40% - 强调文字颜色 5 4 5 2" xfId="4482" xr:uid="{97198C32-BDA1-412F-A5D7-390F3C4A1DC5}"/>
    <cellStyle name="40% - 强调文字颜色 5 4 6" xfId="1910" xr:uid="{AE71C906-193A-433D-B644-5D87D8E753C8}"/>
    <cellStyle name="40% - 强调文字颜色 5 4 6 2" xfId="3199" xr:uid="{86BE5C3D-496B-476D-AFBE-3AFA6ED82BBC}"/>
    <cellStyle name="40% - 强调文字颜色 5 4 7" xfId="759" xr:uid="{767D0F93-A953-4B14-87FF-D67D596D46DA}"/>
    <cellStyle name="40% - 强调文字颜色 5 4 7 2" xfId="2836" xr:uid="{B3316F58-D702-4124-BAA4-3E96FE45C844}"/>
    <cellStyle name="40% - 强调文字颜色 5 4 8" xfId="2838" xr:uid="{DE7CD504-EEE1-49AA-B6D4-061D7006236F}"/>
    <cellStyle name="40% - 强调文字颜色 5 4 8 2" xfId="2841" xr:uid="{0EF1CD0D-2D90-4376-8547-2CEF753ADB19}"/>
    <cellStyle name="40% - 强调文字颜色 5 4 9" xfId="2785" xr:uid="{59531948-6C50-4128-9364-B196D71F89A5}"/>
    <cellStyle name="40% - 强调文字颜色 5 40" xfId="2762" xr:uid="{164F2257-0F2D-4277-8644-997A8F887E7D}"/>
    <cellStyle name="40% - 强调文字颜色 5 40 2" xfId="12613" xr:uid="{61C6AC02-8FFC-43F0-A337-3EF439EE3907}"/>
    <cellStyle name="40% - 强调文字颜色 5 40 2 2" xfId="19405" xr:uid="{E5F1D88B-0151-437D-A14F-8C10247974C9}"/>
    <cellStyle name="40% - 强调文字颜色 5 40 3" xfId="19404" xr:uid="{2EDAEE8C-2114-4797-8F33-33FC8BEA4AB2}"/>
    <cellStyle name="40% - 强调文字颜色 5 41" xfId="2806" xr:uid="{D49BAF16-774D-454A-8D8E-B6035D3F2514}"/>
    <cellStyle name="40% - 强调文字颜色 5 41 2" xfId="12614" xr:uid="{A987B757-AAE7-454C-979E-5A84CF7D7FEA}"/>
    <cellStyle name="40% - 强调文字颜色 5 41 2 2" xfId="19407" xr:uid="{A7B2E52B-EBE0-4F25-8015-D9240A0A6791}"/>
    <cellStyle name="40% - 强调文字颜色 5 41 3" xfId="19406" xr:uid="{7B00EAE5-5A42-469B-8301-E55812018BD6}"/>
    <cellStyle name="40% - 强调文字颜色 5 42" xfId="941" xr:uid="{BC678671-56DC-4C35-B7A3-41843A16DA3D}"/>
    <cellStyle name="40% - 强调文字颜色 5 42 2" xfId="12615" xr:uid="{BF6C00FD-C510-4EBD-9AF6-B5D416D12AFF}"/>
    <cellStyle name="40% - 强调文字颜色 5 42 2 2" xfId="19409" xr:uid="{369393D2-C3FE-4E5F-9941-4EC3E3989725}"/>
    <cellStyle name="40% - 强调文字颜色 5 42 3" xfId="19408" xr:uid="{F8AEE440-A644-4EBD-9F4C-50AF9FBE5F4E}"/>
    <cellStyle name="40% - 强调文字颜色 5 43" xfId="2811" xr:uid="{AE84E086-5399-404C-BDDA-62BACED61145}"/>
    <cellStyle name="40% - 强调文字颜色 5 43 2" xfId="12616" xr:uid="{499EBE8A-75D8-4468-A074-0465F491B56A}"/>
    <cellStyle name="40% - 强调文字颜色 5 43 2 2" xfId="19411" xr:uid="{B0AFBDA4-AF1F-437E-AC6F-48DC8B594029}"/>
    <cellStyle name="40% - 强调文字颜色 5 43 3" xfId="19410" xr:uid="{7BA3F14F-D08D-4E20-B39F-660C2EA05D21}"/>
    <cellStyle name="40% - 强调文字颜色 5 44" xfId="2013" xr:uid="{F9BFE4F7-7A1C-4361-81E5-5C8DA9B0A5C7}"/>
    <cellStyle name="40% - 强调文字颜色 5 44 2" xfId="12617" xr:uid="{16EA6F60-F4C3-4641-BC8F-95B1D46CF080}"/>
    <cellStyle name="40% - 强调文字颜色 5 44 2 2" xfId="19413" xr:uid="{846725B5-5EF6-4DCB-BE18-CA264AF17995}"/>
    <cellStyle name="40% - 强调文字颜色 5 44 3" xfId="19412" xr:uid="{62034897-D1D1-4828-B4E4-0309C2AD6B24}"/>
    <cellStyle name="40% - 强调文字颜色 5 45" xfId="2818" xr:uid="{3A659911-0F4E-4BC4-8DD0-87780D76E2BE}"/>
    <cellStyle name="40% - 强调文字颜色 5 45 2" xfId="12618" xr:uid="{E8E28FDA-6691-4980-B46B-B4AD18421A53}"/>
    <cellStyle name="40% - 强调文字颜色 5 45 2 2" xfId="19415" xr:uid="{5CA8234D-1AD4-43C3-BB6F-E9F7618AE69E}"/>
    <cellStyle name="40% - 强调文字颜色 5 45 3" xfId="19414" xr:uid="{E015881B-2879-4BB3-9A2D-183EA18628A2}"/>
    <cellStyle name="40% - 强调文字颜色 5 46" xfId="2862" xr:uid="{65ACA6C1-2BE4-4F6E-B91B-295D6378149A}"/>
    <cellStyle name="40% - 强调文字颜色 5 46 2" xfId="12619" xr:uid="{7CEF58DF-D2E7-42E1-A3D0-9AA56FD42828}"/>
    <cellStyle name="40% - 强调文字颜色 5 46 2 2" xfId="19417" xr:uid="{01D2688E-BA5E-4D17-A01E-904C840BCF1D}"/>
    <cellStyle name="40% - 强调文字颜色 5 46 3" xfId="19416" xr:uid="{F624C510-ED5F-4914-AF79-68F187A36107}"/>
    <cellStyle name="40% - 强调文字颜色 5 47" xfId="2868" xr:uid="{699ADCF5-641D-48EA-9615-44FFCC66E017}"/>
    <cellStyle name="40% - 强调文字颜色 5 47 2" xfId="12620" xr:uid="{7EAF4DC6-1DE9-4C27-9D79-E54DD22842C1}"/>
    <cellStyle name="40% - 强调文字颜色 5 47 3" xfId="19418" xr:uid="{622F893F-F078-4D6C-9E5E-370948416CEF}"/>
    <cellStyle name="40% - 强调文字颜色 5 48" xfId="383" xr:uid="{818C82BC-7131-4428-B5A3-B26D4DC38A14}"/>
    <cellStyle name="40% - 强调文字颜色 5 48 2" xfId="12621" xr:uid="{5BD492D4-BC6F-4A86-B1B2-71C66DC60C04}"/>
    <cellStyle name="40% - 强调文字颜色 5 48 3" xfId="19419" xr:uid="{2D33FB1D-FE08-48D2-B4DD-B047AAB9891F}"/>
    <cellStyle name="40% - 强调文字颜色 5 49" xfId="1313" xr:uid="{DD411C0D-F9D6-469E-BF34-583D8268AB12}"/>
    <cellStyle name="40% - 强调文字颜色 5 49 2" xfId="12622" xr:uid="{F59A2AD2-E50E-4711-9B14-00EADA66F5E0}"/>
    <cellStyle name="40% - 强调文字颜色 5 49 3" xfId="19420" xr:uid="{40213D96-521B-4DBD-A76B-644763DCAEBA}"/>
    <cellStyle name="40% - 强调文字颜色 5 5" xfId="4483" xr:uid="{D4107339-BA77-4EB3-A8A6-1A4B86B6B8CB}"/>
    <cellStyle name="40% - 强调文字颜色 5 5 10" xfId="4484" xr:uid="{4C8042F7-7081-49AA-96F5-9EE366712058}"/>
    <cellStyle name="40% - 强调文字颜色 5 5 10 2" xfId="4485" xr:uid="{E4C0815A-0456-49AA-B1B1-60543A4223E8}"/>
    <cellStyle name="40% - 强调文字颜色 5 5 11" xfId="2715" xr:uid="{65082535-3E33-4F7A-8908-F56594B302B5}"/>
    <cellStyle name="40% - 强调文字颜色 5 5 11 2" xfId="4486" xr:uid="{974A2486-A5AF-4298-9683-B2D318BD5569}"/>
    <cellStyle name="40% - 强调文字颜色 5 5 12" xfId="2767" xr:uid="{94854176-4E0C-4DD3-86C4-58B504259AE3}"/>
    <cellStyle name="40% - 强调文字颜色 5 5 13" xfId="4488" xr:uid="{3230A1C1-FBEB-46EF-B8B7-5D53D95C04E0}"/>
    <cellStyle name="40% - 强调文字颜色 5 5 13 2" xfId="4489" xr:uid="{B14A9C65-2215-44BC-BEEF-D4955AA6D861}"/>
    <cellStyle name="40% - 强调文字颜色 5 5 14" xfId="4240" xr:uid="{92F19F32-CE47-42CF-AF14-420727272B01}"/>
    <cellStyle name="40% - 强调文字颜色 5 5 14 2" xfId="4490" xr:uid="{7B359299-8D9B-4F31-9347-FDA343AFBF56}"/>
    <cellStyle name="40% - 强调文字颜色 5 5 15" xfId="10025" xr:uid="{96771253-4FFA-46AB-B144-3765DF12A33F}"/>
    <cellStyle name="40% - 强调文字颜色 5 5 16" xfId="13365" xr:uid="{AA9E3FEF-327D-4A07-9A7C-FEF1C77B8364}"/>
    <cellStyle name="40% - 强调文字颜色 5 5 17" xfId="19421" xr:uid="{DF2071B1-F5CB-4204-8258-3C353C8F52A5}"/>
    <cellStyle name="40% - 强调文字颜色 5 5 2" xfId="4491" xr:uid="{C38490EE-A43D-4FA3-BF31-1100092A9E02}"/>
    <cellStyle name="40% - 强调文字颜色 5 5 2 2" xfId="4492" xr:uid="{BC9798CF-44CA-433B-B81C-EB3A9132A02F}"/>
    <cellStyle name="40% - 强调文字颜色 5 5 2 2 2" xfId="19423" xr:uid="{1C2CE0E0-DC9F-4A8A-BA6C-76ECC46D647D}"/>
    <cellStyle name="40% - 强调文字颜色 5 5 2 3" xfId="10026" xr:uid="{6AA46EFE-3087-40F4-9F17-B288E00CD655}"/>
    <cellStyle name="40% - 强调文字颜色 5 5 2 4" xfId="19422" xr:uid="{51D8B0CE-343C-4971-8B0E-8647370CDA21}"/>
    <cellStyle name="40% - 强调文字颜色 5 5 3" xfId="2058" xr:uid="{79989D8F-0243-40D2-89E8-9744582E7BBE}"/>
    <cellStyle name="40% - 强调文字颜色 5 5 3 2" xfId="4493" xr:uid="{49DBD882-05B7-493D-BEE5-D8CF4ADFBC85}"/>
    <cellStyle name="40% - 强调文字颜色 5 5 3 3" xfId="10027" xr:uid="{355E488A-3442-454B-9D6F-25B3A0B7A285}"/>
    <cellStyle name="40% - 强调文字颜色 5 5 3 4" xfId="19424" xr:uid="{18C1259C-9B4C-48E0-B419-B684858DE226}"/>
    <cellStyle name="40% - 强调文字颜色 5 5 4" xfId="4494" xr:uid="{29944EA6-7B6D-4E6A-84D1-8D5FE3634361}"/>
    <cellStyle name="40% - 强调文字颜色 5 5 4 2" xfId="4495" xr:uid="{866D50CA-8865-478A-8238-F48AFE4D989D}"/>
    <cellStyle name="40% - 强调文字颜色 5 5 4 3" xfId="19425" xr:uid="{E26D2528-7510-4C39-8DDE-3D651DF90101}"/>
    <cellStyle name="40% - 强调文字颜色 5 5 5" xfId="4496" xr:uid="{AC4671C6-FDF8-44FA-AC4C-D7D38DD10EFD}"/>
    <cellStyle name="40% - 强调文字颜色 5 5 5 2" xfId="4497" xr:uid="{5C3C3877-2E42-4CC2-B913-ADB38C15D73B}"/>
    <cellStyle name="40% - 强调文字颜色 5 5 6" xfId="4498" xr:uid="{6AD9AE0F-1651-4DE2-8C08-EC2048208F91}"/>
    <cellStyle name="40% - 强调文字颜色 5 5 6 2" xfId="3529" xr:uid="{268D9340-758B-4923-8EFB-AD2744FFE549}"/>
    <cellStyle name="40% - 强调文字颜色 5 5 7" xfId="768" xr:uid="{70A37289-DDC7-4366-8F9E-9CD566CE52EE}"/>
    <cellStyle name="40% - 强调文字颜色 5 5 7 2" xfId="2880" xr:uid="{A9909D78-A84A-4D02-89AB-5193A1928703}"/>
    <cellStyle name="40% - 强调文字颜色 5 5 8" xfId="2882" xr:uid="{66A198E1-DCFD-47F6-81E7-8BDE32104DF9}"/>
    <cellStyle name="40% - 强调文字颜色 5 5 8 2" xfId="2886" xr:uid="{ECB65D47-717C-4D83-95A9-45514917028D}"/>
    <cellStyle name="40% - 强调文字颜色 5 5 9" xfId="2788" xr:uid="{22BFDF2C-83C7-4063-90A5-336E2BD56CCC}"/>
    <cellStyle name="40% - 强调文字颜色 5 50" xfId="2819" xr:uid="{6589CD26-3E5B-4CD1-AA79-2DD186ED62AD}"/>
    <cellStyle name="40% - 强调文字颜色 5 50 2" xfId="12624" xr:uid="{5B34CABB-C814-4EF0-9D02-61A00FE8976C}"/>
    <cellStyle name="40% - 强调文字颜色 5 50 3" xfId="19426" xr:uid="{FCD8C807-CDA6-4C99-95B9-53AF736639DA}"/>
    <cellStyle name="40% - 强调文字颜色 5 51" xfId="2863" xr:uid="{230F731F-A521-4843-ABCD-CA0B145DAC93}"/>
    <cellStyle name="40% - 强调文字颜色 5 51 2" xfId="12625" xr:uid="{E03F8379-9B40-4CC2-B83D-2981C323FD7F}"/>
    <cellStyle name="40% - 强调文字颜色 5 51 3" xfId="19427" xr:uid="{6900CBC6-D512-4533-A8A7-2F57FD2C481C}"/>
    <cellStyle name="40% - 强调文字颜色 5 52" xfId="2869" xr:uid="{D96D88E3-6EEF-4865-BF92-F8FEC8428AA1}"/>
    <cellStyle name="40% - 强调文字颜色 5 52 2" xfId="12626" xr:uid="{6A8132B8-3287-40A6-A266-D39B3DC97ADC}"/>
    <cellStyle name="40% - 强调文字颜色 5 52 3" xfId="19428" xr:uid="{ED5AFBEB-B0F3-487D-AB58-987C30DC99EE}"/>
    <cellStyle name="40% - 强调文字颜色 5 53" xfId="382" xr:uid="{1BAE648F-FF14-4EAE-A013-FAA86E5847CB}"/>
    <cellStyle name="40% - 强调文字颜色 5 53 2" xfId="12627" xr:uid="{689EBA1A-848E-498C-8C04-1F0953B82606}"/>
    <cellStyle name="40% - 强调文字颜色 5 53 3" xfId="19429" xr:uid="{45CACF0D-87AD-424A-8C41-1D9CF4036B9D}"/>
    <cellStyle name="40% - 强调文字颜色 5 54" xfId="1314" xr:uid="{B814CC65-7E34-40A2-B241-01ACF368454B}"/>
    <cellStyle name="40% - 强调文字颜色 5 54 2" xfId="12628" xr:uid="{8B904AF9-EBE8-4583-86A5-E1CE4D416B9D}"/>
    <cellStyle name="40% - 强调文字颜色 5 54 3" xfId="19430" xr:uid="{906C329E-4B6E-412A-92A9-13CAF1BECCBC}"/>
    <cellStyle name="40% - 强调文字颜色 5 55" xfId="1320" xr:uid="{461386A9-903F-4C10-A172-F4ED038392BC}"/>
    <cellStyle name="40% - 强调文字颜色 5 55 2" xfId="12629" xr:uid="{32F5EA64-17D6-44A0-B512-4AAEAA360988}"/>
    <cellStyle name="40% - 强调文字颜色 5 55 3" xfId="19431" xr:uid="{A1DB5406-27B6-4521-A0EB-C3F207145D45}"/>
    <cellStyle name="40% - 强调文字颜色 5 56" xfId="1329" xr:uid="{9F907B2F-D30A-4FCC-8197-C7C5A6847B81}"/>
    <cellStyle name="40% - 强调文字颜色 5 56 2" xfId="12630" xr:uid="{DA75055C-8DD9-4DB6-A3F5-CB9E8557C3C6}"/>
    <cellStyle name="40% - 强调文字颜色 5 56 3" xfId="19432" xr:uid="{4C002A3E-A0F8-4A4B-9618-54ABCAFFBBE0}"/>
    <cellStyle name="40% - 强调文字颜色 5 57" xfId="1339" xr:uid="{5B6B7767-85B1-48C3-B389-682E40DF0A5F}"/>
    <cellStyle name="40% - 强调文字颜色 5 57 2" xfId="12631" xr:uid="{3C182BAA-BE17-4282-912E-53FC5BA2E07E}"/>
    <cellStyle name="40% - 强调文字颜色 5 58" xfId="2905" xr:uid="{3FAD48A1-3996-445F-BEEF-4CCD7BE5EE7D}"/>
    <cellStyle name="40% - 强调文字颜色 5 58 2" xfId="12632" xr:uid="{E050F1A8-938B-432A-A05E-0509E7119907}"/>
    <cellStyle name="40% - 强调文字颜色 5 59" xfId="2910" xr:uid="{3916B6CB-ED4E-4B86-95A1-4364B4CD5671}"/>
    <cellStyle name="40% - 强调文字颜色 5 59 2" xfId="12633" xr:uid="{51D1D6F8-DCFE-494B-9BE4-D1060DDF2C18}"/>
    <cellStyle name="40% - 强调文字颜色 5 6" xfId="4499" xr:uid="{35AB16B0-587A-4D5D-AE60-503865485815}"/>
    <cellStyle name="40% - 强调文字颜色 5 6 10" xfId="19433" xr:uid="{F69430E4-FEA8-4B09-B7DE-DFA7E530BF61}"/>
    <cellStyle name="40% - 强调文字颜色 5 6 2" xfId="4500" xr:uid="{2981E3FA-9FAC-4828-B284-41B7AB417876}"/>
    <cellStyle name="40% - 强调文字颜色 5 6 2 2" xfId="10029" xr:uid="{7B769454-95AF-45A9-BB5E-4952EEAEF8D7}"/>
    <cellStyle name="40% - 强调文字颜色 5 6 2 2 2" xfId="19435" xr:uid="{F2194BC2-8F02-4007-B639-E599BF0C9179}"/>
    <cellStyle name="40% - 强调文字颜色 5 6 2 3" xfId="19434" xr:uid="{FC8AA138-1985-4836-AB47-2787643C3443}"/>
    <cellStyle name="40% - 强调文字颜色 5 6 3" xfId="4501" xr:uid="{5F26538E-052C-4D8F-AD27-214B03ECD141}"/>
    <cellStyle name="40% - 强调文字颜色 5 6 3 2" xfId="4502" xr:uid="{5E94B763-3041-4B73-866A-20B863CE5A14}"/>
    <cellStyle name="40% - 强调文字颜色 5 6 3 3" xfId="10030" xr:uid="{E4340DEA-C831-46D7-B44A-EB9BF535F0A1}"/>
    <cellStyle name="40% - 强调文字颜色 5 6 3 4" xfId="19436" xr:uid="{5D97CD4B-59CE-4986-AE2B-4CB3F81FE257}"/>
    <cellStyle name="40% - 强调文字颜色 5 6 4" xfId="4503" xr:uid="{11153A5A-490C-4D46-9EE5-2BEC5DFD09A0}"/>
    <cellStyle name="40% - 强调文字颜色 5 6 4 2" xfId="4505" xr:uid="{992CDEBE-734F-4016-B661-6890FFE3848C}"/>
    <cellStyle name="40% - 强调文字颜色 5 6 4 3" xfId="19437" xr:uid="{1BAECEBE-01B2-499F-BCA6-8148979036CC}"/>
    <cellStyle name="40% - 强调文字颜色 5 6 5" xfId="3073" xr:uid="{5AE73585-5191-4096-8623-4FD05FD5A996}"/>
    <cellStyle name="40% - 强调文字颜色 5 6 6" xfId="4507" xr:uid="{5845D8FA-D2D1-41AC-8BB9-632DA54A635D}"/>
    <cellStyle name="40% - 强调文字颜色 5 6 6 2" xfId="4004" xr:uid="{B88F3E8E-041F-46AA-9FC2-D86060B205C6}"/>
    <cellStyle name="40% - 强调文字颜色 5 6 7" xfId="206" xr:uid="{27FFD148-5ADF-4CA4-9BC1-89EC6E7D1981}"/>
    <cellStyle name="40% - 强调文字颜色 5 6 7 2" xfId="4508" xr:uid="{EF07A606-06FE-42FD-BF28-27DB0ADAFB6D}"/>
    <cellStyle name="40% - 强调文字颜色 5 6 8" xfId="10028" xr:uid="{21A050FC-BB6B-4215-9E86-D31053D89113}"/>
    <cellStyle name="40% - 强调文字颜色 5 6 9" xfId="13343" xr:uid="{3801B215-941E-4FAD-9B38-1561A8FA1F6C}"/>
    <cellStyle name="40% - 强调文字颜色 5 60" xfId="1321" xr:uid="{4F534870-302F-4E57-B321-6B8EA96CFD84}"/>
    <cellStyle name="40% - 强调文字颜色 5 60 2" xfId="12634" xr:uid="{F5B13338-099B-48FD-A605-449A5F8CC9CB}"/>
    <cellStyle name="40% - 强调文字颜色 5 61" xfId="1330" xr:uid="{631FE92B-2A2B-415C-847A-77B786FC5BDE}"/>
    <cellStyle name="40% - 强调文字颜色 5 61 2" xfId="12635" xr:uid="{404131AD-B793-4C93-A7F8-0EC1760495FD}"/>
    <cellStyle name="40% - 强调文字颜色 5 62" xfId="1340" xr:uid="{31AE7D9E-867D-4C0B-9C2C-79775EBA7D21}"/>
    <cellStyle name="40% - 强调文字颜色 5 62 2" xfId="12636" xr:uid="{BC576435-27CD-47A5-A755-FF3FF4D5FE07}"/>
    <cellStyle name="40% - 强调文字颜色 5 63" xfId="2906" xr:uid="{D53C3805-579F-4E39-93B9-0BF97755AFF7}"/>
    <cellStyle name="40% - 强调文字颜色 5 63 2" xfId="12637" xr:uid="{938E1068-8AB6-4382-A391-43D7EAB5A7A9}"/>
    <cellStyle name="40% - 强调文字颜色 5 64" xfId="2911" xr:uid="{C5EB89B6-8215-4AFB-8AEB-461004DDA225}"/>
    <cellStyle name="40% - 强调文字颜色 5 64 2" xfId="12638" xr:uid="{C0433E66-6F05-4236-9353-406C453AB28F}"/>
    <cellStyle name="40% - 强调文字颜色 5 65" xfId="2914" xr:uid="{FB3B3934-CCFD-4B6A-BA6B-22EF615CCE00}"/>
    <cellStyle name="40% - 强调文字颜色 5 65 2" xfId="12639" xr:uid="{FD38D2DC-1FA3-4D5E-B6CC-DC94BDD38516}"/>
    <cellStyle name="40% - 强调文字颜色 5 66" xfId="1142" xr:uid="{7A551F29-1764-4B8A-AA0D-83C11F78181C}"/>
    <cellStyle name="40% - 强调文字颜色 5 66 2" xfId="12640" xr:uid="{181C9235-8940-4BD4-86C1-69DE81321C68}"/>
    <cellStyle name="40% - 强调文字颜色 5 67" xfId="2924" xr:uid="{CB874144-8549-4E7A-A395-14F42DE728D8}"/>
    <cellStyle name="40% - 强调文字颜色 5 67 2" xfId="12641" xr:uid="{27D3D5BC-EE2C-43C2-814C-A6EB0AD3324C}"/>
    <cellStyle name="40% - 强调文字颜色 5 68" xfId="2928" xr:uid="{1D5F3C1A-946B-46B2-900F-80A12C85E50B}"/>
    <cellStyle name="40% - 强调文字颜色 5 68 2" xfId="12642" xr:uid="{82579C37-1DDB-47EB-8C8F-D552D12BD42D}"/>
    <cellStyle name="40% - 强调文字颜色 5 69" xfId="2932" xr:uid="{3BAC80AD-7E68-4B7E-AD8E-A5604472BDE0}"/>
    <cellStyle name="40% - 强调文字颜色 5 69 2" xfId="12643" xr:uid="{4DE9A9A6-7A92-4C20-A1B6-4AF76EFEA2A1}"/>
    <cellStyle name="40% - 强调文字颜色 5 7" xfId="3206" xr:uid="{BE93406C-EBF4-4B48-976A-D1D7D3C11AB4}"/>
    <cellStyle name="40% - 强调文字颜色 5 7 2" xfId="4509" xr:uid="{6572E57C-F708-474D-8FE6-34620CB17814}"/>
    <cellStyle name="40% - 强调文字颜色 5 7 2 2" xfId="4510" xr:uid="{1B24AA93-5C43-463A-9981-5DCC1F9B6843}"/>
    <cellStyle name="40% - 强调文字颜色 5 7 2 2 2" xfId="19440" xr:uid="{4466421A-A63D-4CF4-A45F-70FD94EB7072}"/>
    <cellStyle name="40% - 强调文字颜色 5 7 2 3" xfId="10032" xr:uid="{7121C807-3DAA-4867-BB49-ECE7B84DC5AD}"/>
    <cellStyle name="40% - 强调文字颜色 5 7 2 4" xfId="19439" xr:uid="{B97BF359-2CE9-4276-A7CD-7943FE0AADAC}"/>
    <cellStyle name="40% - 强调文字颜色 5 7 3" xfId="2065" xr:uid="{C8E73AC0-851A-4E6F-8C27-3256E5C1A788}"/>
    <cellStyle name="40% - 强调文字颜色 5 7 3 2" xfId="4511" xr:uid="{4EA47742-736E-412B-B387-06DEAA14A1E1}"/>
    <cellStyle name="40% - 强调文字颜色 5 7 3 3" xfId="10033" xr:uid="{050FD35F-7105-4794-B0B0-22477E16089F}"/>
    <cellStyle name="40% - 强调文字颜色 5 7 3 4" xfId="19441" xr:uid="{3FC801BD-1D8A-46F7-8DB3-4535143E18CA}"/>
    <cellStyle name="40% - 强调文字颜色 5 7 4" xfId="4512" xr:uid="{12A24647-375B-4A56-B6A2-B33A18A05474}"/>
    <cellStyle name="40% - 强调文字颜色 5 7 4 2" xfId="19442" xr:uid="{635982B6-4D39-4FE2-8CE9-D26664E033BD}"/>
    <cellStyle name="40% - 强调文字颜色 5 7 5" xfId="3076" xr:uid="{70488744-AA4B-4D80-9D33-3EA9ECCB8393}"/>
    <cellStyle name="40% - 强调文字颜色 5 7 5 2" xfId="3082" xr:uid="{FBD6F8C8-5F47-404F-AFBE-0F9716201CEE}"/>
    <cellStyle name="40% - 强调文字颜色 5 7 6" xfId="4513" xr:uid="{65018E9D-7512-4162-A86F-7AE1C2AF1264}"/>
    <cellStyle name="40% - 强调文字颜色 5 7 6 2" xfId="3333" xr:uid="{C094B1BE-A619-455E-897B-804CC8D3C7E7}"/>
    <cellStyle name="40% - 强调文字颜色 5 7 7" xfId="10031" xr:uid="{319AC9CF-2360-4BE0-AA10-58B43D9487DD}"/>
    <cellStyle name="40% - 强调文字颜色 5 7 8" xfId="13322" xr:uid="{C9492227-84A7-4257-8503-8D0CA821E5AA}"/>
    <cellStyle name="40% - 强调文字颜色 5 7 9" xfId="19438" xr:uid="{9D6788AE-CD67-40BB-8011-6C09A1196FB3}"/>
    <cellStyle name="40% - 强调文字颜色 5 70" xfId="2915" xr:uid="{DA54035D-79E1-474C-BA3A-87412195C3AB}"/>
    <cellStyle name="40% - 强调文字颜色 5 70 2" xfId="12644" xr:uid="{F326859E-51E6-4406-92AB-211AF9AE1754}"/>
    <cellStyle name="40% - 强调文字颜色 5 71" xfId="1143" xr:uid="{AC69A07E-7543-4B1C-9C43-BDFDADBF5E16}"/>
    <cellStyle name="40% - 强调文字颜色 5 71 2" xfId="12645" xr:uid="{336AE86A-2FBF-4626-89ED-A1CEE8BE1A1E}"/>
    <cellStyle name="40% - 强调文字颜色 5 72" xfId="2925" xr:uid="{FDB240B7-5D3C-4321-B553-8A96B5A519B3}"/>
    <cellStyle name="40% - 强调文字颜色 5 72 2" xfId="12646" xr:uid="{B772767C-AF53-4D90-9797-BB59D3C47603}"/>
    <cellStyle name="40% - 强调文字颜色 5 73" xfId="2929" xr:uid="{EFC50E4D-A63B-42BB-88EC-CA4E4C6E5249}"/>
    <cellStyle name="40% - 强调文字颜色 5 73 2" xfId="12647" xr:uid="{6DD3F223-E65F-4712-B391-9234671A6728}"/>
    <cellStyle name="40% - 强调文字颜色 5 74" xfId="2933" xr:uid="{E0924B4E-A929-4F57-BA7C-A889D25B9D79}"/>
    <cellStyle name="40% - 强调文字颜色 5 74 2" xfId="12648" xr:uid="{B6AE421A-9027-4C10-A62C-162A3B08A300}"/>
    <cellStyle name="40% - 强调文字颜色 5 75" xfId="2936" xr:uid="{BB2EDE7D-6068-40D5-9717-20B660144A12}"/>
    <cellStyle name="40% - 强调文字颜色 5 75 2" xfId="12649" xr:uid="{36F06DAB-2BAB-4D31-BF11-C8FD21CC7A1D}"/>
    <cellStyle name="40% - 强调文字颜色 5 76" xfId="2950" xr:uid="{B0FA5F4A-5DD1-4C1C-8EA8-39D4CC63EE66}"/>
    <cellStyle name="40% - 强调文字颜色 5 76 2" xfId="12650" xr:uid="{BC1E1D89-D262-459A-99D8-7576A27D336A}"/>
    <cellStyle name="40% - 强调文字颜色 5 77" xfId="2954" xr:uid="{A707B840-E14D-48FF-B9FD-5C9C0A9A0FE6}"/>
    <cellStyle name="40% - 强调文字颜色 5 77 2" xfId="12651" xr:uid="{316370F6-D5F6-4CC8-8B8D-CB2D4D949088}"/>
    <cellStyle name="40% - 强调文字颜色 5 78" xfId="2958" xr:uid="{BD05B8CF-08EF-4137-8F83-A1FCE08D5FBF}"/>
    <cellStyle name="40% - 强调文字颜色 5 78 2" xfId="12652" xr:uid="{8B479E36-3EE9-40C8-ACDD-FC949F34E315}"/>
    <cellStyle name="40% - 强调文字颜色 5 79" xfId="2962" xr:uid="{89ECB98E-638E-43B6-B085-40E145978548}"/>
    <cellStyle name="40% - 强调文字颜色 5 79 2" xfId="12653" xr:uid="{F0CDAACD-DF12-46A0-A02C-9416596CEFE7}"/>
    <cellStyle name="40% - 强调文字颜色 5 8" xfId="4514" xr:uid="{FF0534B1-0770-4EE6-8D11-01E96A484006}"/>
    <cellStyle name="40% - 强调文字颜色 5 8 2" xfId="4515" xr:uid="{67E57562-33B1-4B47-9E1C-DDB98F5173F4}"/>
    <cellStyle name="40% - 强调文字颜色 5 8 2 2" xfId="4516" xr:uid="{8A550E4B-E3D2-4C93-BB93-A68CFE4956DF}"/>
    <cellStyle name="40% - 强调文字颜色 5 8 2 2 2" xfId="19445" xr:uid="{701A17B8-4B15-4881-A7C8-51FE46BF1693}"/>
    <cellStyle name="40% - 强调文字颜色 5 8 2 3" xfId="10035" xr:uid="{41C776E7-A80C-4264-A586-CE26333725EA}"/>
    <cellStyle name="40% - 强调文字颜色 5 8 2 4" xfId="19444" xr:uid="{E6AC31C2-6701-4F83-96DA-90A0FC0189AA}"/>
    <cellStyle name="40% - 强调文字颜色 5 8 3" xfId="2072" xr:uid="{1ABAD93F-F60A-4CD2-ADBB-1E5EF43126CD}"/>
    <cellStyle name="40% - 强调文字颜色 5 8 3 2" xfId="10036" xr:uid="{19DF01F8-A176-4350-924B-9E4B1FC9D938}"/>
    <cellStyle name="40% - 强调文字颜色 5 8 3 3" xfId="19446" xr:uid="{6B18B3BE-0987-46E3-BBF0-4D8783835E36}"/>
    <cellStyle name="40% - 强调文字颜色 5 8 4" xfId="4517" xr:uid="{632A7256-0A5F-4D4A-96C2-74FDB96403AB}"/>
    <cellStyle name="40% - 强调文字颜色 5 8 4 2" xfId="4518" xr:uid="{49B55D60-F2C0-46FD-9463-6E2CEBD5F42D}"/>
    <cellStyle name="40% - 强调文字颜色 5 8 4 3" xfId="19447" xr:uid="{DF3E1E8C-15A3-4F23-8A6D-43AE81DCA9A5}"/>
    <cellStyle name="40% - 强调文字颜色 5 8 5" xfId="4519" xr:uid="{98EF40E0-2BBF-40A9-A039-9057B5DBE56F}"/>
    <cellStyle name="40% - 强调文字颜色 5 8 5 2" xfId="4520" xr:uid="{2869BE3E-6B43-4A1C-8C25-D8C32134C3F0}"/>
    <cellStyle name="40% - 强调文字颜色 5 8 6" xfId="4521" xr:uid="{65A03782-44CA-4C39-94DF-44FDD6F74BFA}"/>
    <cellStyle name="40% - 强调文字颜色 5 8 7" xfId="10034" xr:uid="{DE4962FD-0A98-4118-9613-574B8AC2DF9A}"/>
    <cellStyle name="40% - 强调文字颜色 5 8 8" xfId="13288" xr:uid="{B30A0A33-6D02-4E76-AA69-7CCD1266C06A}"/>
    <cellStyle name="40% - 强调文字颜色 5 8 9" xfId="19443" xr:uid="{35EE0D4F-D062-412A-A25C-76DFA8B67172}"/>
    <cellStyle name="40% - 强调文字颜色 5 80" xfId="2937" xr:uid="{A0773F55-C161-4D96-A5B3-EC3D60A24DE8}"/>
    <cellStyle name="40% - 强调文字颜色 5 80 2" xfId="12654" xr:uid="{94FE9368-74A5-415B-A603-7502CDF6E8A9}"/>
    <cellStyle name="40% - 强调文字颜色 5 81" xfId="2951" xr:uid="{0CF8922D-B121-4273-AE5A-A65810A1A203}"/>
    <cellStyle name="40% - 强调文字颜色 5 81 2" xfId="12655" xr:uid="{3815E7CC-FAA3-418C-A4B5-C88003944578}"/>
    <cellStyle name="40% - 强调文字颜色 5 82" xfId="2955" xr:uid="{92F22976-AF95-4593-BF42-5433B6AD02E9}"/>
    <cellStyle name="40% - 强调文字颜色 5 82 2" xfId="12656" xr:uid="{E56FFDBD-7B07-4D44-BB71-0886ECFE806F}"/>
    <cellStyle name="40% - 强调文字颜色 5 83" xfId="2959" xr:uid="{07CF24AE-4E26-4370-8C38-8481D28D44BE}"/>
    <cellStyle name="40% - 强调文字颜色 5 83 2" xfId="12657" xr:uid="{692186CB-A79A-495B-B9BE-C11DD6860BC9}"/>
    <cellStyle name="40% - 强调文字颜色 5 84" xfId="2963" xr:uid="{B3167666-2D66-400A-8CAB-6D50B923D750}"/>
    <cellStyle name="40% - 强调文字颜色 5 84 2" xfId="12658" xr:uid="{DBDE718F-C627-4264-B0BB-60B9FC4FEDCD}"/>
    <cellStyle name="40% - 强调文字颜色 5 85" xfId="2967" xr:uid="{6B42F45D-367D-4F19-85A6-9C52CBDF174B}"/>
    <cellStyle name="40% - 强调文字颜色 5 86" xfId="2977" xr:uid="{E7EFB745-22FE-4F67-89AD-72845C54B5F6}"/>
    <cellStyle name="40% - 强调文字颜色 5 86 2" xfId="2035" xr:uid="{D0DC59BB-1A67-4A9F-93CA-8A106E8B1200}"/>
    <cellStyle name="40% - 强调文字颜色 5 87" xfId="132" xr:uid="{3787EC88-2A07-4F59-BC1C-A842A902DA45}"/>
    <cellStyle name="40% - 强调文字颜色 5 87 2" xfId="2055" xr:uid="{BB4E1242-0910-48A0-AE2E-02C63B2C99B1}"/>
    <cellStyle name="40% - 强调文字颜色 5 88" xfId="2983" xr:uid="{20599B45-3350-47E6-A6CA-E53AAF902A17}"/>
    <cellStyle name="40% - 强调文字颜色 5 88 2" xfId="2078" xr:uid="{DB9AB0BD-6C51-4936-90B0-5785DA0E402E}"/>
    <cellStyle name="40% - 强调文字颜色 5 89" xfId="2986" xr:uid="{966D26BD-D4E5-4D9D-A586-2FEEE9784D8B}"/>
    <cellStyle name="40% - 强调文字颜色 5 9" xfId="4256" xr:uid="{B2C7C1B4-35F2-4A2A-A69D-A42A510F7CF1}"/>
    <cellStyle name="40% - 强调文字颜色 5 9 2" xfId="4085" xr:uid="{C9C335E0-053D-4335-A4C9-2E7A10DDC370}"/>
    <cellStyle name="40% - 强调文字颜色 5 9 2 2" xfId="4087" xr:uid="{7BD47CCF-4883-404C-AF19-D543CF51BBF9}"/>
    <cellStyle name="40% - 强调文字颜色 5 9 2 2 2" xfId="19450" xr:uid="{C951833D-7552-4DC6-AE29-74955B4FA73B}"/>
    <cellStyle name="40% - 强调文字颜色 5 9 2 3" xfId="10038" xr:uid="{1DF82832-0D8C-4814-A7BF-A95288D833EB}"/>
    <cellStyle name="40% - 强调文字颜色 5 9 2 4" xfId="19449" xr:uid="{CDEDEB4C-3640-413A-895C-6BA64ABE8693}"/>
    <cellStyle name="40% - 强调文字颜色 5 9 3" xfId="4092" xr:uid="{DC03DC8D-3AC4-4C33-9A88-A906B89AA02F}"/>
    <cellStyle name="40% - 强调文字颜色 5 9 3 2" xfId="10039" xr:uid="{AD340A9B-F5BB-4D76-A0F7-3E26D6061631}"/>
    <cellStyle name="40% - 强调文字颜色 5 9 3 3" xfId="19451" xr:uid="{E28A069D-ECFE-489E-9771-8CBC0BE9002E}"/>
    <cellStyle name="40% - 强调文字颜色 5 9 4" xfId="4097" xr:uid="{4FD6338B-372D-4AB5-AE53-518FC6662C76}"/>
    <cellStyle name="40% - 强调文字颜色 5 9 4 2" xfId="4099" xr:uid="{89069D5B-B190-4F9C-88FA-B33395BBBBE5}"/>
    <cellStyle name="40% - 强调文字颜色 5 9 4 3" xfId="19452" xr:uid="{6BAB69FF-5222-4A6D-B43E-C1288029C217}"/>
    <cellStyle name="40% - 强调文字颜色 5 9 5" xfId="4103" xr:uid="{E4587E36-0921-4A6A-91FD-1A871B438AB7}"/>
    <cellStyle name="40% - 强调文字颜色 5 9 5 2" xfId="4105" xr:uid="{3EB206B3-D316-4CE5-91F6-0B67D62E3F07}"/>
    <cellStyle name="40% - 强调文字颜色 5 9 6" xfId="4109" xr:uid="{C628BB0C-3670-4300-BC94-5D1735083E76}"/>
    <cellStyle name="40% - 强调文字颜色 5 9 7" xfId="10037" xr:uid="{B3B7ACD8-067F-4066-9B3C-3BEE0CA656C2}"/>
    <cellStyle name="40% - 强调文字颜色 5 9 8" xfId="13278" xr:uid="{B646ED72-7C01-44FF-A2CE-09A91D724172}"/>
    <cellStyle name="40% - 强调文字颜色 5 9 9" xfId="19448" xr:uid="{3F433AC1-F32A-4DCB-97C1-6275E811D4A7}"/>
    <cellStyle name="40% - 强调文字颜色 5 90" xfId="2968" xr:uid="{04E67A10-A1F8-4F12-976C-72B3F3C25453}"/>
    <cellStyle name="40% - 强调文字颜色 5 91" xfId="2978" xr:uid="{3368E370-AE43-4E82-8335-D20F864EC37D}"/>
    <cellStyle name="40% - 强调文字颜色 5 92" xfId="9354" xr:uid="{66FFA05A-2182-4B28-BC50-BD30B64A77D1}"/>
    <cellStyle name="40% - 强调文字颜色 5 92 2" xfId="27147" xr:uid="{7AEDDBE6-34F4-4EB5-9E60-83DC2FC1B5CD}"/>
    <cellStyle name="40% - 强调文字颜色 5 93" xfId="9986" xr:uid="{27A75117-BA1B-44A9-B1CC-58DC53423FFD}"/>
    <cellStyle name="40% - 强调文字颜色 5 94" xfId="13607" xr:uid="{57BF9C0F-FDD6-42CB-8AAC-6136181DD4B8}"/>
    <cellStyle name="40% - 强调文字颜色 5 95" xfId="13446" xr:uid="{EB7CAA77-91E1-4588-BE55-04AF20F73BE2}"/>
    <cellStyle name="40% - 强调文字颜色 6" xfId="4522" xr:uid="{D702C709-E16E-413B-A7BC-FE6F2D257AC4}"/>
    <cellStyle name="40% - 强调文字颜色 6 10" xfId="4524" xr:uid="{7D75CF6E-0808-40CD-A599-FEAF979FF94F}"/>
    <cellStyle name="40% - 强调文字颜色 6 10 2" xfId="366" xr:uid="{E9B7895A-383F-4A53-8C6D-7189E4E2343A}"/>
    <cellStyle name="40% - 强调文字颜色 6 10 2 2" xfId="1192" xr:uid="{67D24638-27E1-4C3E-9D4A-AFD81B38202D}"/>
    <cellStyle name="40% - 强调文字颜色 6 10 2 2 2" xfId="19455" xr:uid="{DA445859-FD70-40A3-9E97-2381F091C082}"/>
    <cellStyle name="40% - 强调文字颜色 6 10 2 3" xfId="10042" xr:uid="{2AC4B272-D460-4D81-8A27-462716F3EDC6}"/>
    <cellStyle name="40% - 强调文字颜色 6 10 2 4" xfId="19454" xr:uid="{42D6410F-B7D0-46F8-9DF9-D82A9AFC6176}"/>
    <cellStyle name="40% - 强调文字颜色 6 10 3" xfId="370" xr:uid="{B37B8176-1A32-4230-8FB4-89104D1FE9E1}"/>
    <cellStyle name="40% - 强调文字颜色 6 10 3 2" xfId="10043" xr:uid="{565F67CC-0348-49AE-9B4B-8971B499AC29}"/>
    <cellStyle name="40% - 强调文字颜色 6 10 3 3" xfId="19456" xr:uid="{FD881477-4A91-46F2-94EF-C39D11529BA0}"/>
    <cellStyle name="40% - 强调文字颜色 6 10 4" xfId="4525" xr:uid="{98047C63-7CAB-4D0F-BB72-F71E16EF15DA}"/>
    <cellStyle name="40% - 强调文字颜色 6 10 4 2" xfId="3885" xr:uid="{1AFDACD4-3E27-4B43-876F-6F56AD714EC7}"/>
    <cellStyle name="40% - 强调文字颜色 6 10 4 3" xfId="19457" xr:uid="{78E24E27-62D9-4BC6-84BA-151A9A4D9D4C}"/>
    <cellStyle name="40% - 强调文字颜色 6 10 5" xfId="4527" xr:uid="{90EE73B1-6A84-4819-96EE-82ADF7ED0650}"/>
    <cellStyle name="40% - 强调文字颜色 6 10 5 2" xfId="4175" xr:uid="{6B429998-E244-45AA-927E-702E07B326F5}"/>
    <cellStyle name="40% - 强调文字颜色 6 10 6" xfId="4247" xr:uid="{589BB40F-4A4F-4394-ACDA-3E7A133C857A}"/>
    <cellStyle name="40% - 强调文字颜色 6 10 7" xfId="10041" xr:uid="{220C5393-9971-4BA7-BB99-56C886E50FCA}"/>
    <cellStyle name="40% - 强调文字颜色 6 10 8" xfId="13268" xr:uid="{EE212505-B3D5-4627-8484-74A1F40F531F}"/>
    <cellStyle name="40% - 强调文字颜色 6 10 9" xfId="19453" xr:uid="{BCB2A92C-745A-4BDA-AC18-E8E9CA7E7414}"/>
    <cellStyle name="40% - 强调文字颜色 6 11" xfId="3004" xr:uid="{1CF98972-BA76-429C-860B-775818CBA0DC}"/>
    <cellStyle name="40% - 强调文字颜色 6 11 2" xfId="3008" xr:uid="{4C986C40-42B6-44EB-9ADA-752AD2285460}"/>
    <cellStyle name="40% - 强调文字颜色 6 11 2 2" xfId="3012" xr:uid="{D2B53AF1-9D0C-4589-8C06-1ADC1E02DB70}"/>
    <cellStyle name="40% - 强调文字颜色 6 11 2 2 2" xfId="19460" xr:uid="{2AFA5F6C-1204-4D2C-AB84-2B846B3A7A48}"/>
    <cellStyle name="40% - 强调文字颜色 6 11 2 3" xfId="10045" xr:uid="{46E17400-E784-41C8-ABE1-165AA9AF10B0}"/>
    <cellStyle name="40% - 强调文字颜色 6 11 2 4" xfId="19459" xr:uid="{5543DF11-20B1-43D2-91BF-7E0CA4C863D9}"/>
    <cellStyle name="40% - 强调文字颜色 6 11 3" xfId="3016" xr:uid="{E69636DC-7D5B-465E-BDAA-CA03258426EF}"/>
    <cellStyle name="40% - 强调文字颜色 6 11 3 2" xfId="10046" xr:uid="{91D35F75-A743-48A0-8998-6BA9EFC10FC1}"/>
    <cellStyle name="40% - 强调文字颜色 6 11 3 3" xfId="19461" xr:uid="{935988C2-7FB0-433F-A0BB-C1E4E377CCD2}"/>
    <cellStyle name="40% - 强调文字颜色 6 11 4" xfId="3020" xr:uid="{AF21E96F-C507-4147-9533-27EEC5505C03}"/>
    <cellStyle name="40% - 强调文字颜色 6 11 4 2" xfId="3024" xr:uid="{91CA798C-7096-4AC3-A1B8-CDD2F6604603}"/>
    <cellStyle name="40% - 强调文字颜色 6 11 4 3" xfId="19462" xr:uid="{597C46B7-2FC3-4BD7-A608-E42AA4005461}"/>
    <cellStyle name="40% - 强调文字颜色 6 11 5" xfId="2498" xr:uid="{C0835718-3B7F-4A80-A1DB-DAA08A491E6E}"/>
    <cellStyle name="40% - 强调文字颜色 6 11 5 2" xfId="3029" xr:uid="{9174B691-4415-4C13-87D0-C2E536033D6A}"/>
    <cellStyle name="40% - 强调文字颜色 6 11 6" xfId="3032" xr:uid="{38B36D43-7027-4141-BAAB-B315A599961A}"/>
    <cellStyle name="40% - 强调文字颜色 6 11 7" xfId="10044" xr:uid="{D9F5844A-DFAE-49F9-A014-F2D624C4C853}"/>
    <cellStyle name="40% - 强调文字颜色 6 11 8" xfId="13255" xr:uid="{03B77DAB-062E-4639-B37B-921C166CC526}"/>
    <cellStyle name="40% - 强调文字颜色 6 11 9" xfId="19458" xr:uid="{E6A8ADF3-A53F-446D-95FA-7A76EB6A1440}"/>
    <cellStyle name="40% - 强调文字颜色 6 12" xfId="3035" xr:uid="{7DD44AEB-2E52-4201-9283-56194B88FC3F}"/>
    <cellStyle name="40% - 强调文字颜色 6 12 2" xfId="3038" xr:uid="{9ADE7C2E-680D-4874-BD3F-AA8F35F749E4}"/>
    <cellStyle name="40% - 强调文字颜色 6 12 2 2" xfId="3041" xr:uid="{2CBEC397-50CC-4258-B9E6-7BDBFF3D99C9}"/>
    <cellStyle name="40% - 强调文字颜色 6 12 2 2 2" xfId="19465" xr:uid="{4E24567C-9F38-45AC-B37F-37FB67202036}"/>
    <cellStyle name="40% - 强调文字颜色 6 12 2 3" xfId="10048" xr:uid="{AF9A958A-CB3B-44C7-9F9B-096B732F8AFB}"/>
    <cellStyle name="40% - 强调文字颜色 6 12 2 4" xfId="19464" xr:uid="{DE8CB397-B294-45D3-8BBC-38E867BB7575}"/>
    <cellStyle name="40% - 强调文字颜色 6 12 3" xfId="3044" xr:uid="{696F984A-A71A-4B42-8429-11D5F634B3A2}"/>
    <cellStyle name="40% - 强调文字颜色 6 12 3 2" xfId="10049" xr:uid="{9DF9C918-189D-41FE-9A7A-F02A2DB773F9}"/>
    <cellStyle name="40% - 强调文字颜色 6 12 3 3" xfId="19466" xr:uid="{423C627A-0CB6-4D98-8A39-29DC90770C68}"/>
    <cellStyle name="40% - 强调文字颜色 6 12 4" xfId="3047" xr:uid="{22C1C052-1161-4C5F-A3B5-DCBCC696458D}"/>
    <cellStyle name="40% - 强调文字颜色 6 12 4 2" xfId="3050" xr:uid="{C65FB6A2-27DF-40DB-BD09-69DE33FCF298}"/>
    <cellStyle name="40% - 强调文字颜色 6 12 4 3" xfId="19467" xr:uid="{863BD7BF-3645-44E8-9B9E-19A6AA997EF7}"/>
    <cellStyle name="40% - 强调文字颜色 6 12 5" xfId="3052" xr:uid="{CC389A17-D2F2-42D6-90AE-B6C32B641E21}"/>
    <cellStyle name="40% - 强调文字颜色 6 12 5 2" xfId="3055" xr:uid="{91584B0E-E4E6-494D-A347-90EBFC4A2CFB}"/>
    <cellStyle name="40% - 强调文字颜色 6 12 6" xfId="3057" xr:uid="{49233CBE-4B6E-47EE-BB11-7F5F94728D18}"/>
    <cellStyle name="40% - 强调文字颜色 6 12 7" xfId="10047" xr:uid="{9141CBCC-18C0-45D8-8312-1383DF9E306F}"/>
    <cellStyle name="40% - 强调文字颜色 6 12 8" xfId="13242" xr:uid="{654FF174-8204-42D2-B32B-D5E28EFA8451}"/>
    <cellStyle name="40% - 强调文字颜色 6 12 9" xfId="19463" xr:uid="{97E20560-8C44-44E0-A499-D392686EF377}"/>
    <cellStyle name="40% - 强调文字颜色 6 13" xfId="3060" xr:uid="{438A9FA7-98AB-4662-B38D-FA60AA953AB1}"/>
    <cellStyle name="40% - 强调文字颜色 6 13 2" xfId="3062" xr:uid="{9B673619-4C62-4F07-A5EB-6F7E3A38017C}"/>
    <cellStyle name="40% - 强调文字颜色 6 13 2 2" xfId="3065" xr:uid="{A69DDAB2-826A-4BA7-8834-9456C747C120}"/>
    <cellStyle name="40% - 强调文字颜色 6 13 2 2 2" xfId="19470" xr:uid="{A9D8ED6B-1DA8-45F0-89C8-A87D92829B19}"/>
    <cellStyle name="40% - 强调文字颜色 6 13 2 3" xfId="10051" xr:uid="{6E518378-A0EE-4342-8C17-6FA64403DE36}"/>
    <cellStyle name="40% - 强调文字颜色 6 13 2 4" xfId="19469" xr:uid="{D577A3C8-7E15-48BE-AADE-B870514EDA92}"/>
    <cellStyle name="40% - 强调文字颜色 6 13 3" xfId="3068" xr:uid="{7D69032E-D299-4DEB-A82A-B6F5EDB4E8AA}"/>
    <cellStyle name="40% - 强调文字颜色 6 13 3 2" xfId="10052" xr:uid="{1DD99749-2EC5-4519-8320-7D0CDE1C7E92}"/>
    <cellStyle name="40% - 强调文字颜色 6 13 3 3" xfId="19471" xr:uid="{572CB548-2508-4E70-BB67-983179F2839B}"/>
    <cellStyle name="40% - 强调文字颜色 6 13 4" xfId="3071" xr:uid="{DE069E36-B3FA-4748-8C9C-2E3AE2E43E98}"/>
    <cellStyle name="40% - 强调文字颜色 6 13 4 2" xfId="3074" xr:uid="{CD49464E-84EC-408F-983B-A43568F81487}"/>
    <cellStyle name="40% - 强调文字颜色 6 13 4 3" xfId="19472" xr:uid="{E42FE7A8-533D-48C1-B954-3B139249E591}"/>
    <cellStyle name="40% - 强调文字颜色 6 13 5" xfId="2504" xr:uid="{89578778-E5D4-42BC-9558-B61A13EB6CE8}"/>
    <cellStyle name="40% - 强调文字颜色 6 13 5 2" xfId="3077" xr:uid="{F0D8D032-B021-4E51-AC1A-FDE5B8873793}"/>
    <cellStyle name="40% - 强调文字颜色 6 13 6" xfId="3080" xr:uid="{C8833844-DAD4-4700-91F5-91B14853BC66}"/>
    <cellStyle name="40% - 强调文字颜色 6 13 7" xfId="10050" xr:uid="{02AB18E9-B9A8-4AF2-9D91-A3C4888A6BE1}"/>
    <cellStyle name="40% - 强调文字颜色 6 13 8" xfId="13229" xr:uid="{3C1A4891-8F68-489B-ADEB-67E26926F48F}"/>
    <cellStyle name="40% - 强调文字颜色 6 13 9" xfId="19468" xr:uid="{EE7A429B-8C97-4415-8660-4E6BDEAFCE8A}"/>
    <cellStyle name="40% - 强调文字颜色 6 14" xfId="3083" xr:uid="{9C7ADF13-F4C4-4E6A-859C-E9ACE90F8ADE}"/>
    <cellStyle name="40% - 强调文字颜色 6 14 2" xfId="3085" xr:uid="{396B332D-13AD-4C23-94EC-76B66C6E7392}"/>
    <cellStyle name="40% - 强调文字颜色 6 14 2 2" xfId="3090" xr:uid="{8B032A49-09FD-4356-9B2F-BF57174CCBBE}"/>
    <cellStyle name="40% - 强调文字颜色 6 14 2 2 2" xfId="19475" xr:uid="{9DE10D96-4540-4625-9E8F-5248682542FB}"/>
    <cellStyle name="40% - 强调文字颜色 6 14 2 3" xfId="10054" xr:uid="{797268C8-2F94-4A2C-B407-48DE6C2D9B82}"/>
    <cellStyle name="40% - 强调文字颜色 6 14 2 4" xfId="19474" xr:uid="{C4918EA6-29B1-4B62-BD19-0757D8DD3598}"/>
    <cellStyle name="40% - 强调文字颜色 6 14 3" xfId="3093" xr:uid="{8B30B686-A942-446B-88C0-F50556A1CE5E}"/>
    <cellStyle name="40% - 强调文字颜色 6 14 3 2" xfId="10055" xr:uid="{84F7A72A-1C27-4D55-A6C0-229237DB5B67}"/>
    <cellStyle name="40% - 强调文字颜色 6 14 3 3" xfId="19476" xr:uid="{59EEFAF0-7CFD-4635-8354-4374F4154D20}"/>
    <cellStyle name="40% - 强调文字颜色 6 14 4" xfId="3096" xr:uid="{CC693601-1E34-46D4-BF7F-6C72B79FAAD7}"/>
    <cellStyle name="40% - 强调文字颜色 6 14 4 2" xfId="3099" xr:uid="{4E4E832D-62EC-425A-A4CA-4C58DF213067}"/>
    <cellStyle name="40% - 强调文字颜色 6 14 4 3" xfId="19477" xr:uid="{163FB43E-960A-4430-904A-EB53AEFFC196}"/>
    <cellStyle name="40% - 强调文字颜色 6 14 5" xfId="2508" xr:uid="{ED790194-B1C0-414A-98A3-E4234B1FB215}"/>
    <cellStyle name="40% - 强调文字颜色 6 14 5 2" xfId="3102" xr:uid="{BD069F58-6086-419E-856E-72947A4E1F65}"/>
    <cellStyle name="40% - 强调文字颜色 6 14 6" xfId="3105" xr:uid="{67585AF4-0D72-43CB-BFF2-C46BCFC62036}"/>
    <cellStyle name="40% - 强调文字颜色 6 14 7" xfId="10053" xr:uid="{AADBB24E-C5DD-4946-95B9-FDE6A1AAEA2C}"/>
    <cellStyle name="40% - 强调文字颜色 6 14 8" xfId="13216" xr:uid="{CA5E48C5-6487-4665-955E-0B6CBA5F8234}"/>
    <cellStyle name="40% - 强调文字颜色 6 14 9" xfId="19473" xr:uid="{A1E35B9E-B24D-421F-91EF-E54166309DB2}"/>
    <cellStyle name="40% - 强调文字颜色 6 15" xfId="3108" xr:uid="{88397627-2A0A-4446-A3E9-7D3CBAA9CB94}"/>
    <cellStyle name="40% - 强调文字颜色 6 15 2" xfId="3111" xr:uid="{44A5B140-D3EE-49C7-A64F-70CA6E134BA4}"/>
    <cellStyle name="40% - 强调文字颜色 6 15 2 2" xfId="10057" xr:uid="{A403905D-CB32-4A55-BE4B-8F2E1507D0E3}"/>
    <cellStyle name="40% - 强调文字颜色 6 15 2 2 2" xfId="19480" xr:uid="{633E95BA-A4FB-4A22-9151-55D8F2A25CFA}"/>
    <cellStyle name="40% - 强调文字颜色 6 15 2 3" xfId="19479" xr:uid="{CCBDC3AE-671C-4C9F-BAB4-932D67F50F3F}"/>
    <cellStyle name="40% - 强调文字颜色 6 15 3" xfId="3114" xr:uid="{3EDAA344-882D-4F5D-8E65-6B0CF6C609BC}"/>
    <cellStyle name="40% - 强调文字颜色 6 15 3 2" xfId="4528" xr:uid="{3DC4218E-D72A-4388-8544-61AF198CEE4F}"/>
    <cellStyle name="40% - 强调文字颜色 6 15 3 3" xfId="10058" xr:uid="{B0AF7B0E-CB93-4436-993B-C8F266834714}"/>
    <cellStyle name="40% - 强调文字颜色 6 15 3 4" xfId="19481" xr:uid="{7065AA2D-1132-4EB2-8AED-93DE2BED20D0}"/>
    <cellStyle name="40% - 强调文字颜色 6 15 4" xfId="3116" xr:uid="{550622E7-C574-4A7D-98AC-9615CAE2B17C}"/>
    <cellStyle name="40% - 强调文字颜色 6 15 4 2" xfId="3119" xr:uid="{321A548C-2DFF-4AB3-B75C-03DCB68C1D5D}"/>
    <cellStyle name="40% - 强调文字颜色 6 15 4 3" xfId="19482" xr:uid="{33254A58-9AEF-4DB6-B8F1-EDDF3CC9DDA6}"/>
    <cellStyle name="40% - 强调文字颜色 6 15 5" xfId="4530" xr:uid="{716AB3D4-0624-40C4-AFC8-8626B1E62783}"/>
    <cellStyle name="40% - 强调文字颜色 6 15 6" xfId="10056" xr:uid="{BAFEFD0B-ED1C-4BB4-BBDD-AAA9528CBF5F}"/>
    <cellStyle name="40% - 强调文字颜色 6 15 7" xfId="13203" xr:uid="{2A59027A-5325-42CC-A3C5-60F460F1EDB5}"/>
    <cellStyle name="40% - 强调文字颜色 6 15 8" xfId="19478" xr:uid="{87A18F63-EFF9-42CE-81EE-B97DF0499D65}"/>
    <cellStyle name="40% - 强调文字颜色 6 16" xfId="4531" xr:uid="{3C8F78A4-0609-40B0-ADE1-9EE2575DCE09}"/>
    <cellStyle name="40% - 强调文字颜色 6 16 2" xfId="4533" xr:uid="{B852A3A6-6111-49B0-8E3C-1B3B8AD2844B}"/>
    <cellStyle name="40% - 强调文字颜色 6 16 2 2" xfId="10060" xr:uid="{20D9A762-1C2B-4FFE-AFE4-9CD6A151FEB3}"/>
    <cellStyle name="40% - 强调文字颜色 6 16 2 2 2" xfId="19485" xr:uid="{19C07732-ABB1-410C-87EC-A489E1F0260B}"/>
    <cellStyle name="40% - 强调文字颜色 6 16 2 3" xfId="19484" xr:uid="{0399C0D3-0649-4A30-B6DA-AB0DD8E75318}"/>
    <cellStyle name="40% - 强调文字颜色 6 16 3" xfId="4535" xr:uid="{69C25CED-0CEF-4515-91E3-BA1D1B58244C}"/>
    <cellStyle name="40% - 强调文字颜色 6 16 3 2" xfId="4536" xr:uid="{374BFD78-E618-4A84-9295-D9EF9DE0D547}"/>
    <cellStyle name="40% - 强调文字颜色 6 16 3 3" xfId="10061" xr:uid="{ECFDE496-EA57-43CA-92C0-7C706B29A849}"/>
    <cellStyle name="40% - 强调文字颜色 6 16 3 4" xfId="19486" xr:uid="{FC0E8971-2517-4E35-A680-CB9BE6C56AA7}"/>
    <cellStyle name="40% - 强调文字颜色 6 16 4" xfId="4537" xr:uid="{5540C5C2-B8F8-4287-BFA6-2CEF8EA2630E}"/>
    <cellStyle name="40% - 强调文字颜色 6 16 4 2" xfId="4538" xr:uid="{AA5CB703-2283-4C5B-8889-5762669AA053}"/>
    <cellStyle name="40% - 强调文字颜色 6 16 4 3" xfId="19487" xr:uid="{9FE8BF39-A339-41F1-A33E-01B0B45AB719}"/>
    <cellStyle name="40% - 强调文字颜色 6 16 5" xfId="4539" xr:uid="{5C3800F3-137B-4A74-974F-9911B7BFD345}"/>
    <cellStyle name="40% - 强调文字颜色 6 16 6" xfId="10059" xr:uid="{3538E610-9688-4358-AFEA-4EFB52E12EC0}"/>
    <cellStyle name="40% - 强调文字颜色 6 16 7" xfId="13182" xr:uid="{4F8DB35B-1A8B-41A4-ADF5-E24B892FB94E}"/>
    <cellStyle name="40% - 强调文字颜色 6 16 8" xfId="19483" xr:uid="{F73405CC-3DFE-4D89-9143-30FCCA573480}"/>
    <cellStyle name="40% - 强调文字颜色 6 17" xfId="4540" xr:uid="{EC62B8FC-C58F-46EB-B0E8-83C042E34A89}"/>
    <cellStyle name="40% - 强调文字颜色 6 17 2" xfId="4542" xr:uid="{6415DA05-B041-4AF5-AD1D-12F1ABFF90F2}"/>
    <cellStyle name="40% - 强调文字颜色 6 17 2 2" xfId="4544" xr:uid="{D908F577-CD83-4144-A646-E17FBE43F9E4}"/>
    <cellStyle name="40% - 强调文字颜色 6 17 2 2 2" xfId="19490" xr:uid="{728D2A96-3862-49BC-8DCD-4A4A022DE2F0}"/>
    <cellStyle name="40% - 强调文字颜色 6 17 2 3" xfId="10063" xr:uid="{1388BF8F-0724-4699-97DD-642C278B21B4}"/>
    <cellStyle name="40% - 强调文字颜色 6 17 2 4" xfId="19489" xr:uid="{090FF6F7-EB25-4F9D-ABB9-15D92875A1D2}"/>
    <cellStyle name="40% - 强调文字颜色 6 17 3" xfId="4546" xr:uid="{8DBDFFAD-5E12-446A-97F5-D7D035BDC7D8}"/>
    <cellStyle name="40% - 强调文字颜色 6 17 3 2" xfId="4547" xr:uid="{54B85371-D17A-4556-97B2-F6BAB22B9232}"/>
    <cellStyle name="40% - 强调文字颜色 6 17 3 3" xfId="10064" xr:uid="{E0141EBE-2576-4B55-83A4-C0D377917C8E}"/>
    <cellStyle name="40% - 强调文字颜色 6 17 3 4" xfId="19491" xr:uid="{DD4F7FEA-D13A-4256-9BCC-3C1CB69E78E4}"/>
    <cellStyle name="40% - 强调文字颜色 6 17 4" xfId="10062" xr:uid="{BAC4157D-F55F-4781-A88C-66FDD54234EF}"/>
    <cellStyle name="40% - 强调文字颜色 6 17 4 2" xfId="19492" xr:uid="{9A095BE4-AA06-4119-9105-DE72163B9AAC}"/>
    <cellStyle name="40% - 强调文字颜色 6 17 5" xfId="13175" xr:uid="{98E52D32-970E-4ABE-81F2-8C932894CBE1}"/>
    <cellStyle name="40% - 强调文字颜色 6 17 6" xfId="19488" xr:uid="{A4F9F471-9A21-4C69-976C-DA087DDFF3A7}"/>
    <cellStyle name="40% - 强调文字颜色 6 18" xfId="4548" xr:uid="{415F2C84-909F-42A3-BCBF-C599CC5E389F}"/>
    <cellStyle name="40% - 强调文字颜色 6 18 2" xfId="4550" xr:uid="{F5492B7D-A22C-438C-BDE7-B4F620C08AD0}"/>
    <cellStyle name="40% - 强调文字颜色 6 18 2 2" xfId="4552" xr:uid="{175F1F40-8A91-45B6-BBB7-F1DA82F6346D}"/>
    <cellStyle name="40% - 强调文字颜色 6 18 2 2 2" xfId="19495" xr:uid="{EE10B31A-AE15-428E-A093-F2112236A7B7}"/>
    <cellStyle name="40% - 强调文字颜色 6 18 2 3" xfId="19494" xr:uid="{2A344EEF-AF7C-4149-9361-2BBDEE11ACD2}"/>
    <cellStyle name="40% - 强调文字颜色 6 18 3" xfId="4555" xr:uid="{75CF1FF4-063D-4779-BBAB-2628BD6C3787}"/>
    <cellStyle name="40% - 强调文字颜色 6 18 3 2" xfId="4556" xr:uid="{8F3154BF-4BD1-477B-8371-1077F0DBC6E1}"/>
    <cellStyle name="40% - 强调文字颜色 6 18 3 3" xfId="19496" xr:uid="{2A0BA363-0303-4B8A-A2FA-C90B3D92827F}"/>
    <cellStyle name="40% - 强调文字颜色 6 18 4" xfId="10065" xr:uid="{EE8C3638-4135-4AB5-B648-E7F14834976C}"/>
    <cellStyle name="40% - 强调文字颜色 6 18 4 2" xfId="19497" xr:uid="{B40DB93B-C771-46CF-BD83-C67F1A3C0C4D}"/>
    <cellStyle name="40% - 强调文字颜色 6 18 5" xfId="13162" xr:uid="{6FD4BB00-3B2E-4920-AF13-DD8087B6BFB8}"/>
    <cellStyle name="40% - 强调文字颜色 6 18 6" xfId="19493" xr:uid="{3976976D-47B7-45C7-8FCF-6FAB63DC4CEF}"/>
    <cellStyle name="40% - 强调文字颜色 6 19" xfId="4557" xr:uid="{3B71B070-A8CE-480F-AB2D-1EB7DB52E9BE}"/>
    <cellStyle name="40% - 强调文字颜色 6 19 2" xfId="4559" xr:uid="{00EF928C-3714-48D3-9988-76CEF6C12110}"/>
    <cellStyle name="40% - 强调文字颜色 6 19 2 2" xfId="983" xr:uid="{91B7ADCD-0693-416C-B19E-FBBA34A3976A}"/>
    <cellStyle name="40% - 强调文字颜色 6 19 2 2 2" xfId="19500" xr:uid="{148A3EB4-FA25-4CD8-BE32-17DE85685EDF}"/>
    <cellStyle name="40% - 强调文字颜色 6 19 2 3" xfId="19499" xr:uid="{DEB8AB70-61FD-4F31-B3A5-84B78791B36D}"/>
    <cellStyle name="40% - 强调文字颜色 6 19 3" xfId="10066" xr:uid="{B32D6130-800E-42DF-99B4-147984666D88}"/>
    <cellStyle name="40% - 强调文字颜色 6 19 3 2" xfId="19501" xr:uid="{E7270B62-8384-4DC4-A6EE-529B1347E664}"/>
    <cellStyle name="40% - 强调文字颜色 6 19 4" xfId="13143" xr:uid="{40213240-C06A-4484-AE50-5255601F4CB9}"/>
    <cellStyle name="40% - 强调文字颜色 6 19 4 2" xfId="19502" xr:uid="{970A038A-7C4B-4123-9383-D6E803D1CE87}"/>
    <cellStyle name="40% - 强调文字颜色 6 19 5" xfId="19498" xr:uid="{4AB5A9EE-063F-4552-8393-B4D39D5A6395}"/>
    <cellStyle name="40% - 强调文字颜色 6 2" xfId="4560" xr:uid="{789E44BD-808F-4856-A84E-8EA7940A16B2}"/>
    <cellStyle name="40% - 强调文字颜色 6 2 10" xfId="4561" xr:uid="{F028651F-69C0-4D4E-AF89-F84682A0E648}"/>
    <cellStyle name="40% - 强调文字颜色 6 2 10 2" xfId="4562" xr:uid="{5E533F8D-DF3D-4E90-A12B-5FD44303B8BB}"/>
    <cellStyle name="40% - 强调文字颜色 6 2 11" xfId="4563" xr:uid="{249EE7FA-E970-4009-9BE8-F30479D37DD6}"/>
    <cellStyle name="40% - 强调文字颜色 6 2 11 2" xfId="4564" xr:uid="{192263D2-C388-41DC-9C70-B5286D54006A}"/>
    <cellStyle name="40% - 强调文字颜色 6 2 12" xfId="4565" xr:uid="{8E520BEC-40AA-4ADB-9F2F-F4A7FA441FBD}"/>
    <cellStyle name="40% - 强调文字颜色 6 2 12 2" xfId="4566" xr:uid="{AF6BCE30-2E6F-473A-A2B3-73DA769E839F}"/>
    <cellStyle name="40% - 强调文字颜色 6 2 13" xfId="4567" xr:uid="{6641DECB-AC59-4F7F-ADDD-CED501A2F914}"/>
    <cellStyle name="40% - 强调文字颜色 6 2 13 2" xfId="4568" xr:uid="{7437A2E3-85FB-440F-AC77-4B31285E2ACB}"/>
    <cellStyle name="40% - 强调文字颜色 6 2 14" xfId="4571" xr:uid="{A22EF8DA-03A9-4B87-8F4B-71AF0962639C}"/>
    <cellStyle name="40% - 强调文字颜色 6 2 14 2" xfId="4572" xr:uid="{1AD870C8-9F6D-4BC5-9055-DCD63CE70CBE}"/>
    <cellStyle name="40% - 强调文字颜色 6 2 15" xfId="4575" xr:uid="{6F29FE56-59BC-4ED4-9822-70D66BD1658B}"/>
    <cellStyle name="40% - 强调文字颜色 6 2 15 2" xfId="4577" xr:uid="{3D84E420-9350-4E35-B880-228EC4626F31}"/>
    <cellStyle name="40% - 强调文字颜色 6 2 16" xfId="4579" xr:uid="{F065E6D2-3AC3-473A-83E4-E458F38DC0D5}"/>
    <cellStyle name="40% - 强调文字颜色 6 2 17" xfId="4581" xr:uid="{FCC8A64B-8BF8-464A-85A1-91DE7D0E97EA}"/>
    <cellStyle name="40% - 强调文字颜色 6 2 17 2" xfId="4582" xr:uid="{9AE3FFD2-A2DC-4FF1-B55C-AC00B9505EFB}"/>
    <cellStyle name="40% - 强调文字颜色 6 2 18" xfId="4585" xr:uid="{57743ACE-FA41-41EE-A467-33D701A0EF8B}"/>
    <cellStyle name="40% - 强调文字颜色 6 2 18 2" xfId="4586" xr:uid="{7FA61A82-B254-4B6B-8FC4-AC810AA52E57}"/>
    <cellStyle name="40% - 强调文字颜色 6 2 19" xfId="4589" xr:uid="{7158B51F-2D74-4163-91C0-E3698DC8C627}"/>
    <cellStyle name="40% - 强调文字颜色 6 2 2" xfId="4590" xr:uid="{796A9A83-1692-4D9B-8660-02114968E7E2}"/>
    <cellStyle name="40% - 强调文字颜色 6 2 2 10" xfId="4591" xr:uid="{A8D6B593-B441-454F-8262-F3AC83E57FAA}"/>
    <cellStyle name="40% - 强调文字颜色 6 2 2 10 2" xfId="4592" xr:uid="{4138BE27-BE18-4F5E-86F3-EE785B79DBA0}"/>
    <cellStyle name="40% - 强调文字颜色 6 2 2 11" xfId="4593" xr:uid="{A8B52B9A-2510-4FA2-86C6-0CA236CA2980}"/>
    <cellStyle name="40% - 强调文字颜色 6 2 2 11 2" xfId="4594" xr:uid="{3B37AD14-84DB-4B1D-AB2B-D40817643E2E}"/>
    <cellStyle name="40% - 强调文字颜色 6 2 2 12" xfId="4595" xr:uid="{4109FCE9-8A1E-4FBF-87AF-BBA96E29BACA}"/>
    <cellStyle name="40% - 强调文字颜色 6 2 2 12 2" xfId="4596" xr:uid="{920F65C5-6F4D-4BB4-9465-F0048BAA52F2}"/>
    <cellStyle name="40% - 强调文字颜色 6 2 2 13" xfId="4597" xr:uid="{7F40B62D-E8B8-47D9-B938-B8433E5C8447}"/>
    <cellStyle name="40% - 强调文字颜色 6 2 2 13 2" xfId="4598" xr:uid="{10B06E42-0FF6-40A7-8623-EE6D42EA845C}"/>
    <cellStyle name="40% - 强调文字颜色 6 2 2 14" xfId="4599" xr:uid="{E68FE631-8952-47F6-BB85-9811F47A7B25}"/>
    <cellStyle name="40% - 强调文字颜色 6 2 2 14 2" xfId="4600" xr:uid="{EAD108D1-476D-406F-9D96-E3E2714D4584}"/>
    <cellStyle name="40% - 强调文字颜色 6 2 2 15" xfId="4601" xr:uid="{1EA82E01-D4C3-46BE-B63F-0B2C20C9C813}"/>
    <cellStyle name="40% - 强调文字颜色 6 2 2 15 2" xfId="4602" xr:uid="{848BB088-C9B8-4D45-AF98-54369257FFBB}"/>
    <cellStyle name="40% - 强调文字颜色 6 2 2 16" xfId="10068" xr:uid="{0D66F647-3081-4FA3-8541-FD3D28CDA0D8}"/>
    <cellStyle name="40% - 强调文字颜色 6 2 2 17" xfId="13347" xr:uid="{53957393-9A8F-4F35-974D-F86E96AD0068}"/>
    <cellStyle name="40% - 强调文字颜色 6 2 2 18" xfId="19503" xr:uid="{CC621A9B-D116-44C2-9E92-E979BA95669E}"/>
    <cellStyle name="40% - 强调文字颜色 6 2 2 19" xfId="27323" xr:uid="{A2FB911A-344C-4726-B30C-C1C7574DE1DD}"/>
    <cellStyle name="40% - 强调文字颜色 6 2 2 2" xfId="4603" xr:uid="{EC536082-D706-4A58-BE0A-431FE1C96ED3}"/>
    <cellStyle name="40% - 强调文字颜色 6 2 2 2 2" xfId="19504" xr:uid="{7DC9F718-FEBC-4776-881D-A23F243865E1}"/>
    <cellStyle name="40% - 强调文字颜色 6 2 2 3" xfId="4604" xr:uid="{E1151D43-E3D9-4CE5-AD83-0285C790BB6E}"/>
    <cellStyle name="40% - 强调文字颜色 6 2 2 4" xfId="4605" xr:uid="{25798A3A-FA3A-4848-BE54-A99CBE37BD2B}"/>
    <cellStyle name="40% - 强调文字颜色 6 2 2 4 2" xfId="4606" xr:uid="{557C9E86-5BB7-4AD2-868B-6960CCF114F9}"/>
    <cellStyle name="40% - 强调文字颜色 6 2 2 5" xfId="4607" xr:uid="{AB548D95-057B-4C68-A7AA-9F785E635EC6}"/>
    <cellStyle name="40% - 强调文字颜色 6 2 2 5 2" xfId="4608" xr:uid="{EC9B6CB7-8975-4ED5-9B38-D6C9DF8703ED}"/>
    <cellStyle name="40% - 强调文字颜色 6 2 2 6" xfId="4609" xr:uid="{2149779E-98FF-48B7-8F0B-262B1D66235A}"/>
    <cellStyle name="40% - 强调文字颜色 6 2 2 6 2" xfId="4610" xr:uid="{86882E4C-D1A0-41E7-9C19-CFA59593B974}"/>
    <cellStyle name="40% - 强调文字颜色 6 2 2 7" xfId="4611" xr:uid="{A94E8BB6-23D5-43F8-A6B0-058EDB63A573}"/>
    <cellStyle name="40% - 强调文字颜色 6 2 2 7 2" xfId="4612" xr:uid="{B11407CE-9F39-4B81-BA69-7F6652E4D612}"/>
    <cellStyle name="40% - 强调文字颜色 6 2 2 8" xfId="4613" xr:uid="{7ABA0679-C81B-46FC-8AA4-D865C5DCFE97}"/>
    <cellStyle name="40% - 强调文字颜色 6 2 2 8 2" xfId="4615" xr:uid="{E74454A2-490A-414F-A0DA-C1D570A922F4}"/>
    <cellStyle name="40% - 强调文字颜色 6 2 2 9" xfId="4616" xr:uid="{128EF061-A0C2-4B01-A8E8-4409946AAAAF}"/>
    <cellStyle name="40% - 强调文字颜色 6 2 2 9 2" xfId="4617" xr:uid="{91644047-E744-46B5-BF37-7166BB163968}"/>
    <cellStyle name="40% - 强调文字颜色 6 2 20" xfId="4576" xr:uid="{AB80D5B9-7D10-4C1A-AC81-3A437468040B}"/>
    <cellStyle name="40% - 强调文字颜色 6 2 20 2" xfId="4578" xr:uid="{34848BEB-8C45-40EF-B1AD-7C46628BC6F0}"/>
    <cellStyle name="40% - 强调文字颜色 6 2 21" xfId="4580" xr:uid="{30A1EBA5-8BFC-458A-B61A-9CBA8D7D139A}"/>
    <cellStyle name="40% - 强调文字颜色 6 2 21 2" xfId="4618" xr:uid="{37388089-81B9-4004-B8A1-19E252C45C2E}"/>
    <cellStyle name="40% - 强调文字颜色 6 2 22" xfId="10067" xr:uid="{20556736-D40C-4092-99C8-A81235D5E8BA}"/>
    <cellStyle name="40% - 强调文字颜色 6 2 23" xfId="13402" xr:uid="{E6902471-AA85-4B7F-A40D-D0439481172B}"/>
    <cellStyle name="40% - 强调文字颜色 6 2 24" xfId="12671" xr:uid="{B2F27E60-B3DD-4CAB-930B-C83A15283C11}"/>
    <cellStyle name="40% - 强调文字颜色 6 2 3" xfId="4621" xr:uid="{5AB74D15-5334-4366-B47A-013984816D1E}"/>
    <cellStyle name="40% - 强调文字颜色 6 2 3 2" xfId="10069" xr:uid="{4CCD8617-005F-44F9-8AC1-1290396813C1}"/>
    <cellStyle name="40% - 强调文字颜色 6 2 3 2 2" xfId="19506" xr:uid="{581176EE-ED5F-4A37-BFFD-7D8837BE00DC}"/>
    <cellStyle name="40% - 强调文字颜色 6 2 3 3" xfId="13326" xr:uid="{F4675862-024F-4723-A9F9-748D06D5E69F}"/>
    <cellStyle name="40% - 强调文字颜色 6 2 3 4" xfId="12801" xr:uid="{2677CBEC-ABCA-4BAC-9E21-32FC11BCAF31}"/>
    <cellStyle name="40% - 强调文字颜色 6 2 3 5" xfId="19505" xr:uid="{D6CC3BC4-4154-4B8E-8372-3C4E9B58A6A2}"/>
    <cellStyle name="40% - 强调文字颜色 6 2 3 6" xfId="27324" xr:uid="{B56F27CD-DEDE-45C1-8369-EF55F2D68932}"/>
    <cellStyle name="40% - 强调文字颜色 6 2 4" xfId="4622" xr:uid="{2261366F-4698-44A3-A38C-AD5771699462}"/>
    <cellStyle name="40% - 强调文字颜色 6 2 4 2" xfId="4623" xr:uid="{3E0EB4BC-B6C8-4C50-A76D-4B921BBD73F7}"/>
    <cellStyle name="40% - 强调文字颜色 6 2 4 3" xfId="13307" xr:uid="{414FC5EF-1DF8-4D7F-886E-BBCF085E8D97}"/>
    <cellStyle name="40% - 强调文字颜色 6 2 4 4" xfId="19507" xr:uid="{BBB6A02F-DA77-4C21-B7D6-FAF1185AF5D3}"/>
    <cellStyle name="40% - 强调文字颜色 6 2 4 5" xfId="27702" xr:uid="{37DD88D4-6CA3-4B74-9171-ADC7F0478A0B}"/>
    <cellStyle name="40% - 强调文字颜色 6 2 5" xfId="4624" xr:uid="{6EFB64D5-DE7E-47DC-9331-DBD8287EA866}"/>
    <cellStyle name="40% - 强调文字颜色 6 2 5 2" xfId="4625" xr:uid="{9FF520FA-846A-42A1-8BAC-6B19EB91E306}"/>
    <cellStyle name="40% - 强调文字颜色 6 2 5 3" xfId="19508" xr:uid="{5DA9EF96-881D-4F0A-B95B-3B8A4A7EB85A}"/>
    <cellStyle name="40% - 强调文字颜色 6 2 6" xfId="1946" xr:uid="{E78F5A68-87F5-41B4-A2D9-641EA6771D63}"/>
    <cellStyle name="40% - 强调文字颜色 6 2 6 2" xfId="4626" xr:uid="{54767765-D251-4BA7-AE6A-2391E4627F6A}"/>
    <cellStyle name="40% - 强调文字颜色 6 2 6 3" xfId="19509" xr:uid="{F5748ADA-5A72-41BF-B6E8-13A881BED81F}"/>
    <cellStyle name="40% - 强调文字颜色 6 2 7" xfId="4627" xr:uid="{202BD931-F5B1-4D83-A76C-C772B9287BD2}"/>
    <cellStyle name="40% - 强调文字颜色 6 2 7 2" xfId="4628" xr:uid="{5D544461-86FB-476B-8987-0C32A8574558}"/>
    <cellStyle name="40% - 强调文字颜色 6 2 7 3" xfId="19510" xr:uid="{BF78525D-49B7-478F-B89F-23D36BB9DD75}"/>
    <cellStyle name="40% - 强调文字颜色 6 2 8" xfId="4629" xr:uid="{20935EB9-71F7-4D74-BE22-19A836404B84}"/>
    <cellStyle name="40% - 强调文字颜色 6 2 8 2" xfId="4630" xr:uid="{3A44E0E9-E262-45A5-ADC3-1DF817C9F8A8}"/>
    <cellStyle name="40% - 强调文字颜色 6 2 9" xfId="4631" xr:uid="{F269BA5E-4282-42F5-BF84-C5DFF98EB453}"/>
    <cellStyle name="40% - 强调文字颜色 6 2 9 2" xfId="4632" xr:uid="{45BC9DD1-4D8D-4D79-99B6-BA33B7081C98}"/>
    <cellStyle name="40% - 强调文字颜色 6 2_动力部" xfId="19511" xr:uid="{F494F904-38E0-41CE-8075-FD99A36D7C42}"/>
    <cellStyle name="40% - 强调文字颜色 6 20" xfId="3107" xr:uid="{81074230-5898-4835-9D7A-72E40F357593}"/>
    <cellStyle name="40% - 强调文字颜色 6 20 2" xfId="3110" xr:uid="{C41C56B1-D9EA-4B53-84B5-9D802BFD7B30}"/>
    <cellStyle name="40% - 强调文字颜色 6 20 2 2" xfId="4633" xr:uid="{A66F7FB9-2B98-47D9-8C48-A6BE32CB67E9}"/>
    <cellStyle name="40% - 强调文字颜色 6 20 2 2 2" xfId="19514" xr:uid="{8166CC55-896B-42A2-AD37-3EA5AFE18AE3}"/>
    <cellStyle name="40% - 强调文字颜色 6 20 2 3" xfId="19513" xr:uid="{6DFDA7F1-7164-4834-BB73-CF929952D912}"/>
    <cellStyle name="40% - 强调文字颜色 6 20 3" xfId="10070" xr:uid="{57157363-E16A-4C5D-804E-14ED6989109F}"/>
    <cellStyle name="40% - 强调文字颜色 6 20 3 2" xfId="19515" xr:uid="{DB67A8FB-3808-4D0C-A538-E4D0301969E4}"/>
    <cellStyle name="40% - 强调文字颜色 6 20 4" xfId="13136" xr:uid="{56B7C9FE-95F8-401D-9F3B-7E9AF51530D8}"/>
    <cellStyle name="40% - 强调文字颜色 6 20 4 2" xfId="19516" xr:uid="{98155FB1-D69C-4970-A61D-963E641AD681}"/>
    <cellStyle name="40% - 强调文字颜色 6 20 5" xfId="19512" xr:uid="{1CA0B2B7-EEDC-4179-AC95-9CFF5DB84027}"/>
    <cellStyle name="40% - 强调文字颜色 6 21" xfId="4532" xr:uid="{9C4B0462-B562-4EF1-809A-5528E1580423}"/>
    <cellStyle name="40% - 强调文字颜色 6 21 2" xfId="4534" xr:uid="{44C3EE91-EBD9-48C8-BCCA-68099495923A}"/>
    <cellStyle name="40% - 强调文字颜色 6 21 2 2" xfId="4635" xr:uid="{51A4C5B5-8715-4C9E-908B-DD8BD1B46A93}"/>
    <cellStyle name="40% - 强调文字颜色 6 21 2 2 2" xfId="19519" xr:uid="{E4FFBE28-1623-497E-9A93-56F847B1DAA8}"/>
    <cellStyle name="40% - 强调文字颜色 6 21 2 3" xfId="19518" xr:uid="{5DE1D7DD-F003-45FD-A815-2D8EC0B36614}"/>
    <cellStyle name="40% - 强调文字颜色 6 21 3" xfId="10071" xr:uid="{6F47F2C6-4B91-4DB9-9C9B-6242005C444C}"/>
    <cellStyle name="40% - 强调文字颜色 6 21 3 2" xfId="19520" xr:uid="{EDA89917-189D-4392-A078-7D7E7199414B}"/>
    <cellStyle name="40% - 强调文字颜色 6 21 4" xfId="13122" xr:uid="{BC116FDF-9F97-4F93-90C5-0B877672EB18}"/>
    <cellStyle name="40% - 强调文字颜色 6 21 4 2" xfId="19521" xr:uid="{1B6FB8FE-37CC-4413-B0D7-0C3DA7D69A66}"/>
    <cellStyle name="40% - 强调文字颜色 6 21 5" xfId="19517" xr:uid="{BA085A14-D7D8-40C0-A8E1-28646070102C}"/>
    <cellStyle name="40% - 强调文字颜色 6 22" xfId="4541" xr:uid="{B6BBBC32-45E0-403D-BF96-9DE0571B77A1}"/>
    <cellStyle name="40% - 强调文字颜色 6 22 2" xfId="4543" xr:uid="{60B007D3-5787-4461-88C1-13631B6F2090}"/>
    <cellStyle name="40% - 强调文字颜色 6 22 2 2" xfId="4545" xr:uid="{0F86CEB0-E4AE-4861-A9F1-252AEA687048}"/>
    <cellStyle name="40% - 强调文字颜色 6 22 2 2 2" xfId="19524" xr:uid="{6E48530C-3992-4025-9EA4-DE5844C02F79}"/>
    <cellStyle name="40% - 强调文字颜色 6 22 2 3" xfId="19523" xr:uid="{6738F73A-FF7C-45E6-A726-C27AD19F1DAF}"/>
    <cellStyle name="40% - 强调文字颜色 6 22 3" xfId="10072" xr:uid="{6719502D-1ED7-452A-A59C-E5BB66C3F5F0}"/>
    <cellStyle name="40% - 强调文字颜色 6 22 3 2" xfId="19525" xr:uid="{47A13DC3-2307-4661-81C7-8FE5ECE39420}"/>
    <cellStyle name="40% - 强调文字颜色 6 22 4" xfId="13109" xr:uid="{2172F344-DF6B-4878-8EE7-19AED0177A48}"/>
    <cellStyle name="40% - 强调文字颜色 6 22 4 2" xfId="19526" xr:uid="{2B411A5C-48B4-465E-B988-95FEF36D3F6D}"/>
    <cellStyle name="40% - 强调文字颜色 6 22 5" xfId="19522" xr:uid="{3D3E1569-B53E-4D28-AEFB-ED366AA5B0B7}"/>
    <cellStyle name="40% - 强调文字颜色 6 23" xfId="4549" xr:uid="{BA4CEA5B-B316-41AE-86C1-A9DB5412B238}"/>
    <cellStyle name="40% - 强调文字颜色 6 23 2" xfId="4551" xr:uid="{D2BB5F46-0C01-48AC-9220-731BA7DFF37D}"/>
    <cellStyle name="40% - 强调文字颜色 6 23 2 2" xfId="4553" xr:uid="{D9C97FCD-18AA-4927-9C3A-EED9D072CDC0}"/>
    <cellStyle name="40% - 强调文字颜色 6 23 2 2 2" xfId="19529" xr:uid="{51BF6194-4FDB-42FA-AF02-61AB26174093}"/>
    <cellStyle name="40% - 强调文字颜色 6 23 2 3" xfId="19528" xr:uid="{37E8CAAF-FE36-43E1-9D21-F8F1D33BD38A}"/>
    <cellStyle name="40% - 强调文字颜色 6 23 3" xfId="13039" xr:uid="{74B1C0F3-DB5F-4CB1-9B44-8DD4A34F591B}"/>
    <cellStyle name="40% - 强调文字颜色 6 23 3 2" xfId="19530" xr:uid="{70F55047-66FF-4D01-9CBE-A45999382508}"/>
    <cellStyle name="40% - 强调文字颜色 6 23 4" xfId="19531" xr:uid="{63A80C1D-ECD2-4BF2-8886-1AA2A3EC75C8}"/>
    <cellStyle name="40% - 强调文字颜色 6 23 5" xfId="19527" xr:uid="{20BBCA1D-EE35-4A0A-BF44-257F9F326EC7}"/>
    <cellStyle name="40% - 强调文字颜色 6 24" xfId="4558" xr:uid="{3B679069-524C-4895-8E3C-75B10E78295E}"/>
    <cellStyle name="40% - 强调文字颜色 6 24 2" xfId="13032" xr:uid="{8B286D85-3165-487B-A6ED-8C36A7DB6301}"/>
    <cellStyle name="40% - 强调文字颜色 6 24 2 2" xfId="19534" xr:uid="{B4E9229B-BB12-4DD8-A9F8-9CF51BE61DBF}"/>
    <cellStyle name="40% - 强调文字颜色 6 24 2 3" xfId="19533" xr:uid="{EAD001E3-A586-4289-B782-6BB1D5DC6A31}"/>
    <cellStyle name="40% - 强调文字颜色 6 24 3" xfId="19535" xr:uid="{922EEDA1-7E1C-4694-A22C-78B14A075BD2}"/>
    <cellStyle name="40% - 强调文字颜色 6 24 4" xfId="19536" xr:uid="{DD2FFD65-6E46-4F0A-8ECF-A8AF44EDDDEC}"/>
    <cellStyle name="40% - 强调文字颜色 6 24 5" xfId="19532" xr:uid="{F91A8F0E-AB37-4C53-9729-50A45BBD2451}"/>
    <cellStyle name="40% - 强调文字颜色 6 25" xfId="4636" xr:uid="{C7BE7011-9F3F-40E5-B7CA-9FCA830B0838}"/>
    <cellStyle name="40% - 强调文字颜色 6 25 2" xfId="13004" xr:uid="{B2F0BDC2-EC51-41B2-940D-B85F9416192E}"/>
    <cellStyle name="40% - 强调文字颜色 6 25 2 2" xfId="19539" xr:uid="{91AEA627-0727-4391-B78E-4E540C3F7744}"/>
    <cellStyle name="40% - 强调文字颜色 6 25 2 3" xfId="19538" xr:uid="{99A4FB3B-336C-4E00-9646-332BC361F391}"/>
    <cellStyle name="40% - 强调文字颜色 6 25 3" xfId="19540" xr:uid="{2E6DFCBF-4629-4E79-8AF9-C9DB3F1025B4}"/>
    <cellStyle name="40% - 强调文字颜色 6 25 4" xfId="19541" xr:uid="{05A7C016-E484-4D60-BBC5-2258A1EECA30}"/>
    <cellStyle name="40% - 强调文字颜色 6 25 5" xfId="19537" xr:uid="{4EB23585-A36C-4405-9D4B-E345E09E6DFE}"/>
    <cellStyle name="40% - 强调文字颜色 6 26" xfId="4638" xr:uid="{6E4BBEAD-1F66-49E1-9145-FD77B3CEC72D}"/>
    <cellStyle name="40% - 强调文字颜色 6 26 2" xfId="19543" xr:uid="{B286DFC6-77B5-4E6E-BE3D-DE83366D0902}"/>
    <cellStyle name="40% - 强调文字颜色 6 26 2 2" xfId="19544" xr:uid="{9365335E-F707-421C-949C-40502BAED2D5}"/>
    <cellStyle name="40% - 强调文字颜色 6 26 3" xfId="19545" xr:uid="{F2B6399E-A8C7-4115-BD04-CFF75E8DE540}"/>
    <cellStyle name="40% - 强调文字颜色 6 26 4" xfId="19546" xr:uid="{103D82D5-53AC-454D-A899-B276D63FB6FE}"/>
    <cellStyle name="40% - 强调文字颜色 6 26 5" xfId="19542" xr:uid="{540944E0-9856-4313-90BF-D538345A2A74}"/>
    <cellStyle name="40% - 强调文字颜色 6 27" xfId="4640" xr:uid="{843880D4-610A-4F90-9B16-2013123497CF}"/>
    <cellStyle name="40% - 强调文字颜色 6 27 2" xfId="19548" xr:uid="{B8435231-70B3-4677-8A7D-5F8FD8174903}"/>
    <cellStyle name="40% - 强调文字颜色 6 27 2 2" xfId="19549" xr:uid="{F194DD26-AD3C-47B1-B55F-9A8A2B131461}"/>
    <cellStyle name="40% - 强调文字颜色 6 27 3" xfId="19550" xr:uid="{718BCE8F-5A7D-4E02-98AB-FAC25F267C97}"/>
    <cellStyle name="40% - 强调文字颜色 6 27 4" xfId="19551" xr:uid="{47848377-1821-4964-AC2A-D69131F5BCF8}"/>
    <cellStyle name="40% - 强调文字颜色 6 27 5" xfId="19547" xr:uid="{CE53EBAC-B40B-4A8A-AF4A-C27DB18948D6}"/>
    <cellStyle name="40% - 强调文字颜色 6 28" xfId="4642" xr:uid="{6AD221EE-E2B4-4133-BF65-681FEFFB1BC5}"/>
    <cellStyle name="40% - 强调文字颜色 6 28 2" xfId="19553" xr:uid="{7C944891-AB39-4EF7-8526-7168A5058641}"/>
    <cellStyle name="40% - 强调文字颜色 6 28 3" xfId="19554" xr:uid="{6528BECF-0C72-449C-8257-DF900AAC1E63}"/>
    <cellStyle name="40% - 强调文字颜色 6 28 4" xfId="19555" xr:uid="{7ECAB9B1-35D2-405C-B8BF-6A6508A471C0}"/>
    <cellStyle name="40% - 强调文字颜色 6 28 5" xfId="19552" xr:uid="{18FB23B1-6563-435F-804B-C46EF011FBC6}"/>
    <cellStyle name="40% - 强调文字颜色 6 29" xfId="4644" xr:uid="{D1B44A67-D78D-4049-BF6D-226784C71AAA}"/>
    <cellStyle name="40% - 强调文字颜色 6 29 2" xfId="19557" xr:uid="{61E71284-433E-488A-B839-D1CAD5125501}"/>
    <cellStyle name="40% - 强调文字颜色 6 29 3" xfId="19558" xr:uid="{3AD5D3DE-892E-4051-AF9F-D79FDF68F020}"/>
    <cellStyle name="40% - 强调文字颜色 6 29 4" xfId="19559" xr:uid="{2C22A809-0E3D-4894-94D7-C7EE9A901852}"/>
    <cellStyle name="40% - 强调文字颜色 6 29 5" xfId="19556" xr:uid="{C1FCB2FE-5E0B-493C-8AF4-6A695D3225FB}"/>
    <cellStyle name="40% - 强调文字颜色 6 3" xfId="4646" xr:uid="{0D7F9E28-5697-4D68-AD5A-7ECB8687CE01}"/>
    <cellStyle name="40% - 强调文字颜色 6 3 10" xfId="4647" xr:uid="{CE1EAB14-764C-4A2E-A988-BEC5F5AF308B}"/>
    <cellStyle name="40% - 强调文字颜色 6 3 10 2" xfId="4648" xr:uid="{81BC5E69-7081-485B-928B-83CE654E3551}"/>
    <cellStyle name="40% - 强调文字颜色 6 3 11" xfId="4649" xr:uid="{AA5D6527-4009-432F-957C-B9B520275851}"/>
    <cellStyle name="40% - 强调文字颜色 6 3 11 2" xfId="4650" xr:uid="{0511E19D-7138-47B6-BF3B-0415683C31AB}"/>
    <cellStyle name="40% - 强调文字颜色 6 3 12" xfId="4651" xr:uid="{6ADFCBED-D6FB-44CC-BCCB-5AEB3E1A2DBE}"/>
    <cellStyle name="40% - 强调文字颜色 6 3 13" xfId="4652" xr:uid="{3848FA95-6956-4E25-AC6C-8310740FEE7A}"/>
    <cellStyle name="40% - 强调文字颜色 6 3 13 2" xfId="4653" xr:uid="{C377A921-D62C-4403-9B64-E4139619F2DB}"/>
    <cellStyle name="40% - 强调文字颜色 6 3 14" xfId="4654" xr:uid="{9263F0D6-A611-4073-815B-652A71C455BC}"/>
    <cellStyle name="40% - 强调文字颜色 6 3 14 2" xfId="4655" xr:uid="{E68B0117-835E-4FB6-B6AE-9E34D12C6823}"/>
    <cellStyle name="40% - 强调文字颜色 6 3 15" xfId="4656" xr:uid="{AFC4B460-8134-4D43-806E-B5521C67C769}"/>
    <cellStyle name="40% - 强调文字颜色 6 3 16" xfId="10073" xr:uid="{60864DA5-B8E9-4779-9982-B0DEFDE08BDB}"/>
    <cellStyle name="40% - 强调文字颜色 6 3 17" xfId="13393" xr:uid="{6DFB7C0F-6626-4B7B-AAE2-3D801C53D64A}"/>
    <cellStyle name="40% - 强调文字颜色 6 3 18" xfId="19560" xr:uid="{50CA764A-CA67-411F-A052-18CC68E89823}"/>
    <cellStyle name="40% - 强调文字颜色 6 3 2" xfId="4657" xr:uid="{02FDFF28-E960-4CE4-8BC9-38180572E86C}"/>
    <cellStyle name="40% - 强调文字颜色 6 3 2 2" xfId="4658" xr:uid="{E3A209DA-E140-489B-9870-61FDDEC6A992}"/>
    <cellStyle name="40% - 强调文字颜色 6 3 2 3" xfId="10074" xr:uid="{32D54892-425E-4DAD-8112-CDE4A8F76F82}"/>
    <cellStyle name="40% - 强调文字颜色 6 3 2 4" xfId="19561" xr:uid="{358B61BC-E8DF-413F-9B9F-E9AED2D03C47}"/>
    <cellStyle name="40% - 强调文字颜色 6 3 2 5" xfId="27325" xr:uid="{2E7B442C-5AAE-4CBB-987E-55D26DCBDC70}"/>
    <cellStyle name="40% - 强调文字颜色 6 3 3" xfId="4659" xr:uid="{C89AD8E0-766C-4DF1-94AF-DC34595B5859}"/>
    <cellStyle name="40% - 强调文字颜色 6 3 3 2" xfId="4660" xr:uid="{09085DCA-1257-4B05-8E1B-4888F4515985}"/>
    <cellStyle name="40% - 强调文字颜色 6 3 3 2 2" xfId="19563" xr:uid="{DA1CF993-009A-4FD7-819C-AFE6EF542289}"/>
    <cellStyle name="40% - 强调文字颜色 6 3 3 3" xfId="10075" xr:uid="{225625AB-DBEA-4C83-877F-E827E5EA1486}"/>
    <cellStyle name="40% - 强调文字颜色 6 3 3 4" xfId="19562" xr:uid="{E5558B08-AC7E-4FF3-91A5-A3E9B543B809}"/>
    <cellStyle name="40% - 强调文字颜色 6 3 3 5" xfId="27326" xr:uid="{F5877C36-272D-45D2-9EB2-B3F3FF0469A8}"/>
    <cellStyle name="40% - 强调文字颜色 6 3 4" xfId="4661" xr:uid="{BA06DE48-5042-4634-AACB-F3F1BF042EA3}"/>
    <cellStyle name="40% - 强调文字颜色 6 3 4 2" xfId="4662" xr:uid="{0C5B6E68-A06F-4DFA-A6A6-EBEEAE9F4D7C}"/>
    <cellStyle name="40% - 强调文字颜色 6 3 4 3" xfId="19564" xr:uid="{4678424A-1066-4B7F-A17F-77996E68317F}"/>
    <cellStyle name="40% - 强调文字颜色 6 3 4 4" xfId="27703" xr:uid="{E434C1EB-3F29-4BA6-B3E7-FD14181850FE}"/>
    <cellStyle name="40% - 强调文字颜色 6 3 5" xfId="4663" xr:uid="{9599901C-BECE-424D-B7AB-5EB9DD6DE1EB}"/>
    <cellStyle name="40% - 强调文字颜色 6 3 5 2" xfId="4664" xr:uid="{FB344B71-4393-49D2-B474-A569FDF92363}"/>
    <cellStyle name="40% - 强调文字颜色 6 3 5 3" xfId="19565" xr:uid="{10BC27E6-18FF-47FD-A0D8-379610D4EAF4}"/>
    <cellStyle name="40% - 强调文字颜色 6 3 6" xfId="1955" xr:uid="{2090427E-5916-4706-90E2-0F78E1904033}"/>
    <cellStyle name="40% - 强调文字颜色 6 3 6 2" xfId="4667" xr:uid="{E4991859-6388-4E75-A349-14C0266AE4A6}"/>
    <cellStyle name="40% - 强调文字颜色 6 3 7" xfId="4668" xr:uid="{8EA4A43E-0ED3-4AF8-A7BE-5A37CDCD9B4B}"/>
    <cellStyle name="40% - 强调文字颜色 6 3 7 2" xfId="4669" xr:uid="{5DC5CEC4-0D2F-48E7-BCAE-E869BD474060}"/>
    <cellStyle name="40% - 强调文字颜色 6 3 8" xfId="4671" xr:uid="{FC66E81B-08DD-4A48-ADCF-1AB5DFC7C0DC}"/>
    <cellStyle name="40% - 强调文字颜色 6 3 8 2" xfId="4672" xr:uid="{23FD5103-E092-471D-980A-580145D6112B}"/>
    <cellStyle name="40% - 强调文字颜色 6 3 9" xfId="4673" xr:uid="{0BC2ACD1-FFA7-46C9-9C16-74FAB5FFCEA9}"/>
    <cellStyle name="40% - 强调文字颜色 6 30" xfId="4637" xr:uid="{A0FDD001-2601-46B4-865C-1980C9E98C90}"/>
    <cellStyle name="40% - 强调文字颜色 6 30 2" xfId="19567" xr:uid="{70857179-F081-46F4-9CB0-9955598E61C4}"/>
    <cellStyle name="40% - 强调文字颜色 6 30 3" xfId="19568" xr:uid="{79693A61-D071-4913-AFB9-504B1F822CB9}"/>
    <cellStyle name="40% - 强调文字颜色 6 30 4" xfId="19569" xr:uid="{B9544B76-9B3B-428B-B627-19C059D19830}"/>
    <cellStyle name="40% - 强调文字颜色 6 30 5" xfId="19566" xr:uid="{4B8BB639-387F-4466-8525-F9323379BD40}"/>
    <cellStyle name="40% - 强调文字颜色 6 31" xfId="4639" xr:uid="{8A6AA522-6F3D-4E83-B3F1-24EB53D6D738}"/>
    <cellStyle name="40% - 强调文字颜色 6 31 2" xfId="19571" xr:uid="{54E559BF-44B5-43E5-84EB-4419796FA26A}"/>
    <cellStyle name="40% - 强调文字颜色 6 31 3" xfId="19572" xr:uid="{6AD560A8-E9C2-4918-BD50-ED43BAAA18DA}"/>
    <cellStyle name="40% - 强调文字颜色 6 31 4" xfId="19573" xr:uid="{C51F80F8-4C21-4A64-AC8F-4089D8C07B8A}"/>
    <cellStyle name="40% - 强调文字颜色 6 31 5" xfId="19570" xr:uid="{B74ECB47-E4C3-4310-A7E3-5539C5AC1E24}"/>
    <cellStyle name="40% - 强调文字颜色 6 32" xfId="4641" xr:uid="{1F011919-DB0F-41B2-AE55-15B62DA23B30}"/>
    <cellStyle name="40% - 强调文字颜色 6 32 2" xfId="19575" xr:uid="{260962B6-7FA5-4499-9295-DA9C7851A4F7}"/>
    <cellStyle name="40% - 强调文字颜色 6 32 3" xfId="19576" xr:uid="{14683006-D355-4D0D-9F7C-5C52CE2A38BF}"/>
    <cellStyle name="40% - 强调文字颜色 6 32 4" xfId="19577" xr:uid="{6FB82F2E-056E-4D2F-A4ED-09F4557F2AE9}"/>
    <cellStyle name="40% - 强调文字颜色 6 32 5" xfId="19574" xr:uid="{6FA56DA9-C979-4E94-A253-F3B72E82AFF0}"/>
    <cellStyle name="40% - 强调文字颜色 6 33" xfId="4643" xr:uid="{91DCAA03-544E-4F7D-A013-D90BBECF6A09}"/>
    <cellStyle name="40% - 强调文字颜色 6 33 2" xfId="19579" xr:uid="{350FED70-2835-4BE5-86F7-E4D396D1B97B}"/>
    <cellStyle name="40% - 强调文字颜色 6 33 3" xfId="19580" xr:uid="{C6940AAA-73E3-450E-AA7D-69C9D9C6917C}"/>
    <cellStyle name="40% - 强调文字颜色 6 33 4" xfId="19581" xr:uid="{4A3F97C6-9791-4D8C-AC05-1AA7A7895CE3}"/>
    <cellStyle name="40% - 强调文字颜色 6 33 5" xfId="19578" xr:uid="{E835F194-786F-4DAB-BFF7-61DEC6D03BBC}"/>
    <cellStyle name="40% - 强调文字颜色 6 34" xfId="4645" xr:uid="{02807936-A373-4014-89B3-2C568333D510}"/>
    <cellStyle name="40% - 强调文字颜色 6 34 2" xfId="12672" xr:uid="{26DBE3BA-9588-4B3E-9D5C-8B9B3D9C7A90}"/>
    <cellStyle name="40% - 强调文字颜色 6 34 2 2" xfId="19583" xr:uid="{32A679F0-9F83-48E5-9D3C-9B3C4EB6D177}"/>
    <cellStyle name="40% - 强调文字颜色 6 34 3" xfId="19584" xr:uid="{B34FA3DB-5D10-4697-8657-BA0FA558C76C}"/>
    <cellStyle name="40% - 强调文字颜色 6 34 4" xfId="19585" xr:uid="{D19C53F8-75D0-4543-B469-077549B3FA84}"/>
    <cellStyle name="40% - 强调文字颜色 6 34 5" xfId="19582" xr:uid="{201183F7-8268-4D32-845E-E97F229A5C9D}"/>
    <cellStyle name="40% - 强调文字颜色 6 35" xfId="4674" xr:uid="{5D3AAF11-80FB-463C-9109-22F788B1B738}"/>
    <cellStyle name="40% - 强调文字颜色 6 35 2" xfId="12673" xr:uid="{B6DD0675-5B77-410B-B80A-2C4370FA847C}"/>
    <cellStyle name="40% - 强调文字颜色 6 35 2 2" xfId="19587" xr:uid="{2C070704-C7CA-4512-86D4-7A27FEBD3864}"/>
    <cellStyle name="40% - 强调文字颜色 6 35 3" xfId="19588" xr:uid="{ACF39A67-1A77-4FF3-A091-9CAC3B61620C}"/>
    <cellStyle name="40% - 强调文字颜色 6 35 4" xfId="19586" xr:uid="{F0F32AE1-AB35-4B49-B278-BF6572D4F485}"/>
    <cellStyle name="40% - 强调文字颜色 6 36" xfId="4676" xr:uid="{DBD8B925-324A-403C-A19B-EA314F80C1D2}"/>
    <cellStyle name="40% - 强调文字颜色 6 36 2" xfId="12674" xr:uid="{20EFD773-8925-4A8F-BD57-588C5BB1CB1B}"/>
    <cellStyle name="40% - 强调文字颜色 6 36 2 2" xfId="19590" xr:uid="{545CEE9D-9BCA-4FA7-8FF1-66DA99120199}"/>
    <cellStyle name="40% - 强调文字颜色 6 36 3" xfId="19591" xr:uid="{4437A1CE-2FD4-47D1-AF43-25B627B78AC5}"/>
    <cellStyle name="40% - 强调文字颜色 6 36 4" xfId="19589" xr:uid="{6BF83FDB-1DF1-42B3-9EBE-3A7165CA0C8B}"/>
    <cellStyle name="40% - 强调文字颜色 6 37" xfId="4678" xr:uid="{027BFDB4-6D72-4B9E-9C34-7727A752C8EA}"/>
    <cellStyle name="40% - 强调文字颜色 6 37 2" xfId="12675" xr:uid="{0F1B11FA-58B2-4CFE-B7DE-45DD54929CB9}"/>
    <cellStyle name="40% - 强调文字颜色 6 37 2 2" xfId="19593" xr:uid="{5D7E29D8-3679-456B-A51F-B2AD79747AB9}"/>
    <cellStyle name="40% - 强调文字颜色 6 37 3" xfId="19594" xr:uid="{845A0B20-7553-4AA7-B33F-A50B2E6DC0E2}"/>
    <cellStyle name="40% - 强调文字颜色 6 37 4" xfId="19592" xr:uid="{9063C0D4-D388-4354-AE97-3DB1B8C0CBC2}"/>
    <cellStyle name="40% - 强调文字颜色 6 38" xfId="4680" xr:uid="{8B87F7A1-39C1-4EBB-8D8F-B4BE59C0ED63}"/>
    <cellStyle name="40% - 强调文字颜色 6 38 10" xfId="19596" xr:uid="{5E21E103-FC83-4FDA-B9F1-B0F511DC4B51}"/>
    <cellStyle name="40% - 强调文字颜色 6 38 11" xfId="19597" xr:uid="{02C1C897-F066-40A2-923C-2C1DEFC76185}"/>
    <cellStyle name="40% - 强调文字颜色 6 38 12" xfId="19598" xr:uid="{3FD48799-7541-47F1-8F9C-10910BE10F5E}"/>
    <cellStyle name="40% - 强调文字颜色 6 38 13" xfId="19599" xr:uid="{55C98DE1-0D82-4324-AD59-EC16DB08C01B}"/>
    <cellStyle name="40% - 强调文字颜色 6 38 14" xfId="19600" xr:uid="{8424372F-CBFF-4CE9-AF94-FECB621489C2}"/>
    <cellStyle name="40% - 强调文字颜色 6 38 15" xfId="19595" xr:uid="{174527A3-C0DD-4798-825C-E3B0AB757BD2}"/>
    <cellStyle name="40% - 强调文字颜色 6 38 2" xfId="12676" xr:uid="{12AE6783-9CA4-4351-A655-95461FA401DD}"/>
    <cellStyle name="40% - 强调文字颜色 6 38 2 2" xfId="19601" xr:uid="{D46FCA05-25E0-4928-8255-E9259280723C}"/>
    <cellStyle name="40% - 强调文字颜色 6 38 3" xfId="19602" xr:uid="{635C04DC-FB6C-454E-8DA6-33FFDB24326A}"/>
    <cellStyle name="40% - 强调文字颜色 6 38 4" xfId="19603" xr:uid="{D353248D-0A94-4269-9940-E1EC9F32F6BE}"/>
    <cellStyle name="40% - 强调文字颜色 6 38 5" xfId="19604" xr:uid="{B0F632A4-A532-4EC5-85F2-EC8164808D02}"/>
    <cellStyle name="40% - 强调文字颜色 6 38 6" xfId="19605" xr:uid="{54F3D884-71BB-4BE5-B15A-FD94A7E0682D}"/>
    <cellStyle name="40% - 强调文字颜色 6 38 7" xfId="19606" xr:uid="{62FF775C-08B9-41B8-81F1-4CFC4834CF10}"/>
    <cellStyle name="40% - 强调文字颜色 6 38 8" xfId="19607" xr:uid="{F707BC96-9E39-4FF4-9A03-B264C3F0F259}"/>
    <cellStyle name="40% - 强调文字颜色 6 38 9" xfId="19608" xr:uid="{1F4EFB10-985F-4794-9197-6290CCB88385}"/>
    <cellStyle name="40% - 强调文字颜色 6 39" xfId="4682" xr:uid="{0B6BA163-B3E8-45AC-982D-BF8B4B287DE9}"/>
    <cellStyle name="40% - 强调文字颜色 6 39 2" xfId="12677" xr:uid="{3CB8D222-0F67-4C96-B453-0A9929F347E6}"/>
    <cellStyle name="40% - 强调文字颜色 6 39 2 2" xfId="19610" xr:uid="{ED75E859-C61A-47B4-9328-F2B3F4E66F80}"/>
    <cellStyle name="40% - 强调文字颜色 6 39 3" xfId="19611" xr:uid="{06786058-E731-47F1-9D84-C170083FCCD6}"/>
    <cellStyle name="40% - 强调文字颜色 6 39 4" xfId="19609" xr:uid="{A103042E-D8C6-486B-A5C7-A3C8854063E8}"/>
    <cellStyle name="40% - 强调文字颜色 6 4" xfId="4684" xr:uid="{5E44A55F-408E-449F-865A-9C004397539E}"/>
    <cellStyle name="40% - 强调文字颜色 6 4 10" xfId="4685" xr:uid="{AAE5DF7E-2F04-4552-8522-5B0905E385AC}"/>
    <cellStyle name="40% - 强调文字颜色 6 4 10 2" xfId="4686" xr:uid="{951BA35F-9434-496B-B7AE-6254B462CE6D}"/>
    <cellStyle name="40% - 强调文字颜色 6 4 11" xfId="4687" xr:uid="{D22ABB11-5277-4DAD-9EEE-C78D75260603}"/>
    <cellStyle name="40% - 强调文字颜色 6 4 11 2" xfId="4688" xr:uid="{71D07107-09F0-454A-BAB8-193B84A5E075}"/>
    <cellStyle name="40% - 强调文字颜色 6 4 12" xfId="4689" xr:uid="{87B574BE-53BC-4E64-B35F-1DC894C50103}"/>
    <cellStyle name="40% - 强调文字颜色 6 4 13" xfId="4690" xr:uid="{0F71B091-A276-48DE-B7BE-52C23E8429F0}"/>
    <cellStyle name="40% - 强调文字颜色 6 4 13 2" xfId="4691" xr:uid="{E63593DD-1468-4129-BD29-4560590E0218}"/>
    <cellStyle name="40% - 强调文字颜色 6 4 14" xfId="4692" xr:uid="{62182C51-ADD7-4D9B-850E-2805DF95BC93}"/>
    <cellStyle name="40% - 强调文字颜色 6 4 14 2" xfId="4693" xr:uid="{A089E69B-AB62-426A-B763-16F42FA44623}"/>
    <cellStyle name="40% - 强调文字颜色 6 4 15" xfId="4694" xr:uid="{B88BA884-65DC-488B-86A5-56D9A5AE3AAA}"/>
    <cellStyle name="40% - 强调文字颜色 6 4 16" xfId="10076" xr:uid="{ECA2076E-CD30-431F-987F-A38B03EC2EE3}"/>
    <cellStyle name="40% - 强调文字颜色 6 4 17" xfId="13386" xr:uid="{2A2ACD9C-F059-4C91-9BFA-C5F95841F61F}"/>
    <cellStyle name="40% - 强调文字颜色 6 4 18" xfId="19612" xr:uid="{12B22D8D-38E9-4EC0-9421-4C923C38E3B8}"/>
    <cellStyle name="40% - 强调文字颜色 6 4 2" xfId="4695" xr:uid="{47B13AE5-3E27-4D93-BD1C-0C45FA18E923}"/>
    <cellStyle name="40% - 强调文字颜色 6 4 2 2" xfId="4696" xr:uid="{81B8FFCE-6F5D-45AE-8CB4-26F4ACC43B6E}"/>
    <cellStyle name="40% - 强调文字颜色 6 4 2 2 2" xfId="19614" xr:uid="{F7D3C998-94B8-4057-A015-CECF4EAD0643}"/>
    <cellStyle name="40% - 强调文字颜色 6 4 2 3" xfId="10077" xr:uid="{212EE85D-16B8-4327-BF4B-89FDB74A7C8C}"/>
    <cellStyle name="40% - 强调文字颜色 6 4 2 4" xfId="19613" xr:uid="{6C820BF6-6409-4005-9F10-20044822D339}"/>
    <cellStyle name="40% - 强调文字颜色 6 4 3" xfId="4697" xr:uid="{8DBB2939-7765-4D97-BA48-973330F8D9E8}"/>
    <cellStyle name="40% - 强调文字颜色 6 4 3 2" xfId="4698" xr:uid="{E81ECD1C-19AF-4D1C-B388-31801F101228}"/>
    <cellStyle name="40% - 强调文字颜色 6 4 3 3" xfId="10078" xr:uid="{D3AE8F58-F9D5-4205-AB43-04DD9828714F}"/>
    <cellStyle name="40% - 强调文字颜色 6 4 3 4" xfId="19615" xr:uid="{322CD400-FD7B-4696-84DE-47349391AE2A}"/>
    <cellStyle name="40% - 强调文字颜色 6 4 4" xfId="4699" xr:uid="{ABD6A9DF-9FEF-4202-9200-25E86FA454B4}"/>
    <cellStyle name="40% - 强调文字颜色 6 4 4 2" xfId="76" xr:uid="{85CD641C-22CC-47AC-B3C2-2DCAE3EBFFA9}"/>
    <cellStyle name="40% - 强调文字颜色 6 4 4 3" xfId="19616" xr:uid="{C763AE0F-B8E3-4893-B6FA-D7B6303B915A}"/>
    <cellStyle name="40% - 强调文字颜色 6 4 5" xfId="3089" xr:uid="{F627CE81-0886-4E72-9391-8D6B0FD7EF52}"/>
    <cellStyle name="40% - 强调文字颜色 6 4 5 2" xfId="4700" xr:uid="{75774D3D-6E9F-42CC-95F1-54190B9F0535}"/>
    <cellStyle name="40% - 强调文字颜色 6 4 6" xfId="3734" xr:uid="{68D9007F-23BC-4DBA-BF96-B80AA82192BE}"/>
    <cellStyle name="40% - 强调文字颜色 6 4 6 2" xfId="4701" xr:uid="{14C36408-E931-4147-9FE9-01527BCA0C06}"/>
    <cellStyle name="40% - 强调文字颜色 6 4 7" xfId="4702" xr:uid="{5ED1DDB0-577F-4A2A-918D-C36118F3F670}"/>
    <cellStyle name="40% - 强调文字颜色 6 4 7 2" xfId="4703" xr:uid="{936DBA46-41C0-4FAB-BA11-007D63BE593B}"/>
    <cellStyle name="40% - 强调文字颜色 6 4 8" xfId="4704" xr:uid="{49C990A2-72CA-4B5F-B30D-301F31848576}"/>
    <cellStyle name="40% - 强调文字颜色 6 4 8 2" xfId="4705" xr:uid="{118F5FDB-60A7-4D89-B315-55EE69BAF672}"/>
    <cellStyle name="40% - 强调文字颜色 6 4 9" xfId="4707" xr:uid="{9073415F-99E8-4F5B-A90A-F0C31E564514}"/>
    <cellStyle name="40% - 强调文字颜色 6 40" xfId="4675" xr:uid="{E4F8CBB4-51A4-475A-A55F-24D57ADFEEEF}"/>
    <cellStyle name="40% - 强调文字颜色 6 40 2" xfId="12678" xr:uid="{BFD44AFF-7FCC-4092-8EFD-5B291F3103BF}"/>
    <cellStyle name="40% - 强调文字颜色 6 40 2 2" xfId="19618" xr:uid="{957658EF-5BBA-4A8D-B3A3-8E5ED8645300}"/>
    <cellStyle name="40% - 强调文字颜色 6 40 3" xfId="19617" xr:uid="{428CD082-27E4-4FE8-A53F-611A7B07B2EE}"/>
    <cellStyle name="40% - 强调文字颜色 6 41" xfId="4677" xr:uid="{97CA0985-827E-4456-962B-9AC2B997A4F1}"/>
    <cellStyle name="40% - 强调文字颜色 6 41 2" xfId="12679" xr:uid="{9EAA983D-D216-452F-8713-C0A83A362E34}"/>
    <cellStyle name="40% - 强调文字颜色 6 41 2 2" xfId="19620" xr:uid="{5C15E834-7F79-45E4-960C-6CA7F426F2BB}"/>
    <cellStyle name="40% - 强调文字颜色 6 41 3" xfId="19619" xr:uid="{D5BFED73-8968-4288-97D8-4832E248991B}"/>
    <cellStyle name="40% - 强调文字颜色 6 42" xfId="4679" xr:uid="{8E52CDFB-4AF7-4CF1-9C9A-30453487B522}"/>
    <cellStyle name="40% - 强调文字颜色 6 42 2" xfId="12680" xr:uid="{4E76F0E5-0344-4505-8C8D-4EE0DA731808}"/>
    <cellStyle name="40% - 强调文字颜色 6 42 2 2" xfId="19622" xr:uid="{EE131C84-AEA1-4C84-A24B-F6DAFFFCCD77}"/>
    <cellStyle name="40% - 强调文字颜色 6 42 3" xfId="19621" xr:uid="{BC1E423B-E0C5-490F-BC1A-D593B2BA793D}"/>
    <cellStyle name="40% - 强调文字颜色 6 43" xfId="4681" xr:uid="{473E2D69-C81B-4742-A6A3-2FE4A42A7E15}"/>
    <cellStyle name="40% - 强调文字颜色 6 43 2" xfId="12681" xr:uid="{A67E9F09-804F-429D-8C7C-EE7833AEFA73}"/>
    <cellStyle name="40% - 强调文字颜色 6 43 2 2" xfId="19624" xr:uid="{E5E5E618-62C4-49F1-B124-754C2B820DBF}"/>
    <cellStyle name="40% - 强调文字颜色 6 43 3" xfId="19623" xr:uid="{7DA9FEB0-6D03-4492-8F88-0114C4ECCD93}"/>
    <cellStyle name="40% - 强调文字颜色 6 44" xfId="4683" xr:uid="{B850CF1F-635B-4429-9E21-232D15082D3C}"/>
    <cellStyle name="40% - 强调文字颜色 6 44 2" xfId="12682" xr:uid="{00BE9F21-267E-4948-8737-750E8F167295}"/>
    <cellStyle name="40% - 强调文字颜色 6 44 2 2" xfId="19626" xr:uid="{45BFAE6C-7AD8-4BCD-9A50-B3D8A8C86964}"/>
    <cellStyle name="40% - 强调文字颜色 6 44 3" xfId="19625" xr:uid="{64FDE4ED-A564-47F7-9AF5-1D916C188D84}"/>
    <cellStyle name="40% - 强调文字颜色 6 45" xfId="4708" xr:uid="{FA254A0B-BBE4-42A0-BD62-9890F6498E3A}"/>
    <cellStyle name="40% - 强调文字颜色 6 45 2" xfId="12683" xr:uid="{5BEF7B52-2977-44E9-A1BA-6A8BC703E169}"/>
    <cellStyle name="40% - 强调文字颜色 6 45 2 2" xfId="19628" xr:uid="{159F1E94-C358-4170-A1B2-0498634AFFB1}"/>
    <cellStyle name="40% - 强调文字颜色 6 45 3" xfId="19627" xr:uid="{44057668-3AE0-4A5C-AAA6-D7DB1F1E0B13}"/>
    <cellStyle name="40% - 强调文字颜色 6 46" xfId="4710" xr:uid="{31B1783D-D7E0-42F0-B27B-0B3569950B75}"/>
    <cellStyle name="40% - 强调文字颜色 6 46 2" xfId="12684" xr:uid="{6A505B6D-7457-4B53-9447-02D80BDCF9FF}"/>
    <cellStyle name="40% - 强调文字颜色 6 46 2 2" xfId="19630" xr:uid="{E270CF30-3BDF-485A-A1B0-2653C407C0AF}"/>
    <cellStyle name="40% - 强调文字颜色 6 46 3" xfId="19629" xr:uid="{E9649EC0-437E-42D8-98D9-FF833B96E520}"/>
    <cellStyle name="40% - 强调文字颜色 6 47" xfId="4712" xr:uid="{73C07BAB-4502-4BDF-ABEC-1824D54B2A48}"/>
    <cellStyle name="40% - 强调文字颜色 6 47 2" xfId="12685" xr:uid="{2FC0D24A-9988-4596-AA5F-D21F93F0251D}"/>
    <cellStyle name="40% - 强调文字颜色 6 47 3" xfId="19631" xr:uid="{BB2A4797-7BC5-46D8-BB36-587076F560D7}"/>
    <cellStyle name="40% - 强调文字颜色 6 48" xfId="4714" xr:uid="{F128FCF9-ABB2-451A-9F5A-C45C11E9759B}"/>
    <cellStyle name="40% - 强调文字颜色 6 48 2" xfId="12686" xr:uid="{950F2B13-11DC-4337-BAD9-1B4923154977}"/>
    <cellStyle name="40% - 强调文字颜色 6 48 3" xfId="19632" xr:uid="{A39F7004-F2FB-468A-A681-8AF97FCF82B3}"/>
    <cellStyle name="40% - 强调文字颜色 6 49" xfId="4716" xr:uid="{BE9391BB-ACF6-4287-A2E3-985215BAF6BD}"/>
    <cellStyle name="40% - 强调文字颜色 6 49 2" xfId="12687" xr:uid="{F4563931-6544-4A9F-A335-68DDEB65B144}"/>
    <cellStyle name="40% - 强调文字颜色 6 49 3" xfId="19633" xr:uid="{1A2405D3-9A9E-4D0F-8F6A-FD1F0CA2CD95}"/>
    <cellStyle name="40% - 强调文字颜色 6 5" xfId="4718" xr:uid="{FCD989F1-280C-41BF-86F2-387DE38A3800}"/>
    <cellStyle name="40% - 强调文字颜色 6 5 10" xfId="4719" xr:uid="{C419AADA-77E9-43ED-A9DC-CCB0114FF93C}"/>
    <cellStyle name="40% - 强调文字颜色 6 5 10 2" xfId="4720" xr:uid="{F111EE1E-D5A7-48CF-AF57-E0290A79BB8E}"/>
    <cellStyle name="40% - 强调文字颜色 6 5 11" xfId="4721" xr:uid="{F96D71AD-32C3-4F05-98B6-F34C98A29BD7}"/>
    <cellStyle name="40% - 强调文字颜色 6 5 11 2" xfId="4722" xr:uid="{262A2D34-3ACD-4B25-A97C-9613BC204D44}"/>
    <cellStyle name="40% - 强调文字颜色 6 5 12" xfId="4723" xr:uid="{16A9A71A-0C92-482C-A894-7DC2D3F120D5}"/>
    <cellStyle name="40% - 强调文字颜色 6 5 13" xfId="4724" xr:uid="{A001DE90-0A6E-48D4-B5FA-DA21F30FD742}"/>
    <cellStyle name="40% - 强调文字颜色 6 5 13 2" xfId="4725" xr:uid="{16890A24-7CF9-4199-B416-9C4C5175A056}"/>
    <cellStyle name="40% - 强调文字颜色 6 5 14" xfId="1893" xr:uid="{B5DB87A8-BBEF-4720-8430-28CF3A032337}"/>
    <cellStyle name="40% - 强调文字颜色 6 5 14 2" xfId="4726" xr:uid="{21D4D4A1-7F12-4BCC-B4DE-59160A037990}"/>
    <cellStyle name="40% - 强调文字颜色 6 5 15" xfId="4727" xr:uid="{1584A84A-2ACB-480A-9075-2E357A08993B}"/>
    <cellStyle name="40% - 强调文字颜色 6 5 16" xfId="10079" xr:uid="{EC6BD5C8-3136-4F60-BCBF-10F7F89BE9E7}"/>
    <cellStyle name="40% - 强调文字颜色 6 5 17" xfId="13361" xr:uid="{6602C587-7C81-48F3-A2C3-8AA826FEB35D}"/>
    <cellStyle name="40% - 强调文字颜色 6 5 18" xfId="19634" xr:uid="{530711C7-D920-4EE0-94D7-FD1AFD644D59}"/>
    <cellStyle name="40% - 强调文字颜色 6 5 2" xfId="4728" xr:uid="{80251C6C-06F1-45AD-A747-C39459DC18AF}"/>
    <cellStyle name="40% - 强调文字颜色 6 5 2 2" xfId="4729" xr:uid="{DDFF71B8-6B56-4F2F-BF98-F3EB8B22B2C6}"/>
    <cellStyle name="40% - 强调文字颜色 6 5 2 2 2" xfId="19636" xr:uid="{94D5CC44-F14D-457B-9B20-3F283325BE0A}"/>
    <cellStyle name="40% - 强调文字颜色 6 5 2 3" xfId="10080" xr:uid="{EF29F48B-49AA-4F20-80B2-F1AF75591BB9}"/>
    <cellStyle name="40% - 强调文字颜色 6 5 2 4" xfId="19635" xr:uid="{C44170CC-A6C1-4CFF-893A-C8ABFEC2560B}"/>
    <cellStyle name="40% - 强调文字颜色 6 5 3" xfId="4732" xr:uid="{9D70104C-DB72-4BCD-81B9-D89C4086BBD1}"/>
    <cellStyle name="40% - 强调文字颜色 6 5 3 2" xfId="4733" xr:uid="{DE4CB761-8160-4A53-9C2B-40BDB61B643F}"/>
    <cellStyle name="40% - 强调文字颜色 6 5 3 3" xfId="10081" xr:uid="{263CEE9A-FAFB-43D9-93C0-C7040E48A635}"/>
    <cellStyle name="40% - 强调文字颜色 6 5 3 4" xfId="19637" xr:uid="{E5A2814C-4CE7-4BC7-9AAF-A0C4054FDDE6}"/>
    <cellStyle name="40% - 强调文字颜色 6 5 4" xfId="4734" xr:uid="{2F3CEE28-BB18-4AFA-8FEB-1D246956D7B1}"/>
    <cellStyle name="40% - 强调文字颜色 6 5 4 2" xfId="4735" xr:uid="{A70708CE-D500-49DF-9D34-2F95FB9D0A4D}"/>
    <cellStyle name="40% - 强调文字颜色 6 5 4 3" xfId="19638" xr:uid="{539F0D21-2DB9-4BF6-BDB1-3FB7CC141718}"/>
    <cellStyle name="40% - 强调文字颜色 6 5 5" xfId="4736" xr:uid="{E0863977-7E1E-4351-A8CF-935F60B98CE8}"/>
    <cellStyle name="40% - 强调文字颜色 6 5 5 2" xfId="4737" xr:uid="{2A9E0FCB-88BF-4F4F-BED7-39EBC349355B}"/>
    <cellStyle name="40% - 强调文字颜色 6 5 6" xfId="4738" xr:uid="{68840806-7B76-4A95-958F-32454FFCA077}"/>
    <cellStyle name="40% - 强调文字颜色 6 5 6 2" xfId="4739" xr:uid="{0EC46C10-31E5-4BD6-AE67-5D54D279C833}"/>
    <cellStyle name="40% - 强调文字颜色 6 5 7" xfId="4740" xr:uid="{5A49AA13-CA16-4993-80F1-123C117E5E54}"/>
    <cellStyle name="40% - 强调文字颜色 6 5 7 2" xfId="4741" xr:uid="{138FD6D2-ECFA-475D-81AB-7B63FEB8EADF}"/>
    <cellStyle name="40% - 强调文字颜色 6 5 8" xfId="4744" xr:uid="{E9777C51-F9C1-47EA-9C1D-11E38E4C5972}"/>
    <cellStyle name="40% - 强调文字颜色 6 5 8 2" xfId="4745" xr:uid="{73DE312D-9046-43C5-A066-B637D9B377F9}"/>
    <cellStyle name="40% - 强调文字颜色 6 5 9" xfId="4746" xr:uid="{28D9AC1C-6DD7-423B-80D3-835196F7D925}"/>
    <cellStyle name="40% - 强调文字颜色 6 50" xfId="4709" xr:uid="{A46B65EC-6C4C-48FD-AA28-13A2922192C6}"/>
    <cellStyle name="40% - 强调文字颜色 6 50 2" xfId="12689" xr:uid="{1EB1A1B7-3ABF-44E1-BD81-B821F0B403ED}"/>
    <cellStyle name="40% - 强调文字颜色 6 50 3" xfId="19639" xr:uid="{0CF86234-3625-4BE5-8D0D-0E628EA391E9}"/>
    <cellStyle name="40% - 强调文字颜色 6 51" xfId="4711" xr:uid="{37016D7E-ADDD-437A-B52C-EA7FEA17A870}"/>
    <cellStyle name="40% - 强调文字颜色 6 51 2" xfId="12690" xr:uid="{54F932D9-F5AB-4F05-8E87-BBBF38698783}"/>
    <cellStyle name="40% - 强调文字颜色 6 51 3" xfId="19640" xr:uid="{BBA45473-37F3-4761-AA3E-EFC670235F6A}"/>
    <cellStyle name="40% - 强调文字颜色 6 52" xfId="4713" xr:uid="{AB608E5D-19C6-43E0-BDC8-960DF71D0C84}"/>
    <cellStyle name="40% - 强调文字颜色 6 52 2" xfId="12691" xr:uid="{DCA69C01-C93D-4FE8-B446-67AD8853B760}"/>
    <cellStyle name="40% - 强调文字颜色 6 52 3" xfId="19641" xr:uid="{8DFA883A-15D3-46DA-A70D-D62C191CE4EC}"/>
    <cellStyle name="40% - 强调文字颜色 6 53" xfId="4715" xr:uid="{1C46A849-09C3-41AA-AC85-C3DF5D171861}"/>
    <cellStyle name="40% - 强调文字颜色 6 53 2" xfId="12692" xr:uid="{AFACDF00-5599-4DD8-BF7B-577D4A71E030}"/>
    <cellStyle name="40% - 强调文字颜色 6 53 3" xfId="19642" xr:uid="{11A54A43-1DE6-4DAE-B953-9CED021C886E}"/>
    <cellStyle name="40% - 强调文字颜色 6 54" xfId="4717" xr:uid="{29330534-68C9-453A-87A4-EA6906E91392}"/>
    <cellStyle name="40% - 强调文字颜色 6 54 2" xfId="12693" xr:uid="{E4E70B31-7900-4B92-99C9-AABD5CD36F85}"/>
    <cellStyle name="40% - 强调文字颜色 6 54 3" xfId="19643" xr:uid="{0B6A5AA3-960B-45C1-96B6-32EB894B03A5}"/>
    <cellStyle name="40% - 强调文字颜色 6 55" xfId="4747" xr:uid="{2C5B32DA-41C2-46B9-983E-204F124AEC67}"/>
    <cellStyle name="40% - 强调文字颜色 6 55 2" xfId="12694" xr:uid="{391660DA-81F4-437F-8CC6-253C6C82C38C}"/>
    <cellStyle name="40% - 强调文字颜色 6 55 3" xfId="19644" xr:uid="{2FED6258-9F45-4C99-9292-897111515720}"/>
    <cellStyle name="40% - 强调文字颜色 6 56" xfId="4749" xr:uid="{AF35C2C7-C99B-48C7-BC00-B5C4E552353B}"/>
    <cellStyle name="40% - 强调文字颜色 6 56 2" xfId="12695" xr:uid="{CD9D59C7-D4F5-4E85-9399-2550DBFA1C21}"/>
    <cellStyle name="40% - 强调文字颜色 6 56 3" xfId="19645" xr:uid="{31056243-7180-424E-B8F6-817C7C0B3B64}"/>
    <cellStyle name="40% - 强调文字颜色 6 57" xfId="4751" xr:uid="{D6B66651-24A5-45D6-9ABF-A2FD95A9DF91}"/>
    <cellStyle name="40% - 强调文字颜色 6 57 2" xfId="12696" xr:uid="{57A5BC52-25FD-421F-B4E0-C366CE4F3281}"/>
    <cellStyle name="40% - 强调文字颜色 6 58" xfId="4753" xr:uid="{1DD57B82-C959-484B-9177-FDAEEDB1C5E1}"/>
    <cellStyle name="40% - 强调文字颜色 6 58 2" xfId="12697" xr:uid="{6AE3F00A-A64B-4EDE-80ED-323C15FFAAA8}"/>
    <cellStyle name="40% - 强调文字颜色 6 59" xfId="4755" xr:uid="{6D5511C1-DF8C-4B1E-A000-D1F2F88B2C2B}"/>
    <cellStyle name="40% - 强调文字颜色 6 59 2" xfId="12698" xr:uid="{9B51E9AD-0189-4662-B12A-DAD587A12E32}"/>
    <cellStyle name="40% - 强调文字颜色 6 6" xfId="4757" xr:uid="{5FF2D2B0-1A4D-466A-AD0B-AC450607F4C8}"/>
    <cellStyle name="40% - 强调文字颜色 6 6 10" xfId="19646" xr:uid="{A853C636-5CFC-440B-BD37-274A43E1783B}"/>
    <cellStyle name="40% - 强调文字颜色 6 6 2" xfId="4758" xr:uid="{FE91EA6B-6107-4E49-A7A2-A0806933E26F}"/>
    <cellStyle name="40% - 强调文字颜色 6 6 2 2" xfId="10083" xr:uid="{946BBC75-BCCE-4DB6-971E-D34A7F20E4A3}"/>
    <cellStyle name="40% - 强调文字颜色 6 6 2 2 2" xfId="19648" xr:uid="{2CAA49C6-2E59-440D-A864-352C576A9604}"/>
    <cellStyle name="40% - 强调文字颜色 6 6 2 3" xfId="19647" xr:uid="{1C0216B6-6A70-4D2F-8C1C-576E593F4C3B}"/>
    <cellStyle name="40% - 强调文字颜色 6 6 3" xfId="4759" xr:uid="{DEBA1A0B-EC27-4F51-B9C4-E01984D634E6}"/>
    <cellStyle name="40% - 强调文字颜色 6 6 3 2" xfId="4760" xr:uid="{A04B097B-8BD3-473A-8C80-AEECE96E679C}"/>
    <cellStyle name="40% - 强调文字颜色 6 6 3 3" xfId="10084" xr:uid="{C22C01B8-67F6-4128-BD3A-9CED4105435C}"/>
    <cellStyle name="40% - 强调文字颜色 6 6 3 4" xfId="19649" xr:uid="{738523FA-6DF7-4A5E-A5C1-AC9EA4119E8D}"/>
    <cellStyle name="40% - 强调文字颜色 6 6 4" xfId="4761" xr:uid="{73509266-4842-4FC0-84B2-4E7EDFCE0B76}"/>
    <cellStyle name="40% - 强调文字颜色 6 6 4 2" xfId="4762" xr:uid="{F67AF2AA-8D11-4821-A5CB-47DAA3A8BBA6}"/>
    <cellStyle name="40% - 强调文字颜色 6 6 4 3" xfId="19650" xr:uid="{778D12BC-06F8-4154-BDFC-F78000515EEA}"/>
    <cellStyle name="40% - 强调文字颜色 6 6 5" xfId="3098" xr:uid="{C5A89670-654E-4F9C-83AC-24183820973C}"/>
    <cellStyle name="40% - 强调文字颜色 6 6 6" xfId="4763" xr:uid="{B0B8D1A4-4895-4043-8FF7-9A14D3DCB061}"/>
    <cellStyle name="40% - 强调文字颜色 6 6 6 2" xfId="4764" xr:uid="{4630C9A8-B6A7-43D2-98D8-2A11E0B0AC14}"/>
    <cellStyle name="40% - 强调文字颜色 6 6 7" xfId="4765" xr:uid="{B053D04A-C7F8-41E6-A3DB-16145E8A9565}"/>
    <cellStyle name="40% - 强调文字颜色 6 6 7 2" xfId="4766" xr:uid="{0C97CFDB-31A2-4BF9-AB46-CEB70496B9E4}"/>
    <cellStyle name="40% - 强调文字颜色 6 6 8" xfId="10082" xr:uid="{85F59D64-442A-4988-B346-236E06155B95}"/>
    <cellStyle name="40% - 强调文字颜色 6 6 9" xfId="13340" xr:uid="{D9F8CB96-75C4-4F4F-A889-4817304BBD98}"/>
    <cellStyle name="40% - 强调文字颜色 6 60" xfId="4748" xr:uid="{F01E2D15-26CB-496E-9A0D-38A294688B17}"/>
    <cellStyle name="40% - 强调文字颜色 6 60 2" xfId="12700" xr:uid="{0495F0CB-62C5-4FE4-B285-906C45E8B38C}"/>
    <cellStyle name="40% - 强调文字颜色 6 61" xfId="4750" xr:uid="{0512CE6F-91D6-4DF1-882E-CFF35AA00C61}"/>
    <cellStyle name="40% - 强调文字颜色 6 61 2" xfId="12701" xr:uid="{2EFA0A08-9E04-4EB9-8805-DF613AC298A7}"/>
    <cellStyle name="40% - 强调文字颜色 6 62" xfId="4752" xr:uid="{8439B663-4455-4259-87D3-41CF538538F7}"/>
    <cellStyle name="40% - 强调文字颜色 6 62 2" xfId="12702" xr:uid="{65B668F7-27CA-4438-B54D-51D71401E94B}"/>
    <cellStyle name="40% - 强调文字颜色 6 63" xfId="4754" xr:uid="{B66B643F-FE6E-4BF8-9022-A1B8A7826CB2}"/>
    <cellStyle name="40% - 强调文字颜色 6 63 2" xfId="12703" xr:uid="{466EE15E-3BF4-4C5F-80D5-7B453D0EFFEC}"/>
    <cellStyle name="40% - 强调文字颜色 6 64" xfId="4756" xr:uid="{F9FB7291-C908-4376-BA05-45DF6B2664C3}"/>
    <cellStyle name="40% - 强调文字颜色 6 64 2" xfId="12704" xr:uid="{5F8AFA50-A260-4E95-ABDA-E1C663ACC662}"/>
    <cellStyle name="40% - 强调文字颜色 6 65" xfId="4767" xr:uid="{6FABDFC3-B7D2-4BFF-8EBC-48E1D26FA8F8}"/>
    <cellStyle name="40% - 强调文字颜色 6 65 2" xfId="12705" xr:uid="{64EFA29E-F40D-40ED-9E7E-CD9BA2BCEF7B}"/>
    <cellStyle name="40% - 强调文字颜色 6 66" xfId="4769" xr:uid="{49DE9B3E-62B6-42ED-B72E-2A83E1D28E33}"/>
    <cellStyle name="40% - 强调文字颜色 6 66 2" xfId="12706" xr:uid="{0D4C0A26-ABA9-46D2-A1B5-C20AFF741E18}"/>
    <cellStyle name="40% - 强调文字颜色 6 67" xfId="4771" xr:uid="{7C4A089B-DC35-44E6-B560-2B2525983142}"/>
    <cellStyle name="40% - 强调文字颜色 6 67 2" xfId="12707" xr:uid="{89030030-7450-4354-8560-47766CF1E06D}"/>
    <cellStyle name="40% - 强调文字颜色 6 68" xfId="4773" xr:uid="{93C085F0-C9B6-40AE-BA08-7BBF0C7BCF6E}"/>
    <cellStyle name="40% - 强调文字颜色 6 68 2" xfId="12708" xr:uid="{771B9491-7C57-48CA-95E3-F47233FE6BBC}"/>
    <cellStyle name="40% - 强调文字颜色 6 69" xfId="4775" xr:uid="{0ECB9DB7-08C4-4439-91E7-E823C4904036}"/>
    <cellStyle name="40% - 强调文字颜色 6 69 2" xfId="12709" xr:uid="{3707C148-C8D8-428E-95AC-753EC1A2CFE1}"/>
    <cellStyle name="40% - 强调文字颜色 6 7" xfId="4777" xr:uid="{2CFAB42A-FC47-472E-8112-0C625218BF27}"/>
    <cellStyle name="40% - 强调文字颜色 6 7 2" xfId="4778" xr:uid="{1F5B0265-12C7-45B7-9962-54312A005EB1}"/>
    <cellStyle name="40% - 强调文字颜色 6 7 2 2" xfId="4779" xr:uid="{F66C2223-197F-4F30-882A-DAE9592620C1}"/>
    <cellStyle name="40% - 强调文字颜色 6 7 2 2 2" xfId="19653" xr:uid="{C6390A04-E253-4A5F-8305-C089FF307422}"/>
    <cellStyle name="40% - 强调文字颜色 6 7 2 3" xfId="10086" xr:uid="{062A24A2-8CBE-488E-8D4F-2BD55C3538F2}"/>
    <cellStyle name="40% - 强调文字颜色 6 7 2 4" xfId="19652" xr:uid="{D72EB452-1C6B-43F6-A756-A01D22699DFD}"/>
    <cellStyle name="40% - 强调文字颜色 6 7 3" xfId="4780" xr:uid="{650FB6CF-95B4-4553-815B-2BF52BA8030C}"/>
    <cellStyle name="40% - 强调文字颜色 6 7 3 2" xfId="4781" xr:uid="{F3F88842-6419-4E34-91C1-E367393F9FB2}"/>
    <cellStyle name="40% - 强调文字颜色 6 7 3 3" xfId="10087" xr:uid="{42067343-BA1D-432F-8D4F-A3D846386345}"/>
    <cellStyle name="40% - 强调文字颜色 6 7 3 4" xfId="19654" xr:uid="{B851971A-1909-49C5-9DEB-7B31263F661E}"/>
    <cellStyle name="40% - 强调文字颜色 6 7 4" xfId="4782" xr:uid="{A99C7977-E624-42E4-8F15-CB2034A8D48E}"/>
    <cellStyle name="40% - 强调文字颜色 6 7 4 2" xfId="19655" xr:uid="{4C3B1DEC-5365-435A-AC02-4E1D7906C1B9}"/>
    <cellStyle name="40% - 强调文字颜色 6 7 5" xfId="3101" xr:uid="{5B307814-AA38-4998-9F40-A89D3B81C545}"/>
    <cellStyle name="40% - 强调文字颜色 6 7 5 2" xfId="4783" xr:uid="{E30308E4-1896-4E28-A964-A537AE200693}"/>
    <cellStyle name="40% - 强调文字颜色 6 7 6" xfId="4784" xr:uid="{B8FFCD59-90F6-4E26-8081-8A0F6B940C9B}"/>
    <cellStyle name="40% - 强调文字颜色 6 7 6 2" xfId="4785" xr:uid="{E32D8014-91E1-4214-B5CE-416BA1EF13B1}"/>
    <cellStyle name="40% - 强调文字颜色 6 7 7" xfId="10085" xr:uid="{56800029-5A9A-4595-96BF-B44FE1BBFBCF}"/>
    <cellStyle name="40% - 强调文字颜色 6 7 8" xfId="13320" xr:uid="{B0FBA51D-DB31-4423-A4D7-05971B170113}"/>
    <cellStyle name="40% - 强调文字颜色 6 7 9" xfId="19651" xr:uid="{89AD6ACB-1016-4E79-A412-ABC58CD690E3}"/>
    <cellStyle name="40% - 强调文字颜色 6 70" xfId="4768" xr:uid="{7A7C5FA1-58C0-4E98-9F53-4B45D6EC1294}"/>
    <cellStyle name="40% - 强调文字颜色 6 70 2" xfId="12711" xr:uid="{B9820AAE-1392-4792-BF3D-D0039B825082}"/>
    <cellStyle name="40% - 强调文字颜色 6 71" xfId="4770" xr:uid="{AE85BE8D-6B92-4FB6-BAC9-585692556429}"/>
    <cellStyle name="40% - 强调文字颜色 6 71 2" xfId="12712" xr:uid="{2A575984-9DB4-4D61-B7C0-6B0B3A7B54BD}"/>
    <cellStyle name="40% - 强调文字颜色 6 72" xfId="4772" xr:uid="{6A18CAB7-42F7-405A-8D58-60937BA74A41}"/>
    <cellStyle name="40% - 强调文字颜色 6 72 2" xfId="12713" xr:uid="{8209412D-1D64-464C-B034-CC83A96F399C}"/>
    <cellStyle name="40% - 强调文字颜色 6 73" xfId="4774" xr:uid="{5A99D658-03DA-4416-BFCC-CE90835D3FF7}"/>
    <cellStyle name="40% - 强调文字颜色 6 73 2" xfId="12714" xr:uid="{69DAA6F9-5D5E-493F-9D15-D2CDAC4B9017}"/>
    <cellStyle name="40% - 强调文字颜色 6 74" xfId="4776" xr:uid="{724B69E5-8434-48AA-B2E7-EAF0086C8B08}"/>
    <cellStyle name="40% - 强调文字颜色 6 74 2" xfId="12715" xr:uid="{5FE0F6C2-E243-4242-BD31-F6C4F3FF62A9}"/>
    <cellStyle name="40% - 强调文字颜色 6 75" xfId="4786" xr:uid="{8675A89C-78E3-4F54-8DB9-0E90695EBE7E}"/>
    <cellStyle name="40% - 强调文字颜色 6 75 2" xfId="12716" xr:uid="{9E860FDA-E6E0-40AE-B3C8-A6DE068466F1}"/>
    <cellStyle name="40% - 强调文字颜色 6 76" xfId="4788" xr:uid="{0855E86F-31AB-49B5-B94B-470305A5A492}"/>
    <cellStyle name="40% - 强调文字颜色 6 76 2" xfId="12717" xr:uid="{D57F43E5-1243-4550-A560-38A4891C7CAE}"/>
    <cellStyle name="40% - 强调文字颜色 6 77" xfId="4790" xr:uid="{7CD6DD11-D9B8-4163-AEEF-6EB909B4F168}"/>
    <cellStyle name="40% - 强调文字颜色 6 77 2" xfId="12718" xr:uid="{B71825F2-635A-4738-9CE1-7A068C16B083}"/>
    <cellStyle name="40% - 强调文字颜色 6 78" xfId="4792" xr:uid="{9BC8142B-CB0B-44A9-97AF-F7E2A193B24B}"/>
    <cellStyle name="40% - 强调文字颜色 6 78 2" xfId="12719" xr:uid="{E9DBBF83-6671-4E18-852D-C16BB2B03773}"/>
    <cellStyle name="40% - 强调文字颜色 6 79" xfId="4794" xr:uid="{8C3F891C-C040-4204-8E4C-5383EF9F6FA3}"/>
    <cellStyle name="40% - 强调文字颜色 6 79 2" xfId="12720" xr:uid="{F0BC0AD1-86EA-4DB7-A86E-3EF508EC88DE}"/>
    <cellStyle name="40% - 强调文字颜色 6 8" xfId="4796" xr:uid="{030112E3-B19B-48DE-827B-AB0EC6920C2C}"/>
    <cellStyle name="40% - 强调文字颜色 6 8 2" xfId="4797" xr:uid="{BC2DB41F-493A-40F2-AAC7-9C370B18BBD0}"/>
    <cellStyle name="40% - 强调文字颜色 6 8 2 2" xfId="4798" xr:uid="{8364304A-2D29-444E-BA5D-8EBB7CAD6D95}"/>
    <cellStyle name="40% - 强调文字颜色 6 8 2 2 2" xfId="19658" xr:uid="{51218ADE-093B-49D3-843E-0890EA9AEC3A}"/>
    <cellStyle name="40% - 强调文字颜色 6 8 2 3" xfId="10089" xr:uid="{75046404-8B28-464C-8D93-F27920C587EA}"/>
    <cellStyle name="40% - 强调文字颜色 6 8 2 4" xfId="19657" xr:uid="{C7F4A17B-1D2E-45D9-AC6F-98953139F978}"/>
    <cellStyle name="40% - 强调文字颜色 6 8 3" xfId="325" xr:uid="{44D6EEA5-53AD-445E-99CC-9470278F1FEA}"/>
    <cellStyle name="40% - 强调文字颜色 6 8 3 2" xfId="10090" xr:uid="{25596EEC-BBF2-491E-9C5B-064F747E7849}"/>
    <cellStyle name="40% - 强调文字颜色 6 8 3 3" xfId="19659" xr:uid="{56EFB95F-0564-4330-9AAC-1F24FE57EADF}"/>
    <cellStyle name="40% - 强调文字颜色 6 8 4" xfId="4320" xr:uid="{F79421BB-3D21-43E2-A217-DF74A6683128}"/>
    <cellStyle name="40% - 强调文字颜色 6 8 4 2" xfId="3879" xr:uid="{E3273C3D-22F7-44E3-B7DB-277337F48D53}"/>
    <cellStyle name="40% - 强调文字颜色 6 8 4 3" xfId="19660" xr:uid="{33E18342-6025-48FE-99D2-2C98D875765C}"/>
    <cellStyle name="40% - 强调文字颜色 6 8 5" xfId="4322" xr:uid="{A7A1CED0-F012-4F39-807C-E3F96C25D9FD}"/>
    <cellStyle name="40% - 强调文字颜色 6 8 5 2" xfId="4173" xr:uid="{A58C40F3-AFAF-46A6-B068-0F61BCD6F404}"/>
    <cellStyle name="40% - 强调文字颜色 6 8 6" xfId="4324" xr:uid="{52BDBAFC-EBAB-4017-AAF5-CFB610105974}"/>
    <cellStyle name="40% - 强调文字颜色 6 8 7" xfId="10088" xr:uid="{05CD5CEB-7894-42F3-BE74-B8D9240DE1B2}"/>
    <cellStyle name="40% - 强调文字颜色 6 8 8" xfId="13284" xr:uid="{3A80DBF3-8DCF-4F7F-8826-B04A10236306}"/>
    <cellStyle name="40% - 强调文字颜色 6 8 9" xfId="19656" xr:uid="{00A60683-BA74-4D67-8C3A-A88D38D301E5}"/>
    <cellStyle name="40% - 强调文字颜色 6 80" xfId="4787" xr:uid="{D4FDEDDA-568A-49E8-AC7D-8C2095A95DE5}"/>
    <cellStyle name="40% - 强调文字颜色 6 80 2" xfId="12721" xr:uid="{B733D2DA-926A-4C9B-B1C3-D937A034C361}"/>
    <cellStyle name="40% - 强调文字颜色 6 81" xfId="4789" xr:uid="{997DDD77-D454-4D63-B1A4-515C57625FE1}"/>
    <cellStyle name="40% - 强调文字颜色 6 81 2" xfId="12722" xr:uid="{2414C54D-C296-4867-9679-2C28D42E7B15}"/>
    <cellStyle name="40% - 强调文字颜色 6 82" xfId="4791" xr:uid="{7A1BF5E3-8BE5-4E65-AF3C-DAEE3EB47B08}"/>
    <cellStyle name="40% - 强调文字颜色 6 82 2" xfId="12723" xr:uid="{2524DD0D-2941-4E4D-B098-93FC5D132AA1}"/>
    <cellStyle name="40% - 强调文字颜色 6 83" xfId="4793" xr:uid="{71F1F38C-6A46-457B-81A8-3B559B227A10}"/>
    <cellStyle name="40% - 强调文字颜色 6 83 2" xfId="12724" xr:uid="{314A92C2-2179-4132-9A27-A65259374FC3}"/>
    <cellStyle name="40% - 强调文字颜色 6 84" xfId="4795" xr:uid="{BA48F8C8-9CDA-4842-A945-E2EA096C9531}"/>
    <cellStyle name="40% - 强调文字颜色 6 84 2" xfId="12725" xr:uid="{65542505-73A0-4F0D-87DE-466D6414AD47}"/>
    <cellStyle name="40% - 强调文字颜色 6 85" xfId="4799" xr:uid="{AB95E19B-36E3-496C-95A3-4446C8C8D07E}"/>
    <cellStyle name="40% - 强调文字颜色 6 86" xfId="4801" xr:uid="{44501862-C664-4F92-9838-F221D525B0B4}"/>
    <cellStyle name="40% - 强调文字颜色 6 86 2" xfId="4803" xr:uid="{5F1E14D6-9B34-40F0-BC18-A8C835007609}"/>
    <cellStyle name="40% - 强调文字颜色 6 87" xfId="4804" xr:uid="{8DB45D15-063D-40C9-9BE2-38BD93FE3CD8}"/>
    <cellStyle name="40% - 强调文字颜色 6 87 2" xfId="4805" xr:uid="{CB86B7FD-4D9C-416E-BB37-320CB0BEC424}"/>
    <cellStyle name="40% - 强调文字颜色 6 88" xfId="4806" xr:uid="{0F231C70-9807-49A9-BED1-974DB14CBFEE}"/>
    <cellStyle name="40% - 强调文字颜色 6 88 2" xfId="4807" xr:uid="{409A845C-DFBB-481D-8304-D7EA4F45D749}"/>
    <cellStyle name="40% - 强调文字颜色 6 89" xfId="4808" xr:uid="{CE831CA3-3CB9-4DB2-A1EF-37CF234D9DA0}"/>
    <cellStyle name="40% - 强调文字颜色 6 9" xfId="4809" xr:uid="{6ACE89AF-B282-4D51-8E59-670DC77965DD}"/>
    <cellStyle name="40% - 强调文字颜色 6 9 2" xfId="4810" xr:uid="{08835725-CED6-4AD1-B566-A49E87518652}"/>
    <cellStyle name="40% - 强调文字颜色 6 9 2 2" xfId="4811" xr:uid="{5FEB7B80-2A66-4A4B-8A40-7C4250E18263}"/>
    <cellStyle name="40% - 强调文字颜色 6 9 2 2 2" xfId="19663" xr:uid="{55E6410A-952B-4D18-9104-8A2CDFBD75FA}"/>
    <cellStyle name="40% - 强调文字颜色 6 9 2 3" xfId="10092" xr:uid="{BE6AD496-6091-44DC-A741-66839D909358}"/>
    <cellStyle name="40% - 强调文字颜色 6 9 2 4" xfId="19662" xr:uid="{68C175A2-157D-4156-B632-ADF57DD365AC}"/>
    <cellStyle name="40% - 强调文字颜色 6 9 3" xfId="4812" xr:uid="{36804F1D-C909-45A0-9A37-E3605A06BAC9}"/>
    <cellStyle name="40% - 强调文字颜色 6 9 3 2" xfId="10093" xr:uid="{608A4381-22E9-4708-A8C4-F34F08204C7E}"/>
    <cellStyle name="40% - 强调文字颜色 6 9 3 3" xfId="19664" xr:uid="{4A9A0728-D114-4772-8136-08350BE6D4C8}"/>
    <cellStyle name="40% - 强调文字颜色 6 9 4" xfId="4813" xr:uid="{3DD5823C-D12F-47ED-B4C9-E6E886BE0BFC}"/>
    <cellStyle name="40% - 强调文字颜色 6 9 4 2" xfId="4814" xr:uid="{69194E6C-C1A1-4EE4-8A93-A8AF405D9109}"/>
    <cellStyle name="40% - 强调文字颜色 6 9 4 3" xfId="19665" xr:uid="{9B286B7D-FF4D-4B82-B145-5E949053257B}"/>
    <cellStyle name="40% - 强调文字颜色 6 9 5" xfId="4815" xr:uid="{1FB83781-23F9-48AF-A946-C49081F3C16E}"/>
    <cellStyle name="40% - 强调文字颜色 6 9 5 2" xfId="4816" xr:uid="{EEA39A1B-043B-4E8D-A391-ADB32E12874A}"/>
    <cellStyle name="40% - 强调文字颜色 6 9 6" xfId="4817" xr:uid="{49CEC07A-35F6-4079-96D6-ED03A479FC5A}"/>
    <cellStyle name="40% - 强调文字颜色 6 9 7" xfId="10091" xr:uid="{93678F58-0420-4C03-8351-ACE5112D0E15}"/>
    <cellStyle name="40% - 强调文字颜色 6 9 8" xfId="13275" xr:uid="{CCA46A58-E77E-4116-93AE-4031693EFC02}"/>
    <cellStyle name="40% - 强调文字颜色 6 9 9" xfId="19661" xr:uid="{7676B03E-C01C-4710-82AD-9887803C7FDA}"/>
    <cellStyle name="40% - 强调文字颜色 6 90" xfId="4800" xr:uid="{DF245C56-C265-4739-9392-5BB30986E155}"/>
    <cellStyle name="40% - 强调文字颜色 6 91" xfId="4802" xr:uid="{B40F4B53-DFBD-40FB-9F42-C8B49CA6755B}"/>
    <cellStyle name="40% - 强调文字颜色 6 92" xfId="9358" xr:uid="{9A481BE9-6787-4012-8059-1A0B1F6A2403}"/>
    <cellStyle name="40% - 强调文字颜色 6 92 2" xfId="27145" xr:uid="{DF403901-471E-45D6-932D-856D2D7D6288}"/>
    <cellStyle name="40% - 强调文字颜色 6 93" xfId="10040" xr:uid="{A3B6C89E-B317-41A4-8F67-F16439B6A8A0}"/>
    <cellStyle name="40% - 强调文字颜色 6 94" xfId="13606" xr:uid="{EE21AF40-9E93-44CF-A480-BC8A94143354}"/>
    <cellStyle name="40% - 强调文字颜色 6 95" xfId="13449" xr:uid="{8A4D7F30-8F5B-4657-AC46-0B71DF5E6C9E}"/>
    <cellStyle name="40% - 着色 1" xfId="27824" builtinId="31" customBuiltin="1"/>
    <cellStyle name="40% - 着色 1 2" xfId="19667" xr:uid="{F3ECEC23-792D-4C30-95BA-958B9E4C6658}"/>
    <cellStyle name="40% - 着色 1 2 2" xfId="27704" xr:uid="{70DB521F-6CD5-4945-A339-3C4AFA42FCFE}"/>
    <cellStyle name="40% - 着色 1 3" xfId="19668" xr:uid="{6C9B2B22-D908-4AF5-A891-A2293AC2C9FA}"/>
    <cellStyle name="40% - 着色 1 3 2" xfId="27705" xr:uid="{947CC254-390B-408D-BC16-B21451DCC08F}"/>
    <cellStyle name="40% - 着色 1 4" xfId="19666" xr:uid="{45FF8F84-652B-4B66-B653-A631500D285A}"/>
    <cellStyle name="40% - 着色 2" xfId="27828" builtinId="35" customBuiltin="1"/>
    <cellStyle name="40% - 着色 2 2" xfId="19670" xr:uid="{027F64E3-E01E-4719-A437-918E6EB1D327}"/>
    <cellStyle name="40% - 着色 2 2 2" xfId="27706" xr:uid="{270B2A77-D451-4187-99F6-FA6300D0CC86}"/>
    <cellStyle name="40% - 着色 2 3" xfId="19671" xr:uid="{FC616CB2-F9A2-4A68-BCE1-18F2031D6AD2}"/>
    <cellStyle name="40% - 着色 2 3 2" xfId="27707" xr:uid="{914A636C-9D60-4AAA-A204-D12332A87C5A}"/>
    <cellStyle name="40% - 着色 2 4" xfId="19669" xr:uid="{A216CBA2-E643-448C-B976-AF2884A20885}"/>
    <cellStyle name="40% - 着色 3" xfId="27832" builtinId="39" customBuiltin="1"/>
    <cellStyle name="40% - 着色 3 2" xfId="19673" xr:uid="{863E3502-AFB3-474B-9685-496F20C0CFA3}"/>
    <cellStyle name="40% - 着色 3 2 2" xfId="27708" xr:uid="{287FACEC-3A57-44BB-B068-A5D0C04C4D55}"/>
    <cellStyle name="40% - 着色 3 3" xfId="19674" xr:uid="{1FDE6C6D-57C8-49CF-A847-9917DD7308D7}"/>
    <cellStyle name="40% - 着色 3 3 2" xfId="27709" xr:uid="{863F930B-25DB-4BFA-B218-346447E308F0}"/>
    <cellStyle name="40% - 着色 3 4" xfId="19672" xr:uid="{9EA8D25B-7A8E-4F97-A74F-AD08E87385B5}"/>
    <cellStyle name="40% - 着色 4" xfId="27836" builtinId="43" customBuiltin="1"/>
    <cellStyle name="40% - 着色 4 2" xfId="19676" xr:uid="{7D3AD42A-80AF-4FA6-960D-8FF3EE349FA4}"/>
    <cellStyle name="40% - 着色 4 2 2" xfId="27710" xr:uid="{756CCAB7-B0D3-43AE-BA97-11D0C076FE81}"/>
    <cellStyle name="40% - 着色 4 3" xfId="19677" xr:uid="{2892DAA5-7054-442F-9E69-35A1F5E55695}"/>
    <cellStyle name="40% - 着色 4 3 2" xfId="27711" xr:uid="{5D335598-B029-4984-8779-F22E2F089974}"/>
    <cellStyle name="40% - 着色 4 4" xfId="19675" xr:uid="{3D5D10E2-B30C-4A19-B841-941D916DE9E0}"/>
    <cellStyle name="40% - 着色 5" xfId="27840" builtinId="47" customBuiltin="1"/>
    <cellStyle name="40% - 着色 5 2" xfId="19679" xr:uid="{5216A92E-AE58-46EE-B54C-63677166B279}"/>
    <cellStyle name="40% - 着色 5 2 2" xfId="27712" xr:uid="{7AAD8DF2-B8E7-4BCB-A771-E588E2F69326}"/>
    <cellStyle name="40% - 着色 5 3" xfId="19680" xr:uid="{4FAA2F64-ED64-4F9E-9942-381B2D904A56}"/>
    <cellStyle name="40% - 着色 5 3 2" xfId="27713" xr:uid="{4293CFB7-FEF3-4F7C-8BBD-CD6281A5898B}"/>
    <cellStyle name="40% - 着色 5 4" xfId="19678" xr:uid="{D8C53B03-F11F-465C-BF5A-EAF7F77A6ACA}"/>
    <cellStyle name="40% - 着色 6" xfId="27844" builtinId="51" customBuiltin="1"/>
    <cellStyle name="40% - 着色 6 2" xfId="19682" xr:uid="{C915D150-D3B2-400B-BADB-5BF26EB1BD83}"/>
    <cellStyle name="40% - 着色 6 2 2" xfId="27714" xr:uid="{112E3204-69B6-4E1B-B3F3-421CC966F7C3}"/>
    <cellStyle name="40% - 着色 6 3" xfId="19683" xr:uid="{68BD8932-87EF-47E0-AF86-96E240A8922E}"/>
    <cellStyle name="40% - 着色 6 3 2" xfId="27715" xr:uid="{FEC672B6-D015-452C-BDD7-10BD25936743}"/>
    <cellStyle name="40% - 着色 6 4" xfId="19681" xr:uid="{A57DAE95-99C9-4A3E-87F2-06449CC3366E}"/>
    <cellStyle name="60% - Accent1" xfId="4818" xr:uid="{C1C372BE-8650-4306-9BB3-5CEC62E6BC7A}"/>
    <cellStyle name="60% - Accent1 2" xfId="10095" xr:uid="{75C38164-36CD-47FD-B222-DD2B5E0ECCE9}"/>
    <cellStyle name="60% - Accent1 2 2" xfId="10096" xr:uid="{12419A91-8AFD-443C-83B4-79703F0B3880}"/>
    <cellStyle name="60% - Accent1 3" xfId="10097" xr:uid="{43F987B1-1290-49AE-ADBE-DFFD981D9658}"/>
    <cellStyle name="60% - Accent1 3 2" xfId="10098" xr:uid="{32D2061D-EB0D-424F-9AA0-51BBDBE7F3D6}"/>
    <cellStyle name="60% - Accent1 3 3" xfId="19684" xr:uid="{8FC532CF-AB3D-44DF-8430-58A3A5FBAC98}"/>
    <cellStyle name="60% - Accent1 4" xfId="10094" xr:uid="{A8EC9678-FE7A-4954-97BE-B36A3B68EAE2}"/>
    <cellStyle name="60% - Accent1 4 2" xfId="19685" xr:uid="{EC004624-4A5D-4FAC-BC1E-02DFC50FB5E2}"/>
    <cellStyle name="60% - Accent1 5" xfId="19686" xr:uid="{213691AC-4120-4822-90D9-7F8596157D98}"/>
    <cellStyle name="60% - Accent1 6" xfId="19687" xr:uid="{0160B64B-C5BE-48F2-9ACF-B32D5F3FBB95}"/>
    <cellStyle name="60% - Accent1 7" xfId="19688" xr:uid="{4CA00991-86C5-4680-9D80-B96BAAC9BC7F}"/>
    <cellStyle name="60% - Accent1_球团工序" xfId="19689" xr:uid="{98A51264-D087-4228-895F-707EE6AA83ED}"/>
    <cellStyle name="60% - Accent2" xfId="4819" xr:uid="{EBC88D94-10A6-4095-B7DE-9E56844EA62E}"/>
    <cellStyle name="60% - Accent2 2" xfId="10100" xr:uid="{73494C0D-502D-4C71-81F2-3FEA8C91A2C4}"/>
    <cellStyle name="60% - Accent2 2 2" xfId="10101" xr:uid="{B5EC684A-46C8-4D7F-A248-EB72082E3BD9}"/>
    <cellStyle name="60% - Accent2 3" xfId="10102" xr:uid="{B0B0F257-B54F-462F-9CE2-3D07F567916F}"/>
    <cellStyle name="60% - Accent2 3 2" xfId="10103" xr:uid="{54093FD9-A86B-4F61-8498-C34F9416BB91}"/>
    <cellStyle name="60% - Accent2 3 3" xfId="19690" xr:uid="{F14737F2-64E3-4519-AA5C-06235B1E3A2D}"/>
    <cellStyle name="60% - Accent2 4" xfId="10099" xr:uid="{78083D23-9148-424F-97B6-0A9B7B25E9FE}"/>
    <cellStyle name="60% - Accent2 4 2" xfId="19691" xr:uid="{831D9981-0A53-424B-A188-77C1E540F7B9}"/>
    <cellStyle name="60% - Accent2 5" xfId="19692" xr:uid="{6944E183-1451-4237-95B0-F9E4A6F27558}"/>
    <cellStyle name="60% - Accent2 6" xfId="19693" xr:uid="{771F99A3-B72D-4A40-93FF-A26488A84F7C}"/>
    <cellStyle name="60% - Accent2 7" xfId="19694" xr:uid="{0A192DA3-D0D2-455C-BBF6-B6DFED1AA872}"/>
    <cellStyle name="60% - Accent2_球团工序" xfId="19695" xr:uid="{5C361BDF-BD88-485F-A491-07C9D8E4AD51}"/>
    <cellStyle name="60% - Accent3" xfId="4820" xr:uid="{9BC08B4B-2B4D-4F12-8D62-78713467E608}"/>
    <cellStyle name="60% - Accent3 2" xfId="10105" xr:uid="{26656F6B-F9F6-4C6F-ADB2-CDD29746A673}"/>
    <cellStyle name="60% - Accent3 2 2" xfId="10106" xr:uid="{0C32F906-1025-40BF-A1BD-8E20F6323111}"/>
    <cellStyle name="60% - Accent3 3" xfId="10107" xr:uid="{4A323999-7E23-491E-8DE6-9585BA40DEC5}"/>
    <cellStyle name="60% - Accent3 3 2" xfId="10108" xr:uid="{0BA4D158-086A-443A-B29E-4511B721D6D9}"/>
    <cellStyle name="60% - Accent3 3 3" xfId="19696" xr:uid="{0278FA89-CBD5-4B9F-AF89-0BB6A866CC32}"/>
    <cellStyle name="60% - Accent3 4" xfId="10104" xr:uid="{438AE604-655B-4760-B243-72C6E7F39756}"/>
    <cellStyle name="60% - Accent3 4 2" xfId="19697" xr:uid="{3E3E03A6-C216-4074-8A3A-A2C889F5C370}"/>
    <cellStyle name="60% - Accent3 5" xfId="19698" xr:uid="{8BA49137-5B34-4D89-A6F1-78AFE2E8A418}"/>
    <cellStyle name="60% - Accent3 6" xfId="19699" xr:uid="{3045CF66-C2F3-4B7A-8304-22657A360C8A}"/>
    <cellStyle name="60% - Accent3 7" xfId="19700" xr:uid="{1A152464-2440-4912-BA12-F977D4C56867}"/>
    <cellStyle name="60% - Accent3_球团工序" xfId="19701" xr:uid="{7632FCEF-1B83-49AB-B347-4323703BE8F4}"/>
    <cellStyle name="60% - Accent4" xfId="4821" xr:uid="{1795A87D-1447-426B-BE8A-7CE92ED96962}"/>
    <cellStyle name="60% - Accent4 2" xfId="10110" xr:uid="{2A24CF03-A518-4819-B208-036368F939DA}"/>
    <cellStyle name="60% - Accent4 2 2" xfId="10111" xr:uid="{0BCAD099-A0E6-4379-8115-4A5B92C4A008}"/>
    <cellStyle name="60% - Accent4 3" xfId="10112" xr:uid="{2B7E25A1-6619-44AE-9471-C10BC26E310C}"/>
    <cellStyle name="60% - Accent4 3 2" xfId="10113" xr:uid="{3E3ADABA-E94A-49E9-A773-AE7F04ED8252}"/>
    <cellStyle name="60% - Accent4 3 3" xfId="19702" xr:uid="{3D5070D1-9203-4001-92E9-257DA144ED85}"/>
    <cellStyle name="60% - Accent4 4" xfId="10109" xr:uid="{C4DB553D-022D-43B9-9BC2-9E43C5D41E64}"/>
    <cellStyle name="60% - Accent4 4 2" xfId="19703" xr:uid="{7D865785-3822-4274-A453-FB59990EEF77}"/>
    <cellStyle name="60% - Accent4 5" xfId="19704" xr:uid="{BCD63390-AC1D-4E70-897C-F79F3965E1C7}"/>
    <cellStyle name="60% - Accent4 6" xfId="19705" xr:uid="{997C5129-1D3C-4918-94E9-6F4FDEE30E89}"/>
    <cellStyle name="60% - Accent4 7" xfId="19706" xr:uid="{DE9788FC-6BEB-4FE9-8E07-0988973AACE9}"/>
    <cellStyle name="60% - Accent4_球团工序" xfId="19707" xr:uid="{6C216AFA-C749-43EE-BC93-D0F21FA07F4A}"/>
    <cellStyle name="60% - Accent5" xfId="4822" xr:uid="{2CB3DC7E-2868-4C77-B426-789D37A852C9}"/>
    <cellStyle name="60% - Accent5 2" xfId="10115" xr:uid="{A60917D9-401D-436B-A11D-7CEB79A92427}"/>
    <cellStyle name="60% - Accent5 2 2" xfId="10116" xr:uid="{17074D57-9C91-46B7-845A-C53E3E9A3372}"/>
    <cellStyle name="60% - Accent5 3" xfId="10117" xr:uid="{A48C829E-FC7C-41F6-9FDE-E6FCDC2590E1}"/>
    <cellStyle name="60% - Accent5 3 2" xfId="10118" xr:uid="{B134005D-8060-47A0-9BB2-FF3C50E4CC8E}"/>
    <cellStyle name="60% - Accent5 3 3" xfId="19708" xr:uid="{7537ED96-7A80-4836-8A20-3B40C735BD68}"/>
    <cellStyle name="60% - Accent5 4" xfId="10114" xr:uid="{5CFB7814-8DFA-433C-9175-698598A8C979}"/>
    <cellStyle name="60% - Accent5 4 2" xfId="19709" xr:uid="{3F978D5C-8FDD-466F-B7CE-1AC0AB118811}"/>
    <cellStyle name="60% - Accent5 5" xfId="19710" xr:uid="{A5123E8A-C0DD-4C75-8743-644FE3A70E69}"/>
    <cellStyle name="60% - Accent5 6" xfId="19711" xr:uid="{391B60C4-B885-43B6-BC8C-5A1E039ED844}"/>
    <cellStyle name="60% - Accent5 7" xfId="19712" xr:uid="{F0FA5A31-EB14-440F-93C2-6F77E81B02DA}"/>
    <cellStyle name="60% - Accent5_球团工序" xfId="19713" xr:uid="{72422EDE-95B5-4D93-9873-CC1FBAF9E78C}"/>
    <cellStyle name="60% - Accent6" xfId="4823" xr:uid="{DEE204D5-7B46-466A-8468-37DEF16976E4}"/>
    <cellStyle name="60% - Accent6 2" xfId="10120" xr:uid="{DC460EF4-A5A5-4019-BD55-AA27837231A8}"/>
    <cellStyle name="60% - Accent6 2 2" xfId="10121" xr:uid="{5BF49A32-3FE3-4746-9600-CE7575FC05FE}"/>
    <cellStyle name="60% - Accent6 3" xfId="10122" xr:uid="{3620E2A0-158A-4A8D-917D-AB7253D86E6E}"/>
    <cellStyle name="60% - Accent6 3 2" xfId="10123" xr:uid="{BA6A11ED-5FA7-429B-8497-ADBB01DD4C00}"/>
    <cellStyle name="60% - Accent6 3 3" xfId="19714" xr:uid="{7DD90EC0-6148-405E-849B-AE3CF0F22B74}"/>
    <cellStyle name="60% - Accent6 4" xfId="10119" xr:uid="{55DD7756-59C4-4F6D-BF42-498EB1674D34}"/>
    <cellStyle name="60% - Accent6 4 2" xfId="19715" xr:uid="{8DC1BF70-1E14-490D-8F85-CAA8BC1F3DE0}"/>
    <cellStyle name="60% - Accent6 5" xfId="19716" xr:uid="{97DD9D1D-9297-40B0-99B6-AED01963853E}"/>
    <cellStyle name="60% - Accent6 6" xfId="19717" xr:uid="{BB1B44E8-73D6-406F-88A2-EB5583E7CE2D}"/>
    <cellStyle name="60% - Accent6 7" xfId="19718" xr:uid="{1FF029D4-39A3-410C-ACED-6B7B909B1C27}"/>
    <cellStyle name="60% - Accent6_球团工序" xfId="19719" xr:uid="{F14F39AF-5A7E-4B8D-8E6A-516219B56555}"/>
    <cellStyle name="60% - 强调文字颜色 1" xfId="4824" xr:uid="{E70D628A-96C2-4B29-B4F4-80EFA1F365CA}"/>
    <cellStyle name="60% - 强调文字颜色 1 10" xfId="4825" xr:uid="{B821D39A-C414-41E8-B4C4-BC7926BBB5E8}"/>
    <cellStyle name="60% - 强调文字颜色 1 10 2" xfId="10126" xr:uid="{70844D1A-4CA2-427A-B14B-DBE6BC85F32D}"/>
    <cellStyle name="60% - 强调文字颜色 1 10 2 2" xfId="19722" xr:uid="{BDE442EB-C91E-4A92-AD8D-27544B6726E2}"/>
    <cellStyle name="60% - 强调文字颜色 1 10 2 3" xfId="19721" xr:uid="{084A2612-B18F-4FCA-AF76-D77739241D00}"/>
    <cellStyle name="60% - 强调文字颜色 1 10 3" xfId="10127" xr:uid="{3F89DF42-3B36-4D6E-807D-CD6B30FAD5AA}"/>
    <cellStyle name="60% - 强调文字颜色 1 10 3 2" xfId="19723" xr:uid="{67C1D227-80B1-4802-85D0-C1F9E868F0CF}"/>
    <cellStyle name="60% - 强调文字颜色 1 10 4" xfId="10125" xr:uid="{5C97D34D-35E7-4C83-871C-4ECACD7FE29F}"/>
    <cellStyle name="60% - 强调文字颜色 1 10 4 2" xfId="19724" xr:uid="{C2251091-A848-47E3-AC98-1ADE6E897998}"/>
    <cellStyle name="60% - 强调文字颜色 1 10 5" xfId="19720" xr:uid="{189C566C-CD7E-4F89-95ED-4AD4B3A5298B}"/>
    <cellStyle name="60% - 强调文字颜色 1 11" xfId="4826" xr:uid="{A69593F9-0283-4C1A-9182-73DF7008680D}"/>
    <cellStyle name="60% - 强调文字颜色 1 11 2" xfId="10129" xr:uid="{21732091-EB40-489F-9E17-C4A6C9912C08}"/>
    <cellStyle name="60% - 强调文字颜色 1 11 2 2" xfId="19727" xr:uid="{2C7C3095-11E2-41C3-B43B-AC31BA53E51F}"/>
    <cellStyle name="60% - 强调文字颜色 1 11 2 3" xfId="19726" xr:uid="{FB419498-82DF-4600-8DB4-6EC25E29261D}"/>
    <cellStyle name="60% - 强调文字颜色 1 11 3" xfId="10130" xr:uid="{2EBB9EC9-D423-46AC-9B56-AC12AA3AC86F}"/>
    <cellStyle name="60% - 强调文字颜色 1 11 3 2" xfId="19728" xr:uid="{FB0F1BFB-5DAC-4879-A64F-2EEE5C73BC8B}"/>
    <cellStyle name="60% - 强调文字颜色 1 11 4" xfId="10128" xr:uid="{A12F2576-1CF9-418C-860A-2AE45CF018EF}"/>
    <cellStyle name="60% - 强调文字颜色 1 11 4 2" xfId="19729" xr:uid="{AE8AFD12-1859-42E5-BFA4-42FD8FB556ED}"/>
    <cellStyle name="60% - 强调文字颜色 1 11 5" xfId="19725" xr:uid="{E40FEF54-2D17-4F9F-BF62-545210228934}"/>
    <cellStyle name="60% - 强调文字颜色 1 12" xfId="4827" xr:uid="{44DB140A-332D-4390-BA8E-A5E2EA09851B}"/>
    <cellStyle name="60% - 强调文字颜色 1 12 2" xfId="10132" xr:uid="{836F04BE-82C3-483C-A52B-22E38D3CBA16}"/>
    <cellStyle name="60% - 强调文字颜色 1 12 2 2" xfId="19732" xr:uid="{EE8B4D53-009A-4007-AA59-CEBF766D1A30}"/>
    <cellStyle name="60% - 强调文字颜色 1 12 2 3" xfId="19731" xr:uid="{2FFC1CB7-ECBB-437A-8936-F6CCEA1A8100}"/>
    <cellStyle name="60% - 强调文字颜色 1 12 3" xfId="10133" xr:uid="{9B077BEF-0E75-419C-BD7E-F35ED62BC7EC}"/>
    <cellStyle name="60% - 强调文字颜色 1 12 3 2" xfId="19733" xr:uid="{EEA6824A-3286-4921-9E44-2E2504F82950}"/>
    <cellStyle name="60% - 强调文字颜色 1 12 4" xfId="10131" xr:uid="{1414A60A-70B2-409A-986E-CFC0E6D7FD2F}"/>
    <cellStyle name="60% - 强调文字颜色 1 12 4 2" xfId="19734" xr:uid="{E5E02A54-1479-44F5-BF93-28EDD402E03E}"/>
    <cellStyle name="60% - 强调文字颜色 1 12 5" xfId="19730" xr:uid="{765A0F43-598E-4FDC-A55E-3DA7AB17055D}"/>
    <cellStyle name="60% - 强调文字颜色 1 13" xfId="4828" xr:uid="{9F3AC2FA-497C-43EE-B9DE-24271B25D3D9}"/>
    <cellStyle name="60% - 强调文字颜色 1 13 2" xfId="10135" xr:uid="{8ACB830C-CCAD-4735-9963-B6D2480E40C6}"/>
    <cellStyle name="60% - 强调文字颜色 1 13 2 2" xfId="19737" xr:uid="{EFDD86A1-C20C-4165-ACC6-8E87A85C10A5}"/>
    <cellStyle name="60% - 强调文字颜色 1 13 2 3" xfId="19736" xr:uid="{9AC9AAA8-B920-497E-93E5-DDD67D3F469B}"/>
    <cellStyle name="60% - 强调文字颜色 1 13 3" xfId="10136" xr:uid="{8A0E2210-8734-44E6-9140-71E81C80F2C5}"/>
    <cellStyle name="60% - 强调文字颜色 1 13 3 2" xfId="19738" xr:uid="{F9A97570-38B0-47AF-A516-621BA402D15A}"/>
    <cellStyle name="60% - 强调文字颜色 1 13 4" xfId="10134" xr:uid="{CC27CF3A-BD63-420C-8239-287B2C581510}"/>
    <cellStyle name="60% - 强调文字颜色 1 13 4 2" xfId="19739" xr:uid="{637A16E8-C4C9-44DC-BA80-9563BCD18720}"/>
    <cellStyle name="60% - 强调文字颜色 1 13 5" xfId="19735" xr:uid="{85190DC5-2B0D-42A0-A813-F6B0441C7440}"/>
    <cellStyle name="60% - 强调文字颜色 1 14" xfId="4829" xr:uid="{0A2B278D-7088-45D3-8A8D-74ED45895079}"/>
    <cellStyle name="60% - 强调文字颜色 1 14 2" xfId="10138" xr:uid="{A2135977-41CA-41E3-B4E4-EC35755C3930}"/>
    <cellStyle name="60% - 强调文字颜色 1 14 2 2" xfId="19742" xr:uid="{0EBE2408-CCF8-496C-A954-669C00193CC9}"/>
    <cellStyle name="60% - 强调文字颜色 1 14 2 3" xfId="19741" xr:uid="{5871A900-F453-4909-A52F-3E94C3764B1B}"/>
    <cellStyle name="60% - 强调文字颜色 1 14 3" xfId="10139" xr:uid="{BD14E4DE-190A-4C88-907D-565C0892C584}"/>
    <cellStyle name="60% - 强调文字颜色 1 14 3 2" xfId="19743" xr:uid="{B3A6A562-314E-43D6-A91B-9FF77EC4E2EB}"/>
    <cellStyle name="60% - 强调文字颜色 1 14 4" xfId="10137" xr:uid="{480B3409-3864-4E79-8F76-3E0D8F0FAEE6}"/>
    <cellStyle name="60% - 强调文字颜色 1 14 4 2" xfId="19744" xr:uid="{4C586B1D-6AF4-4FC9-9071-74128D5E06EF}"/>
    <cellStyle name="60% - 强调文字颜色 1 14 5" xfId="19740" xr:uid="{18AF8DDA-DC05-45BC-A8C3-A383454D7AB7}"/>
    <cellStyle name="60% - 强调文字颜色 1 15" xfId="4830" xr:uid="{DD54A109-5F4C-4BBB-8B5D-02078D038141}"/>
    <cellStyle name="60% - 强调文字颜色 1 15 2" xfId="10141" xr:uid="{5561C975-10B3-49F8-8B75-F2F8B581C696}"/>
    <cellStyle name="60% - 强调文字颜色 1 15 2 2" xfId="19747" xr:uid="{29835C1D-D185-4825-BB8A-57059E2F3EB5}"/>
    <cellStyle name="60% - 强调文字颜色 1 15 2 3" xfId="19746" xr:uid="{F3311797-927A-434C-8370-4A0528E580B6}"/>
    <cellStyle name="60% - 强调文字颜色 1 15 3" xfId="10142" xr:uid="{21980376-9255-4459-A0E9-66B9930ECAB7}"/>
    <cellStyle name="60% - 强调文字颜色 1 15 3 2" xfId="19748" xr:uid="{56F6B8DB-E792-424D-860C-6794B7E4A274}"/>
    <cellStyle name="60% - 强调文字颜色 1 15 4" xfId="10140" xr:uid="{62D11987-1035-463B-A28D-2973CA834F9B}"/>
    <cellStyle name="60% - 强调文字颜色 1 15 4 2" xfId="19749" xr:uid="{B6139149-4DFB-48FC-BA56-B90A1C003D8E}"/>
    <cellStyle name="60% - 强调文字颜色 1 15 5" xfId="19745" xr:uid="{37CF901C-139A-421E-AE46-4212FD5A1E81}"/>
    <cellStyle name="60% - 强调文字颜色 1 16" xfId="4832" xr:uid="{2EFCD4CF-DC33-4B8C-8750-C441A392D953}"/>
    <cellStyle name="60% - 强调文字颜色 1 16 2" xfId="10144" xr:uid="{667DF214-5389-4FFC-B99B-C3121A58B078}"/>
    <cellStyle name="60% - 强调文字颜色 1 16 2 2" xfId="19752" xr:uid="{2C8C886F-427B-43D3-AE0D-6C71C5653493}"/>
    <cellStyle name="60% - 强调文字颜色 1 16 2 3" xfId="19751" xr:uid="{436D85AB-3DF7-4F43-9017-5D6A97F6370B}"/>
    <cellStyle name="60% - 强调文字颜色 1 16 3" xfId="10145" xr:uid="{E33EFEE9-4517-41CF-B061-30AF089D1E11}"/>
    <cellStyle name="60% - 强调文字颜色 1 16 3 2" xfId="19753" xr:uid="{03050E1C-67B1-4A36-8F8F-1F5F282047E2}"/>
    <cellStyle name="60% - 强调文字颜色 1 16 4" xfId="10143" xr:uid="{E905771B-15A2-4FCE-B060-ED284E010F6D}"/>
    <cellStyle name="60% - 强调文字颜色 1 16 4 2" xfId="19754" xr:uid="{455E29FC-795E-4F79-8D58-26AC5730343E}"/>
    <cellStyle name="60% - 强调文字颜色 1 16 5" xfId="19750" xr:uid="{6912ABC1-0690-4681-AB84-A58C449CA776}"/>
    <cellStyle name="60% - 强调文字颜色 1 17" xfId="4834" xr:uid="{861A0D91-3C52-402E-8D41-7B586431D71B}"/>
    <cellStyle name="60% - 强调文字颜色 1 17 2" xfId="10147" xr:uid="{757AE1C0-38D0-41C3-8CBA-2B2F841267B5}"/>
    <cellStyle name="60% - 强调文字颜色 1 17 2 2" xfId="19757" xr:uid="{84E3E65A-092D-4602-8E48-7F30B4E58E3D}"/>
    <cellStyle name="60% - 强调文字颜色 1 17 2 3" xfId="19756" xr:uid="{582323D3-8BB7-409E-A86C-D2C606C943C9}"/>
    <cellStyle name="60% - 强调文字颜色 1 17 3" xfId="10148" xr:uid="{74325009-ABE7-4143-BF61-45B98B417561}"/>
    <cellStyle name="60% - 强调文字颜色 1 17 3 2" xfId="19758" xr:uid="{1DD2D345-41EC-4B83-A5FC-026819EF866E}"/>
    <cellStyle name="60% - 强调文字颜色 1 17 4" xfId="10146" xr:uid="{A559D6E2-9637-4DE9-9749-8E65DFCC18E6}"/>
    <cellStyle name="60% - 强调文字颜色 1 17 4 2" xfId="19759" xr:uid="{1408DE42-2CD5-4C54-8590-F8B2FF64001C}"/>
    <cellStyle name="60% - 强调文字颜色 1 17 5" xfId="19755" xr:uid="{ADEF9B31-7DC5-4BB8-9788-8D3F5188E0C3}"/>
    <cellStyle name="60% - 强调文字颜色 1 18" xfId="4837" xr:uid="{A539D84D-29E7-4DD2-911A-54BA3A5CDD80}"/>
    <cellStyle name="60% - 强调文字颜色 1 18 2" xfId="10149" xr:uid="{25AB957D-AF0D-4B71-B00E-13829D755BFD}"/>
    <cellStyle name="60% - 强调文字颜色 1 18 2 2" xfId="19762" xr:uid="{7DAE1D89-5500-4B9E-9234-9DD33A257DBA}"/>
    <cellStyle name="60% - 强调文字颜色 1 18 2 3" xfId="19761" xr:uid="{B5E25A1E-512D-4893-84BC-998ED79A3509}"/>
    <cellStyle name="60% - 强调文字颜色 1 18 3" xfId="19763" xr:uid="{AC08592E-8C0F-4DAF-8494-C9637099551E}"/>
    <cellStyle name="60% - 强调文字颜色 1 18 4" xfId="19764" xr:uid="{D11DD435-A67E-4900-8DA9-A4E48E5F7103}"/>
    <cellStyle name="60% - 强调文字颜色 1 18 5" xfId="19760" xr:uid="{48B43ABB-014A-4625-B4F7-54A0ADD92678}"/>
    <cellStyle name="60% - 强调文字颜色 1 19" xfId="4839" xr:uid="{F9F657EF-246A-4CE6-A496-5EF79398FC83}"/>
    <cellStyle name="60% - 强调文字颜色 1 19 2" xfId="10150" xr:uid="{49A7DB13-F97E-4CE5-935A-CB8CB92D5C95}"/>
    <cellStyle name="60% - 强调文字颜色 1 19 2 2" xfId="19767" xr:uid="{91AF4E13-641E-47C0-BAA7-BB0326D0D6F9}"/>
    <cellStyle name="60% - 强调文字颜色 1 19 2 3" xfId="19766" xr:uid="{758F45B3-AC0D-4B39-ACDA-0044B39C69F0}"/>
    <cellStyle name="60% - 强调文字颜色 1 19 3" xfId="19768" xr:uid="{62B2EEC6-FCDD-4906-9E9D-D7376940E770}"/>
    <cellStyle name="60% - 强调文字颜色 1 19 4" xfId="19769" xr:uid="{4086063B-1BE3-4819-9315-2AF5F25851C6}"/>
    <cellStyle name="60% - 强调文字颜色 1 19 5" xfId="19765" xr:uid="{F18B0998-C4F5-4E99-AFDC-BB323EC76B2D}"/>
    <cellStyle name="60% - 强调文字颜色 1 2" xfId="2352" xr:uid="{0C7C6486-0A25-47AA-AD90-A1EC7CF4925B}"/>
    <cellStyle name="60% - 强调文字颜色 1 2 10" xfId="4841" xr:uid="{690D92F5-AD6E-4819-AADD-52241F598F7A}"/>
    <cellStyle name="60% - 强调文字颜色 1 2 11" xfId="4842" xr:uid="{6874A9B8-FF21-418C-98F9-CF8DAF490648}"/>
    <cellStyle name="60% - 强调文字颜色 1 2 12" xfId="4843" xr:uid="{C35D3FFD-7068-4B14-BD29-FC64FCEE5081}"/>
    <cellStyle name="60% - 强调文字颜色 1 2 13" xfId="4844" xr:uid="{55E7715A-1003-404C-A657-9887B48D457E}"/>
    <cellStyle name="60% - 强调文字颜色 1 2 14" xfId="4845" xr:uid="{957331DA-8E7B-43C4-8F3D-C18DA7419E05}"/>
    <cellStyle name="60% - 强调文字颜色 1 2 15" xfId="10151" xr:uid="{6ED9E721-E7DE-432E-B82F-0991B44CF655}"/>
    <cellStyle name="60% - 强调文字颜色 1 2 16" xfId="12176" xr:uid="{C092BE8B-0C65-4BD1-95E6-955A41477EE2}"/>
    <cellStyle name="60% - 强调文字颜色 1 2 2" xfId="4846" xr:uid="{7A355EBD-47D6-471E-AF4C-91FA66D6770F}"/>
    <cellStyle name="60% - 强调文字颜色 1 2 2 2" xfId="10152" xr:uid="{39A99D8F-3AA7-4B15-B326-36D3B840C4F9}"/>
    <cellStyle name="60% - 强调文字颜色 1 2 2 2 2" xfId="19771" xr:uid="{C0879BA8-30B0-4913-A3D6-31F26F0824B2}"/>
    <cellStyle name="60% - 强调文字颜色 1 2 2 3" xfId="19770" xr:uid="{E4BAA567-3A76-4D3D-9AF2-B5A0224C106A}"/>
    <cellStyle name="60% - 强调文字颜色 1 2 2 4" xfId="27327" xr:uid="{CE077B44-8261-4832-B1E0-5595B4C64325}"/>
    <cellStyle name="60% - 强调文字颜色 1 2 3" xfId="4847" xr:uid="{B453A514-3652-4C57-AF35-9907C0707AB4}"/>
    <cellStyle name="60% - 强调文字颜色 1 2 3 2" xfId="10153" xr:uid="{A6B5A387-5AED-47DF-9E15-787E9262CD7A}"/>
    <cellStyle name="60% - 强调文字颜色 1 2 3 2 2" xfId="19773" xr:uid="{17826438-4591-435B-9A3A-4A3A2BDAFA0A}"/>
    <cellStyle name="60% - 强调文字颜色 1 2 3 3" xfId="19772" xr:uid="{E03ACB7E-8845-4B39-9FA8-9C483FC85B53}"/>
    <cellStyle name="60% - 强调文字颜色 1 2 3 4" xfId="27328" xr:uid="{DDBF9C85-36C5-4763-A2FB-5A446331576F}"/>
    <cellStyle name="60% - 强调文字颜色 1 2 4" xfId="4848" xr:uid="{4FB501A7-DA26-4AB9-A5EF-8535D770E846}"/>
    <cellStyle name="60% - 强调文字颜色 1 2 4 2" xfId="19774" xr:uid="{38C9B970-290E-4621-9F38-5874A342213D}"/>
    <cellStyle name="60% - 强调文字颜色 1 2 4 3" xfId="27716" xr:uid="{D78D068D-1D5D-40DB-87DA-08461BA49CA5}"/>
    <cellStyle name="60% - 强调文字颜色 1 2 5" xfId="4849" xr:uid="{AE6F49A5-3879-4D45-ABAD-9A3D197BBBD7}"/>
    <cellStyle name="60% - 强调文字颜色 1 2 5 2" xfId="19775" xr:uid="{5723F60D-6D84-48FE-9C30-2590E94C45FB}"/>
    <cellStyle name="60% - 强调文字颜色 1 2 6" xfId="4850" xr:uid="{EC4CF635-D611-4E37-A5C5-A6F1ACAA30AA}"/>
    <cellStyle name="60% - 强调文字颜色 1 2 6 2" xfId="19776" xr:uid="{5CA5A62C-3392-4C22-A79B-C2B7C0805DF3}"/>
    <cellStyle name="60% - 强调文字颜色 1 2 7" xfId="4851" xr:uid="{074FE871-DFC1-426C-9E6F-3B6B68A9F0B7}"/>
    <cellStyle name="60% - 强调文字颜色 1 2 7 2" xfId="19777" xr:uid="{356A6756-56EA-413F-8155-4BA378E3C4B4}"/>
    <cellStyle name="60% - 强调文字颜色 1 2 8" xfId="4852" xr:uid="{7FA487A3-31BE-4641-91CB-B4FFB8B1BE6C}"/>
    <cellStyle name="60% - 强调文字颜色 1 2 9" xfId="4853" xr:uid="{33415F06-3A64-4858-82A4-E60980796A24}"/>
    <cellStyle name="60% - 强调文字颜色 1 2_动力部" xfId="19778" xr:uid="{78104AF3-0A00-4176-B55B-C43B0D57BB06}"/>
    <cellStyle name="60% - 强调文字颜色 1 20" xfId="4831" xr:uid="{F0B700C3-3BBE-4EBA-BA7B-4FD4EA2D191F}"/>
    <cellStyle name="60% - 强调文字颜色 1 20 2" xfId="10154" xr:uid="{9AB9A2EB-37BB-4760-8AFD-7115C057C9F1}"/>
    <cellStyle name="60% - 强调文字颜色 1 20 2 2" xfId="19781" xr:uid="{842C91E6-8189-4BA8-A9B5-91007237F700}"/>
    <cellStyle name="60% - 强调文字颜色 1 20 2 3" xfId="19780" xr:uid="{0D9EA2B8-B89E-4F3C-B375-F6BC7391D397}"/>
    <cellStyle name="60% - 强调文字颜色 1 20 3" xfId="19782" xr:uid="{6D14F9F4-BEE4-42C5-8836-E5C46233F3BC}"/>
    <cellStyle name="60% - 强调文字颜色 1 20 4" xfId="19783" xr:uid="{B24E45CE-D679-4E76-9466-F6E6CB46B41A}"/>
    <cellStyle name="60% - 强调文字颜色 1 20 5" xfId="19779" xr:uid="{94B2E44D-70AF-45C8-9A8C-A5037C19F940}"/>
    <cellStyle name="60% - 强调文字颜色 1 21" xfId="4833" xr:uid="{596E4DC2-49AA-42FE-B0F4-5289200DE2C0}"/>
    <cellStyle name="60% - 强调文字颜色 1 21 2" xfId="10155" xr:uid="{A48B34E3-CBF8-4CAD-876F-6F1027C23F5A}"/>
    <cellStyle name="60% - 强调文字颜色 1 21 2 2" xfId="19786" xr:uid="{B4B36608-EB0C-4A30-929C-DE8CEBD3719A}"/>
    <cellStyle name="60% - 强调文字颜色 1 21 2 3" xfId="19785" xr:uid="{3EBB1954-25CC-4BBA-8D0B-F4E97612E790}"/>
    <cellStyle name="60% - 强调文字颜色 1 21 3" xfId="19787" xr:uid="{353CAC86-1A18-4FD9-B3E1-5ED4F9A63786}"/>
    <cellStyle name="60% - 强调文字颜色 1 21 4" xfId="19788" xr:uid="{ABAC2004-F4EC-4055-B6A7-7386E2256626}"/>
    <cellStyle name="60% - 强调文字颜色 1 21 5" xfId="19784" xr:uid="{B1A02AE6-FBB7-42BC-8478-8E381F2A20CF}"/>
    <cellStyle name="60% - 强调文字颜色 1 22" xfId="4835" xr:uid="{39BC13A2-459E-473A-A406-7561DC4FD8D4}"/>
    <cellStyle name="60% - 强调文字颜色 1 22 2" xfId="10156" xr:uid="{CC64FD37-B2AA-4C3D-B63B-903F70F9EE0B}"/>
    <cellStyle name="60% - 强调文字颜色 1 22 2 2" xfId="19791" xr:uid="{0D20F6ED-88A7-4517-A1F0-FF6AD1CB28EC}"/>
    <cellStyle name="60% - 强调文字颜色 1 22 2 3" xfId="19790" xr:uid="{B4FCF1E6-E2B3-44B5-9C36-F5EB83C4D48D}"/>
    <cellStyle name="60% - 强调文字颜色 1 22 3" xfId="19792" xr:uid="{4B3FE9AA-DEE4-41BC-AD82-865F7536EE5F}"/>
    <cellStyle name="60% - 强调文字颜色 1 22 4" xfId="19793" xr:uid="{48365E7A-D0B2-47D3-9D0A-EF2A1472C43B}"/>
    <cellStyle name="60% - 强调文字颜色 1 22 5" xfId="19789" xr:uid="{18CD0CEB-47CF-4227-BC31-6F4B74FD862D}"/>
    <cellStyle name="60% - 强调文字颜色 1 23" xfId="4838" xr:uid="{2A258BEF-9388-4B3E-A73C-F947C75AC75F}"/>
    <cellStyle name="60% - 强调文字颜色 1 23 2" xfId="19795" xr:uid="{F0F13CAD-6328-422E-B5DD-7C096DF5E750}"/>
    <cellStyle name="60% - 强调文字颜色 1 23 2 2" xfId="19796" xr:uid="{012F9ABE-8A56-4334-BB78-0FE534CF4BB9}"/>
    <cellStyle name="60% - 强调文字颜色 1 23 3" xfId="19797" xr:uid="{4CD23079-FB6A-416E-8102-65E667E3662C}"/>
    <cellStyle name="60% - 强调文字颜色 1 23 4" xfId="19798" xr:uid="{04B66835-5D6E-4D39-A0AD-01B7899F68C0}"/>
    <cellStyle name="60% - 强调文字颜色 1 23 5" xfId="19794" xr:uid="{BF442550-E435-4999-9D1D-637171B9A06C}"/>
    <cellStyle name="60% - 强调文字颜色 1 24" xfId="4840" xr:uid="{C97F5CD9-9F6C-40D5-9A34-32E80A46BC95}"/>
    <cellStyle name="60% - 强调文字颜色 1 24 2" xfId="19800" xr:uid="{401D527F-5549-4B44-B513-5EDDEC5677A9}"/>
    <cellStyle name="60% - 强调文字颜色 1 24 2 2" xfId="19801" xr:uid="{CA8F51A2-AAB6-490F-82EA-6F5E5ADB755A}"/>
    <cellStyle name="60% - 强调文字颜色 1 24 3" xfId="19802" xr:uid="{E8B468F7-E468-4B02-84D6-95F4A4972C48}"/>
    <cellStyle name="60% - 强调文字颜色 1 24 4" xfId="19803" xr:uid="{13B218F5-0C3A-45A1-80B2-3481CC2FC3F2}"/>
    <cellStyle name="60% - 强调文字颜色 1 24 5" xfId="19799" xr:uid="{DC4FE71A-9446-450E-BF8A-7D325C7CD9AD}"/>
    <cellStyle name="60% - 强调文字颜色 1 25" xfId="4854" xr:uid="{6847634F-5E71-4E40-BC2E-D2233191E5AF}"/>
    <cellStyle name="60% - 强调文字颜色 1 25 2" xfId="19805" xr:uid="{495F256F-CD96-404C-94DC-47B815DDAF61}"/>
    <cellStyle name="60% - 强调文字颜色 1 25 2 2" xfId="19806" xr:uid="{B3AA7446-9F64-4D17-933D-698F6D10B89B}"/>
    <cellStyle name="60% - 强调文字颜色 1 25 3" xfId="19807" xr:uid="{8D97E39D-39C3-44F7-B526-D57393E778E7}"/>
    <cellStyle name="60% - 强调文字颜色 1 25 4" xfId="19808" xr:uid="{C9CF0EB7-1B2B-45F2-84AA-CBF7FCFBA74E}"/>
    <cellStyle name="60% - 强调文字颜色 1 25 5" xfId="19804" xr:uid="{9BE0AB1A-24B3-4B53-83CC-4420607BA641}"/>
    <cellStyle name="60% - 强调文字颜色 1 26" xfId="4856" xr:uid="{28B16D87-0509-454C-BF9D-84CE12531B58}"/>
    <cellStyle name="60% - 强调文字颜色 1 26 2" xfId="19810" xr:uid="{D7FEB22C-3A9C-43A4-BF11-BC96B341CF65}"/>
    <cellStyle name="60% - 强调文字颜色 1 26 2 2" xfId="19811" xr:uid="{83D3F9E7-A66F-44E2-B9A4-D615343C7338}"/>
    <cellStyle name="60% - 强调文字颜色 1 26 3" xfId="19812" xr:uid="{C63CC154-B9D2-4C45-BF20-C44E481C5087}"/>
    <cellStyle name="60% - 强调文字颜色 1 26 4" xfId="19813" xr:uid="{12BF2D45-539A-448B-BA12-4AC2C9CFA38F}"/>
    <cellStyle name="60% - 强调文字颜色 1 26 5" xfId="19809" xr:uid="{57459022-FBE8-4109-8B7B-EC4695C9DB55}"/>
    <cellStyle name="60% - 强调文字颜色 1 27" xfId="4858" xr:uid="{97991943-40A3-47F2-BD3A-BA4C4510CB1E}"/>
    <cellStyle name="60% - 强调文字颜色 1 27 2" xfId="19815" xr:uid="{E9B0A5BE-B17F-40B2-987C-467BD7AA37B7}"/>
    <cellStyle name="60% - 强调文字颜色 1 27 2 2" xfId="19816" xr:uid="{8A9D1BE8-2694-47CC-AB2B-5A97FE066909}"/>
    <cellStyle name="60% - 强调文字颜色 1 27 3" xfId="19817" xr:uid="{24F4FA2B-63F3-4B61-8297-4F466A72ECA2}"/>
    <cellStyle name="60% - 强调文字颜色 1 27 4" xfId="19818" xr:uid="{663ABCE2-3657-4190-9BB3-2E21A3CE6874}"/>
    <cellStyle name="60% - 强调文字颜色 1 27 5" xfId="19814" xr:uid="{85AA152D-47BD-4C31-BD39-5F35D29C2C22}"/>
    <cellStyle name="60% - 强调文字颜色 1 28" xfId="4860" xr:uid="{AB2DBDD5-DE17-4BA4-B86B-39C1E1C463E4}"/>
    <cellStyle name="60% - 强调文字颜色 1 28 2" xfId="19820" xr:uid="{F9922072-A473-4A2A-9B1D-B1E37351AA87}"/>
    <cellStyle name="60% - 强调文字颜色 1 28 3" xfId="19821" xr:uid="{26881E21-BA06-4F06-9482-616529FFD6A4}"/>
    <cellStyle name="60% - 强调文字颜色 1 28 4" xfId="19822" xr:uid="{A554AAAC-033E-44A1-826A-47FBE2EA011C}"/>
    <cellStyle name="60% - 强调文字颜色 1 28 5" xfId="19819" xr:uid="{6E58001C-065E-4D3C-8579-04631F75B666}"/>
    <cellStyle name="60% - 强调文字颜色 1 29" xfId="4862" xr:uid="{0EFD3E9E-E55C-45EE-B037-3D14FB07C418}"/>
    <cellStyle name="60% - 强调文字颜色 1 29 2" xfId="19824" xr:uid="{375F5835-F0E5-4EEF-B0AD-A7C5A9C8A9FD}"/>
    <cellStyle name="60% - 强调文字颜色 1 29 3" xfId="19825" xr:uid="{D35E56C1-6442-4DC6-88A7-70BCAA18D04E}"/>
    <cellStyle name="60% - 强调文字颜色 1 29 4" xfId="19826" xr:uid="{31C42AE1-8F3F-476C-94AC-E7FCD0DBD5AB}"/>
    <cellStyle name="60% - 强调文字颜色 1 29 5" xfId="19823" xr:uid="{62CBB590-6DC0-411F-9862-27A0FB2E8DE8}"/>
    <cellStyle name="60% - 强调文字颜色 1 3" xfId="4864" xr:uid="{D04019FD-44AD-483A-A7A2-C179D4201620}"/>
    <cellStyle name="60% - 强调文字颜色 1 3 2" xfId="4865" xr:uid="{69ACDD38-3C53-4264-B8EA-AFD5F7AE1176}"/>
    <cellStyle name="60% - 强调文字颜色 1 3 2 2" xfId="10158" xr:uid="{DE3D4AED-568F-431A-9A2D-AAEECBF0E662}"/>
    <cellStyle name="60% - 强调文字颜色 1 3 2 3" xfId="19828" xr:uid="{410CAA89-F919-4BEC-8F35-DF653DCA6373}"/>
    <cellStyle name="60% - 强调文字颜色 1 3 2 4" xfId="27329" xr:uid="{C7E65850-3FFB-414B-A8CA-AD0F2F754C49}"/>
    <cellStyle name="60% - 强调文字颜色 1 3 3" xfId="10159" xr:uid="{4F9132EF-6DDF-4B3F-8138-63321E915AA8}"/>
    <cellStyle name="60% - 强调文字颜色 1 3 3 2" xfId="19830" xr:uid="{8F5E63D5-BD03-4DCA-B91D-ACA6A15E0599}"/>
    <cellStyle name="60% - 强调文字颜色 1 3 3 3" xfId="19829" xr:uid="{7F0B6086-5DE8-4422-8908-24D7EDD90F74}"/>
    <cellStyle name="60% - 强调文字颜色 1 3 3 4" xfId="27330" xr:uid="{933F9247-6448-48C4-9B23-B6004C40F2CC}"/>
    <cellStyle name="60% - 强调文字颜色 1 3 4" xfId="10157" xr:uid="{EF0318AF-3797-4D41-88CF-1515F14E5C68}"/>
    <cellStyle name="60% - 强调文字颜色 1 3 4 2" xfId="19831" xr:uid="{C8BA85EE-257A-4B12-B100-E09CC2AB6E13}"/>
    <cellStyle name="60% - 强调文字颜色 1 3 4 3" xfId="27717" xr:uid="{040B6814-6254-4B53-AF4E-DF2AE5D4D5B5}"/>
    <cellStyle name="60% - 强调文字颜色 1 3 5" xfId="19832" xr:uid="{431CAE74-072D-4DE8-85F0-AFF8C9242498}"/>
    <cellStyle name="60% - 强调文字颜色 1 3 6" xfId="19827" xr:uid="{90B82B44-5B65-46E9-9E93-5E5E0DEA4CCB}"/>
    <cellStyle name="60% - 强调文字颜色 1 30" xfId="4855" xr:uid="{9C164D3A-5C7A-44BA-BD31-07BF22172CC8}"/>
    <cellStyle name="60% - 强调文字颜色 1 30 2" xfId="19834" xr:uid="{4B8EFAF5-5BDE-40B3-8D26-690E7EDDFEC3}"/>
    <cellStyle name="60% - 强调文字颜色 1 30 3" xfId="19835" xr:uid="{5FD551FA-42ED-4C64-B16F-EC035C773375}"/>
    <cellStyle name="60% - 强调文字颜色 1 30 4" xfId="19836" xr:uid="{4CCE3D18-EFB4-483E-96C3-7A9A1A55C4DC}"/>
    <cellStyle name="60% - 强调文字颜色 1 30 5" xfId="19833" xr:uid="{E028FB08-017E-43F7-B82B-D7215F7D3EF7}"/>
    <cellStyle name="60% - 强调文字颜色 1 31" xfId="4857" xr:uid="{BEC81088-DE5C-4272-8834-243ED8937CB8}"/>
    <cellStyle name="60% - 强调文字颜色 1 31 2" xfId="19838" xr:uid="{196FA03C-FC55-4DB0-8710-9AA8329BEEBD}"/>
    <cellStyle name="60% - 强调文字颜色 1 31 3" xfId="19839" xr:uid="{E09A4BA5-43D9-40B5-9C54-01CB9AE69665}"/>
    <cellStyle name="60% - 强调文字颜色 1 31 4" xfId="19840" xr:uid="{6F2CEB31-CC75-497E-B7E5-27F9ABA0CF51}"/>
    <cellStyle name="60% - 强调文字颜色 1 31 5" xfId="19837" xr:uid="{265C86D9-7583-4E10-86F2-9839ECF3D4F7}"/>
    <cellStyle name="60% - 强调文字颜色 1 32" xfId="4859" xr:uid="{638848DC-27B5-4DFE-84D0-04DEEC731B6F}"/>
    <cellStyle name="60% - 强调文字颜色 1 32 2" xfId="19842" xr:uid="{637BEF3A-4CE4-4770-AA15-664BDCF2CC19}"/>
    <cellStyle name="60% - 强调文字颜色 1 32 3" xfId="19843" xr:uid="{1A1B72EF-E663-4DC2-9249-185C160BED66}"/>
    <cellStyle name="60% - 强调文字颜色 1 32 4" xfId="19844" xr:uid="{53473DAD-C740-4042-8510-587DFB08A97E}"/>
    <cellStyle name="60% - 强调文字颜色 1 32 5" xfId="19841" xr:uid="{49168FEF-552A-42BE-86CC-A3C85BD6093F}"/>
    <cellStyle name="60% - 强调文字颜色 1 33" xfId="4861" xr:uid="{F4B592B1-85B3-4844-AECE-A87244F0049D}"/>
    <cellStyle name="60% - 强调文字颜色 1 33 2" xfId="19846" xr:uid="{007ED98E-2A68-4549-82D5-6F5D227D059C}"/>
    <cellStyle name="60% - 强调文字颜色 1 33 3" xfId="19847" xr:uid="{FC5206A2-53DA-4B76-B927-75B315ACAC46}"/>
    <cellStyle name="60% - 强调文字颜色 1 33 4" xfId="19848" xr:uid="{FF2BD19E-6823-44FB-A4E7-F37087638702}"/>
    <cellStyle name="60% - 强调文字颜色 1 33 5" xfId="19845" xr:uid="{08FF6329-9010-4498-98C8-AE4C81ADAE7D}"/>
    <cellStyle name="60% - 强调文字颜色 1 34" xfId="4863" xr:uid="{2ACABFC5-51C2-4EB9-986A-EDB2205A0F24}"/>
    <cellStyle name="60% - 强调文字颜色 1 34 2" xfId="12739" xr:uid="{4FB25544-2271-4717-A2EA-BD6CF44A18CA}"/>
    <cellStyle name="60% - 强调文字颜色 1 34 2 2" xfId="19850" xr:uid="{2D147D63-3821-459B-903C-CCE58BC007DE}"/>
    <cellStyle name="60% - 强调文字颜色 1 34 3" xfId="19851" xr:uid="{F2291D44-E100-4D06-8B2B-021707F77AEF}"/>
    <cellStyle name="60% - 强调文字颜色 1 34 4" xfId="19852" xr:uid="{625E6EDB-3ED1-42DB-B44E-A59D3D5F3F18}"/>
    <cellStyle name="60% - 强调文字颜色 1 34 5" xfId="19849" xr:uid="{69EADFD9-69F9-47E9-8F21-EED1D8CE90E0}"/>
    <cellStyle name="60% - 强调文字颜色 1 35" xfId="4866" xr:uid="{EDBC0DE2-E845-410C-ABF6-422B1EF6805E}"/>
    <cellStyle name="60% - 强调文字颜色 1 35 2" xfId="12740" xr:uid="{3F9A114E-A609-454E-9BA1-1F020798AFDF}"/>
    <cellStyle name="60% - 强调文字颜色 1 35 2 2" xfId="19854" xr:uid="{B6857B22-2F30-492F-8569-AF7F99632600}"/>
    <cellStyle name="60% - 强调文字颜色 1 35 3" xfId="19855" xr:uid="{54151564-7786-4B01-8164-CCCF903520C5}"/>
    <cellStyle name="60% - 强调文字颜色 1 35 4" xfId="19853" xr:uid="{C66C09A1-4BFC-44AF-856F-D9C47EEFE689}"/>
    <cellStyle name="60% - 强调文字颜色 1 36" xfId="2257" xr:uid="{65629CC9-AAEB-4365-AFB8-A5437CB71628}"/>
    <cellStyle name="60% - 强调文字颜色 1 36 2" xfId="12741" xr:uid="{E6EFD613-8E13-45FC-9C3F-75464100829B}"/>
    <cellStyle name="60% - 强调文字颜色 1 36 2 2" xfId="19857" xr:uid="{9F09E172-5F87-4761-B733-DEBD60A2CD73}"/>
    <cellStyle name="60% - 强调文字颜色 1 36 3" xfId="19858" xr:uid="{93E3AB7A-8DA1-4CB3-84F3-25F4D37B86A0}"/>
    <cellStyle name="60% - 强调文字颜色 1 36 4" xfId="19856" xr:uid="{28627291-3ABE-4909-9672-E67AEDC35549}"/>
    <cellStyle name="60% - 强调文字颜色 1 37" xfId="4868" xr:uid="{85915D71-911F-4307-9FA1-0C37DAA8F625}"/>
    <cellStyle name="60% - 强调文字颜色 1 37 2" xfId="12742" xr:uid="{360E99F0-1D7C-4F42-B055-CC4CE31E1CF7}"/>
    <cellStyle name="60% - 强调文字颜色 1 37 2 2" xfId="19860" xr:uid="{57020534-A2BE-425E-BB1A-C10BE8E4A08F}"/>
    <cellStyle name="60% - 强调文字颜色 1 37 3" xfId="19861" xr:uid="{8AE10B38-C626-40A0-BF59-74A46448C6D7}"/>
    <cellStyle name="60% - 强调文字颜色 1 37 4" xfId="19859" xr:uid="{26354C22-D320-408F-BBF0-36A2105B79FB}"/>
    <cellStyle name="60% - 强调文字颜色 1 38" xfId="4870" xr:uid="{F09B5989-6DA3-45E0-9D43-FE63E10DF4F4}"/>
    <cellStyle name="60% - 强调文字颜色 1 38 2" xfId="12743" xr:uid="{437025AB-5A37-44E0-B9FB-42CCEF9365D0}"/>
    <cellStyle name="60% - 强调文字颜色 1 38 2 2" xfId="19863" xr:uid="{8C1CA40E-8197-4C7B-90E7-2F3DE4356E33}"/>
    <cellStyle name="60% - 强调文字颜色 1 38 3" xfId="19862" xr:uid="{6B258921-AA2D-47CA-BBC9-72B6C142685D}"/>
    <cellStyle name="60% - 强调文字颜色 1 39" xfId="4872" xr:uid="{47F57815-B6A1-43BD-9953-6CF50FA335CF}"/>
    <cellStyle name="60% - 强调文字颜色 1 39 2" xfId="12744" xr:uid="{7E761FC5-C41D-40D7-8220-0609B91A4A7B}"/>
    <cellStyle name="60% - 强调文字颜色 1 39 2 2" xfId="19865" xr:uid="{04D79C72-A83A-46C9-9475-67552E71DB18}"/>
    <cellStyle name="60% - 强调文字颜色 1 39 3" xfId="19864" xr:uid="{7D750CAA-3229-493B-B3B9-D11476CD9901}"/>
    <cellStyle name="60% - 强调文字颜色 1 4" xfId="4874" xr:uid="{ECF2CA9D-3E46-4E1B-BFCA-C96524D098FA}"/>
    <cellStyle name="60% - 强调文字颜色 1 4 2" xfId="4875" xr:uid="{9623D46B-D3B9-45F0-AA4A-2646BBE3FADA}"/>
    <cellStyle name="60% - 强调文字颜色 1 4 2 2" xfId="10161" xr:uid="{D9E8E9F9-363B-4DCD-AC19-A1D6C007D1E6}"/>
    <cellStyle name="60% - 强调文字颜色 1 4 2 2 2" xfId="19868" xr:uid="{58D693FE-B382-4B11-A42A-3DE1F8590FB8}"/>
    <cellStyle name="60% - 强调文字颜色 1 4 2 3" xfId="19867" xr:uid="{9DDB3D15-FCAA-4010-821F-D383663000C3}"/>
    <cellStyle name="60% - 强调文字颜色 1 4 3" xfId="10162" xr:uid="{D1AFAF46-EECA-45CC-901D-3A0FE654B4B0}"/>
    <cellStyle name="60% - 强调文字颜色 1 4 3 2" xfId="19869" xr:uid="{DB355AC1-280F-40A0-97F8-79903270DB1F}"/>
    <cellStyle name="60% - 强调文字颜色 1 4 4" xfId="10160" xr:uid="{B1E53D9A-37CE-4B84-A3E3-F8F43D1102DA}"/>
    <cellStyle name="60% - 强调文字颜色 1 4 4 2" xfId="19870" xr:uid="{613EFA0F-053A-4E19-9695-43B88B916495}"/>
    <cellStyle name="60% - 强调文字颜色 1 4 5" xfId="19866" xr:uid="{B5151304-1992-426F-A133-F2F38552F73A}"/>
    <cellStyle name="60% - 强调文字颜色 1 40" xfId="4867" xr:uid="{AA7878E3-A3F0-47BE-9D6E-3CF2F2E9FABF}"/>
    <cellStyle name="60% - 强调文字颜色 1 40 2" xfId="12746" xr:uid="{1F6FF625-6217-4196-BE84-C53DA410F360}"/>
    <cellStyle name="60% - 强调文字颜色 1 40 2 2" xfId="19872" xr:uid="{24ADDC53-DD98-47DD-A648-29037BD43493}"/>
    <cellStyle name="60% - 强调文字颜色 1 40 3" xfId="19871" xr:uid="{E4B06D24-6365-48A1-9DB3-24F81DD7AAD6}"/>
    <cellStyle name="60% - 强调文字颜色 1 41" xfId="2256" xr:uid="{2BC5FE5F-2E91-4A7C-9398-F57086E9909D}"/>
    <cellStyle name="60% - 强调文字颜色 1 41 2" xfId="12747" xr:uid="{A5DC6D79-D420-44AE-B639-5B890025C893}"/>
    <cellStyle name="60% - 强调文字颜色 1 41 2 2" xfId="19874" xr:uid="{5DDCB432-57E2-4575-967C-47777202C4F8}"/>
    <cellStyle name="60% - 强调文字颜色 1 41 3" xfId="19873" xr:uid="{B8F32850-32E4-4142-B7E7-5CB0AEA711FE}"/>
    <cellStyle name="60% - 强调文字颜色 1 42" xfId="4869" xr:uid="{BB305CE0-F29B-43BC-A56E-00B668474B26}"/>
    <cellStyle name="60% - 强调文字颜色 1 42 2" xfId="12748" xr:uid="{634BC0B9-593A-4052-9264-A4A2D5072FD4}"/>
    <cellStyle name="60% - 强调文字颜色 1 42 2 2" xfId="19876" xr:uid="{F1A8F68A-CA71-4AE5-8C85-D3C89924FA28}"/>
    <cellStyle name="60% - 强调文字颜色 1 42 3" xfId="19875" xr:uid="{CD726100-F75B-4D17-83F5-B0114E310A73}"/>
    <cellStyle name="60% - 强调文字颜色 1 43" xfId="4871" xr:uid="{9AEF8BE3-C9DF-49C5-9F2E-03546746E947}"/>
    <cellStyle name="60% - 强调文字颜色 1 43 2" xfId="12749" xr:uid="{E134EA6D-39D5-498D-87B5-EE6125F636DD}"/>
    <cellStyle name="60% - 强调文字颜色 1 43 2 2" xfId="19878" xr:uid="{F5EAC0B8-0FE6-46C3-A0CA-CD8753244E56}"/>
    <cellStyle name="60% - 强调文字颜色 1 43 3" xfId="19877" xr:uid="{A78D5271-46AF-4AAB-BDA0-E9ECB76A2ACC}"/>
    <cellStyle name="60% - 强调文字颜色 1 44" xfId="4873" xr:uid="{04998D21-FBE5-4521-B9FA-0A71947903E7}"/>
    <cellStyle name="60% - 强调文字颜色 1 44 2" xfId="12750" xr:uid="{2DB8F353-E4C8-485A-9D7C-2740750E369D}"/>
    <cellStyle name="60% - 强调文字颜色 1 44 2 2" xfId="19880" xr:uid="{AEB075BD-D0CB-4D4A-8B51-57BA30C155DA}"/>
    <cellStyle name="60% - 强调文字颜色 1 44 3" xfId="19879" xr:uid="{7DB93198-FB7D-4F16-B9A2-73AE7126992F}"/>
    <cellStyle name="60% - 强调文字颜色 1 45" xfId="4876" xr:uid="{EC1C6C13-8991-40AE-9F39-D6384D6FEFFB}"/>
    <cellStyle name="60% - 强调文字颜色 1 45 2" xfId="12751" xr:uid="{7049C8A2-716D-40D5-9783-1B48977E4457}"/>
    <cellStyle name="60% - 强调文字颜色 1 45 2 2" xfId="19882" xr:uid="{0392F989-F2C9-4399-894F-DFE5925CAC92}"/>
    <cellStyle name="60% - 强调文字颜色 1 45 3" xfId="19881" xr:uid="{6BC73E70-D45C-4F7E-A79A-E24003E327ED}"/>
    <cellStyle name="60% - 强调文字颜色 1 46" xfId="4878" xr:uid="{FB27F9B6-B59E-4758-8007-91C6EBE2F911}"/>
    <cellStyle name="60% - 强调文字颜色 1 46 2" xfId="12752" xr:uid="{CF049D13-98B1-47F2-AF32-BC5FEFB08F13}"/>
    <cellStyle name="60% - 强调文字颜色 1 46 2 2" xfId="19884" xr:uid="{E8D94F70-4905-4BDA-BD41-1FBB42805B9C}"/>
    <cellStyle name="60% - 强调文字颜色 1 46 3" xfId="19883" xr:uid="{85CAA18D-8C02-42F8-B007-9C8BAF9AFD46}"/>
    <cellStyle name="60% - 强调文字颜色 1 47" xfId="4880" xr:uid="{7402A12F-18B9-4AC0-B5EE-CCA42A054F7D}"/>
    <cellStyle name="60% - 强调文字颜色 1 47 2" xfId="12753" xr:uid="{39A162D4-830F-47F4-A167-4EFF2D94C31E}"/>
    <cellStyle name="60% - 强调文字颜色 1 47 3" xfId="19885" xr:uid="{9C0CD6A1-2F11-4C1F-9856-BEA35231D68A}"/>
    <cellStyle name="60% - 强调文字颜色 1 48" xfId="4882" xr:uid="{66136F3B-2C21-459A-A457-00EB4BD1A015}"/>
    <cellStyle name="60% - 强调文字颜色 1 48 2" xfId="12754" xr:uid="{18898F1C-FCAA-4217-B67F-CA721C40403F}"/>
    <cellStyle name="60% - 强调文字颜色 1 48 3" xfId="19886" xr:uid="{70764757-4903-4B09-8B2B-F089FC77BA6D}"/>
    <cellStyle name="60% - 强调文字颜色 1 49" xfId="4884" xr:uid="{85A9B8A0-81A9-4F8C-AB49-80BFCB122738}"/>
    <cellStyle name="60% - 强调文字颜色 1 49 2" xfId="12755" xr:uid="{8867AB45-9B29-46DB-8937-BE5F6E6D851D}"/>
    <cellStyle name="60% - 强调文字颜色 1 49 3" xfId="19887" xr:uid="{454B47BE-B0FF-431C-847B-9C28C5D2AF7E}"/>
    <cellStyle name="60% - 强调文字颜色 1 5" xfId="4886" xr:uid="{70B5AC16-0727-4187-ABD9-46340BC159BC}"/>
    <cellStyle name="60% - 强调文字颜色 1 5 2" xfId="4887" xr:uid="{36974AD5-8DC7-451C-AC0D-1E5A770003B4}"/>
    <cellStyle name="60% - 强调文字颜色 1 5 2 2" xfId="10164" xr:uid="{82A42770-AC66-42D4-B45B-8BA98074AE9B}"/>
    <cellStyle name="60% - 强调文字颜色 1 5 2 2 2" xfId="19890" xr:uid="{79D1AFFC-D4D8-4A41-B76A-E1792DB6BE51}"/>
    <cellStyle name="60% - 强调文字颜色 1 5 2 3" xfId="19889" xr:uid="{7535B1E5-9433-4671-9507-629BAA659526}"/>
    <cellStyle name="60% - 强调文字颜色 1 5 3" xfId="10165" xr:uid="{1C6E6113-41BF-493E-9638-4B2F7D468D17}"/>
    <cellStyle name="60% - 强调文字颜色 1 5 3 2" xfId="19891" xr:uid="{54F6C95B-2320-4EB4-8B92-84E8F1500F3B}"/>
    <cellStyle name="60% - 强调文字颜色 1 5 4" xfId="10163" xr:uid="{FCB93726-5A53-450C-B556-7FF02210D173}"/>
    <cellStyle name="60% - 强调文字颜色 1 5 4 2" xfId="19892" xr:uid="{78FB07B4-199F-449B-AB7C-6D8F6CB0FFF2}"/>
    <cellStyle name="60% - 强调文字颜色 1 5 5" xfId="19888" xr:uid="{BC0884B3-0039-4A53-87F5-E6A170519DCF}"/>
    <cellStyle name="60% - 强调文字颜色 1 50" xfId="4877" xr:uid="{56317963-F38D-4131-8830-629FE0DDE281}"/>
    <cellStyle name="60% - 强调文字颜色 1 50 2" xfId="12756" xr:uid="{F4A98A8A-307B-4518-96CF-5A9144EDE5BB}"/>
    <cellStyle name="60% - 强调文字颜色 1 50 3" xfId="19893" xr:uid="{064A3E8F-79E5-4DE1-BD79-4190D29D31AE}"/>
    <cellStyle name="60% - 强调文字颜色 1 51" xfId="4879" xr:uid="{5B4D9AA8-A8C5-4D81-B1EC-A25CE645EE68}"/>
    <cellStyle name="60% - 强调文字颜色 1 51 2" xfId="12757" xr:uid="{964E5949-05FB-4681-826D-C6378D1237FA}"/>
    <cellStyle name="60% - 强调文字颜色 1 51 3" xfId="19894" xr:uid="{C4A9F3A2-8A60-40BA-9E36-273818B332CB}"/>
    <cellStyle name="60% - 强调文字颜色 1 52" xfId="4881" xr:uid="{3E19D525-D280-4E99-8951-5481B2E77B92}"/>
    <cellStyle name="60% - 强调文字颜色 1 52 2" xfId="12758" xr:uid="{5F492731-589A-4358-9C04-19A6E6D7CFF3}"/>
    <cellStyle name="60% - 强调文字颜色 1 52 3" xfId="19895" xr:uid="{B2F55433-35C0-46E9-9061-CE5A5D56EAEF}"/>
    <cellStyle name="60% - 强调文字颜色 1 53" xfId="4883" xr:uid="{A3CE04B8-DAE9-4565-B544-5D1E65F0B9F2}"/>
    <cellStyle name="60% - 强调文字颜色 1 53 2" xfId="12759" xr:uid="{9AD05909-CC5D-4DA3-8C46-8D547064B902}"/>
    <cellStyle name="60% - 强调文字颜色 1 53 3" xfId="19896" xr:uid="{397C94D7-902D-4C00-B96E-242261994F36}"/>
    <cellStyle name="60% - 强调文字颜色 1 54" xfId="4885" xr:uid="{D7DD5DE0-763B-4258-AFB7-067EE69B66C2}"/>
    <cellStyle name="60% - 强调文字颜色 1 54 2" xfId="12760" xr:uid="{9547632D-6C20-4129-9935-1B21045DB016}"/>
    <cellStyle name="60% - 强调文字颜色 1 54 3" xfId="19897" xr:uid="{81A678DF-4B6B-4697-B0B4-883E3973A0E5}"/>
    <cellStyle name="60% - 强调文字颜色 1 55" xfId="4888" xr:uid="{E410B89D-11A8-415A-8AA8-02ECB6D46CF6}"/>
    <cellStyle name="60% - 强调文字颜色 1 55 2" xfId="12761" xr:uid="{A08ABBAC-191D-475C-A735-EFE91778DEF0}"/>
    <cellStyle name="60% - 强调文字颜色 1 55 3" xfId="19898" xr:uid="{D1E75309-88F6-4FF7-9B50-23F937B4680A}"/>
    <cellStyle name="60% - 强调文字颜色 1 56" xfId="4890" xr:uid="{75FBA6AB-1FF5-4F6F-A4C7-2914D5D0DCB3}"/>
    <cellStyle name="60% - 强调文字颜色 1 56 2" xfId="12762" xr:uid="{E1E6EE67-1FDA-4685-9587-684615353CA5}"/>
    <cellStyle name="60% - 强调文字颜色 1 56 3" xfId="19899" xr:uid="{E3810D5C-613E-4219-A25F-1AA7AD3B8509}"/>
    <cellStyle name="60% - 强调文字颜色 1 57" xfId="4892" xr:uid="{9F525ED3-8AAE-409E-83EF-AA1D04F7FBBF}"/>
    <cellStyle name="60% - 强调文字颜色 1 57 2" xfId="12763" xr:uid="{358AB2F4-3C09-4D8B-B461-4B69C00E768D}"/>
    <cellStyle name="60% - 强调文字颜色 1 58" xfId="4894" xr:uid="{C8D27DB3-CFF8-47D9-B7D3-359EE7032B00}"/>
    <cellStyle name="60% - 强调文字颜色 1 58 2" xfId="12764" xr:uid="{3EE363AA-0C01-48BE-870A-5ED78766B928}"/>
    <cellStyle name="60% - 强调文字颜色 1 59" xfId="4896" xr:uid="{A7B027E5-B860-4E49-8F94-7D1CA207B3BB}"/>
    <cellStyle name="60% - 强调文字颜色 1 59 2" xfId="12765" xr:uid="{AC930590-08EC-4F4D-859F-225E8A9AC230}"/>
    <cellStyle name="60% - 强调文字颜色 1 6" xfId="4898" xr:uid="{B280D4BC-6648-452C-A580-0820637B651A}"/>
    <cellStyle name="60% - 强调文字颜色 1 6 2" xfId="4899" xr:uid="{6DC80322-E282-4A18-8709-A74C26BD4F55}"/>
    <cellStyle name="60% - 强调文字颜色 1 6 2 2" xfId="10167" xr:uid="{CB9FE984-E266-4FC6-9868-0C1A98BDFE1E}"/>
    <cellStyle name="60% - 强调文字颜色 1 6 2 2 2" xfId="19902" xr:uid="{8ABC2C28-C9CC-4465-BF68-9A0DD8746472}"/>
    <cellStyle name="60% - 强调文字颜色 1 6 2 3" xfId="19901" xr:uid="{DBB90C0F-AC48-481E-8704-F428B634140C}"/>
    <cellStyle name="60% - 强调文字颜色 1 6 3" xfId="10168" xr:uid="{E75FBD4C-5840-40E0-899C-5D0A232BFC19}"/>
    <cellStyle name="60% - 强调文字颜色 1 6 3 2" xfId="19903" xr:uid="{E889A90A-3680-443B-99F7-870FC4D10C45}"/>
    <cellStyle name="60% - 强调文字颜色 1 6 4" xfId="10166" xr:uid="{4AB751F6-2A16-4375-8B59-C93D68ADE2FC}"/>
    <cellStyle name="60% - 强调文字颜色 1 6 4 2" xfId="19904" xr:uid="{565C3869-5EEC-4A4A-8903-ACCAACABA915}"/>
    <cellStyle name="60% - 强调文字颜色 1 6 5" xfId="19900" xr:uid="{03D45DF6-0575-4244-B5D8-73B0AE71734C}"/>
    <cellStyle name="60% - 强调文字颜色 1 60" xfId="4889" xr:uid="{ECEA63D9-18E8-4748-825A-E99D7E07C145}"/>
    <cellStyle name="60% - 强调文字颜色 1 60 2" xfId="12767" xr:uid="{620A4BC5-2C44-4918-887C-E9AA5F9BBC2C}"/>
    <cellStyle name="60% - 强调文字颜色 1 61" xfId="4891" xr:uid="{6104EF57-C77D-48DF-84A0-9FF079260FB8}"/>
    <cellStyle name="60% - 强调文字颜色 1 61 2" xfId="12768" xr:uid="{B8EC247E-A951-4820-AE76-DD957C46717D}"/>
    <cellStyle name="60% - 强调文字颜色 1 62" xfId="4893" xr:uid="{E6B1CAFC-893D-4730-A3C5-4486934F8FBB}"/>
    <cellStyle name="60% - 强调文字颜色 1 62 2" xfId="12769" xr:uid="{73EDE78E-5DB9-4A4E-AB07-164DFE00FC9B}"/>
    <cellStyle name="60% - 强调文字颜色 1 63" xfId="4895" xr:uid="{73AAD41A-DEF3-491C-8DFB-A8DC5DAA7C50}"/>
    <cellStyle name="60% - 强调文字颜色 1 63 2" xfId="12770" xr:uid="{BEED144C-7BD4-46DB-9AC3-2D0313081349}"/>
    <cellStyle name="60% - 强调文字颜色 1 64" xfId="4897" xr:uid="{2D59418F-283E-48A6-99AC-C505BEDAD6A0}"/>
    <cellStyle name="60% - 强调文字颜色 1 64 2" xfId="12771" xr:uid="{BD2D5742-EFEB-47BD-8934-2121E2A15051}"/>
    <cellStyle name="60% - 强调文字颜色 1 65" xfId="4900" xr:uid="{7A8B3A5E-097D-44A8-AD43-B54D3D403678}"/>
    <cellStyle name="60% - 强调文字颜色 1 65 2" xfId="12772" xr:uid="{B8C0427A-FC74-41AB-89AA-F43008821FDE}"/>
    <cellStyle name="60% - 强调文字颜色 1 66" xfId="4902" xr:uid="{61FD1E60-ABE1-4C3A-B0D0-5123FD566E65}"/>
    <cellStyle name="60% - 强调文字颜色 1 66 2" xfId="12773" xr:uid="{BEB9BB89-1AE1-4029-9831-1E605632B7C6}"/>
    <cellStyle name="60% - 强调文字颜色 1 67" xfId="1083" xr:uid="{A8B6E969-B5DC-4E7E-A23D-A634482B3E98}"/>
    <cellStyle name="60% - 强调文字颜色 1 67 2" xfId="12774" xr:uid="{9D5C4ABC-6DA7-4A11-B911-692A09CEB7B8}"/>
    <cellStyle name="60% - 强调文字颜色 1 68" xfId="1992" xr:uid="{90082B2E-268D-4D00-9DE1-42C469348B7E}"/>
    <cellStyle name="60% - 强调文字颜色 1 68 2" xfId="12775" xr:uid="{8BD4C8C8-2D39-42D8-BE33-EFCF116593EA}"/>
    <cellStyle name="60% - 强调文字颜色 1 69" xfId="1996" xr:uid="{05FECE21-389F-4594-B9FA-2C32A134FD57}"/>
    <cellStyle name="60% - 强调文字颜色 1 69 2" xfId="12776" xr:uid="{41722223-0BF7-4EE6-8910-79EEAF41E584}"/>
    <cellStyle name="60% - 强调文字颜色 1 7" xfId="4904" xr:uid="{16F9C66F-A6C5-4E08-AB44-CD386EB957E9}"/>
    <cellStyle name="60% - 强调文字颜色 1 7 2" xfId="4905" xr:uid="{B0F043EE-09FC-4196-90F5-2E83E9715551}"/>
    <cellStyle name="60% - 强调文字颜色 1 7 2 2" xfId="10170" xr:uid="{E18FE374-6349-4894-934F-2851AB5836AF}"/>
    <cellStyle name="60% - 强调文字颜色 1 7 2 2 2" xfId="19907" xr:uid="{6618A17F-03EE-42A3-A308-BD0327E8E229}"/>
    <cellStyle name="60% - 强调文字颜色 1 7 2 3" xfId="19906" xr:uid="{79944B37-C355-4AD6-8114-C9B02AF9E55C}"/>
    <cellStyle name="60% - 强调文字颜色 1 7 3" xfId="10171" xr:uid="{4177F790-16C2-4CFF-8315-973CD59E659E}"/>
    <cellStyle name="60% - 强调文字颜色 1 7 3 2" xfId="19908" xr:uid="{3CA3803F-41A7-4237-A45F-DA662ED49A91}"/>
    <cellStyle name="60% - 强调文字颜色 1 7 4" xfId="10169" xr:uid="{A0A4CAD8-BEEA-460F-B708-5933D47DA1A0}"/>
    <cellStyle name="60% - 强调文字颜色 1 7 4 2" xfId="19909" xr:uid="{A8F13560-6D88-4921-8544-09651210C7CE}"/>
    <cellStyle name="60% - 强调文字颜色 1 7 5" xfId="19905" xr:uid="{9892C3AD-C08E-4E63-9312-1DE366007C48}"/>
    <cellStyle name="60% - 强调文字颜色 1 70" xfId="4901" xr:uid="{BF742D6F-8073-44D0-810E-CEBAE551240E}"/>
    <cellStyle name="60% - 强调文字颜色 1 70 2" xfId="12777" xr:uid="{AF449725-3BBF-4A5F-9956-1CEED64E14BD}"/>
    <cellStyle name="60% - 强调文字颜色 1 71" xfId="4903" xr:uid="{03A17114-6B06-4493-B42C-4B91EA2BA132}"/>
    <cellStyle name="60% - 强调文字颜色 1 71 2" xfId="12778" xr:uid="{B9040C8F-FD9B-4CB0-B5BA-31AEF0577624}"/>
    <cellStyle name="60% - 强调文字颜色 1 72" xfId="1082" xr:uid="{0029E65B-3C2D-4AD4-8903-EF5402EEEBEA}"/>
    <cellStyle name="60% - 强调文字颜色 1 72 2" xfId="12779" xr:uid="{C97CE9E4-39AA-4DA9-A210-523E1953FBCA}"/>
    <cellStyle name="60% - 强调文字颜色 1 73" xfId="1991" xr:uid="{062108C2-2D86-45C1-B5A4-ED4EC9828633}"/>
    <cellStyle name="60% - 强调文字颜色 1 73 2" xfId="12780" xr:uid="{E8DFC0AB-3737-4B56-8FBF-663A5D9A4EA4}"/>
    <cellStyle name="60% - 强调文字颜色 1 74" xfId="1995" xr:uid="{B4797455-C8B9-44C0-B5B5-8D143AEFF7F6}"/>
    <cellStyle name="60% - 强调文字颜色 1 74 2" xfId="12781" xr:uid="{10F23881-986D-4AA2-862F-63D95A98B533}"/>
    <cellStyle name="60% - 强调文字颜色 1 75" xfId="2003" xr:uid="{E401EA22-0F3E-4151-8723-D71FE85F81C3}"/>
    <cellStyle name="60% - 强调文字颜色 1 75 2" xfId="12782" xr:uid="{915271E9-D04B-4DB2-B1D8-767C12C17B64}"/>
    <cellStyle name="60% - 强调文字颜色 1 76" xfId="2015" xr:uid="{64D636B3-B5E1-4121-AA54-C2A24861E3CB}"/>
    <cellStyle name="60% - 强调文字颜色 1 76 2" xfId="12783" xr:uid="{A7F87A38-E228-4521-B4E0-47EE9BFBE124}"/>
    <cellStyle name="60% - 强调文字颜色 1 77" xfId="4906" xr:uid="{0F5D9F0F-C1EA-4A92-8803-FAB3E65646EB}"/>
    <cellStyle name="60% - 强调文字颜色 1 77 2" xfId="12784" xr:uid="{C6B2696C-3E2E-47DF-AA68-49029C5E7D1E}"/>
    <cellStyle name="60% - 强调文字颜色 1 78" xfId="4908" xr:uid="{5477FD7D-9606-439C-9132-AF73A8B8A24E}"/>
    <cellStyle name="60% - 强调文字颜色 1 78 2" xfId="12785" xr:uid="{5FE959DD-A16E-430E-BDE2-73A4344C8468}"/>
    <cellStyle name="60% - 强调文字颜色 1 79" xfId="4910" xr:uid="{4044487A-FE34-4D30-A700-413823F596F8}"/>
    <cellStyle name="60% - 强调文字颜色 1 79 2" xfId="12786" xr:uid="{D05E3E96-5AFD-44AB-919C-E01E91D0FB2A}"/>
    <cellStyle name="60% - 强调文字颜色 1 8" xfId="4912" xr:uid="{CF2FDFEA-1C17-41AA-AB70-A51760866309}"/>
    <cellStyle name="60% - 强调文字颜色 1 8 2" xfId="4913" xr:uid="{8ED37D17-323F-46F4-A326-A9EBBF8E9836}"/>
    <cellStyle name="60% - 强调文字颜色 1 8 2 2" xfId="10173" xr:uid="{3B128B16-922B-44CC-BA36-6F5494410A10}"/>
    <cellStyle name="60% - 强调文字颜色 1 8 2 2 2" xfId="19912" xr:uid="{3CF7B4D0-494D-48B7-B1A8-C64D28255D81}"/>
    <cellStyle name="60% - 强调文字颜色 1 8 2 3" xfId="19911" xr:uid="{0B162761-D274-4E60-8061-561BC5F2E8A2}"/>
    <cellStyle name="60% - 强调文字颜色 1 8 3" xfId="10174" xr:uid="{F47F18C6-DD09-4AC6-AE2E-C5F13EC48DCB}"/>
    <cellStyle name="60% - 强调文字颜色 1 8 3 2" xfId="19913" xr:uid="{17E5F630-BD9F-4995-8DD1-A1FBAF9D0D4C}"/>
    <cellStyle name="60% - 强调文字颜色 1 8 4" xfId="10172" xr:uid="{E548DCD1-BDFE-4D32-902B-D9123DDE8CA7}"/>
    <cellStyle name="60% - 强调文字颜色 1 8 4 2" xfId="19914" xr:uid="{657F3327-48E7-44E7-BADA-E42BF1579CB6}"/>
    <cellStyle name="60% - 强调文字颜色 1 8 5" xfId="19910" xr:uid="{73D57D4E-7FEF-404E-9958-071598D72424}"/>
    <cellStyle name="60% - 强调文字颜色 1 80" xfId="2002" xr:uid="{AA20533E-DDDA-4B8D-9318-5017C92F9EBB}"/>
    <cellStyle name="60% - 强调文字颜色 1 80 2" xfId="12788" xr:uid="{9203A0E2-7C42-422A-A8F8-32094C0F7DB0}"/>
    <cellStyle name="60% - 强调文字颜色 1 81" xfId="2014" xr:uid="{F97902B9-82BA-4BB1-905D-2409DC18B36D}"/>
    <cellStyle name="60% - 强调文字颜色 1 81 2" xfId="12789" xr:uid="{453CFA94-E710-4F89-8E6F-337EB873742B}"/>
    <cellStyle name="60% - 强调文字颜色 1 82" xfId="4907" xr:uid="{7E01B6F2-C522-45E8-8684-5022085E3C3A}"/>
    <cellStyle name="60% - 强调文字颜色 1 82 2" xfId="12790" xr:uid="{4BEF6AE7-5056-41B7-B480-FC624773D2E8}"/>
    <cellStyle name="60% - 强调文字颜色 1 83" xfId="4909" xr:uid="{A92C09D0-36D5-41AE-80B1-FCB46D94F29F}"/>
    <cellStyle name="60% - 强调文字颜色 1 83 2" xfId="12791" xr:uid="{0E403A99-0F69-4C20-B60D-F7953CE83378}"/>
    <cellStyle name="60% - 强调文字颜色 1 84" xfId="4911" xr:uid="{2FBBEB4A-0568-4F53-B701-72110248DC7F}"/>
    <cellStyle name="60% - 强调文字颜色 1 84 2" xfId="12792" xr:uid="{25B9CAC4-061E-4FC6-9994-2AB8BF4611BE}"/>
    <cellStyle name="60% - 强调文字颜色 1 85" xfId="9339" xr:uid="{CA285F87-94AE-42EF-8194-461F1BD89FEB}"/>
    <cellStyle name="60% - 强调文字颜色 1 86" xfId="10124" xr:uid="{ACBC02DC-8437-49E4-A955-1B15B4987610}"/>
    <cellStyle name="60% - 强调文字颜色 1 87" xfId="13605" xr:uid="{C3EB9F0C-5C6E-4F3E-A82B-43CC99877635}"/>
    <cellStyle name="60% - 强调文字颜色 1 88" xfId="27169" xr:uid="{6A61A199-1E5E-4214-A170-A9EF442DE39A}"/>
    <cellStyle name="60% - 强调文字颜色 1 89" xfId="27197" xr:uid="{6063A2B6-4ECE-406A-9FA7-6A4BB6452778}"/>
    <cellStyle name="60% - 强调文字颜色 1 9" xfId="4914" xr:uid="{5C4D8809-7F3A-452F-8465-D41383E2F037}"/>
    <cellStyle name="60% - 强调文字颜色 1 9 2" xfId="10176" xr:uid="{239261D8-DFD6-476F-8F2A-EDA07967580C}"/>
    <cellStyle name="60% - 强调文字颜色 1 9 2 2" xfId="19917" xr:uid="{AE6E4D8E-1F28-4167-952E-80378F712DF5}"/>
    <cellStyle name="60% - 强调文字颜色 1 9 2 3" xfId="19916" xr:uid="{77FB2F17-7E16-46D1-95B3-04D3A13E94EA}"/>
    <cellStyle name="60% - 强调文字颜色 1 9 3" xfId="10177" xr:uid="{733C120D-37ED-476E-8917-D7BA4FCB684A}"/>
    <cellStyle name="60% - 强调文字颜色 1 9 3 2" xfId="19918" xr:uid="{CBD092D3-E00B-4B06-81FB-9BB71B47C90D}"/>
    <cellStyle name="60% - 强调文字颜色 1 9 4" xfId="10175" xr:uid="{EF5AAE2F-0FA6-42B9-9114-B72E62EDEBA7}"/>
    <cellStyle name="60% - 强调文字颜色 1 9 4 2" xfId="19919" xr:uid="{D6058A5B-1310-4148-9E60-1FD36D4FC318}"/>
    <cellStyle name="60% - 强调文字颜色 1 9 5" xfId="19915" xr:uid="{6F3DF48A-FBC7-4AD6-AFE5-49832E0263F5}"/>
    <cellStyle name="60% - 强调文字颜色 1 90" xfId="27184" xr:uid="{3BE8089C-01D2-406E-9B24-BCD14A263B0D}"/>
    <cellStyle name="60% - 强调文字颜色 2" xfId="4915" xr:uid="{A91408A5-0196-4DA2-AA2C-F58640F7705A}"/>
    <cellStyle name="60% - 强调文字颜色 2 10" xfId="4916" xr:uid="{77366C80-C2E0-4B1E-8D87-A8C7260D7890}"/>
    <cellStyle name="60% - 强调文字颜色 2 10 2" xfId="10180" xr:uid="{417F6002-F5FC-4B81-BAB1-97D277520F9E}"/>
    <cellStyle name="60% - 强调文字颜色 2 10 2 2" xfId="19922" xr:uid="{0147B368-EFF9-484F-AD7D-BCA1A05D08AA}"/>
    <cellStyle name="60% - 强调文字颜色 2 10 2 3" xfId="19921" xr:uid="{CCB1DAE1-D738-46AD-86AF-3C01F023E27C}"/>
    <cellStyle name="60% - 强调文字颜色 2 10 3" xfId="10181" xr:uid="{9CBC7DA4-B197-4230-94F9-08FB06AFD665}"/>
    <cellStyle name="60% - 强调文字颜色 2 10 3 2" xfId="19923" xr:uid="{A2E90FF4-8E2C-4E87-8FD1-430C46392D27}"/>
    <cellStyle name="60% - 强调文字颜色 2 10 4" xfId="10179" xr:uid="{DECA9822-D2AE-4E89-B87C-D5EC2E18A44F}"/>
    <cellStyle name="60% - 强调文字颜色 2 10 4 2" xfId="19924" xr:uid="{119F3176-5C4A-47A5-B242-8FF17E654E42}"/>
    <cellStyle name="60% - 强调文字颜色 2 10 5" xfId="19920" xr:uid="{29C55D2C-E140-4EF8-A0E2-E7FD9A5EB4C4}"/>
    <cellStyle name="60% - 强调文字颜色 2 11" xfId="4917" xr:uid="{6CDCE2C5-5781-4A08-8503-0D09FF372844}"/>
    <cellStyle name="60% - 强调文字颜色 2 11 2" xfId="10183" xr:uid="{AC1336ED-3F4B-443F-8F23-2163D91588CD}"/>
    <cellStyle name="60% - 强调文字颜色 2 11 2 2" xfId="19927" xr:uid="{9D5FA653-F32C-4DF0-8303-242566E8A3AA}"/>
    <cellStyle name="60% - 强调文字颜色 2 11 2 3" xfId="19926" xr:uid="{FE714B79-3AEA-453D-B6FC-B1F173BFFB9D}"/>
    <cellStyle name="60% - 强调文字颜色 2 11 3" xfId="10184" xr:uid="{C369F566-0FC1-40B2-8DF1-4B24312B812B}"/>
    <cellStyle name="60% - 强调文字颜色 2 11 3 2" xfId="19928" xr:uid="{F6B5E026-1CBD-423F-9FC5-E2321C1B8D0B}"/>
    <cellStyle name="60% - 强调文字颜色 2 11 4" xfId="10182" xr:uid="{EAB679C5-E8A8-492A-BDA6-1828A9B115D9}"/>
    <cellStyle name="60% - 强调文字颜色 2 11 4 2" xfId="19929" xr:uid="{EF3C1848-3B7C-4A5B-8E7F-D261DD640B57}"/>
    <cellStyle name="60% - 强调文字颜色 2 11 5" xfId="19925" xr:uid="{2ADFA075-EF56-4515-91D7-E2FE28DC1733}"/>
    <cellStyle name="60% - 强调文字颜色 2 12" xfId="4918" xr:uid="{A5CEB37D-778F-4FE0-AFAE-A2B73C8B7C3E}"/>
    <cellStyle name="60% - 强调文字颜色 2 12 2" xfId="10186" xr:uid="{22D447CF-D0F2-4A6A-BD31-F9024A522726}"/>
    <cellStyle name="60% - 强调文字颜色 2 12 2 2" xfId="19932" xr:uid="{55F09F72-E6FA-4182-896D-528017D803D3}"/>
    <cellStyle name="60% - 强调文字颜色 2 12 2 3" xfId="19931" xr:uid="{0465D854-08C7-497A-AB19-E67743C08F77}"/>
    <cellStyle name="60% - 强调文字颜色 2 12 3" xfId="10187" xr:uid="{57436FB5-E8E0-4C3C-9569-E3772A661E8D}"/>
    <cellStyle name="60% - 强调文字颜色 2 12 3 2" xfId="19933" xr:uid="{1C59E625-7B49-41D5-BFA1-5CA7B31F5F3C}"/>
    <cellStyle name="60% - 强调文字颜色 2 12 4" xfId="10185" xr:uid="{72D1A441-CCB7-4E6C-B2F8-CBF2B08D7B9A}"/>
    <cellStyle name="60% - 强调文字颜色 2 12 4 2" xfId="19934" xr:uid="{5A445A43-1ABA-401E-A132-8FCF422917A4}"/>
    <cellStyle name="60% - 强调文字颜色 2 12 5" xfId="19930" xr:uid="{81ED99D9-3D2D-48EC-85FA-C4DF507BD995}"/>
    <cellStyle name="60% - 强调文字颜色 2 13" xfId="4919" xr:uid="{18BF2C8E-F354-4A15-A3F3-7F264A3AB9A5}"/>
    <cellStyle name="60% - 强调文字颜色 2 13 2" xfId="10189" xr:uid="{7FB223D8-17A1-48AF-AF5C-190E9DB8F5AC}"/>
    <cellStyle name="60% - 强调文字颜色 2 13 2 2" xfId="19937" xr:uid="{E1226DB7-4E92-4E54-AF78-0DE8F75D7ADB}"/>
    <cellStyle name="60% - 强调文字颜色 2 13 2 3" xfId="19936" xr:uid="{573B0CC3-E70D-4F3F-B388-90B416220116}"/>
    <cellStyle name="60% - 强调文字颜色 2 13 3" xfId="10190" xr:uid="{6F5F3B8E-E2BB-49F0-9209-E20F3E807FB6}"/>
    <cellStyle name="60% - 强调文字颜色 2 13 3 2" xfId="19938" xr:uid="{9479B71F-015D-48BF-8840-E53727664CB3}"/>
    <cellStyle name="60% - 强调文字颜色 2 13 4" xfId="10188" xr:uid="{61E6FC93-B662-4136-BB4E-44F7F4666513}"/>
    <cellStyle name="60% - 强调文字颜色 2 13 4 2" xfId="19939" xr:uid="{64A91042-602A-47AF-BE0B-F5237849B873}"/>
    <cellStyle name="60% - 强调文字颜色 2 13 5" xfId="19935" xr:uid="{F1292098-D5CF-4A00-AF2D-6D44CE446532}"/>
    <cellStyle name="60% - 强调文字颜色 2 14" xfId="4920" xr:uid="{0A757EED-9F69-4036-A1E9-9FC25C6857A9}"/>
    <cellStyle name="60% - 强调文字颜色 2 14 2" xfId="10192" xr:uid="{C423019F-F637-4CC1-B88E-9BD1F5A42FF9}"/>
    <cellStyle name="60% - 强调文字颜色 2 14 2 2" xfId="19942" xr:uid="{9010B504-58CD-447A-BD2B-2471E57DE8F4}"/>
    <cellStyle name="60% - 强调文字颜色 2 14 2 3" xfId="19941" xr:uid="{CC356787-B6D7-47A8-93DF-6B2CD5879DF0}"/>
    <cellStyle name="60% - 强调文字颜色 2 14 3" xfId="10193" xr:uid="{CA02D8AC-E075-4A71-AC23-5AEE1E8283CA}"/>
    <cellStyle name="60% - 强调文字颜色 2 14 3 2" xfId="19943" xr:uid="{6404DFC8-5BFC-45A6-84DC-22F3D1F43F4F}"/>
    <cellStyle name="60% - 强调文字颜色 2 14 4" xfId="10191" xr:uid="{B530CBE3-3F1B-4F7C-B3EB-962F5FC18C13}"/>
    <cellStyle name="60% - 强调文字颜色 2 14 4 2" xfId="19944" xr:uid="{4292FD5C-C989-40AA-87C9-E90DB981CCC1}"/>
    <cellStyle name="60% - 强调文字颜色 2 14 5" xfId="19940" xr:uid="{DEB152E2-1482-4938-A44E-06D470271C70}"/>
    <cellStyle name="60% - 强调文字颜色 2 15" xfId="4921" xr:uid="{7C670002-1299-4965-A921-3D4EC6A9130A}"/>
    <cellStyle name="60% - 强调文字颜色 2 15 2" xfId="10195" xr:uid="{8A034EFB-0897-49B1-87F9-8013F8E35431}"/>
    <cellStyle name="60% - 强调文字颜色 2 15 2 2" xfId="19947" xr:uid="{55CA818B-FC3C-45EF-A336-9931885C5736}"/>
    <cellStyle name="60% - 强调文字颜色 2 15 2 3" xfId="19946" xr:uid="{7AD4CDC7-259D-4B1E-BBC9-BF64001428BC}"/>
    <cellStyle name="60% - 强调文字颜色 2 15 3" xfId="10196" xr:uid="{71B304B3-5C0D-406B-9707-049EB534C165}"/>
    <cellStyle name="60% - 强调文字颜色 2 15 3 2" xfId="19948" xr:uid="{0E532F83-632F-411C-AF50-3237E4E1EA13}"/>
    <cellStyle name="60% - 强调文字颜色 2 15 4" xfId="10194" xr:uid="{18FBEE3E-083D-467B-A1E1-03C81CD73822}"/>
    <cellStyle name="60% - 强调文字颜色 2 15 4 2" xfId="19949" xr:uid="{57576307-49DD-4936-A29C-D325B5F464E1}"/>
    <cellStyle name="60% - 强调文字颜色 2 15 5" xfId="19945" xr:uid="{FD86A4E4-147D-4519-80CD-582759F9D48B}"/>
    <cellStyle name="60% - 强调文字颜色 2 16" xfId="4923" xr:uid="{FC4031AE-80BA-4A56-9A88-454169E45EA9}"/>
    <cellStyle name="60% - 强调文字颜色 2 16 2" xfId="10198" xr:uid="{E68C32DE-F8A4-4604-A95D-A577D6F63D87}"/>
    <cellStyle name="60% - 强调文字颜色 2 16 2 2" xfId="19952" xr:uid="{1F81AF64-C2D5-4689-BE7E-211DFA09DCC1}"/>
    <cellStyle name="60% - 强调文字颜色 2 16 2 3" xfId="19951" xr:uid="{F234711A-AE7B-4AB2-A37D-F48C471563B2}"/>
    <cellStyle name="60% - 强调文字颜色 2 16 3" xfId="10199" xr:uid="{78590AEE-F405-4693-84CA-8A379258C358}"/>
    <cellStyle name="60% - 强调文字颜色 2 16 3 2" xfId="19953" xr:uid="{31F0A9BB-D5C6-4D6C-B340-2C72E76F9E77}"/>
    <cellStyle name="60% - 强调文字颜色 2 16 4" xfId="10197" xr:uid="{7981F370-383F-4CA8-A369-44B8259012DE}"/>
    <cellStyle name="60% - 强调文字颜色 2 16 4 2" xfId="19954" xr:uid="{C9998C89-9AD8-49D9-B29E-48D5327B11FF}"/>
    <cellStyle name="60% - 强调文字颜色 2 16 5" xfId="19950" xr:uid="{70C3E958-B6C4-40D9-9A93-FD75E4477BD6}"/>
    <cellStyle name="60% - 强调文字颜色 2 17" xfId="1111" xr:uid="{D4841C24-E742-4245-94DB-AE510303B50A}"/>
    <cellStyle name="60% - 强调文字颜色 2 17 2" xfId="10201" xr:uid="{84B7384D-8124-4A48-A0B8-B313A3021F23}"/>
    <cellStyle name="60% - 强调文字颜色 2 17 2 2" xfId="19957" xr:uid="{B465BA7B-0C99-458B-A6C6-304DDF0A8667}"/>
    <cellStyle name="60% - 强调文字颜色 2 17 2 3" xfId="19956" xr:uid="{BFBFFDFF-0ED0-4C59-969E-E569CC2F3C11}"/>
    <cellStyle name="60% - 强调文字颜色 2 17 3" xfId="10202" xr:uid="{CAEF4F6F-9C02-4351-B0B4-CDB4FB79BA49}"/>
    <cellStyle name="60% - 强调文字颜色 2 17 3 2" xfId="19958" xr:uid="{94107B5C-008B-4783-AE91-DEBADE30F570}"/>
    <cellStyle name="60% - 强调文字颜色 2 17 4" xfId="10200" xr:uid="{3D5C7D63-13FB-46F6-A3E9-9A86C9C7FE26}"/>
    <cellStyle name="60% - 强调文字颜色 2 17 4 2" xfId="19959" xr:uid="{3B7EFA11-483C-49F4-99C1-22769689F211}"/>
    <cellStyle name="60% - 强调文字颜色 2 17 5" xfId="19955" xr:uid="{44CDAECF-DB81-4466-AB78-5146593EDCCC}"/>
    <cellStyle name="60% - 强调文字颜色 2 18" xfId="2084" xr:uid="{297D1748-3C34-448D-B8AC-C0ECB038E244}"/>
    <cellStyle name="60% - 强调文字颜色 2 18 2" xfId="10203" xr:uid="{34E2274B-C9FA-45EC-9C83-30AC85C14C82}"/>
    <cellStyle name="60% - 强调文字颜色 2 18 2 2" xfId="19962" xr:uid="{B543EE5D-FA95-423F-AFF5-E3736142D814}"/>
    <cellStyle name="60% - 强调文字颜色 2 18 2 3" xfId="19961" xr:uid="{C8D77939-3946-420F-B72E-48EBA497F747}"/>
    <cellStyle name="60% - 强调文字颜色 2 18 3" xfId="19963" xr:uid="{0DD32D0A-CA13-4CD1-A694-9B24A5182A0B}"/>
    <cellStyle name="60% - 强调文字颜色 2 18 4" xfId="19964" xr:uid="{74CF7028-6314-4ADF-8C3A-2E2ECECB9D8A}"/>
    <cellStyle name="60% - 强调文字颜色 2 18 5" xfId="19960" xr:uid="{0488F762-C6D0-4923-93C1-5C954522DFAA}"/>
    <cellStyle name="60% - 强调文字颜色 2 19" xfId="2090" xr:uid="{9CA8550B-7D50-4CD0-9E41-C5EF0F9B4680}"/>
    <cellStyle name="60% - 强调文字颜色 2 19 2" xfId="10204" xr:uid="{E3264FF0-5744-453B-8DA4-A33621515C77}"/>
    <cellStyle name="60% - 强调文字颜色 2 19 2 2" xfId="19967" xr:uid="{08566418-AD8E-4180-AF2C-D03ACB8468EE}"/>
    <cellStyle name="60% - 强调文字颜色 2 19 2 3" xfId="19966" xr:uid="{05A0AACB-08DF-48D0-ABC6-1A1C388CFC24}"/>
    <cellStyle name="60% - 强调文字颜色 2 19 3" xfId="19968" xr:uid="{C52B6F17-D7BC-48D9-87DD-8AFC89D5D2C7}"/>
    <cellStyle name="60% - 强调文字颜色 2 19 4" xfId="19969" xr:uid="{8AA467C1-AF15-419C-9C54-537E804C8416}"/>
    <cellStyle name="60% - 强调文字颜色 2 19 5" xfId="19965" xr:uid="{77E0710E-95BD-4762-B6BC-F74823737B07}"/>
    <cellStyle name="60% - 强调文字颜色 2 2" xfId="2405" xr:uid="{6F8CAF21-2C9E-42C1-9992-B402BD5068D6}"/>
    <cellStyle name="60% - 强调文字颜色 2 2 10" xfId="4925" xr:uid="{8954D49D-FC01-4202-A19E-7E2E24E201D5}"/>
    <cellStyle name="60% - 强调文字颜色 2 2 11" xfId="4926" xr:uid="{E1096E55-E240-4FC6-8A5E-872ED27A221A}"/>
    <cellStyle name="60% - 强调文字颜色 2 2 12" xfId="4927" xr:uid="{355F321A-83DA-4406-ADAE-41582E6C2316}"/>
    <cellStyle name="60% - 强调文字颜色 2 2 13" xfId="4928" xr:uid="{F9C6BD8D-A5B3-4840-BBEC-EB1DF7E968F9}"/>
    <cellStyle name="60% - 强调文字颜色 2 2 14" xfId="4929" xr:uid="{7C9EC9EE-2A43-4004-B253-577561B6F37B}"/>
    <cellStyle name="60% - 强调文字颜色 2 2 15" xfId="10205" xr:uid="{04A953B8-C3EA-4DA5-ADB8-3F76D6557646}"/>
    <cellStyle name="60% - 强调文字颜色 2 2 16" xfId="12407" xr:uid="{D8F03CC1-D2AA-4DAE-A74D-D9339F49B3C6}"/>
    <cellStyle name="60% - 强调文字颜色 2 2 2" xfId="4930" xr:uid="{0C9A04AB-E5F5-4295-AC5D-BCD7FD6BEC21}"/>
    <cellStyle name="60% - 强调文字颜色 2 2 2 2" xfId="10206" xr:uid="{DE8CDD63-B87D-4F4F-8CA3-47DB9A4F2500}"/>
    <cellStyle name="60% - 强调文字颜色 2 2 2 2 2" xfId="19971" xr:uid="{C3D3A64C-7C60-45B0-861F-1F687C0EF58D}"/>
    <cellStyle name="60% - 强调文字颜色 2 2 2 3" xfId="19970" xr:uid="{E939E9F0-6D07-4CBB-9ECF-F4C7F5047461}"/>
    <cellStyle name="60% - 强调文字颜色 2 2 2 4" xfId="27331" xr:uid="{1A5BB9F1-EBDE-4079-97A3-FA92A08CDE59}"/>
    <cellStyle name="60% - 强调文字颜色 2 2 3" xfId="4931" xr:uid="{F5A3D4D1-9F84-42BB-970F-3CD1AB01AE97}"/>
    <cellStyle name="60% - 强调文字颜色 2 2 3 2" xfId="10207" xr:uid="{A0424A48-1202-450F-BD2A-B2A939CC779B}"/>
    <cellStyle name="60% - 强调文字颜色 2 2 3 2 2" xfId="19973" xr:uid="{A584C4E4-CE7F-4525-A5C7-91428B3EA2DE}"/>
    <cellStyle name="60% - 强调文字颜色 2 2 3 3" xfId="19972" xr:uid="{3BC20CA9-FA68-4963-B14E-6CB2C1A78E20}"/>
    <cellStyle name="60% - 强调文字颜色 2 2 3 4" xfId="27332" xr:uid="{192A2DE3-DD26-4618-BC54-34D63CA1857C}"/>
    <cellStyle name="60% - 强调文字颜色 2 2 4" xfId="4932" xr:uid="{1C8BD25E-CD49-4C0D-A53E-6CE5DBEBA5B8}"/>
    <cellStyle name="60% - 强调文字颜色 2 2 4 2" xfId="19974" xr:uid="{60550DD9-09BD-4D8A-B062-05586F8BB536}"/>
    <cellStyle name="60% - 强调文字颜色 2 2 4 3" xfId="27718" xr:uid="{486C70C1-448C-486C-B550-CD3089731F02}"/>
    <cellStyle name="60% - 强调文字颜色 2 2 5" xfId="4933" xr:uid="{85E2589B-560E-446E-A0EE-0D70722AC38E}"/>
    <cellStyle name="60% - 强调文字颜色 2 2 5 2" xfId="19975" xr:uid="{D1DF4EA4-F3D0-4FBB-8BD8-87E4CDDB444F}"/>
    <cellStyle name="60% - 强调文字颜色 2 2 6" xfId="4934" xr:uid="{0E9302C3-852F-408C-89E2-2A7508B7AE16}"/>
    <cellStyle name="60% - 强调文字颜色 2 2 6 2" xfId="19976" xr:uid="{DB3479E1-AB31-4EC8-90ED-FE62D4FD6A10}"/>
    <cellStyle name="60% - 强调文字颜色 2 2 7" xfId="4935" xr:uid="{20D010EE-5424-43FC-B6C3-06FF0B8A14F6}"/>
    <cellStyle name="60% - 强调文字颜色 2 2 7 2" xfId="19977" xr:uid="{DE74F3F8-3E62-4BF4-A0FF-5C6C34B42F15}"/>
    <cellStyle name="60% - 强调文字颜色 2 2 8" xfId="4936" xr:uid="{25C6503F-B107-4DD9-A2B7-7A3CF4D4E87D}"/>
    <cellStyle name="60% - 强调文字颜色 2 2 9" xfId="4937" xr:uid="{4FD72F5E-4872-409F-8010-F57345B412AE}"/>
    <cellStyle name="60% - 强调文字颜色 2 2_动力部" xfId="19978" xr:uid="{44ECB537-CDA1-405C-A28A-2F95529AC9EF}"/>
    <cellStyle name="60% - 强调文字颜色 2 20" xfId="4922" xr:uid="{CDD3E0B4-9881-4BD8-9830-70E9156803F0}"/>
    <cellStyle name="60% - 强调文字颜色 2 20 2" xfId="10208" xr:uid="{805C5E0D-5957-47D6-8C15-76B0D2B8CC44}"/>
    <cellStyle name="60% - 强调文字颜色 2 20 2 2" xfId="19981" xr:uid="{AE21F475-1632-4A50-A57F-632E32F1C6A8}"/>
    <cellStyle name="60% - 强调文字颜色 2 20 2 3" xfId="19980" xr:uid="{3901E17F-2E19-4DB2-8C20-30FBA2AEBBA3}"/>
    <cellStyle name="60% - 强调文字颜色 2 20 3" xfId="19982" xr:uid="{20A93555-C2C8-49EC-84BE-4B4E9B7D2D4F}"/>
    <cellStyle name="60% - 强调文字颜色 2 20 4" xfId="19983" xr:uid="{25FF0C5D-8AFF-4F0B-B7CB-8A93D6344494}"/>
    <cellStyle name="60% - 强调文字颜色 2 20 5" xfId="19979" xr:uid="{BA8E6D2F-5942-4747-9A59-E17F90947691}"/>
    <cellStyle name="60% - 强调文字颜色 2 21" xfId="4924" xr:uid="{2FB4C8F2-A42A-4B7F-9159-CA6B7B5C54A5}"/>
    <cellStyle name="60% - 强调文字颜色 2 21 2" xfId="10209" xr:uid="{ACE0F88D-5733-4545-A892-3D036E1A2DA9}"/>
    <cellStyle name="60% - 强调文字颜色 2 21 2 2" xfId="19986" xr:uid="{D4A8B03F-E1D4-4C44-B080-FB444D4A1128}"/>
    <cellStyle name="60% - 强调文字颜色 2 21 2 3" xfId="19985" xr:uid="{9FDD638A-D653-4DB8-B3C1-0A72DB559851}"/>
    <cellStyle name="60% - 强调文字颜色 2 21 3" xfId="19987" xr:uid="{5E8D56E3-ADB7-4CC2-9724-493B02ED80A3}"/>
    <cellStyle name="60% - 强调文字颜色 2 21 4" xfId="19988" xr:uid="{64FB53CC-0144-4AA0-A3A4-0C3C431F0072}"/>
    <cellStyle name="60% - 强调文字颜色 2 21 5" xfId="19984" xr:uid="{F638E457-1D1F-404D-9851-9BA4029F6724}"/>
    <cellStyle name="60% - 强调文字颜色 2 22" xfId="1110" xr:uid="{F1131BF2-C6E3-481B-8728-6B0EEA965C5B}"/>
    <cellStyle name="60% - 强调文字颜色 2 22 2" xfId="10210" xr:uid="{64771A65-59C7-4E07-8E21-CC148415104C}"/>
    <cellStyle name="60% - 强调文字颜色 2 22 2 2" xfId="19991" xr:uid="{6A77AB3C-B3D6-47C3-8C08-3EE619BF72CB}"/>
    <cellStyle name="60% - 强调文字颜色 2 22 2 3" xfId="19990" xr:uid="{F8FE357F-D5C7-4A93-AA2B-34A72BE97B45}"/>
    <cellStyle name="60% - 强调文字颜色 2 22 3" xfId="19992" xr:uid="{AB6B1759-9FF9-411D-BD92-04E2F3259953}"/>
    <cellStyle name="60% - 强调文字颜色 2 22 4" xfId="19993" xr:uid="{6EC796BD-7C55-415B-9E21-9111C4C4E6BE}"/>
    <cellStyle name="60% - 强调文字颜色 2 22 5" xfId="19989" xr:uid="{C3356D3B-61F1-4FC4-B064-C166B49E2276}"/>
    <cellStyle name="60% - 强调文字颜色 2 23" xfId="2083" xr:uid="{25DEAA4F-E47A-45F8-97E4-9C93225F212F}"/>
    <cellStyle name="60% - 强调文字颜色 2 23 2" xfId="19995" xr:uid="{4E232C06-B392-4983-B00F-2C4A44472302}"/>
    <cellStyle name="60% - 强调文字颜色 2 23 2 2" xfId="19996" xr:uid="{4C0BD16A-FBD6-4FD0-AE36-EE189B41828B}"/>
    <cellStyle name="60% - 强调文字颜色 2 23 3" xfId="19997" xr:uid="{9C528C69-38DA-4560-B233-ECA207B1CC9B}"/>
    <cellStyle name="60% - 强调文字颜色 2 23 4" xfId="19998" xr:uid="{ADE83D40-30C5-4E5A-B95A-FFC786146A9C}"/>
    <cellStyle name="60% - 强调文字颜色 2 23 5" xfId="19994" xr:uid="{BB895A65-6B5C-4656-AAA3-1B579E2CF908}"/>
    <cellStyle name="60% - 强调文字颜色 2 24" xfId="2089" xr:uid="{01FF5564-A7AD-4841-956A-2070043E55AC}"/>
    <cellStyle name="60% - 强调文字颜色 2 24 2" xfId="20000" xr:uid="{1F1E36BE-E61D-4043-8C6F-BA3E8901CEAC}"/>
    <cellStyle name="60% - 强调文字颜色 2 24 2 2" xfId="20001" xr:uid="{088F6546-7EC7-482E-89D0-DE55A36590E4}"/>
    <cellStyle name="60% - 强调文字颜色 2 24 3" xfId="20002" xr:uid="{941E015E-8270-4461-AACB-2885FC085432}"/>
    <cellStyle name="60% - 强调文字颜色 2 24 4" xfId="20003" xr:uid="{26F16E4A-609D-41C6-8581-9BB7DAD9F97D}"/>
    <cellStyle name="60% - 强调文字颜色 2 24 5" xfId="19999" xr:uid="{382FDCCC-72CE-4B26-B887-6CAF48D975FF}"/>
    <cellStyle name="60% - 强调文字颜色 2 25" xfId="2100" xr:uid="{04E9131A-C128-4F4A-A886-D526F9D5802C}"/>
    <cellStyle name="60% - 强调文字颜色 2 25 2" xfId="20005" xr:uid="{ADC84ECC-7E9B-4D99-93B9-80304FBFE439}"/>
    <cellStyle name="60% - 强调文字颜色 2 25 2 2" xfId="20006" xr:uid="{24B25526-178B-4E49-BFC8-3FF5BBF9788E}"/>
    <cellStyle name="60% - 强调文字颜色 2 25 3" xfId="20007" xr:uid="{09E9F75B-AF65-4F30-8F47-F9CA8D944892}"/>
    <cellStyle name="60% - 强调文字颜色 2 25 4" xfId="20008" xr:uid="{040A2448-2DD7-4832-A6C5-398EEE947535}"/>
    <cellStyle name="60% - 强调文字颜色 2 25 5" xfId="20004" xr:uid="{CF682C5E-89F5-4C94-B0D9-2C21F0656E38}"/>
    <cellStyle name="60% - 强调文字颜色 2 26" xfId="2107" xr:uid="{EC177A50-0B6A-47E4-9FFC-0E4EC5CEE2A8}"/>
    <cellStyle name="60% - 强调文字颜色 2 26 2" xfId="20010" xr:uid="{DC66FF05-BA95-4034-BDF4-970CCEA312D7}"/>
    <cellStyle name="60% - 强调文字颜色 2 26 2 2" xfId="20011" xr:uid="{6F3EB487-E6A9-411A-9972-73B2E72A30A0}"/>
    <cellStyle name="60% - 强调文字颜色 2 26 3" xfId="20012" xr:uid="{B784232D-837D-4748-A0A7-665F5C350EBB}"/>
    <cellStyle name="60% - 强调文字颜色 2 26 4" xfId="20013" xr:uid="{3F6FA3AA-E742-4A4F-AA6C-12448F42DF05}"/>
    <cellStyle name="60% - 强调文字颜色 2 26 5" xfId="20009" xr:uid="{335F22BC-A663-4A24-AB93-9D70CCADD522}"/>
    <cellStyle name="60% - 强调文字颜色 2 27" xfId="4938" xr:uid="{C77700EC-3129-45E4-988D-E9064DF6FAC3}"/>
    <cellStyle name="60% - 强调文字颜色 2 27 2" xfId="20015" xr:uid="{9F5BB473-7D55-4D49-BC1B-89D6EADC60D7}"/>
    <cellStyle name="60% - 强调文字颜色 2 27 2 2" xfId="20016" xr:uid="{13241E02-14EF-467C-96D2-1E9D3B13EDF6}"/>
    <cellStyle name="60% - 强调文字颜色 2 27 3" xfId="20017" xr:uid="{E1BD9E20-BA53-453D-9332-E301E91930FD}"/>
    <cellStyle name="60% - 强调文字颜色 2 27 4" xfId="20018" xr:uid="{049A85E2-E431-460A-AD88-1076CD1BE429}"/>
    <cellStyle name="60% - 强调文字颜色 2 27 5" xfId="20014" xr:uid="{39294AC7-C554-412F-A318-6D0851ADC159}"/>
    <cellStyle name="60% - 强调文字颜色 2 28" xfId="4940" xr:uid="{D3891054-EB8F-415F-A400-B5CAF4D08D85}"/>
    <cellStyle name="60% - 强调文字颜色 2 28 2" xfId="20020" xr:uid="{9AFFD159-5839-49E8-A863-248147CBC807}"/>
    <cellStyle name="60% - 强调文字颜色 2 28 3" xfId="20021" xr:uid="{0BAB934A-E419-4216-BF43-05015540C1D2}"/>
    <cellStyle name="60% - 强调文字颜色 2 28 4" xfId="20022" xr:uid="{4FE2A6A4-7E91-41F4-ACC4-4963F47AE2CD}"/>
    <cellStyle name="60% - 强调文字颜色 2 28 5" xfId="20019" xr:uid="{980AE1C3-EFA0-4333-9115-67DA89229485}"/>
    <cellStyle name="60% - 强调文字颜色 2 29" xfId="4942" xr:uid="{61F5743E-8B35-464F-AF60-056D3E12A2FD}"/>
    <cellStyle name="60% - 强调文字颜色 2 29 2" xfId="20024" xr:uid="{A0FB2303-25FD-412A-927A-F6FAF3888DA4}"/>
    <cellStyle name="60% - 强调文字颜色 2 29 3" xfId="20025" xr:uid="{2A2F6EA5-AD35-41A5-96D8-0AB69C9F8C28}"/>
    <cellStyle name="60% - 强调文字颜色 2 29 4" xfId="20026" xr:uid="{F46D5DD4-83ED-4143-9409-07B3BE78CB7E}"/>
    <cellStyle name="60% - 强调文字颜色 2 29 5" xfId="20023" xr:uid="{3A5C55B4-B14A-498D-A8EF-41960C36F5F2}"/>
    <cellStyle name="60% - 强调文字颜色 2 3" xfId="4944" xr:uid="{6406753F-12C3-4FE8-81B8-A975BAC5F964}"/>
    <cellStyle name="60% - 强调文字颜色 2 3 2" xfId="10212" xr:uid="{1A77E6C7-C07B-4271-AD16-4A4F8D7DC543}"/>
    <cellStyle name="60% - 强调文字颜色 2 3 2 2" xfId="20028" xr:uid="{AAD65AC2-F49D-4E02-9458-89AC4DAFFB13}"/>
    <cellStyle name="60% - 强调文字颜色 2 3 2 3" xfId="27333" xr:uid="{804B777F-0D74-4149-92FA-82F84B3942C5}"/>
    <cellStyle name="60% - 强调文字颜色 2 3 3" xfId="10213" xr:uid="{A9ACFAAD-7FD7-4E0C-810F-341E398A0D1D}"/>
    <cellStyle name="60% - 强调文字颜色 2 3 3 2" xfId="20030" xr:uid="{753C63DE-3838-49F4-AD10-CB2E582299F3}"/>
    <cellStyle name="60% - 强调文字颜色 2 3 3 3" xfId="20029" xr:uid="{BC49BCD2-1122-406B-A4BD-4DD7F0908A35}"/>
    <cellStyle name="60% - 强调文字颜色 2 3 3 4" xfId="27334" xr:uid="{D24145E6-39B2-4482-BD22-49BBA4656563}"/>
    <cellStyle name="60% - 强调文字颜色 2 3 4" xfId="10211" xr:uid="{2D83E7E8-540F-4381-892D-3E067BE5B163}"/>
    <cellStyle name="60% - 强调文字颜色 2 3 4 2" xfId="20031" xr:uid="{1F81FFDD-5BA6-4CC4-8D0F-83EFCCF29B50}"/>
    <cellStyle name="60% - 强调文字颜色 2 3 4 3" xfId="27719" xr:uid="{460E13FF-2DFD-421D-A97D-13625EC28E30}"/>
    <cellStyle name="60% - 强调文字颜色 2 3 5" xfId="20032" xr:uid="{5F405AEE-242D-4C61-A114-75BAFEDF5541}"/>
    <cellStyle name="60% - 强调文字颜色 2 3 6" xfId="20027" xr:uid="{2BC682E6-B4C7-43CA-98D9-DBCB994BAE31}"/>
    <cellStyle name="60% - 强调文字颜色 2 30" xfId="2099" xr:uid="{40BBF768-4E34-47B4-AD89-B43E62ABCFF5}"/>
    <cellStyle name="60% - 强调文字颜色 2 30 2" xfId="20034" xr:uid="{63A3049B-2EEE-4E1B-B343-41E22569C026}"/>
    <cellStyle name="60% - 强调文字颜色 2 30 3" xfId="20035" xr:uid="{A8420790-09A5-48BC-B19D-1B410A6D5950}"/>
    <cellStyle name="60% - 强调文字颜色 2 30 4" xfId="20036" xr:uid="{5E2073C8-2147-4BD6-85BE-0678400D26C9}"/>
    <cellStyle name="60% - 强调文字颜色 2 30 5" xfId="20033" xr:uid="{EF963E9F-D6C0-47F0-9DC2-FACF54C61470}"/>
    <cellStyle name="60% - 强调文字颜色 2 31" xfId="2106" xr:uid="{AE1E3A34-9A27-4620-8BBC-AEE69F22DCCF}"/>
    <cellStyle name="60% - 强调文字颜色 2 31 2" xfId="20038" xr:uid="{66B6E5FB-60AD-49F4-8AF1-3AAFC80E534B}"/>
    <cellStyle name="60% - 强调文字颜色 2 31 3" xfId="20039" xr:uid="{55E4CACD-C2EF-49A3-AA81-59810EC18E86}"/>
    <cellStyle name="60% - 强调文字颜色 2 31 4" xfId="20040" xr:uid="{70B0B79E-A823-4697-98A8-257D2B09B1B9}"/>
    <cellStyle name="60% - 强调文字颜色 2 31 5" xfId="20037" xr:uid="{9604D277-094A-46F1-A51A-42E66E4E0EA2}"/>
    <cellStyle name="60% - 强调文字颜色 2 32" xfId="4939" xr:uid="{81315053-DA2C-48B2-AE07-7CE7E4E390AC}"/>
    <cellStyle name="60% - 强调文字颜色 2 32 2" xfId="20042" xr:uid="{75FD9B15-874C-427B-8324-A4BBB6CF4EF2}"/>
    <cellStyle name="60% - 强调文字颜色 2 32 3" xfId="20043" xr:uid="{4D163F1F-4807-4259-9C15-15629496692C}"/>
    <cellStyle name="60% - 强调文字颜色 2 32 4" xfId="20044" xr:uid="{B5D95093-9859-4D26-A5A1-39EF752664AA}"/>
    <cellStyle name="60% - 强调文字颜色 2 32 5" xfId="20041" xr:uid="{0AA5DF07-CCD9-44B8-8C8B-1DE2847D9494}"/>
    <cellStyle name="60% - 强调文字颜色 2 33" xfId="4941" xr:uid="{A889CC6C-CCE5-454D-B190-7D8604C87076}"/>
    <cellStyle name="60% - 强调文字颜色 2 33 2" xfId="20046" xr:uid="{7DCF0C74-C1E8-47C4-BF0D-8927DF3699FF}"/>
    <cellStyle name="60% - 强调文字颜色 2 33 3" xfId="20047" xr:uid="{D39CB4BD-9DFE-4E08-B3B4-6EDB84A8CE45}"/>
    <cellStyle name="60% - 强调文字颜色 2 33 4" xfId="20048" xr:uid="{BC0755DE-D502-4EE5-9C5D-61FE6E0E36E7}"/>
    <cellStyle name="60% - 强调文字颜色 2 33 5" xfId="20045" xr:uid="{1954643D-E548-4A57-A2B8-31E1054C2F1C}"/>
    <cellStyle name="60% - 强调文字颜色 2 34" xfId="4943" xr:uid="{D85FA922-B603-40CC-884B-3457678C455A}"/>
    <cellStyle name="60% - 强调文字颜色 2 34 2" xfId="12811" xr:uid="{41A2A557-57DF-4B3D-A44D-B6E39DA1DE6E}"/>
    <cellStyle name="60% - 强调文字颜色 2 34 2 2" xfId="20050" xr:uid="{9515EE3F-1E94-4273-9EA5-A1ABF2DC4BAA}"/>
    <cellStyle name="60% - 强调文字颜色 2 34 3" xfId="20051" xr:uid="{FE61955F-83E1-4030-B529-B6854006CC27}"/>
    <cellStyle name="60% - 强调文字颜色 2 34 4" xfId="20052" xr:uid="{F994E31C-E70D-4921-AB71-C5AC5BE1B8BF}"/>
    <cellStyle name="60% - 强调文字颜色 2 34 5" xfId="20049" xr:uid="{2B132877-520E-4061-AAD1-C2B87BF93B84}"/>
    <cellStyle name="60% - 强调文字颜色 2 35" xfId="4945" xr:uid="{C790E8EC-A2E8-407B-9A7D-EA73FE84487C}"/>
    <cellStyle name="60% - 强调文字颜色 2 35 2" xfId="12812" xr:uid="{25406C25-9376-4B6E-B87D-BCBCB32D85B0}"/>
    <cellStyle name="60% - 强调文字颜色 2 35 2 2" xfId="20054" xr:uid="{36F8625F-4CAD-47EE-AAA9-E45179D690E4}"/>
    <cellStyle name="60% - 强调文字颜色 2 35 3" xfId="20055" xr:uid="{F851D8DB-3C4D-42BA-B486-B49DB66C3787}"/>
    <cellStyle name="60% - 强调文字颜色 2 35 4" xfId="20053" xr:uid="{7927956E-1E14-49A2-B28C-7AF133469AAC}"/>
    <cellStyle name="60% - 强调文字颜色 2 36" xfId="4947" xr:uid="{05D8C7DF-6D1E-492F-B27D-24E6AD149347}"/>
    <cellStyle name="60% - 强调文字颜色 2 36 2" xfId="12813" xr:uid="{A6602404-F0E4-4F1D-B34C-BC7577AEB310}"/>
    <cellStyle name="60% - 强调文字颜色 2 36 2 2" xfId="20057" xr:uid="{C26EE4F8-2FD0-4C9F-AEBB-2B3883FCD0CC}"/>
    <cellStyle name="60% - 强调文字颜色 2 36 3" xfId="20058" xr:uid="{565B0EF7-657D-4961-9672-8FC131A73A47}"/>
    <cellStyle name="60% - 强调文字颜色 2 36 4" xfId="20056" xr:uid="{0C1B177F-A141-4974-9A4C-13768B5022EC}"/>
    <cellStyle name="60% - 强调文字颜色 2 37" xfId="4949" xr:uid="{37CD9FAC-DBE5-44AB-8497-3E613CF26B71}"/>
    <cellStyle name="60% - 强调文字颜色 2 37 2" xfId="12814" xr:uid="{1CFC9C0C-BD88-4245-8848-0706C170D33B}"/>
    <cellStyle name="60% - 强调文字颜色 2 37 2 2" xfId="20060" xr:uid="{E9D9D9AC-2B4B-478B-B91E-63FA76F971AD}"/>
    <cellStyle name="60% - 强调文字颜色 2 37 3" xfId="20061" xr:uid="{074F6E92-2901-47D4-860C-48FB46ED5A8D}"/>
    <cellStyle name="60% - 强调文字颜色 2 37 4" xfId="20059" xr:uid="{99E03C35-9BE6-4447-89B3-59BC7E5CBEC1}"/>
    <cellStyle name="60% - 强调文字颜色 2 38" xfId="4951" xr:uid="{35785479-C664-4DC0-B7EE-5D944D70CE99}"/>
    <cellStyle name="60% - 强调文字颜色 2 38 2" xfId="12815" xr:uid="{7D1C69A7-91B4-4989-9565-2492B632EA4F}"/>
    <cellStyle name="60% - 强调文字颜色 2 38 2 2" xfId="20063" xr:uid="{DC30FCF6-893B-4A56-8901-5325A0BDCFFC}"/>
    <cellStyle name="60% - 强调文字颜色 2 38 3" xfId="20062" xr:uid="{38B9E58E-8CA8-437F-815D-8D4B730DFC02}"/>
    <cellStyle name="60% - 强调文字颜色 2 39" xfId="4953" xr:uid="{A4D03E99-6920-4216-B361-95FE6A5FE0E6}"/>
    <cellStyle name="60% - 强调文字颜色 2 39 2" xfId="12816" xr:uid="{8C154CEC-52A2-4F3B-BA69-B81563CFB707}"/>
    <cellStyle name="60% - 强调文字颜色 2 39 2 2" xfId="20065" xr:uid="{F5202846-A764-4FB7-A4FA-37803B565494}"/>
    <cellStyle name="60% - 强调文字颜色 2 39 3" xfId="20064" xr:uid="{45BA25BE-B28A-4570-9F83-261BE916E83D}"/>
    <cellStyle name="60% - 强调文字颜色 2 4" xfId="4955" xr:uid="{9D4F2140-BA14-43E7-AEE3-0EBF91AF451B}"/>
    <cellStyle name="60% - 强调文字颜色 2 4 2" xfId="10215" xr:uid="{CB4AB8CB-0D5D-4DC1-A2CF-F28148829A75}"/>
    <cellStyle name="60% - 强调文字颜色 2 4 2 2" xfId="20068" xr:uid="{E3950425-315A-4CAE-BB65-6B1F7930A6E4}"/>
    <cellStyle name="60% - 强调文字颜色 2 4 2 3" xfId="20067" xr:uid="{51135467-C519-436F-BD5C-A568F7846550}"/>
    <cellStyle name="60% - 强调文字颜色 2 4 3" xfId="10216" xr:uid="{5EEF50E4-E63E-4BD8-A8BC-A62FFD685F8F}"/>
    <cellStyle name="60% - 强调文字颜色 2 4 3 2" xfId="20069" xr:uid="{69BCCE07-C3B4-45EC-ACF7-6E3119A7CFEF}"/>
    <cellStyle name="60% - 强调文字颜色 2 4 4" xfId="10214" xr:uid="{6C07E07C-8F72-4041-AD3F-241F7DA295E8}"/>
    <cellStyle name="60% - 强调文字颜色 2 4 4 2" xfId="20070" xr:uid="{01DD00CF-1A43-4E9C-9A1F-CD6F731A5D7C}"/>
    <cellStyle name="60% - 强调文字颜色 2 4 5" xfId="20066" xr:uid="{C1DA1A7F-D59F-44DB-B876-6FEFD86964EF}"/>
    <cellStyle name="60% - 强调文字颜色 2 40" xfId="4946" xr:uid="{6B76870C-D3FD-4B2A-82DE-66C9FAA08152}"/>
    <cellStyle name="60% - 强调文字颜色 2 40 2" xfId="12817" xr:uid="{F94F0B37-9166-48FA-B35E-B1529542B969}"/>
    <cellStyle name="60% - 强调文字颜色 2 40 2 2" xfId="20072" xr:uid="{DFA423E9-B224-43A7-B958-8869C22DE077}"/>
    <cellStyle name="60% - 强调文字颜色 2 40 3" xfId="20071" xr:uid="{22BB09FD-7DB9-4B95-BE21-88E114C2A2EE}"/>
    <cellStyle name="60% - 强调文字颜色 2 41" xfId="4948" xr:uid="{410DEEF6-C36B-4EE8-ADA4-F0AC06CF9079}"/>
    <cellStyle name="60% - 强调文字颜色 2 41 2" xfId="12818" xr:uid="{3E2A4D26-F598-462C-BC12-90D178DBCD2F}"/>
    <cellStyle name="60% - 强调文字颜色 2 41 2 2" xfId="20074" xr:uid="{28B97EF0-A878-4674-8992-8A8EC55D189F}"/>
    <cellStyle name="60% - 强调文字颜色 2 41 3" xfId="20073" xr:uid="{8AF7E55B-386F-4F4F-AD74-F90FAAB79865}"/>
    <cellStyle name="60% - 强调文字颜色 2 42" xfId="4950" xr:uid="{12CE1E35-09F0-4814-B125-F74185BCC274}"/>
    <cellStyle name="60% - 强调文字颜色 2 42 2" xfId="12819" xr:uid="{A4AC52FD-AAEA-4351-A6D0-373C552E4993}"/>
    <cellStyle name="60% - 强调文字颜色 2 42 2 2" xfId="20076" xr:uid="{D27DBEC2-C69A-4A79-A4C4-2E1D9A62819E}"/>
    <cellStyle name="60% - 强调文字颜色 2 42 3" xfId="20075" xr:uid="{AEA3A96C-F1AF-44A8-9DB7-DF9226229AA6}"/>
    <cellStyle name="60% - 强调文字颜色 2 43" xfId="4952" xr:uid="{CA2DB831-CC37-4BD2-A9BF-C7209B92F613}"/>
    <cellStyle name="60% - 强调文字颜色 2 43 2" xfId="12820" xr:uid="{CB1FD6FE-98C1-4359-8955-77BCD9AD4179}"/>
    <cellStyle name="60% - 强调文字颜色 2 43 2 2" xfId="20078" xr:uid="{E7A0A049-8D19-4225-8BE9-B7E5FB38713A}"/>
    <cellStyle name="60% - 强调文字颜色 2 43 3" xfId="20077" xr:uid="{D93E4981-9F9F-47ED-B362-06F721CFAFA7}"/>
    <cellStyle name="60% - 强调文字颜色 2 44" xfId="4954" xr:uid="{D927D837-1E94-47D0-B9C3-D3E3CA32C30E}"/>
    <cellStyle name="60% - 强调文字颜色 2 44 2" xfId="12821" xr:uid="{74DBC62E-72DB-4550-9127-DC89E246B208}"/>
    <cellStyle name="60% - 强调文字颜色 2 44 2 2" xfId="20080" xr:uid="{6D5DA122-E729-4AB0-8EE9-E8799D6EB8BA}"/>
    <cellStyle name="60% - 强调文字颜色 2 44 3" xfId="20079" xr:uid="{387C2D9C-01AC-41B7-A105-47D2C51F1DF0}"/>
    <cellStyle name="60% - 强调文字颜色 2 45" xfId="4957" xr:uid="{0B967CDD-D0ED-4922-B74C-58075FA0848F}"/>
    <cellStyle name="60% - 强调文字颜色 2 45 2" xfId="12822" xr:uid="{D341C974-652D-4CEA-BAE8-3D8007AF30BD}"/>
    <cellStyle name="60% - 强调文字颜色 2 45 2 2" xfId="20082" xr:uid="{2703C052-6E71-4763-9F44-C8A8432016E8}"/>
    <cellStyle name="60% - 强调文字颜色 2 45 3" xfId="20081" xr:uid="{5A255A38-7F61-4CA4-83BF-B551B246CF64}"/>
    <cellStyle name="60% - 强调文字颜色 2 46" xfId="4959" xr:uid="{D1AE6E8F-00D5-49DE-94F6-70FEC820FB7D}"/>
    <cellStyle name="60% - 强调文字颜色 2 46 2" xfId="12823" xr:uid="{C2E5C81F-ADD4-4700-A536-38106349C7B2}"/>
    <cellStyle name="60% - 强调文字颜色 2 46 2 2" xfId="20084" xr:uid="{852F9D2D-6902-4995-8C29-EE6DBE8E163E}"/>
    <cellStyle name="60% - 强调文字颜色 2 46 3" xfId="20083" xr:uid="{F813408B-C147-471D-8BFF-B49300DCC4C4}"/>
    <cellStyle name="60% - 强调文字颜色 2 47" xfId="4961" xr:uid="{ECF76A82-0CF1-4B97-95A0-D0035BB70EC6}"/>
    <cellStyle name="60% - 强调文字颜色 2 47 2" xfId="12824" xr:uid="{6DA9AB28-5CB7-424F-A1BD-CC769AEE0C5D}"/>
    <cellStyle name="60% - 强调文字颜色 2 47 3" xfId="20085" xr:uid="{78DF0DA1-3F1B-42DF-B814-E7F39A00BCC9}"/>
    <cellStyle name="60% - 强调文字颜色 2 48" xfId="4963" xr:uid="{40F1481B-6C2A-403A-8123-ABA145E447C6}"/>
    <cellStyle name="60% - 强调文字颜色 2 48 2" xfId="12825" xr:uid="{5609BE70-8137-4356-8C97-ADD28ECE6C7E}"/>
    <cellStyle name="60% - 强调文字颜色 2 48 3" xfId="20086" xr:uid="{5B72BE87-7BE2-4CAC-A301-BCD9122586B4}"/>
    <cellStyle name="60% - 强调文字颜色 2 49" xfId="4965" xr:uid="{AB7F7420-19AE-4EA0-8629-BE7DA003CA0A}"/>
    <cellStyle name="60% - 强调文字颜色 2 49 2" xfId="12826" xr:uid="{166858FF-D2F2-46D2-BF93-41437F57D002}"/>
    <cellStyle name="60% - 强调文字颜色 2 49 3" xfId="20087" xr:uid="{51109516-8DC2-45C1-8B1C-460713D08FDD}"/>
    <cellStyle name="60% - 强调文字颜色 2 5" xfId="4967" xr:uid="{3BF83BDB-6116-4A40-9BE3-1EDE6D77AC58}"/>
    <cellStyle name="60% - 强调文字颜色 2 5 2" xfId="10218" xr:uid="{84C85ABC-5B23-4237-9494-755BFD46E8DE}"/>
    <cellStyle name="60% - 强调文字颜色 2 5 2 2" xfId="20090" xr:uid="{21D82CD6-E97C-4EEA-A171-E6F66B0D6A3C}"/>
    <cellStyle name="60% - 强调文字颜色 2 5 2 3" xfId="20089" xr:uid="{7927CDD7-668C-48C7-B649-BC8931884E29}"/>
    <cellStyle name="60% - 强调文字颜色 2 5 3" xfId="10219" xr:uid="{A50F4B97-B593-47F5-AA1E-909CBC28C4CA}"/>
    <cellStyle name="60% - 强调文字颜色 2 5 3 2" xfId="20091" xr:uid="{53921030-CDB3-4031-ADBF-43CDFFA3994B}"/>
    <cellStyle name="60% - 强调文字颜色 2 5 4" xfId="10217" xr:uid="{5B248AB5-C278-4222-B614-B71A08C12075}"/>
    <cellStyle name="60% - 强调文字颜色 2 5 4 2" xfId="20092" xr:uid="{FB14705E-7AF3-47C8-91D7-972E692D6942}"/>
    <cellStyle name="60% - 强调文字颜色 2 5 5" xfId="20088" xr:uid="{152AB17A-FD46-4BB9-84C7-529A747C97C3}"/>
    <cellStyle name="60% - 强调文字颜色 2 50" xfId="4958" xr:uid="{F622CC17-7DD7-43C0-9A88-8C046AF7E5DF}"/>
    <cellStyle name="60% - 强调文字颜色 2 50 2" xfId="12827" xr:uid="{9AB7D9AB-42BF-48D8-BCE5-00ABBC03B1D7}"/>
    <cellStyle name="60% - 强调文字颜色 2 50 3" xfId="20093" xr:uid="{8EE1DCF6-FAE3-4196-9D07-AA92AC1D4047}"/>
    <cellStyle name="60% - 强调文字颜色 2 51" xfId="4960" xr:uid="{AA24018A-D8FF-440C-972C-DCDFA775DBD1}"/>
    <cellStyle name="60% - 强调文字颜色 2 51 2" xfId="12828" xr:uid="{7D299BA4-B1FD-46FB-B75F-6E0EB3A84488}"/>
    <cellStyle name="60% - 强调文字颜色 2 51 3" xfId="20094" xr:uid="{4603738C-3709-4FF0-8D72-1698AEF659F9}"/>
    <cellStyle name="60% - 强调文字颜色 2 52" xfId="4962" xr:uid="{1A56D90F-DAD4-4629-957A-995F27B0095E}"/>
    <cellStyle name="60% - 强调文字颜色 2 52 2" xfId="12829" xr:uid="{B86F7F58-2432-47C4-BD2D-0AE63AE0F4A8}"/>
    <cellStyle name="60% - 强调文字颜色 2 52 3" xfId="20095" xr:uid="{72DADC37-BA57-4328-B5BA-C1DB9922DB8A}"/>
    <cellStyle name="60% - 强调文字颜色 2 53" xfId="4964" xr:uid="{C7C1B34E-327C-4A7A-A568-5E9C9C28ABA8}"/>
    <cellStyle name="60% - 强调文字颜色 2 53 2" xfId="12830" xr:uid="{7677E447-167F-4C7A-AC2D-DBF890F4DE1D}"/>
    <cellStyle name="60% - 强调文字颜色 2 53 3" xfId="20096" xr:uid="{B1D7E087-386A-457B-82A1-B06160F72162}"/>
    <cellStyle name="60% - 强调文字颜色 2 54" xfId="4966" xr:uid="{BA0631D5-CF5D-4B6B-8F9D-3C8B6160A1BD}"/>
    <cellStyle name="60% - 强调文字颜色 2 54 2" xfId="12831" xr:uid="{BD85ADED-84C9-4B9D-952C-83D500EAAE13}"/>
    <cellStyle name="60% - 强调文字颜色 2 54 3" xfId="20097" xr:uid="{13EE07A0-CFE8-4F23-9816-D7BC47E9ECED}"/>
    <cellStyle name="60% - 强调文字颜色 2 55" xfId="4968" xr:uid="{16305B51-DEB6-40E9-8A5D-2E9869F79072}"/>
    <cellStyle name="60% - 强调文字颜色 2 55 2" xfId="12832" xr:uid="{3F1525DA-9DE5-4BBB-88FB-3429C73A7E66}"/>
    <cellStyle name="60% - 强调文字颜色 2 55 3" xfId="20098" xr:uid="{CE553BD4-C574-4970-AB10-DE4F7319387B}"/>
    <cellStyle name="60% - 强调文字颜色 2 56" xfId="4970" xr:uid="{688CC87A-A458-4973-BFB8-EEE646D41847}"/>
    <cellStyle name="60% - 强调文字颜色 2 56 2" xfId="12833" xr:uid="{16A54219-ED0D-4AAE-B9BC-388C59E33C21}"/>
    <cellStyle name="60% - 强调文字颜色 2 56 3" xfId="20099" xr:uid="{2D43E5F7-B9F7-45FF-8AE3-7915FC6FFA0F}"/>
    <cellStyle name="60% - 强调文字颜色 2 57" xfId="4972" xr:uid="{01A2CF92-FC2B-4F2F-855C-25DF63FD8887}"/>
    <cellStyle name="60% - 强调文字颜色 2 57 2" xfId="12834" xr:uid="{8E04635D-6BD7-4D77-AEAB-465E84208EB6}"/>
    <cellStyle name="60% - 强调文字颜色 2 58" xfId="4974" xr:uid="{3E2E9CE8-8945-4847-A632-51F415A2DCD1}"/>
    <cellStyle name="60% - 强调文字颜色 2 58 2" xfId="12835" xr:uid="{950DEE4D-8451-430B-92B4-B032B5F6D1C3}"/>
    <cellStyle name="60% - 强调文字颜色 2 59" xfId="4976" xr:uid="{32C36E70-9E8E-43C2-A081-566ACFC22AF8}"/>
    <cellStyle name="60% - 强调文字颜色 2 59 2" xfId="12836" xr:uid="{9E7B95C3-46A0-443E-B628-84B563C755D5}"/>
    <cellStyle name="60% - 强调文字颜色 2 6" xfId="4978" xr:uid="{9CB1058F-6DAF-4109-B58A-6F5B2A0756FC}"/>
    <cellStyle name="60% - 强调文字颜色 2 6 2" xfId="126" xr:uid="{41134146-1537-4B7E-A925-FB99D17ADCAB}"/>
    <cellStyle name="60% - 强调文字颜色 2 6 2 2" xfId="10221" xr:uid="{DDCAE7A8-6D9A-4FE5-BB43-CF3070E50D41}"/>
    <cellStyle name="60% - 强调文字颜色 2 6 2 2 2" xfId="20102" xr:uid="{3779B5DA-508E-4018-AB7F-F4BA214423A2}"/>
    <cellStyle name="60% - 强调文字颜色 2 6 2 3" xfId="20101" xr:uid="{8D8989DF-5889-4BFE-8397-5B7F3F79A29F}"/>
    <cellStyle name="60% - 强调文字颜色 2 6 3" xfId="10222" xr:uid="{BE5ED028-E6BE-4346-9F81-7ACDED345E88}"/>
    <cellStyle name="60% - 强调文字颜色 2 6 3 2" xfId="20103" xr:uid="{86F2E09E-1669-4A1C-9245-44833F56E6AC}"/>
    <cellStyle name="60% - 强调文字颜色 2 6 4" xfId="10220" xr:uid="{814C70E5-2A39-4788-9381-8EFD96A93800}"/>
    <cellStyle name="60% - 强调文字颜色 2 6 4 2" xfId="20104" xr:uid="{3CD2D2C8-D342-48CA-8BCC-7D19B7FCF0BF}"/>
    <cellStyle name="60% - 强调文字颜色 2 6 5" xfId="20100" xr:uid="{1C0BAE3F-BDC9-4B8B-95A7-D36BD78292B4}"/>
    <cellStyle name="60% - 强调文字颜色 2 60" xfId="4969" xr:uid="{839F53E4-67CD-4059-A8C9-433F60E9EB8D}"/>
    <cellStyle name="60% - 强调文字颜色 2 60 2" xfId="12837" xr:uid="{D5A8653D-4CF6-461D-B0FE-03203940868A}"/>
    <cellStyle name="60% - 强调文字颜色 2 61" xfId="4971" xr:uid="{F53821CC-C127-45BD-86F0-E6EBB76439F0}"/>
    <cellStyle name="60% - 强调文字颜色 2 61 2" xfId="12838" xr:uid="{922BB92E-9454-40D5-8D8D-9659D907A109}"/>
    <cellStyle name="60% - 强调文字颜色 2 62" xfId="4973" xr:uid="{E178E28A-AB75-4D9A-BB46-783E116536E1}"/>
    <cellStyle name="60% - 强调文字颜色 2 62 2" xfId="12839" xr:uid="{7F5942BD-3DF9-42D3-82D7-820F0BBE8015}"/>
    <cellStyle name="60% - 强调文字颜色 2 63" xfId="4975" xr:uid="{C3212ECB-5453-4E20-93E2-B27B92D984C1}"/>
    <cellStyle name="60% - 强调文字颜色 2 63 2" xfId="12840" xr:uid="{8A33A147-3ABC-4658-9575-8413D1A8C630}"/>
    <cellStyle name="60% - 强调文字颜色 2 64" xfId="4977" xr:uid="{25BE0458-C9ED-439B-8156-36B4DEAAB361}"/>
    <cellStyle name="60% - 强调文字颜色 2 64 2" xfId="12841" xr:uid="{0A040010-A053-4A3E-BBB5-BE2D96176440}"/>
    <cellStyle name="60% - 强调文字颜色 2 65" xfId="4979" xr:uid="{0DD2B07C-BF01-406D-AA01-C856C35C61A8}"/>
    <cellStyle name="60% - 强调文字颜色 2 65 2" xfId="12842" xr:uid="{9B4EADBF-0576-43FA-A7BC-5D92BEBB0FD3}"/>
    <cellStyle name="60% - 强调文字颜色 2 66" xfId="4981" xr:uid="{3A8A581A-127C-40F5-925A-8EA1E6F39312}"/>
    <cellStyle name="60% - 强调文字颜色 2 66 2" xfId="12843" xr:uid="{80D9E281-47C6-47D3-A471-6437BA031397}"/>
    <cellStyle name="60% - 强调文字颜色 2 67" xfId="114" xr:uid="{A2783520-74A7-447E-8DAF-22DF04CAAB77}"/>
    <cellStyle name="60% - 强调文字颜色 2 67 2" xfId="12844" xr:uid="{09B1D791-975F-499A-9975-A6DD002768D1}"/>
    <cellStyle name="60% - 强调文字颜色 2 68" xfId="143" xr:uid="{000250B5-7AE0-42EB-B127-0540D794E5BA}"/>
    <cellStyle name="60% - 强调文字颜色 2 68 2" xfId="12845" xr:uid="{B747F0ED-F460-4871-B9A8-3AF967B11842}"/>
    <cellStyle name="60% - 强调文字颜色 2 69" xfId="151" xr:uid="{20F46D5D-9B7D-426A-99A4-7EBD1E011A61}"/>
    <cellStyle name="60% - 强调文字颜色 2 69 2" xfId="12846" xr:uid="{1804A168-6DB5-4A12-A9C2-B62564D42F4A}"/>
    <cellStyle name="60% - 强调文字颜色 2 7" xfId="4983" xr:uid="{4BC0A621-6B24-4187-9C95-8D316C881396}"/>
    <cellStyle name="60% - 强调文字颜色 2 7 2" xfId="4984" xr:uid="{7676732E-B8F4-4E0B-A8AF-57EB205DCF12}"/>
    <cellStyle name="60% - 强调文字颜色 2 7 2 2" xfId="10224" xr:uid="{72D3BD17-5C9D-4483-9F9D-16B39EB65CBD}"/>
    <cellStyle name="60% - 强调文字颜色 2 7 2 2 2" xfId="20107" xr:uid="{A1BBEF78-E6F3-4BBC-8A6F-AB6A71E55708}"/>
    <cellStyle name="60% - 强调文字颜色 2 7 2 3" xfId="20106" xr:uid="{2DC2ECB6-1BDC-4CFD-8F6E-1868721CF3CD}"/>
    <cellStyle name="60% - 强调文字颜色 2 7 3" xfId="10225" xr:uid="{F4737162-5CDC-4956-865A-83B2D3F43C1E}"/>
    <cellStyle name="60% - 强调文字颜色 2 7 3 2" xfId="20108" xr:uid="{D20176AA-ADA0-42D8-9E67-321B63F1C9AB}"/>
    <cellStyle name="60% - 强调文字颜色 2 7 4" xfId="10223" xr:uid="{28E424B2-832A-4F34-8B3B-D2CC428EDDF4}"/>
    <cellStyle name="60% - 强调文字颜色 2 7 4 2" xfId="20109" xr:uid="{660623A7-6445-4E7A-B7DD-765E3AFE9845}"/>
    <cellStyle name="60% - 强调文字颜色 2 7 5" xfId="20105" xr:uid="{FCC661C5-D38E-42E0-8CD7-E170BFA28822}"/>
    <cellStyle name="60% - 强调文字颜色 2 70" xfId="4980" xr:uid="{ED9E4F25-0DA6-407D-A6D0-1F211B7830D2}"/>
    <cellStyle name="60% - 强调文字颜色 2 70 2" xfId="12848" xr:uid="{11AF02FE-70BB-4539-B8FE-8733B2515868}"/>
    <cellStyle name="60% - 强调文字颜色 2 71" xfId="4982" xr:uid="{6938952F-EA9C-410B-A38D-7FFBD4DF65FC}"/>
    <cellStyle name="60% - 强调文字颜色 2 71 2" xfId="12849" xr:uid="{1A677F30-AAC1-4582-9B67-D154E099B68D}"/>
    <cellStyle name="60% - 强调文字颜色 2 72" xfId="115" xr:uid="{0162380A-3804-4E3E-BF62-F0B82F0C1504}"/>
    <cellStyle name="60% - 强调文字颜色 2 72 2" xfId="12850" xr:uid="{F838D504-44FC-44AB-A933-2CCCB69131C3}"/>
    <cellStyle name="60% - 强调文字颜色 2 73" xfId="144" xr:uid="{8962B6D3-A413-4A05-976A-0A323957E3E3}"/>
    <cellStyle name="60% - 强调文字颜色 2 73 2" xfId="12851" xr:uid="{2C43AFBD-E756-4EAB-AE18-D38B8F197E97}"/>
    <cellStyle name="60% - 强调文字颜色 2 74" xfId="152" xr:uid="{C511DC7F-8FE0-4334-A6BC-759200EFABC2}"/>
    <cellStyle name="60% - 强调文字颜色 2 74 2" xfId="12852" xr:uid="{2E4828AD-0EB2-4253-A38C-B321F7AB7398}"/>
    <cellStyle name="60% - 强调文字颜色 2 75" xfId="163" xr:uid="{B7782D22-C5C2-4B9D-B119-FF91282F261B}"/>
    <cellStyle name="60% - 强调文字颜色 2 75 2" xfId="12853" xr:uid="{5002A3D3-14D8-4108-AB9E-0BB49B08D033}"/>
    <cellStyle name="60% - 强调文字颜色 2 76" xfId="4985" xr:uid="{D149670D-C948-4B2F-94B7-903924CF66C5}"/>
    <cellStyle name="60% - 强调文字颜色 2 76 2" xfId="12854" xr:uid="{80AD5EDA-840F-4D96-8E38-1ED1F8B8E668}"/>
    <cellStyle name="60% - 强调文字颜色 2 77" xfId="4987" xr:uid="{CE75DE67-7C16-48C6-A743-0D305BA462A9}"/>
    <cellStyle name="60% - 强调文字颜色 2 77 2" xfId="12855" xr:uid="{D144453B-F41A-4E55-8A40-B2EFAAA3DA9D}"/>
    <cellStyle name="60% - 强调文字颜色 2 78" xfId="4989" xr:uid="{E9E555A9-E948-426D-B099-6F22846CFEA5}"/>
    <cellStyle name="60% - 强调文字颜色 2 78 2" xfId="12856" xr:uid="{40D48CF3-BBED-4B41-AD36-35DA2BC21B15}"/>
    <cellStyle name="60% - 强调文字颜色 2 79" xfId="4991" xr:uid="{3EB9F93F-5D86-469E-B770-74925C927EAC}"/>
    <cellStyle name="60% - 强调文字颜色 2 79 2" xfId="12857" xr:uid="{69AC3836-8C4A-442C-9C4A-B7F5ABC296F5}"/>
    <cellStyle name="60% - 强调文字颜色 2 8" xfId="4993" xr:uid="{317CABA4-DBA6-4BD2-BE76-1D4A53D2D5ED}"/>
    <cellStyle name="60% - 强调文字颜色 2 8 2" xfId="4994" xr:uid="{77843261-DB7F-49B2-AF0D-FFA329E928FC}"/>
    <cellStyle name="60% - 强调文字颜色 2 8 2 2" xfId="10227" xr:uid="{002DB139-99C5-4AB7-A6AE-C51FA09A29AE}"/>
    <cellStyle name="60% - 强调文字颜色 2 8 2 2 2" xfId="20112" xr:uid="{71CF8867-0E66-49E5-B9E3-60467D6B7115}"/>
    <cellStyle name="60% - 强调文字颜色 2 8 2 3" xfId="20111" xr:uid="{65167C4D-D171-4F6B-B14C-C7974807C404}"/>
    <cellStyle name="60% - 强调文字颜色 2 8 3" xfId="10228" xr:uid="{56E91173-FF9C-44E7-AAA0-A1544236106A}"/>
    <cellStyle name="60% - 强调文字颜色 2 8 3 2" xfId="20113" xr:uid="{631822B1-3F05-4AF5-9772-D60381EC09EC}"/>
    <cellStyle name="60% - 强调文字颜色 2 8 4" xfId="10226" xr:uid="{F8894B80-ACFA-4339-84C3-A1DCA861874C}"/>
    <cellStyle name="60% - 强调文字颜色 2 8 4 2" xfId="20114" xr:uid="{4486ACB0-9DA9-400F-9E87-6DA66F9C28BE}"/>
    <cellStyle name="60% - 强调文字颜色 2 8 5" xfId="20110" xr:uid="{712AD864-002A-4880-8B42-FF118367486B}"/>
    <cellStyle name="60% - 强调文字颜色 2 80" xfId="164" xr:uid="{4A80CC78-FAEF-4B33-996B-9FABEC96718A}"/>
    <cellStyle name="60% - 强调文字颜色 2 80 2" xfId="12859" xr:uid="{1DB8823D-3473-4FA7-A2FB-D6B3A7336A97}"/>
    <cellStyle name="60% - 强调文字颜色 2 81" xfId="4986" xr:uid="{7F96D193-5597-4B2B-AEE1-047885491A2D}"/>
    <cellStyle name="60% - 强调文字颜色 2 81 2" xfId="12860" xr:uid="{2D632752-839E-4539-9974-0FD18F050D7D}"/>
    <cellStyle name="60% - 强调文字颜色 2 82" xfId="4988" xr:uid="{814EAE0A-1AA9-4503-B96C-49F950E5FC6A}"/>
    <cellStyle name="60% - 强调文字颜色 2 82 2" xfId="12861" xr:uid="{1B0ED115-919C-45B8-8CAF-6D047FCAC2B8}"/>
    <cellStyle name="60% - 强调文字颜色 2 83" xfId="4990" xr:uid="{E923F858-3A99-48EA-8B5E-69BB095F1EF5}"/>
    <cellStyle name="60% - 强调文字颜色 2 83 2" xfId="12862" xr:uid="{B18EC71A-CFEC-4A07-B7E5-54B59A33A0C1}"/>
    <cellStyle name="60% - 强调文字颜色 2 84" xfId="4992" xr:uid="{3653C43C-67FA-48D1-8E83-E516752EA007}"/>
    <cellStyle name="60% - 强调文字颜色 2 84 2" xfId="12863" xr:uid="{6E679695-666D-49FE-8D2C-C85A268C2673}"/>
    <cellStyle name="60% - 强调文字颜色 2 85" xfId="9343" xr:uid="{0F36575E-1701-4538-BCD8-61F0C393D567}"/>
    <cellStyle name="60% - 强调文字颜色 2 86" xfId="10178" xr:uid="{394DF520-364D-4CD5-8AD7-3D9F15801AE3}"/>
    <cellStyle name="60% - 强调文字颜色 2 87" xfId="13604" xr:uid="{16BC7253-1BC3-4AC6-96FE-649AC1B3162E}"/>
    <cellStyle name="60% - 强调文字颜色 2 88" xfId="27179" xr:uid="{B6BDD5F6-0B48-4D2B-A2E9-016DA5F6102E}"/>
    <cellStyle name="60% - 强调文字颜色 2 89" xfId="27238" xr:uid="{1A8E600F-E040-43EC-A9ED-6FC9509378F2}"/>
    <cellStyle name="60% - 强调文字颜色 2 9" xfId="4995" xr:uid="{81FC95C8-B3F2-435F-89D8-52290219481D}"/>
    <cellStyle name="60% - 强调文字颜色 2 9 2" xfId="10230" xr:uid="{E8638906-7181-4374-93A2-E5BDB9306E9D}"/>
    <cellStyle name="60% - 强调文字颜色 2 9 2 2" xfId="20117" xr:uid="{70A46D28-99EF-41DB-A156-017F461C0176}"/>
    <cellStyle name="60% - 强调文字颜色 2 9 2 3" xfId="20116" xr:uid="{D4F6A5A9-2B6F-48D9-9C0A-B069A582282D}"/>
    <cellStyle name="60% - 强调文字颜色 2 9 3" xfId="10231" xr:uid="{EFFA5215-5A2F-4548-8F30-7F1E1A7DB355}"/>
    <cellStyle name="60% - 强调文字颜色 2 9 3 2" xfId="20118" xr:uid="{C19ED1D0-0DF3-4788-A8B5-115AB6F9CDCA}"/>
    <cellStyle name="60% - 强调文字颜色 2 9 4" xfId="10229" xr:uid="{13366BE1-172F-4733-9779-AA385BE8FC9C}"/>
    <cellStyle name="60% - 强调文字颜色 2 9 4 2" xfId="20119" xr:uid="{E72E4F08-7FF4-4E79-9050-85E9A0CEED60}"/>
    <cellStyle name="60% - 强调文字颜色 2 9 5" xfId="20115" xr:uid="{50248FE7-41B0-4524-873F-5B99F85E7A76}"/>
    <cellStyle name="60% - 强调文字颜色 2 90" xfId="27239" xr:uid="{FE02C00D-179B-41F7-A9B0-56B75002BA98}"/>
    <cellStyle name="60% - 强调文字颜色 3" xfId="4996" xr:uid="{FD21CC2A-BADA-4F74-89C8-A6E6E31C3D8A}"/>
    <cellStyle name="60% - 强调文字颜色 3 10" xfId="4997" xr:uid="{4E0547CF-9AF5-4C94-8EFA-C5FB15C4429D}"/>
    <cellStyle name="60% - 强调文字颜色 3 10 2" xfId="10234" xr:uid="{78DC50FF-47A0-43D1-B3A8-3CA6A6CFB4C8}"/>
    <cellStyle name="60% - 强调文字颜色 3 10 2 2" xfId="20122" xr:uid="{6F603C3B-1AEE-404A-BB5B-92E6C0C635AE}"/>
    <cellStyle name="60% - 强调文字颜色 3 10 2 3" xfId="20121" xr:uid="{5790F6C3-B46B-4DF3-AB58-F64CA6C80D85}"/>
    <cellStyle name="60% - 强调文字颜色 3 10 3" xfId="10235" xr:uid="{57F63943-FE4D-4918-93D7-0954A426E58A}"/>
    <cellStyle name="60% - 强调文字颜色 3 10 3 2" xfId="20123" xr:uid="{988571D0-5535-40D1-ABD7-2A5A00C32BCE}"/>
    <cellStyle name="60% - 强调文字颜色 3 10 4" xfId="10233" xr:uid="{B3ECDF5B-9621-4A5C-9F24-4D130138FFF3}"/>
    <cellStyle name="60% - 强调文字颜色 3 10 4 2" xfId="20124" xr:uid="{CF6DB1B7-D61B-4E8B-901A-DD702DBB5C58}"/>
    <cellStyle name="60% - 强调文字颜色 3 10 5" xfId="20120" xr:uid="{F4128B64-9039-440F-9055-49D042DA6E7C}"/>
    <cellStyle name="60% - 强调文字颜色 3 11" xfId="726" xr:uid="{8BD3CDAB-B8DD-4361-8F67-AE13C8E57F3A}"/>
    <cellStyle name="60% - 强调文字颜色 3 11 2" xfId="10237" xr:uid="{73BE7E6F-1391-489B-8F29-CECDFAB1B1D0}"/>
    <cellStyle name="60% - 强调文字颜色 3 11 2 2" xfId="20127" xr:uid="{C9890585-1C76-4678-978C-B605ECBF153F}"/>
    <cellStyle name="60% - 强调文字颜色 3 11 2 3" xfId="20126" xr:uid="{F06878F6-58AB-4D9C-B83D-D59BAE0E8DD7}"/>
    <cellStyle name="60% - 强调文字颜色 3 11 3" xfId="10238" xr:uid="{C7B77A65-514A-434C-97EE-6A14E1C0E18D}"/>
    <cellStyle name="60% - 强调文字颜色 3 11 3 2" xfId="20128" xr:uid="{AAE50AB0-1449-4443-9616-E2D6C382A981}"/>
    <cellStyle name="60% - 强调文字颜色 3 11 4" xfId="10236" xr:uid="{9AED1CA1-172C-42BB-B0EE-20153387596A}"/>
    <cellStyle name="60% - 强调文字颜色 3 11 4 2" xfId="20129" xr:uid="{ED51F77C-4E90-42A1-9E31-6AB1C07B55C7}"/>
    <cellStyle name="60% - 强调文字颜色 3 11 5" xfId="20125" xr:uid="{1FD3A820-FBFC-46A8-A884-697C11C6156C}"/>
    <cellStyle name="60% - 强调文字颜色 3 12" xfId="4999" xr:uid="{436B6FB3-48F0-4782-A102-D01CC487525D}"/>
    <cellStyle name="60% - 强调文字颜色 3 12 2" xfId="10240" xr:uid="{8D0817CB-C1F3-40B2-A710-52C284672723}"/>
    <cellStyle name="60% - 强调文字颜色 3 12 2 2" xfId="20132" xr:uid="{3CDD2781-7F78-4018-B336-7765CC398941}"/>
    <cellStyle name="60% - 强调文字颜色 3 12 2 3" xfId="20131" xr:uid="{C45540B0-FD50-4244-9A04-AF9C0EA6E96C}"/>
    <cellStyle name="60% - 强调文字颜色 3 12 3" xfId="10241" xr:uid="{9915BC2C-6853-4D92-9CB6-4E838353070B}"/>
    <cellStyle name="60% - 强调文字颜色 3 12 3 2" xfId="20133" xr:uid="{97C70BBE-E07B-4D8C-A344-9A1208698BE2}"/>
    <cellStyle name="60% - 强调文字颜色 3 12 4" xfId="10239" xr:uid="{8B8A7EB7-C3A3-4208-A37A-AE440941D533}"/>
    <cellStyle name="60% - 强调文字颜色 3 12 4 2" xfId="20134" xr:uid="{D3FDA4A1-F979-451E-A7AB-F524575387D7}"/>
    <cellStyle name="60% - 强调文字颜色 3 12 5" xfId="20130" xr:uid="{36B91E85-1E0B-4D2B-84A8-CF79458B6957}"/>
    <cellStyle name="60% - 强调文字颜色 3 13" xfId="5000" xr:uid="{0611E727-3E6B-4E55-B319-1B91EBD2D5D4}"/>
    <cellStyle name="60% - 强调文字颜色 3 13 2" xfId="10243" xr:uid="{80AB3682-8381-4A93-83FF-A11EDECC7BC8}"/>
    <cellStyle name="60% - 强调文字颜色 3 13 2 2" xfId="20137" xr:uid="{34CC87E1-27B9-427A-A4ED-CD909A36C911}"/>
    <cellStyle name="60% - 强调文字颜色 3 13 2 3" xfId="20136" xr:uid="{7C16AFE1-2BFE-4A3E-8B83-BCDB7EE03CDD}"/>
    <cellStyle name="60% - 强调文字颜色 3 13 3" xfId="10244" xr:uid="{7A91F214-B6AA-4E0D-9217-3C716C05E71E}"/>
    <cellStyle name="60% - 强调文字颜色 3 13 3 2" xfId="20138" xr:uid="{FFDE920D-F074-4B21-BE8C-C00E21C4FFF3}"/>
    <cellStyle name="60% - 强调文字颜色 3 13 4" xfId="10242" xr:uid="{7C30DDE7-3E79-4CA8-BB13-29ED9718652C}"/>
    <cellStyle name="60% - 强调文字颜色 3 13 4 2" xfId="20139" xr:uid="{EA640DC4-8783-4EE8-AE87-A953CEF39ADF}"/>
    <cellStyle name="60% - 强调文字颜色 3 13 5" xfId="20135" xr:uid="{CFB27EA0-C3A8-4BED-8A2C-41EE90A9E814}"/>
    <cellStyle name="60% - 强调文字颜色 3 14" xfId="5001" xr:uid="{DF698BAE-2049-426F-9918-2603C7974E4A}"/>
    <cellStyle name="60% - 强调文字颜色 3 14 2" xfId="10246" xr:uid="{4EAC5606-AA52-4155-9145-8741014836F1}"/>
    <cellStyle name="60% - 强调文字颜色 3 14 2 2" xfId="20142" xr:uid="{B46FFFF6-2391-4088-BBEF-5B3194EBCA6D}"/>
    <cellStyle name="60% - 强调文字颜色 3 14 2 3" xfId="20141" xr:uid="{CC8626AD-C2A0-4734-A18D-8A0459AE72BB}"/>
    <cellStyle name="60% - 强调文字颜色 3 14 3" xfId="10247" xr:uid="{34AB3DEE-BC1A-4F2E-933A-45AEE695FCEA}"/>
    <cellStyle name="60% - 强调文字颜色 3 14 3 2" xfId="20143" xr:uid="{EC3C418D-473F-45FF-BFBC-90507FD21A47}"/>
    <cellStyle name="60% - 强调文字颜色 3 14 4" xfId="10245" xr:uid="{B544CBB3-FC00-4294-9BBC-ADBE9A286E95}"/>
    <cellStyle name="60% - 强调文字颜色 3 14 4 2" xfId="20144" xr:uid="{B41EE6F6-49E7-4119-8B98-78E132DFDCB8}"/>
    <cellStyle name="60% - 强调文字颜色 3 14 5" xfId="20140" xr:uid="{A500E7A9-1891-47AC-88EC-2C7E52833FFE}"/>
    <cellStyle name="60% - 强调文字颜色 3 15" xfId="5002" xr:uid="{61F9D7CA-00CE-4AD3-A3CE-E28808C0D6E9}"/>
    <cellStyle name="60% - 强调文字颜色 3 15 2" xfId="10249" xr:uid="{AEF3EBA9-B955-4E9B-BAFC-51E5A89A60E6}"/>
    <cellStyle name="60% - 强调文字颜色 3 15 2 2" xfId="20147" xr:uid="{AFDF593F-3AAA-491B-B91B-A0BDF671F487}"/>
    <cellStyle name="60% - 强调文字颜色 3 15 2 3" xfId="20146" xr:uid="{9F5F0E12-792F-42EE-8092-0C4DD3833C4F}"/>
    <cellStyle name="60% - 强调文字颜色 3 15 3" xfId="10250" xr:uid="{41C9441D-A196-48F2-855E-61FA3D6BA1BC}"/>
    <cellStyle name="60% - 强调文字颜色 3 15 3 2" xfId="20148" xr:uid="{6E18E525-6AB5-411A-AE08-46988CD5B936}"/>
    <cellStyle name="60% - 强调文字颜色 3 15 4" xfId="10248" xr:uid="{7F8F3FEA-6E18-47F6-879E-C0EF34A15BD6}"/>
    <cellStyle name="60% - 强调文字颜色 3 15 4 2" xfId="20149" xr:uid="{4A2A281C-6499-46A3-A8B5-FC14A7B60613}"/>
    <cellStyle name="60% - 强调文字颜色 3 15 5" xfId="20145" xr:uid="{1D856814-E0AE-4E8D-B970-E3BF269BDC47}"/>
    <cellStyle name="60% - 强调文字颜色 3 16" xfId="5004" xr:uid="{F5A0301F-1BC5-4AD6-BE93-68138FC45811}"/>
    <cellStyle name="60% - 强调文字颜色 3 16 2" xfId="10252" xr:uid="{0137E46B-B244-4F3D-B289-2F4E6807E940}"/>
    <cellStyle name="60% - 强调文字颜色 3 16 2 2" xfId="20152" xr:uid="{42323A41-F3AB-444A-BE99-671F335F94F0}"/>
    <cellStyle name="60% - 强调文字颜色 3 16 2 3" xfId="20151" xr:uid="{FF168198-D5B6-4248-B019-A86DEFD8C65D}"/>
    <cellStyle name="60% - 强调文字颜色 3 16 3" xfId="10253" xr:uid="{D5A683EC-528E-4A06-9F45-33D97DF2C7AA}"/>
    <cellStyle name="60% - 强调文字颜色 3 16 3 2" xfId="20153" xr:uid="{D014F529-50FB-4015-A6A3-D252BDBA5F1F}"/>
    <cellStyle name="60% - 强调文字颜色 3 16 4" xfId="10251" xr:uid="{ED5801D1-AE47-4399-AC85-831FB29C84A9}"/>
    <cellStyle name="60% - 强调文字颜色 3 16 4 2" xfId="20154" xr:uid="{D800B7DD-0358-42CE-9176-C8F2808189EF}"/>
    <cellStyle name="60% - 强调文字颜色 3 16 5" xfId="20150" xr:uid="{BAD05C99-7FA1-43BA-ADA0-68A2C5DDF056}"/>
    <cellStyle name="60% - 强调文字颜色 3 17" xfId="1005" xr:uid="{E4511075-CC20-46DB-B26F-72014E4659DA}"/>
    <cellStyle name="60% - 强调文字颜色 3 17 2" xfId="10255" xr:uid="{9FCA9F97-E112-4638-8926-102B8CF89835}"/>
    <cellStyle name="60% - 强调文字颜色 3 17 2 2" xfId="20157" xr:uid="{48D270DA-B51F-43FA-99F0-5D467F841C9B}"/>
    <cellStyle name="60% - 强调文字颜色 3 17 2 3" xfId="20156" xr:uid="{8D679AD0-2837-4BF0-A05A-56FFCBBAD238}"/>
    <cellStyle name="60% - 强调文字颜色 3 17 3" xfId="10256" xr:uid="{99C433C3-706B-4570-8341-4C1C7CE4FA0C}"/>
    <cellStyle name="60% - 强调文字颜色 3 17 3 2" xfId="20158" xr:uid="{FA276EDD-1358-482B-B043-D80DE630A36E}"/>
    <cellStyle name="60% - 强调文字颜色 3 17 4" xfId="10254" xr:uid="{B08E7E94-7D86-4C74-B074-FE12628744E4}"/>
    <cellStyle name="60% - 强调文字颜色 3 17 4 2" xfId="20159" xr:uid="{7EB9F557-9135-42D0-BB8F-7950F396CBE2}"/>
    <cellStyle name="60% - 强调文字颜色 3 17 5" xfId="20155" xr:uid="{FA044452-AD92-4E09-A1F5-380E3BD7A7CC}"/>
    <cellStyle name="60% - 强调文字颜色 3 18" xfId="5006" xr:uid="{E6CADA43-78CB-4893-B17B-D6CC630BF436}"/>
    <cellStyle name="60% - 强调文字颜色 3 18 2" xfId="10257" xr:uid="{0998DA1E-E538-43EB-894D-6DD9D2CF88A5}"/>
    <cellStyle name="60% - 强调文字颜色 3 18 2 2" xfId="20162" xr:uid="{9AED0B29-CBA1-45BA-92F8-2C8403D33EFE}"/>
    <cellStyle name="60% - 强调文字颜色 3 18 2 3" xfId="20161" xr:uid="{24AED716-90E9-4F07-89C2-30F8E2D4AD7C}"/>
    <cellStyle name="60% - 强调文字颜色 3 18 3" xfId="20163" xr:uid="{98171047-93FD-4CF1-BAEC-87EC169197AC}"/>
    <cellStyle name="60% - 强调文字颜色 3 18 4" xfId="20164" xr:uid="{A6631D89-07F2-4448-9D8D-5DE89C1BC7FB}"/>
    <cellStyle name="60% - 强调文字颜色 3 18 5" xfId="20160" xr:uid="{ADEEA34B-A14C-4A60-9AD0-1E3255C13348}"/>
    <cellStyle name="60% - 强调文字颜色 3 19" xfId="5008" xr:uid="{77EEFFD7-CD8C-45A0-9B6C-5986DECC0810}"/>
    <cellStyle name="60% - 强调文字颜色 3 19 2" xfId="10258" xr:uid="{E37454E6-A8C1-4AA5-94BB-B878503C179D}"/>
    <cellStyle name="60% - 强调文字颜色 3 19 2 2" xfId="20167" xr:uid="{472F0992-A0E3-49A7-A5FE-9638E594788D}"/>
    <cellStyle name="60% - 强调文字颜色 3 19 2 3" xfId="20166" xr:uid="{80BF9BAC-2948-41B8-ADE3-1EFD83590E99}"/>
    <cellStyle name="60% - 强调文字颜色 3 19 3" xfId="20168" xr:uid="{ECC8709A-ABC7-4C95-B979-5857A75F00E9}"/>
    <cellStyle name="60% - 强调文字颜色 3 19 4" xfId="20169" xr:uid="{53C26978-5DBF-4E5B-B3AB-7D46F5F32D34}"/>
    <cellStyle name="60% - 强调文字颜色 3 19 5" xfId="20165" xr:uid="{987D92DE-162C-4E31-A24C-991B54C01760}"/>
    <cellStyle name="60% - 强调文字颜色 3 2" xfId="2427" xr:uid="{AC563BD3-4414-402F-B752-DD2107AD27A6}"/>
    <cellStyle name="60% - 强调文字颜色 3 2 10" xfId="5010" xr:uid="{37678755-74DA-468C-9890-CEA52CFC03CD}"/>
    <cellStyle name="60% - 强调文字颜色 3 2 11" xfId="5011" xr:uid="{DF89719C-13BB-4EEB-BA35-079611CB7D11}"/>
    <cellStyle name="60% - 强调文字颜色 3 2 12" xfId="5012" xr:uid="{17432B5C-A901-4CA4-BA27-4E7EA5249354}"/>
    <cellStyle name="60% - 强调文字颜色 3 2 13" xfId="5013" xr:uid="{0910D815-5DD6-4D38-96DB-7C5463518D3D}"/>
    <cellStyle name="60% - 强调文字颜色 3 2 14" xfId="5014" xr:uid="{B248BD3F-03AF-46FD-BEB5-F5A842B70298}"/>
    <cellStyle name="60% - 强调文字颜色 3 2 15" xfId="10259" xr:uid="{3AB8FFAE-5331-4E34-922E-3D55930FFDD8}"/>
    <cellStyle name="60% - 强调文字颜色 3 2 16" xfId="12667" xr:uid="{9FB45484-A59E-4BD4-80AA-78D3A089111A}"/>
    <cellStyle name="60% - 强调文字颜色 3 2 2" xfId="5015" xr:uid="{B494A2B1-B6E2-4091-B0A6-D823F22AD7C5}"/>
    <cellStyle name="60% - 强调文字颜色 3 2 2 2" xfId="10260" xr:uid="{AAA78B01-698C-4B5B-AB4D-8E342C7A5727}"/>
    <cellStyle name="60% - 强调文字颜色 3 2 2 2 2" xfId="20171" xr:uid="{30D9DE79-581A-4807-85DF-99C8D156381B}"/>
    <cellStyle name="60% - 强调文字颜色 3 2 2 3" xfId="20170" xr:uid="{42626CBB-DA7C-4A86-99E1-85210B62879B}"/>
    <cellStyle name="60% - 强调文字颜色 3 2 2 4" xfId="27335" xr:uid="{0BB3BC24-953A-4013-9ACB-D58A62DC26DB}"/>
    <cellStyle name="60% - 强调文字颜色 3 2 3" xfId="5016" xr:uid="{F7FF582A-2E28-4E88-A8CA-0DD7B5272D21}"/>
    <cellStyle name="60% - 强调文字颜色 3 2 3 2" xfId="10261" xr:uid="{A514B566-9078-4111-AC84-2911A09605B7}"/>
    <cellStyle name="60% - 强调文字颜色 3 2 3 2 2" xfId="20173" xr:uid="{A7C774AC-F08D-4D3B-8CF8-9EE3AE09931B}"/>
    <cellStyle name="60% - 强调文字颜色 3 2 3 3" xfId="20172" xr:uid="{28FCC5AA-AD2F-4D53-B0DD-E80B770B73B0}"/>
    <cellStyle name="60% - 强调文字颜色 3 2 3 4" xfId="27336" xr:uid="{2BE4CC71-E86D-4C28-92B7-7D7794FD51A7}"/>
    <cellStyle name="60% - 强调文字颜色 3 2 4" xfId="5017" xr:uid="{FAEBEBAF-BB76-4C6C-B94D-EBBD2A98278B}"/>
    <cellStyle name="60% - 强调文字颜色 3 2 4 2" xfId="20174" xr:uid="{329E4651-A956-4561-B414-2583820ADF28}"/>
    <cellStyle name="60% - 强调文字颜色 3 2 4 3" xfId="27720" xr:uid="{3B5E03EE-340F-4AAF-B44F-94C744DC2327}"/>
    <cellStyle name="60% - 强调文字颜色 3 2 5" xfId="5018" xr:uid="{3559254C-F89B-499F-8B99-D019F984462A}"/>
    <cellStyle name="60% - 强调文字颜色 3 2 5 2" xfId="20175" xr:uid="{AA51CDCA-049B-4626-B6B0-C2048F6C6670}"/>
    <cellStyle name="60% - 强调文字颜色 3 2 6" xfId="5019" xr:uid="{E308B4B3-1523-484A-9578-73D68CBC7BDF}"/>
    <cellStyle name="60% - 强调文字颜色 3 2 6 2" xfId="20176" xr:uid="{300044D3-1BE1-49FB-85EB-817891F19B9A}"/>
    <cellStyle name="60% - 强调文字颜色 3 2 7" xfId="5020" xr:uid="{6E2DB8EB-A5DB-4372-AE2A-AB3E12B09B3A}"/>
    <cellStyle name="60% - 强调文字颜色 3 2 7 2" xfId="20177" xr:uid="{AF63E739-2AEA-44E5-B952-2EB08D41C57C}"/>
    <cellStyle name="60% - 强调文字颜色 3 2 8" xfId="5021" xr:uid="{989F2C8D-857F-40F4-8A91-AA9701AB0529}"/>
    <cellStyle name="60% - 强调文字颜色 3 2 9" xfId="5022" xr:uid="{BB466D65-F4C6-47C0-BB42-1CAFA9EAD853}"/>
    <cellStyle name="60% - 强调文字颜色 3 2_动力部" xfId="20178" xr:uid="{C0276899-0C29-4429-AF4E-9708E12D1232}"/>
    <cellStyle name="60% - 强调文字颜色 3 20" xfId="5003" xr:uid="{A8E3F71F-BD2C-48C9-8527-5D1A6789916A}"/>
    <cellStyle name="60% - 强调文字颜色 3 20 2" xfId="10262" xr:uid="{FF99F1F0-4F8C-42AA-8DB7-1C25EB9B38C0}"/>
    <cellStyle name="60% - 强调文字颜色 3 20 2 2" xfId="20181" xr:uid="{4CD0929E-6D5F-44BF-9AE7-55FA31D0048D}"/>
    <cellStyle name="60% - 强调文字颜色 3 20 2 3" xfId="20180" xr:uid="{6E4EBED9-E796-4933-AF9A-B62BD3FCF0DD}"/>
    <cellStyle name="60% - 强调文字颜色 3 20 3" xfId="20182" xr:uid="{02AF59B5-825F-47D8-8089-E122FEA5772A}"/>
    <cellStyle name="60% - 强调文字颜色 3 20 4" xfId="20183" xr:uid="{1EF752BC-4F6F-4C72-B1C3-5A848763EEB5}"/>
    <cellStyle name="60% - 强调文字颜色 3 20 5" xfId="20179" xr:uid="{902E8F39-BC94-46ED-91C2-B5FE984B6FA2}"/>
    <cellStyle name="60% - 强调文字颜色 3 21" xfId="5005" xr:uid="{1CEB29BF-F393-4C7D-9E44-747CB2CB603E}"/>
    <cellStyle name="60% - 强调文字颜色 3 21 2" xfId="10263" xr:uid="{7EA68570-CBE5-4D3A-837A-DF0CEEF03767}"/>
    <cellStyle name="60% - 强调文字颜色 3 21 2 2" xfId="20186" xr:uid="{B1A94817-170A-46B9-A683-F0E38BED4D37}"/>
    <cellStyle name="60% - 强调文字颜色 3 21 2 3" xfId="20185" xr:uid="{98BBEEAD-4FD3-4FE7-B9EF-5330FC593CD3}"/>
    <cellStyle name="60% - 强调文字颜色 3 21 3" xfId="20187" xr:uid="{A8F4A655-4E40-4927-B2EF-A103A85466FA}"/>
    <cellStyle name="60% - 强调文字颜色 3 21 4" xfId="20188" xr:uid="{FE32DCB0-341F-4829-919F-5BBF39CA68DC}"/>
    <cellStyle name="60% - 强调文字颜色 3 21 5" xfId="20184" xr:uid="{CC4B041D-42B5-4F98-8533-2B38A5B61EDE}"/>
    <cellStyle name="60% - 强调文字颜色 3 22" xfId="1004" xr:uid="{27B024BE-6A19-4800-9BF6-BD4C06C7D7DC}"/>
    <cellStyle name="60% - 强调文字颜色 3 22 2" xfId="10264" xr:uid="{1A23CBC7-A045-4622-90A5-C183ED6177AB}"/>
    <cellStyle name="60% - 强调文字颜色 3 22 2 2" xfId="20191" xr:uid="{2A0C015D-8600-4796-BC3A-1F790FF66A28}"/>
    <cellStyle name="60% - 强调文字颜色 3 22 2 3" xfId="20190" xr:uid="{DF386899-C0A8-4AEA-B452-71AC795C2741}"/>
    <cellStyle name="60% - 强调文字颜色 3 22 3" xfId="20192" xr:uid="{47D2D89C-7568-4470-829F-332D99F0DE42}"/>
    <cellStyle name="60% - 强调文字颜色 3 22 4" xfId="20193" xr:uid="{621ED197-5E9C-4684-BF68-951420877EF1}"/>
    <cellStyle name="60% - 强调文字颜色 3 22 5" xfId="20189" xr:uid="{54DCB957-8F2D-43F7-AD39-CE4BDDFA95C1}"/>
    <cellStyle name="60% - 强调文字颜色 3 23" xfId="5007" xr:uid="{99258F39-C976-48F5-83A7-3A4A0F8F625E}"/>
    <cellStyle name="60% - 强调文字颜色 3 23 2" xfId="20195" xr:uid="{645E3DC8-FB30-42A2-B31A-3F9685BD18FF}"/>
    <cellStyle name="60% - 强调文字颜色 3 23 2 2" xfId="20196" xr:uid="{F5F885DD-C385-4E29-ADA3-F5F77D4D95DD}"/>
    <cellStyle name="60% - 强调文字颜色 3 23 3" xfId="20197" xr:uid="{3D1C5725-157F-456B-9948-8C800D0A7257}"/>
    <cellStyle name="60% - 强调文字颜色 3 23 4" xfId="20198" xr:uid="{FD93D72A-BEAC-4075-86AF-14FB9DEE3B74}"/>
    <cellStyle name="60% - 强调文字颜色 3 23 5" xfId="20194" xr:uid="{0C78916F-D72F-4C11-BF60-822EC10F2802}"/>
    <cellStyle name="60% - 强调文字颜色 3 24" xfId="5009" xr:uid="{D3EC155D-79F3-475B-A7DD-913C27C8931A}"/>
    <cellStyle name="60% - 强调文字颜色 3 24 2" xfId="20200" xr:uid="{75315DC9-F307-4D28-B001-52FE5312B8E1}"/>
    <cellStyle name="60% - 强调文字颜色 3 24 2 2" xfId="20201" xr:uid="{5704EBE8-113A-48C3-A617-23D9EAA2F0B5}"/>
    <cellStyle name="60% - 强调文字颜色 3 24 3" xfId="20202" xr:uid="{AE21C788-6A11-44B4-8016-233A0ECF475B}"/>
    <cellStyle name="60% - 强调文字颜色 3 24 4" xfId="20203" xr:uid="{6F378C0C-812B-449A-B403-58ED355354A9}"/>
    <cellStyle name="60% - 强调文字颜色 3 24 5" xfId="20199" xr:uid="{9D41559B-F0CD-42E8-87F6-824A0078B6BF}"/>
    <cellStyle name="60% - 强调文字颜色 3 25" xfId="5023" xr:uid="{0554F523-0A61-4A6C-8BD2-50011E5DE14B}"/>
    <cellStyle name="60% - 强调文字颜色 3 25 2" xfId="20205" xr:uid="{A9CA8321-DDE8-47F0-8381-F429C3112927}"/>
    <cellStyle name="60% - 强调文字颜色 3 25 2 2" xfId="20206" xr:uid="{B8538A68-2C18-4F65-BB49-7569D2C02FFC}"/>
    <cellStyle name="60% - 强调文字颜色 3 25 3" xfId="20207" xr:uid="{E8D2493A-2CF3-4DAA-8909-FEB80B9D819F}"/>
    <cellStyle name="60% - 强调文字颜色 3 25 4" xfId="20208" xr:uid="{B75C6144-9955-45FF-B976-862CD71DBC8A}"/>
    <cellStyle name="60% - 强调文字颜色 3 25 5" xfId="20204" xr:uid="{E83EA6D8-0FC3-46B4-9998-726E57F163D5}"/>
    <cellStyle name="60% - 强调文字颜色 3 26" xfId="5025" xr:uid="{E15500A5-8E78-4ABC-B78D-1622466011B5}"/>
    <cellStyle name="60% - 强调文字颜色 3 26 2" xfId="20210" xr:uid="{3C11C4A5-BA75-49E0-9018-A7C333FAFBC1}"/>
    <cellStyle name="60% - 强调文字颜色 3 26 2 2" xfId="20211" xr:uid="{8F7427D0-7AB8-4B5D-B89E-8F187B064BA4}"/>
    <cellStyle name="60% - 强调文字颜色 3 26 3" xfId="20212" xr:uid="{75F511F1-4DED-40F3-9AA4-2CFD93396A67}"/>
    <cellStyle name="60% - 强调文字颜色 3 26 4" xfId="20213" xr:uid="{4B02F80D-9CB7-47B7-B7C1-43A9335C071A}"/>
    <cellStyle name="60% - 强调文字颜色 3 26 5" xfId="20209" xr:uid="{32CD2DDB-11CF-4EDA-ACB7-DCEF42129BE8}"/>
    <cellStyle name="60% - 强调文字颜色 3 27" xfId="5027" xr:uid="{0CCF4E01-528B-4A51-9F40-0E0DE27E727D}"/>
    <cellStyle name="60% - 强调文字颜色 3 27 2" xfId="20215" xr:uid="{E635A0B8-D08B-45D5-BF92-82C2DFF64B7F}"/>
    <cellStyle name="60% - 强调文字颜色 3 27 2 2" xfId="20216" xr:uid="{D98ED8E8-B57A-432B-92B4-BA9E909E2BFE}"/>
    <cellStyle name="60% - 强调文字颜色 3 27 3" xfId="20217" xr:uid="{547BC4C8-5405-4BDF-B466-0811CBE364C9}"/>
    <cellStyle name="60% - 强调文字颜色 3 27 4" xfId="20218" xr:uid="{FC403647-BA21-41BD-B106-EB18E8EFAECA}"/>
    <cellStyle name="60% - 强调文字颜色 3 27 5" xfId="20214" xr:uid="{884037EE-9A46-428C-8F32-F564DE761D9A}"/>
    <cellStyle name="60% - 强调文字颜色 3 28" xfId="5029" xr:uid="{1962E9C3-D941-4C67-A567-22AD0B5C9301}"/>
    <cellStyle name="60% - 强调文字颜色 3 28 2" xfId="20220" xr:uid="{06B06145-FDA4-4721-BC9A-4AC4E6C24271}"/>
    <cellStyle name="60% - 强调文字颜色 3 28 3" xfId="20221" xr:uid="{C307DF10-39D1-4F40-880C-D01252493261}"/>
    <cellStyle name="60% - 强调文字颜色 3 28 4" xfId="20222" xr:uid="{6EC78078-F50D-49EB-8CAF-4A1AAD5E56B9}"/>
    <cellStyle name="60% - 强调文字颜色 3 28 5" xfId="20219" xr:uid="{A3E4CD41-F23D-4CF9-AB77-A8BEEAADA902}"/>
    <cellStyle name="60% - 强调文字颜色 3 29" xfId="5032" xr:uid="{B4362A5A-7B2A-4CEF-9EAE-DB26B240923D}"/>
    <cellStyle name="60% - 强调文字颜色 3 29 2" xfId="20224" xr:uid="{7D71A488-BD39-460D-B4DD-77C5B6EA1E06}"/>
    <cellStyle name="60% - 强调文字颜色 3 29 3" xfId="20225" xr:uid="{B170E0EA-479D-4494-876E-0CAF493E6069}"/>
    <cellStyle name="60% - 强调文字颜色 3 29 4" xfId="20226" xr:uid="{3405E5CC-7CAC-4B5D-A062-A9D7E0C87CC1}"/>
    <cellStyle name="60% - 强调文字颜色 3 29 5" xfId="20223" xr:uid="{3273F1FA-1A31-4C0C-99AC-25E988D61BCB}"/>
    <cellStyle name="60% - 强调文字颜色 3 3" xfId="5035" xr:uid="{9E38D67B-3FE9-4CCF-87C3-94853A1F6523}"/>
    <cellStyle name="60% - 强调文字颜色 3 3 2" xfId="5036" xr:uid="{00D56366-D4FD-4886-92AD-6EDE2A94579A}"/>
    <cellStyle name="60% - 强调文字颜色 3 3 2 2" xfId="10266" xr:uid="{081F5849-E156-4D6D-9D0F-1D5B953CA310}"/>
    <cellStyle name="60% - 强调文字颜色 3 3 2 3" xfId="20228" xr:uid="{354F531C-D119-451D-8B1D-08049B717B64}"/>
    <cellStyle name="60% - 强调文字颜色 3 3 2 4" xfId="27337" xr:uid="{31CADE3E-84C8-4D98-8AAD-FA6F5599DA71}"/>
    <cellStyle name="60% - 强调文字颜色 3 3 3" xfId="10267" xr:uid="{3EE4157E-B1BD-44F4-916B-7034C3540045}"/>
    <cellStyle name="60% - 强调文字颜色 3 3 3 2" xfId="20230" xr:uid="{93EE9FD1-2B07-4406-8A0C-23ECBDADA698}"/>
    <cellStyle name="60% - 强调文字颜色 3 3 3 3" xfId="20229" xr:uid="{98B7EAC2-DCA9-4C0C-B369-24FBC9CB08A6}"/>
    <cellStyle name="60% - 强调文字颜色 3 3 3 4" xfId="27338" xr:uid="{F7C2381D-9EF8-4A99-A626-6FC1DCB1748B}"/>
    <cellStyle name="60% - 强调文字颜色 3 3 4" xfId="10265" xr:uid="{630DAFE4-1BD5-4BD2-8F11-433062E2071E}"/>
    <cellStyle name="60% - 强调文字颜色 3 3 4 2" xfId="20231" xr:uid="{D4CF7497-A3C8-44CE-B338-844A9222488C}"/>
    <cellStyle name="60% - 强调文字颜色 3 3 4 3" xfId="27721" xr:uid="{FEF94245-8D83-4F96-B1CF-588B620268C3}"/>
    <cellStyle name="60% - 强调文字颜色 3 3 5" xfId="20232" xr:uid="{ACDE01DB-BAA3-4BB8-949E-27E54A853243}"/>
    <cellStyle name="60% - 强调文字颜色 3 3 6" xfId="20227" xr:uid="{4B63D24A-3811-4AB5-9029-F889A3E65445}"/>
    <cellStyle name="60% - 强调文字颜色 3 30" xfId="5024" xr:uid="{1D382A16-BD39-42B2-BDB4-ECD8778D6905}"/>
    <cellStyle name="60% - 强调文字颜色 3 30 2" xfId="20234" xr:uid="{1447991C-12AA-475B-89F0-61307242BAC7}"/>
    <cellStyle name="60% - 强调文字颜色 3 30 3" xfId="20235" xr:uid="{6F7DA96C-05E8-45FE-99DA-1BA877B530F4}"/>
    <cellStyle name="60% - 强调文字颜色 3 30 4" xfId="20236" xr:uid="{E7FD4FFE-8EC9-44F2-84E0-4BE3614BB341}"/>
    <cellStyle name="60% - 强调文字颜色 3 30 5" xfId="20233" xr:uid="{C3308207-EBD8-4F72-88FB-822164E392CE}"/>
    <cellStyle name="60% - 强调文字颜色 3 31" xfId="5026" xr:uid="{6FA3E003-FCCC-49B7-9AD9-93EA49D618AA}"/>
    <cellStyle name="60% - 强调文字颜色 3 31 2" xfId="20238" xr:uid="{F1FD1C7C-CC18-4F00-B3AA-E73805BD1913}"/>
    <cellStyle name="60% - 强调文字颜色 3 31 3" xfId="20239" xr:uid="{D505703F-856D-48A3-94B5-640A3C54266B}"/>
    <cellStyle name="60% - 强调文字颜色 3 31 4" xfId="20240" xr:uid="{5A8497F2-BCE2-404F-B59E-599DEF59923E}"/>
    <cellStyle name="60% - 强调文字颜色 3 31 5" xfId="20237" xr:uid="{ACFA7ACA-B191-4562-9848-72D4888EBEDF}"/>
    <cellStyle name="60% - 强调文字颜色 3 32" xfId="5028" xr:uid="{080F3B05-92F2-4242-840B-5AE6B2B618A1}"/>
    <cellStyle name="60% - 强调文字颜色 3 32 2" xfId="20242" xr:uid="{5FABF4E8-6B25-4CC3-BD38-9171E10B1718}"/>
    <cellStyle name="60% - 强调文字颜色 3 32 3" xfId="20243" xr:uid="{87A8CD9B-EAB9-4F43-BDEF-76EC4B384119}"/>
    <cellStyle name="60% - 强调文字颜色 3 32 4" xfId="20244" xr:uid="{65A68507-8A75-4567-BFBA-9EDE9EC20071}"/>
    <cellStyle name="60% - 强调文字颜色 3 32 5" xfId="20241" xr:uid="{7E67B5EC-A3F8-474F-81D8-88382DFEA95C}"/>
    <cellStyle name="60% - 强调文字颜色 3 33" xfId="5030" xr:uid="{F353863C-1ACC-438D-AC29-1039CF6339D5}"/>
    <cellStyle name="60% - 强调文字颜色 3 33 2" xfId="20246" xr:uid="{D8C4D0D8-3395-44F2-8924-D26795A34CE5}"/>
    <cellStyle name="60% - 强调文字颜色 3 33 3" xfId="20247" xr:uid="{3FA5D71C-304C-4894-BC75-FEA43D0E7478}"/>
    <cellStyle name="60% - 强调文字颜色 3 33 4" xfId="20248" xr:uid="{8ACFA4C5-A8C5-4288-987F-2FB59F515D03}"/>
    <cellStyle name="60% - 强调文字颜色 3 33 5" xfId="20245" xr:uid="{E06B783E-A133-40FB-B8B6-A230372B91B0}"/>
    <cellStyle name="60% - 强调文字颜色 3 34" xfId="5033" xr:uid="{2AF4F94F-BED2-4279-8627-1B28D83ED32D}"/>
    <cellStyle name="60% - 强调文字颜色 3 34 2" xfId="12866" xr:uid="{B4FC676A-FF41-40B9-BDE1-22848B94F7A4}"/>
    <cellStyle name="60% - 强调文字颜色 3 34 2 2" xfId="20250" xr:uid="{FCE55262-DD83-4CA9-B737-946D063C464C}"/>
    <cellStyle name="60% - 强调文字颜色 3 34 3" xfId="20251" xr:uid="{10DDBE81-BCC1-4700-883F-4D5407A5499B}"/>
    <cellStyle name="60% - 强调文字颜色 3 34 4" xfId="20252" xr:uid="{83767C2D-686C-4B09-B705-6B665A8926E4}"/>
    <cellStyle name="60% - 强调文字颜色 3 34 5" xfId="20249" xr:uid="{FE52C725-2663-4414-8FB5-7C6CFCCB5AD5}"/>
    <cellStyle name="60% - 强调文字颜色 3 35" xfId="5037" xr:uid="{2F1CCE2D-B930-4572-AD74-B9AB99A37D18}"/>
    <cellStyle name="60% - 强调文字颜色 3 35 2" xfId="12867" xr:uid="{5CA2F890-DC33-4E90-9CDF-8383F1A972B4}"/>
    <cellStyle name="60% - 强调文字颜色 3 35 2 2" xfId="20254" xr:uid="{D3D7DE48-8F2B-48BD-99FF-BBE8225C214F}"/>
    <cellStyle name="60% - 强调文字颜色 3 35 3" xfId="20255" xr:uid="{8F136660-4A64-4623-9EB1-D6A6D84C81A4}"/>
    <cellStyle name="60% - 强调文字颜色 3 35 4" xfId="20253" xr:uid="{20C3CA6C-893D-40A7-A0B2-5498732B8C60}"/>
    <cellStyle name="60% - 强调文字颜色 3 36" xfId="5041" xr:uid="{5D4CF409-525A-43F0-9D37-B9B10142938F}"/>
    <cellStyle name="60% - 强调文字颜色 3 36 2" xfId="12868" xr:uid="{56E8BCFC-070D-4D09-BC44-7B4A72823C00}"/>
    <cellStyle name="60% - 强调文字颜色 3 36 2 2" xfId="20257" xr:uid="{8687A972-1385-470B-AC83-9F39327E7BCF}"/>
    <cellStyle name="60% - 强调文字颜色 3 36 3" xfId="20258" xr:uid="{DE01AE8C-2885-4E2A-8431-5FD5C14227BB}"/>
    <cellStyle name="60% - 强调文字颜色 3 36 4" xfId="20256" xr:uid="{5C6F17B1-EEA0-49AA-95FD-8748CB3EDE0B}"/>
    <cellStyle name="60% - 强调文字颜色 3 37" xfId="5043" xr:uid="{A13C7AB9-1DA8-4C19-8394-E6D8EF59E41A}"/>
    <cellStyle name="60% - 强调文字颜色 3 37 2" xfId="12869" xr:uid="{18722C8C-D212-47CC-81F4-444DB187CC9A}"/>
    <cellStyle name="60% - 强调文字颜色 3 37 2 2" xfId="20260" xr:uid="{D8DEFD37-2C6D-4CED-9B8B-61882A51A715}"/>
    <cellStyle name="60% - 强调文字颜色 3 37 3" xfId="20261" xr:uid="{5E87D438-C5A2-4B29-B6BD-550C528FB7AE}"/>
    <cellStyle name="60% - 强调文字颜色 3 37 4" xfId="20259" xr:uid="{E1FCA781-64CD-4913-83CE-1EFA5E65BBE3}"/>
    <cellStyle name="60% - 强调文字颜色 3 38" xfId="5045" xr:uid="{A50E91EC-BBBF-45CE-9F9E-EB3B9EC0455C}"/>
    <cellStyle name="60% - 强调文字颜色 3 38 2" xfId="12870" xr:uid="{8F3CCCA5-F41C-44D3-8EAA-347DE739B3DC}"/>
    <cellStyle name="60% - 强调文字颜色 3 38 2 2" xfId="20263" xr:uid="{B22B400C-860B-42EC-BB60-FD4F2AAA194B}"/>
    <cellStyle name="60% - 强调文字颜色 3 38 3" xfId="20262" xr:uid="{8BA4811D-855B-4164-90EE-1E1D4E131D53}"/>
    <cellStyle name="60% - 强调文字颜色 3 39" xfId="5047" xr:uid="{A85E2D99-0B90-45AA-86A0-845F4288EB7B}"/>
    <cellStyle name="60% - 强调文字颜色 3 39 2" xfId="12871" xr:uid="{841155CC-71C9-48CC-A9A1-D5840F2D8B77}"/>
    <cellStyle name="60% - 强调文字颜色 3 39 2 2" xfId="20265" xr:uid="{7D17C629-A25C-4E44-A6A5-DF750D0D16B5}"/>
    <cellStyle name="60% - 强调文字颜色 3 39 3" xfId="20264" xr:uid="{72689797-6067-44F6-ACC8-B193F166D380}"/>
    <cellStyle name="60% - 强调文字颜色 3 4" xfId="5049" xr:uid="{C341FDBD-0336-4978-9BFF-691AB9173B0F}"/>
    <cellStyle name="60% - 强调文字颜色 3 4 2" xfId="5050" xr:uid="{3966B101-690B-43B6-A362-E49B320A09F9}"/>
    <cellStyle name="60% - 强调文字颜色 3 4 2 2" xfId="10269" xr:uid="{0D12C3D5-8822-4B09-AA83-B7073DEA3462}"/>
    <cellStyle name="60% - 强调文字颜色 3 4 2 2 2" xfId="20268" xr:uid="{54546462-74E7-4F86-BE67-770402D3F136}"/>
    <cellStyle name="60% - 强调文字颜色 3 4 2 3" xfId="20267" xr:uid="{823B8E4D-6035-43B6-9C8C-869BE253476C}"/>
    <cellStyle name="60% - 强调文字颜色 3 4 3" xfId="10270" xr:uid="{BC644526-C741-4639-81A9-B0AC01242676}"/>
    <cellStyle name="60% - 强调文字颜色 3 4 3 2" xfId="20269" xr:uid="{7FB002B8-22E1-4EC6-9D64-6F033C86281A}"/>
    <cellStyle name="60% - 强调文字颜色 3 4 4" xfId="10268" xr:uid="{D0FA39E5-1DC6-45B5-9167-28F0B4F6F116}"/>
    <cellStyle name="60% - 强调文字颜色 3 4 4 2" xfId="20270" xr:uid="{2786E825-44FF-4868-823B-D84DA464FA72}"/>
    <cellStyle name="60% - 强调文字颜色 3 4 5" xfId="20266" xr:uid="{31D14464-147B-4FF4-A320-95C399DE36A1}"/>
    <cellStyle name="60% - 强调文字颜色 3 40" xfId="5038" xr:uid="{E6419F60-45FF-4E8E-905E-0599F3EA5197}"/>
    <cellStyle name="60% - 强调文字颜色 3 40 2" xfId="12872" xr:uid="{729ABC6F-BDCF-4BD6-AB74-0F70D01BCA0D}"/>
    <cellStyle name="60% - 强调文字颜色 3 40 2 2" xfId="20272" xr:uid="{18BA29DB-FD0E-4514-A8B0-5CA17D64922C}"/>
    <cellStyle name="60% - 强调文字颜色 3 40 3" xfId="20271" xr:uid="{7C819D00-52A6-4791-9D85-A1811431AE77}"/>
    <cellStyle name="60% - 强调文字颜色 3 41" xfId="5042" xr:uid="{7E92D656-F303-4043-9A6E-B6FB2519358A}"/>
    <cellStyle name="60% - 强调文字颜色 3 41 2" xfId="12873" xr:uid="{3C40C38E-73AE-46EC-AA8D-24048F25917B}"/>
    <cellStyle name="60% - 强调文字颜色 3 41 2 2" xfId="20274" xr:uid="{FD390D78-FD85-41CB-BE5B-D9642D7E004B}"/>
    <cellStyle name="60% - 强调文字颜色 3 41 3" xfId="20273" xr:uid="{D53939C4-5FB9-4F9C-A259-617CA46B3EDB}"/>
    <cellStyle name="60% - 强调文字颜色 3 42" xfId="5044" xr:uid="{482D6AF2-6385-4137-9AE4-6B68B43AF5FD}"/>
    <cellStyle name="60% - 强调文字颜色 3 42 2" xfId="12874" xr:uid="{9550CF60-B069-4969-ACB6-7A2886D5D1A8}"/>
    <cellStyle name="60% - 强调文字颜色 3 42 2 2" xfId="20276" xr:uid="{DF5E935D-7E4C-4BF2-9644-83332B64EA75}"/>
    <cellStyle name="60% - 强调文字颜色 3 42 3" xfId="20275" xr:uid="{1602AF65-16C2-4033-B253-D7C96C441727}"/>
    <cellStyle name="60% - 强调文字颜色 3 43" xfId="5046" xr:uid="{15F53BBB-DF81-4F27-8CA4-A0591CC43DE9}"/>
    <cellStyle name="60% - 强调文字颜色 3 43 2" xfId="12875" xr:uid="{C2DB7DF2-ACD7-42B8-B048-8315AA58569F}"/>
    <cellStyle name="60% - 强调文字颜色 3 43 2 2" xfId="20278" xr:uid="{F9432187-56EA-4B9F-BE20-8C10AB7EE5F5}"/>
    <cellStyle name="60% - 强调文字颜色 3 43 3" xfId="20277" xr:uid="{F733F364-43E8-4725-9066-13B296C9B82A}"/>
    <cellStyle name="60% - 强调文字颜色 3 44" xfId="5048" xr:uid="{CA6D82BC-8DB6-4B9B-8BE6-4C9D2EB42A8E}"/>
    <cellStyle name="60% - 强调文字颜色 3 44 2" xfId="12876" xr:uid="{017E900C-BD20-4E63-BEB8-CD028AF90786}"/>
    <cellStyle name="60% - 强调文字颜色 3 44 2 2" xfId="20280" xr:uid="{60BF5EEE-C4A9-44A9-95D6-9A7EEAD99D9B}"/>
    <cellStyle name="60% - 强调文字颜色 3 44 3" xfId="20279" xr:uid="{E0431649-A93E-43CF-8D41-AE89535E4FE6}"/>
    <cellStyle name="60% - 强调文字颜色 3 45" xfId="5051" xr:uid="{93A21DE3-1CDC-4FD3-89CD-F91FF690F179}"/>
    <cellStyle name="60% - 强调文字颜色 3 45 2" xfId="12877" xr:uid="{6B12125E-6258-42D5-B445-9306D34F3E36}"/>
    <cellStyle name="60% - 强调文字颜色 3 45 2 2" xfId="20282" xr:uid="{E6CFF019-2BA7-42FB-9DFE-216A906C3E7D}"/>
    <cellStyle name="60% - 强调文字颜色 3 45 3" xfId="20281" xr:uid="{5FB13643-2274-49D4-81E2-4AA5E0E9938C}"/>
    <cellStyle name="60% - 强调文字颜色 3 46" xfId="5053" xr:uid="{515F15F0-6A81-4ED7-8B31-E6EF37EF47A2}"/>
    <cellStyle name="60% - 强调文字颜色 3 46 2" xfId="12878" xr:uid="{E044FE15-0745-4242-A106-91AFACF119EB}"/>
    <cellStyle name="60% - 强调文字颜色 3 46 2 2" xfId="20284" xr:uid="{57FCC644-6772-4F6D-A41B-C5B3F1F23956}"/>
    <cellStyle name="60% - 强调文字颜色 3 46 3" xfId="20283" xr:uid="{355A7B73-E74A-419C-B00B-E6042ED4E9F5}"/>
    <cellStyle name="60% - 强调文字颜色 3 47" xfId="5055" xr:uid="{6E99CB2E-C070-4221-9F4A-7F9B39BE6AAC}"/>
    <cellStyle name="60% - 强调文字颜色 3 47 2" xfId="12879" xr:uid="{291F2B1B-857C-48E0-9A53-A7E6D625C48E}"/>
    <cellStyle name="60% - 强调文字颜色 3 47 3" xfId="20285" xr:uid="{5B3292AB-6A29-4179-BB3E-9103AF818568}"/>
    <cellStyle name="60% - 强调文字颜色 3 48" xfId="5057" xr:uid="{1B494D6A-5647-4DB8-B6FF-1CABC3960E89}"/>
    <cellStyle name="60% - 强调文字颜色 3 48 2" xfId="12880" xr:uid="{63AD6AF2-5641-4F95-9BE7-7DCF2DC9DB2D}"/>
    <cellStyle name="60% - 强调文字颜色 3 48 3" xfId="20286" xr:uid="{F019A1B1-4C7C-4042-948F-6E4F6B99507A}"/>
    <cellStyle name="60% - 强调文字颜色 3 49" xfId="5060" xr:uid="{0C30707A-C2B6-4F2B-B1AC-A130CC086959}"/>
    <cellStyle name="60% - 强调文字颜色 3 49 2" xfId="12881" xr:uid="{034F839F-BCA6-45B2-BA15-3A97FB3B7B71}"/>
    <cellStyle name="60% - 强调文字颜色 3 49 3" xfId="20287" xr:uid="{E76C1D9B-221A-45D5-8DB2-CFB3E3936DE0}"/>
    <cellStyle name="60% - 强调文字颜色 3 5" xfId="5063" xr:uid="{3E87FDF6-DC3F-4AC5-8817-0B59345C6377}"/>
    <cellStyle name="60% - 强调文字颜色 3 5 2" xfId="5064" xr:uid="{573A861A-2839-4E83-A79D-EA061EABCD00}"/>
    <cellStyle name="60% - 强调文字颜色 3 5 2 2" xfId="10272" xr:uid="{C676BE77-BB4D-4C85-B6F6-6075FB07B8F9}"/>
    <cellStyle name="60% - 强调文字颜色 3 5 2 2 2" xfId="20290" xr:uid="{628D3B65-DAAD-4D0A-A021-B12B1253C821}"/>
    <cellStyle name="60% - 强调文字颜色 3 5 2 3" xfId="20289" xr:uid="{A20488B7-5AC5-4433-992A-FD6ABFEC3F84}"/>
    <cellStyle name="60% - 强调文字颜色 3 5 3" xfId="10273" xr:uid="{49A4C607-EB7A-41FC-86F2-DBD40F47D321}"/>
    <cellStyle name="60% - 强调文字颜色 3 5 3 2" xfId="20291" xr:uid="{2FC260BA-049A-4E10-B52A-48F19C73A876}"/>
    <cellStyle name="60% - 强调文字颜色 3 5 4" xfId="10271" xr:uid="{117E3BD0-1395-4F22-88D7-28E982B2F732}"/>
    <cellStyle name="60% - 强调文字颜色 3 5 4 2" xfId="20292" xr:uid="{EF52714B-2F1E-49E1-997B-DDFC6F9DF5FE}"/>
    <cellStyle name="60% - 强调文字颜色 3 5 5" xfId="20288" xr:uid="{DE920FCD-6B2A-4E69-B3FF-102ED6E156D6}"/>
    <cellStyle name="60% - 强调文字颜色 3 50" xfId="5052" xr:uid="{AA31CA9E-214A-4B0F-8BE2-5A959F1F0EAE}"/>
    <cellStyle name="60% - 强调文字颜色 3 50 2" xfId="12882" xr:uid="{AB629A0E-FF6D-4A20-BB85-B9F870E4B8CB}"/>
    <cellStyle name="60% - 强调文字颜色 3 50 3" xfId="20293" xr:uid="{EC2334BA-B747-4FAD-A657-B7E30143685D}"/>
    <cellStyle name="60% - 强调文字颜色 3 51" xfId="5054" xr:uid="{C78F9BD8-67B1-487C-A4D0-034DFB3E448C}"/>
    <cellStyle name="60% - 强调文字颜色 3 51 2" xfId="12883" xr:uid="{2CBE1CCD-17C3-4711-B81B-613D53489B4A}"/>
    <cellStyle name="60% - 强调文字颜色 3 51 3" xfId="20294" xr:uid="{3F378154-ABB5-4083-8C59-64673BE0F210}"/>
    <cellStyle name="60% - 强调文字颜色 3 52" xfId="5056" xr:uid="{878EEF95-6A70-4EBD-A3B7-53148BC4DCCE}"/>
    <cellStyle name="60% - 强调文字颜色 3 52 2" xfId="12884" xr:uid="{97B4077C-5E30-4C5C-8CBA-B31BE3C4D12C}"/>
    <cellStyle name="60% - 强调文字颜色 3 52 3" xfId="20295" xr:uid="{4671F9B9-29BE-430B-830C-E4D0F00C42D3}"/>
    <cellStyle name="60% - 强调文字颜色 3 53" xfId="5058" xr:uid="{6E3EEA72-61D5-4F2D-BD4C-EC25BB05F6B0}"/>
    <cellStyle name="60% - 强调文字颜色 3 53 2" xfId="12885" xr:uid="{8D35E451-674C-4661-BB2D-CC11EB219794}"/>
    <cellStyle name="60% - 强调文字颜色 3 53 3" xfId="20296" xr:uid="{223D8B1E-B7A8-4FAC-859D-325977D8FF22}"/>
    <cellStyle name="60% - 强调文字颜色 3 54" xfId="5061" xr:uid="{C7368992-3F69-485F-B2A5-DF8AEDBB5F7E}"/>
    <cellStyle name="60% - 强调文字颜色 3 54 2" xfId="12886" xr:uid="{5051A462-F29C-4277-9486-D193C1658F51}"/>
    <cellStyle name="60% - 强调文字颜色 3 54 3" xfId="20297" xr:uid="{5DE103D2-C49F-4707-AD37-86FAA1984BF1}"/>
    <cellStyle name="60% - 强调文字颜色 3 55" xfId="5065" xr:uid="{F0A1C864-B9E7-4103-99CF-BFF82A0F953D}"/>
    <cellStyle name="60% - 强调文字颜色 3 55 2" xfId="12887" xr:uid="{F53ABAE7-456B-4FEE-8E5C-B58319CC2265}"/>
    <cellStyle name="60% - 强调文字颜色 3 55 3" xfId="20298" xr:uid="{9EF02C2B-34D2-4623-AEB9-8646173A30A4}"/>
    <cellStyle name="60% - 强调文字颜色 3 56" xfId="5068" xr:uid="{70F5DC10-050E-4B76-A14C-510C04C592BC}"/>
    <cellStyle name="60% - 强调文字颜色 3 56 2" xfId="12888" xr:uid="{D9DC17EC-78C5-4E8A-B0E7-8D16AE824EDC}"/>
    <cellStyle name="60% - 强调文字颜色 3 56 3" xfId="20299" xr:uid="{6B793B07-46EA-4233-82F8-516788588DB2}"/>
    <cellStyle name="60% - 强调文字颜色 3 57" xfId="5071" xr:uid="{C3178B07-C36D-4B7B-B0AB-BD163C824FEC}"/>
    <cellStyle name="60% - 强调文字颜色 3 57 2" xfId="12889" xr:uid="{2ACC17BC-A47D-4B09-B524-F83055494DEA}"/>
    <cellStyle name="60% - 强调文字颜色 3 58" xfId="5073" xr:uid="{A753CFB1-66CD-4A68-82CB-F5575B206D96}"/>
    <cellStyle name="60% - 强调文字颜色 3 58 2" xfId="12890" xr:uid="{48D7ADB0-355E-44C0-B04C-BC671C2C64F2}"/>
    <cellStyle name="60% - 强调文字颜色 3 59" xfId="5075" xr:uid="{69D0EEF4-2A8D-49FF-8ACC-2C039A366841}"/>
    <cellStyle name="60% - 强调文字颜色 3 59 2" xfId="12891" xr:uid="{F2263AB1-6EE6-4B91-AAFF-EC5475CA863F}"/>
    <cellStyle name="60% - 强调文字颜色 3 6" xfId="5077" xr:uid="{5D239487-BE9D-4B8D-A660-51EB42658F4F}"/>
    <cellStyle name="60% - 强调文字颜色 3 6 2" xfId="5078" xr:uid="{FC26E7AF-C92D-4E14-B4EF-4E9732AF27B6}"/>
    <cellStyle name="60% - 强调文字颜色 3 6 2 2" xfId="10275" xr:uid="{92DE90CE-760F-4542-A144-C2240B4EF9FA}"/>
    <cellStyle name="60% - 强调文字颜色 3 6 2 2 2" xfId="20302" xr:uid="{18E00FD8-F86A-4C6F-9D72-8D21E8AC0618}"/>
    <cellStyle name="60% - 强调文字颜色 3 6 2 3" xfId="20301" xr:uid="{7B89AFED-6E57-4782-9859-0847685F46F8}"/>
    <cellStyle name="60% - 强调文字颜色 3 6 3" xfId="10276" xr:uid="{42C3043C-7218-4C84-B306-4D2A312036B1}"/>
    <cellStyle name="60% - 强调文字颜色 3 6 3 2" xfId="20303" xr:uid="{D3308040-B9EE-4B1D-AC05-146FFCF69523}"/>
    <cellStyle name="60% - 强调文字颜色 3 6 4" xfId="10274" xr:uid="{11F369CE-FBF6-466B-8F43-261BA353E745}"/>
    <cellStyle name="60% - 强调文字颜色 3 6 4 2" xfId="20304" xr:uid="{3C19A064-8F5D-4010-9312-F331DF0ACDA1}"/>
    <cellStyle name="60% - 强调文字颜色 3 6 5" xfId="20300" xr:uid="{A6D31AF3-741F-4BED-8B29-913AA864F9BB}"/>
    <cellStyle name="60% - 强调文字颜色 3 60" xfId="5066" xr:uid="{D018C5C6-DC57-4519-92D2-4D424C665C64}"/>
    <cellStyle name="60% - 强调文字颜色 3 60 2" xfId="12892" xr:uid="{797F1A92-DF0E-4D36-BF9D-F72060621CB2}"/>
    <cellStyle name="60% - 强调文字颜色 3 61" xfId="5069" xr:uid="{343A805F-1AC8-43B6-A7DB-982D43F141C0}"/>
    <cellStyle name="60% - 强调文字颜色 3 61 2" xfId="12893" xr:uid="{990FBB44-E866-4239-97DD-233FE4284BE5}"/>
    <cellStyle name="60% - 强调文字颜色 3 62" xfId="5072" xr:uid="{3052C51B-4665-4964-A0AF-72DD35CA7D00}"/>
    <cellStyle name="60% - 强调文字颜色 3 62 2" xfId="12894" xr:uid="{B22AD061-EC19-479C-B28E-EB764AFF6A12}"/>
    <cellStyle name="60% - 强调文字颜色 3 63" xfId="5074" xr:uid="{C2FBE1FF-75B5-4ECA-959D-3C7063515D5F}"/>
    <cellStyle name="60% - 强调文字颜色 3 63 2" xfId="12895" xr:uid="{21A58AA8-B708-42AF-8046-590403579975}"/>
    <cellStyle name="60% - 强调文字颜色 3 64" xfId="5076" xr:uid="{E0AD9ADC-7099-495C-8B5C-BBA12A31B832}"/>
    <cellStyle name="60% - 强调文字颜色 3 64 2" xfId="12896" xr:uid="{ABB07979-4787-4CE5-A8E9-1A4E1104661E}"/>
    <cellStyle name="60% - 强调文字颜色 3 65" xfId="5079" xr:uid="{B32C51E7-282A-4142-B031-18FEF6A737E3}"/>
    <cellStyle name="60% - 强调文字颜色 3 65 2" xfId="12897" xr:uid="{39F1FBA8-1AE1-4725-886E-3D858EC80042}"/>
    <cellStyle name="60% - 强调文字颜色 3 66" xfId="5081" xr:uid="{AC614EC6-8D78-4DBC-B648-152C904EA064}"/>
    <cellStyle name="60% - 强调文字颜色 3 66 2" xfId="12898" xr:uid="{33DA36BD-E883-4EDF-BD67-94639867E1C6}"/>
    <cellStyle name="60% - 强调文字颜色 3 67" xfId="5083" xr:uid="{C6319D81-C930-40A6-A1F2-1E4F1D43F555}"/>
    <cellStyle name="60% - 强调文字颜色 3 67 2" xfId="12899" xr:uid="{C6AC635D-FB70-4FBB-991E-E8AD054445CF}"/>
    <cellStyle name="60% - 强调文字颜色 3 68" xfId="5085" xr:uid="{75DE2EB3-48E9-4573-A461-EEC72FAFCB46}"/>
    <cellStyle name="60% - 强调文字颜色 3 68 2" xfId="12900" xr:uid="{CE3F0669-0C34-492E-8EBD-45B17AD08483}"/>
    <cellStyle name="60% - 强调文字颜色 3 69" xfId="5087" xr:uid="{6B1EB825-A62D-45E5-A7F7-5D519C01E605}"/>
    <cellStyle name="60% - 强调文字颜色 3 69 2" xfId="12901" xr:uid="{C27C92E8-034E-49A7-AF01-B6556883DE5E}"/>
    <cellStyle name="60% - 强调文字颜色 3 7" xfId="5089" xr:uid="{855C57B6-FB99-4389-97E3-E74B0124BD86}"/>
    <cellStyle name="60% - 强调文字颜色 3 7 2" xfId="5090" xr:uid="{40D63109-21FD-4076-882F-A62C72B2F159}"/>
    <cellStyle name="60% - 强调文字颜色 3 7 2 2" xfId="10278" xr:uid="{209495EB-D604-45A4-B5FE-F189049E5778}"/>
    <cellStyle name="60% - 强调文字颜色 3 7 2 2 2" xfId="20307" xr:uid="{FA0A4D70-1C20-4524-B18F-4AF3F3727563}"/>
    <cellStyle name="60% - 强调文字颜色 3 7 2 3" xfId="20306" xr:uid="{422188DA-47F5-40AD-864D-31B340A13521}"/>
    <cellStyle name="60% - 强调文字颜色 3 7 3" xfId="10279" xr:uid="{CDE4F4E9-460E-4595-973A-500F3AB33F7F}"/>
    <cellStyle name="60% - 强调文字颜色 3 7 3 2" xfId="20308" xr:uid="{164C454C-F66D-47C3-A6C4-1024A3521F65}"/>
    <cellStyle name="60% - 强调文字颜色 3 7 4" xfId="10277" xr:uid="{45DADFA6-F5E6-4744-8612-A56FEF0CF0BA}"/>
    <cellStyle name="60% - 强调文字颜色 3 7 4 2" xfId="20309" xr:uid="{1FF73AE3-F709-4BAB-AC4D-356F89F04EA0}"/>
    <cellStyle name="60% - 强调文字颜色 3 7 5" xfId="20305" xr:uid="{B59C278A-93F3-4D0F-9CCA-186D1D602D65}"/>
    <cellStyle name="60% - 强调文字颜色 3 70" xfId="5080" xr:uid="{926F3EA3-7C16-469A-94B7-782C3FC0AAA4}"/>
    <cellStyle name="60% - 强调文字颜色 3 70 2" xfId="12902" xr:uid="{C0582819-4197-4907-B8F7-566DBAAECD55}"/>
    <cellStyle name="60% - 强调文字颜色 3 71" xfId="5082" xr:uid="{4B1FFD91-0FBE-422C-99EA-67A1214A0C13}"/>
    <cellStyle name="60% - 强调文字颜色 3 71 2" xfId="12903" xr:uid="{5965651A-5F52-418F-AEC3-65AC7A330272}"/>
    <cellStyle name="60% - 强调文字颜色 3 72" xfId="5084" xr:uid="{39DA88FD-A9E7-4F1D-B2FF-6303DB27EAF5}"/>
    <cellStyle name="60% - 强调文字颜色 3 72 2" xfId="12904" xr:uid="{0E9EA7B3-55DC-4299-A7CA-A9AD0FCD9578}"/>
    <cellStyle name="60% - 强调文字颜色 3 73" xfId="5086" xr:uid="{E17029E3-FBB2-4EDA-BFFF-522BD718D738}"/>
    <cellStyle name="60% - 强调文字颜色 3 73 2" xfId="12905" xr:uid="{6F8498C8-AA4F-4442-8D56-5FB20716D8AE}"/>
    <cellStyle name="60% - 强调文字颜色 3 74" xfId="5088" xr:uid="{8E4E3038-5435-4B70-9ACB-B6DF7015B063}"/>
    <cellStyle name="60% - 强调文字颜色 3 74 2" xfId="12906" xr:uid="{47420C45-FCDC-4D59-982C-14792413567F}"/>
    <cellStyle name="60% - 强调文字颜色 3 75" xfId="5091" xr:uid="{85B0BD23-DEA1-46AA-B3DB-1DC5913D8345}"/>
    <cellStyle name="60% - 强调文字颜色 3 75 2" xfId="12907" xr:uid="{59D3DAF4-8520-446D-8946-04FCAB0C5743}"/>
    <cellStyle name="60% - 强调文字颜色 3 76" xfId="5093" xr:uid="{9AEF20E1-234B-4FF9-B695-674658F9DE44}"/>
    <cellStyle name="60% - 强调文字颜色 3 76 2" xfId="12908" xr:uid="{9D875813-4245-4E48-ACD2-B5D87A63BE6E}"/>
    <cellStyle name="60% - 强调文字颜色 3 77" xfId="5095" xr:uid="{5FD6425D-3432-47AD-B6C6-756B7E5165F6}"/>
    <cellStyle name="60% - 强调文字颜色 3 77 2" xfId="12909" xr:uid="{326B1D73-EAB3-4838-98B5-9DF7087BD515}"/>
    <cellStyle name="60% - 强调文字颜色 3 78" xfId="5098" xr:uid="{AFCB0121-FBFF-4A9C-98C5-5175214AF241}"/>
    <cellStyle name="60% - 强调文字颜色 3 78 2" xfId="12910" xr:uid="{4FAD4A1D-7C45-479E-B1DD-88C0C7196DFA}"/>
    <cellStyle name="60% - 强调文字颜色 3 79" xfId="5100" xr:uid="{512D8341-C09D-485E-B855-3832BC0E4E2D}"/>
    <cellStyle name="60% - 强调文字颜色 3 79 2" xfId="12911" xr:uid="{1153D883-51FA-41C3-85DD-27B03A2CE179}"/>
    <cellStyle name="60% - 强调文字颜色 3 8" xfId="5102" xr:uid="{6055A16C-4BC6-4DF9-BFDB-41BF42F1ECAA}"/>
    <cellStyle name="60% - 强调文字颜色 3 8 2" xfId="5103" xr:uid="{6BFEAB19-4656-45AC-AB04-282F40F5EF01}"/>
    <cellStyle name="60% - 强调文字颜色 3 8 2 2" xfId="10281" xr:uid="{A894AB29-8438-4F88-8CDD-6ACC1444334D}"/>
    <cellStyle name="60% - 强调文字颜色 3 8 2 2 2" xfId="20312" xr:uid="{61ED0A0B-7641-4BE0-865B-4E51297E7A42}"/>
    <cellStyle name="60% - 强调文字颜色 3 8 2 3" xfId="20311" xr:uid="{7E8B6AC0-5154-4C34-B26B-DA678C258FCD}"/>
    <cellStyle name="60% - 强调文字颜色 3 8 3" xfId="10282" xr:uid="{EE61B1BC-A202-4790-A441-270FEA3C7288}"/>
    <cellStyle name="60% - 强调文字颜色 3 8 3 2" xfId="20313" xr:uid="{D58C3D6B-93B1-4FCA-B3EA-527DA83F002D}"/>
    <cellStyle name="60% - 强调文字颜色 3 8 4" xfId="10280" xr:uid="{CB1F7ED3-B7B3-4D35-AF96-F329E467CC5A}"/>
    <cellStyle name="60% - 强调文字颜色 3 8 4 2" xfId="20314" xr:uid="{7F964C6E-91FC-4A95-BDF0-B8AB8FAF9B25}"/>
    <cellStyle name="60% - 强调文字颜色 3 8 5" xfId="20310" xr:uid="{746E32FB-A869-4F3B-9151-01C267DBD176}"/>
    <cellStyle name="60% - 强调文字颜色 3 80" xfId="5092" xr:uid="{68FA6184-31A4-4F71-AD43-0AA28623A7A3}"/>
    <cellStyle name="60% - 强调文字颜色 3 80 2" xfId="12912" xr:uid="{73C6A6F0-A6AD-4752-A875-9B6F61267A59}"/>
    <cellStyle name="60% - 强调文字颜色 3 81" xfId="5094" xr:uid="{01B5406D-AF08-4C7B-B4ED-511E88C6824C}"/>
    <cellStyle name="60% - 强调文字颜色 3 81 2" xfId="12913" xr:uid="{EFFE82F8-599B-4C9E-BDB2-19A9AC9DFD29}"/>
    <cellStyle name="60% - 强调文字颜色 3 82" xfId="5096" xr:uid="{8FD9C0EC-7FE4-4969-A64B-3C63E5D5BFF8}"/>
    <cellStyle name="60% - 强调文字颜色 3 82 2" xfId="12914" xr:uid="{1B33DD5F-BE40-417D-998F-701EDBC15086}"/>
    <cellStyle name="60% - 强调文字颜色 3 83" xfId="5099" xr:uid="{0CB90450-2619-4B1B-8D63-6F5CD647733B}"/>
    <cellStyle name="60% - 强调文字颜色 3 83 2" xfId="12915" xr:uid="{F9377D13-D660-4EB6-8B19-0C7B36749560}"/>
    <cellStyle name="60% - 强调文字颜色 3 84" xfId="5101" xr:uid="{ED055DF1-A7EB-4FC7-8696-8BDFBE89A839}"/>
    <cellStyle name="60% - 强调文字颜色 3 84 2" xfId="12916" xr:uid="{6C70949D-AC32-4BC5-91DB-FA75DCFF7581}"/>
    <cellStyle name="60% - 强调文字颜色 3 85" xfId="9347" xr:uid="{A1E5BC2D-5B58-4857-A0D6-C9B426EF4E86}"/>
    <cellStyle name="60% - 强调文字颜色 3 86" xfId="10232" xr:uid="{8A4A2598-6BB5-4ACA-BDBC-F214CA2F924E}"/>
    <cellStyle name="60% - 强调文字颜色 3 87" xfId="13603" xr:uid="{2F083320-72DF-4630-B139-F7E782F345B0}"/>
    <cellStyle name="60% - 强调文字颜色 3 88" xfId="27187" xr:uid="{038A594F-CB21-4883-B33E-891985BEDCA5}"/>
    <cellStyle name="60% - 强调文字颜色 3 89" xfId="27194" xr:uid="{B6245DA6-BEA5-4FE1-845F-89FB46F16ADC}"/>
    <cellStyle name="60% - 强调文字颜色 3 9" xfId="5104" xr:uid="{918637CA-CFED-4930-B2F1-AE1A7F0F7F3C}"/>
    <cellStyle name="60% - 强调文字颜色 3 9 2" xfId="10284" xr:uid="{9BC681C1-4D4E-4915-BDBD-C4F6A9942D8B}"/>
    <cellStyle name="60% - 强调文字颜色 3 9 2 2" xfId="20317" xr:uid="{8FFB1478-BFAA-4FAC-BDA1-CF26C2C63AE5}"/>
    <cellStyle name="60% - 强调文字颜色 3 9 2 3" xfId="20316" xr:uid="{92A5C2EF-8DF3-49A8-9FF6-5394904B0E65}"/>
    <cellStyle name="60% - 强调文字颜色 3 9 3" xfId="10285" xr:uid="{A67BAE05-8079-48B0-8364-C16F8BF5B219}"/>
    <cellStyle name="60% - 强调文字颜色 3 9 3 2" xfId="20318" xr:uid="{EAC86DDF-E70F-4871-A207-E8A53298485B}"/>
    <cellStyle name="60% - 强调文字颜色 3 9 4" xfId="10283" xr:uid="{84279E17-E3C4-43B4-AB06-D19A1E9ABFE6}"/>
    <cellStyle name="60% - 强调文字颜色 3 9 4 2" xfId="20319" xr:uid="{CAEE7DFD-1AB5-4150-8134-52A44C38BE09}"/>
    <cellStyle name="60% - 强调文字颜色 3 9 5" xfId="20315" xr:uid="{0F787DC5-CD9E-4A8F-8D7A-3794E98E96B9}"/>
    <cellStyle name="60% - 强调文字颜色 3 90" xfId="27211" xr:uid="{BABFDC17-DEAC-4A97-A9C7-C8E4E6EA6835}"/>
    <cellStyle name="60% - 强调文字颜色 4" xfId="5105" xr:uid="{1C43FE0F-5AD7-45DF-9EE3-3D7EB40FC048}"/>
    <cellStyle name="60% - 强调文字颜色 4 10" xfId="5106" xr:uid="{7DB76EAC-E8E9-454C-BEC3-2DF784CD7ED0}"/>
    <cellStyle name="60% - 强调文字颜色 4 10 2" xfId="10288" xr:uid="{BCA7922A-74C3-49D9-8C13-0EA60FD64994}"/>
    <cellStyle name="60% - 强调文字颜色 4 10 2 2" xfId="20322" xr:uid="{968F36F5-3508-478B-A278-0AB655A6D96D}"/>
    <cellStyle name="60% - 强调文字颜色 4 10 2 3" xfId="20321" xr:uid="{857420C1-E77C-4F03-AF56-4FDEA872F033}"/>
    <cellStyle name="60% - 强调文字颜色 4 10 3" xfId="10289" xr:uid="{9600A0D5-F754-4243-AA08-E045D4979986}"/>
    <cellStyle name="60% - 强调文字颜色 4 10 3 2" xfId="20323" xr:uid="{2D53D437-B01F-4BE6-8FB6-5E7A765EC64C}"/>
    <cellStyle name="60% - 强调文字颜色 4 10 4" xfId="10287" xr:uid="{A5D52943-09BC-49C0-B377-F1B951663E97}"/>
    <cellStyle name="60% - 强调文字颜色 4 10 4 2" xfId="20324" xr:uid="{CE5ACE7F-223E-4F0C-B697-5D1BF7C9A5B1}"/>
    <cellStyle name="60% - 强调文字颜色 4 10 5" xfId="20320" xr:uid="{FCC4CB57-A2EF-4276-92A9-8ECCA9A78622}"/>
    <cellStyle name="60% - 强调文字颜色 4 11" xfId="5107" xr:uid="{F53C9932-2E92-48A6-9EC5-A221CAA70494}"/>
    <cellStyle name="60% - 强调文字颜色 4 11 2" xfId="10291" xr:uid="{18A2CD5A-3A57-418E-8466-F7BB6DD84E90}"/>
    <cellStyle name="60% - 强调文字颜色 4 11 2 2" xfId="20327" xr:uid="{5F7E062F-D243-4881-AEC8-447991644251}"/>
    <cellStyle name="60% - 强调文字颜色 4 11 2 3" xfId="20326" xr:uid="{ACFBE0D2-1717-4B57-8BF3-DEDECBFD4C3D}"/>
    <cellStyle name="60% - 强调文字颜色 4 11 3" xfId="10292" xr:uid="{94DF538A-BE82-4927-A554-00A72F8BEDA4}"/>
    <cellStyle name="60% - 强调文字颜色 4 11 3 2" xfId="20328" xr:uid="{A373550E-3D6D-4927-B3B1-CC428909A15E}"/>
    <cellStyle name="60% - 强调文字颜色 4 11 4" xfId="10290" xr:uid="{3E7FD3D8-3EF4-498A-8949-E747DD7514FB}"/>
    <cellStyle name="60% - 强调文字颜色 4 11 4 2" xfId="20329" xr:uid="{DE464F25-4E07-4298-A6D9-88A1940479D0}"/>
    <cellStyle name="60% - 强调文字颜色 4 11 5" xfId="20325" xr:uid="{BBFFF41C-7EAA-416F-A9E6-A3851E3001B2}"/>
    <cellStyle name="60% - 强调文字颜色 4 12" xfId="5108" xr:uid="{839AE5E7-947A-442A-BC50-E760832877E6}"/>
    <cellStyle name="60% - 强调文字颜色 4 12 2" xfId="10294" xr:uid="{635B3D0D-F621-45B0-8DCA-27CF01D4A9FE}"/>
    <cellStyle name="60% - 强调文字颜色 4 12 2 2" xfId="20332" xr:uid="{83127C12-6DCB-42CA-AC3A-1E6D599AAE53}"/>
    <cellStyle name="60% - 强调文字颜色 4 12 2 3" xfId="20331" xr:uid="{EF1370B8-719A-4E30-9EFE-D24A52DEEDE4}"/>
    <cellStyle name="60% - 强调文字颜色 4 12 3" xfId="10295" xr:uid="{914FCF7B-CAB0-4753-B151-C887F9A7D408}"/>
    <cellStyle name="60% - 强调文字颜色 4 12 3 2" xfId="20333" xr:uid="{17D8E782-1054-4B86-B0ED-A9AB6099D8D9}"/>
    <cellStyle name="60% - 强调文字颜色 4 12 4" xfId="10293" xr:uid="{F9FA4540-E9FF-4EFC-AD15-30ED702E36A6}"/>
    <cellStyle name="60% - 强调文字颜色 4 12 4 2" xfId="20334" xr:uid="{61186CA7-1D87-4850-901F-949AC7241A32}"/>
    <cellStyle name="60% - 强调文字颜色 4 12 5" xfId="20330" xr:uid="{4B2520BF-6602-4477-B254-A767C88822C3}"/>
    <cellStyle name="60% - 强调文字颜色 4 13" xfId="5109" xr:uid="{8E638162-54B4-4E3A-8E57-CE38709CF741}"/>
    <cellStyle name="60% - 强调文字颜色 4 13 2" xfId="10297" xr:uid="{4E1B5C4F-1A45-490D-8C4C-D19B4F7772C7}"/>
    <cellStyle name="60% - 强调文字颜色 4 13 2 2" xfId="20337" xr:uid="{D61ED6FC-A040-4F2B-8CE0-82798E98730F}"/>
    <cellStyle name="60% - 强调文字颜色 4 13 2 3" xfId="20336" xr:uid="{314A6DA5-4ABD-475F-B0D3-4AE4113D35AD}"/>
    <cellStyle name="60% - 强调文字颜色 4 13 3" xfId="10298" xr:uid="{D8A1753B-7230-4783-B353-C73B9733FB83}"/>
    <cellStyle name="60% - 强调文字颜色 4 13 3 2" xfId="20338" xr:uid="{F4884121-A220-414F-B8AD-E0A0D67349B8}"/>
    <cellStyle name="60% - 强调文字颜色 4 13 4" xfId="10296" xr:uid="{2FF2C897-44A1-426F-B424-66EEA0B1A9FA}"/>
    <cellStyle name="60% - 强调文字颜色 4 13 4 2" xfId="20339" xr:uid="{AF75AF80-D2CF-4636-B803-59C466E06D10}"/>
    <cellStyle name="60% - 强调文字颜色 4 13 5" xfId="20335" xr:uid="{E16CEAF8-A140-41C5-91CF-DBC18CDDFA76}"/>
    <cellStyle name="60% - 强调文字颜色 4 14" xfId="5110" xr:uid="{5E4735FF-4535-4BF4-878F-EE8EDD1762DC}"/>
    <cellStyle name="60% - 强调文字颜色 4 14 2" xfId="10300" xr:uid="{6D8EC9C5-1352-41D5-9B07-3FB367988C7C}"/>
    <cellStyle name="60% - 强调文字颜色 4 14 2 2" xfId="20342" xr:uid="{DFA0C04A-79F0-46DD-86D9-796FF743C455}"/>
    <cellStyle name="60% - 强调文字颜色 4 14 2 3" xfId="20341" xr:uid="{70B48402-DB1A-40BA-8EB4-D36443E34BCE}"/>
    <cellStyle name="60% - 强调文字颜色 4 14 3" xfId="10301" xr:uid="{3CC398C7-3026-4BB6-BC5A-2757C1C787DD}"/>
    <cellStyle name="60% - 强调文字颜色 4 14 3 2" xfId="20343" xr:uid="{0113D344-A928-4967-A4A8-AB32351BB762}"/>
    <cellStyle name="60% - 强调文字颜色 4 14 4" xfId="10299" xr:uid="{C46CE1A1-D496-485A-8352-59025F92424C}"/>
    <cellStyle name="60% - 强调文字颜色 4 14 4 2" xfId="20344" xr:uid="{77B84280-5DAB-4C28-94D1-C15333CAB230}"/>
    <cellStyle name="60% - 强调文字颜色 4 14 5" xfId="20340" xr:uid="{E8C4C30F-1D46-412E-9F7B-A5CC2CE583B1}"/>
    <cellStyle name="60% - 强调文字颜色 4 15" xfId="5111" xr:uid="{386BFE21-7564-41E1-BA58-3349C355E1B3}"/>
    <cellStyle name="60% - 强调文字颜色 4 15 2" xfId="10303" xr:uid="{2980CF41-99B8-4B53-9A6B-2D0B3AD803FA}"/>
    <cellStyle name="60% - 强调文字颜色 4 15 2 2" xfId="20347" xr:uid="{F39D53D5-EA41-468C-9E16-F3BEA56C8B13}"/>
    <cellStyle name="60% - 强调文字颜色 4 15 2 3" xfId="20346" xr:uid="{15D2C182-7E53-4A6D-B527-FE16E54082D5}"/>
    <cellStyle name="60% - 强调文字颜色 4 15 3" xfId="10304" xr:uid="{19388347-FFE1-482F-B100-479F569B366B}"/>
    <cellStyle name="60% - 强调文字颜色 4 15 3 2" xfId="20348" xr:uid="{FCE7BA39-A076-4656-9FBC-E69BB0038821}"/>
    <cellStyle name="60% - 强调文字颜色 4 15 4" xfId="10302" xr:uid="{CC96D7B5-CE97-4524-8252-901742DE7EC4}"/>
    <cellStyle name="60% - 强调文字颜色 4 15 4 2" xfId="20349" xr:uid="{0AEBFC20-299B-454F-A61D-090C0CDE0D2F}"/>
    <cellStyle name="60% - 强调文字颜色 4 15 5" xfId="20345" xr:uid="{955F7B15-33D1-4100-B386-47B1569AD2FE}"/>
    <cellStyle name="60% - 强调文字颜色 4 16" xfId="5113" xr:uid="{7E81BECE-6CA4-4BFD-A754-13E2AD117160}"/>
    <cellStyle name="60% - 强调文字颜色 4 16 2" xfId="10306" xr:uid="{9EF087FD-CEE5-41E1-A7A6-034FC3E4AE6E}"/>
    <cellStyle name="60% - 强调文字颜色 4 16 2 2" xfId="20352" xr:uid="{F73CDF43-ADBB-447E-80C5-BA686E4C8378}"/>
    <cellStyle name="60% - 强调文字颜色 4 16 2 3" xfId="20351" xr:uid="{F152B2B7-FABA-4FD3-A2A4-19C54618B02D}"/>
    <cellStyle name="60% - 强调文字颜色 4 16 3" xfId="10307" xr:uid="{E39D2346-0C48-4E61-A41A-48759BA36C6F}"/>
    <cellStyle name="60% - 强调文字颜色 4 16 3 2" xfId="20353" xr:uid="{55391943-894D-4596-917E-26F0F5E8D3C3}"/>
    <cellStyle name="60% - 强调文字颜色 4 16 4" xfId="10305" xr:uid="{21126750-5D1B-4495-9201-9BD5C68C6BD6}"/>
    <cellStyle name="60% - 强调文字颜色 4 16 4 2" xfId="20354" xr:uid="{4332491B-C3A8-483C-A96E-1AD81710A5C5}"/>
    <cellStyle name="60% - 强调文字颜色 4 16 5" xfId="20350" xr:uid="{80B60547-D905-4C0C-9366-B179015F0020}"/>
    <cellStyle name="60% - 强调文字颜色 4 17" xfId="5115" xr:uid="{816D35E4-8E4A-43ED-BF00-ACCC4F0FAEC0}"/>
    <cellStyle name="60% - 强调文字颜色 4 17 2" xfId="10309" xr:uid="{F1591544-BF31-482B-85D3-778E67D71679}"/>
    <cellStyle name="60% - 强调文字颜色 4 17 2 2" xfId="20357" xr:uid="{C524F92D-75CD-4C32-8A39-B21E84B623E2}"/>
    <cellStyle name="60% - 强调文字颜色 4 17 2 3" xfId="20356" xr:uid="{5C1CE120-9C63-4C17-B7BD-F81D17826FB9}"/>
    <cellStyle name="60% - 强调文字颜色 4 17 3" xfId="10310" xr:uid="{FD8862DF-649D-41A6-B380-10559FF14DBD}"/>
    <cellStyle name="60% - 强调文字颜色 4 17 3 2" xfId="20358" xr:uid="{BBC1596B-86CB-4F83-BA32-7DF417ED34B1}"/>
    <cellStyle name="60% - 强调文字颜色 4 17 4" xfId="10308" xr:uid="{3C37F2D7-C255-4352-B25D-3D7B32D1A18C}"/>
    <cellStyle name="60% - 强调文字颜色 4 17 4 2" xfId="20359" xr:uid="{7E47AD04-6259-4507-87DA-D44148515388}"/>
    <cellStyle name="60% - 强调文字颜色 4 17 5" xfId="20355" xr:uid="{1D45B51C-149D-4F2E-9343-23EB5EBEB5B1}"/>
    <cellStyle name="60% - 强调文字颜色 4 18" xfId="5117" xr:uid="{97DB8AA5-F69B-4CE6-BD40-D51BCE7B5CAF}"/>
    <cellStyle name="60% - 强调文字颜色 4 18 2" xfId="10311" xr:uid="{AAA8BC1D-AF6A-4046-8023-5255A0F0C418}"/>
    <cellStyle name="60% - 强调文字颜色 4 18 2 2" xfId="20362" xr:uid="{7DB8DB0C-DF2A-424D-B4C3-FA5C26D8136B}"/>
    <cellStyle name="60% - 强调文字颜色 4 18 2 3" xfId="20361" xr:uid="{7EB1ABEF-374B-4A14-92B7-0CB7481F0247}"/>
    <cellStyle name="60% - 强调文字颜色 4 18 3" xfId="20363" xr:uid="{ECC684ED-1B34-400B-AFED-21517A87DB24}"/>
    <cellStyle name="60% - 强调文字颜色 4 18 4" xfId="20364" xr:uid="{95842ABF-9008-43EF-82A3-00485352B432}"/>
    <cellStyle name="60% - 强调文字颜色 4 18 5" xfId="20360" xr:uid="{A9135C60-E8B3-4F86-97B7-8D170CEA4F53}"/>
    <cellStyle name="60% - 强调文字颜色 4 19" xfId="5119" xr:uid="{4732E57B-5C3D-4EFC-8451-83489E505C12}"/>
    <cellStyle name="60% - 强调文字颜色 4 19 2" xfId="10312" xr:uid="{05B092F0-CB46-480E-82C7-66C67C7CC3E2}"/>
    <cellStyle name="60% - 强调文字颜色 4 19 2 2" xfId="20367" xr:uid="{ADB2B9DC-9983-4484-858C-344CA76D8672}"/>
    <cellStyle name="60% - 强调文字颜色 4 19 2 3" xfId="20366" xr:uid="{41887850-270A-4895-9AEC-801AD213E925}"/>
    <cellStyle name="60% - 强调文字颜色 4 19 3" xfId="20368" xr:uid="{B897D9C8-D106-405E-9B52-38E104003D22}"/>
    <cellStyle name="60% - 强调文字颜色 4 19 4" xfId="20369" xr:uid="{CBFD0268-3188-4A13-B301-184B8EAC2215}"/>
    <cellStyle name="60% - 强调文字颜色 4 19 5" xfId="20365" xr:uid="{D935B779-93D5-4E63-ACD6-2B74B251E61E}"/>
    <cellStyle name="60% - 强调文字颜色 4 2" xfId="5121" xr:uid="{56339307-DEE2-41B6-8DFC-50981287FC96}"/>
    <cellStyle name="60% - 强调文字颜色 4 2 10" xfId="5122" xr:uid="{5B83A243-18E2-4C18-8BC8-D1313F20655B}"/>
    <cellStyle name="60% - 强调文字颜色 4 2 11" xfId="5123" xr:uid="{04F08285-B85A-47A5-8AEB-1C8334140702}"/>
    <cellStyle name="60% - 强调文字颜色 4 2 12" xfId="5124" xr:uid="{BCDFE225-C5F4-4B90-94E5-525988A13350}"/>
    <cellStyle name="60% - 强调文字颜色 4 2 13" xfId="5125" xr:uid="{CFA4A18B-7ED0-4C06-99D6-88EA70F6C47F}"/>
    <cellStyle name="60% - 强调文字颜色 4 2 14" xfId="5126" xr:uid="{D5F2408F-475F-49D9-87C8-F2412A790A7A}"/>
    <cellStyle name="60% - 强调文字颜色 4 2 15" xfId="10313" xr:uid="{4D2CEA53-D99E-41C4-A7B8-FE7D1CBD5C91}"/>
    <cellStyle name="60% - 强调文字颜色 4 2 16" xfId="12599" xr:uid="{7110F34E-5907-4495-A231-880769C912E4}"/>
    <cellStyle name="60% - 强调文字颜色 4 2 2" xfId="5127" xr:uid="{4AB7A2D9-16F0-4CC3-80EB-B4E5554FFD25}"/>
    <cellStyle name="60% - 强调文字颜色 4 2 2 2" xfId="10314" xr:uid="{14384EDA-3E4F-48DE-A3F5-67F77D0F55C5}"/>
    <cellStyle name="60% - 强调文字颜色 4 2 2 2 2" xfId="20371" xr:uid="{C6722A3D-826E-4F49-87F1-D110A7810ECA}"/>
    <cellStyle name="60% - 强调文字颜色 4 2 2 3" xfId="20370" xr:uid="{90887782-6EC7-46A8-89D1-C68E9571C644}"/>
    <cellStyle name="60% - 强调文字颜色 4 2 2 4" xfId="27339" xr:uid="{374155E1-63B3-49ED-AAEF-26AAD44BDDE0}"/>
    <cellStyle name="60% - 强调文字颜色 4 2 3" xfId="5128" xr:uid="{C992647E-400E-4D0C-B299-66B13007FA5D}"/>
    <cellStyle name="60% - 强调文字颜色 4 2 3 2" xfId="10315" xr:uid="{72149A03-9A04-4487-AA17-D91EB12343E1}"/>
    <cellStyle name="60% - 强调文字颜色 4 2 3 2 2" xfId="20373" xr:uid="{E5305D0E-D53A-48E3-B5EB-4CB7D66E42F4}"/>
    <cellStyle name="60% - 强调文字颜色 4 2 3 3" xfId="20372" xr:uid="{489C9A83-4154-4411-AE6E-B397A5912E6D}"/>
    <cellStyle name="60% - 强调文字颜色 4 2 3 4" xfId="27340" xr:uid="{FAF06D23-F386-4E4B-9385-B963C1C2D11F}"/>
    <cellStyle name="60% - 强调文字颜色 4 2 4" xfId="5129" xr:uid="{ECF987AA-9A7C-497E-94BE-6AFAE3D3E493}"/>
    <cellStyle name="60% - 强调文字颜色 4 2 4 2" xfId="20374" xr:uid="{6771C99A-B7B7-46BE-91B3-5B498AD0D7CF}"/>
    <cellStyle name="60% - 强调文字颜色 4 2 4 3" xfId="27722" xr:uid="{5C1B097B-7632-44F4-A916-3CA1B8E7C611}"/>
    <cellStyle name="60% - 强调文字颜色 4 2 5" xfId="5130" xr:uid="{5BCAF14B-B84F-4B63-8F14-982A9497404F}"/>
    <cellStyle name="60% - 强调文字颜色 4 2 5 2" xfId="20376" xr:uid="{32308EB6-3F29-41AF-A5BA-2357F536B0A0}"/>
    <cellStyle name="60% - 强调文字颜色 4 2 5 3" xfId="20375" xr:uid="{19D514CC-52AE-4336-85BE-00F571503FF5}"/>
    <cellStyle name="60% - 强调文字颜色 4 2 6" xfId="5131" xr:uid="{C8C0145E-24A1-410A-987F-B1F821F72126}"/>
    <cellStyle name="60% - 强调文字颜色 4 2 6 2" xfId="20377" xr:uid="{1992BF77-C34A-443A-98D5-22F51FADFB4D}"/>
    <cellStyle name="60% - 强调文字颜色 4 2 7" xfId="5132" xr:uid="{0825CBC6-BF95-4B9A-B3D2-768F0E90CBC5}"/>
    <cellStyle name="60% - 强调文字颜色 4 2 7 2" xfId="20378" xr:uid="{7805977C-C2EA-47AC-B6F1-2A50F468F9C8}"/>
    <cellStyle name="60% - 强调文字颜色 4 2 8" xfId="5133" xr:uid="{1A669E99-6DD3-4274-AF2B-69FE4F7D92CA}"/>
    <cellStyle name="60% - 强调文字颜色 4 2 9" xfId="5134" xr:uid="{31A01F86-9775-4401-A4C7-A93FD7766C82}"/>
    <cellStyle name="60% - 强调文字颜色 4 2_动力部" xfId="20379" xr:uid="{D40B8168-CC8F-47CE-981B-D02BBD96D6AE}"/>
    <cellStyle name="60% - 强调文字颜色 4 20" xfId="5112" xr:uid="{BBC69FB5-F196-4D59-AFD0-83F7F0320D02}"/>
    <cellStyle name="60% - 强调文字颜色 4 20 2" xfId="10316" xr:uid="{8B248F0B-FFB2-4162-B6EC-70377D882852}"/>
    <cellStyle name="60% - 强调文字颜色 4 20 2 2" xfId="20382" xr:uid="{F7F1BAF7-0F5B-4631-BBC6-E4142A4CE183}"/>
    <cellStyle name="60% - 强调文字颜色 4 20 2 3" xfId="20381" xr:uid="{D6F3CC67-AD0C-412F-8906-903DDC4FF384}"/>
    <cellStyle name="60% - 强调文字颜色 4 20 3" xfId="20383" xr:uid="{AD9508E4-FFC8-4D8B-B7BF-D83688D77841}"/>
    <cellStyle name="60% - 强调文字颜色 4 20 4" xfId="20384" xr:uid="{B6C0CC06-C77E-4AEE-B831-7DBAC9930627}"/>
    <cellStyle name="60% - 强调文字颜色 4 20 5" xfId="20380" xr:uid="{345FF023-359C-410A-9BBD-C35CDF6758C2}"/>
    <cellStyle name="60% - 强调文字颜色 4 21" xfId="5114" xr:uid="{FF51627E-6675-4DA4-8266-8A2627A1EF4D}"/>
    <cellStyle name="60% - 强调文字颜色 4 21 2" xfId="10317" xr:uid="{6FA81DC1-1481-4FE9-A9AB-B2228D596998}"/>
    <cellStyle name="60% - 强调文字颜色 4 21 2 2" xfId="20387" xr:uid="{AE51720F-7950-4FA5-840F-719E9E004C5D}"/>
    <cellStyle name="60% - 强调文字颜色 4 21 2 3" xfId="20386" xr:uid="{6D1655A3-ACBE-4675-AEB2-757F4E594AE5}"/>
    <cellStyle name="60% - 强调文字颜色 4 21 3" xfId="20388" xr:uid="{9BDC7F22-0529-488F-95C4-1B48F35FB6AA}"/>
    <cellStyle name="60% - 强调文字颜色 4 21 4" xfId="20389" xr:uid="{E8FAEC7E-77A4-4BB6-94E0-5F18312F75FF}"/>
    <cellStyle name="60% - 强调文字颜色 4 21 5" xfId="20385" xr:uid="{0E2FDE1A-ABDE-4EE8-898C-3CF098E0DF47}"/>
    <cellStyle name="60% - 强调文字颜色 4 22" xfId="5116" xr:uid="{DA78C5C5-046C-4B22-A981-7E06BE3FB75A}"/>
    <cellStyle name="60% - 强调文字颜色 4 22 2" xfId="10318" xr:uid="{9186FCA9-FBF1-43FE-A04D-420FF73610FB}"/>
    <cellStyle name="60% - 强调文字颜色 4 22 2 2" xfId="20392" xr:uid="{5A79A5CB-34B7-49F2-A006-161B043C5AE2}"/>
    <cellStyle name="60% - 强调文字颜色 4 22 2 3" xfId="20391" xr:uid="{57E32E31-02A9-4375-95E4-9BBFED19F5B0}"/>
    <cellStyle name="60% - 强调文字颜色 4 22 3" xfId="20393" xr:uid="{8BE560BC-6C81-4A30-8B8D-E5343A6DB79D}"/>
    <cellStyle name="60% - 强调文字颜色 4 22 4" xfId="20394" xr:uid="{6246BB23-FD9E-4A8A-9C31-EDC8701F8941}"/>
    <cellStyle name="60% - 强调文字颜色 4 22 5" xfId="20390" xr:uid="{5A1E04ED-AC15-4F09-90A2-6542491BD895}"/>
    <cellStyle name="60% - 强调文字颜色 4 23" xfId="5118" xr:uid="{CDF4C85E-2DFC-4EF3-9D9F-876D78F41F3F}"/>
    <cellStyle name="60% - 强调文字颜色 4 23 2" xfId="20396" xr:uid="{F02B5A9A-9D32-48EA-B4B9-E11053B96EDD}"/>
    <cellStyle name="60% - 强调文字颜色 4 23 2 2" xfId="20397" xr:uid="{0D24107D-11BE-4BDD-8265-9D30AA3BAEF8}"/>
    <cellStyle name="60% - 强调文字颜色 4 23 3" xfId="20398" xr:uid="{95F58CC2-53BC-4CBB-B910-C1DDD19D133C}"/>
    <cellStyle name="60% - 强调文字颜色 4 23 4" xfId="20399" xr:uid="{2BB8046B-40E0-4966-89CB-02E939F34B97}"/>
    <cellStyle name="60% - 强调文字颜色 4 23 5" xfId="20395" xr:uid="{D1C09A46-2678-4449-A920-64AAC18E25B3}"/>
    <cellStyle name="60% - 强调文字颜色 4 24" xfId="5120" xr:uid="{4B90917D-E27E-4FC9-A586-25350971FB9F}"/>
    <cellStyle name="60% - 强调文字颜色 4 24 2" xfId="20401" xr:uid="{71A27D67-48C8-40F4-8A4F-C6A74AE8D169}"/>
    <cellStyle name="60% - 强调文字颜色 4 24 2 2" xfId="20402" xr:uid="{70B42E35-1B11-4B78-A8AA-CE3DB34E9902}"/>
    <cellStyle name="60% - 强调文字颜色 4 24 3" xfId="20403" xr:uid="{5F3262EA-6F5E-4286-9C08-E961B46D4AD3}"/>
    <cellStyle name="60% - 强调文字颜色 4 24 4" xfId="20404" xr:uid="{8F7D972A-9D78-424C-9777-0ED3513A9665}"/>
    <cellStyle name="60% - 强调文字颜色 4 24 5" xfId="20400" xr:uid="{8CB9DFE6-530E-4383-84E0-25FCBA2A99ED}"/>
    <cellStyle name="60% - 强调文字颜色 4 25" xfId="5135" xr:uid="{27E1D633-B1C8-489B-8691-CEC09A7FF283}"/>
    <cellStyle name="60% - 强调文字颜色 4 25 2" xfId="20406" xr:uid="{131DE859-1FC2-4553-93FB-442F941DCEB4}"/>
    <cellStyle name="60% - 强调文字颜色 4 25 2 2" xfId="20407" xr:uid="{AB6868F4-157A-4F9D-9F61-CE618DD78135}"/>
    <cellStyle name="60% - 强调文字颜色 4 25 3" xfId="20408" xr:uid="{1597AE88-4AB3-4668-B143-E6DFEBEBBE79}"/>
    <cellStyle name="60% - 强调文字颜色 4 25 4" xfId="20409" xr:uid="{13DA7165-E366-4E20-BC23-453489CBBA87}"/>
    <cellStyle name="60% - 强调文字颜色 4 25 5" xfId="20405" xr:uid="{F81D1B81-FF1C-4015-89AE-CB1B9E93F292}"/>
    <cellStyle name="60% - 强调文字颜色 4 26" xfId="5137" xr:uid="{622D0967-7E9A-4C21-8323-1E59B978FDB4}"/>
    <cellStyle name="60% - 强调文字颜色 4 26 2" xfId="20411" xr:uid="{6739FC47-F71C-46BB-8381-1976EAE4D685}"/>
    <cellStyle name="60% - 强调文字颜色 4 26 2 2" xfId="20412" xr:uid="{A13B2314-73B5-4275-BC37-D2EBB53ED657}"/>
    <cellStyle name="60% - 强调文字颜色 4 26 3" xfId="20413" xr:uid="{1FFC9594-B4D8-4002-ADBD-F6ED9F3391E5}"/>
    <cellStyle name="60% - 强调文字颜色 4 26 4" xfId="20414" xr:uid="{74A1B251-6E5E-4515-B4E5-F958A0E7493B}"/>
    <cellStyle name="60% - 强调文字颜色 4 26 5" xfId="20410" xr:uid="{10259189-20E5-453B-BF53-157718171949}"/>
    <cellStyle name="60% - 强调文字颜色 4 27" xfId="5139" xr:uid="{4FA0573B-FB14-44A4-AE4F-629EE2241C87}"/>
    <cellStyle name="60% - 强调文字颜色 4 27 2" xfId="20416" xr:uid="{F4F310D0-7BA6-4993-BBD0-CF845D57B292}"/>
    <cellStyle name="60% - 强调文字颜色 4 27 2 2" xfId="20417" xr:uid="{D4938C40-6E23-4B17-8ED8-9927E2F0A31C}"/>
    <cellStyle name="60% - 强调文字颜色 4 27 3" xfId="20418" xr:uid="{1A193CED-C3E7-4E5C-9E2F-CE4BD25F5550}"/>
    <cellStyle name="60% - 强调文字颜色 4 27 4" xfId="20419" xr:uid="{5EBA0BCB-0C72-4F4F-80C7-F50F09FD54ED}"/>
    <cellStyle name="60% - 强调文字颜色 4 27 5" xfId="20415" xr:uid="{1A38967A-00A6-4B4F-966E-81F62B5D01E9}"/>
    <cellStyle name="60% - 强调文字颜色 4 28" xfId="5141" xr:uid="{A12BA4F6-7160-4CFF-99B5-AC103769F7F0}"/>
    <cellStyle name="60% - 强调文字颜色 4 28 2" xfId="20421" xr:uid="{C8E85292-5D79-424C-8CB9-84231009D6F9}"/>
    <cellStyle name="60% - 强调文字颜色 4 28 3" xfId="20422" xr:uid="{15F76BDE-639C-4A62-86FA-DF5984E67BE4}"/>
    <cellStyle name="60% - 强调文字颜色 4 28 4" xfId="20423" xr:uid="{92FA39D3-F9AD-4639-8D58-2BE1D57F9647}"/>
    <cellStyle name="60% - 强调文字颜色 4 28 5" xfId="20420" xr:uid="{E62B30E0-ACAE-4A47-AD9B-6FD35EE1809B}"/>
    <cellStyle name="60% - 强调文字颜色 4 29" xfId="5143" xr:uid="{8D9C017B-019E-4952-BE7A-A7DBF1A836B0}"/>
    <cellStyle name="60% - 强调文字颜色 4 29 2" xfId="20425" xr:uid="{A46D6831-71DF-41EA-A71D-4047DC102EE2}"/>
    <cellStyle name="60% - 强调文字颜色 4 29 3" xfId="20426" xr:uid="{5C419BEC-5E92-408B-9379-7DF82F1BA086}"/>
    <cellStyle name="60% - 强调文字颜色 4 29 4" xfId="20427" xr:uid="{1731155E-C2A5-423A-988F-B046A3605B75}"/>
    <cellStyle name="60% - 强调文字颜色 4 29 5" xfId="20424" xr:uid="{9DEC46C8-574C-4E86-82E7-B7A39D700BB1}"/>
    <cellStyle name="60% - 强调文字颜色 4 3" xfId="5145" xr:uid="{8BFB9531-D4B6-484B-9B64-3C2C0E346C5C}"/>
    <cellStyle name="60% - 强调文字颜色 4 3 2" xfId="5146" xr:uid="{4176DA69-4115-44BD-9D1B-A8086299E376}"/>
    <cellStyle name="60% - 强调文字颜色 4 3 2 2" xfId="10320" xr:uid="{BE78B88D-A184-4E89-8687-BCBFB65E260E}"/>
    <cellStyle name="60% - 强调文字颜色 4 3 2 3" xfId="20429" xr:uid="{EF141895-8A99-4520-8506-72E5F93EBC04}"/>
    <cellStyle name="60% - 强调文字颜色 4 3 2 4" xfId="27341" xr:uid="{0DB74120-FC7B-4397-87F1-FBA7F17B41A3}"/>
    <cellStyle name="60% - 强调文字颜色 4 3 3" xfId="10321" xr:uid="{0C4877C5-FD12-46C7-9B06-9CE621A120C6}"/>
    <cellStyle name="60% - 强调文字颜色 4 3 3 2" xfId="20431" xr:uid="{AF38B012-68F2-4A15-8B8F-1D8CD1F09F2E}"/>
    <cellStyle name="60% - 强调文字颜色 4 3 3 3" xfId="20430" xr:uid="{8D8B1917-F6A1-4CC6-ACEE-C1CD78E20DE0}"/>
    <cellStyle name="60% - 强调文字颜色 4 3 3 4" xfId="27342" xr:uid="{5030C9E9-EB4F-4D77-A0F8-AC0BCA8CBFC8}"/>
    <cellStyle name="60% - 强调文字颜色 4 3 4" xfId="10319" xr:uid="{E1AF6385-90C2-45BA-ADA2-3B08DB246206}"/>
    <cellStyle name="60% - 强调文字颜色 4 3 4 2" xfId="20432" xr:uid="{452E5696-02D2-437B-B776-A7F8582D0B23}"/>
    <cellStyle name="60% - 强调文字颜色 4 3 4 3" xfId="27723" xr:uid="{7153C8ED-DED8-43B5-B987-7A56E77148D5}"/>
    <cellStyle name="60% - 强调文字颜色 4 3 5" xfId="20433" xr:uid="{ED947ACE-D2A9-4FD8-BD8F-94037147EBB3}"/>
    <cellStyle name="60% - 强调文字颜色 4 3 5 2" xfId="20434" xr:uid="{41046A16-2D1D-484C-ABBA-19234032038C}"/>
    <cellStyle name="60% - 强调文字颜色 4 3 6" xfId="20428" xr:uid="{35508732-595D-466E-95C9-9292F20F58D6}"/>
    <cellStyle name="60% - 强调文字颜色 4 30" xfId="5136" xr:uid="{93514619-D80F-4E0C-B58F-572DB82688C3}"/>
    <cellStyle name="60% - 强调文字颜色 4 30 2" xfId="20436" xr:uid="{D6A8D9C7-EFD3-49FD-A417-FAC99F6B7121}"/>
    <cellStyle name="60% - 强调文字颜色 4 30 3" xfId="20437" xr:uid="{E498C2FB-9048-44A3-827F-1F94F1325D85}"/>
    <cellStyle name="60% - 强调文字颜色 4 30 4" xfId="20438" xr:uid="{0993ED37-4715-4909-9C55-A1CD6023D32D}"/>
    <cellStyle name="60% - 强调文字颜色 4 30 5" xfId="20435" xr:uid="{BC0C2F50-5398-466E-B612-BB4D25C6C170}"/>
    <cellStyle name="60% - 强调文字颜色 4 31" xfId="5138" xr:uid="{C69E374C-82F9-4315-92C0-B89CC55AD6D2}"/>
    <cellStyle name="60% - 强调文字颜色 4 31 2" xfId="20440" xr:uid="{7FC33D0B-4E95-4651-B591-25D2D582BE58}"/>
    <cellStyle name="60% - 强调文字颜色 4 31 3" xfId="20441" xr:uid="{67F6FAF3-7464-404B-A33C-CF26F522A1B1}"/>
    <cellStyle name="60% - 强调文字颜色 4 31 4" xfId="20442" xr:uid="{CABD1A49-B496-4346-BC8D-7B503F1F3B3E}"/>
    <cellStyle name="60% - 强调文字颜色 4 31 5" xfId="20439" xr:uid="{D58ACA6D-EC52-4C10-B032-2182FB7756B7}"/>
    <cellStyle name="60% - 强调文字颜色 4 32" xfId="5140" xr:uid="{104C0EBE-1137-4263-8F41-42DFCCC3A324}"/>
    <cellStyle name="60% - 强调文字颜色 4 32 2" xfId="20444" xr:uid="{FFE240CD-090C-44AF-8CA0-C7E9C0BFB597}"/>
    <cellStyle name="60% - 强调文字颜色 4 32 3" xfId="20445" xr:uid="{3B14C041-3B20-42BE-ADE2-9BACD7F096E0}"/>
    <cellStyle name="60% - 强调文字颜色 4 32 4" xfId="20446" xr:uid="{25505179-33DB-4AA8-9E72-3CE87C060B3F}"/>
    <cellStyle name="60% - 强调文字颜色 4 32 5" xfId="20443" xr:uid="{551D08EB-4334-4AB5-A15D-456D6006710B}"/>
    <cellStyle name="60% - 强调文字颜色 4 33" xfId="5142" xr:uid="{D12DB0A1-0BD6-4412-850A-421B9A38C85B}"/>
    <cellStyle name="60% - 强调文字颜色 4 33 2" xfId="20448" xr:uid="{D3E68226-E06A-435C-A00D-6A8ABEC2D94B}"/>
    <cellStyle name="60% - 强调文字颜色 4 33 3" xfId="20449" xr:uid="{3881F1C9-8F02-4412-8FD9-982538F4211F}"/>
    <cellStyle name="60% - 强调文字颜色 4 33 4" xfId="20450" xr:uid="{214C9FE9-CF5B-40D6-888C-C1BC9151B2E7}"/>
    <cellStyle name="60% - 强调文字颜色 4 33 5" xfId="20447" xr:uid="{A9631DD0-40C5-4064-BC4C-C088D37DC66B}"/>
    <cellStyle name="60% - 强调文字颜色 4 34" xfId="5144" xr:uid="{2D37284B-B711-4B6F-97F0-05C458E79BAD}"/>
    <cellStyle name="60% - 强调文字颜色 4 34 2" xfId="12917" xr:uid="{F4972AB6-D8E9-4890-B225-9CE1F029F066}"/>
    <cellStyle name="60% - 强调文字颜色 4 34 2 2" xfId="20452" xr:uid="{E1DDF996-3FCD-4DC9-A69F-E1854269268A}"/>
    <cellStyle name="60% - 强调文字颜色 4 34 3" xfId="20453" xr:uid="{B18D6A62-4B81-4282-8B2F-44DE77CDD668}"/>
    <cellStyle name="60% - 强调文字颜色 4 34 4" xfId="20454" xr:uid="{C79409B5-02F3-43D6-8F47-52AEA1D124B6}"/>
    <cellStyle name="60% - 强调文字颜色 4 34 5" xfId="20451" xr:uid="{60AC3DC4-1F21-4A0B-8F02-FC933F28904B}"/>
    <cellStyle name="60% - 强调文字颜色 4 35" xfId="5147" xr:uid="{25105159-6E7D-40B9-95AA-DF7167816641}"/>
    <cellStyle name="60% - 强调文字颜色 4 35 2" xfId="12918" xr:uid="{5D0913B1-1325-48B7-BC6F-50148FDFE0EB}"/>
    <cellStyle name="60% - 强调文字颜色 4 35 2 2" xfId="20456" xr:uid="{B825E237-D9AE-496F-824B-9210A5A21A79}"/>
    <cellStyle name="60% - 强调文字颜色 4 35 3" xfId="20455" xr:uid="{A86B6D1E-9056-4856-A757-31BEF6AB0B50}"/>
    <cellStyle name="60% - 强调文字颜色 4 36" xfId="5149" xr:uid="{D3AE6706-F4A2-4E71-8150-BC2F15E10A40}"/>
    <cellStyle name="60% - 强调文字颜色 4 36 2" xfId="12919" xr:uid="{CF29457B-827B-4EB4-9EE4-6591989AFD14}"/>
    <cellStyle name="60% - 强调文字颜色 4 36 2 2" xfId="20458" xr:uid="{268E3C0A-E46C-4466-B98C-E90CB66F3CB1}"/>
    <cellStyle name="60% - 强调文字颜色 4 36 3" xfId="20457" xr:uid="{18336340-4BBB-41E9-AE89-E353F7CF4375}"/>
    <cellStyle name="60% - 强调文字颜色 4 37" xfId="5151" xr:uid="{72CE70E9-7584-4A97-A23D-DAA9BD88FE78}"/>
    <cellStyle name="60% - 强调文字颜色 4 37 2" xfId="12920" xr:uid="{91F57B7D-547C-4687-AE9A-00E741F31E67}"/>
    <cellStyle name="60% - 强调文字颜色 4 37 2 2" xfId="20460" xr:uid="{1624C2BE-0DC3-48D5-A8F6-6DE6E893DC8D}"/>
    <cellStyle name="60% - 强调文字颜色 4 37 3" xfId="20459" xr:uid="{E50B2A5C-39C6-4E8B-B184-5E60AB749A91}"/>
    <cellStyle name="60% - 强调文字颜色 4 38" xfId="5153" xr:uid="{E4F2A5E5-D038-4D62-8F84-EB6A7420861C}"/>
    <cellStyle name="60% - 强调文字颜色 4 38 2" xfId="12921" xr:uid="{872056E7-8B01-4083-B12B-BBF2AF55AD68}"/>
    <cellStyle name="60% - 强调文字颜色 4 38 2 2" xfId="20462" xr:uid="{B1C7D09C-0D69-475A-A267-D3D8FAFD5F8F}"/>
    <cellStyle name="60% - 强调文字颜色 4 38 3" xfId="20461" xr:uid="{92EB8690-84EE-4FC4-BE93-F99A02835C1D}"/>
    <cellStyle name="60% - 强调文字颜色 4 39" xfId="5155" xr:uid="{3222713A-8C0C-463D-91C0-0A279960C3A5}"/>
    <cellStyle name="60% - 强调文字颜色 4 39 2" xfId="12922" xr:uid="{F44A6864-11D6-4E27-B263-12E82172A642}"/>
    <cellStyle name="60% - 强调文字颜色 4 39 2 2" xfId="20464" xr:uid="{A68849F9-BD8C-417A-8BC4-DE15E6CB635F}"/>
    <cellStyle name="60% - 强调文字颜色 4 39 3" xfId="20463" xr:uid="{B737475A-8397-4CFD-B435-D9C0D97520BF}"/>
    <cellStyle name="60% - 强调文字颜色 4 4" xfId="5157" xr:uid="{64E3F0E9-F62D-43E2-A62C-84609967F6CF}"/>
    <cellStyle name="60% - 强调文字颜色 4 4 2" xfId="5158" xr:uid="{B22CCF75-9F6A-4116-9D09-54C9B12B974A}"/>
    <cellStyle name="60% - 强调文字颜色 4 4 2 2" xfId="10323" xr:uid="{10A4E247-0AA8-4D14-A6D2-2200971A7434}"/>
    <cellStyle name="60% - 强调文字颜色 4 4 2 2 2" xfId="20467" xr:uid="{178C1F39-CAA0-40DB-BF5C-C551D3C133AD}"/>
    <cellStyle name="60% - 强调文字颜色 4 4 2 3" xfId="20466" xr:uid="{0713553E-2821-4CF0-B024-ADAB3F87F675}"/>
    <cellStyle name="60% - 强调文字颜色 4 4 3" xfId="10324" xr:uid="{BD1E8635-498F-4ADB-8A0C-2DC98CFB40B6}"/>
    <cellStyle name="60% - 强调文字颜色 4 4 3 2" xfId="20468" xr:uid="{E0802BFC-6D83-485C-BF75-FF3847C80C2C}"/>
    <cellStyle name="60% - 强调文字颜色 4 4 4" xfId="10322" xr:uid="{D468008A-EF49-4116-A482-DB7EBDFE50CE}"/>
    <cellStyle name="60% - 强调文字颜色 4 4 4 2" xfId="20470" xr:uid="{2EBC07D3-D533-4B78-BC4F-4E944A5CCB24}"/>
    <cellStyle name="60% - 强调文字颜色 4 4 4 3" xfId="20469" xr:uid="{34C9DBD0-389D-49B4-9FD4-945EDC124AD0}"/>
    <cellStyle name="60% - 强调文字颜色 4 4 5" xfId="20465" xr:uid="{0730D283-FC44-4C85-9647-990E345C677B}"/>
    <cellStyle name="60% - 强调文字颜色 4 40" xfId="5148" xr:uid="{01E05AC9-0221-4F3E-9426-30C38BE1F033}"/>
    <cellStyle name="60% - 强调文字颜色 4 40 2" xfId="12923" xr:uid="{13BDBB08-21B6-4ADA-8C07-83F259306527}"/>
    <cellStyle name="60% - 强调文字颜色 4 40 2 2" xfId="20472" xr:uid="{12369F43-6B0F-42F6-81C3-24124AD9F075}"/>
    <cellStyle name="60% - 强调文字颜色 4 40 3" xfId="20471" xr:uid="{FEBFD204-BD87-41FD-B5F8-1ED7F638C16F}"/>
    <cellStyle name="60% - 强调文字颜色 4 41" xfId="5150" xr:uid="{01ED876B-47DC-4BF9-ADA5-C1F3417A421A}"/>
    <cellStyle name="60% - 强调文字颜色 4 41 2" xfId="12924" xr:uid="{91C66BCE-4167-427B-BD9D-0B5C375E722D}"/>
    <cellStyle name="60% - 强调文字颜色 4 41 2 2" xfId="20474" xr:uid="{0BA16135-B272-47C0-9433-68DC50DC936D}"/>
    <cellStyle name="60% - 强调文字颜色 4 41 3" xfId="20473" xr:uid="{6ABDE1F4-CC04-444C-8128-65F82F6B01B9}"/>
    <cellStyle name="60% - 强调文字颜色 4 42" xfId="5152" xr:uid="{B57DE74F-87FE-4B32-B1A8-23382FD32CC4}"/>
    <cellStyle name="60% - 强调文字颜色 4 42 2" xfId="12925" xr:uid="{0DDAAFD7-4DC9-4E01-875D-50AA4570555D}"/>
    <cellStyle name="60% - 强调文字颜色 4 42 2 2" xfId="20476" xr:uid="{86BBCA9C-5D90-4A7E-92CD-4B22569BCA09}"/>
    <cellStyle name="60% - 强调文字颜色 4 42 3" xfId="20475" xr:uid="{9FB10371-D4EC-4CF1-B43D-FF17EF5D8AF6}"/>
    <cellStyle name="60% - 强调文字颜色 4 43" xfId="5154" xr:uid="{B6DBCDB3-D7F5-4562-A421-54375B46F55F}"/>
    <cellStyle name="60% - 强调文字颜色 4 43 2" xfId="12926" xr:uid="{A2D8F4D3-D6A4-4D36-9AAB-6F06146829B3}"/>
    <cellStyle name="60% - 强调文字颜色 4 43 2 2" xfId="20478" xr:uid="{DA8CA426-81A5-44F7-847F-31CA9421077A}"/>
    <cellStyle name="60% - 强调文字颜色 4 43 3" xfId="20477" xr:uid="{E3EEF673-8BC6-49EF-9081-083DB9E5822B}"/>
    <cellStyle name="60% - 强调文字颜色 4 44" xfId="5156" xr:uid="{520D59EC-F8B6-481F-BF32-2A365D0EE7DA}"/>
    <cellStyle name="60% - 强调文字颜色 4 44 2" xfId="12927" xr:uid="{F85FF061-CEDD-4256-B176-E952611655D9}"/>
    <cellStyle name="60% - 强调文字颜色 4 44 2 2" xfId="20480" xr:uid="{3837BC9C-B03A-4F99-9477-A6FDC2FE4B69}"/>
    <cellStyle name="60% - 强调文字颜色 4 44 3" xfId="20479" xr:uid="{A68BBDF8-D06B-4BE7-B62C-414D431AD799}"/>
    <cellStyle name="60% - 强调文字颜色 4 45" xfId="5159" xr:uid="{9A50B4C3-F9FC-48BC-B9E9-9BF0465A9E99}"/>
    <cellStyle name="60% - 强调文字颜色 4 45 2" xfId="12928" xr:uid="{F4077AAB-225D-4D62-AB4C-AC5288A88687}"/>
    <cellStyle name="60% - 强调文字颜色 4 45 2 2" xfId="20482" xr:uid="{854E6F17-47D4-4380-B89D-39ADD3F7310F}"/>
    <cellStyle name="60% - 强调文字颜色 4 45 3" xfId="20481" xr:uid="{B17A6F66-CCE4-4EAA-BA9B-CECBA8920F18}"/>
    <cellStyle name="60% - 强调文字颜色 4 46" xfId="5161" xr:uid="{C86A1E0B-6194-48A5-9249-7C258D4FC280}"/>
    <cellStyle name="60% - 强调文字颜色 4 46 2" xfId="12929" xr:uid="{20381C67-6A1C-4FE4-B42C-5A256149DB56}"/>
    <cellStyle name="60% - 强调文字颜色 4 46 2 2" xfId="20484" xr:uid="{429AD41D-0FA7-42EB-8C1A-64735F00A12C}"/>
    <cellStyle name="60% - 强调文字颜色 4 46 3" xfId="20483" xr:uid="{45E665F7-3146-4942-B434-6A8F89D9A5A4}"/>
    <cellStyle name="60% - 强调文字颜色 4 47" xfId="5163" xr:uid="{0ACC649F-82C6-4D52-938A-CB0FD02B833B}"/>
    <cellStyle name="60% - 强调文字颜色 4 47 2" xfId="12930" xr:uid="{8791A744-57E6-4316-81A7-0C79B31B7F93}"/>
    <cellStyle name="60% - 强调文字颜色 4 47 3" xfId="20485" xr:uid="{8BB758B2-621F-42D3-9E31-01D91F215939}"/>
    <cellStyle name="60% - 强调文字颜色 4 48" xfId="5165" xr:uid="{FA34B990-0732-4BA2-9795-B4FF5E375295}"/>
    <cellStyle name="60% - 强调文字颜色 4 48 2" xfId="12931" xr:uid="{F108FB5A-AB13-430A-AB80-E31EA513D40A}"/>
    <cellStyle name="60% - 强调文字颜色 4 48 3" xfId="20486" xr:uid="{3C936CB2-7B03-451B-973A-41CE7D7A0659}"/>
    <cellStyle name="60% - 强调文字颜色 4 49" xfId="5167" xr:uid="{9ECA176A-1580-4EE6-A26F-F193514ADE24}"/>
    <cellStyle name="60% - 强调文字颜色 4 49 2" xfId="12932" xr:uid="{8DD5F0C4-90F2-42B3-A67A-E06DD2B8DE96}"/>
    <cellStyle name="60% - 强调文字颜色 4 49 3" xfId="20487" xr:uid="{D0EEA5E8-6C92-40A5-9653-6DFEDCD28D9F}"/>
    <cellStyle name="60% - 强调文字颜色 4 5" xfId="5169" xr:uid="{985A8832-3476-448C-BF2B-1075F79372D6}"/>
    <cellStyle name="60% - 强调文字颜色 4 5 2" xfId="5170" xr:uid="{A16C81EB-538C-4A50-A980-D62A6D0CD6BC}"/>
    <cellStyle name="60% - 强调文字颜色 4 5 2 2" xfId="10326" xr:uid="{E7B5E578-83B4-4C34-ACC6-18DDC7E0E6A7}"/>
    <cellStyle name="60% - 强调文字颜色 4 5 2 2 2" xfId="20490" xr:uid="{D42AC613-CEEC-4AA4-B1A3-FA23B9446424}"/>
    <cellStyle name="60% - 强调文字颜色 4 5 2 3" xfId="20489" xr:uid="{92418AAE-C5CD-45AD-B068-DB7189AE07CD}"/>
    <cellStyle name="60% - 强调文字颜色 4 5 3" xfId="10327" xr:uid="{26539DF0-1DD8-4557-9CD7-69045B89C0F4}"/>
    <cellStyle name="60% - 强调文字颜色 4 5 3 2" xfId="20491" xr:uid="{B026AAF8-0C3A-415A-80B7-99CA7C01B6AC}"/>
    <cellStyle name="60% - 强调文字颜色 4 5 4" xfId="10325" xr:uid="{5E6310ED-9343-4C9C-B98F-1C9F3913CD91}"/>
    <cellStyle name="60% - 强调文字颜色 4 5 4 2" xfId="20492" xr:uid="{48917CF7-C5E5-4FA8-AFBD-9705E26AB6AD}"/>
    <cellStyle name="60% - 强调文字颜色 4 5 5" xfId="20488" xr:uid="{A9DB9867-8197-472A-9307-89EE7A2890B1}"/>
    <cellStyle name="60% - 强调文字颜色 4 50" xfId="5160" xr:uid="{C5DC24D1-68ED-436D-B694-082A13E88A8B}"/>
    <cellStyle name="60% - 强调文字颜色 4 50 2" xfId="12933" xr:uid="{3A9D9E7C-FD37-4163-9DCD-8546190A0C89}"/>
    <cellStyle name="60% - 强调文字颜色 4 50 3" xfId="20493" xr:uid="{D5F48632-2102-481A-B49C-6FA9AC290C46}"/>
    <cellStyle name="60% - 强调文字颜色 4 51" xfId="5162" xr:uid="{84BF83D3-4B2E-446E-AB86-A1D3D562B16D}"/>
    <cellStyle name="60% - 强调文字颜色 4 51 2" xfId="12934" xr:uid="{80AEFD6A-00D2-4CD5-8CE5-ED477307038D}"/>
    <cellStyle name="60% - 强调文字颜色 4 51 3" xfId="20494" xr:uid="{810BD98F-F29D-45E5-A969-FE1D37E314BD}"/>
    <cellStyle name="60% - 强调文字颜色 4 52" xfId="5164" xr:uid="{FCE17606-556D-4FDB-B1D4-8FD6D7FE528E}"/>
    <cellStyle name="60% - 强调文字颜色 4 52 2" xfId="12935" xr:uid="{F06ADB79-C62F-4B97-8A79-AD1592647734}"/>
    <cellStyle name="60% - 强调文字颜色 4 52 3" xfId="20495" xr:uid="{FD680624-39C2-46DC-9FF8-6F529E36BEB7}"/>
    <cellStyle name="60% - 强调文字颜色 4 53" xfId="5166" xr:uid="{CA8549E8-07BE-475C-8156-5EEF0CF37A58}"/>
    <cellStyle name="60% - 强调文字颜色 4 53 2" xfId="12936" xr:uid="{407EB4F5-62EC-49ED-B91E-B12A5D087483}"/>
    <cellStyle name="60% - 强调文字颜色 4 53 3" xfId="20496" xr:uid="{C6BCA246-4ABF-4BB9-849E-E33B2812DEEF}"/>
    <cellStyle name="60% - 强调文字颜色 4 54" xfId="5168" xr:uid="{8BC6CE08-E6ED-4FB3-9A6E-5203A7FE48DD}"/>
    <cellStyle name="60% - 强调文字颜色 4 54 2" xfId="12937" xr:uid="{32626092-031A-4B3D-849E-7C591E97CD02}"/>
    <cellStyle name="60% - 强调文字颜色 4 54 3" xfId="20497" xr:uid="{A03AF71B-827F-46FD-8A7A-2F47239F70AA}"/>
    <cellStyle name="60% - 强调文字颜色 4 55" xfId="5171" xr:uid="{05C3B404-0EEF-4C01-BDED-A80D1F440863}"/>
    <cellStyle name="60% - 强调文字颜色 4 55 2" xfId="12938" xr:uid="{1DDEF490-FA26-4A07-AE16-490B040DF310}"/>
    <cellStyle name="60% - 强调文字颜色 4 55 3" xfId="20498" xr:uid="{584665EC-0791-4436-9CA1-1C05014A326C}"/>
    <cellStyle name="60% - 强调文字颜色 4 56" xfId="5173" xr:uid="{2C95F7CB-5335-4C2A-8E44-659C7009E5F9}"/>
    <cellStyle name="60% - 强调文字颜色 4 56 2" xfId="12939" xr:uid="{00E432FC-75C0-4488-9CD3-243DF4EEF603}"/>
    <cellStyle name="60% - 强调文字颜色 4 56 3" xfId="20499" xr:uid="{FE6B6877-B8EB-488E-A9E3-69F7C23150BB}"/>
    <cellStyle name="60% - 强调文字颜色 4 57" xfId="5175" xr:uid="{E60017FC-F5F9-473D-B5C7-989B515BFE2F}"/>
    <cellStyle name="60% - 强调文字颜色 4 57 2" xfId="12940" xr:uid="{510BA2ED-6C4C-4F7F-910D-61307147A1B3}"/>
    <cellStyle name="60% - 强调文字颜色 4 58" xfId="5177" xr:uid="{93A4E581-7D26-49EB-B942-7EF7BED5CC59}"/>
    <cellStyle name="60% - 强调文字颜色 4 58 2" xfId="12941" xr:uid="{110BFD5E-18E3-4A15-9834-5C2D1954C33A}"/>
    <cellStyle name="60% - 强调文字颜色 4 59" xfId="5179" xr:uid="{C607B2DD-175B-4284-80B0-39EEC7739B29}"/>
    <cellStyle name="60% - 强调文字颜色 4 59 2" xfId="12942" xr:uid="{3C8A4E09-8A3A-488E-A9CC-AF2ED3261434}"/>
    <cellStyle name="60% - 强调文字颜色 4 6" xfId="5181" xr:uid="{3CE83399-DB06-4145-A5B9-1A2AFC8BCD6F}"/>
    <cellStyle name="60% - 强调文字颜色 4 6 2" xfId="5182" xr:uid="{10E8EB40-825E-4498-85A2-AEFBCA57601B}"/>
    <cellStyle name="60% - 强调文字颜色 4 6 2 2" xfId="10329" xr:uid="{DEAA86D6-63B0-46C1-821F-5579D2B8CC94}"/>
    <cellStyle name="60% - 强调文字颜色 4 6 2 2 2" xfId="20502" xr:uid="{06CD41C8-9D7D-460B-A46B-320A06A0216F}"/>
    <cellStyle name="60% - 强调文字颜色 4 6 2 3" xfId="20501" xr:uid="{2D2C5B22-1789-4C2D-A886-27DE7476091D}"/>
    <cellStyle name="60% - 强调文字颜色 4 6 3" xfId="10330" xr:uid="{2E74772A-4F32-4E0A-AD3F-7B6040776BAD}"/>
    <cellStyle name="60% - 强调文字颜色 4 6 3 2" xfId="20503" xr:uid="{1840BB9F-E134-4E05-8BA0-25B1EDF66412}"/>
    <cellStyle name="60% - 强调文字颜色 4 6 4" xfId="10328" xr:uid="{6B0E4A3E-BD61-4861-8D8E-95F5980A1BC8}"/>
    <cellStyle name="60% - 强调文字颜色 4 6 4 2" xfId="20504" xr:uid="{17C39F58-DE08-48DC-A4E2-4400FB36B90E}"/>
    <cellStyle name="60% - 强调文字颜色 4 6 5" xfId="20500" xr:uid="{FABCB881-A78C-454C-B2F6-3D7B464EC1B6}"/>
    <cellStyle name="60% - 强调文字颜色 4 60" xfId="5172" xr:uid="{B305A599-A9E1-41A0-92E9-E6B4DA2629CD}"/>
    <cellStyle name="60% - 强调文字颜色 4 60 2" xfId="12943" xr:uid="{2B602A85-F10F-421B-9B5B-54C5418F2306}"/>
    <cellStyle name="60% - 强调文字颜色 4 61" xfId="5174" xr:uid="{20F4AE81-F909-45AA-9701-CA24259F3E38}"/>
    <cellStyle name="60% - 强调文字颜色 4 61 2" xfId="12944" xr:uid="{EE765CB0-413D-4D5C-A173-48C529CDDC69}"/>
    <cellStyle name="60% - 强调文字颜色 4 62" xfId="5176" xr:uid="{2C2C8082-2A37-449C-BD63-E67194810A8F}"/>
    <cellStyle name="60% - 强调文字颜色 4 62 2" xfId="12945" xr:uid="{E5DF2BDA-0D45-47E2-8DC4-0B85A5993A9B}"/>
    <cellStyle name="60% - 强调文字颜色 4 63" xfId="5178" xr:uid="{C0B5A3EC-DFFE-4122-BC24-0159E462D174}"/>
    <cellStyle name="60% - 强调文字颜色 4 63 2" xfId="12946" xr:uid="{E8E0FD63-1327-404F-8F60-F4246BD98403}"/>
    <cellStyle name="60% - 强调文字颜色 4 64" xfId="5180" xr:uid="{4675D435-7707-4DE6-BED5-23B541284F57}"/>
    <cellStyle name="60% - 强调文字颜色 4 64 2" xfId="12947" xr:uid="{44948CD1-04A1-46D5-9F9B-663B0C998FE0}"/>
    <cellStyle name="60% - 强调文字颜色 4 65" xfId="5183" xr:uid="{7BC91E27-F158-4EAD-9CEB-6A570469F9F3}"/>
    <cellStyle name="60% - 强调文字颜色 4 65 2" xfId="12948" xr:uid="{A65FA0AA-0E19-4417-9E8A-CDE328A2B32E}"/>
    <cellStyle name="60% - 强调文字颜色 4 66" xfId="5185" xr:uid="{A93674AE-CE9A-4EA0-899B-9FC52473E5DE}"/>
    <cellStyle name="60% - 强调文字颜色 4 66 2" xfId="12949" xr:uid="{1411A676-5599-4CDE-BAE8-A5E251AAEE86}"/>
    <cellStyle name="60% - 强调文字颜色 4 67" xfId="5187" xr:uid="{F91806A6-91F8-457F-B6CA-D8E35DE9E41A}"/>
    <cellStyle name="60% - 强调文字颜色 4 67 2" xfId="12950" xr:uid="{03511A4E-0E2A-4F8D-9DC4-507FCE4166B7}"/>
    <cellStyle name="60% - 强调文字颜色 4 68" xfId="5189" xr:uid="{60227A32-A14D-4A67-8BD3-A0883969BD80}"/>
    <cellStyle name="60% - 强调文字颜色 4 68 2" xfId="12951" xr:uid="{A36A5B3B-411E-4B6A-AB18-B1957DDB0861}"/>
    <cellStyle name="60% - 强调文字颜色 4 69" xfId="5191" xr:uid="{3FC668F0-10E5-497F-A51D-29BC87EBC718}"/>
    <cellStyle name="60% - 强调文字颜色 4 69 2" xfId="12952" xr:uid="{7890030C-B846-4162-843D-3A1F5D043FFF}"/>
    <cellStyle name="60% - 强调文字颜色 4 7" xfId="5193" xr:uid="{8C580CA5-A34C-4A54-8760-2937F175277A}"/>
    <cellStyle name="60% - 强调文字颜色 4 7 2" xfId="5194" xr:uid="{46CA0C59-CC0A-4338-A203-86DA7FC7CC3B}"/>
    <cellStyle name="60% - 强调文字颜色 4 7 2 2" xfId="10332" xr:uid="{25A40CDD-394F-445B-A5CB-DB7132DC85E8}"/>
    <cellStyle name="60% - 强调文字颜色 4 7 2 2 2" xfId="20507" xr:uid="{0D4BE820-3CA2-41DE-A97E-93C5BB2D68E8}"/>
    <cellStyle name="60% - 强调文字颜色 4 7 2 3" xfId="20506" xr:uid="{5A962E1D-1326-45B0-82D9-AF9E989612EC}"/>
    <cellStyle name="60% - 强调文字颜色 4 7 3" xfId="10333" xr:uid="{246F0409-18BA-43E5-A887-9AA0B15C9412}"/>
    <cellStyle name="60% - 强调文字颜色 4 7 3 2" xfId="20508" xr:uid="{C8824EF0-8F17-4742-80FB-DA8547EB6914}"/>
    <cellStyle name="60% - 强调文字颜色 4 7 4" xfId="10331" xr:uid="{687905F3-1D35-4F04-BFBC-DB85D2D7F08C}"/>
    <cellStyle name="60% - 强调文字颜色 4 7 4 2" xfId="20509" xr:uid="{6A4F4482-8693-4B6A-8FDD-7506F3D385C9}"/>
    <cellStyle name="60% - 强调文字颜色 4 7 5" xfId="20505" xr:uid="{534D91A5-155F-45DD-91A0-62CE02C18761}"/>
    <cellStyle name="60% - 强调文字颜色 4 70" xfId="5184" xr:uid="{99E67A54-4F56-48B3-90EA-61D2C9251D27}"/>
    <cellStyle name="60% - 强调文字颜色 4 70 2" xfId="12953" xr:uid="{A2817940-15B9-4F94-B7EB-A17ED547EDBC}"/>
    <cellStyle name="60% - 强调文字颜色 4 71" xfId="5186" xr:uid="{8B28C88E-7BCC-4C0E-A783-EDCC0EC29D79}"/>
    <cellStyle name="60% - 强调文字颜色 4 71 2" xfId="12954" xr:uid="{1AFD1EEA-3924-4E2A-9258-7261982F37A8}"/>
    <cellStyle name="60% - 强调文字颜色 4 72" xfId="5188" xr:uid="{78E702D2-EFFA-4193-9193-C1A56F2B95C9}"/>
    <cellStyle name="60% - 强调文字颜色 4 72 2" xfId="12955" xr:uid="{51534EB8-09FB-48D4-A664-D6C9EB98DA4B}"/>
    <cellStyle name="60% - 强调文字颜色 4 73" xfId="5190" xr:uid="{1DA577CB-0DE6-4451-AB2E-46F9DAD33F8E}"/>
    <cellStyle name="60% - 强调文字颜色 4 73 2" xfId="12956" xr:uid="{0F6A2596-A971-4460-B4F1-FDE976028547}"/>
    <cellStyle name="60% - 强调文字颜色 4 74" xfId="5192" xr:uid="{7549B269-972D-40EA-937B-73B54FF84370}"/>
    <cellStyle name="60% - 强调文字颜色 4 74 2" xfId="12957" xr:uid="{AD235392-7807-48B7-92F6-729746FB5C19}"/>
    <cellStyle name="60% - 强调文字颜色 4 75" xfId="5195" xr:uid="{71E2AFAD-42B0-4E6A-B411-70503B3272F7}"/>
    <cellStyle name="60% - 强调文字颜色 4 75 2" xfId="12958" xr:uid="{11334C8C-F8AE-4512-88E6-DC4EC72E3FEE}"/>
    <cellStyle name="60% - 强调文字颜色 4 76" xfId="5197" xr:uid="{131D9576-00C3-4478-9BF5-4513A9D2F5A6}"/>
    <cellStyle name="60% - 强调文字颜色 4 76 2" xfId="12959" xr:uid="{D86B26FE-635C-4A93-8014-6BEAAAFB955D}"/>
    <cellStyle name="60% - 强调文字颜色 4 77" xfId="5199" xr:uid="{A5C361EC-69C8-4741-BE2E-48915848A962}"/>
    <cellStyle name="60% - 强调文字颜色 4 77 2" xfId="12960" xr:uid="{99CF4D29-0526-4864-B5D6-86AB4AEA3DA9}"/>
    <cellStyle name="60% - 强调文字颜色 4 78" xfId="5201" xr:uid="{8E694229-6C1D-422E-8D8C-A72B649AF37D}"/>
    <cellStyle name="60% - 强调文字颜色 4 78 2" xfId="12961" xr:uid="{BF26CB54-B3BC-45C0-8A19-2449306B938D}"/>
    <cellStyle name="60% - 强调文字颜色 4 79" xfId="5203" xr:uid="{902C52B3-BCAB-4327-AC27-5275A5C22B17}"/>
    <cellStyle name="60% - 强调文字颜色 4 79 2" xfId="12962" xr:uid="{1A1C0999-4C26-412E-9E75-CDF9F073CAF9}"/>
    <cellStyle name="60% - 强调文字颜色 4 8" xfId="5205" xr:uid="{520290B4-8DDA-47F2-8022-7F59AEFA8B00}"/>
    <cellStyle name="60% - 强调文字颜色 4 8 2" xfId="5206" xr:uid="{71A273DE-8B8B-419C-A351-EEBD7FA0C702}"/>
    <cellStyle name="60% - 强调文字颜色 4 8 2 2" xfId="10335" xr:uid="{87E5AC4D-E38D-4DE5-BE81-16C94C20BD5C}"/>
    <cellStyle name="60% - 强调文字颜色 4 8 2 2 2" xfId="20512" xr:uid="{0C1101A5-8CB8-416D-96F1-C1A8BBC2BE3E}"/>
    <cellStyle name="60% - 强调文字颜色 4 8 2 3" xfId="20511" xr:uid="{A1B6ACA0-2DCE-4D8C-B98A-48B80BFF4E6E}"/>
    <cellStyle name="60% - 强调文字颜色 4 8 3" xfId="10336" xr:uid="{E3926688-7A26-4B41-93E6-0F7B3EA3D6CD}"/>
    <cellStyle name="60% - 强调文字颜色 4 8 3 2" xfId="20513" xr:uid="{A855FF7A-5680-475B-990D-AD050417BD7A}"/>
    <cellStyle name="60% - 强调文字颜色 4 8 4" xfId="10334" xr:uid="{9A69BBEC-6EB9-49D4-B4CC-13832EC08BCE}"/>
    <cellStyle name="60% - 强调文字颜色 4 8 4 2" xfId="20514" xr:uid="{BCB21441-D614-4008-B4FA-9601EE89D144}"/>
    <cellStyle name="60% - 强调文字颜色 4 8 5" xfId="20510" xr:uid="{4A2FD600-9C4E-43CA-9902-3F9FB6E09C03}"/>
    <cellStyle name="60% - 强调文字颜色 4 80" xfId="5196" xr:uid="{78BF9371-83EC-409F-90A1-49E4C85E2C94}"/>
    <cellStyle name="60% - 强调文字颜色 4 80 2" xfId="12963" xr:uid="{7AA02835-37A3-4567-9DAD-F992E0CAA567}"/>
    <cellStyle name="60% - 强调文字颜色 4 81" xfId="5198" xr:uid="{1083D4A3-3405-43FB-9A58-7214EC037E66}"/>
    <cellStyle name="60% - 强调文字颜色 4 81 2" xfId="12964" xr:uid="{7010E69A-205E-439A-9DB9-059CEE4B8697}"/>
    <cellStyle name="60% - 强调文字颜色 4 82" xfId="5200" xr:uid="{10C97A7E-5A90-4831-BE1D-DB6341955F7A}"/>
    <cellStyle name="60% - 强调文字颜色 4 82 2" xfId="12965" xr:uid="{840F7BE7-4C66-4908-8D51-65A96EF8EC67}"/>
    <cellStyle name="60% - 强调文字颜色 4 83" xfId="5202" xr:uid="{F743CA55-254A-4E21-872A-104007F0C5E5}"/>
    <cellStyle name="60% - 强调文字颜色 4 83 2" xfId="12966" xr:uid="{4EC88F3A-7375-4472-A5FA-685BE1D3AF0C}"/>
    <cellStyle name="60% - 强调文字颜色 4 84" xfId="5204" xr:uid="{ACA2B3C6-386C-43C5-AC93-30E9E88DC749}"/>
    <cellStyle name="60% - 强调文字颜色 4 84 2" xfId="12967" xr:uid="{4E9938CA-EBB0-443D-AFBC-BF4E8F5AF836}"/>
    <cellStyle name="60% - 强调文字颜色 4 85" xfId="9351" xr:uid="{27187A62-9AA4-44B6-8FE9-D28C962E3DAD}"/>
    <cellStyle name="60% - 强调文字颜色 4 86" xfId="10286" xr:uid="{2F7FF892-430C-4026-AFF2-96E94A874E87}"/>
    <cellStyle name="60% - 强调文字颜色 4 87" xfId="13602" xr:uid="{4642ABBC-8137-42C9-A18D-254CE91129F7}"/>
    <cellStyle name="60% - 强调文字颜色 4 88" xfId="27174" xr:uid="{92207568-9EE2-4259-B0C0-D418B01BC976}"/>
    <cellStyle name="60% - 强调文字颜色 4 89" xfId="27206" xr:uid="{1B1CC333-31F3-4D2C-A7FF-28153162D481}"/>
    <cellStyle name="60% - 强调文字颜色 4 9" xfId="5207" xr:uid="{BA4AE449-D533-4571-B7C3-D9546E8D3C27}"/>
    <cellStyle name="60% - 强调文字颜色 4 9 2" xfId="10338" xr:uid="{1F3AFCAB-ADBA-4CCC-810C-20B8A506A79B}"/>
    <cellStyle name="60% - 强调文字颜色 4 9 2 2" xfId="20517" xr:uid="{878D197A-ADF6-44A1-99AF-2F29D88B42EB}"/>
    <cellStyle name="60% - 强调文字颜色 4 9 2 3" xfId="20516" xr:uid="{6751C025-CFCE-4B16-AB76-C6EE9451E699}"/>
    <cellStyle name="60% - 强调文字颜色 4 9 3" xfId="10339" xr:uid="{123BACC6-0114-4CA9-A773-C707C8A997F0}"/>
    <cellStyle name="60% - 强调文字颜色 4 9 3 2" xfId="20518" xr:uid="{41E9C92D-C461-4D89-BD9B-2C0D63693EFF}"/>
    <cellStyle name="60% - 强调文字颜色 4 9 4" xfId="10337" xr:uid="{7BFA0400-7F3D-4F61-9A06-4DD7A316FEDB}"/>
    <cellStyle name="60% - 强调文字颜色 4 9 4 2" xfId="20519" xr:uid="{EEB25036-36BA-4BCF-A93C-4C48D756BF7A}"/>
    <cellStyle name="60% - 强调文字颜色 4 9 5" xfId="20515" xr:uid="{F7048698-B0D4-4DA8-8B58-BFC1BC79FDF1}"/>
    <cellStyle name="60% - 强调文字颜色 4 90" xfId="27209" xr:uid="{ED440555-B2FE-4824-9BC9-D2BD5B3D60EA}"/>
    <cellStyle name="60% - 强调文字颜色 5" xfId="5208" xr:uid="{02BE076B-CE34-4DE1-AC07-83ADE4DFC01D}"/>
    <cellStyle name="60% - 强调文字颜色 5 10" xfId="5209" xr:uid="{BE6550A6-558A-4DA9-BB12-5F32E72F3855}"/>
    <cellStyle name="60% - 强调文字颜色 5 10 2" xfId="10342" xr:uid="{0DE87837-F161-4C10-B106-CB4BFED103BA}"/>
    <cellStyle name="60% - 强调文字颜色 5 10 2 2" xfId="20522" xr:uid="{7A9C0FD2-B089-4EBA-91EE-6E01B44D505C}"/>
    <cellStyle name="60% - 强调文字颜色 5 10 2 3" xfId="20521" xr:uid="{916F1B6C-FDE2-4619-A361-EEEDACE56BA7}"/>
    <cellStyle name="60% - 强调文字颜色 5 10 3" xfId="10343" xr:uid="{D50637DA-5504-46E5-B977-0C0FEFAA820A}"/>
    <cellStyle name="60% - 强调文字颜色 5 10 3 2" xfId="20523" xr:uid="{C8E4D1B6-A27D-4B11-95F7-0AE81CBC569E}"/>
    <cellStyle name="60% - 强调文字颜色 5 10 4" xfId="10341" xr:uid="{AA15C754-815E-4761-868C-F4DE82EF3D3C}"/>
    <cellStyle name="60% - 强调文字颜色 5 10 4 2" xfId="20524" xr:uid="{41CBB263-AA62-4864-9DF0-470F49775F1C}"/>
    <cellStyle name="60% - 强调文字颜色 5 10 5" xfId="20520" xr:uid="{F1552C29-1581-4776-81C9-C416D3AD5879}"/>
    <cellStyle name="60% - 强调文字颜色 5 11" xfId="5210" xr:uid="{0F26DF4A-8C98-4E21-BF4B-3E3AF0310DE8}"/>
    <cellStyle name="60% - 强调文字颜色 5 11 2" xfId="10345" xr:uid="{40E6AB83-A4C7-4B8A-A9FC-B35C82595D93}"/>
    <cellStyle name="60% - 强调文字颜色 5 11 2 2" xfId="20527" xr:uid="{E3A70DD6-32B4-4009-926E-9DED5A73EC44}"/>
    <cellStyle name="60% - 强调文字颜色 5 11 2 3" xfId="20526" xr:uid="{3B865C98-C82D-421C-89B1-3B0E93D13669}"/>
    <cellStyle name="60% - 强调文字颜色 5 11 3" xfId="10346" xr:uid="{DA4CBDB8-BEFB-4158-B0AA-95BBF3D4AAA3}"/>
    <cellStyle name="60% - 强调文字颜色 5 11 3 2" xfId="20528" xr:uid="{4BAF5198-F730-41F4-96C5-143C3E5E6F63}"/>
    <cellStyle name="60% - 强调文字颜色 5 11 4" xfId="10344" xr:uid="{E5359341-0893-432C-8680-9B5772B1936C}"/>
    <cellStyle name="60% - 强调文字颜色 5 11 4 2" xfId="20529" xr:uid="{AD143A94-771E-47F9-8F92-FCE7F862B2ED}"/>
    <cellStyle name="60% - 强调文字颜色 5 11 5" xfId="20525" xr:uid="{74B128D2-ED86-4495-A1DC-A36BD6CA2C86}"/>
    <cellStyle name="60% - 强调文字颜色 5 12" xfId="5211" xr:uid="{E818B79B-14DE-4237-BAE1-887130209BF3}"/>
    <cellStyle name="60% - 强调文字颜色 5 12 2" xfId="10348" xr:uid="{7312FF5E-1786-4625-B55A-706F25651CF2}"/>
    <cellStyle name="60% - 强调文字颜色 5 12 2 2" xfId="20532" xr:uid="{2CEDBCC6-4335-4D24-BCF1-9DC255E8166B}"/>
    <cellStyle name="60% - 强调文字颜色 5 12 2 3" xfId="20531" xr:uid="{329819D9-8324-4CFC-9E3C-6FC9826956C9}"/>
    <cellStyle name="60% - 强调文字颜色 5 12 3" xfId="10349" xr:uid="{5ACB6CA7-7353-4887-B2B4-1A9352E5D0DD}"/>
    <cellStyle name="60% - 强调文字颜色 5 12 3 2" xfId="20533" xr:uid="{0D8F7602-D2DA-4E63-AD18-2764C134AE29}"/>
    <cellStyle name="60% - 强调文字颜色 5 12 4" xfId="10347" xr:uid="{8B7F8B00-9526-4BA2-A46F-D89C41FEE355}"/>
    <cellStyle name="60% - 强调文字颜色 5 12 4 2" xfId="20534" xr:uid="{8B2F2874-F78A-41A7-B949-B5215C211E64}"/>
    <cellStyle name="60% - 强调文字颜色 5 12 5" xfId="20530" xr:uid="{BDC63EF2-8C25-4EE7-B6B5-F2A37815DC83}"/>
    <cellStyle name="60% - 强调文字颜色 5 13" xfId="5212" xr:uid="{7A6F0B95-73F2-4E2B-8DDE-7EE1A8EEECEB}"/>
    <cellStyle name="60% - 强调文字颜色 5 13 2" xfId="10351" xr:uid="{3A197EAA-1E0B-4AF4-A99E-2F6C826345DA}"/>
    <cellStyle name="60% - 强调文字颜色 5 13 2 2" xfId="20537" xr:uid="{5D1F373F-E9B1-48C6-8DEF-3DC408A5128A}"/>
    <cellStyle name="60% - 强调文字颜色 5 13 2 3" xfId="20536" xr:uid="{F3FD63EF-B8CF-4D5B-AA3A-8C8C0B9DA221}"/>
    <cellStyle name="60% - 强调文字颜色 5 13 3" xfId="10352" xr:uid="{99A6121B-F942-4B1A-9152-C0606D20567B}"/>
    <cellStyle name="60% - 强调文字颜色 5 13 3 2" xfId="20538" xr:uid="{F2059048-A699-420A-91C7-031A6CDD4FF3}"/>
    <cellStyle name="60% - 强调文字颜色 5 13 4" xfId="10350" xr:uid="{9769C098-1B5E-4BD5-8856-0DDC4297B04A}"/>
    <cellStyle name="60% - 强调文字颜色 5 13 4 2" xfId="20539" xr:uid="{1DD7F519-3A1E-49EE-945D-836971B6CF13}"/>
    <cellStyle name="60% - 强调文字颜色 5 13 5" xfId="20535" xr:uid="{0892689B-4E3E-4EB5-BAA3-1CCE2FF57450}"/>
    <cellStyle name="60% - 强调文字颜色 5 14" xfId="5213" xr:uid="{996B565D-1D2D-41A8-A1BD-1F39F8BA26A4}"/>
    <cellStyle name="60% - 强调文字颜色 5 14 2" xfId="10354" xr:uid="{B0E331A8-A32A-4084-B10F-1BE8CD3F8CF1}"/>
    <cellStyle name="60% - 强调文字颜色 5 14 2 2" xfId="20542" xr:uid="{1EEB98D7-A720-41EC-A897-ADE395FD3607}"/>
    <cellStyle name="60% - 强调文字颜色 5 14 2 3" xfId="20541" xr:uid="{4DF7B149-534B-4557-B1CF-309570804DFA}"/>
    <cellStyle name="60% - 强调文字颜色 5 14 3" xfId="10355" xr:uid="{FAA42287-9043-4322-8D1B-CA80A99DAEBE}"/>
    <cellStyle name="60% - 强调文字颜色 5 14 3 2" xfId="20543" xr:uid="{7A9F5F1E-91AB-4EB0-A7EB-F00442266B81}"/>
    <cellStyle name="60% - 强调文字颜色 5 14 4" xfId="10353" xr:uid="{EDCA35EE-8F9F-4731-BF8B-43FAD960E8A4}"/>
    <cellStyle name="60% - 强调文字颜色 5 14 4 2" xfId="20544" xr:uid="{06170378-01F6-4298-A2D2-71B0DF900D21}"/>
    <cellStyle name="60% - 强调文字颜色 5 14 5" xfId="20540" xr:uid="{26819FB5-7873-4124-B168-307804ADFCB5}"/>
    <cellStyle name="60% - 强调文字颜色 5 15" xfId="5214" xr:uid="{E45C18F4-021A-4977-80E1-334412C7AEEB}"/>
    <cellStyle name="60% - 强调文字颜色 5 15 2" xfId="10357" xr:uid="{F36E929B-F7E2-4DDD-88A7-D14EF4E23F5E}"/>
    <cellStyle name="60% - 强调文字颜色 5 15 2 2" xfId="20547" xr:uid="{1BEDCD44-117E-4C16-894F-C9C9F4944FC8}"/>
    <cellStyle name="60% - 强调文字颜色 5 15 2 3" xfId="20546" xr:uid="{D0C13305-1D29-42E4-A65C-CC8F27F15EE3}"/>
    <cellStyle name="60% - 强调文字颜色 5 15 3" xfId="10358" xr:uid="{32400C62-B6B1-4549-BEFA-300B253653FA}"/>
    <cellStyle name="60% - 强调文字颜色 5 15 3 2" xfId="20548" xr:uid="{EB329F04-4E37-408E-8E9C-FA662A29887D}"/>
    <cellStyle name="60% - 强调文字颜色 5 15 4" xfId="10356" xr:uid="{83F3EC4C-242D-40D6-9FBE-6B6815639B0B}"/>
    <cellStyle name="60% - 强调文字颜色 5 15 4 2" xfId="20549" xr:uid="{5CB50359-2C60-4C8D-A8A7-CC212D13ED1D}"/>
    <cellStyle name="60% - 强调文字颜色 5 15 5" xfId="20545" xr:uid="{17E34F67-0DC9-4944-B732-675023268BB1}"/>
    <cellStyle name="60% - 强调文字颜色 5 16" xfId="5216" xr:uid="{E0917E9A-5B73-478B-9970-5EE3AF925CAB}"/>
    <cellStyle name="60% - 强调文字颜色 5 16 2" xfId="10360" xr:uid="{AFC91E03-3E31-492E-8681-B0DBAB8F7FE8}"/>
    <cellStyle name="60% - 强调文字颜色 5 16 2 2" xfId="20552" xr:uid="{7159BA6B-E895-4918-BDE7-947FF3B6AC00}"/>
    <cellStyle name="60% - 强调文字颜色 5 16 2 3" xfId="20551" xr:uid="{1B666192-8D4F-4509-9C8D-6348726798C4}"/>
    <cellStyle name="60% - 强调文字颜色 5 16 3" xfId="10361" xr:uid="{34E1513E-97A9-4BC6-B5A8-C6EFC99D1738}"/>
    <cellStyle name="60% - 强调文字颜色 5 16 3 2" xfId="20553" xr:uid="{20C7A669-49E1-4177-99BF-63F25387A94B}"/>
    <cellStyle name="60% - 强调文字颜色 5 16 4" xfId="10359" xr:uid="{D09EFD81-10B8-4294-9356-914F75569411}"/>
    <cellStyle name="60% - 强调文字颜色 5 16 4 2" xfId="20554" xr:uid="{30121833-0FB3-4434-BDDC-6C61A88A7A4A}"/>
    <cellStyle name="60% - 强调文字颜色 5 16 5" xfId="20550" xr:uid="{69700382-BC70-4F47-890A-AB929D2A46CF}"/>
    <cellStyle name="60% - 强调文字颜色 5 17" xfId="5218" xr:uid="{15BB8B7C-66F5-434B-8D66-F42A8E5B52CB}"/>
    <cellStyle name="60% - 强调文字颜色 5 17 2" xfId="10363" xr:uid="{FE8A293C-A722-4A91-AE23-A43D8B5742F5}"/>
    <cellStyle name="60% - 强调文字颜色 5 17 2 2" xfId="20557" xr:uid="{8275D05C-0FE9-4998-9353-C4C88E2B9E12}"/>
    <cellStyle name="60% - 强调文字颜色 5 17 2 3" xfId="20556" xr:uid="{FA17AA90-FC5D-474E-9DF5-85CF401541B9}"/>
    <cellStyle name="60% - 强调文字颜色 5 17 3" xfId="10364" xr:uid="{784D77CE-0481-41F1-B6FA-E3AD71F709A3}"/>
    <cellStyle name="60% - 强调文字颜色 5 17 3 2" xfId="20558" xr:uid="{CC575FC0-AE93-4917-A000-33117EFF17C3}"/>
    <cellStyle name="60% - 强调文字颜色 5 17 4" xfId="10362" xr:uid="{D1D255BC-C500-4907-8C1E-616B9F882CBB}"/>
    <cellStyle name="60% - 强调文字颜色 5 17 4 2" xfId="20559" xr:uid="{2E54A0C8-4824-4B3E-8FD6-5F17CA1E7A57}"/>
    <cellStyle name="60% - 强调文字颜色 5 17 5" xfId="20555" xr:uid="{D006052D-F9AB-4E1F-A7A0-3ABCA9ED880E}"/>
    <cellStyle name="60% - 强调文字颜色 5 18" xfId="5220" xr:uid="{88925228-89E1-49DC-9745-4226E8CCF88A}"/>
    <cellStyle name="60% - 强调文字颜色 5 18 2" xfId="10365" xr:uid="{DEFC92E7-02EC-46D4-8A84-5EA866B07764}"/>
    <cellStyle name="60% - 强调文字颜色 5 18 2 2" xfId="20562" xr:uid="{34770B0D-6FE9-439F-B19C-F8EDD3B97E03}"/>
    <cellStyle name="60% - 强调文字颜色 5 18 2 3" xfId="20561" xr:uid="{1E9038F7-172E-43B9-9E0F-02C4FEB13058}"/>
    <cellStyle name="60% - 强调文字颜色 5 18 3" xfId="20563" xr:uid="{AE88CB88-8E3B-47CC-A8A6-898B81AB28E4}"/>
    <cellStyle name="60% - 强调文字颜色 5 18 4" xfId="20564" xr:uid="{03BCE42E-8F1E-476E-AE3F-69BAA1BC5462}"/>
    <cellStyle name="60% - 强调文字颜色 5 18 5" xfId="20560" xr:uid="{5E7A3D18-A633-4FFC-83CF-3D741887F990}"/>
    <cellStyle name="60% - 强调文字颜色 5 19" xfId="5222" xr:uid="{BA44D578-EE54-4485-9262-2A160596D3F3}"/>
    <cellStyle name="60% - 强调文字颜色 5 19 2" xfId="10366" xr:uid="{A0EEE63A-11C7-46FE-ACA2-D07095225CE3}"/>
    <cellStyle name="60% - 强调文字颜色 5 19 2 2" xfId="20567" xr:uid="{7C9BBBCC-C457-4637-A2A4-DBF98B37EE18}"/>
    <cellStyle name="60% - 强调文字颜色 5 19 2 3" xfId="20566" xr:uid="{C3E56DD5-72B6-489A-AA4A-3ED7161FFB77}"/>
    <cellStyle name="60% - 强调文字颜色 5 19 3" xfId="20568" xr:uid="{7A01AB71-F75E-469C-8AE8-33F1DFC97919}"/>
    <cellStyle name="60% - 强调文字颜色 5 19 4" xfId="20569" xr:uid="{E4DA7B93-9AC3-40C7-B456-A07915A687FC}"/>
    <cellStyle name="60% - 强调文字颜色 5 19 5" xfId="20565" xr:uid="{555B51DD-BD3D-4085-B2D8-0AA66654EFD8}"/>
    <cellStyle name="60% - 强调文字颜色 5 2" xfId="5224" xr:uid="{D68D764D-9E37-4812-9989-93C967A40018}"/>
    <cellStyle name="60% - 强调文字颜色 5 2 10" xfId="5225" xr:uid="{9F74E01F-B3BF-40F5-A3AC-00067C088CD6}"/>
    <cellStyle name="60% - 强调文字颜色 5 2 11" xfId="5228" xr:uid="{63BB724E-370E-445C-BC8F-3E1877A974B0}"/>
    <cellStyle name="60% - 强调文字颜色 5 2 12" xfId="5231" xr:uid="{E490B13B-E30F-4CE4-A04F-30F2F90668EE}"/>
    <cellStyle name="60% - 强调文字颜色 5 2 13" xfId="5234" xr:uid="{F55A7FBD-0297-4F7E-8CE6-648006083D2F}"/>
    <cellStyle name="60% - 强调文字颜色 5 2 14" xfId="5237" xr:uid="{36B43F6D-A993-4B21-B177-FE580393BAB5}"/>
    <cellStyle name="60% - 强调文字颜色 5 2 15" xfId="10367" xr:uid="{662D83C1-18EA-4B05-9D21-5ED4B53054E5}"/>
    <cellStyle name="60% - 强调文字颜色 5 2 16" xfId="12805" xr:uid="{3271C7FE-67F6-43B9-9C7C-649F8ABFA581}"/>
    <cellStyle name="60% - 强调文字颜色 5 2 2" xfId="5240" xr:uid="{6F56B0E7-88E9-4B9B-AF82-49A2F3E5D67C}"/>
    <cellStyle name="60% - 强调文字颜色 5 2 2 2" xfId="10368" xr:uid="{65274530-6682-4802-94DC-54C6A9DE1D3C}"/>
    <cellStyle name="60% - 强调文字颜色 5 2 2 2 2" xfId="20571" xr:uid="{9B0EEA6F-B612-4B63-818E-983A62B65A63}"/>
    <cellStyle name="60% - 强调文字颜色 5 2 2 3" xfId="20570" xr:uid="{6427E1AF-E9DB-4296-AED0-95761C63C2C4}"/>
    <cellStyle name="60% - 强调文字颜色 5 2 2 4" xfId="27343" xr:uid="{F67A9FE7-B82F-4462-8737-94B73B7439A8}"/>
    <cellStyle name="60% - 强调文字颜色 5 2 3" xfId="5241" xr:uid="{111F6AC5-CF1F-4FD8-B202-ECB64A72C064}"/>
    <cellStyle name="60% - 强调文字颜色 5 2 3 2" xfId="10369" xr:uid="{3D421239-6AEB-4081-9D4C-D6D81F002218}"/>
    <cellStyle name="60% - 强调文字颜色 5 2 3 2 2" xfId="20573" xr:uid="{CD0D0CA2-9B1C-48FD-84BB-197C6B82D56F}"/>
    <cellStyle name="60% - 强调文字颜色 5 2 3 3" xfId="20572" xr:uid="{E5460432-E174-428A-A08E-E160B8AF9A80}"/>
    <cellStyle name="60% - 强调文字颜色 5 2 3 4" xfId="27344" xr:uid="{BBE76C60-0A40-428E-9B8D-1D30CF84BBC2}"/>
    <cellStyle name="60% - 强调文字颜色 5 2 4" xfId="5242" xr:uid="{14E48C89-3B0C-4FE7-B4D6-75BB69117924}"/>
    <cellStyle name="60% - 强调文字颜色 5 2 4 2" xfId="20574" xr:uid="{F9B47AFE-A950-49F2-8B54-F4F3E65B79A1}"/>
    <cellStyle name="60% - 强调文字颜色 5 2 4 3" xfId="27724" xr:uid="{C041C35E-8CB3-4A13-9412-3FEF01F9F08D}"/>
    <cellStyle name="60% - 强调文字颜色 5 2 5" xfId="5243" xr:uid="{AEE534FD-9280-4AE0-B6B3-6B851AFA24F2}"/>
    <cellStyle name="60% - 强调文字颜色 5 2 5 2" xfId="20576" xr:uid="{62FF5BC7-2AB9-4C8E-AA4A-1904FE10DAF9}"/>
    <cellStyle name="60% - 强调文字颜色 5 2 5 3" xfId="20575" xr:uid="{66336B15-39A0-4E48-BE90-DD6BFAFC95BF}"/>
    <cellStyle name="60% - 强调文字颜色 5 2 6" xfId="5244" xr:uid="{9E35E194-7A51-4F6E-8218-00BDFF7677FB}"/>
    <cellStyle name="60% - 强调文字颜色 5 2 6 2" xfId="20577" xr:uid="{BC628599-AB89-4D0F-A655-99225C8667D7}"/>
    <cellStyle name="60% - 强调文字颜色 5 2 7" xfId="5245" xr:uid="{79125B65-C0B3-4995-9FD3-3924A13A5A3C}"/>
    <cellStyle name="60% - 强调文字颜色 5 2 7 2" xfId="20578" xr:uid="{79DA38AD-4500-44D1-BE0E-524CA0462941}"/>
    <cellStyle name="60% - 强调文字颜色 5 2 8" xfId="5246" xr:uid="{ED1BC36B-F333-4DCF-A02B-FD76A746CA9D}"/>
    <cellStyle name="60% - 强调文字颜色 5 2 9" xfId="5247" xr:uid="{EE694CD4-55C0-48F1-A59F-571F5E54C73A}"/>
    <cellStyle name="60% - 强调文字颜色 5 2_动力部" xfId="20579" xr:uid="{FB7C1BA9-C12E-4E10-85D7-6EF1FCB0721A}"/>
    <cellStyle name="60% - 强调文字颜色 5 20" xfId="5215" xr:uid="{27B35702-F1E5-4B98-AF3A-365FBD7A9A21}"/>
    <cellStyle name="60% - 强调文字颜色 5 20 2" xfId="10370" xr:uid="{1F5CCD70-58AA-4955-BE6C-9137884F9FA8}"/>
    <cellStyle name="60% - 强调文字颜色 5 20 2 2" xfId="20582" xr:uid="{E7564D74-B73E-42BE-A9C4-96975FA163EB}"/>
    <cellStyle name="60% - 强调文字颜色 5 20 2 3" xfId="20581" xr:uid="{AB226523-613D-4FDE-9CCB-5B402FCCF46F}"/>
    <cellStyle name="60% - 强调文字颜色 5 20 3" xfId="20583" xr:uid="{D13DA93E-902A-4F6B-B789-B5EFA3B6EE90}"/>
    <cellStyle name="60% - 强调文字颜色 5 20 4" xfId="20584" xr:uid="{BD8AA706-2CEF-4C95-85F8-126A379A5641}"/>
    <cellStyle name="60% - 强调文字颜色 5 20 5" xfId="20580" xr:uid="{13EAEE33-EF8C-4EB4-A9E1-9C5DBF28A91C}"/>
    <cellStyle name="60% - 强调文字颜色 5 21" xfId="5217" xr:uid="{E106A3D3-80D0-4C33-BD0F-5D5C8D28DE8F}"/>
    <cellStyle name="60% - 强调文字颜色 5 21 2" xfId="10371" xr:uid="{955D59F8-4F25-4A03-8391-6EC0368FC515}"/>
    <cellStyle name="60% - 强调文字颜色 5 21 2 2" xfId="20587" xr:uid="{14648303-CE0F-44F6-8AD3-9E39725D3BAD}"/>
    <cellStyle name="60% - 强调文字颜色 5 21 2 3" xfId="20586" xr:uid="{EFA51E00-D066-4684-91AC-73F872EC0CB4}"/>
    <cellStyle name="60% - 强调文字颜色 5 21 3" xfId="20588" xr:uid="{D85C4E0E-02B1-4F0E-910D-EFDB71C32B3F}"/>
    <cellStyle name="60% - 强调文字颜色 5 21 4" xfId="20589" xr:uid="{4355FA03-D58F-4A3E-96FF-482161CDA04A}"/>
    <cellStyle name="60% - 强调文字颜色 5 21 5" xfId="20585" xr:uid="{444E7C31-3F0A-4256-A8FF-EF78E7EA3CBA}"/>
    <cellStyle name="60% - 强调文字颜色 5 22" xfId="5219" xr:uid="{336EF13B-13A0-43DD-8AA2-7469CFCDEA29}"/>
    <cellStyle name="60% - 强调文字颜色 5 22 2" xfId="10372" xr:uid="{B407425A-48CC-486A-88CA-88F74C764C01}"/>
    <cellStyle name="60% - 强调文字颜色 5 22 2 2" xfId="20592" xr:uid="{C0C9C062-F962-4C29-8117-703B986B6C62}"/>
    <cellStyle name="60% - 强调文字颜色 5 22 2 3" xfId="20591" xr:uid="{1926664E-11C2-45ED-A887-F581B8EDCFE4}"/>
    <cellStyle name="60% - 强调文字颜色 5 22 3" xfId="20593" xr:uid="{907BDDF7-B6CF-4B4D-9BFF-0289CEF60F0B}"/>
    <cellStyle name="60% - 强调文字颜色 5 22 4" xfId="20594" xr:uid="{F53F4296-66B0-402E-8238-264A0E1FB302}"/>
    <cellStyle name="60% - 强调文字颜色 5 22 5" xfId="20590" xr:uid="{10C1AC4E-7E82-4D8B-82A3-8670A2C14CC4}"/>
    <cellStyle name="60% - 强调文字颜色 5 23" xfId="5221" xr:uid="{6E696161-B5A5-4B5A-B106-DD778F260FC5}"/>
    <cellStyle name="60% - 强调文字颜色 5 23 2" xfId="20596" xr:uid="{49D82A37-195E-470B-B5EB-6D6313576E17}"/>
    <cellStyle name="60% - 强调文字颜色 5 23 2 2" xfId="20597" xr:uid="{90304635-5F5E-4D57-B6C9-5588E587E57D}"/>
    <cellStyle name="60% - 强调文字颜色 5 23 3" xfId="20598" xr:uid="{CE335B7F-299F-4B62-A12E-C288AB6FCA18}"/>
    <cellStyle name="60% - 强调文字颜色 5 23 4" xfId="20599" xr:uid="{46CEA7D8-E14B-430B-BDDF-CE458600A19E}"/>
    <cellStyle name="60% - 强调文字颜色 5 23 5" xfId="20595" xr:uid="{60BB891B-E42A-4C35-9FBA-331DFCF85E38}"/>
    <cellStyle name="60% - 强调文字颜色 5 24" xfId="5223" xr:uid="{F57F88EC-C851-4ADF-B9DB-BEBD1DF0CE87}"/>
    <cellStyle name="60% - 强调文字颜色 5 24 2" xfId="20601" xr:uid="{829D5F95-BB5D-4AF1-9C66-3C5F173A105B}"/>
    <cellStyle name="60% - 强调文字颜色 5 24 2 2" xfId="20602" xr:uid="{69D5A6B3-C82E-4EF0-9BF3-BE93BA6A6CA9}"/>
    <cellStyle name="60% - 强调文字颜色 5 24 3" xfId="20603" xr:uid="{E0D5B43A-4051-4F6F-AB8C-E3392DA063CB}"/>
    <cellStyle name="60% - 强调文字颜色 5 24 4" xfId="20604" xr:uid="{4BA9588A-2408-4628-A620-0783970DC786}"/>
    <cellStyle name="60% - 强调文字颜色 5 24 5" xfId="20600" xr:uid="{61C163AA-C16F-408A-BDF5-74BB063A9A62}"/>
    <cellStyle name="60% - 强调文字颜色 5 25" xfId="5248" xr:uid="{BC18A6DD-3B53-4B1B-A498-365F239713BD}"/>
    <cellStyle name="60% - 强调文字颜色 5 25 2" xfId="20606" xr:uid="{08054024-A84E-48E3-BF21-D9E499AA79A5}"/>
    <cellStyle name="60% - 强调文字颜色 5 25 2 2" xfId="20607" xr:uid="{0FFFB56A-462D-4D4F-9FFE-E28A1D001261}"/>
    <cellStyle name="60% - 强调文字颜色 5 25 3" xfId="20608" xr:uid="{B643ABE9-1C61-4629-A0F2-40DF0BB1AD2A}"/>
    <cellStyle name="60% - 强调文字颜色 5 25 4" xfId="20609" xr:uid="{08A7751C-AD8C-4939-87E5-55B231CF6F2D}"/>
    <cellStyle name="60% - 强调文字颜色 5 25 5" xfId="20605" xr:uid="{A109B32F-0258-434B-A2D9-27090E908789}"/>
    <cellStyle name="60% - 强调文字颜色 5 26" xfId="5250" xr:uid="{30B8E6C4-98F2-4223-A2C2-4A31C132F9A6}"/>
    <cellStyle name="60% - 强调文字颜色 5 26 2" xfId="20611" xr:uid="{E45733BE-D46A-4A88-8F71-906D9D5CCF4D}"/>
    <cellStyle name="60% - 强调文字颜色 5 26 2 2" xfId="20612" xr:uid="{3ECCA3F3-31A2-41E0-80C3-15980629D761}"/>
    <cellStyle name="60% - 强调文字颜色 5 26 3" xfId="20613" xr:uid="{E4AC6F56-6AEA-4DE7-AB0F-92E5DC85C1A7}"/>
    <cellStyle name="60% - 强调文字颜色 5 26 4" xfId="20614" xr:uid="{01238704-EFC1-4876-9457-2C4835664FC8}"/>
    <cellStyle name="60% - 强调文字颜色 5 26 5" xfId="20610" xr:uid="{A0B9ED2D-A5DD-4FC8-857B-54D29E8416D7}"/>
    <cellStyle name="60% - 强调文字颜色 5 27" xfId="5252" xr:uid="{8C042833-0152-45FA-967C-DA94363BAA1A}"/>
    <cellStyle name="60% - 强调文字颜色 5 27 2" xfId="20616" xr:uid="{5F69FA00-7C6B-4934-BE76-7DFD7D96A993}"/>
    <cellStyle name="60% - 强调文字颜色 5 27 2 2" xfId="20617" xr:uid="{EB39ED5A-1A1F-49AC-8A19-4F3F7784B80F}"/>
    <cellStyle name="60% - 强调文字颜色 5 27 3" xfId="20618" xr:uid="{938A396E-B0CF-42BE-8802-25796495DF4C}"/>
    <cellStyle name="60% - 强调文字颜色 5 27 4" xfId="20619" xr:uid="{20329663-85A8-4CBB-BF21-B6C897E9A143}"/>
    <cellStyle name="60% - 强调文字颜色 5 27 5" xfId="20615" xr:uid="{974A164F-C587-45C0-AB9B-43FFECE4ACB8}"/>
    <cellStyle name="60% - 强调文字颜色 5 28" xfId="5254" xr:uid="{50704D55-C12E-40FD-97A6-2E1CBC0E3889}"/>
    <cellStyle name="60% - 强调文字颜色 5 28 2" xfId="20621" xr:uid="{92773C1A-3E65-452A-B77F-0B96C8031753}"/>
    <cellStyle name="60% - 强调文字颜色 5 28 3" xfId="20622" xr:uid="{56777003-2181-44FB-96F0-CF34F5DA1B61}"/>
    <cellStyle name="60% - 强调文字颜色 5 28 4" xfId="20623" xr:uid="{B8C58646-8879-40C0-A915-567F31D8D8BB}"/>
    <cellStyle name="60% - 强调文字颜色 5 28 5" xfId="20620" xr:uid="{1BC8304B-62A3-40B9-BBB5-57C10F20468B}"/>
    <cellStyle name="60% - 强调文字颜色 5 29" xfId="5256" xr:uid="{271EE7BE-A10D-45C3-A692-48CF74131373}"/>
    <cellStyle name="60% - 强调文字颜色 5 29 2" xfId="20625" xr:uid="{B5FA4A7D-515D-45D4-A7FB-B1075D216E99}"/>
    <cellStyle name="60% - 强调文字颜色 5 29 3" xfId="20626" xr:uid="{6B2E24D3-F2DA-4E38-8259-6BD7488A4567}"/>
    <cellStyle name="60% - 强调文字颜色 5 29 4" xfId="20627" xr:uid="{3E57CDF8-22F9-468C-A28F-904A6127D710}"/>
    <cellStyle name="60% - 强调文字颜色 5 29 5" xfId="20624" xr:uid="{D4692FD3-E77D-4204-8926-4CED4791154E}"/>
    <cellStyle name="60% - 强调文字颜色 5 3" xfId="5258" xr:uid="{DA0265E5-ADCD-4FD2-9603-E6CD105528B6}"/>
    <cellStyle name="60% - 强调文字颜色 5 3 2" xfId="10374" xr:uid="{701AD09E-2209-4E68-8E8D-61810B62BD88}"/>
    <cellStyle name="60% - 强调文字颜色 5 3 2 2" xfId="20629" xr:uid="{20182016-E554-4A60-9676-D79B6C707DD9}"/>
    <cellStyle name="60% - 强调文字颜色 5 3 2 3" xfId="27345" xr:uid="{3B6D0F04-500F-456A-9627-FBA13A0D9B73}"/>
    <cellStyle name="60% - 强调文字颜色 5 3 3" xfId="10375" xr:uid="{00F46486-EDE0-4012-AFCB-33132608B612}"/>
    <cellStyle name="60% - 强调文字颜色 5 3 3 2" xfId="20631" xr:uid="{2E2C784F-461D-4B8F-BE81-4856BED2FC94}"/>
    <cellStyle name="60% - 强调文字颜色 5 3 3 3" xfId="20630" xr:uid="{86C2CDA5-60D4-4F89-86EC-782EAEDB9365}"/>
    <cellStyle name="60% - 强调文字颜色 5 3 3 4" xfId="27346" xr:uid="{C0F4B4E6-38FB-4DC7-A444-93E6D35CA9BE}"/>
    <cellStyle name="60% - 强调文字颜色 5 3 4" xfId="10373" xr:uid="{C9FB9A47-67C8-4648-AF64-84301C73899D}"/>
    <cellStyle name="60% - 强调文字颜色 5 3 4 2" xfId="20632" xr:uid="{5DD48B5C-5A27-4BC1-AD4C-2654ED2F2BB8}"/>
    <cellStyle name="60% - 强调文字颜色 5 3 4 3" xfId="27725" xr:uid="{76EE5AA3-3899-4B47-8392-DCC1D1C62567}"/>
    <cellStyle name="60% - 强调文字颜色 5 3 5" xfId="20633" xr:uid="{9AE9BDDE-C825-4A7F-ACB7-7B6E1EC322AA}"/>
    <cellStyle name="60% - 强调文字颜色 5 3 5 2" xfId="20634" xr:uid="{2EEEF99E-E200-49FF-BE31-4B0460090CC1}"/>
    <cellStyle name="60% - 强调文字颜色 5 3 6" xfId="20628" xr:uid="{1099C2A1-14F4-4961-B442-876C81868761}"/>
    <cellStyle name="60% - 强调文字颜色 5 30" xfId="5249" xr:uid="{F5A39E0B-4B45-4277-8C17-0B1B1B6BBE06}"/>
    <cellStyle name="60% - 强调文字颜色 5 30 2" xfId="20636" xr:uid="{20EDE152-6530-490F-A66B-8F5132E7051C}"/>
    <cellStyle name="60% - 强调文字颜色 5 30 3" xfId="20637" xr:uid="{25D542D2-8FF7-4C5A-BE4B-22BB6693E1B9}"/>
    <cellStyle name="60% - 强调文字颜色 5 30 4" xfId="20638" xr:uid="{A280269A-7A17-4F0D-A373-E83CABA54843}"/>
    <cellStyle name="60% - 强调文字颜色 5 30 5" xfId="20635" xr:uid="{4345DC43-608F-4B1C-AB9E-5F72EB978AA0}"/>
    <cellStyle name="60% - 强调文字颜色 5 31" xfId="5251" xr:uid="{5A1E0378-4243-40F3-B04C-211085D1435B}"/>
    <cellStyle name="60% - 强调文字颜色 5 31 2" xfId="20640" xr:uid="{C3B7A86B-D2F3-457E-A951-D3563C105F54}"/>
    <cellStyle name="60% - 强调文字颜色 5 31 3" xfId="20641" xr:uid="{A8895EEE-AC36-4A82-945D-77816C6038AB}"/>
    <cellStyle name="60% - 强调文字颜色 5 31 4" xfId="20642" xr:uid="{EE8EA60D-B79C-47A7-B124-F1BCACCB9F31}"/>
    <cellStyle name="60% - 强调文字颜色 5 31 5" xfId="20639" xr:uid="{3FA85BDD-ABBA-4959-8C50-EBBDD99C348D}"/>
    <cellStyle name="60% - 强调文字颜色 5 32" xfId="5253" xr:uid="{8019CEF4-8B20-455A-9EB3-9CB18EE87979}"/>
    <cellStyle name="60% - 强调文字颜色 5 32 2" xfId="20644" xr:uid="{0196E6A8-F3E0-4EE6-A65C-F95991E40BD1}"/>
    <cellStyle name="60% - 强调文字颜色 5 32 3" xfId="20645" xr:uid="{3146E599-1F88-4F61-A472-9C54C6EEC1C9}"/>
    <cellStyle name="60% - 强调文字颜色 5 32 4" xfId="20646" xr:uid="{EFBD20A5-2508-4C36-9D96-0C8FE8D1A3B2}"/>
    <cellStyle name="60% - 强调文字颜色 5 32 5" xfId="20643" xr:uid="{29494A37-78A5-45FA-8D38-8535B77B4578}"/>
    <cellStyle name="60% - 强调文字颜色 5 33" xfId="5255" xr:uid="{4DA1EC42-8892-4490-86BC-3A804DE934D9}"/>
    <cellStyle name="60% - 强调文字颜色 5 33 2" xfId="20648" xr:uid="{7394CC51-7D67-4FD8-B3D0-2521B481EE7C}"/>
    <cellStyle name="60% - 强调文字颜色 5 33 3" xfId="20649" xr:uid="{98E1D4BF-0BE8-4D24-BE70-2ED86BF92218}"/>
    <cellStyle name="60% - 强调文字颜色 5 33 4" xfId="20650" xr:uid="{87CB6876-CE9E-4A03-8CD4-268F85A6504E}"/>
    <cellStyle name="60% - 强调文字颜色 5 33 5" xfId="20647" xr:uid="{192CE091-0EA1-4D31-9DFE-3DB8984A247A}"/>
    <cellStyle name="60% - 强调文字颜色 5 34" xfId="5257" xr:uid="{84EAEC0B-807A-4D4F-B846-78E5457B23D6}"/>
    <cellStyle name="60% - 强调文字颜色 5 34 2" xfId="12968" xr:uid="{33C024B6-9E5F-452A-B499-5B4137C32FFF}"/>
    <cellStyle name="60% - 强调文字颜色 5 34 2 2" xfId="20652" xr:uid="{1C35DA48-0D0F-4CCE-B769-DA39795CB573}"/>
    <cellStyle name="60% - 强调文字颜色 5 34 3" xfId="20653" xr:uid="{FF4C4197-7F76-439E-8728-4B35C49CB79B}"/>
    <cellStyle name="60% - 强调文字颜色 5 34 4" xfId="20654" xr:uid="{4F76C0BB-DD8C-4511-AD66-C4C0F7B38A48}"/>
    <cellStyle name="60% - 强调文字颜色 5 34 5" xfId="20651" xr:uid="{02783BE9-4529-47C5-A702-F0E92A7FDE29}"/>
    <cellStyle name="60% - 强调文字颜色 5 35" xfId="5259" xr:uid="{D281C631-B4E9-4D4E-BF7C-712C26BE585B}"/>
    <cellStyle name="60% - 强调文字颜色 5 35 2" xfId="12969" xr:uid="{D6CDF8BF-85E9-4C4C-8D8F-C27EE0EDA466}"/>
    <cellStyle name="60% - 强调文字颜色 5 35 2 2" xfId="20656" xr:uid="{403F3D8D-79EF-4732-AC9F-6087F1DEA8A7}"/>
    <cellStyle name="60% - 强调文字颜色 5 35 3" xfId="20655" xr:uid="{F3C17E66-66A5-48A6-83C7-D1E179CE156F}"/>
    <cellStyle name="60% - 强调文字颜色 5 36" xfId="5261" xr:uid="{388B94F4-00D9-4B6A-96DA-FCF10D4AB405}"/>
    <cellStyle name="60% - 强调文字颜色 5 36 2" xfId="12970" xr:uid="{06E2ED8C-16F3-41A3-B5C8-375CFFCD4738}"/>
    <cellStyle name="60% - 强调文字颜色 5 36 2 2" xfId="20658" xr:uid="{E8163D60-E53F-4E7F-B09C-E72378343677}"/>
    <cellStyle name="60% - 强调文字颜色 5 36 3" xfId="20657" xr:uid="{2949F551-2D1C-4A4B-B311-BBD37C7A4CC9}"/>
    <cellStyle name="60% - 强调文字颜色 5 37" xfId="5264" xr:uid="{58CD86DD-F777-407C-A0F6-F62F062EB819}"/>
    <cellStyle name="60% - 强调文字颜色 5 37 2" xfId="12971" xr:uid="{85D20EF6-169D-47A6-B201-EBE0C711258C}"/>
    <cellStyle name="60% - 强调文字颜色 5 37 2 2" xfId="20660" xr:uid="{B9786942-94C7-41B1-BAA1-5CCE024D496B}"/>
    <cellStyle name="60% - 强调文字颜色 5 37 3" xfId="20659" xr:uid="{8C84AC0E-A649-4F9E-89F0-363AE92F384B}"/>
    <cellStyle name="60% - 强调文字颜色 5 38" xfId="5267" xr:uid="{760C65AD-E86D-4A7A-BD1A-8114F615D0F3}"/>
    <cellStyle name="60% - 强调文字颜色 5 38 2" xfId="12972" xr:uid="{5D822C40-5E8C-48F0-85C5-3653DBA755BD}"/>
    <cellStyle name="60% - 强调文字颜色 5 38 2 2" xfId="20662" xr:uid="{0B957115-6D5A-418F-8DEB-93665B3D47F7}"/>
    <cellStyle name="60% - 强调文字颜色 5 38 3" xfId="20661" xr:uid="{E449E3A1-02E7-4A91-ACB0-B2E19F37C6E2}"/>
    <cellStyle name="60% - 强调文字颜色 5 39" xfId="5270" xr:uid="{4815FE12-E095-4C1A-9907-78616FAF448E}"/>
    <cellStyle name="60% - 强调文字颜色 5 39 2" xfId="12973" xr:uid="{0DDAAE81-C342-4419-B8E3-5A89262B8838}"/>
    <cellStyle name="60% - 强调文字颜色 5 39 2 2" xfId="20664" xr:uid="{27FCBAD6-FCDD-4ADA-962A-5DAD3F305FC0}"/>
    <cellStyle name="60% - 强调文字颜色 5 39 3" xfId="20663" xr:uid="{5FC56A4E-CA8D-49FC-8760-D007CD55D7F0}"/>
    <cellStyle name="60% - 强调文字颜色 5 4" xfId="5272" xr:uid="{6B8D4650-6DFB-410F-83CA-541C715EDB19}"/>
    <cellStyle name="60% - 强调文字颜色 5 4 2" xfId="10377" xr:uid="{0EF1AF3C-AE1A-40E4-A694-BEE98351E0F2}"/>
    <cellStyle name="60% - 强调文字颜色 5 4 2 2" xfId="20667" xr:uid="{815AA436-85B2-45EA-B1A8-4D599FEBE686}"/>
    <cellStyle name="60% - 强调文字颜色 5 4 2 3" xfId="20666" xr:uid="{8F557D8C-1735-445F-8AC3-7705DC5C755F}"/>
    <cellStyle name="60% - 强调文字颜色 5 4 3" xfId="10378" xr:uid="{760A88F9-E9A4-42EA-9CE2-3F763F68104B}"/>
    <cellStyle name="60% - 强调文字颜色 5 4 3 2" xfId="20668" xr:uid="{5E514699-5C03-4B24-9747-B86912472853}"/>
    <cellStyle name="60% - 强调文字颜色 5 4 4" xfId="10376" xr:uid="{0364BD43-C8EF-440E-B10C-FBF4A650DBEC}"/>
    <cellStyle name="60% - 强调文字颜色 5 4 4 2" xfId="20670" xr:uid="{E23B31F8-1CED-478D-95CA-43B5681D3627}"/>
    <cellStyle name="60% - 强调文字颜色 5 4 4 3" xfId="20669" xr:uid="{83139E0C-173A-4870-B9B4-D097756272A3}"/>
    <cellStyle name="60% - 强调文字颜色 5 4 5" xfId="20665" xr:uid="{F2611582-531B-47B8-99B3-F877B7FB2AAD}"/>
    <cellStyle name="60% - 强调文字颜色 5 40" xfId="5260" xr:uid="{7F0A150A-2F5B-48C3-B010-64FD2B69E2FB}"/>
    <cellStyle name="60% - 强调文字颜色 5 40 2" xfId="12974" xr:uid="{6BD9D785-B355-4CA3-93B9-D5F7B2A2D31E}"/>
    <cellStyle name="60% - 强调文字颜色 5 40 2 2" xfId="20672" xr:uid="{BD818471-44DB-4158-95A7-104FBBB9B445}"/>
    <cellStyle name="60% - 强调文字颜色 5 40 3" xfId="20671" xr:uid="{1A0E00CD-A2F0-48EB-BE21-125BF8235397}"/>
    <cellStyle name="60% - 强调文字颜色 5 41" xfId="5262" xr:uid="{6BB889E1-C476-4824-900A-485E2B4F3C66}"/>
    <cellStyle name="60% - 强调文字颜色 5 41 2" xfId="12975" xr:uid="{C92F4444-95CE-48F2-9703-3F797637A51D}"/>
    <cellStyle name="60% - 强调文字颜色 5 41 2 2" xfId="20674" xr:uid="{E7182269-5117-461C-9862-ED852E38F81D}"/>
    <cellStyle name="60% - 强调文字颜色 5 41 3" xfId="20673" xr:uid="{E3BF9EC7-2EAB-428D-BD51-43C65061D1B4}"/>
    <cellStyle name="60% - 强调文字颜色 5 42" xfId="5265" xr:uid="{D0C2FCF9-D830-4804-B479-76084F896907}"/>
    <cellStyle name="60% - 强调文字颜色 5 42 2" xfId="12976" xr:uid="{523EB2A1-0BD2-4858-BFB5-F75099E107A4}"/>
    <cellStyle name="60% - 强调文字颜色 5 42 2 2" xfId="20676" xr:uid="{95D6B026-4947-406A-820E-434E485024EF}"/>
    <cellStyle name="60% - 强调文字颜色 5 42 3" xfId="20675" xr:uid="{1D96186D-776A-4F8E-A4B4-C4BEE733EC51}"/>
    <cellStyle name="60% - 强调文字颜色 5 43" xfId="5268" xr:uid="{C2401BBC-5647-44CC-A480-7A72B3C16AB3}"/>
    <cellStyle name="60% - 强调文字颜色 5 43 2" xfId="12977" xr:uid="{E3CD5BC1-58CC-4F68-94D1-3AAD85968095}"/>
    <cellStyle name="60% - 强调文字颜色 5 43 2 2" xfId="20678" xr:uid="{7F7575B3-7331-4733-9B3B-F01608CECBEB}"/>
    <cellStyle name="60% - 强调文字颜色 5 43 3" xfId="20677" xr:uid="{0F422CA1-2CC4-495C-B17A-46E9A209F7E2}"/>
    <cellStyle name="60% - 强调文字颜色 5 44" xfId="5271" xr:uid="{D9A62333-D934-44BA-9B4B-FAD10367CDFC}"/>
    <cellStyle name="60% - 强调文字颜色 5 44 2" xfId="12978" xr:uid="{B373A1F7-D5BB-4866-B1CA-FE6D9BEB9FF2}"/>
    <cellStyle name="60% - 强调文字颜色 5 44 2 2" xfId="20680" xr:uid="{227CC7DA-4DBD-4C8F-A354-C992F30615C4}"/>
    <cellStyle name="60% - 强调文字颜色 5 44 3" xfId="20679" xr:uid="{30434C17-E6A2-42B9-8422-222CD96C0932}"/>
    <cellStyle name="60% - 强调文字颜色 5 45" xfId="5273" xr:uid="{4F1836E1-F4F2-4DEB-81FC-6BCEFBED4516}"/>
    <cellStyle name="60% - 强调文字颜色 5 45 2" xfId="12979" xr:uid="{4C7DA0E8-C669-4A57-AA3E-0F32A01618EA}"/>
    <cellStyle name="60% - 强调文字颜色 5 45 2 2" xfId="20682" xr:uid="{E0AF5A02-0E29-482A-8174-43ACD4CCDA76}"/>
    <cellStyle name="60% - 强调文字颜色 5 45 3" xfId="20681" xr:uid="{D36E6912-32B3-4259-9D2F-3DED07635B37}"/>
    <cellStyle name="60% - 强调文字颜色 5 46" xfId="5275" xr:uid="{7931E536-AE94-4BEA-B9FA-D4C6EBBF10CD}"/>
    <cellStyle name="60% - 强调文字颜色 5 46 2" xfId="12980" xr:uid="{6BCC9D96-6DB1-4A78-BACC-11255FB63BFE}"/>
    <cellStyle name="60% - 强调文字颜色 5 46 2 2" xfId="20684" xr:uid="{6D584692-C00F-46C6-B312-648408FEC662}"/>
    <cellStyle name="60% - 强调文字颜色 5 46 3" xfId="20683" xr:uid="{D36CE620-37D8-4DCC-BA9C-B892635ECC60}"/>
    <cellStyle name="60% - 强调文字颜色 5 47" xfId="5277" xr:uid="{53D45810-A990-4DD5-9273-981922AB78CD}"/>
    <cellStyle name="60% - 强调文字颜色 5 47 2" xfId="12981" xr:uid="{FB005A3D-B4F0-4DCF-9D04-243022280DE9}"/>
    <cellStyle name="60% - 强调文字颜色 5 47 3" xfId="20685" xr:uid="{073F6D20-3452-4B1B-BDEC-AB0991AD15CD}"/>
    <cellStyle name="60% - 强调文字颜色 5 48" xfId="5279" xr:uid="{7671B05C-28A2-4858-999F-1A7D9F6E544B}"/>
    <cellStyle name="60% - 强调文字颜色 5 48 2" xfId="12982" xr:uid="{7742CC00-1CB9-45E3-A327-F5144E37A5C9}"/>
    <cellStyle name="60% - 强调文字颜色 5 48 3" xfId="20686" xr:uid="{1C264E69-7137-409F-B4C0-099EE594E4D0}"/>
    <cellStyle name="60% - 强调文字颜色 5 49" xfId="290" xr:uid="{35C04555-B00F-498B-8A3A-68D89249F9F5}"/>
    <cellStyle name="60% - 强调文字颜色 5 49 2" xfId="12983" xr:uid="{36FBB592-5B88-44AD-BDDC-9C026852BFC6}"/>
    <cellStyle name="60% - 强调文字颜色 5 49 3" xfId="20687" xr:uid="{5BB799CD-4B54-4F41-945F-8749C49F790D}"/>
    <cellStyle name="60% - 强调文字颜色 5 5" xfId="5281" xr:uid="{21891AE2-A8CB-433D-A55A-0FA7D18EF389}"/>
    <cellStyle name="60% - 强调文字颜色 5 5 2" xfId="10380" xr:uid="{4103C02F-3BF6-40BE-8B9A-F57749788DF9}"/>
    <cellStyle name="60% - 强调文字颜色 5 5 2 2" xfId="20690" xr:uid="{87618D54-9883-40D3-8C1D-B6D33AF7D63D}"/>
    <cellStyle name="60% - 强调文字颜色 5 5 2 3" xfId="20689" xr:uid="{B091A178-7A31-4F00-BFD2-577268AB43DD}"/>
    <cellStyle name="60% - 强调文字颜色 5 5 3" xfId="10381" xr:uid="{119701BB-769A-4945-81FB-0A5854A48ACC}"/>
    <cellStyle name="60% - 强调文字颜色 5 5 3 2" xfId="20691" xr:uid="{4B2A770C-3BA3-4AA6-880D-601B054653B9}"/>
    <cellStyle name="60% - 强调文字颜色 5 5 4" xfId="10379" xr:uid="{202FD381-BBBF-4CDB-8074-D6D38019E165}"/>
    <cellStyle name="60% - 强调文字颜色 5 5 4 2" xfId="20692" xr:uid="{F871C647-869D-49F6-ADD6-89633B9C2EEC}"/>
    <cellStyle name="60% - 强调文字颜色 5 5 5" xfId="20688" xr:uid="{3DBDB571-E8D3-45A5-8C55-D4A16B865609}"/>
    <cellStyle name="60% - 强调文字颜色 5 50" xfId="5274" xr:uid="{4A59165F-6874-4D1E-9980-A19A0F5AE3FA}"/>
    <cellStyle name="60% - 强调文字颜色 5 50 2" xfId="12984" xr:uid="{9C514F6C-9D4C-4DE4-B6DB-1A207F11656E}"/>
    <cellStyle name="60% - 强调文字颜色 5 50 3" xfId="20693" xr:uid="{5754C9DA-80A2-41E3-9D7C-7B66EC08E06D}"/>
    <cellStyle name="60% - 强调文字颜色 5 51" xfId="5276" xr:uid="{CEE09A5E-456C-47FD-A1CD-C29FE76091B7}"/>
    <cellStyle name="60% - 强调文字颜色 5 51 2" xfId="12985" xr:uid="{FCF72CFF-29CD-4F7F-A576-9EF1D4AB8759}"/>
    <cellStyle name="60% - 强调文字颜色 5 51 3" xfId="20694" xr:uid="{46D0B6EC-98AD-4794-B006-FDBE95B68DAD}"/>
    <cellStyle name="60% - 强调文字颜色 5 52" xfId="5278" xr:uid="{AA8159A0-DC2E-4E18-A83F-056022C8B779}"/>
    <cellStyle name="60% - 强调文字颜色 5 52 2" xfId="12986" xr:uid="{1B16BC19-D5AC-4751-B612-530B26B92BAC}"/>
    <cellStyle name="60% - 强调文字颜色 5 52 3" xfId="20695" xr:uid="{923B1300-8A25-4727-A1CA-AFBB51F258B8}"/>
    <cellStyle name="60% - 强调文字颜色 5 53" xfId="5280" xr:uid="{662504A5-28DC-4589-9672-750F3779FD28}"/>
    <cellStyle name="60% - 强调文字颜色 5 53 2" xfId="12987" xr:uid="{16737121-F408-4DA2-9FCD-D3B46189B992}"/>
    <cellStyle name="60% - 强调文字颜色 5 53 3" xfId="20696" xr:uid="{543C8315-86B8-40E1-9AE7-143EA36A9FB9}"/>
    <cellStyle name="60% - 强调文字颜色 5 54" xfId="291" xr:uid="{C22F2B75-A8C2-48FC-9804-A6D148F2E77F}"/>
    <cellStyle name="60% - 强调文字颜色 5 54 2" xfId="12988" xr:uid="{7D7B0573-C173-4A43-9DED-8696B4446A2E}"/>
    <cellStyle name="60% - 强调文字颜色 5 54 3" xfId="20697" xr:uid="{642B3735-025B-4910-B87B-37C721A57C16}"/>
    <cellStyle name="60% - 强调文字颜色 5 55" xfId="5282" xr:uid="{274115F9-695D-4673-B092-09CECF91217D}"/>
    <cellStyle name="60% - 强调文字颜色 5 55 2" xfId="12989" xr:uid="{D56584E8-1035-4C92-84F6-F0C8A8CCEBF0}"/>
    <cellStyle name="60% - 强调文字颜色 5 55 3" xfId="20698" xr:uid="{93E59659-E1F9-4393-A40B-73130F20553B}"/>
    <cellStyle name="60% - 强调文字颜色 5 56" xfId="5284" xr:uid="{81E755B8-BC53-4785-A62F-FE981B46A406}"/>
    <cellStyle name="60% - 强调文字颜色 5 56 2" xfId="12990" xr:uid="{E575524D-83A8-4D80-BE36-3F00E71DDE6C}"/>
    <cellStyle name="60% - 强调文字颜色 5 56 3" xfId="20699" xr:uid="{C4912C89-B7AD-4137-9C6E-70835AFCEBA3}"/>
    <cellStyle name="60% - 强调文字颜色 5 57" xfId="5286" xr:uid="{39EBA045-CCC8-42F9-AB77-1F15ABFA73DE}"/>
    <cellStyle name="60% - 强调文字颜色 5 57 2" xfId="12991" xr:uid="{74BCF348-8708-4212-AF44-82E1430209D0}"/>
    <cellStyle name="60% - 强调文字颜色 5 58" xfId="5288" xr:uid="{76D976CE-CC85-43FA-A962-332DB5BEFD9A}"/>
    <cellStyle name="60% - 强调文字颜色 5 58 2" xfId="12992" xr:uid="{8662F69D-0F42-4580-A78B-CF14F256FE2D}"/>
    <cellStyle name="60% - 强调文字颜色 5 59" xfId="5290" xr:uid="{4441EC3D-FA87-4AE4-B708-54B3CA172E34}"/>
    <cellStyle name="60% - 强调文字颜色 5 59 2" xfId="12993" xr:uid="{1E9B84B4-ED30-416A-B5A2-A11903DD484C}"/>
    <cellStyle name="60% - 强调文字颜色 5 6" xfId="5292" xr:uid="{DE69559A-0F8F-4EE3-834D-E54C4E024452}"/>
    <cellStyle name="60% - 强调文字颜色 5 6 2" xfId="5293" xr:uid="{353691E3-F628-41DF-A1A9-BA00C1C0621B}"/>
    <cellStyle name="60% - 强调文字颜色 5 6 2 2" xfId="10383" xr:uid="{5C9A9E55-3A03-4976-9A4B-3AACA1DC7001}"/>
    <cellStyle name="60% - 强调文字颜色 5 6 2 2 2" xfId="20702" xr:uid="{FF642AD2-9267-463E-950B-721FEA28948E}"/>
    <cellStyle name="60% - 强调文字颜色 5 6 2 3" xfId="20701" xr:uid="{7668DE53-8B51-4F0B-8A4F-562EE285DB24}"/>
    <cellStyle name="60% - 强调文字颜色 5 6 3" xfId="10384" xr:uid="{142E7B9B-9A41-4731-92D1-6B05993C2427}"/>
    <cellStyle name="60% - 强调文字颜色 5 6 3 2" xfId="20703" xr:uid="{88535A97-378E-4F1E-9976-233D3FAD4619}"/>
    <cellStyle name="60% - 强调文字颜色 5 6 4" xfId="10382" xr:uid="{B8C14C04-1967-42CC-9FEB-0B5AB35B8B20}"/>
    <cellStyle name="60% - 强调文字颜色 5 6 4 2" xfId="20704" xr:uid="{E55FFA86-D4D2-43A9-A5A7-CCD037F3D4C8}"/>
    <cellStyle name="60% - 强调文字颜色 5 6 5" xfId="20700" xr:uid="{DEE7FDA5-8578-4916-989B-4D920CBCEE27}"/>
    <cellStyle name="60% - 强调文字颜色 5 60" xfId="5283" xr:uid="{CB0A89C6-39EB-4E77-B643-9265806139C4}"/>
    <cellStyle name="60% - 强调文字颜色 5 60 2" xfId="12994" xr:uid="{A85E1AD6-5210-4454-A5A6-52D5EBBB972B}"/>
    <cellStyle name="60% - 强调文字颜色 5 61" xfId="5285" xr:uid="{F29539F0-B21A-4551-8EB7-454475FC4F80}"/>
    <cellStyle name="60% - 强调文字颜色 5 61 2" xfId="12995" xr:uid="{9478754D-5CF7-4490-9509-D5A056DD8C77}"/>
    <cellStyle name="60% - 强调文字颜色 5 62" xfId="5287" xr:uid="{326D8B1E-3442-461A-9D9F-2499C54A4E27}"/>
    <cellStyle name="60% - 强调文字颜色 5 62 2" xfId="12996" xr:uid="{6A1F7247-525E-4C9F-BD54-BCDC89DD00D3}"/>
    <cellStyle name="60% - 强调文字颜色 5 63" xfId="5289" xr:uid="{49477317-4379-4F64-8146-8043699B0F33}"/>
    <cellStyle name="60% - 强调文字颜色 5 63 2" xfId="12997" xr:uid="{08DC5556-69FF-4295-8E12-4390DCDD82CA}"/>
    <cellStyle name="60% - 强调文字颜色 5 64" xfId="5291" xr:uid="{959734D9-F441-431B-A76F-238E2A8EA518}"/>
    <cellStyle name="60% - 强调文字颜色 5 64 2" xfId="12998" xr:uid="{7B4A9622-70F7-4BA1-8A00-2D030680ACEC}"/>
    <cellStyle name="60% - 强调文字颜色 5 65" xfId="5294" xr:uid="{7AA32FAC-5E8B-4D59-86FC-61C54A6DC09E}"/>
    <cellStyle name="60% - 强调文字颜色 5 65 2" xfId="12999" xr:uid="{B9D88AED-E100-4F50-95A5-0313416BF6F6}"/>
    <cellStyle name="60% - 强调文字颜色 5 66" xfId="5296" xr:uid="{89EAED42-6506-4E40-933C-B4B79177511F}"/>
    <cellStyle name="60% - 强调文字颜色 5 66 2" xfId="13000" xr:uid="{90100D11-1982-4E3F-A044-F7CA9951DB6B}"/>
    <cellStyle name="60% - 强调文字颜色 5 67" xfId="5298" xr:uid="{80084598-862F-46E9-A7B8-2F7A72A2C32C}"/>
    <cellStyle name="60% - 强调文字颜色 5 67 2" xfId="13001" xr:uid="{950C243A-3740-405D-A287-0937586CB5AD}"/>
    <cellStyle name="60% - 强调文字颜色 5 68" xfId="5300" xr:uid="{E67E4179-CFF5-4470-86BE-63253F6167F6}"/>
    <cellStyle name="60% - 强调文字颜色 5 68 2" xfId="13002" xr:uid="{26F92A9C-F1D7-42BD-BFB5-5F9FDDA5C34D}"/>
    <cellStyle name="60% - 强调文字颜色 5 69" xfId="5302" xr:uid="{D843DA0A-9DF4-4231-B8B1-72238B391DF1}"/>
    <cellStyle name="60% - 强调文字颜色 5 69 2" xfId="13003" xr:uid="{9E393878-FE45-4F0E-B4A1-6244868C94D4}"/>
    <cellStyle name="60% - 强调文字颜色 5 7" xfId="5304" xr:uid="{244EEA56-86D2-45F9-B7EB-089B12FC91B0}"/>
    <cellStyle name="60% - 强调文字颜色 5 7 2" xfId="5305" xr:uid="{5BF67E00-0922-4E9E-9C84-70FE1E921878}"/>
    <cellStyle name="60% - 强调文字颜色 5 7 2 2" xfId="10386" xr:uid="{C3E44F07-3F09-4B8D-B929-C15F8E2E45A5}"/>
    <cellStyle name="60% - 强调文字颜色 5 7 2 2 2" xfId="20707" xr:uid="{E69DA50F-A3B7-4206-A96C-63C342D2AD5E}"/>
    <cellStyle name="60% - 强调文字颜色 5 7 2 3" xfId="20706" xr:uid="{DB32B0BA-594F-4B25-BDCA-64FE4DD6EE74}"/>
    <cellStyle name="60% - 强调文字颜色 5 7 3" xfId="10387" xr:uid="{97D30340-7D6B-499B-8249-2876DA2C3E1A}"/>
    <cellStyle name="60% - 强调文字颜色 5 7 3 2" xfId="20708" xr:uid="{3A53258E-1BE7-4B62-AD6C-BF21DD90854E}"/>
    <cellStyle name="60% - 强调文字颜色 5 7 4" xfId="10385" xr:uid="{5026D5C2-B1E4-4305-97B8-12104874F7EE}"/>
    <cellStyle name="60% - 强调文字颜色 5 7 4 2" xfId="20709" xr:uid="{82D5189F-F19C-4A04-BF90-61BC05CBF6E2}"/>
    <cellStyle name="60% - 强调文字颜色 5 7 5" xfId="20705" xr:uid="{88C7352E-421A-45E1-9810-3506DBAD3B37}"/>
    <cellStyle name="60% - 强调文字颜色 5 70" xfId="5295" xr:uid="{4C78F5E6-70BC-45AD-A63E-504F20D976C0}"/>
    <cellStyle name="60% - 强调文字颜色 5 70 2" xfId="13005" xr:uid="{53CD8B50-ED1F-4596-8BAC-FEC309802845}"/>
    <cellStyle name="60% - 强调文字颜色 5 71" xfId="5297" xr:uid="{DBB4CD0B-D1D9-4BD3-9541-70A82C7120D6}"/>
    <cellStyle name="60% - 强调文字颜色 5 71 2" xfId="13006" xr:uid="{18C5D3DB-5360-4FBE-87DD-B5B61B04D09C}"/>
    <cellStyle name="60% - 强调文字颜色 5 72" xfId="5299" xr:uid="{D576793C-458F-4249-96B4-A0A7E906D987}"/>
    <cellStyle name="60% - 强调文字颜色 5 72 2" xfId="13007" xr:uid="{28EDEF80-F960-4DEE-831E-AA50FC0C216B}"/>
    <cellStyle name="60% - 强调文字颜色 5 73" xfId="5301" xr:uid="{58087129-24B0-49B2-863A-FEF89059B6D0}"/>
    <cellStyle name="60% - 强调文字颜色 5 73 2" xfId="13008" xr:uid="{A5492729-3BA2-4CBD-8BC1-89BD993032EC}"/>
    <cellStyle name="60% - 强调文字颜色 5 74" xfId="5303" xr:uid="{33865808-E7D7-45B4-933B-7C5B8FFA952E}"/>
    <cellStyle name="60% - 强调文字颜色 5 74 2" xfId="13009" xr:uid="{C3227801-8F09-4A9D-936B-6503D0D56378}"/>
    <cellStyle name="60% - 强调文字颜色 5 75" xfId="5306" xr:uid="{29F6E1B6-8C37-442B-BDCC-B9B1DAF5C325}"/>
    <cellStyle name="60% - 强调文字颜色 5 75 2" xfId="13010" xr:uid="{21493C7E-9527-427B-B4FD-AAD732BCAFEE}"/>
    <cellStyle name="60% - 强调文字颜色 5 76" xfId="5308" xr:uid="{3F4042B1-D760-4DC8-95E6-ADE05F2C37FE}"/>
    <cellStyle name="60% - 强调文字颜色 5 76 2" xfId="13011" xr:uid="{FE2BDC13-7CBF-4E12-BC6A-E715AAB5744A}"/>
    <cellStyle name="60% - 强调文字颜色 5 77" xfId="5310" xr:uid="{3BCA3ED4-61E0-4995-9379-0CA101431230}"/>
    <cellStyle name="60% - 强调文字颜色 5 77 2" xfId="13012" xr:uid="{48E90D83-878F-4538-9FB5-17FE55C04837}"/>
    <cellStyle name="60% - 强调文字颜色 5 78" xfId="5312" xr:uid="{5660A209-7FD8-43B7-815F-708324216DD4}"/>
    <cellStyle name="60% - 强调文字颜色 5 78 2" xfId="13013" xr:uid="{47746136-4CFB-4673-9A45-8828DE539ABB}"/>
    <cellStyle name="60% - 强调文字颜色 5 79" xfId="5314" xr:uid="{5884B3D5-BBC2-44E1-9786-A3639E03C76A}"/>
    <cellStyle name="60% - 强调文字颜色 5 79 2" xfId="13014" xr:uid="{96032202-0CF4-4FBB-A3D3-18BF44F61DF0}"/>
    <cellStyle name="60% - 强调文字颜色 5 8" xfId="5316" xr:uid="{A5E4FF71-B5D1-46EA-AD77-D5D2A4A70423}"/>
    <cellStyle name="60% - 强调文字颜色 5 8 2" xfId="5317" xr:uid="{5C0FCC70-7C06-4BCA-9ECC-B57B2AB81796}"/>
    <cellStyle name="60% - 强调文字颜色 5 8 2 2" xfId="10389" xr:uid="{852020FF-741E-43E4-885F-06357A1F3578}"/>
    <cellStyle name="60% - 强调文字颜色 5 8 2 2 2" xfId="20712" xr:uid="{1D2736D8-1FC6-408E-83C2-FE6904FECD3C}"/>
    <cellStyle name="60% - 强调文字颜色 5 8 2 3" xfId="20711" xr:uid="{7C1188AA-8B65-46C0-BD59-534D8BC13997}"/>
    <cellStyle name="60% - 强调文字颜色 5 8 3" xfId="10390" xr:uid="{E938285E-B725-4D0D-825C-03A1D5F393BF}"/>
    <cellStyle name="60% - 强调文字颜色 5 8 3 2" xfId="20713" xr:uid="{8708A97C-B867-4025-902D-7B2067DCFB19}"/>
    <cellStyle name="60% - 强调文字颜色 5 8 4" xfId="10388" xr:uid="{8FA67A1D-DFAA-4B9B-BB1F-6D593964FC6A}"/>
    <cellStyle name="60% - 强调文字颜色 5 8 4 2" xfId="20714" xr:uid="{8D503583-411C-4891-912B-B0353739CE15}"/>
    <cellStyle name="60% - 强调文字颜色 5 8 5" xfId="20710" xr:uid="{6720A5B1-7681-42F7-8B9A-1CCF310AC20A}"/>
    <cellStyle name="60% - 强调文字颜色 5 80" xfId="5307" xr:uid="{1AC3096B-23D9-4079-8E18-F76B391F9F0C}"/>
    <cellStyle name="60% - 强调文字颜色 5 80 2" xfId="13016" xr:uid="{A384F4B1-27B4-45FE-BB0B-90FB8F7484AA}"/>
    <cellStyle name="60% - 强调文字颜色 5 81" xfId="5309" xr:uid="{E58AF485-4A42-4C94-A19A-B0CBC87E9261}"/>
    <cellStyle name="60% - 强调文字颜色 5 81 2" xfId="13017" xr:uid="{EE0C4946-60DF-4369-8C82-FC449B42C0E8}"/>
    <cellStyle name="60% - 强调文字颜色 5 82" xfId="5311" xr:uid="{C85D74F7-3A4B-4DE5-A6E6-15A44E3E324B}"/>
    <cellStyle name="60% - 强调文字颜色 5 82 2" xfId="13018" xr:uid="{EDB4751D-D13C-49C3-8DDC-841406AD1022}"/>
    <cellStyle name="60% - 强调文字颜色 5 83" xfId="5313" xr:uid="{E730B87B-3BB3-40DE-B590-E3F3CE5C6CFC}"/>
    <cellStyle name="60% - 强调文字颜色 5 83 2" xfId="13019" xr:uid="{5ACA64F0-3448-4FA1-82B1-796664F047BD}"/>
    <cellStyle name="60% - 强调文字颜色 5 84" xfId="5315" xr:uid="{1385B5F0-C7AD-43D0-82EB-7E0750222DF9}"/>
    <cellStyle name="60% - 强调文字颜色 5 84 2" xfId="13020" xr:uid="{D8A34C14-79D0-4A7D-AEF1-CB796F6B4C00}"/>
    <cellStyle name="60% - 强调文字颜色 5 85" xfId="9355" xr:uid="{006ADD25-018D-472C-A254-AEB41D78302F}"/>
    <cellStyle name="60% - 强调文字颜色 5 86" xfId="10340" xr:uid="{62C8F3C5-2F2E-4572-B39E-0363A0420B5C}"/>
    <cellStyle name="60% - 强调文字颜色 5 87" xfId="13601" xr:uid="{38EEB924-83FC-4A9D-996C-E6453E22A74A}"/>
    <cellStyle name="60% - 强调文字颜色 5 88" xfId="27176" xr:uid="{A262DC17-D93F-4D07-B2B6-32AF495C7AF5}"/>
    <cellStyle name="60% - 强调文字颜色 5 89" xfId="27218" xr:uid="{5938250C-B2CC-4269-9D6F-1577E1C966F4}"/>
    <cellStyle name="60% - 强调文字颜色 5 9" xfId="5318" xr:uid="{E2B6C08F-2C15-416E-86A3-EDC372AA24A6}"/>
    <cellStyle name="60% - 强调文字颜色 5 9 2" xfId="10392" xr:uid="{955BA1F3-FA83-4C38-AD5A-3E9E14526CC3}"/>
    <cellStyle name="60% - 强调文字颜色 5 9 2 2" xfId="20717" xr:uid="{28F2002D-B085-40A5-8553-4DD4AA0E4091}"/>
    <cellStyle name="60% - 强调文字颜色 5 9 2 3" xfId="20716" xr:uid="{1F424F1D-82FD-4478-B582-715801E61E64}"/>
    <cellStyle name="60% - 强调文字颜色 5 9 3" xfId="10393" xr:uid="{27147E76-2507-4406-B33A-995AC6F7D9D0}"/>
    <cellStyle name="60% - 强调文字颜色 5 9 3 2" xfId="20718" xr:uid="{82719960-CD07-4A2E-8B2D-E2CBBD55B893}"/>
    <cellStyle name="60% - 强调文字颜色 5 9 4" xfId="10391" xr:uid="{6AB76D0D-C6AF-45E3-8B7F-184CF44FC4B4}"/>
    <cellStyle name="60% - 强调文字颜色 5 9 4 2" xfId="20719" xr:uid="{5EC4E83A-4205-4371-A1EA-EA287B60C520}"/>
    <cellStyle name="60% - 强调文字颜色 5 9 5" xfId="20715" xr:uid="{8BEBCD6C-3E72-484E-B125-D64ACADCF711}"/>
    <cellStyle name="60% - 强调文字颜色 5 90" xfId="27220" xr:uid="{7EBF703D-07FD-47D4-9B0B-78D9BB120E4A}"/>
    <cellStyle name="60% - 强调文字颜色 6" xfId="5319" xr:uid="{2E6ABA9E-F4DD-4DF0-9A46-6B10B93B91DB}"/>
    <cellStyle name="60% - 强调文字颜色 6 10" xfId="5320" xr:uid="{927699ED-F5C3-4060-A852-189803772FBE}"/>
    <cellStyle name="60% - 强调文字颜色 6 10 2" xfId="10396" xr:uid="{C8C70496-BFEC-4EB0-ACF8-9EE5F760DABE}"/>
    <cellStyle name="60% - 强调文字颜色 6 10 2 2" xfId="20722" xr:uid="{F506118D-4EA0-437E-AC7C-A56D4194DF59}"/>
    <cellStyle name="60% - 强调文字颜色 6 10 2 3" xfId="20721" xr:uid="{392F06C0-0507-4627-9CB4-9AB8BA2916FD}"/>
    <cellStyle name="60% - 强调文字颜色 6 10 3" xfId="10397" xr:uid="{AB26DFB8-B001-4180-8740-CCFB73AF9625}"/>
    <cellStyle name="60% - 强调文字颜色 6 10 3 2" xfId="20723" xr:uid="{03278E35-3F7E-49EF-9FD9-6A6F498D65BA}"/>
    <cellStyle name="60% - 强调文字颜色 6 10 4" xfId="10395" xr:uid="{7637F746-813A-4CEB-A334-7F4F9DFAF47F}"/>
    <cellStyle name="60% - 强调文字颜色 6 10 4 2" xfId="20724" xr:uid="{DE6C186A-C2C5-4A4B-862E-3D23917D8CBC}"/>
    <cellStyle name="60% - 强调文字颜色 6 10 5" xfId="20720" xr:uid="{399577DF-B84F-4FD2-A23F-5AA7C9B2AB15}"/>
    <cellStyle name="60% - 强调文字颜色 6 11" xfId="5321" xr:uid="{EFCE605C-B05E-463F-B10E-F369E1C08BA8}"/>
    <cellStyle name="60% - 强调文字颜色 6 11 2" xfId="10399" xr:uid="{3EA048D7-27EA-442D-B58E-4EDEDFF4B2E6}"/>
    <cellStyle name="60% - 强调文字颜色 6 11 2 2" xfId="20727" xr:uid="{02F4662D-C7E3-4B7C-83F5-93EAA9CA61DE}"/>
    <cellStyle name="60% - 强调文字颜色 6 11 2 3" xfId="20726" xr:uid="{FFF23ADA-BA76-40D2-85B9-9AD0A8B3BE44}"/>
    <cellStyle name="60% - 强调文字颜色 6 11 3" xfId="10400" xr:uid="{6A2409CD-B8D9-4123-A8E1-C20A7B577D96}"/>
    <cellStyle name="60% - 强调文字颜色 6 11 3 2" xfId="20728" xr:uid="{D1F411EA-78D4-443A-B475-BC758D15FC65}"/>
    <cellStyle name="60% - 强调文字颜色 6 11 4" xfId="10398" xr:uid="{5588968A-6607-4DFD-B2D6-93604905380E}"/>
    <cellStyle name="60% - 强调文字颜色 6 11 4 2" xfId="20729" xr:uid="{8B304414-0898-4A31-B51B-174302FABA45}"/>
    <cellStyle name="60% - 强调文字颜色 6 11 5" xfId="20725" xr:uid="{5B10D944-601B-4262-93E7-BC254E5F56AA}"/>
    <cellStyle name="60% - 强调文字颜色 6 12" xfId="5322" xr:uid="{9C880FB0-9242-4D1B-96DC-5F454352D665}"/>
    <cellStyle name="60% - 强调文字颜色 6 12 2" xfId="10402" xr:uid="{98492212-11A5-47F9-8473-F27B860C4308}"/>
    <cellStyle name="60% - 强调文字颜色 6 12 2 2" xfId="20732" xr:uid="{5579C123-2A53-4BF1-A255-50B72E7F8570}"/>
    <cellStyle name="60% - 强调文字颜色 6 12 2 3" xfId="20731" xr:uid="{EE018FA2-630E-4CC9-BD7A-4A35C08C7C3E}"/>
    <cellStyle name="60% - 强调文字颜色 6 12 3" xfId="10403" xr:uid="{7F51159A-347A-432F-B71A-9186F33984A1}"/>
    <cellStyle name="60% - 强调文字颜色 6 12 3 2" xfId="20733" xr:uid="{239D4A7A-0E38-4B41-AAE8-26714F77F6E2}"/>
    <cellStyle name="60% - 强调文字颜色 6 12 4" xfId="10401" xr:uid="{BCC8D6FE-B14D-49D6-ADDC-504948286C32}"/>
    <cellStyle name="60% - 强调文字颜色 6 12 4 2" xfId="20734" xr:uid="{9F5FBC3A-3A56-402E-9874-1739ADEE66B9}"/>
    <cellStyle name="60% - 强调文字颜色 6 12 5" xfId="20730" xr:uid="{39517E52-3C33-4DA1-A310-4424F5031C74}"/>
    <cellStyle name="60% - 强调文字颜色 6 13" xfId="5323" xr:uid="{87EA1172-3443-4A7E-81F8-68FE3444E9CC}"/>
    <cellStyle name="60% - 强调文字颜色 6 13 2" xfId="10405" xr:uid="{08873574-5E80-439B-92C3-14C279C18B32}"/>
    <cellStyle name="60% - 强调文字颜色 6 13 2 2" xfId="20737" xr:uid="{F368E557-FCF3-4D58-AFFF-C4AC725FADB1}"/>
    <cellStyle name="60% - 强调文字颜色 6 13 2 3" xfId="20736" xr:uid="{3D7E1284-2F6E-4D36-B0C5-281713BAB920}"/>
    <cellStyle name="60% - 强调文字颜色 6 13 3" xfId="10406" xr:uid="{F8CBFA35-B3D2-4634-87F3-9B19983B4A6E}"/>
    <cellStyle name="60% - 强调文字颜色 6 13 3 2" xfId="20738" xr:uid="{8FA57628-19B9-4D04-BCBF-EBA8036D30E2}"/>
    <cellStyle name="60% - 强调文字颜色 6 13 4" xfId="10404" xr:uid="{EBD537B9-8325-49A9-AC3D-E05F50717A04}"/>
    <cellStyle name="60% - 强调文字颜色 6 13 4 2" xfId="20739" xr:uid="{E72A16F1-A382-46D8-B05C-20A9B417247E}"/>
    <cellStyle name="60% - 强调文字颜色 6 13 5" xfId="20735" xr:uid="{6736D720-2909-4546-AA7D-315F9A06A979}"/>
    <cellStyle name="60% - 强调文字颜色 6 14" xfId="5324" xr:uid="{6DEA8CF2-6DB4-4FA1-A8D4-D49CF7FBFECA}"/>
    <cellStyle name="60% - 强调文字颜色 6 14 2" xfId="10408" xr:uid="{3D9D2443-BF23-4F1B-9F15-1BCC8ED7A475}"/>
    <cellStyle name="60% - 强调文字颜色 6 14 2 2" xfId="20742" xr:uid="{2CE33DCE-7F0E-4968-AB99-1E9C0FB71E5F}"/>
    <cellStyle name="60% - 强调文字颜色 6 14 2 3" xfId="20741" xr:uid="{AA549122-3CF1-4202-9AAD-78975C968F11}"/>
    <cellStyle name="60% - 强调文字颜色 6 14 3" xfId="10409" xr:uid="{4B27C0CB-F8BE-4525-8BDA-468CC0583494}"/>
    <cellStyle name="60% - 强调文字颜色 6 14 3 2" xfId="20743" xr:uid="{359DE287-0EAD-427C-9F7E-EE5846F393CA}"/>
    <cellStyle name="60% - 强调文字颜色 6 14 4" xfId="10407" xr:uid="{5AE5668C-349D-4D28-B20D-24B105774A20}"/>
    <cellStyle name="60% - 强调文字颜色 6 14 4 2" xfId="20744" xr:uid="{ABE66816-7420-4532-9350-0E85E1109C21}"/>
    <cellStyle name="60% - 强调文字颜色 6 14 5" xfId="20740" xr:uid="{C9AEC642-E087-4048-A533-398F993960EC}"/>
    <cellStyle name="60% - 强调文字颜色 6 15" xfId="5325" xr:uid="{1CC9D636-8545-4070-BCF1-47A9A87B606F}"/>
    <cellStyle name="60% - 强调文字颜色 6 15 2" xfId="10411" xr:uid="{5F168CF7-8A2E-4464-B269-891691FBC855}"/>
    <cellStyle name="60% - 强调文字颜色 6 15 2 2" xfId="20747" xr:uid="{3DF0A961-640B-4A8B-8CD8-7931BAFE621C}"/>
    <cellStyle name="60% - 强调文字颜色 6 15 2 3" xfId="20746" xr:uid="{5DCE9DC0-A3EC-4FCA-9613-FD79F5C078D3}"/>
    <cellStyle name="60% - 强调文字颜色 6 15 3" xfId="10412" xr:uid="{50131F8F-48B0-4A9F-A9B7-70C37AB39429}"/>
    <cellStyle name="60% - 强调文字颜色 6 15 3 2" xfId="20748" xr:uid="{E74C5E9F-0FE4-4DD9-BBC8-CC34A80108DA}"/>
    <cellStyle name="60% - 强调文字颜色 6 15 4" xfId="10410" xr:uid="{A2EAE90D-BCB4-4CF4-BAB7-58B08011E325}"/>
    <cellStyle name="60% - 强调文字颜色 6 15 4 2" xfId="20749" xr:uid="{886B0811-6384-472E-BFCE-E4953F426F06}"/>
    <cellStyle name="60% - 强调文字颜色 6 15 5" xfId="20745" xr:uid="{3B73BC0C-C5EC-4CC5-B7C2-B26CF32E9BD8}"/>
    <cellStyle name="60% - 强调文字颜色 6 16" xfId="5327" xr:uid="{7DA50C61-4EB6-4081-89AE-57AC108C9690}"/>
    <cellStyle name="60% - 强调文字颜色 6 16 2" xfId="10414" xr:uid="{60F73544-3391-4934-B81C-E7B60ECB4521}"/>
    <cellStyle name="60% - 强调文字颜色 6 16 2 2" xfId="20752" xr:uid="{D5109DCC-0607-482E-81B1-C40F6ED9F187}"/>
    <cellStyle name="60% - 强调文字颜色 6 16 2 3" xfId="20751" xr:uid="{B5E1C34B-D57D-401F-BECA-D58C8E5673D6}"/>
    <cellStyle name="60% - 强调文字颜色 6 16 3" xfId="10415" xr:uid="{0DA9DA2C-F701-40AF-8BF3-0F83340DF665}"/>
    <cellStyle name="60% - 强调文字颜色 6 16 3 2" xfId="20753" xr:uid="{83B48F06-0EFB-4705-9E1D-EA63A8AF4A39}"/>
    <cellStyle name="60% - 强调文字颜色 6 16 4" xfId="10413" xr:uid="{87DAB6FD-5738-4978-8C4A-C3DE5597A59B}"/>
    <cellStyle name="60% - 强调文字颜色 6 16 4 2" xfId="20754" xr:uid="{3ECC711F-D207-4B99-9E6B-97CC01A0C817}"/>
    <cellStyle name="60% - 强调文字颜色 6 16 5" xfId="20750" xr:uid="{985710B3-62F4-47E0-8FF7-8A5B7DEE3821}"/>
    <cellStyle name="60% - 强调文字颜色 6 17" xfId="5329" xr:uid="{1E0608C6-B8FD-4B70-A9DB-D027C4E55F7D}"/>
    <cellStyle name="60% - 强调文字颜色 6 17 2" xfId="10417" xr:uid="{B7C93ADF-BEC5-48CC-A579-944426DEE011}"/>
    <cellStyle name="60% - 强调文字颜色 6 17 2 2" xfId="20757" xr:uid="{15C91A31-FF13-4A9E-968D-90452874159F}"/>
    <cellStyle name="60% - 强调文字颜色 6 17 2 3" xfId="20756" xr:uid="{BD658BF9-2974-4949-80C1-DB84F9DF9293}"/>
    <cellStyle name="60% - 强调文字颜色 6 17 3" xfId="10418" xr:uid="{259D991A-4382-47A9-93B3-437BA7B8CC1E}"/>
    <cellStyle name="60% - 强调文字颜色 6 17 3 2" xfId="20758" xr:uid="{159CA33E-374F-406D-BC5D-088E149C7624}"/>
    <cellStyle name="60% - 强调文字颜色 6 17 4" xfId="10416" xr:uid="{707203C1-9F7D-4BEE-BAF5-49CCF6FE39C8}"/>
    <cellStyle name="60% - 强调文字颜色 6 17 4 2" xfId="20759" xr:uid="{CEFFC411-F2F8-425E-A517-AFE9F3C293AE}"/>
    <cellStyle name="60% - 强调文字颜色 6 17 5" xfId="20755" xr:uid="{8C48F459-C9C8-434E-A6A3-F158FA2AE939}"/>
    <cellStyle name="60% - 强调文字颜色 6 18" xfId="5331" xr:uid="{BC776018-83F4-4780-BF4D-A5E291075C13}"/>
    <cellStyle name="60% - 强调文字颜色 6 18 2" xfId="10419" xr:uid="{E1E62AC7-1F07-471C-AAB4-8372E9E709EA}"/>
    <cellStyle name="60% - 强调文字颜色 6 18 2 2" xfId="20762" xr:uid="{6A26AB8D-A052-4C3F-A003-EFF2D331C7CF}"/>
    <cellStyle name="60% - 强调文字颜色 6 18 2 3" xfId="20761" xr:uid="{1136E465-BF0B-4BE3-9ABD-7F1B85D56B06}"/>
    <cellStyle name="60% - 强调文字颜色 6 18 3" xfId="20763" xr:uid="{1EA79014-D7A0-4F32-A67E-41643580119D}"/>
    <cellStyle name="60% - 强调文字颜色 6 18 4" xfId="20764" xr:uid="{326CBA85-5EC5-4545-921C-3282CD960A50}"/>
    <cellStyle name="60% - 强调文字颜色 6 18 5" xfId="20760" xr:uid="{729B891E-E090-4EE7-AC43-6332E391B299}"/>
    <cellStyle name="60% - 强调文字颜色 6 19" xfId="5333" xr:uid="{3B87CEFE-D188-4133-ABE0-4F357BBD5CD4}"/>
    <cellStyle name="60% - 强调文字颜色 6 19 2" xfId="10420" xr:uid="{0FD7E54A-20A6-4413-8962-809E0552099E}"/>
    <cellStyle name="60% - 强调文字颜色 6 19 2 2" xfId="20767" xr:uid="{5AE710A7-9E1B-44B7-AFBD-FDB4418A36B6}"/>
    <cellStyle name="60% - 强调文字颜色 6 19 2 3" xfId="20766" xr:uid="{D55631C6-CD34-4709-9A6E-D31F2F732B9B}"/>
    <cellStyle name="60% - 强调文字颜色 6 19 3" xfId="20768" xr:uid="{B9BAB4E2-C916-4AA2-A90C-A9AB6C72A087}"/>
    <cellStyle name="60% - 强调文字颜色 6 19 4" xfId="20769" xr:uid="{0C397242-8C32-4955-B991-A8B6B19599E5}"/>
    <cellStyle name="60% - 强调文字颜色 6 19 5" xfId="20765" xr:uid="{318EF2E5-02C3-42E5-9959-1862D32DDF12}"/>
    <cellStyle name="60% - 强调文字颜色 6 2" xfId="5335" xr:uid="{853E4428-1943-4D02-A262-53CE610F73E3}"/>
    <cellStyle name="60% - 强调文字颜色 6 2 10" xfId="5336" xr:uid="{C0FE6CED-8169-4A50-89D1-65180AB1A741}"/>
    <cellStyle name="60% - 强调文字颜色 6 2 11" xfId="5337" xr:uid="{DF83832D-BA89-482F-B374-9DF983BA455B}"/>
    <cellStyle name="60% - 强调文字颜色 6 2 12" xfId="5338" xr:uid="{9B5A95B6-D9A9-4C33-8117-45CD983CE264}"/>
    <cellStyle name="60% - 强调文字颜色 6 2 13" xfId="5339" xr:uid="{90A554F8-10B1-4855-AB59-E04B6E70D947}"/>
    <cellStyle name="60% - 强调文字颜色 6 2 14" xfId="5340" xr:uid="{0657D118-0BCB-4E93-B060-0DC7C1D3A251}"/>
    <cellStyle name="60% - 强调文字颜色 6 2 15" xfId="10421" xr:uid="{E20DCA61-85FB-4CAF-92BA-417EE239289E}"/>
    <cellStyle name="60% - 强调文字颜色 6 2 16" xfId="12397" xr:uid="{6D80A617-15B6-4BDA-B067-F3E627A37AF6}"/>
    <cellStyle name="60% - 强调文字颜色 6 2 2" xfId="5341" xr:uid="{F9D0404D-B37C-4CE5-B52A-F6DEF12697D1}"/>
    <cellStyle name="60% - 强调文字颜色 6 2 2 2" xfId="10422" xr:uid="{CB6E09D2-E0AC-4A60-828D-70EF9F74999F}"/>
    <cellStyle name="60% - 强调文字颜色 6 2 2 2 2" xfId="20771" xr:uid="{75A5EDD0-33F5-41F4-A0F4-45634DAC81D5}"/>
    <cellStyle name="60% - 强调文字颜色 6 2 2 3" xfId="20770" xr:uid="{82DD4B2C-A177-4AC1-A1AC-F281AD73C5CB}"/>
    <cellStyle name="60% - 强调文字颜色 6 2 2 4" xfId="27347" xr:uid="{5517022C-642A-4EF5-9E81-3545319F87E0}"/>
    <cellStyle name="60% - 强调文字颜色 6 2 3" xfId="5342" xr:uid="{8B19F206-F09E-415F-971C-F9256CA39EB3}"/>
    <cellStyle name="60% - 强调文字颜色 6 2 3 2" xfId="10423" xr:uid="{94BB35CF-BFA8-486A-9848-5AF4AE23359F}"/>
    <cellStyle name="60% - 强调文字颜色 6 2 3 2 2" xfId="20773" xr:uid="{77BC2E65-C824-4233-A179-5A934344FFCD}"/>
    <cellStyle name="60% - 强调文字颜色 6 2 3 3" xfId="20772" xr:uid="{26D10679-284E-4BA9-B47B-8D7B35D2EC9E}"/>
    <cellStyle name="60% - 强调文字颜色 6 2 3 4" xfId="27348" xr:uid="{B6B55536-F3FF-45E2-A861-4B40B64184A8}"/>
    <cellStyle name="60% - 强调文字颜色 6 2 4" xfId="5343" xr:uid="{35618706-1352-4881-B4B6-B2718A07723D}"/>
    <cellStyle name="60% - 强调文字颜色 6 2 4 2" xfId="20774" xr:uid="{823C4228-5FF2-4282-BDF0-7CF6972425D6}"/>
    <cellStyle name="60% - 强调文字颜色 6 2 4 3" xfId="27726" xr:uid="{44D07563-7481-433B-9E77-B0E64C1163FD}"/>
    <cellStyle name="60% - 强调文字颜色 6 2 5" xfId="5344" xr:uid="{DAEC61EF-6E64-4D39-9EAC-9CFD00D6F3AD}"/>
    <cellStyle name="60% - 强调文字颜色 6 2 5 2" xfId="20776" xr:uid="{5ACC22F7-24E6-41E5-87F6-6253B8E2A12E}"/>
    <cellStyle name="60% - 强调文字颜色 6 2 5 3" xfId="20775" xr:uid="{7DCADCA9-C174-41F7-BFA3-75A5F0C206AF}"/>
    <cellStyle name="60% - 强调文字颜色 6 2 6" xfId="5345" xr:uid="{10468F76-E03B-4B8F-BA40-CE572D647E21}"/>
    <cellStyle name="60% - 强调文字颜色 6 2 6 2" xfId="20777" xr:uid="{FB629790-02A5-4831-B58A-C9A6E1F453D1}"/>
    <cellStyle name="60% - 强调文字颜色 6 2 7" xfId="5346" xr:uid="{6FED45B1-9537-40B7-9061-5AAB8213A8CE}"/>
    <cellStyle name="60% - 强调文字颜色 6 2 7 2" xfId="20778" xr:uid="{654830C0-4650-43C0-B438-CC3C33A27A62}"/>
    <cellStyle name="60% - 强调文字颜色 6 2 8" xfId="5347" xr:uid="{33F3B0EF-0B84-4B92-B6FC-74B79B82FA23}"/>
    <cellStyle name="60% - 强调文字颜色 6 2 9" xfId="5348" xr:uid="{7F6941F9-FB7E-4877-B84A-58224D209D26}"/>
    <cellStyle name="60% - 强调文字颜色 6 2_动力部" xfId="20779" xr:uid="{59A33C4C-F08E-4234-BA92-66B3B743CEFA}"/>
    <cellStyle name="60% - 强调文字颜色 6 20" xfId="5326" xr:uid="{3CB77587-E1F0-4A0B-8D2E-AF20194AED86}"/>
    <cellStyle name="60% - 强调文字颜色 6 20 2" xfId="10424" xr:uid="{093C09D3-0000-4EED-BEDB-AB45C9DEAA6E}"/>
    <cellStyle name="60% - 强调文字颜色 6 20 2 2" xfId="20782" xr:uid="{10D6F095-FBEE-4737-ADCF-9913869E4519}"/>
    <cellStyle name="60% - 强调文字颜色 6 20 2 3" xfId="20781" xr:uid="{15FF223C-1484-4C4C-8EFB-F9A164C06A9C}"/>
    <cellStyle name="60% - 强调文字颜色 6 20 3" xfId="20783" xr:uid="{40A7EB9A-30F6-4B36-83CD-9DC62FDB439D}"/>
    <cellStyle name="60% - 强调文字颜色 6 20 4" xfId="20784" xr:uid="{8A88F2CE-41AF-4D1D-9EA7-ECCFC8BF561A}"/>
    <cellStyle name="60% - 强调文字颜色 6 20 5" xfId="20780" xr:uid="{A75061C1-4713-4D87-BD1B-089EF1E9AE27}"/>
    <cellStyle name="60% - 强调文字颜色 6 21" xfId="5328" xr:uid="{FC0AC25E-1F32-4043-AFE4-77216D8C8417}"/>
    <cellStyle name="60% - 强调文字颜色 6 21 2" xfId="10425" xr:uid="{C14715AA-D046-4285-A0BC-5768CE34FD5A}"/>
    <cellStyle name="60% - 强调文字颜色 6 21 2 2" xfId="20787" xr:uid="{9158DA68-0678-4FDD-B24D-7835B7C60F74}"/>
    <cellStyle name="60% - 强调文字颜色 6 21 2 3" xfId="20786" xr:uid="{575F44DC-D678-49DF-B7AD-E60EE9F91F34}"/>
    <cellStyle name="60% - 强调文字颜色 6 21 3" xfId="20788" xr:uid="{AB931EC8-EF97-41EF-A658-356AB819632B}"/>
    <cellStyle name="60% - 强调文字颜色 6 21 4" xfId="20789" xr:uid="{6F7EE67E-A461-4A9D-98B9-C701F3161734}"/>
    <cellStyle name="60% - 强调文字颜色 6 21 5" xfId="20785" xr:uid="{44BCC0B0-B967-4842-825F-36FD70DF8489}"/>
    <cellStyle name="60% - 强调文字颜色 6 22" xfId="5330" xr:uid="{5FE2D134-595C-44EA-AA6A-2EBE7783D6DF}"/>
    <cellStyle name="60% - 强调文字颜色 6 22 2" xfId="10426" xr:uid="{33CC0673-5308-4DF9-94F8-B04EE13A0672}"/>
    <cellStyle name="60% - 强调文字颜色 6 22 2 2" xfId="20792" xr:uid="{1DFC4112-CD41-4640-AC97-5B0769B1C1E1}"/>
    <cellStyle name="60% - 强调文字颜色 6 22 2 3" xfId="20791" xr:uid="{3E7DD812-1163-4E26-A3A0-9395F74ED3A8}"/>
    <cellStyle name="60% - 强调文字颜色 6 22 3" xfId="20793" xr:uid="{E53AC921-56F4-48BC-B7A9-A2DB5D3BD554}"/>
    <cellStyle name="60% - 强调文字颜色 6 22 4" xfId="20794" xr:uid="{AEE7AE3E-6734-45D5-A808-E50008D84391}"/>
    <cellStyle name="60% - 强调文字颜色 6 22 5" xfId="20790" xr:uid="{C44271AF-CCBF-4B44-B8A5-CF632488CE63}"/>
    <cellStyle name="60% - 强调文字颜色 6 23" xfId="5332" xr:uid="{3DCDD988-3689-44AD-9435-FD9F360ED86C}"/>
    <cellStyle name="60% - 强调文字颜色 6 23 2" xfId="20796" xr:uid="{BDBCAC81-AFCB-45F0-B44F-39E13D5FF1B3}"/>
    <cellStyle name="60% - 强调文字颜色 6 23 2 2" xfId="20797" xr:uid="{FE5684D5-E9C1-4D0C-9072-6CBFECF481D9}"/>
    <cellStyle name="60% - 强调文字颜色 6 23 3" xfId="20798" xr:uid="{83049EA5-96BF-4A4C-AA76-AFC1EA3B2946}"/>
    <cellStyle name="60% - 强调文字颜色 6 23 4" xfId="20799" xr:uid="{DAA7922A-664C-45FC-939A-42C363B21807}"/>
    <cellStyle name="60% - 强调文字颜色 6 23 5" xfId="20795" xr:uid="{2FC66E61-3C87-458F-AB0F-07D2F81444B1}"/>
    <cellStyle name="60% - 强调文字颜色 6 24" xfId="5334" xr:uid="{6864B24A-2495-4495-9407-5A2D0A408A3A}"/>
    <cellStyle name="60% - 强调文字颜色 6 24 2" xfId="20801" xr:uid="{A600CC88-2710-49AE-BC8B-23C73BC0BFF3}"/>
    <cellStyle name="60% - 强调文字颜色 6 24 2 2" xfId="20802" xr:uid="{10A432A3-F2E7-445C-A089-28D7BF6B20F2}"/>
    <cellStyle name="60% - 强调文字颜色 6 24 3" xfId="20803" xr:uid="{B35143B7-DFF2-4AE3-929D-5589B585980A}"/>
    <cellStyle name="60% - 强调文字颜色 6 24 4" xfId="20804" xr:uid="{694E39F5-E70A-40BE-B8CA-FFA0F7541FA0}"/>
    <cellStyle name="60% - 强调文字颜色 6 24 5" xfId="20800" xr:uid="{68C52345-5912-4B4E-AD3F-0655E423412D}"/>
    <cellStyle name="60% - 强调文字颜色 6 25" xfId="5349" xr:uid="{4ADF9BB6-7E97-4AAF-A372-D7BDCBB90D56}"/>
    <cellStyle name="60% - 强调文字颜色 6 25 2" xfId="20806" xr:uid="{6CF4ACF2-4B8E-4780-A049-7CE98F564A5D}"/>
    <cellStyle name="60% - 强调文字颜色 6 25 2 2" xfId="20807" xr:uid="{B40F038C-2657-478E-A167-57F523C6D3A7}"/>
    <cellStyle name="60% - 强调文字颜色 6 25 3" xfId="20808" xr:uid="{89356299-88C5-4C2C-A54A-3C0D0A93F50D}"/>
    <cellStyle name="60% - 强调文字颜色 6 25 4" xfId="20809" xr:uid="{4EFDEEE4-565A-488C-B7D5-99CBA28B131C}"/>
    <cellStyle name="60% - 强调文字颜色 6 25 5" xfId="20805" xr:uid="{E416C899-D040-433B-AA7A-C73561CBD15D}"/>
    <cellStyle name="60% - 强调文字颜色 6 26" xfId="5351" xr:uid="{78BA1064-BD44-49AD-B5D7-814A829D69C6}"/>
    <cellStyle name="60% - 强调文字颜色 6 26 2" xfId="20811" xr:uid="{E513FCE9-D40F-4556-AB14-B5DECED79570}"/>
    <cellStyle name="60% - 强调文字颜色 6 26 2 2" xfId="20812" xr:uid="{9C629987-3485-4696-B97C-34C1BDCD86C5}"/>
    <cellStyle name="60% - 强调文字颜色 6 26 3" xfId="20813" xr:uid="{F705E480-EEB8-4B70-ABF9-0220B98564FC}"/>
    <cellStyle name="60% - 强调文字颜色 6 26 4" xfId="20814" xr:uid="{B2E931D1-6858-40AA-919A-DEFA489E4467}"/>
    <cellStyle name="60% - 强调文字颜色 6 26 5" xfId="20810" xr:uid="{B0C3432E-1217-4532-A69F-51B60204839B}"/>
    <cellStyle name="60% - 强调文字颜色 6 27" xfId="5353" xr:uid="{B6599FB9-0904-4791-A227-C8C0D2D518B1}"/>
    <cellStyle name="60% - 强调文字颜色 6 27 2" xfId="20816" xr:uid="{06D405A2-4CD0-4953-8EC8-2AFF7CF2BB17}"/>
    <cellStyle name="60% - 强调文字颜色 6 27 2 2" xfId="20817" xr:uid="{8BE3FFEE-6A63-4533-BA90-A91013943FB0}"/>
    <cellStyle name="60% - 强调文字颜色 6 27 3" xfId="20818" xr:uid="{4D9DDC00-E90C-4591-8924-B616CBCC9668}"/>
    <cellStyle name="60% - 强调文字颜色 6 27 4" xfId="20819" xr:uid="{0A40A45B-19C5-4781-B94D-54505707283A}"/>
    <cellStyle name="60% - 强调文字颜色 6 27 5" xfId="20815" xr:uid="{22C5AE97-3180-4141-BBAE-5F8872AFAED7}"/>
    <cellStyle name="60% - 强调文字颜色 6 28" xfId="5355" xr:uid="{8C0DF689-C601-48F2-B9F3-FB8688C109D5}"/>
    <cellStyle name="60% - 强调文字颜色 6 28 2" xfId="20821" xr:uid="{BF4ECF4E-2D42-48C2-9134-64E8E05B5EBC}"/>
    <cellStyle name="60% - 强调文字颜色 6 28 3" xfId="20822" xr:uid="{82F6D78C-FBBB-4703-BA8C-5BEDC0B70A60}"/>
    <cellStyle name="60% - 强调文字颜色 6 28 4" xfId="20823" xr:uid="{D35BAAB8-8699-49F2-85BA-C781BD4B74D1}"/>
    <cellStyle name="60% - 强调文字颜色 6 28 5" xfId="20820" xr:uid="{3269C0A1-A029-419B-875F-929165EF61D5}"/>
    <cellStyle name="60% - 强调文字颜色 6 29" xfId="5357" xr:uid="{9747171C-4F9D-4007-BD69-7F3EE3493699}"/>
    <cellStyle name="60% - 强调文字颜色 6 29 2" xfId="20825" xr:uid="{693070E1-62E4-429B-94E2-A7FB31DC0858}"/>
    <cellStyle name="60% - 强调文字颜色 6 29 3" xfId="20826" xr:uid="{79699199-ED60-434E-A622-3D013DEDEC40}"/>
    <cellStyle name="60% - 强调文字颜色 6 29 4" xfId="20827" xr:uid="{F655023A-9ABC-488E-8465-2436CDB10F85}"/>
    <cellStyle name="60% - 强调文字颜色 6 29 5" xfId="20824" xr:uid="{6347D237-956A-4075-B20F-9D81F1F21DF8}"/>
    <cellStyle name="60% - 强调文字颜色 6 3" xfId="5359" xr:uid="{10E3751F-24A3-42E3-810B-7193A885F8A7}"/>
    <cellStyle name="60% - 强调文字颜色 6 3 2" xfId="5360" xr:uid="{3412AB88-D78A-4069-ABB2-DB2FA1FDB9BE}"/>
    <cellStyle name="60% - 强调文字颜色 6 3 2 2" xfId="10428" xr:uid="{8998A982-9A0F-46DA-A458-0507649C9EDC}"/>
    <cellStyle name="60% - 强调文字颜色 6 3 2 3" xfId="20829" xr:uid="{22C5F07D-77DC-4408-BE21-1210EABB5BD3}"/>
    <cellStyle name="60% - 强调文字颜色 6 3 2 4" xfId="27349" xr:uid="{5ECFEFAA-CA14-45F5-BD80-382FAA3B1D50}"/>
    <cellStyle name="60% - 强调文字颜色 6 3 3" xfId="10429" xr:uid="{5FB68B4E-CE29-4F56-9833-C882265BA189}"/>
    <cellStyle name="60% - 强调文字颜色 6 3 3 2" xfId="20831" xr:uid="{152DC6A7-B5BB-49A9-AAFD-B12C3D59CDDD}"/>
    <cellStyle name="60% - 强调文字颜色 6 3 3 3" xfId="20830" xr:uid="{5416128A-ABE9-49D1-B47C-3325A70DD1F6}"/>
    <cellStyle name="60% - 强调文字颜色 6 3 3 4" xfId="27350" xr:uid="{4437728D-1B2D-4CD2-944A-6EE4F47595FA}"/>
    <cellStyle name="60% - 强调文字颜色 6 3 4" xfId="10427" xr:uid="{D91AC65A-E8B8-4510-9DB6-BAAA85756500}"/>
    <cellStyle name="60% - 强调文字颜色 6 3 4 2" xfId="20832" xr:uid="{F59CFC33-EA6D-426B-BEB5-02A07551D90A}"/>
    <cellStyle name="60% - 强调文字颜色 6 3 4 3" xfId="27727" xr:uid="{63298FC4-BCA0-48A8-9BAC-1F69120499F8}"/>
    <cellStyle name="60% - 强调文字颜色 6 3 5" xfId="20833" xr:uid="{2F82BFD3-A350-4B7C-870E-8FA38E30D1A5}"/>
    <cellStyle name="60% - 强调文字颜色 6 3 5 2" xfId="20834" xr:uid="{DC1606BC-E1F9-456A-A412-5353F9F2F92F}"/>
    <cellStyle name="60% - 强调文字颜色 6 3 6" xfId="20828" xr:uid="{0C597B6A-4397-4935-87B7-B6B15FB48A31}"/>
    <cellStyle name="60% - 强调文字颜色 6 30" xfId="5350" xr:uid="{8A57889F-A8F1-44F7-BC7B-BE902375FB30}"/>
    <cellStyle name="60% - 强调文字颜色 6 30 2" xfId="20836" xr:uid="{A191AC6E-9B9E-4C69-8608-636DE1B58DAF}"/>
    <cellStyle name="60% - 强调文字颜色 6 30 3" xfId="20837" xr:uid="{70761063-095A-4EA6-8173-05AABB1C5046}"/>
    <cellStyle name="60% - 强调文字颜色 6 30 4" xfId="20838" xr:uid="{03593E60-877A-42F4-83BE-8E915551F850}"/>
    <cellStyle name="60% - 强调文字颜色 6 30 5" xfId="20835" xr:uid="{CF297809-F3AA-403F-9F11-8C8424906081}"/>
    <cellStyle name="60% - 强调文字颜色 6 31" xfId="5352" xr:uid="{F1345A8F-786D-474F-B3B0-61A81FCD6A2F}"/>
    <cellStyle name="60% - 强调文字颜色 6 31 2" xfId="20840" xr:uid="{A20460A8-B88B-4F59-81F9-511035EF5637}"/>
    <cellStyle name="60% - 强调文字颜色 6 31 3" xfId="20841" xr:uid="{4C0A8F6E-5966-4543-9F27-AE9FFED94F6C}"/>
    <cellStyle name="60% - 强调文字颜色 6 31 4" xfId="20842" xr:uid="{B19940DC-43B2-4B0E-98EF-256CA8B1F22D}"/>
    <cellStyle name="60% - 强调文字颜色 6 31 5" xfId="20839" xr:uid="{E918EFCD-6B28-4C6A-806F-02EAF6DE0C63}"/>
    <cellStyle name="60% - 强调文字颜色 6 32" xfId="5354" xr:uid="{000C993C-23A7-4DCB-BD76-9B4D9416679D}"/>
    <cellStyle name="60% - 强调文字颜色 6 32 2" xfId="20844" xr:uid="{404E694F-B25E-48E2-ACB0-4E6593B98ED0}"/>
    <cellStyle name="60% - 强调文字颜色 6 32 3" xfId="20845" xr:uid="{A67ADD15-A99A-4575-A3E0-5202BB06CA22}"/>
    <cellStyle name="60% - 强调文字颜色 6 32 4" xfId="20846" xr:uid="{095A7FF0-12E9-49BB-B938-354BE7F9288B}"/>
    <cellStyle name="60% - 强调文字颜色 6 32 5" xfId="20843" xr:uid="{2CD57021-335D-40E6-9E36-C09C612940ED}"/>
    <cellStyle name="60% - 强调文字颜色 6 33" xfId="5356" xr:uid="{997F111C-9BFC-4312-9207-B1C0A7C5C17C}"/>
    <cellStyle name="60% - 强调文字颜色 6 33 2" xfId="20848" xr:uid="{03AFD0AB-6A47-4A24-BE25-DFFA51DB9913}"/>
    <cellStyle name="60% - 强调文字颜色 6 33 3" xfId="20849" xr:uid="{45325366-21D9-475C-8ECB-1CBE0087B2CB}"/>
    <cellStyle name="60% - 强调文字颜色 6 33 4" xfId="20850" xr:uid="{BAA5A59B-949F-454B-BC80-CE55F02C6EEB}"/>
    <cellStyle name="60% - 强调文字颜色 6 33 5" xfId="20847" xr:uid="{594A375F-FC36-4A6D-87D6-52F669CAAB25}"/>
    <cellStyle name="60% - 强调文字颜色 6 34" xfId="5358" xr:uid="{8E9CF5FF-4C89-4A1F-9468-F2CA39D4046C}"/>
    <cellStyle name="60% - 强调文字颜色 6 34 2" xfId="13049" xr:uid="{185950D6-788B-4E23-9431-C2FC4A1B26CE}"/>
    <cellStyle name="60% - 强调文字颜色 6 34 2 2" xfId="20852" xr:uid="{2E85341F-6BE8-4041-9C1B-ABD51C8628CF}"/>
    <cellStyle name="60% - 强调文字颜色 6 34 3" xfId="20853" xr:uid="{B37B62A4-9C85-4D71-9D90-D9A3F4A3AEF2}"/>
    <cellStyle name="60% - 强调文字颜色 6 34 4" xfId="20854" xr:uid="{116C37CE-BD79-427A-B3BA-0C0BCA1483FA}"/>
    <cellStyle name="60% - 强调文字颜色 6 34 5" xfId="20851" xr:uid="{A9D687CD-8EF4-459D-ACBE-8D993DCB52B4}"/>
    <cellStyle name="60% - 强调文字颜色 6 35" xfId="5361" xr:uid="{68EC8794-102B-41C4-A27C-32C5F22718AB}"/>
    <cellStyle name="60% - 强调文字颜色 6 35 2" xfId="13050" xr:uid="{FAA9F9DD-07CB-4354-8D4B-C22AD6FEAD1C}"/>
    <cellStyle name="60% - 强调文字颜色 6 35 2 2" xfId="20856" xr:uid="{E869008F-12C4-400E-ACD6-765763C23ED0}"/>
    <cellStyle name="60% - 强调文字颜色 6 35 3" xfId="20855" xr:uid="{47D38E34-B7CE-4A8D-AEEE-4B0E0B07462A}"/>
    <cellStyle name="60% - 强调文字颜色 6 36" xfId="5363" xr:uid="{906DA009-D7E7-4619-86A2-3793D6EB54DC}"/>
    <cellStyle name="60% - 强调文字颜色 6 36 2" xfId="13051" xr:uid="{35216369-04F2-4B20-9257-5ECA93106738}"/>
    <cellStyle name="60% - 强调文字颜色 6 36 2 2" xfId="20858" xr:uid="{D9661B50-ACBA-45D4-934F-BCAFA61590C4}"/>
    <cellStyle name="60% - 强调文字颜色 6 36 3" xfId="20857" xr:uid="{4D5B2313-6BA4-4A3D-AD89-CE97F149D09E}"/>
    <cellStyle name="60% - 强调文字颜色 6 37" xfId="5365" xr:uid="{459EBDB2-84B9-4AF3-9E3D-43621FFCE384}"/>
    <cellStyle name="60% - 强调文字颜色 6 37 2" xfId="13052" xr:uid="{1EC4B5AC-6E25-4AB4-A96A-FEE565A394FB}"/>
    <cellStyle name="60% - 强调文字颜色 6 37 2 2" xfId="20860" xr:uid="{69DA7823-5729-45C1-A4A9-2CF822A9C1CB}"/>
    <cellStyle name="60% - 强调文字颜色 6 37 3" xfId="20859" xr:uid="{DF4E2A5D-850B-41A9-ABA7-36681AA573E6}"/>
    <cellStyle name="60% - 强调文字颜色 6 38" xfId="5367" xr:uid="{62E64FFD-7B1C-4FBA-9862-95109A13F5F1}"/>
    <cellStyle name="60% - 强调文字颜色 6 38 2" xfId="13053" xr:uid="{B51FC13E-BC0D-4A0E-8199-E3078C6D4693}"/>
    <cellStyle name="60% - 强调文字颜色 6 38 2 2" xfId="20862" xr:uid="{076ACAB9-AC72-4DDE-885C-AFFE37D39621}"/>
    <cellStyle name="60% - 强调文字颜色 6 38 3" xfId="20861" xr:uid="{E59E6532-95F1-4336-B8BD-9DF0B49D7D3C}"/>
    <cellStyle name="60% - 强调文字颜色 6 39" xfId="5369" xr:uid="{ABC78936-E5F5-40B7-B573-35524B06C266}"/>
    <cellStyle name="60% - 强调文字颜色 6 39 2" xfId="13054" xr:uid="{B8925516-58FA-4E5A-BA72-6EFC99D8259A}"/>
    <cellStyle name="60% - 强调文字颜色 6 39 2 2" xfId="20864" xr:uid="{238D0333-C03E-4AFE-8467-F9C9CA4D706A}"/>
    <cellStyle name="60% - 强调文字颜色 6 39 3" xfId="20863" xr:uid="{E592FF95-2A21-4302-85E1-35EB343E02AF}"/>
    <cellStyle name="60% - 强调文字颜色 6 4" xfId="5371" xr:uid="{1030A44C-2F52-4FC5-AB03-EE08549B300F}"/>
    <cellStyle name="60% - 强调文字颜色 6 4 2" xfId="5372" xr:uid="{60441E42-42E9-4F00-9086-D57F301B2090}"/>
    <cellStyle name="60% - 强调文字颜色 6 4 2 2" xfId="10431" xr:uid="{5BE41FBC-E40C-4615-A448-7EC5EE934C15}"/>
    <cellStyle name="60% - 强调文字颜色 6 4 2 2 2" xfId="20867" xr:uid="{AC714D46-5E9C-4660-ACC6-61293E835FA1}"/>
    <cellStyle name="60% - 强调文字颜色 6 4 2 3" xfId="20866" xr:uid="{AE053765-2F65-45E0-B7F4-24A3A833E4E3}"/>
    <cellStyle name="60% - 强调文字颜色 6 4 3" xfId="10432" xr:uid="{0CD8746B-1A79-418D-9D7D-1BFA0C0EFD9C}"/>
    <cellStyle name="60% - 强调文字颜色 6 4 3 2" xfId="20868" xr:uid="{0AB743D7-C9AB-40B8-AFA1-49CCFDAAA90D}"/>
    <cellStyle name="60% - 强调文字颜色 6 4 4" xfId="10430" xr:uid="{000146A4-9B43-42A9-8180-F1B8D6346FBC}"/>
    <cellStyle name="60% - 强调文字颜色 6 4 4 2" xfId="20870" xr:uid="{67B9D906-7D1D-4F47-BA36-2554CECFBAEB}"/>
    <cellStyle name="60% - 强调文字颜色 6 4 4 3" xfId="20869" xr:uid="{8F5629AD-79CE-49A0-B4B5-E814E440FA6E}"/>
    <cellStyle name="60% - 强调文字颜色 6 4 5" xfId="20865" xr:uid="{A2DF9A82-F5D8-42F4-B0A8-D6EC0997449E}"/>
    <cellStyle name="60% - 强调文字颜色 6 40" xfId="5362" xr:uid="{C5EF84B7-E725-44BA-BFE9-759597B9D325}"/>
    <cellStyle name="60% - 强调文字颜色 6 40 2" xfId="13056" xr:uid="{44B5AFE0-65C8-4657-9E90-18E40464F6E1}"/>
    <cellStyle name="60% - 强调文字颜色 6 40 2 2" xfId="20872" xr:uid="{8AC2C923-C8B4-4E54-A005-8F556AD3F0CF}"/>
    <cellStyle name="60% - 强调文字颜色 6 40 3" xfId="20871" xr:uid="{33B204DA-6904-45EA-9B8D-23D6AB6A75D3}"/>
    <cellStyle name="60% - 强调文字颜色 6 41" xfId="5364" xr:uid="{000BD788-C064-41FB-BB62-76F78E65EBBF}"/>
    <cellStyle name="60% - 强调文字颜色 6 41 2" xfId="13057" xr:uid="{274C8597-FABE-4E2C-BAC6-C2D4336B04FA}"/>
    <cellStyle name="60% - 强调文字颜色 6 41 2 2" xfId="20874" xr:uid="{54025116-375B-43E7-ADAD-6D85D43E2131}"/>
    <cellStyle name="60% - 强调文字颜色 6 41 3" xfId="20873" xr:uid="{15782410-4845-4662-81E7-37900C0B2EAD}"/>
    <cellStyle name="60% - 强调文字颜色 6 42" xfId="5366" xr:uid="{6627CA18-9D97-49FE-99E2-58750A397270}"/>
    <cellStyle name="60% - 强调文字颜色 6 42 2" xfId="13058" xr:uid="{8F96FD75-38AE-446F-88D5-E9A4EBC55CD6}"/>
    <cellStyle name="60% - 强调文字颜色 6 42 2 2" xfId="20876" xr:uid="{F44F041C-CD94-4F48-B8B9-ABC93D457026}"/>
    <cellStyle name="60% - 强调文字颜色 6 42 3" xfId="20875" xr:uid="{0041C22D-58BD-4D65-A004-11CBA6F8EEC1}"/>
    <cellStyle name="60% - 强调文字颜色 6 43" xfId="5368" xr:uid="{F43A14AC-A1D5-4517-9FE7-07AFF922D59E}"/>
    <cellStyle name="60% - 强调文字颜色 6 43 2" xfId="13059" xr:uid="{9AF6C349-595C-4DF1-9A27-D10BC5224875}"/>
    <cellStyle name="60% - 强调文字颜色 6 43 2 2" xfId="20878" xr:uid="{6C505620-6FEC-4924-9F0F-5C8CE0E4A7CD}"/>
    <cellStyle name="60% - 强调文字颜色 6 43 3" xfId="20877" xr:uid="{50992581-353B-4D5A-9BEF-5558C36C4029}"/>
    <cellStyle name="60% - 强调文字颜色 6 44" xfId="5370" xr:uid="{3517FB50-337E-4512-8648-F01CB734259F}"/>
    <cellStyle name="60% - 强调文字颜色 6 44 2" xfId="13060" xr:uid="{7D4EDA62-68EE-4C57-BAFE-D8CEE8976294}"/>
    <cellStyle name="60% - 强调文字颜色 6 44 2 2" xfId="20880" xr:uid="{ECB482D5-097A-4B5A-B730-0A23B785A7A8}"/>
    <cellStyle name="60% - 强调文字颜色 6 44 3" xfId="20879" xr:uid="{17996A9A-0972-4135-8D23-D53F301CC1C5}"/>
    <cellStyle name="60% - 强调文字颜色 6 45" xfId="5373" xr:uid="{6F92ED8B-4452-4149-AB2D-0B0AE94016F9}"/>
    <cellStyle name="60% - 强调文字颜色 6 45 2" xfId="13061" xr:uid="{0CDAFD98-68C4-4F6A-9E38-CC3D6D301A34}"/>
    <cellStyle name="60% - 强调文字颜色 6 45 2 2" xfId="20882" xr:uid="{BF8FD237-0A0A-4D27-9B6F-883C066D71DD}"/>
    <cellStyle name="60% - 强调文字颜色 6 45 3" xfId="20881" xr:uid="{DB163DFA-FA64-439B-9788-959F4A999701}"/>
    <cellStyle name="60% - 强调文字颜色 6 46" xfId="5375" xr:uid="{C009C273-49BD-4253-A46A-F6713C317C4C}"/>
    <cellStyle name="60% - 强调文字颜色 6 46 2" xfId="13062" xr:uid="{D21CD391-0871-4BCC-9493-16A51F568E32}"/>
    <cellStyle name="60% - 强调文字颜色 6 46 2 2" xfId="20884" xr:uid="{39B821B5-59FD-4B39-86A4-710148414280}"/>
    <cellStyle name="60% - 强调文字颜色 6 46 3" xfId="20883" xr:uid="{283DC51D-53D9-4E07-999A-FAB46CCB4D08}"/>
    <cellStyle name="60% - 强调文字颜色 6 47" xfId="5377" xr:uid="{C07AADB8-C4C6-4FC2-AD6F-DE15D0D11903}"/>
    <cellStyle name="60% - 强调文字颜色 6 47 2" xfId="13063" xr:uid="{9501CA79-C3C6-49BA-8BA0-E092A92318D4}"/>
    <cellStyle name="60% - 强调文字颜色 6 47 3" xfId="20885" xr:uid="{E51E77D2-2CF7-4919-97D4-1E4749AD12AC}"/>
    <cellStyle name="60% - 强调文字颜色 6 48" xfId="5379" xr:uid="{00E2399C-A855-46E2-924C-59D7C7974000}"/>
    <cellStyle name="60% - 强调文字颜色 6 48 2" xfId="13064" xr:uid="{006F9C49-6EAD-43FA-AC08-70C957A43E93}"/>
    <cellStyle name="60% - 强调文字颜色 6 48 3" xfId="20886" xr:uid="{64228FFA-FE2F-4256-982F-8EF0927500FD}"/>
    <cellStyle name="60% - 强调文字颜色 6 49" xfId="5381" xr:uid="{402D2C48-E3F3-4988-9524-2E6227F782E2}"/>
    <cellStyle name="60% - 强调文字颜色 6 49 2" xfId="13065" xr:uid="{D79A8866-6AE7-421D-B078-F84C456ABA6E}"/>
    <cellStyle name="60% - 强调文字颜色 6 49 3" xfId="20887" xr:uid="{E168E8BE-38F6-44D4-981B-D846C5349E55}"/>
    <cellStyle name="60% - 强调文字颜色 6 5" xfId="5383" xr:uid="{C42B8AA9-E0FE-466D-9838-7F47C0869BED}"/>
    <cellStyle name="60% - 强调文字颜色 6 5 2" xfId="5384" xr:uid="{F96070ED-210A-40B3-8F7F-EE0F9B01669A}"/>
    <cellStyle name="60% - 强调文字颜色 6 5 2 2" xfId="10434" xr:uid="{630C5368-30CE-4C47-81F4-0F8AB005B2D6}"/>
    <cellStyle name="60% - 强调文字颜色 6 5 2 2 2" xfId="20890" xr:uid="{9841FD4B-A280-49F7-A331-412EB0A7E299}"/>
    <cellStyle name="60% - 强调文字颜色 6 5 2 3" xfId="20889" xr:uid="{3B21107A-A396-4AD5-8EFD-2DC09BF0ECD5}"/>
    <cellStyle name="60% - 强调文字颜色 6 5 3" xfId="10435" xr:uid="{BBCE3F95-855C-4DC1-BE11-91E325C2D454}"/>
    <cellStyle name="60% - 强调文字颜色 6 5 3 2" xfId="20891" xr:uid="{F484E9BD-D617-46F8-ABB2-A907FDF5C143}"/>
    <cellStyle name="60% - 强调文字颜色 6 5 4" xfId="10433" xr:uid="{FC3F6400-FE03-4806-95EA-4DF4100C8301}"/>
    <cellStyle name="60% - 强调文字颜色 6 5 4 2" xfId="20892" xr:uid="{AD4ED493-962C-4EB6-B723-6C17181AC2DF}"/>
    <cellStyle name="60% - 强调文字颜色 6 5 5" xfId="20888" xr:uid="{761FEA70-C6E8-407E-B1D7-914E7493692C}"/>
    <cellStyle name="60% - 强调文字颜色 6 50" xfId="5374" xr:uid="{E57A0AA1-EDCF-412C-BFF8-9F093C55DEF2}"/>
    <cellStyle name="60% - 强调文字颜色 6 50 2" xfId="13067" xr:uid="{158C3C8A-8E68-49E9-A1FA-2648117FEE1D}"/>
    <cellStyle name="60% - 强调文字颜色 6 50 3" xfId="20893" xr:uid="{65AB62AF-83DE-46D4-9F54-B487955A4E5A}"/>
    <cellStyle name="60% - 强调文字颜色 6 51" xfId="5376" xr:uid="{4146CBFE-B2DF-43C3-8FC9-2CB485EF998B}"/>
    <cellStyle name="60% - 强调文字颜色 6 51 2" xfId="13068" xr:uid="{868B4153-BE5F-4C8C-B8A3-F7E223588DD5}"/>
    <cellStyle name="60% - 强调文字颜色 6 51 3" xfId="20894" xr:uid="{C4EDFE03-A99B-4155-8A3A-6A2A8A4CB803}"/>
    <cellStyle name="60% - 强调文字颜色 6 52" xfId="5378" xr:uid="{84B76701-50EA-4BAB-8FFD-3EFAC35D6FD7}"/>
    <cellStyle name="60% - 强调文字颜色 6 52 2" xfId="13069" xr:uid="{CDD4FC8A-9E49-45EB-9343-2D6B88E31E82}"/>
    <cellStyle name="60% - 强调文字颜色 6 52 3" xfId="20895" xr:uid="{D5A1E16D-9C51-4F67-9153-8608F3E7841E}"/>
    <cellStyle name="60% - 强调文字颜色 6 53" xfId="5380" xr:uid="{5F74683E-DEA9-4DAD-A9D3-544F5E80AC87}"/>
    <cellStyle name="60% - 强调文字颜色 6 53 2" xfId="13070" xr:uid="{69762A35-A644-44E2-B0F3-ED673413A3C9}"/>
    <cellStyle name="60% - 强调文字颜色 6 53 3" xfId="20896" xr:uid="{F3AD174F-2FAF-4BEF-B4F6-9170CEB1389F}"/>
    <cellStyle name="60% - 强调文字颜色 6 54" xfId="5382" xr:uid="{DA9CAF9B-007F-4304-8067-8A3EC72C9B2D}"/>
    <cellStyle name="60% - 强调文字颜色 6 54 2" xfId="13071" xr:uid="{E5AC1B9C-88F9-432D-816B-3A24058B76B6}"/>
    <cellStyle name="60% - 强调文字颜色 6 54 3" xfId="20897" xr:uid="{E7ACBE0D-F92A-4E18-A3A4-43E710AE3F1B}"/>
    <cellStyle name="60% - 强调文字颜色 6 55" xfId="5385" xr:uid="{4E447699-25C7-4886-89E0-346B49B73D34}"/>
    <cellStyle name="60% - 强调文字颜色 6 55 2" xfId="13072" xr:uid="{7FE859BD-0553-412D-AA8B-C50C9BD87BCB}"/>
    <cellStyle name="60% - 强调文字颜色 6 55 3" xfId="20898" xr:uid="{0F110573-82FB-4F60-BCCF-14AEE61CCA52}"/>
    <cellStyle name="60% - 强调文字颜色 6 56" xfId="5387" xr:uid="{90A15C7B-F45A-4E39-B793-14020E6A327E}"/>
    <cellStyle name="60% - 强调文字颜色 6 56 2" xfId="13073" xr:uid="{4E34E23F-E644-4E79-AF12-907E08C6FA8D}"/>
    <cellStyle name="60% - 强调文字颜色 6 56 3" xfId="20899" xr:uid="{D8F6A29F-1ED4-4161-9D1D-5A1BEC2B0C71}"/>
    <cellStyle name="60% - 强调文字颜色 6 57" xfId="5389" xr:uid="{D0CCA058-E142-461E-863D-35759E82BB5A}"/>
    <cellStyle name="60% - 强调文字颜色 6 57 2" xfId="13074" xr:uid="{34289E96-E795-41E9-A0CA-0DB073E1848A}"/>
    <cellStyle name="60% - 强调文字颜色 6 58" xfId="5391" xr:uid="{105965B7-ACBA-4CF0-967F-F48BB7D53C0C}"/>
    <cellStyle name="60% - 强调文字颜色 6 58 2" xfId="13075" xr:uid="{CBE5B3D7-0987-449A-8D51-FFFA9A9F0CC2}"/>
    <cellStyle name="60% - 强调文字颜色 6 59" xfId="5393" xr:uid="{FE7E0CD1-B88D-4BEC-9B38-F0C104953C62}"/>
    <cellStyle name="60% - 强调文字颜色 6 59 2" xfId="13076" xr:uid="{6762B9E0-45F5-4C57-87EE-10B9879A716A}"/>
    <cellStyle name="60% - 强调文字颜色 6 6" xfId="5395" xr:uid="{D3D21294-F80F-4366-BF3D-867D90B1F109}"/>
    <cellStyle name="60% - 强调文字颜色 6 6 2" xfId="5396" xr:uid="{6B4962E6-1E5C-48AF-B10D-6B97ACAE9420}"/>
    <cellStyle name="60% - 强调文字颜色 6 6 2 2" xfId="10437" xr:uid="{80B977DD-8880-4D5E-9A21-F38B333D2FBC}"/>
    <cellStyle name="60% - 强调文字颜色 6 6 2 2 2" xfId="20902" xr:uid="{03285BB5-48B5-4AA6-A30D-723D9F25F2AD}"/>
    <cellStyle name="60% - 强调文字颜色 6 6 2 3" xfId="20901" xr:uid="{1A7C3898-F070-4D7D-A330-24F97B4DE06B}"/>
    <cellStyle name="60% - 强调文字颜色 6 6 3" xfId="10438" xr:uid="{1BF83D29-F109-47CF-AE7B-00CCF3B17BB6}"/>
    <cellStyle name="60% - 强调文字颜色 6 6 3 2" xfId="20903" xr:uid="{037A3B13-6732-451B-861E-BE2740AE373B}"/>
    <cellStyle name="60% - 强调文字颜色 6 6 4" xfId="10436" xr:uid="{A2738181-B32F-4186-8435-2E0BDC6A79E7}"/>
    <cellStyle name="60% - 强调文字颜色 6 6 4 2" xfId="20904" xr:uid="{94D42525-ACA7-454B-8576-8E80BF3A3C55}"/>
    <cellStyle name="60% - 强调文字颜色 6 6 5" xfId="20900" xr:uid="{31F61FAC-558C-4B56-872D-1895C1815038}"/>
    <cellStyle name="60% - 强调文字颜色 6 60" xfId="5386" xr:uid="{F980DD39-15F5-42B9-8963-C9A32E8AC67F}"/>
    <cellStyle name="60% - 强调文字颜色 6 60 2" xfId="13078" xr:uid="{1FBCE9E5-16F5-43CA-B61B-FBC62F49D315}"/>
    <cellStyle name="60% - 强调文字颜色 6 61" xfId="5388" xr:uid="{E75F1A76-F52D-4E7B-973E-5FA629B27BCA}"/>
    <cellStyle name="60% - 强调文字颜色 6 61 2" xfId="13079" xr:uid="{801E141C-6C3B-4DE2-92E6-7360B8DBBF83}"/>
    <cellStyle name="60% - 强调文字颜色 6 62" xfId="5390" xr:uid="{5567FD67-6A0F-4E55-829C-6C6CD4419FE6}"/>
    <cellStyle name="60% - 强调文字颜色 6 62 2" xfId="13080" xr:uid="{F73655F5-962F-4E41-8FEA-E4B6E973A087}"/>
    <cellStyle name="60% - 强调文字颜色 6 63" xfId="5392" xr:uid="{4E6BCCBA-2995-4FC6-ACCF-47314765DEBB}"/>
    <cellStyle name="60% - 强调文字颜色 6 63 2" xfId="13081" xr:uid="{8EE76A84-0B24-4185-BE47-B310291E0630}"/>
    <cellStyle name="60% - 强调文字颜色 6 64" xfId="5394" xr:uid="{D7388CF7-0271-4F5A-BD78-536806D03AF6}"/>
    <cellStyle name="60% - 强调文字颜色 6 64 2" xfId="13082" xr:uid="{11B594DE-985F-4672-8AE1-CBEC18E4D9A8}"/>
    <cellStyle name="60% - 强调文字颜色 6 65" xfId="5397" xr:uid="{9C742002-3E81-484D-84F2-A9CE51FDC375}"/>
    <cellStyle name="60% - 强调文字颜色 6 65 2" xfId="13083" xr:uid="{10ED1E57-6FE4-48E1-8740-188D50B90CD2}"/>
    <cellStyle name="60% - 强调文字颜色 6 66" xfId="5399" xr:uid="{82CC15F2-55CC-4443-A3C4-D39054EF149D}"/>
    <cellStyle name="60% - 强调文字颜色 6 66 2" xfId="13084" xr:uid="{DFE79C2A-B78B-426C-A356-05D1F4213ED6}"/>
    <cellStyle name="60% - 强调文字颜色 6 67" xfId="5401" xr:uid="{58C066E6-0D36-4145-A6E4-2FC6A97909A8}"/>
    <cellStyle name="60% - 强调文字颜色 6 67 2" xfId="13085" xr:uid="{22E00313-7F44-4A20-9144-398F96393BD4}"/>
    <cellStyle name="60% - 强调文字颜色 6 68" xfId="5403" xr:uid="{5379E97E-EF17-4A98-A234-E5EDEF1B318E}"/>
    <cellStyle name="60% - 强调文字颜色 6 68 2" xfId="13086" xr:uid="{8F7441CC-CCDC-4D4F-95F5-AFD2A548A88D}"/>
    <cellStyle name="60% - 强调文字颜色 6 69" xfId="5405" xr:uid="{0D149B38-EC78-481C-A349-D0C1289C7AE4}"/>
    <cellStyle name="60% - 强调文字颜色 6 69 2" xfId="13087" xr:uid="{30919CB5-D5A6-432B-BEE3-EA40556467BD}"/>
    <cellStyle name="60% - 强调文字颜色 6 7" xfId="5407" xr:uid="{C6DE4C51-2E5A-48E9-824D-00FEA5AFFF14}"/>
    <cellStyle name="60% - 强调文字颜色 6 7 2" xfId="5408" xr:uid="{E9BFEA72-3D41-4D61-B3E0-C70EA2BF45E3}"/>
    <cellStyle name="60% - 强调文字颜色 6 7 2 2" xfId="10440" xr:uid="{21BDE5AA-A14A-4641-89B8-753EC8C7F1A5}"/>
    <cellStyle name="60% - 强调文字颜色 6 7 2 2 2" xfId="20907" xr:uid="{049B90BB-C9D5-4FF4-9D11-EB3ED4DAD7B3}"/>
    <cellStyle name="60% - 强调文字颜色 6 7 2 3" xfId="20906" xr:uid="{D23E55E2-BD84-4C69-A001-007C7B3469ED}"/>
    <cellStyle name="60% - 强调文字颜色 6 7 3" xfId="10441" xr:uid="{CE8D063A-B2B3-4F51-8351-03A54D4B425C}"/>
    <cellStyle name="60% - 强调文字颜色 6 7 3 2" xfId="20908" xr:uid="{FAA7F752-0E18-4319-8FF9-F30A71B08CCC}"/>
    <cellStyle name="60% - 强调文字颜色 6 7 4" xfId="10439" xr:uid="{37FF7973-EBAC-4922-87F2-8FA8B04A058B}"/>
    <cellStyle name="60% - 强调文字颜色 6 7 4 2" xfId="20909" xr:uid="{1EBDD2BD-B420-4215-A810-58D239E75E3A}"/>
    <cellStyle name="60% - 强调文字颜色 6 7 5" xfId="20905" xr:uid="{25F0E804-A87C-4CE1-80A7-9DB90EDF0730}"/>
    <cellStyle name="60% - 强调文字颜色 6 70" xfId="5398" xr:uid="{FC09036A-5C3F-4424-90F1-C0AE866986AC}"/>
    <cellStyle name="60% - 强调文字颜色 6 70 2" xfId="13089" xr:uid="{D21F5E00-FD10-4978-AC0D-66C26B289805}"/>
    <cellStyle name="60% - 强调文字颜色 6 71" xfId="5400" xr:uid="{6B535E76-7002-4842-92DD-80D6DB66EE0D}"/>
    <cellStyle name="60% - 强调文字颜色 6 71 2" xfId="13090" xr:uid="{71B1A88C-5F81-43ED-B7CE-2813AC30EF0D}"/>
    <cellStyle name="60% - 强调文字颜色 6 72" xfId="5402" xr:uid="{A22E27E6-6965-442D-9958-5B855759117B}"/>
    <cellStyle name="60% - 强调文字颜色 6 72 2" xfId="13091" xr:uid="{4C9BB985-FD7F-4AD8-8998-FEEA3E980786}"/>
    <cellStyle name="60% - 强调文字颜色 6 73" xfId="5404" xr:uid="{3359F7E9-9541-4804-83FD-1F3BFF9612DE}"/>
    <cellStyle name="60% - 强调文字颜色 6 73 2" xfId="13092" xr:uid="{CBCDF640-8133-4D6A-9F4A-F60CDA242244}"/>
    <cellStyle name="60% - 强调文字颜色 6 74" xfId="5406" xr:uid="{9DB3C90B-9335-4435-83CA-2236A7C7999E}"/>
    <cellStyle name="60% - 强调文字颜色 6 74 2" xfId="13093" xr:uid="{061E1499-7A30-496C-82BC-C58EF093BEF0}"/>
    <cellStyle name="60% - 强调文字颜色 6 75" xfId="5409" xr:uid="{B1FB1F2F-5EAE-41BF-9E4C-83DCD9BF8C3D}"/>
    <cellStyle name="60% - 强调文字颜色 6 75 2" xfId="13094" xr:uid="{CA47BEF0-B700-4333-8C74-0AB9052EE210}"/>
    <cellStyle name="60% - 强调文字颜色 6 76" xfId="5411" xr:uid="{B4B59D72-860D-4DCB-B4D7-B8E61CD5B0A7}"/>
    <cellStyle name="60% - 强调文字颜色 6 76 2" xfId="13095" xr:uid="{0D175E24-B21D-479D-B261-C66724186433}"/>
    <cellStyle name="60% - 强调文字颜色 6 77" xfId="5413" xr:uid="{2F5E47B2-91BA-445A-8484-98D86BEEA563}"/>
    <cellStyle name="60% - 强调文字颜色 6 77 2" xfId="13096" xr:uid="{929F55C7-C768-4A1C-BDF1-6ED57D47E7BA}"/>
    <cellStyle name="60% - 强调文字颜色 6 78" xfId="5415" xr:uid="{C2B042EA-CECC-4703-B1D7-2A50F5C7C199}"/>
    <cellStyle name="60% - 强调文字颜色 6 78 2" xfId="13097" xr:uid="{A17B8CF9-B9F9-49EE-A212-A7701955EA66}"/>
    <cellStyle name="60% - 强调文字颜色 6 79" xfId="5417" xr:uid="{8993E630-AE73-4DDD-89C1-0EC0CA0A1155}"/>
    <cellStyle name="60% - 强调文字颜色 6 79 2" xfId="13098" xr:uid="{0EE34B43-B89F-49D6-919F-981B0A823BBF}"/>
    <cellStyle name="60% - 强调文字颜色 6 8" xfId="5419" xr:uid="{DEFFB267-DECB-43A1-95DF-7D89F21EAF5F}"/>
    <cellStyle name="60% - 强调文字颜色 6 8 2" xfId="5420" xr:uid="{D103FE98-890C-4BBA-9A29-A6075D93716C}"/>
    <cellStyle name="60% - 强调文字颜色 6 8 2 2" xfId="10443" xr:uid="{F9C9D6AA-B663-4D14-867A-823B39C1F603}"/>
    <cellStyle name="60% - 强调文字颜色 6 8 2 2 2" xfId="20912" xr:uid="{53A84F4C-77F3-43C7-82E3-419A63151755}"/>
    <cellStyle name="60% - 强调文字颜色 6 8 2 3" xfId="20911" xr:uid="{88EF0F4F-B78D-45AF-989B-AC3DB2ACFD06}"/>
    <cellStyle name="60% - 强调文字颜色 6 8 3" xfId="10444" xr:uid="{E11717E9-F3F2-4C59-8C5C-C876E52F6C1E}"/>
    <cellStyle name="60% - 强调文字颜色 6 8 3 2" xfId="20913" xr:uid="{4BECBE0D-1641-4E1F-909E-F4B73F8423CE}"/>
    <cellStyle name="60% - 强调文字颜色 6 8 4" xfId="10442" xr:uid="{C250CC04-68EA-48E2-BF05-F7DA2FB696D8}"/>
    <cellStyle name="60% - 强调文字颜色 6 8 4 2" xfId="20914" xr:uid="{CF1DE8F0-C7E4-4EF7-A6E1-1C37BF17A0D5}"/>
    <cellStyle name="60% - 强调文字颜色 6 8 5" xfId="20910" xr:uid="{BD607806-C09F-4953-860D-15F04F54C0AA}"/>
    <cellStyle name="60% - 强调文字颜色 6 80" xfId="5410" xr:uid="{C2245E38-6B9B-479B-849F-D27E3330547F}"/>
    <cellStyle name="60% - 强调文字颜色 6 80 2" xfId="13100" xr:uid="{10F3F63C-A58F-4E04-9825-9BC1F1AE844C}"/>
    <cellStyle name="60% - 强调文字颜色 6 81" xfId="5412" xr:uid="{3A940D73-82DE-4EBC-A99C-A5C897D13258}"/>
    <cellStyle name="60% - 强调文字颜色 6 81 2" xfId="13101" xr:uid="{B4CAF8CB-FBD9-4295-9C3D-56B4F2FAADBD}"/>
    <cellStyle name="60% - 强调文字颜色 6 82" xfId="5414" xr:uid="{13204A7F-1543-4149-85D3-DB3FE58A4742}"/>
    <cellStyle name="60% - 强调文字颜色 6 82 2" xfId="13102" xr:uid="{26D5CD05-CB7C-46E7-A9A1-AD95126DF7B7}"/>
    <cellStyle name="60% - 强调文字颜色 6 83" xfId="5416" xr:uid="{FAC7B3E7-0347-4FDE-8D69-57B67CF10CEB}"/>
    <cellStyle name="60% - 强调文字颜色 6 83 2" xfId="13103" xr:uid="{E88D1DD9-8024-4434-84AF-46105B7E51CA}"/>
    <cellStyle name="60% - 强调文字颜色 6 84" xfId="5418" xr:uid="{D2225705-B2F8-47BF-8A9C-83A22DA251AA}"/>
    <cellStyle name="60% - 强调文字颜色 6 84 2" xfId="13104" xr:uid="{C92A03BE-0D7F-42CF-B528-287B80BBB9F6}"/>
    <cellStyle name="60% - 强调文字颜色 6 85" xfId="9359" xr:uid="{191184CE-FF86-4068-86B2-BB27587F1314}"/>
    <cellStyle name="60% - 强调文字颜色 6 86" xfId="10394" xr:uid="{66443946-0708-4195-9F1D-C9B066DE02C4}"/>
    <cellStyle name="60% - 强调文字颜色 6 87" xfId="13600" xr:uid="{BFE58C23-4205-465E-BE11-E0D3CDC9C4D7}"/>
    <cellStyle name="60% - 强调文字颜色 6 88" xfId="27178" xr:uid="{2DF2F9F1-195F-4DB0-BACC-6BCD78D3FD3B}"/>
    <cellStyle name="60% - 强调文字颜色 6 89" xfId="27186" xr:uid="{2084E80A-2BD8-4EC4-BDB9-7C6F7842A230}"/>
    <cellStyle name="60% - 强调文字颜色 6 9" xfId="5421" xr:uid="{9250934C-C914-499B-B0CE-CDF9CCD8A4C9}"/>
    <cellStyle name="60% - 强调文字颜色 6 9 2" xfId="10446" xr:uid="{74599E92-08B0-408D-9AAA-E68D77BD8991}"/>
    <cellStyle name="60% - 强调文字颜色 6 9 2 2" xfId="20917" xr:uid="{14E4DE04-8198-4B9B-8674-53FC93CE5CE7}"/>
    <cellStyle name="60% - 强调文字颜色 6 9 2 3" xfId="20916" xr:uid="{C4185ADE-0F7B-4FE6-99AB-80C5D951E243}"/>
    <cellStyle name="60% - 强调文字颜色 6 9 3" xfId="10447" xr:uid="{C8444B72-57F5-46F7-91B5-47FD1EE44842}"/>
    <cellStyle name="60% - 强调文字颜色 6 9 3 2" xfId="20918" xr:uid="{E37AD5DF-733D-4D6A-BD85-1B2B0647B433}"/>
    <cellStyle name="60% - 强调文字颜色 6 9 4" xfId="10445" xr:uid="{60AD6956-9C82-4470-8C20-00E52773E09C}"/>
    <cellStyle name="60% - 强调文字颜色 6 9 4 2" xfId="20919" xr:uid="{BBB76A10-5EF2-41C6-92DD-18B0950FE398}"/>
    <cellStyle name="60% - 强调文字颜色 6 9 5" xfId="20915" xr:uid="{A0BDA2C6-7702-41F5-B165-4C630C0E7E0A}"/>
    <cellStyle name="60% - 强调文字颜色 6 90" xfId="27199" xr:uid="{8394BEB5-70BD-4F38-9D46-3278D72AAF48}"/>
    <cellStyle name="60% - 着色 1" xfId="27825" builtinId="32" customBuiltin="1"/>
    <cellStyle name="60% - 着色 1 2" xfId="20921" xr:uid="{9126A0E2-877C-4AE2-AE21-B3104C927A32}"/>
    <cellStyle name="60% - 着色 1 2 2" xfId="27728" xr:uid="{F7CDAD9D-F63B-4AB2-98BD-F1DD36970275}"/>
    <cellStyle name="60% - 着色 1 3" xfId="20922" xr:uid="{2BF833EA-5E02-43FE-8976-F083988CC5FA}"/>
    <cellStyle name="60% - 着色 1 4" xfId="20920" xr:uid="{BD7E9E6B-4385-418F-B14B-BDC3CD3BA9CB}"/>
    <cellStyle name="60% - 着色 2" xfId="27829" builtinId="36" customBuiltin="1"/>
    <cellStyle name="60% - 着色 2 2" xfId="20924" xr:uid="{5DDAB076-1DB4-4268-9F41-C0DC19570067}"/>
    <cellStyle name="60% - 着色 2 2 2" xfId="27729" xr:uid="{0FD6F7FD-34F9-4AB5-856A-9DECD7E1093B}"/>
    <cellStyle name="60% - 着色 2 3" xfId="20925" xr:uid="{8F12CE1F-B66F-488B-8C75-5FB31FBCC328}"/>
    <cellStyle name="60% - 着色 2 4" xfId="20923" xr:uid="{51A560E1-2AFA-4CAB-A5A9-F9640B46A773}"/>
    <cellStyle name="60% - 着色 3" xfId="27833" builtinId="40" customBuiltin="1"/>
    <cellStyle name="60% - 着色 3 2" xfId="20927" xr:uid="{F1A7A505-444B-4B65-BA73-1792FD494DCD}"/>
    <cellStyle name="60% - 着色 3 2 2" xfId="27730" xr:uid="{B3B7C0BC-9386-43F5-8FF4-54026D509A23}"/>
    <cellStyle name="60% - 着色 3 3" xfId="20928" xr:uid="{353A86E5-100B-4E4D-97D0-AEF46686818B}"/>
    <cellStyle name="60% - 着色 3 4" xfId="20926" xr:uid="{B254538C-DAA1-4A98-9D23-BB30453665D6}"/>
    <cellStyle name="60% - 着色 4" xfId="27837" builtinId="44" customBuiltin="1"/>
    <cellStyle name="60% - 着色 4 2" xfId="20930" xr:uid="{984A7133-62E9-4C49-8AD0-D89F52CBE626}"/>
    <cellStyle name="60% - 着色 4 2 2" xfId="27731" xr:uid="{CB4B2392-4DE0-4431-90B7-105C03AA34E6}"/>
    <cellStyle name="60% - 着色 4 3" xfId="20931" xr:uid="{4C3B2C1D-1A3D-40F2-9833-3A709E44A2D2}"/>
    <cellStyle name="60% - 着色 4 4" xfId="20929" xr:uid="{1EB99192-81B8-4AD2-BF7A-0E495C62EEF5}"/>
    <cellStyle name="60% - 着色 5" xfId="27841" builtinId="48" customBuiltin="1"/>
    <cellStyle name="60% - 着色 5 2" xfId="20933" xr:uid="{88181EB1-73B7-4A35-8750-76F6FA223C11}"/>
    <cellStyle name="60% - 着色 5 2 2" xfId="27732" xr:uid="{AD8A36C0-67D3-4883-9CAC-8E596ABF84A0}"/>
    <cellStyle name="60% - 着色 5 3" xfId="20934" xr:uid="{38D23615-434F-4418-B4DE-63E82C4092D0}"/>
    <cellStyle name="60% - 着色 5 4" xfId="20932" xr:uid="{DB36BD0E-9EC2-495D-95B7-A22EA7A92376}"/>
    <cellStyle name="60% - 着色 6" xfId="27845" builtinId="52" customBuiltin="1"/>
    <cellStyle name="60% - 着色 6 2" xfId="20936" xr:uid="{94ED9C92-7A85-4BEB-A6CC-C6ABE0E5129B}"/>
    <cellStyle name="60% - 着色 6 2 2" xfId="27733" xr:uid="{E1EEB414-CA54-4344-B06F-EF248DB26832}"/>
    <cellStyle name="60% - 着色 6 3" xfId="20937" xr:uid="{54F1893B-86A1-4AF5-A0F4-7704468497FD}"/>
    <cellStyle name="60% - 着色 6 4" xfId="20935" xr:uid="{5836D342-F770-434E-AB0C-CC533774C13D}"/>
    <cellStyle name="6mal" xfId="5422" xr:uid="{1C5FA7BB-188D-494D-B306-A2967EAFD169}"/>
    <cellStyle name="6mal 2" xfId="12469" xr:uid="{170E8349-F4AD-4310-ABB3-1502068E9AD2}"/>
    <cellStyle name="Accent1" xfId="5423" xr:uid="{FD7E041E-E3EF-4FF7-AD1B-6A6E05CDB6D4}"/>
    <cellStyle name="Accent1 - 20%" xfId="20939" xr:uid="{28EEDADF-DC48-4616-BA65-8BE86B6201B1}"/>
    <cellStyle name="Accent1 - 20% 2" xfId="20940" xr:uid="{DFAA5662-EDF6-494C-A82D-8B2C508F81A1}"/>
    <cellStyle name="Accent1 - 20% 2 2" xfId="20941" xr:uid="{A9793CDB-0BCB-412C-9119-3FBD5DAF2466}"/>
    <cellStyle name="Accent1 - 20% 2 2 2" xfId="20942" xr:uid="{7E1E3845-B97D-4A2A-A713-7D4A8B13CC48}"/>
    <cellStyle name="Accent1 - 20% 2 2 3" xfId="20943" xr:uid="{32C7028E-4BED-4CD5-A16D-315CF49D42F1}"/>
    <cellStyle name="Accent1 - 20% 2 2 4" xfId="20944" xr:uid="{2A52AB7C-9F8D-4CFF-8BC4-6D126FC05790}"/>
    <cellStyle name="Accent1 - 20% 2 2 5" xfId="20945" xr:uid="{79774C7A-C50A-48B9-9B71-24A83F8EEE3D}"/>
    <cellStyle name="Accent1 - 20% 2 2 6" xfId="20946" xr:uid="{C63A7F4B-FDE1-43B2-9B97-E3C1237B4FC2}"/>
    <cellStyle name="Accent1 - 20% 2 2 7" xfId="20947" xr:uid="{AE5309D1-88C8-41F4-BA4F-AD9D19B3E70F}"/>
    <cellStyle name="Accent1 - 20% 2 2_球团工序" xfId="20948" xr:uid="{F53A34E9-0FE8-435B-9757-7BAF7931A148}"/>
    <cellStyle name="Accent1 - 20% 2 3" xfId="20949" xr:uid="{3E4184BD-12A0-4FD4-B913-279EF06B8062}"/>
    <cellStyle name="Accent1 - 20% 2 4" xfId="20950" xr:uid="{4F8C96C7-4B49-402D-AB65-F500EF2179B8}"/>
    <cellStyle name="Accent1 - 20% 2 5" xfId="20951" xr:uid="{E759BA57-D721-45BB-95B3-32F10FD6773D}"/>
    <cellStyle name="Accent1 - 20% 2 6" xfId="20952" xr:uid="{361B4021-9AE9-4081-9FDF-BCA4355459C5}"/>
    <cellStyle name="Accent1 - 20% 2 7" xfId="20953" xr:uid="{F1B64A8A-9A6B-40E8-9B65-884D04296E31}"/>
    <cellStyle name="Accent1 - 20% 2 8" xfId="20954" xr:uid="{6A5AF4A8-C14C-4826-93A5-40DF059A0B3B}"/>
    <cellStyle name="Accent1 - 20% 2 9" xfId="20955" xr:uid="{5AAF9BE1-3989-4504-947E-DAA09E1FF83F}"/>
    <cellStyle name="Accent1 - 20% 2_动力部" xfId="20956" xr:uid="{8A09B190-B85B-4A57-98AA-4C7AE694B626}"/>
    <cellStyle name="Accent1 - 20% 3" xfId="20957" xr:uid="{C2260C1D-232F-413B-AEDE-0F0D78B631B4}"/>
    <cellStyle name="Accent1 - 20%_11月球团产品成本表" xfId="20958" xr:uid="{316328E1-8B9C-44FB-9627-F5C5FC7CFFF7}"/>
    <cellStyle name="Accent1 - 40%" xfId="20959" xr:uid="{72026E14-A624-4BA6-A1C8-14DB50219622}"/>
    <cellStyle name="Accent1 - 40% 2" xfId="20960" xr:uid="{3C8516F3-FCCC-403E-896A-78C363145CB3}"/>
    <cellStyle name="Accent1 - 40% 2 2" xfId="20961" xr:uid="{CF13A8C4-CEB7-4B77-B45B-9B59101D34D3}"/>
    <cellStyle name="Accent1 - 40% 2 2 2" xfId="20962" xr:uid="{50DEE795-D3ED-4E1C-A6DC-FFA1B25C3584}"/>
    <cellStyle name="Accent1 - 40% 2 2 3" xfId="20963" xr:uid="{BA3A0F86-C690-45E3-97B7-031699C1FD0E}"/>
    <cellStyle name="Accent1 - 40% 2 2 4" xfId="20964" xr:uid="{EDEC97F7-70F2-4718-BC8F-8166AAC7E199}"/>
    <cellStyle name="Accent1 - 40% 2 2 5" xfId="20965" xr:uid="{A41CC9BF-7B55-4BAE-8BD9-94B491C221D2}"/>
    <cellStyle name="Accent1 - 40% 2 2 6" xfId="20966" xr:uid="{47A37F75-9030-4FD8-8D9F-99C8F5A5016A}"/>
    <cellStyle name="Accent1 - 40% 2 2 7" xfId="20967" xr:uid="{CDC71DCD-57EA-4507-B87D-890CFCDA4126}"/>
    <cellStyle name="Accent1 - 40% 2 2_球团工序" xfId="20968" xr:uid="{D723E1F5-E2F0-4118-A9E2-236E0FCAB238}"/>
    <cellStyle name="Accent1 - 40% 2 3" xfId="20969" xr:uid="{9A0DA272-0BD3-4935-8E78-89BA111FFC16}"/>
    <cellStyle name="Accent1 - 40% 2 4" xfId="20970" xr:uid="{38901606-4584-46C5-9C91-79D03A233A53}"/>
    <cellStyle name="Accent1 - 40% 2 5" xfId="20971" xr:uid="{5A06BD03-8A5E-41F6-B114-7C13BB244450}"/>
    <cellStyle name="Accent1 - 40% 2 6" xfId="20972" xr:uid="{088F88E7-1D71-4163-80FE-3D952E7FDAF8}"/>
    <cellStyle name="Accent1 - 40% 2 7" xfId="20973" xr:uid="{708DE589-B49C-4083-9BD4-F70FA1889CCA}"/>
    <cellStyle name="Accent1 - 40% 2 8" xfId="20974" xr:uid="{9BA46795-6979-41C3-8A50-97EA41DF37B7}"/>
    <cellStyle name="Accent1 - 40% 2 9" xfId="20975" xr:uid="{3E473ED0-9B23-45A1-80F4-9C488266F3C5}"/>
    <cellStyle name="Accent1 - 40% 2_动力部" xfId="20976" xr:uid="{5A8BC121-A34C-4A9C-8B82-156068DF1C45}"/>
    <cellStyle name="Accent1 - 40% 3" xfId="20977" xr:uid="{5CF9FAB9-0045-4C0A-ABD8-39F2A54E287B}"/>
    <cellStyle name="Accent1 - 40%_11月球团产品成本表" xfId="20978" xr:uid="{3654B2E3-B5CA-4CEE-A01F-961D61572412}"/>
    <cellStyle name="Accent1 - 60%" xfId="20979" xr:uid="{C2D71EDC-9D2D-437C-B71E-E5E93B64E663}"/>
    <cellStyle name="Accent1 - 60% 2" xfId="20980" xr:uid="{43013092-2780-48D5-A13E-F3C35BB1F3C6}"/>
    <cellStyle name="Accent1 - 60% 2 2" xfId="20981" xr:uid="{1447C01F-A2B5-4C89-8CD6-3D810A56B800}"/>
    <cellStyle name="Accent1 - 60% 2 2 2" xfId="20982" xr:uid="{62105EDD-AC79-4430-9433-5675BC10E8C2}"/>
    <cellStyle name="Accent1 - 60% 2 2 3" xfId="20983" xr:uid="{9497230F-3286-4FF5-BA43-AFE7CCD645A9}"/>
    <cellStyle name="Accent1 - 60% 2 2 4" xfId="20984" xr:uid="{4ED1D64F-4F56-4998-8089-9093AE3A53CD}"/>
    <cellStyle name="Accent1 - 60% 2 2 5" xfId="20985" xr:uid="{DE255626-79D5-4FEE-BFE1-A777EC99EA27}"/>
    <cellStyle name="Accent1 - 60% 2 2 6" xfId="20986" xr:uid="{0D953A76-AAB4-4852-84B7-E2F0CBD2C3D8}"/>
    <cellStyle name="Accent1 - 60% 2 2 7" xfId="20987" xr:uid="{B4D0D0A3-F541-4E3C-950C-BD29E1E28AC9}"/>
    <cellStyle name="Accent1 - 60% 2 2_球团工序" xfId="20988" xr:uid="{600056D5-D5CB-446E-BC8D-83D15AF84B9E}"/>
    <cellStyle name="Accent1 - 60% 2 3" xfId="20989" xr:uid="{E9F07433-87AE-4D64-AAFC-E67FE4AEA749}"/>
    <cellStyle name="Accent1 - 60% 2 4" xfId="20990" xr:uid="{6C778D1C-F567-4595-A872-EA2305D8B191}"/>
    <cellStyle name="Accent1 - 60% 2 5" xfId="20991" xr:uid="{483A440E-C70F-4D39-8544-79B62210847C}"/>
    <cellStyle name="Accent1 - 60% 2 6" xfId="20992" xr:uid="{5DFD55CF-0B6F-4452-9CD1-3FBAF1E00482}"/>
    <cellStyle name="Accent1 - 60% 2 7" xfId="20993" xr:uid="{784BA0BB-8AF9-48B9-A375-64411D3949B6}"/>
    <cellStyle name="Accent1 - 60% 2 8" xfId="20994" xr:uid="{3F6EA530-FBC1-4417-A1CE-F87A6ECE44E0}"/>
    <cellStyle name="Accent1 - 60% 2 9" xfId="20995" xr:uid="{97756319-3F26-4A82-9EB3-DD3DBAFCFBC4}"/>
    <cellStyle name="Accent1 - 60% 2_动力部" xfId="20996" xr:uid="{B66700E5-F532-4391-B900-EC217CED4569}"/>
    <cellStyle name="Accent1 - 60% 3" xfId="20997" xr:uid="{3EA1D358-E7B0-49FC-8973-BEA53E047DA7}"/>
    <cellStyle name="Accent1 - 60%_11月球团产品成本表" xfId="20998" xr:uid="{C2277D62-35AA-4356-89A6-DDA5B3509753}"/>
    <cellStyle name="Accent1 2" xfId="10449" xr:uid="{74F9212F-C919-4DD7-AD53-121B78A88397}"/>
    <cellStyle name="Accent1 2 10" xfId="20999" xr:uid="{8FA4682B-0773-41CE-AFBC-5B722C278F6D}"/>
    <cellStyle name="Accent1 2 2" xfId="10450" xr:uid="{F4AA8B27-9BB3-4089-ADA1-0EB9B2B0137B}"/>
    <cellStyle name="Accent1 2 2 2" xfId="21001" xr:uid="{FEE0A97E-5ACC-4671-98F9-537BC6218FA8}"/>
    <cellStyle name="Accent1 2 2 3" xfId="21002" xr:uid="{E87190A7-E9C2-4CEF-8EB9-C8B6B8C758CB}"/>
    <cellStyle name="Accent1 2 2 4" xfId="21003" xr:uid="{9E9BB2E8-4A9E-4EAB-8BE2-C338A3A583D1}"/>
    <cellStyle name="Accent1 2 2 5" xfId="21004" xr:uid="{5C64F003-822D-432B-9AF7-412702535348}"/>
    <cellStyle name="Accent1 2 2 6" xfId="21005" xr:uid="{1F630341-7ADD-4708-BC92-5A6D2835E72B}"/>
    <cellStyle name="Accent1 2 2 7" xfId="21006" xr:uid="{3D7320B0-B732-42E0-A337-397AE4A52360}"/>
    <cellStyle name="Accent1 2 2 8" xfId="21000" xr:uid="{74D60D44-F40F-4047-8285-9FB71ECFF9A7}"/>
    <cellStyle name="Accent1 2 2_球团工序" xfId="21007" xr:uid="{90121DC0-187C-438E-9ED5-19A6D995BD22}"/>
    <cellStyle name="Accent1 2 3" xfId="21008" xr:uid="{4C7DCC3E-6562-4562-949C-A4CA24D17EE6}"/>
    <cellStyle name="Accent1 2 4" xfId="21009" xr:uid="{E0934E7F-EDA8-477E-B897-54C884B24F3B}"/>
    <cellStyle name="Accent1 2 5" xfId="21010" xr:uid="{2992C89C-F86F-43DD-8350-5241F6D88100}"/>
    <cellStyle name="Accent1 2 6" xfId="21011" xr:uid="{B201DD07-A8F6-43A1-9F97-59FF58D33B10}"/>
    <cellStyle name="Accent1 2 7" xfId="21012" xr:uid="{55F5AA90-67E3-4916-A99B-5DD0BFBD955E}"/>
    <cellStyle name="Accent1 2 8" xfId="21013" xr:uid="{0C1DB409-4CD0-4CDE-95B7-597D63E9CAF2}"/>
    <cellStyle name="Accent1 2 9" xfId="21014" xr:uid="{7538AA6D-4AF3-4300-92FF-F00C2C243609}"/>
    <cellStyle name="Accent1 2_动力部" xfId="21015" xr:uid="{12043435-0AF2-41B9-8C68-235F2BBA35DB}"/>
    <cellStyle name="Accent1 3" xfId="10451" xr:uid="{54008766-CB7F-4FFC-90E7-88BE6985CCB9}"/>
    <cellStyle name="Accent1 3 10" xfId="21016" xr:uid="{4DB41396-3E8D-4698-B2F8-C46321A7CC1C}"/>
    <cellStyle name="Accent1 3 2" xfId="10452" xr:uid="{ADE2CEF6-6F02-40B8-83CF-FC32FAC4CA94}"/>
    <cellStyle name="Accent1 3 2 2" xfId="21017" xr:uid="{FFC1F99E-4F39-4167-9BDE-43CDEDD5C808}"/>
    <cellStyle name="Accent1 3 3" xfId="21018" xr:uid="{76C62635-A2A3-41AD-B96B-D5072481F800}"/>
    <cellStyle name="Accent1 3 4" xfId="21019" xr:uid="{77F6620D-C191-414F-931A-01C4D8E58244}"/>
    <cellStyle name="Accent1 3 5" xfId="21020" xr:uid="{6EB088CC-8CE3-493F-8170-69C8087FF2C5}"/>
    <cellStyle name="Accent1 3 6" xfId="21021" xr:uid="{E363CAC7-AE2E-41C7-9B11-3B10524980A8}"/>
    <cellStyle name="Accent1 3 7" xfId="21022" xr:uid="{ED9BFA10-E5D5-4B54-8D2C-76BCF6196015}"/>
    <cellStyle name="Accent1 3 8" xfId="21023" xr:uid="{FD454D0D-5524-4A68-8A07-5D5EBB96E31D}"/>
    <cellStyle name="Accent1 3 9" xfId="21024" xr:uid="{AEB9DC32-FF8F-4F27-A794-ED992B1201A7}"/>
    <cellStyle name="Accent1 3_球团工序" xfId="21025" xr:uid="{ABE9CF92-AC38-40E2-BA72-E61E141CB80F}"/>
    <cellStyle name="Accent1 4" xfId="10448" xr:uid="{AB4FECAF-23BF-47B1-8739-DE6DF5388BC1}"/>
    <cellStyle name="Accent1 4 2" xfId="21027" xr:uid="{5143EB63-1824-440C-8440-568A4BF5CE9A}"/>
    <cellStyle name="Accent1 4 3" xfId="21028" xr:uid="{809CA904-9573-406F-8C46-21A37657E0C1}"/>
    <cellStyle name="Accent1 4 4" xfId="21029" xr:uid="{6A1E690B-F858-442F-A57F-1ECF2E6E6D78}"/>
    <cellStyle name="Accent1 4 5" xfId="21030" xr:uid="{7A09D1E7-FEA6-4F33-8CB7-B03D005D9F5C}"/>
    <cellStyle name="Accent1 4 6" xfId="21031" xr:uid="{A43F547C-1C96-4AC9-B088-5CB22F9FC19E}"/>
    <cellStyle name="Accent1 4 7" xfId="21032" xr:uid="{EB317D5E-5C87-4666-8FDE-A5D02964F8C0}"/>
    <cellStyle name="Accent1 4 8" xfId="21026" xr:uid="{BADBC628-7191-4CDD-B42B-3F67D86F575B}"/>
    <cellStyle name="Accent1 4_球团工序" xfId="21033" xr:uid="{F2C9CC75-3411-42AA-8573-BEDED1712275}"/>
    <cellStyle name="Accent1 5" xfId="21034" xr:uid="{D441D73E-AC32-4A6B-89D1-9DC01908942C}"/>
    <cellStyle name="Accent1 6" xfId="21035" xr:uid="{262DAA3A-98C3-4BE5-BF08-4537C3E20F8F}"/>
    <cellStyle name="Accent1 7" xfId="20938" xr:uid="{DB3BFE34-12DF-42EF-892A-E45883DB5531}"/>
    <cellStyle name="Accent1 8" xfId="27223" xr:uid="{6ECD6B48-8926-4FCA-A833-5496D35FADB4}"/>
    <cellStyle name="Accent1_07月球团产品成本表" xfId="21036" xr:uid="{AE4E39B8-9DE7-4E59-BB58-4AA6AB0ADC41}"/>
    <cellStyle name="Accent2" xfId="5424" xr:uid="{EBCBF3DD-0F48-4C5D-AF1B-A61CE770AEEB}"/>
    <cellStyle name="Accent2 - 20%" xfId="21038" xr:uid="{F3C5B8C9-7793-4870-93E2-F59C34641EC3}"/>
    <cellStyle name="Accent2 - 20% 2" xfId="21039" xr:uid="{4DF03124-C915-4524-8905-926B4E16056C}"/>
    <cellStyle name="Accent2 - 20% 2 2" xfId="21040" xr:uid="{E1B63D90-E2AB-4910-9A0F-78ABC161728A}"/>
    <cellStyle name="Accent2 - 20% 2 2 2" xfId="21041" xr:uid="{08EC36A9-C363-41F9-8AEA-36C694A40222}"/>
    <cellStyle name="Accent2 - 20% 2 2 3" xfId="21042" xr:uid="{E6E21653-AB2D-48B1-9431-56B1E350FEE6}"/>
    <cellStyle name="Accent2 - 20% 2 2 4" xfId="21043" xr:uid="{392D1315-C18B-4924-B219-CBCF7E4BDB8A}"/>
    <cellStyle name="Accent2 - 20% 2 2 5" xfId="21044" xr:uid="{34068425-7F7F-4285-B39F-FE0493BF828D}"/>
    <cellStyle name="Accent2 - 20% 2 2 6" xfId="21045" xr:uid="{1C2CE586-0094-4A81-A9D7-F59B69A20D50}"/>
    <cellStyle name="Accent2 - 20% 2 2 7" xfId="21046" xr:uid="{29628582-A4E2-4BD7-B825-FC270B99A9B8}"/>
    <cellStyle name="Accent2 - 20% 2 2_球团工序" xfId="21047" xr:uid="{200D2CD5-E526-4EB1-9E3A-9EA8F8C8116F}"/>
    <cellStyle name="Accent2 - 20% 2 3" xfId="21048" xr:uid="{D68040F8-8B2A-4C35-8427-93DC24E25F2F}"/>
    <cellStyle name="Accent2 - 20% 2 4" xfId="21049" xr:uid="{A15A7CE8-9356-44D6-BB95-D1BE6E5F0A7A}"/>
    <cellStyle name="Accent2 - 20% 2 5" xfId="21050" xr:uid="{DEEE4AD0-41BD-4FB9-976F-0B2ED53CF214}"/>
    <cellStyle name="Accent2 - 20% 2 6" xfId="21051" xr:uid="{1EA46EA0-EAD9-4EA0-8FF5-777A1536CBFD}"/>
    <cellStyle name="Accent2 - 20% 2 7" xfId="21052" xr:uid="{DD6C2CB1-031A-4830-B88D-94F6E5DF6416}"/>
    <cellStyle name="Accent2 - 20% 2 8" xfId="21053" xr:uid="{E9597D48-5375-4E32-A0E6-7180D89646DB}"/>
    <cellStyle name="Accent2 - 20% 2 9" xfId="21054" xr:uid="{176E9757-323F-4D6E-91C1-6E2574806680}"/>
    <cellStyle name="Accent2 - 20% 2_动力部" xfId="21055" xr:uid="{D6CB319F-6CB3-4B2B-B6C7-571AD9681516}"/>
    <cellStyle name="Accent2 - 20% 3" xfId="21056" xr:uid="{D90367B1-C323-4A38-8251-B498C23A3BDB}"/>
    <cellStyle name="Accent2 - 20%_11月球团产品成本表" xfId="21057" xr:uid="{A22F1428-D209-4D42-853D-8B7A18153F50}"/>
    <cellStyle name="Accent2 - 40%" xfId="21058" xr:uid="{748BC116-6E85-4EA1-8CC7-B07EBCD99F02}"/>
    <cellStyle name="Accent2 - 40% 2" xfId="21059" xr:uid="{72EB821B-368D-4659-96A6-B72C9E469E25}"/>
    <cellStyle name="Accent2 - 40% 2 2" xfId="21060" xr:uid="{ACE98734-E78E-49B9-8256-17530329ACC2}"/>
    <cellStyle name="Accent2 - 40% 2 2 2" xfId="21061" xr:uid="{29E8B08F-9AC8-4B44-B260-04E5F5FCB27A}"/>
    <cellStyle name="Accent2 - 40% 2 2 3" xfId="21062" xr:uid="{96323C3C-C7EC-4E28-810E-F9676052DEDC}"/>
    <cellStyle name="Accent2 - 40% 2 2 4" xfId="21063" xr:uid="{723BFFB8-712F-433B-A053-44D15E2E76FA}"/>
    <cellStyle name="Accent2 - 40% 2 2 5" xfId="21064" xr:uid="{25BDDB2A-17CA-400D-9D18-2741F01B3183}"/>
    <cellStyle name="Accent2 - 40% 2 2 6" xfId="21065" xr:uid="{B41EC49C-6944-4026-8B9A-BB24CE15F3BA}"/>
    <cellStyle name="Accent2 - 40% 2 2 7" xfId="21066" xr:uid="{D4200763-4587-4515-A022-4E33959F225F}"/>
    <cellStyle name="Accent2 - 40% 2 2_球团工序" xfId="21067" xr:uid="{12DC4FDB-FD66-4DE5-9998-DABF246EA4AE}"/>
    <cellStyle name="Accent2 - 40% 2 3" xfId="21068" xr:uid="{CF2A4FF4-3F70-42A1-87EE-CD6A891B10D1}"/>
    <cellStyle name="Accent2 - 40% 2 4" xfId="21069" xr:uid="{32FE4843-AC82-417E-B29E-7C8BBA04871A}"/>
    <cellStyle name="Accent2 - 40% 2 5" xfId="21070" xr:uid="{D03C8598-0674-495B-9553-2DAC59E74417}"/>
    <cellStyle name="Accent2 - 40% 2 6" xfId="21071" xr:uid="{3B1A6E6B-DFC7-44D5-A3E8-B37EE276B9C5}"/>
    <cellStyle name="Accent2 - 40% 2 7" xfId="21072" xr:uid="{F659AE55-E7A5-4D59-B65F-C48C48DB85A6}"/>
    <cellStyle name="Accent2 - 40% 2 8" xfId="21073" xr:uid="{2BB6486A-884C-4283-8F1D-147CE4EB4D24}"/>
    <cellStyle name="Accent2 - 40% 2 9" xfId="21074" xr:uid="{58CB95B8-FB4A-40E0-AC16-968D0AF74A5E}"/>
    <cellStyle name="Accent2 - 40% 2_动力部" xfId="21075" xr:uid="{91C94C14-7B44-46F6-8DED-20016D7321AC}"/>
    <cellStyle name="Accent2 - 40% 3" xfId="21076" xr:uid="{56D3B04F-EE41-4E5C-9B7D-B34FD15EE43D}"/>
    <cellStyle name="Accent2 - 40%_11月球团产品成本表" xfId="21077" xr:uid="{BBE487D0-80D1-41BD-92B5-E1B8C7941C88}"/>
    <cellStyle name="Accent2 - 60%" xfId="21078" xr:uid="{8DA8DF09-4518-4A2C-8D42-0514CE6BF89D}"/>
    <cellStyle name="Accent2 - 60% 2" xfId="21079" xr:uid="{C8D3EF60-CB43-422C-AD4F-B1C5D788DBAE}"/>
    <cellStyle name="Accent2 - 60% 2 2" xfId="21080" xr:uid="{44F26D98-5F89-465D-B4E8-9502DB374D5E}"/>
    <cellStyle name="Accent2 - 60% 2 2 2" xfId="21081" xr:uid="{A91D864E-BE10-4CC6-ABE5-15E29DEC9040}"/>
    <cellStyle name="Accent2 - 60% 2 2 3" xfId="21082" xr:uid="{8D96B137-F52B-4FD4-9972-D2C9CC1CBCF8}"/>
    <cellStyle name="Accent2 - 60% 2 2 4" xfId="21083" xr:uid="{E4D1BFEB-907F-47D6-988E-4C3391BF3853}"/>
    <cellStyle name="Accent2 - 60% 2 2 5" xfId="21084" xr:uid="{2D9D38B0-5C9A-4DE3-B903-4D90979E63DF}"/>
    <cellStyle name="Accent2 - 60% 2 2 6" xfId="21085" xr:uid="{38863C5B-56E1-46BC-AA64-D71A7232250E}"/>
    <cellStyle name="Accent2 - 60% 2 2 7" xfId="21086" xr:uid="{62490F73-2919-46DE-93CA-A6F7F3F1C598}"/>
    <cellStyle name="Accent2 - 60% 2 2_球团工序" xfId="21087" xr:uid="{1332CCE5-8619-4477-9756-FB1EB84EA27B}"/>
    <cellStyle name="Accent2 - 60% 2 3" xfId="21088" xr:uid="{405DCD67-6A87-4941-A7F2-900442DAD9A0}"/>
    <cellStyle name="Accent2 - 60% 2 4" xfId="21089" xr:uid="{B9380C05-252C-4D7C-BA32-88D648E9280C}"/>
    <cellStyle name="Accent2 - 60% 2 5" xfId="21090" xr:uid="{252D5CD7-5912-4777-905E-EA0CB6F0DDAE}"/>
    <cellStyle name="Accent2 - 60% 2 6" xfId="21091" xr:uid="{B2032913-07B1-4A93-B691-32618C6EA0B3}"/>
    <cellStyle name="Accent2 - 60% 2 7" xfId="21092" xr:uid="{6546F0A5-32AF-4C74-9A6D-7EACB904380E}"/>
    <cellStyle name="Accent2 - 60% 2 8" xfId="21093" xr:uid="{925A4920-0AC6-463F-ACD5-4D0E96C892BC}"/>
    <cellStyle name="Accent2 - 60% 2 9" xfId="21094" xr:uid="{A2206436-722D-47F4-BFA8-ACA426480405}"/>
    <cellStyle name="Accent2 - 60% 2_动力部" xfId="21095" xr:uid="{669F06C6-5BD7-47F2-B6C5-0289010DCE83}"/>
    <cellStyle name="Accent2 - 60% 3" xfId="21096" xr:uid="{0B1025B9-E101-46CE-BC84-DD30ABFEE9E6}"/>
    <cellStyle name="Accent2 - 60%_11月球团产品成本表" xfId="21097" xr:uid="{D55BCB59-965F-4599-9165-114B46CCD704}"/>
    <cellStyle name="Accent2 2" xfId="10454" xr:uid="{2CA0BAA8-FE99-4C21-9FDC-4AC052C9E78C}"/>
    <cellStyle name="Accent2 2 10" xfId="21098" xr:uid="{0599DB61-07E1-4E3C-A1C0-33FEBB51E764}"/>
    <cellStyle name="Accent2 2 2" xfId="10455" xr:uid="{88B15FFE-5CE1-4BC0-BEFF-B869E990211A}"/>
    <cellStyle name="Accent2 2 2 2" xfId="21100" xr:uid="{C1E89479-CD3C-4046-B584-8C042409AC8C}"/>
    <cellStyle name="Accent2 2 2 3" xfId="21101" xr:uid="{AC3D6909-DFAA-4ED0-91DE-C356679F3005}"/>
    <cellStyle name="Accent2 2 2 4" xfId="21102" xr:uid="{4A4596CD-3624-407B-93B8-7188CCA06CB2}"/>
    <cellStyle name="Accent2 2 2 5" xfId="21103" xr:uid="{9990586B-F170-46AC-9D57-9011E986E26F}"/>
    <cellStyle name="Accent2 2 2 6" xfId="21104" xr:uid="{A128E742-8505-4A93-B26B-870C602A828C}"/>
    <cellStyle name="Accent2 2 2 7" xfId="21105" xr:uid="{0F185363-05AE-4191-B6BF-D3D16265FBE1}"/>
    <cellStyle name="Accent2 2 2 8" xfId="21099" xr:uid="{4255991B-46BB-49F4-97B2-8843B45B8F3A}"/>
    <cellStyle name="Accent2 2 2_球团工序" xfId="21106" xr:uid="{F19F0513-4C47-4644-BDE6-28B05CE565D9}"/>
    <cellStyle name="Accent2 2 3" xfId="21107" xr:uid="{14DAE149-5C56-4598-86E8-2ACB8F7F59AB}"/>
    <cellStyle name="Accent2 2 4" xfId="21108" xr:uid="{1B5CF176-E6E4-49AF-B6F9-30ED686E25BB}"/>
    <cellStyle name="Accent2 2 5" xfId="21109" xr:uid="{393DB7A2-44DD-454F-83E8-EF18B39FCD74}"/>
    <cellStyle name="Accent2 2 6" xfId="21110" xr:uid="{0D563D10-DFEF-47D4-B81F-C07887E11E4D}"/>
    <cellStyle name="Accent2 2 7" xfId="21111" xr:uid="{DBEDF5E0-0769-4D5D-90CF-A36B659DA383}"/>
    <cellStyle name="Accent2 2 8" xfId="21112" xr:uid="{5A300935-4868-491C-8361-A839CE5B87D5}"/>
    <cellStyle name="Accent2 2 9" xfId="21113" xr:uid="{E0B9BCF9-8F15-44E7-B4B4-683273946704}"/>
    <cellStyle name="Accent2 2_动力部" xfId="21114" xr:uid="{41792F2C-B385-485A-AADB-1E5A157AD010}"/>
    <cellStyle name="Accent2 3" xfId="10456" xr:uid="{314328CF-D761-4A35-A28D-70BB4E811436}"/>
    <cellStyle name="Accent2 3 10" xfId="21115" xr:uid="{BF18A639-0AE2-469B-9936-B0CA11BFA8D3}"/>
    <cellStyle name="Accent2 3 2" xfId="10457" xr:uid="{04AAFC2A-7D48-4337-A998-44A52DBDD8B2}"/>
    <cellStyle name="Accent2 3 2 2" xfId="21116" xr:uid="{35BEB42A-E667-48A1-AC57-78ED83703421}"/>
    <cellStyle name="Accent2 3 3" xfId="21117" xr:uid="{0652B530-49C9-4FF2-9CF3-E91952DA84FB}"/>
    <cellStyle name="Accent2 3 4" xfId="21118" xr:uid="{BA38E8FA-41EA-4254-99F2-92B3868C99AE}"/>
    <cellStyle name="Accent2 3 5" xfId="21119" xr:uid="{EF4A7536-17FF-447A-AB7B-EE7D90399A13}"/>
    <cellStyle name="Accent2 3 6" xfId="21120" xr:uid="{98628959-9336-47EF-942F-8CD85AAE52DB}"/>
    <cellStyle name="Accent2 3 7" xfId="21121" xr:uid="{247C9E6B-6AD2-49B5-8853-1805B94E5135}"/>
    <cellStyle name="Accent2 3 8" xfId="21122" xr:uid="{CE2CDCB4-EA27-45A8-A192-D4E2AF25983D}"/>
    <cellStyle name="Accent2 3 9" xfId="21123" xr:uid="{226FDCB7-1708-49FC-8E93-014C4960B3D1}"/>
    <cellStyle name="Accent2 3_球团工序" xfId="21124" xr:uid="{056C0811-F6B2-4FB2-9CD0-AE8860250C2A}"/>
    <cellStyle name="Accent2 4" xfId="10453" xr:uid="{51A782DC-1BD6-445F-9AE7-DF51A9C29D27}"/>
    <cellStyle name="Accent2 4 2" xfId="21126" xr:uid="{C1D73084-3D78-4912-8531-925FF3942140}"/>
    <cellStyle name="Accent2 4 3" xfId="21127" xr:uid="{2F7971E4-95B5-4846-8367-AC476B3D07E2}"/>
    <cellStyle name="Accent2 4 4" xfId="21128" xr:uid="{D4FAB7CE-275D-44CA-8C4B-F45B9E79B4C9}"/>
    <cellStyle name="Accent2 4 5" xfId="21129" xr:uid="{45B5E3E3-A6E1-494A-B35B-C5DD9E1C3DF3}"/>
    <cellStyle name="Accent2 4 6" xfId="21130" xr:uid="{CD30565C-627C-464A-9C17-F73AD2092ABB}"/>
    <cellStyle name="Accent2 4 7" xfId="21131" xr:uid="{31D15EA1-E0B7-4A50-AA17-5D65B4AC269A}"/>
    <cellStyle name="Accent2 4 8" xfId="21125" xr:uid="{E2EB4854-6D57-4CDC-BFF2-87E42CC476B6}"/>
    <cellStyle name="Accent2 4_球团工序" xfId="21132" xr:uid="{50BC14EC-F5D0-4BBB-9D3D-962DED14F597}"/>
    <cellStyle name="Accent2 5" xfId="21133" xr:uid="{FAE5198B-DF2A-4B59-87F2-1C20C1D7A29E}"/>
    <cellStyle name="Accent2 6" xfId="21134" xr:uid="{713E0E15-A749-49C1-AD2C-0E8DAF2758FB}"/>
    <cellStyle name="Accent2 7" xfId="21037" xr:uid="{5A6CD2C2-A6A2-4251-8841-0FA10A07452D}"/>
    <cellStyle name="Accent2 8" xfId="27224" xr:uid="{93DF9FB9-6D69-4036-9E05-38495CE7486F}"/>
    <cellStyle name="Accent2_07月球团产品成本表" xfId="21135" xr:uid="{49A37A17-7F45-44A5-A409-8F03B884CCFF}"/>
    <cellStyle name="Accent3" xfId="5425" xr:uid="{A729E366-9D4C-433E-B523-789EB846EF9D}"/>
    <cellStyle name="Accent3 - 20%" xfId="21137" xr:uid="{CC67346D-C686-4887-9651-38D73316BDDD}"/>
    <cellStyle name="Accent3 - 20% 2" xfId="21138" xr:uid="{917CABE8-3F24-4470-936E-8EC5528781F1}"/>
    <cellStyle name="Accent3 - 20% 2 2" xfId="21139" xr:uid="{0041ED75-EAC0-4B74-A015-D7EDBC6C7A09}"/>
    <cellStyle name="Accent3 - 20% 2 2 2" xfId="21140" xr:uid="{EE882B7E-439E-4F4E-B01F-918AC5561CDA}"/>
    <cellStyle name="Accent3 - 20% 2 2 3" xfId="21141" xr:uid="{3055B3E0-ECEC-4D5F-8D7A-A920160BE47D}"/>
    <cellStyle name="Accent3 - 20% 2 2 4" xfId="21142" xr:uid="{C39D2F20-78CF-45D4-B35C-E855A0C19AA1}"/>
    <cellStyle name="Accent3 - 20% 2 2 5" xfId="21143" xr:uid="{58F1DEE3-A269-4D37-AE78-13BA3486C237}"/>
    <cellStyle name="Accent3 - 20% 2 2 6" xfId="21144" xr:uid="{F1D74CD2-2751-468E-A9A1-241EB3694610}"/>
    <cellStyle name="Accent3 - 20% 2 2 7" xfId="21145" xr:uid="{52BE17BD-5001-454D-88C0-BA20B7C0EF8D}"/>
    <cellStyle name="Accent3 - 20% 2 2_球团工序" xfId="21146" xr:uid="{73BA5D72-BAF5-4F21-827A-90DBB731B7CA}"/>
    <cellStyle name="Accent3 - 20% 2 3" xfId="21147" xr:uid="{F2678F57-7E3F-4C4E-8588-3A586E607A8D}"/>
    <cellStyle name="Accent3 - 20% 2 4" xfId="21148" xr:uid="{F078CD67-CA3C-43BB-BD3F-FEBAEA0D676D}"/>
    <cellStyle name="Accent3 - 20% 2 5" xfId="21149" xr:uid="{3E17D38A-830D-4091-B965-76A41274F680}"/>
    <cellStyle name="Accent3 - 20% 2 6" xfId="21150" xr:uid="{E62A8ED3-7F98-4D9C-9790-44B1830FECE3}"/>
    <cellStyle name="Accent3 - 20% 2 7" xfId="21151" xr:uid="{39CF4FF7-01A1-4AE7-A403-F3D6EE5E117B}"/>
    <cellStyle name="Accent3 - 20% 2 8" xfId="21152" xr:uid="{60EFCE3D-B076-4E46-912B-856797E897D3}"/>
    <cellStyle name="Accent3 - 20% 2 9" xfId="21153" xr:uid="{29566DD1-27BA-46F1-B244-2F53DF05317C}"/>
    <cellStyle name="Accent3 - 20% 2_动力部" xfId="21154" xr:uid="{5549406D-5E62-4B70-ACC4-132C8C021646}"/>
    <cellStyle name="Accent3 - 20% 3" xfId="21155" xr:uid="{6504EFDC-DADD-4DAD-A4D4-D5FD7655528A}"/>
    <cellStyle name="Accent3 - 20%_11月球团产品成本表" xfId="21156" xr:uid="{564DDB3D-E56E-4F73-A633-7AC8DDA9C375}"/>
    <cellStyle name="Accent3 - 40%" xfId="21157" xr:uid="{C075F50D-D53D-461D-8205-469F2A86D3A2}"/>
    <cellStyle name="Accent3 - 40% 2" xfId="21158" xr:uid="{27E2B977-BC4B-41FD-8926-ECA58C7F2194}"/>
    <cellStyle name="Accent3 - 40% 2 2" xfId="21159" xr:uid="{41E67060-61EF-4FA8-898B-2DBA5CCC7912}"/>
    <cellStyle name="Accent3 - 40% 2 2 2" xfId="21160" xr:uid="{23EBC6A1-E2AB-47FE-AFA2-0205B16C0E56}"/>
    <cellStyle name="Accent3 - 40% 2 2 3" xfId="21161" xr:uid="{8FFE5269-367F-4D92-9E3B-45EF004D8F95}"/>
    <cellStyle name="Accent3 - 40% 2 2 4" xfId="21162" xr:uid="{73F8842E-03C7-4E61-94C8-86A11AA07C8A}"/>
    <cellStyle name="Accent3 - 40% 2 2 5" xfId="21163" xr:uid="{776832E4-12A6-4AD0-B768-F559E45CCACC}"/>
    <cellStyle name="Accent3 - 40% 2 2 6" xfId="21164" xr:uid="{75E6BCEB-F195-4E93-998D-32EABA62F50E}"/>
    <cellStyle name="Accent3 - 40% 2 2 7" xfId="21165" xr:uid="{2E058966-923D-4E96-82C3-C0EA9773A832}"/>
    <cellStyle name="Accent3 - 40% 2 2_球团工序" xfId="21166" xr:uid="{09A21C20-C6C2-4E33-ADE8-442977476C0E}"/>
    <cellStyle name="Accent3 - 40% 2 3" xfId="21167" xr:uid="{A9E569E4-3806-443B-A00D-09BAE59CB1F3}"/>
    <cellStyle name="Accent3 - 40% 2 4" xfId="21168" xr:uid="{9B391738-7661-43BE-81EB-3FCA99045903}"/>
    <cellStyle name="Accent3 - 40% 2 5" xfId="21169" xr:uid="{24826239-DF96-4867-8477-F9A52CEF97C4}"/>
    <cellStyle name="Accent3 - 40% 2 6" xfId="21170" xr:uid="{5B424E16-B9F1-4C7E-8865-0BC1060AFD73}"/>
    <cellStyle name="Accent3 - 40% 2 7" xfId="21171" xr:uid="{607D870E-4567-43B4-B9D1-A1B3EADEC1A2}"/>
    <cellStyle name="Accent3 - 40% 2 8" xfId="21172" xr:uid="{E4D84E6B-D43D-4169-BA39-44081B054F65}"/>
    <cellStyle name="Accent3 - 40% 2 9" xfId="21173" xr:uid="{94E6DF2C-A434-4322-888F-4F307110416B}"/>
    <cellStyle name="Accent3 - 40% 2_动力部" xfId="21174" xr:uid="{A26079B9-E921-4F63-9D51-D947B3CCD52A}"/>
    <cellStyle name="Accent3 - 40% 3" xfId="21175" xr:uid="{F3459854-7337-4000-92D8-51DDC74A16A5}"/>
    <cellStyle name="Accent3 - 40%_11月球团产品成本表" xfId="21176" xr:uid="{D3803F3B-C3B7-4911-9998-175014173F94}"/>
    <cellStyle name="Accent3 - 60%" xfId="21177" xr:uid="{B58B5382-6707-40EB-8FD6-B3C1ACFD6169}"/>
    <cellStyle name="Accent3 - 60% 2" xfId="21178" xr:uid="{9AA6F814-6DEC-40A7-B0E1-9E8689132556}"/>
    <cellStyle name="Accent3 - 60% 2 2" xfId="21179" xr:uid="{8A1F15EC-736C-4777-BFE9-49E88605C0BA}"/>
    <cellStyle name="Accent3 - 60% 2 2 2" xfId="21180" xr:uid="{FF74B349-07FA-4794-A105-3AB400DE572B}"/>
    <cellStyle name="Accent3 - 60% 2 2 3" xfId="21181" xr:uid="{21B4360C-F1B7-425C-ADE5-AABAA305C5B9}"/>
    <cellStyle name="Accent3 - 60% 2 2 4" xfId="21182" xr:uid="{1AC93F57-0724-4A00-BC52-E8E8C0424EA5}"/>
    <cellStyle name="Accent3 - 60% 2 2 5" xfId="21183" xr:uid="{B5872707-2AA5-432B-9F8F-D55B2CC2268B}"/>
    <cellStyle name="Accent3 - 60% 2 2 6" xfId="21184" xr:uid="{0BA7C1DD-8830-41DC-91DD-A41B1572A626}"/>
    <cellStyle name="Accent3 - 60% 2 2 7" xfId="21185" xr:uid="{7C965048-092F-49E5-B328-CD239B884DF5}"/>
    <cellStyle name="Accent3 - 60% 2 2_球团工序" xfId="21186" xr:uid="{C817A01F-A0B4-48E9-95CD-71468953F5BF}"/>
    <cellStyle name="Accent3 - 60% 2 3" xfId="21187" xr:uid="{CD55E9D5-93FF-482B-91F6-0671D5C54F34}"/>
    <cellStyle name="Accent3 - 60% 2 4" xfId="21188" xr:uid="{87DA6694-4CBB-452F-BC3C-1D2F1CCCFB43}"/>
    <cellStyle name="Accent3 - 60% 2 5" xfId="21189" xr:uid="{0AE2322D-6782-42F5-B1A8-26A21A04FCE5}"/>
    <cellStyle name="Accent3 - 60% 2 6" xfId="21190" xr:uid="{66F406E0-6C02-4971-B212-CD1C4AC94505}"/>
    <cellStyle name="Accent3 - 60% 2 7" xfId="21191" xr:uid="{07575780-F3FC-431F-88FF-4982F467EC4D}"/>
    <cellStyle name="Accent3 - 60% 2 8" xfId="21192" xr:uid="{1F44768D-0FD0-42D9-9A8F-3B22F0CCA3A7}"/>
    <cellStyle name="Accent3 - 60% 2 9" xfId="21193" xr:uid="{C2A69D3C-9011-42DA-A874-B506287601C7}"/>
    <cellStyle name="Accent3 - 60% 2_动力部" xfId="21194" xr:uid="{C926C2E5-4854-4CC2-ACF4-82E6982A05C1}"/>
    <cellStyle name="Accent3 - 60% 3" xfId="21195" xr:uid="{E6C6428C-86F7-4500-8EF9-808F3B98E414}"/>
    <cellStyle name="Accent3 - 60%_11月球团产品成本表" xfId="21196" xr:uid="{97016291-BEAA-447B-B357-D788882037D2}"/>
    <cellStyle name="Accent3 2" xfId="10459" xr:uid="{20482556-22EE-4929-BD04-B018F428D72A}"/>
    <cellStyle name="Accent3 2 10" xfId="21197" xr:uid="{68A61F0D-596F-42BB-8F36-4D38ECE1829F}"/>
    <cellStyle name="Accent3 2 2" xfId="10460" xr:uid="{A142E459-07D4-4FE3-A1B6-64C7AF528E55}"/>
    <cellStyle name="Accent3 2 2 2" xfId="21199" xr:uid="{1AE51BE9-66DD-44AB-ADD0-465FF0ED7477}"/>
    <cellStyle name="Accent3 2 2 3" xfId="21200" xr:uid="{73C6BC7A-E62F-404E-BB82-D6FAE9A6E3EB}"/>
    <cellStyle name="Accent3 2 2 4" xfId="21201" xr:uid="{F46FCFE4-092D-4953-B046-F0014D4A6921}"/>
    <cellStyle name="Accent3 2 2 5" xfId="21202" xr:uid="{E85D6E8D-FB1F-405A-A4EB-22C40E16BE83}"/>
    <cellStyle name="Accent3 2 2 6" xfId="21203" xr:uid="{5006BADB-EF6B-4FA4-90B8-A17F0BA93DFA}"/>
    <cellStyle name="Accent3 2 2 7" xfId="21204" xr:uid="{017B02D8-081B-4261-8557-470BB029E5BF}"/>
    <cellStyle name="Accent3 2 2 8" xfId="21198" xr:uid="{DFDC1D45-B812-4FCB-9979-596DF47B6B8D}"/>
    <cellStyle name="Accent3 2 2_球团工序" xfId="21205" xr:uid="{510A1B64-C24C-4421-AB3A-76693570EC40}"/>
    <cellStyle name="Accent3 2 3" xfId="21206" xr:uid="{D38DF298-F845-45F8-87C4-25FA0E0229F9}"/>
    <cellStyle name="Accent3 2 4" xfId="21207" xr:uid="{3A4D69BE-9275-4711-9BC1-02B70BB74087}"/>
    <cellStyle name="Accent3 2 5" xfId="21208" xr:uid="{9D7DCAD4-46A2-4C75-A327-BC59E5B81AD8}"/>
    <cellStyle name="Accent3 2 6" xfId="21209" xr:uid="{1B83AA66-D49B-4127-AD5E-F50D99126553}"/>
    <cellStyle name="Accent3 2 7" xfId="21210" xr:uid="{8FD8448C-3617-4BA4-BEB1-E52C95459F40}"/>
    <cellStyle name="Accent3 2 8" xfId="21211" xr:uid="{96FE6BBA-29B7-4566-B70B-0E23CD787A4D}"/>
    <cellStyle name="Accent3 2 9" xfId="21212" xr:uid="{DC491D2E-3EBA-4B4C-9191-F40802D90D78}"/>
    <cellStyle name="Accent3 2_动力部" xfId="21213" xr:uid="{A17C7B4E-3C17-45F9-8B92-7947CC4303E2}"/>
    <cellStyle name="Accent3 3" xfId="10461" xr:uid="{972570D5-5DC3-47FF-B206-52FD387A091E}"/>
    <cellStyle name="Accent3 3 10" xfId="21214" xr:uid="{CC33047C-71ED-47AF-80E0-3FFD8AAABBD3}"/>
    <cellStyle name="Accent3 3 2" xfId="10462" xr:uid="{344592A9-D1C4-4A2A-ACB0-64BB9139CA77}"/>
    <cellStyle name="Accent3 3 2 2" xfId="21215" xr:uid="{A1951564-AFD1-4BC9-9F7D-6A84496D62CA}"/>
    <cellStyle name="Accent3 3 3" xfId="21216" xr:uid="{C8A6138D-6A83-4193-9FF2-BA3A83794391}"/>
    <cellStyle name="Accent3 3 4" xfId="21217" xr:uid="{677907F9-E17E-4747-A003-5EC8CE7DE28D}"/>
    <cellStyle name="Accent3 3 5" xfId="21218" xr:uid="{9127E3AC-4AB4-4E8A-831F-81ACE0B280EB}"/>
    <cellStyle name="Accent3 3 6" xfId="21219" xr:uid="{056C39C1-6D3C-4D1C-9CA0-53B09232EE5B}"/>
    <cellStyle name="Accent3 3 7" xfId="21220" xr:uid="{E483F07D-1226-4521-931E-6F45EEB02F96}"/>
    <cellStyle name="Accent3 3 8" xfId="21221" xr:uid="{B93E6454-06C7-4C56-8E79-3C7664258E65}"/>
    <cellStyle name="Accent3 3 9" xfId="21222" xr:uid="{826F3CDF-CE20-42A7-B871-2AC56B6725C1}"/>
    <cellStyle name="Accent3 3_球团工序" xfId="21223" xr:uid="{9CECABAA-5D0D-4FA7-B423-5269B7AE72AB}"/>
    <cellStyle name="Accent3 4" xfId="10458" xr:uid="{4442A0CF-42EC-43F9-BD34-B8A502F38E38}"/>
    <cellStyle name="Accent3 4 2" xfId="21225" xr:uid="{8234C284-8363-4B60-8EE3-2C9BF04CC440}"/>
    <cellStyle name="Accent3 4 3" xfId="21226" xr:uid="{5D8B5C99-38D6-4E5D-885B-F244F4BF8339}"/>
    <cellStyle name="Accent3 4 4" xfId="21227" xr:uid="{1A97415D-5563-4DF6-B42C-6C21FC33798F}"/>
    <cellStyle name="Accent3 4 5" xfId="21228" xr:uid="{0A5AF11A-C1F1-4819-B67F-BEE0CC210404}"/>
    <cellStyle name="Accent3 4 6" xfId="21229" xr:uid="{55471D86-70F4-4D95-8BAE-CD6BB23E3105}"/>
    <cellStyle name="Accent3 4 7" xfId="21230" xr:uid="{C18161F6-34B6-496D-A50C-4198AAD1A739}"/>
    <cellStyle name="Accent3 4 8" xfId="21224" xr:uid="{DC20EE3D-DFA8-484A-A3B3-B5675939A5E0}"/>
    <cellStyle name="Accent3 4_球团工序" xfId="21231" xr:uid="{98CDB09B-BE28-4D63-80F2-744B3060A11F}"/>
    <cellStyle name="Accent3 5" xfId="21232" xr:uid="{347FDBE2-2561-4392-923B-B2B1DA377C0F}"/>
    <cellStyle name="Accent3 6" xfId="21233" xr:uid="{8846DD85-44AA-42DF-BE93-2B8CBB5FB29C}"/>
    <cellStyle name="Accent3 7" xfId="21136" xr:uid="{D365D4AF-F781-4DF7-AEF1-FF959C4D5045}"/>
    <cellStyle name="Accent3 8" xfId="27227" xr:uid="{4B901843-1B76-46B9-9E41-FB4A6AB56D18}"/>
    <cellStyle name="Accent3_07月球团产品成本表" xfId="21234" xr:uid="{3F4A5EB0-DC85-4086-BF4B-E0358BBF209A}"/>
    <cellStyle name="Accent4" xfId="5426" xr:uid="{BC350915-8A74-4FF0-B620-A4E75C24A97A}"/>
    <cellStyle name="Accent4 - 20%" xfId="21236" xr:uid="{0E4FBD4F-557A-4AF5-992B-7AF6DBE1E7F6}"/>
    <cellStyle name="Accent4 - 20% 2" xfId="21237" xr:uid="{18BD6696-84F2-4D97-8C58-C2F78B19D737}"/>
    <cellStyle name="Accent4 - 20% 2 2" xfId="21238" xr:uid="{103DB8B5-AA01-4612-9D2E-153049389B10}"/>
    <cellStyle name="Accent4 - 20% 2 2 2" xfId="21239" xr:uid="{072FB49A-512F-42DB-AC68-561DBE86A229}"/>
    <cellStyle name="Accent4 - 20% 2 2 3" xfId="21240" xr:uid="{08C55075-F303-4081-90BB-00CC75C51678}"/>
    <cellStyle name="Accent4 - 20% 2 2 4" xfId="21241" xr:uid="{2F62AD09-AEA0-43B6-9AFB-EF1AACBB41F7}"/>
    <cellStyle name="Accent4 - 20% 2 2 5" xfId="21242" xr:uid="{39F939F0-5E63-46EA-8A76-443D79368657}"/>
    <cellStyle name="Accent4 - 20% 2 2 6" xfId="21243" xr:uid="{536F88B2-25F7-459A-B027-A4D10958DF26}"/>
    <cellStyle name="Accent4 - 20% 2 2 7" xfId="21244" xr:uid="{546F9AC3-7918-47F0-99A5-44028E1DDCDE}"/>
    <cellStyle name="Accent4 - 20% 2 2_球团工序" xfId="21245" xr:uid="{AED36431-E3C4-4407-BD62-1CB86F7DB2E3}"/>
    <cellStyle name="Accent4 - 20% 2 3" xfId="21246" xr:uid="{DEE3099B-8918-42B6-A195-2D828CB5B128}"/>
    <cellStyle name="Accent4 - 20% 2 4" xfId="21247" xr:uid="{512C2D50-7F4D-41BD-A8DC-FB6B79E0D172}"/>
    <cellStyle name="Accent4 - 20% 2 5" xfId="21248" xr:uid="{E12D818D-5918-4315-A29D-085317C0F1CB}"/>
    <cellStyle name="Accent4 - 20% 2 6" xfId="21249" xr:uid="{92BE40D5-A3A1-4E4C-B093-5C4DE7EF64BA}"/>
    <cellStyle name="Accent4 - 20% 2 7" xfId="21250" xr:uid="{5E53B18B-DF08-4F10-A805-C148730D5118}"/>
    <cellStyle name="Accent4 - 20% 2 8" xfId="21251" xr:uid="{CEFCA791-76FA-4DF3-97EA-22624C77F64C}"/>
    <cellStyle name="Accent4 - 20% 2 9" xfId="21252" xr:uid="{3B2CD4F4-4FBB-403D-879A-8855FC7CF9E4}"/>
    <cellStyle name="Accent4 - 20% 2_动力部" xfId="21253" xr:uid="{859EFA93-84A6-4FE9-AE08-B720B9CB3735}"/>
    <cellStyle name="Accent4 - 20% 3" xfId="21254" xr:uid="{74DAEFEF-8D33-4DBE-8497-58A5A2F3F2F0}"/>
    <cellStyle name="Accent4 - 20%_11月球团产品成本表" xfId="21255" xr:uid="{90AC62A0-466B-4892-8DFC-12B297143D8F}"/>
    <cellStyle name="Accent4 - 40%" xfId="21256" xr:uid="{184BA359-F576-481E-B810-CDC69F2C1F18}"/>
    <cellStyle name="Accent4 - 40% 2" xfId="21257" xr:uid="{A9166277-8553-4A4F-887D-7483CA4DFFD5}"/>
    <cellStyle name="Accent4 - 40% 2 2" xfId="21258" xr:uid="{B44B7CE5-A1F3-44F6-81F0-1BED379505BE}"/>
    <cellStyle name="Accent4 - 40% 2 2 2" xfId="21259" xr:uid="{0FE45E91-2542-4EE3-B0DD-A58C9C2B5652}"/>
    <cellStyle name="Accent4 - 40% 2 2 3" xfId="21260" xr:uid="{343E11D4-C57D-4410-BA7A-64A5D787F28B}"/>
    <cellStyle name="Accent4 - 40% 2 2 4" xfId="21261" xr:uid="{196A3ADF-1B04-48F2-AB8F-8A52300E2EFF}"/>
    <cellStyle name="Accent4 - 40% 2 2 5" xfId="21262" xr:uid="{FC733FB4-3A46-48A4-9501-71B5DC2B68B7}"/>
    <cellStyle name="Accent4 - 40% 2 2 6" xfId="21263" xr:uid="{ED125E4D-70E6-41F5-911E-676071C4D762}"/>
    <cellStyle name="Accent4 - 40% 2 2 7" xfId="21264" xr:uid="{A3DCFED0-1EC1-47F6-8270-5C5A6C46EAE0}"/>
    <cellStyle name="Accent4 - 40% 2 2_球团工序" xfId="21265" xr:uid="{9DFC0C7A-48BB-4AB0-AFD5-BEB52E3CFCC2}"/>
    <cellStyle name="Accent4 - 40% 2 3" xfId="21266" xr:uid="{562BA897-8DA5-4C18-9543-5331E363DAF0}"/>
    <cellStyle name="Accent4 - 40% 2 4" xfId="21267" xr:uid="{4CE51BE2-F463-462E-A06D-7160925CDE17}"/>
    <cellStyle name="Accent4 - 40% 2 5" xfId="21268" xr:uid="{90410EE9-5B1B-4BFE-977D-DA7CEC19804E}"/>
    <cellStyle name="Accent4 - 40% 2 6" xfId="21269" xr:uid="{A11BC7F0-A87B-4ACB-9B84-9D2225A04B56}"/>
    <cellStyle name="Accent4 - 40% 2 7" xfId="21270" xr:uid="{D3A4E501-6DAB-4F57-8C61-77F0BDD4B363}"/>
    <cellStyle name="Accent4 - 40% 2 8" xfId="21271" xr:uid="{2B48E5D2-175C-4775-AFC0-404E98D37F16}"/>
    <cellStyle name="Accent4 - 40% 2 9" xfId="21272" xr:uid="{83826F62-1734-4148-9AF2-A0E4F26290CF}"/>
    <cellStyle name="Accent4 - 40% 2_动力部" xfId="21273" xr:uid="{4E9468E0-42D3-44ED-8FFF-27F80F994213}"/>
    <cellStyle name="Accent4 - 40% 3" xfId="21274" xr:uid="{F9784AA5-5A0F-4570-A14E-70917F2D58BC}"/>
    <cellStyle name="Accent4 - 40%_11月球团产品成本表" xfId="21275" xr:uid="{0BD606A3-81EF-433E-9576-D9461867E9EE}"/>
    <cellStyle name="Accent4 - 60%" xfId="21276" xr:uid="{FD650291-364E-4019-942A-6CF6EDC81534}"/>
    <cellStyle name="Accent4 - 60% 2" xfId="21277" xr:uid="{71D351A4-4E70-4C48-ADE1-348670669CB5}"/>
    <cellStyle name="Accent4 - 60% 2 2" xfId="21278" xr:uid="{8C6163F1-FCA6-44D4-8BC2-0BECDDF1CD96}"/>
    <cellStyle name="Accent4 - 60% 2 2 2" xfId="21279" xr:uid="{5B787627-1851-4E18-BB93-69873C9DE53F}"/>
    <cellStyle name="Accent4 - 60% 2 2 3" xfId="21280" xr:uid="{65934F9E-5957-485C-8109-A88DAD53F199}"/>
    <cellStyle name="Accent4 - 60% 2 2 4" xfId="21281" xr:uid="{ACCD2119-ACF1-42BE-815B-C05241C96621}"/>
    <cellStyle name="Accent4 - 60% 2 2 5" xfId="21282" xr:uid="{CA3FFDAE-B0BC-4067-8FB5-AEBFE9FFEC0F}"/>
    <cellStyle name="Accent4 - 60% 2 2 6" xfId="21283" xr:uid="{145CA5CE-F4E2-4391-9C22-9FEC8383E052}"/>
    <cellStyle name="Accent4 - 60% 2 2 7" xfId="21284" xr:uid="{5BA3A14F-4144-4B78-A488-D1A22075E1FE}"/>
    <cellStyle name="Accent4 - 60% 2 2_球团工序" xfId="21285" xr:uid="{1C88D6BC-F338-452B-88B7-EA06B73ED82E}"/>
    <cellStyle name="Accent4 - 60% 2 3" xfId="21286" xr:uid="{1696C091-7106-49B5-9196-9170A666B6F6}"/>
    <cellStyle name="Accent4 - 60% 2 4" xfId="21287" xr:uid="{5EBC256B-F02F-4543-A325-668ADC81A9FB}"/>
    <cellStyle name="Accent4 - 60% 2 5" xfId="21288" xr:uid="{3F583A08-E9B7-413C-84EE-9681EBC3B289}"/>
    <cellStyle name="Accent4 - 60% 2 6" xfId="21289" xr:uid="{674AD661-4AC1-4195-B97B-6C16911AC81C}"/>
    <cellStyle name="Accent4 - 60% 2 7" xfId="21290" xr:uid="{10861163-E501-4C81-A156-A82365D92F81}"/>
    <cellStyle name="Accent4 - 60% 2 8" xfId="21291" xr:uid="{F3A7301D-6B69-4516-8864-1A8141C68283}"/>
    <cellStyle name="Accent4 - 60% 2 9" xfId="21292" xr:uid="{482F75F5-D5ED-4668-9799-AF3F2F5D55C6}"/>
    <cellStyle name="Accent4 - 60% 2_动力部" xfId="21293" xr:uid="{445E5FEA-01C2-4FF9-B85F-19C9BE2F18CA}"/>
    <cellStyle name="Accent4 - 60% 3" xfId="21294" xr:uid="{CEC50CD8-9468-47F2-AB2B-D94C176A68AB}"/>
    <cellStyle name="Accent4 - 60%_11月球团产品成本表" xfId="21295" xr:uid="{F99CB770-B27B-4066-9B77-693603132499}"/>
    <cellStyle name="Accent4 2" xfId="10464" xr:uid="{14891439-3292-4AD2-BEB2-160704B3AC8A}"/>
    <cellStyle name="Accent4 2 10" xfId="21296" xr:uid="{75CFF7A3-8F93-411B-9401-D6E50FB33C6D}"/>
    <cellStyle name="Accent4 2 2" xfId="10465" xr:uid="{5CBEB171-168D-4929-8A92-50595A4D537E}"/>
    <cellStyle name="Accent4 2 2 2" xfId="21298" xr:uid="{96C14DFB-2E7C-4598-8185-59951DCB8781}"/>
    <cellStyle name="Accent4 2 2 3" xfId="21299" xr:uid="{24C50710-C31F-44C4-9847-6411BA25205E}"/>
    <cellStyle name="Accent4 2 2 4" xfId="21300" xr:uid="{25A108F7-A18E-4CA4-905A-709BA33D61AA}"/>
    <cellStyle name="Accent4 2 2 5" xfId="21301" xr:uid="{677AA8FC-A821-4077-B5DE-DA18B54251A8}"/>
    <cellStyle name="Accent4 2 2 6" xfId="21302" xr:uid="{A6FE724E-3214-4035-A9F8-DA28EF35F8A1}"/>
    <cellStyle name="Accent4 2 2 7" xfId="21303" xr:uid="{CF8CFF4E-C312-43A1-B895-E4812CE581A1}"/>
    <cellStyle name="Accent4 2 2 8" xfId="21297" xr:uid="{9435E23D-4427-441C-8C97-EED3C23C7A82}"/>
    <cellStyle name="Accent4 2 2_球团工序" xfId="21304" xr:uid="{3B007806-E2B5-46A3-949F-5C3F23BD70FC}"/>
    <cellStyle name="Accent4 2 3" xfId="21305" xr:uid="{123EBD8E-139B-4DC6-8EB9-C7996480C1F2}"/>
    <cellStyle name="Accent4 2 4" xfId="21306" xr:uid="{7C260C2A-2A0A-4781-A444-ACDD9ABD19A5}"/>
    <cellStyle name="Accent4 2 5" xfId="21307" xr:uid="{76E6BDFF-EFA4-43C3-B0E7-3E6AC289E18B}"/>
    <cellStyle name="Accent4 2 6" xfId="21308" xr:uid="{F77D889A-FF65-4C78-94C3-B2C6C9AC5407}"/>
    <cellStyle name="Accent4 2 7" xfId="21309" xr:uid="{B135A0BB-8C3C-4BEF-9981-B29D8877776F}"/>
    <cellStyle name="Accent4 2 8" xfId="21310" xr:uid="{8287DAD3-EDAF-46E7-A205-EA9B594510CA}"/>
    <cellStyle name="Accent4 2 9" xfId="21311" xr:uid="{A8E6B9B0-53B1-440B-9710-D6391723F981}"/>
    <cellStyle name="Accent4 2_动力部" xfId="21312" xr:uid="{5D94B687-3D17-40B9-BE57-7CBAE28B1DBA}"/>
    <cellStyle name="Accent4 3" xfId="10466" xr:uid="{C7591CEB-5C70-47AD-95D6-B07B7D60D417}"/>
    <cellStyle name="Accent4 3 10" xfId="21313" xr:uid="{6254D183-3105-46CF-A5C0-0324347EC465}"/>
    <cellStyle name="Accent4 3 2" xfId="10467" xr:uid="{FC345BF2-BB41-4237-A88A-384D48B563D5}"/>
    <cellStyle name="Accent4 3 2 2" xfId="21314" xr:uid="{74CEEAE3-4928-4F6A-8290-633E5815032A}"/>
    <cellStyle name="Accent4 3 3" xfId="21315" xr:uid="{81C0AAFA-AF66-4630-B61C-3814022D7592}"/>
    <cellStyle name="Accent4 3 4" xfId="21316" xr:uid="{868FDD6D-B553-4A88-AD9C-BB9D07F67195}"/>
    <cellStyle name="Accent4 3 5" xfId="21317" xr:uid="{41A36587-9C17-463B-B6C0-B89D2015C278}"/>
    <cellStyle name="Accent4 3 6" xfId="21318" xr:uid="{2617643C-A768-4A12-9D8A-D5ED648DE7CE}"/>
    <cellStyle name="Accent4 3 7" xfId="21319" xr:uid="{70D6B375-D6C8-4E10-8278-56AF12EF1117}"/>
    <cellStyle name="Accent4 3 8" xfId="21320" xr:uid="{8CDED43D-50E2-4FCA-B4C6-3FF4B22FFA75}"/>
    <cellStyle name="Accent4 3 9" xfId="21321" xr:uid="{3032B8F5-DA10-46C2-8821-F3EA95903403}"/>
    <cellStyle name="Accent4 3_球团工序" xfId="21322" xr:uid="{3D6D7568-9879-4A27-A600-4EF85A64099B}"/>
    <cellStyle name="Accent4 4" xfId="10463" xr:uid="{FD9A987A-77D2-4C06-A713-1D7FCBD4F1EA}"/>
    <cellStyle name="Accent4 4 2" xfId="21324" xr:uid="{DBC85125-3A7D-45B5-BEBA-208AE4FAC205}"/>
    <cellStyle name="Accent4 4 3" xfId="21325" xr:uid="{906E2941-6FEC-475E-9FC7-DD3B5827DD40}"/>
    <cellStyle name="Accent4 4 4" xfId="21326" xr:uid="{38BC3294-F5E9-4DD0-A634-6E1A70AB06CC}"/>
    <cellStyle name="Accent4 4 5" xfId="21327" xr:uid="{110F6099-494F-4D45-9B76-BDC27CC77F92}"/>
    <cellStyle name="Accent4 4 6" xfId="21328" xr:uid="{6AB930CB-A3E0-43C8-A997-A56E98331177}"/>
    <cellStyle name="Accent4 4 7" xfId="21329" xr:uid="{3F1B04B4-D29A-44D8-AD11-FFD997E52200}"/>
    <cellStyle name="Accent4 4 8" xfId="21323" xr:uid="{721C96C0-31CD-4E40-B8D0-2591FB133BAC}"/>
    <cellStyle name="Accent4 4_球团工序" xfId="21330" xr:uid="{A54037C8-7493-47CE-BA4A-B840CE171636}"/>
    <cellStyle name="Accent4 5" xfId="21331" xr:uid="{F307A2E1-50F7-44F1-9595-E48C185BCB13}"/>
    <cellStyle name="Accent4 6" xfId="21332" xr:uid="{9550DEC4-6E8F-4961-B4FF-8604348A796F}"/>
    <cellStyle name="Accent4 7" xfId="21235" xr:uid="{C528C370-53AE-44A3-9D52-A9F7326A13E1}"/>
    <cellStyle name="Accent4 8" xfId="27228" xr:uid="{F46D239E-2D1C-4146-8934-67CBCC8AF41E}"/>
    <cellStyle name="Accent4_07月球团产品成本表" xfId="21333" xr:uid="{EBE97F66-6B5D-422A-88EA-7537D0426AD1}"/>
    <cellStyle name="Accent5" xfId="5427" xr:uid="{3B7D0FF4-E24D-4DF4-BD61-C7947A5166BC}"/>
    <cellStyle name="Accent5 - 20%" xfId="21335" xr:uid="{39D3E6E2-3BAA-47DF-BFF4-0BC1D4A18DF9}"/>
    <cellStyle name="Accent5 - 20% 2" xfId="21336" xr:uid="{D8BF5604-D711-4C02-A419-3D782D4872DC}"/>
    <cellStyle name="Accent5 - 20% 2 2" xfId="21337" xr:uid="{EE3EB384-4C71-495A-9933-FF9FE9C67B26}"/>
    <cellStyle name="Accent5 - 20% 2 2 2" xfId="21338" xr:uid="{05D80FE2-7EFD-4FB2-A562-E78361D36632}"/>
    <cellStyle name="Accent5 - 20% 2 2 3" xfId="21339" xr:uid="{75591689-56D5-4BB7-A30C-F9B87AE417D5}"/>
    <cellStyle name="Accent5 - 20% 2 2 4" xfId="21340" xr:uid="{64AE79B8-0EBC-4D95-9DCF-FB683633BCC4}"/>
    <cellStyle name="Accent5 - 20% 2 2 5" xfId="21341" xr:uid="{9113BA77-7916-4CC3-AD37-5E2B1B544BF3}"/>
    <cellStyle name="Accent5 - 20% 2 2 6" xfId="21342" xr:uid="{3CE97A28-C481-4EB2-976A-4AB70D8EDDB2}"/>
    <cellStyle name="Accent5 - 20% 2 2 7" xfId="21343" xr:uid="{D02D005B-E413-4262-9068-F4C41BB85640}"/>
    <cellStyle name="Accent5 - 20% 2 2_球团工序" xfId="21344" xr:uid="{A6E5E2BB-FB68-4471-BDC4-6A9DB76C7880}"/>
    <cellStyle name="Accent5 - 20% 2 3" xfId="21345" xr:uid="{A88C260A-A7D5-46EC-A33C-3AA4333625B7}"/>
    <cellStyle name="Accent5 - 20% 2 4" xfId="21346" xr:uid="{84064CE2-5088-44CA-9B65-530822A3A313}"/>
    <cellStyle name="Accent5 - 20% 2 5" xfId="21347" xr:uid="{2BC304E2-6F20-4607-8F0F-FB09B82B7746}"/>
    <cellStyle name="Accent5 - 20% 2 6" xfId="21348" xr:uid="{75E65DCD-97DD-405A-BBDB-879D77B821C6}"/>
    <cellStyle name="Accent5 - 20% 2 7" xfId="21349" xr:uid="{0FDB06B1-E15C-474F-9CF9-653D733876D2}"/>
    <cellStyle name="Accent5 - 20% 2 8" xfId="21350" xr:uid="{13C70F70-97B2-49E4-BF6E-747664E59AEA}"/>
    <cellStyle name="Accent5 - 20% 2 9" xfId="21351" xr:uid="{5310C05D-0231-4C87-B9A1-86FAB68423B9}"/>
    <cellStyle name="Accent5 - 20% 2_动力部" xfId="21352" xr:uid="{4DBDAEC6-2D43-4A45-B713-762D1BD89365}"/>
    <cellStyle name="Accent5 - 20% 3" xfId="21353" xr:uid="{C2F4A1D5-4441-490F-A0C0-B704AA15E11E}"/>
    <cellStyle name="Accent5 - 20%_11月球团产品成本表" xfId="21354" xr:uid="{60360BFB-DFCC-4E70-980F-9D2C7B772959}"/>
    <cellStyle name="Accent5 - 40%" xfId="21355" xr:uid="{1041CB57-0BF3-4B21-91BD-DADAA3DCFF1C}"/>
    <cellStyle name="Accent5 - 40% 2" xfId="21356" xr:uid="{8C20EA27-D77D-473F-848B-EC2B30585D03}"/>
    <cellStyle name="Accent5 - 40% 2 2" xfId="21357" xr:uid="{6DA0AACF-5849-4AA1-A507-7EC9A2161E9B}"/>
    <cellStyle name="Accent5 - 40% 2 2 2" xfId="21358" xr:uid="{EEA3EBC2-8CF2-4BA0-98D9-96FEC1535517}"/>
    <cellStyle name="Accent5 - 40% 2 2 3" xfId="21359" xr:uid="{51C20456-FEAC-4E21-915A-4D8D84E17000}"/>
    <cellStyle name="Accent5 - 40% 2 2 4" xfId="21360" xr:uid="{A3A16665-213E-4D92-8F66-20C1198357AD}"/>
    <cellStyle name="Accent5 - 40% 2 2 5" xfId="21361" xr:uid="{57C03129-D0B6-48F9-A8F1-4F09BFF63FCA}"/>
    <cellStyle name="Accent5 - 40% 2 2 6" xfId="21362" xr:uid="{1D44C6EA-6A03-4144-B728-9EF4149690C8}"/>
    <cellStyle name="Accent5 - 40% 2 2 7" xfId="21363" xr:uid="{CE7D0ADC-4BBD-4BD0-AA08-0AB1BBB12939}"/>
    <cellStyle name="Accent5 - 40% 2 2_球团工序" xfId="21364" xr:uid="{64828F5D-1C1F-41DA-8601-DE3B29572DE7}"/>
    <cellStyle name="Accent5 - 40% 2 3" xfId="21365" xr:uid="{F0DF7FE2-EDB8-4861-B4AD-6F57E1D4FDF3}"/>
    <cellStyle name="Accent5 - 40% 2 4" xfId="21366" xr:uid="{54EC17FB-F051-4648-8B83-F8735A21FD8E}"/>
    <cellStyle name="Accent5 - 40% 2 5" xfId="21367" xr:uid="{D7B8D565-5B4B-4C7A-B142-A4925BC61D81}"/>
    <cellStyle name="Accent5 - 40% 2 6" xfId="21368" xr:uid="{4EA0E981-CE84-4AF4-9217-D5B468FE3C60}"/>
    <cellStyle name="Accent5 - 40% 2 7" xfId="21369" xr:uid="{50EFB061-A510-4986-8C23-65665A4B2C48}"/>
    <cellStyle name="Accent5 - 40% 2 8" xfId="21370" xr:uid="{8EBD90D0-9264-4319-B18F-25C8444237B9}"/>
    <cellStyle name="Accent5 - 40% 2 9" xfId="21371" xr:uid="{8238CB98-F600-4CD1-AF95-ABE3B6EB9B1F}"/>
    <cellStyle name="Accent5 - 40% 2_动力部" xfId="21372" xr:uid="{91A6DB1A-C506-4FE8-B897-09A617647AE6}"/>
    <cellStyle name="Accent5 - 40% 3" xfId="21373" xr:uid="{14B4335D-A3C6-42E8-8745-6EBAD5CD1849}"/>
    <cellStyle name="Accent5 - 40%_11月球团产品成本表" xfId="21374" xr:uid="{D3A54437-A5AF-428F-A4D7-2480A3450D66}"/>
    <cellStyle name="Accent5 - 60%" xfId="21375" xr:uid="{56E40F47-9F70-47A1-904F-85F13318AD3A}"/>
    <cellStyle name="Accent5 - 60% 2" xfId="21376" xr:uid="{4D895775-A417-45C7-AF30-A8376BF88A70}"/>
    <cellStyle name="Accent5 - 60% 2 2" xfId="21377" xr:uid="{DA3EA0C7-4E83-4654-9C77-8F0ACABA7BB8}"/>
    <cellStyle name="Accent5 - 60% 2 2 2" xfId="21378" xr:uid="{3E9AA783-39DD-49B9-93C9-81B972424E33}"/>
    <cellStyle name="Accent5 - 60% 2 2 3" xfId="21379" xr:uid="{200A6F34-8293-4087-8422-0104451281B3}"/>
    <cellStyle name="Accent5 - 60% 2 2 4" xfId="21380" xr:uid="{9806CFA7-3EBB-4D7D-AAB2-ED78F834DDC4}"/>
    <cellStyle name="Accent5 - 60% 2 2 5" xfId="21381" xr:uid="{89F903B2-5D92-45A0-BCF1-BEB815251CA1}"/>
    <cellStyle name="Accent5 - 60% 2 2 6" xfId="21382" xr:uid="{75D0F7E9-2F9E-4A0C-966D-34524A9CB2B3}"/>
    <cellStyle name="Accent5 - 60% 2 2 7" xfId="21383" xr:uid="{D47F38F4-6503-4760-A101-BB7753F8F00F}"/>
    <cellStyle name="Accent5 - 60% 2 2_球团工序" xfId="21384" xr:uid="{F1A6F462-21BE-413B-AC49-D637E05E34C1}"/>
    <cellStyle name="Accent5 - 60% 2 3" xfId="21385" xr:uid="{04B3CA49-58AB-4DBA-993A-5B1392F00E75}"/>
    <cellStyle name="Accent5 - 60% 2 4" xfId="21386" xr:uid="{6BFDEF33-3E56-4FEC-8F01-A779425B66CB}"/>
    <cellStyle name="Accent5 - 60% 2 5" xfId="21387" xr:uid="{7536C2D6-6614-4637-BCFE-84E46AD6E785}"/>
    <cellStyle name="Accent5 - 60% 2 6" xfId="21388" xr:uid="{BDECA9E7-6859-45EB-93B5-E1254442690D}"/>
    <cellStyle name="Accent5 - 60% 2 7" xfId="21389" xr:uid="{58D4DBC0-17E8-4C78-89CA-035A3E75609F}"/>
    <cellStyle name="Accent5 - 60% 2 8" xfId="21390" xr:uid="{73BA6717-D185-4C02-A196-EF5B389BA403}"/>
    <cellStyle name="Accent5 - 60% 2 9" xfId="21391" xr:uid="{BF4B7D78-EBA8-4A73-9BB0-3B62F2092FE1}"/>
    <cellStyle name="Accent5 - 60% 2_动力部" xfId="21392" xr:uid="{A7E5CCB8-198F-422C-9A42-264B1E1CA604}"/>
    <cellStyle name="Accent5 - 60% 3" xfId="21393" xr:uid="{58C1E691-67D6-4709-8C7C-DFDE239E2F8B}"/>
    <cellStyle name="Accent5 - 60%_11月球团产品成本表" xfId="21394" xr:uid="{92AC12AC-225E-480B-9A11-CA581EB1E82D}"/>
    <cellStyle name="Accent5 2" xfId="10469" xr:uid="{345AB67D-B457-472C-A13F-293039B32093}"/>
    <cellStyle name="Accent5 2 10" xfId="21395" xr:uid="{1B0D7777-2BD8-4460-91EA-FD28FC28A8C6}"/>
    <cellStyle name="Accent5 2 2" xfId="10470" xr:uid="{C47C1D6B-8F1D-49B5-A326-B358C5DD603C}"/>
    <cellStyle name="Accent5 2 2 2" xfId="21397" xr:uid="{0B0D0C35-210A-4647-9003-497DF5207E3B}"/>
    <cellStyle name="Accent5 2 2 3" xfId="21398" xr:uid="{2423F04F-56F5-47F8-8AF0-09FC8F38A96E}"/>
    <cellStyle name="Accent5 2 2 4" xfId="21399" xr:uid="{3328CF4A-B456-46A8-A022-468EEDE1D223}"/>
    <cellStyle name="Accent5 2 2 5" xfId="21400" xr:uid="{1F9B2C21-FDFE-44D5-9D59-F88E0DFA1EDB}"/>
    <cellStyle name="Accent5 2 2 6" xfId="21401" xr:uid="{B25D720F-4E99-48C6-8B3A-050B32439A01}"/>
    <cellStyle name="Accent5 2 2 7" xfId="21402" xr:uid="{A06A797B-EAEE-4276-9296-F44D6900D15E}"/>
    <cellStyle name="Accent5 2 2 8" xfId="21396" xr:uid="{9D759EED-E9EB-43C8-AE63-591C75813143}"/>
    <cellStyle name="Accent5 2 2_球团工序" xfId="21403" xr:uid="{5E32797A-AA41-498F-82A9-AB56DD4C79B9}"/>
    <cellStyle name="Accent5 2 3" xfId="21404" xr:uid="{867655B9-0F95-473B-B730-E4E63C18289B}"/>
    <cellStyle name="Accent5 2 4" xfId="21405" xr:uid="{884A7BC2-29C7-4CB4-A07E-1B1484A47FA9}"/>
    <cellStyle name="Accent5 2 5" xfId="21406" xr:uid="{6E60FCD2-239F-443D-9602-1859B13FA3C1}"/>
    <cellStyle name="Accent5 2 6" xfId="21407" xr:uid="{0C779A2B-FFBB-4C73-BF31-12C82FA23F94}"/>
    <cellStyle name="Accent5 2 7" xfId="21408" xr:uid="{366062C3-CCFD-4C8A-8813-20543EB7DAF6}"/>
    <cellStyle name="Accent5 2 8" xfId="21409" xr:uid="{3EAB7DDB-AB07-4962-A255-1C0F68E559AE}"/>
    <cellStyle name="Accent5 2 9" xfId="21410" xr:uid="{D812D912-176E-4B94-B389-4B93A5A69CB4}"/>
    <cellStyle name="Accent5 2_动力部" xfId="21411" xr:uid="{BD96BF94-B435-4FD3-8674-5BC245CC1A61}"/>
    <cellStyle name="Accent5 3" xfId="10471" xr:uid="{B0B2867C-2C78-48D3-8739-52A6FAED8D08}"/>
    <cellStyle name="Accent5 3 10" xfId="21412" xr:uid="{5528E9BC-FBF3-4D23-B7EF-5FF4DE9CCB3A}"/>
    <cellStyle name="Accent5 3 2" xfId="10472" xr:uid="{BC2109ED-B611-4C44-B7A8-A7922DFF15D2}"/>
    <cellStyle name="Accent5 3 2 2" xfId="21413" xr:uid="{05AF48F2-2DA2-4697-A5BB-2A59551E9AD3}"/>
    <cellStyle name="Accent5 3 3" xfId="21414" xr:uid="{176579E7-4183-4562-9E39-4A62AB0EF29E}"/>
    <cellStyle name="Accent5 3 4" xfId="21415" xr:uid="{6C6B56DA-59AA-4032-B8AD-74F6C23EFBF4}"/>
    <cellStyle name="Accent5 3 5" xfId="21416" xr:uid="{F600F338-4F17-4376-9F31-F37067E528C6}"/>
    <cellStyle name="Accent5 3 6" xfId="21417" xr:uid="{B8B79B51-5025-41F0-B927-749405D195F9}"/>
    <cellStyle name="Accent5 3 7" xfId="21418" xr:uid="{75FF8FDF-4C99-4942-8A06-42386322714B}"/>
    <cellStyle name="Accent5 3 8" xfId="21419" xr:uid="{C746596E-8B38-4770-A1A1-A853CFC1F18E}"/>
    <cellStyle name="Accent5 3 9" xfId="21420" xr:uid="{659F22EA-F202-4348-832A-8DFEB8B47DEC}"/>
    <cellStyle name="Accent5 3_球团工序" xfId="21421" xr:uid="{1F0E979B-8024-4F1F-9835-D6DD756C9A5F}"/>
    <cellStyle name="Accent5 4" xfId="10468" xr:uid="{C3AE10D9-DF0F-4104-854B-7BA6D522FA94}"/>
    <cellStyle name="Accent5 4 2" xfId="21423" xr:uid="{1B0E9742-C5F2-4C32-841B-62E0F21BABA8}"/>
    <cellStyle name="Accent5 4 3" xfId="21424" xr:uid="{73E86781-249B-4CDF-8E03-4487A49A69B0}"/>
    <cellStyle name="Accent5 4 4" xfId="21425" xr:uid="{A938986F-DDEB-4378-A7D9-AC0B5FFB7039}"/>
    <cellStyle name="Accent5 4 5" xfId="21426" xr:uid="{D9221696-6FE1-4E20-B55E-C823B88DBA02}"/>
    <cellStyle name="Accent5 4 6" xfId="21427" xr:uid="{783BB8AA-89FF-4DCB-A9FE-26AACB2381CA}"/>
    <cellStyle name="Accent5 4 7" xfId="21428" xr:uid="{A2ED238D-3447-4D33-9314-369C114E787B}"/>
    <cellStyle name="Accent5 4 8" xfId="21422" xr:uid="{2134F0DE-8F1E-481D-BDE3-4887CB27B203}"/>
    <cellStyle name="Accent5 4_球团工序" xfId="21429" xr:uid="{EF722372-7C65-43E2-9D56-A242EC66B4AE}"/>
    <cellStyle name="Accent5 5" xfId="21430" xr:uid="{77BD59F0-72C4-4D2B-A8DC-DA9EA49F3016}"/>
    <cellStyle name="Accent5 6" xfId="21431" xr:uid="{6A52F5E6-0CB7-45C4-95D8-A1A4887A2A80}"/>
    <cellStyle name="Accent5 7" xfId="21334" xr:uid="{74B11CCA-F91E-402E-A518-3BD56BE9E941}"/>
    <cellStyle name="Accent5 8" xfId="27229" xr:uid="{6305A6BA-D840-4D39-BEA8-8489CDE4A96E}"/>
    <cellStyle name="Accent5_07月球团产品成本表" xfId="21432" xr:uid="{8442BA11-C3CC-4323-91F8-AAC14AAE77E7}"/>
    <cellStyle name="Accent6" xfId="5428" xr:uid="{BE6B9EB5-CB1B-4492-9DAE-F477EC9E9F51}"/>
    <cellStyle name="Accent6 - 20%" xfId="21434" xr:uid="{259479DD-E478-4398-9490-E54A771A5331}"/>
    <cellStyle name="Accent6 - 20% 2" xfId="21435" xr:uid="{232BD5B5-74CB-4264-B10B-86F38F1CD08F}"/>
    <cellStyle name="Accent6 - 20% 2 2" xfId="21436" xr:uid="{A32C1B96-3960-4B6E-B42A-8F54011957E1}"/>
    <cellStyle name="Accent6 - 20% 2 2 2" xfId="21437" xr:uid="{F71A308C-2876-4C1B-8A2D-35B663DBE917}"/>
    <cellStyle name="Accent6 - 20% 2 2 3" xfId="21438" xr:uid="{85FE3E16-DB62-4356-843F-37E143E77B70}"/>
    <cellStyle name="Accent6 - 20% 2 2 4" xfId="21439" xr:uid="{27CE1E85-1EF5-44E4-AC6A-CF52F554605D}"/>
    <cellStyle name="Accent6 - 20% 2 2 5" xfId="21440" xr:uid="{FD3F5FA7-6884-4BD2-976B-0B115E75BD79}"/>
    <cellStyle name="Accent6 - 20% 2 2 6" xfId="21441" xr:uid="{7061A9D0-E3EE-41B3-9589-F44F67214DFE}"/>
    <cellStyle name="Accent6 - 20% 2 2 7" xfId="21442" xr:uid="{87E7224D-343B-4B61-9EE7-C44614CE5AD0}"/>
    <cellStyle name="Accent6 - 20% 2 2_球团工序" xfId="21443" xr:uid="{F945A1BD-668E-4549-8DC8-42F8A1065F41}"/>
    <cellStyle name="Accent6 - 20% 2 3" xfId="21444" xr:uid="{BA4DC614-B81C-4103-87F7-74487DEF69C4}"/>
    <cellStyle name="Accent6 - 20% 2 4" xfId="21445" xr:uid="{4BE3DB20-A570-4516-9DD1-433D9B3B4903}"/>
    <cellStyle name="Accent6 - 20% 2 5" xfId="21446" xr:uid="{3DCEE2F4-1024-41DF-B25B-40C0474DA712}"/>
    <cellStyle name="Accent6 - 20% 2 6" xfId="21447" xr:uid="{2BEA528C-4F2F-461B-BD2A-1F931198568E}"/>
    <cellStyle name="Accent6 - 20% 2 7" xfId="21448" xr:uid="{4199D13F-4535-4212-B000-F212D7BF2A53}"/>
    <cellStyle name="Accent6 - 20% 2 8" xfId="21449" xr:uid="{B382F0EF-FEB9-4C66-836A-A097F693682E}"/>
    <cellStyle name="Accent6 - 20% 2 9" xfId="21450" xr:uid="{B0E413D1-B6E4-4B28-943D-7C61E426CF28}"/>
    <cellStyle name="Accent6 - 20% 2_动力部" xfId="21451" xr:uid="{1BB01751-85C5-4107-BCC1-BC0F381B129C}"/>
    <cellStyle name="Accent6 - 20% 3" xfId="21452" xr:uid="{EA56AB18-901E-4CC1-8085-2D6227EAFD63}"/>
    <cellStyle name="Accent6 - 20%_11月球团产品成本表" xfId="21453" xr:uid="{A5CDB0D4-6636-4965-B388-85E085F65C83}"/>
    <cellStyle name="Accent6 - 40%" xfId="21454" xr:uid="{67D4B9F9-B42A-43FD-87D7-19696B8FCA83}"/>
    <cellStyle name="Accent6 - 40% 2" xfId="21455" xr:uid="{7584BA45-E5C4-4DFF-8C13-0CF7BCEFD78F}"/>
    <cellStyle name="Accent6 - 40% 2 2" xfId="21456" xr:uid="{57BCD92D-1B24-4256-A911-69B8FC0F0EC2}"/>
    <cellStyle name="Accent6 - 40% 2 2 2" xfId="21457" xr:uid="{95B8A48B-226F-4343-AA1B-4B89AA115C3F}"/>
    <cellStyle name="Accent6 - 40% 2 2 3" xfId="21458" xr:uid="{31A0ED57-0855-4EC7-87FC-A4D5B1EFA59D}"/>
    <cellStyle name="Accent6 - 40% 2 2 4" xfId="21459" xr:uid="{57C199C0-66BF-417B-AD00-60C8BC9EEE19}"/>
    <cellStyle name="Accent6 - 40% 2 2 5" xfId="21460" xr:uid="{D1363F8B-D239-4DBA-B01F-E7C63B765ADC}"/>
    <cellStyle name="Accent6 - 40% 2 2 6" xfId="21461" xr:uid="{52165DCE-64D8-4E9B-8CA4-2A74D7134345}"/>
    <cellStyle name="Accent6 - 40% 2 2 7" xfId="21462" xr:uid="{5F292B11-1A01-4A63-AFCA-877AD903051D}"/>
    <cellStyle name="Accent6 - 40% 2 2_球团工序" xfId="21463" xr:uid="{988F40B8-A481-43EC-9114-5FE589E759C3}"/>
    <cellStyle name="Accent6 - 40% 2 3" xfId="21464" xr:uid="{1C31D3B1-EA64-4B30-A5E3-E62568944457}"/>
    <cellStyle name="Accent6 - 40% 2 4" xfId="21465" xr:uid="{7F183A7A-A3F4-4F71-8554-970760FC3CB6}"/>
    <cellStyle name="Accent6 - 40% 2 5" xfId="21466" xr:uid="{78F6A524-76FA-468C-97AC-DBF37E86E61F}"/>
    <cellStyle name="Accent6 - 40% 2 6" xfId="21467" xr:uid="{C61B079D-27CE-4AD5-A850-A288A205179F}"/>
    <cellStyle name="Accent6 - 40% 2 7" xfId="21468" xr:uid="{ED50352E-254E-418A-B220-75DCD54BA1B3}"/>
    <cellStyle name="Accent6 - 40% 2 8" xfId="21469" xr:uid="{91FB5C7C-6660-4960-811B-E6CF0A3505D1}"/>
    <cellStyle name="Accent6 - 40% 2 9" xfId="21470" xr:uid="{A5A53F6E-522C-4B24-AAFC-7D565C95F51B}"/>
    <cellStyle name="Accent6 - 40% 2_动力部" xfId="21471" xr:uid="{AED5A120-A915-4D07-8D0F-460DF5615AAC}"/>
    <cellStyle name="Accent6 - 40% 3" xfId="21472" xr:uid="{FA6A263A-83E7-4D04-9A13-B3A656CFEC11}"/>
    <cellStyle name="Accent6 - 40%_11月球团产品成本表" xfId="21473" xr:uid="{F0E2BF55-313D-498E-910C-C1F74856A41C}"/>
    <cellStyle name="Accent6 - 60%" xfId="21474" xr:uid="{AC3049C9-470D-4F0C-9ED9-2C6C3014085D}"/>
    <cellStyle name="Accent6 - 60% 2" xfId="21475" xr:uid="{8AD3A8EA-5838-4624-969D-2B9EF3A8BF26}"/>
    <cellStyle name="Accent6 - 60% 2 2" xfId="21476" xr:uid="{BA677B80-173B-47B9-8898-6FFC8D18512A}"/>
    <cellStyle name="Accent6 - 60% 2 2 2" xfId="21477" xr:uid="{7F08E418-D903-4BB7-9B6B-329A705B52E0}"/>
    <cellStyle name="Accent6 - 60% 2 2 3" xfId="21478" xr:uid="{F49B249D-7505-4DF6-8300-89D208321561}"/>
    <cellStyle name="Accent6 - 60% 2 2 4" xfId="21479" xr:uid="{07478373-0C44-4617-872F-FE0085ADE688}"/>
    <cellStyle name="Accent6 - 60% 2 2 5" xfId="21480" xr:uid="{62F99871-67F1-4149-A3DE-5ED19624B12A}"/>
    <cellStyle name="Accent6 - 60% 2 2 6" xfId="21481" xr:uid="{2D60FCDC-710E-47D7-B2AD-EDEBA4A5F21A}"/>
    <cellStyle name="Accent6 - 60% 2 2 7" xfId="21482" xr:uid="{405CDA27-EE2C-4997-909E-209C5CA6073C}"/>
    <cellStyle name="Accent6 - 60% 2 2_球团工序" xfId="21483" xr:uid="{0FEEFE4A-A19C-48BC-8E7E-04E036E198EF}"/>
    <cellStyle name="Accent6 - 60% 2 3" xfId="21484" xr:uid="{03AF54A5-9179-44FC-9FD2-E4BDA3405F84}"/>
    <cellStyle name="Accent6 - 60% 2 4" xfId="21485" xr:uid="{1D69BFFD-7520-4C4C-B381-94EAB997747F}"/>
    <cellStyle name="Accent6 - 60% 2 5" xfId="21486" xr:uid="{4469BDE5-6AEA-42A7-BCD0-09D2BF3ED89F}"/>
    <cellStyle name="Accent6 - 60% 2 6" xfId="21487" xr:uid="{FD9E4155-ED2D-4F26-BCB5-CC16FA7846BD}"/>
    <cellStyle name="Accent6 - 60% 2 7" xfId="21488" xr:uid="{E70C66B5-6E9A-439A-87CA-2E44654589F5}"/>
    <cellStyle name="Accent6 - 60% 2 8" xfId="21489" xr:uid="{B1024761-1635-46B5-A48D-A60F6D2FFE7B}"/>
    <cellStyle name="Accent6 - 60% 2 9" xfId="21490" xr:uid="{77A36C24-81DA-42DE-8770-5459441F363F}"/>
    <cellStyle name="Accent6 - 60% 2_动力部" xfId="21491" xr:uid="{2EA4CAE3-A677-4897-819A-C1E2C0D99783}"/>
    <cellStyle name="Accent6 - 60% 3" xfId="21492" xr:uid="{8F338CA0-D49C-44D6-A8E4-9A3576D8F468}"/>
    <cellStyle name="Accent6 - 60%_11月球团产品成本表" xfId="21493" xr:uid="{AA285406-AC63-43FB-B463-CC41B68BBDBC}"/>
    <cellStyle name="Accent6 2" xfId="10474" xr:uid="{A7BFF9C9-3C8B-408A-B6B4-CDB99E724733}"/>
    <cellStyle name="Accent6 2 10" xfId="21494" xr:uid="{46D18F51-51A1-4BC0-B2AD-548062211188}"/>
    <cellStyle name="Accent6 2 2" xfId="10475" xr:uid="{8FDE6E10-A432-49E7-BD2A-D94F024220F9}"/>
    <cellStyle name="Accent6 2 2 2" xfId="21496" xr:uid="{27FCBA62-273D-4920-B51C-E22451D5B123}"/>
    <cellStyle name="Accent6 2 2 3" xfId="21497" xr:uid="{675335FB-8E16-436C-8380-3FDC8C23742E}"/>
    <cellStyle name="Accent6 2 2 4" xfId="21498" xr:uid="{AC523BFF-3CB0-40F6-BBD3-2D89450CEA54}"/>
    <cellStyle name="Accent6 2 2 5" xfId="21499" xr:uid="{3FEF383F-89F8-485D-8B74-747FB640935D}"/>
    <cellStyle name="Accent6 2 2 6" xfId="21500" xr:uid="{EECF6265-92E6-43C7-BB1E-6AA1D4930A1F}"/>
    <cellStyle name="Accent6 2 2 7" xfId="21501" xr:uid="{D9BCF775-C0F1-4E91-A314-EF521F77A49C}"/>
    <cellStyle name="Accent6 2 2 8" xfId="21495" xr:uid="{5DC73689-DE9D-443E-8B85-A764BC310642}"/>
    <cellStyle name="Accent6 2 2_球团工序" xfId="21502" xr:uid="{124D7949-3B80-4165-8590-4569C1857F77}"/>
    <cellStyle name="Accent6 2 3" xfId="21503" xr:uid="{3D426B4A-E031-4879-AB77-4EA05B635D2D}"/>
    <cellStyle name="Accent6 2 4" xfId="21504" xr:uid="{50CB8746-2F3D-44BC-BE5D-01BA70365BDB}"/>
    <cellStyle name="Accent6 2 5" xfId="21505" xr:uid="{54F5E43C-C0EE-4EAE-8F96-963FC0E5086F}"/>
    <cellStyle name="Accent6 2 6" xfId="21506" xr:uid="{900C6353-30EA-4EA6-BEB1-740700BD4ADD}"/>
    <cellStyle name="Accent6 2 7" xfId="21507" xr:uid="{8342DE90-ACC6-4070-B07F-E67B53091E49}"/>
    <cellStyle name="Accent6 2 8" xfId="21508" xr:uid="{E1249E4C-0B66-4625-BA8B-0CA04F7CD56F}"/>
    <cellStyle name="Accent6 2 9" xfId="21509" xr:uid="{A180AE98-8A9A-4AEC-813B-954D70E18204}"/>
    <cellStyle name="Accent6 2_动力部" xfId="21510" xr:uid="{501E161B-6206-4E81-8612-333943B24B36}"/>
    <cellStyle name="Accent6 3" xfId="10476" xr:uid="{EFE3843C-F811-4A74-B8DA-828BBDC4CE35}"/>
    <cellStyle name="Accent6 3 10" xfId="21511" xr:uid="{7A27846D-DAFD-40C1-AA0E-89000BED76D4}"/>
    <cellStyle name="Accent6 3 2" xfId="10477" xr:uid="{01DD3893-ADB2-4DF8-95EE-CB413605C6EB}"/>
    <cellStyle name="Accent6 3 2 2" xfId="21512" xr:uid="{CB8E25E8-F42C-45FC-8A28-A5CB68CEF3F9}"/>
    <cellStyle name="Accent6 3 3" xfId="21513" xr:uid="{51347043-5730-4B4E-B761-BA88EF736A86}"/>
    <cellStyle name="Accent6 3 4" xfId="21514" xr:uid="{00A49C9C-40C8-407B-9A49-57FF9EDAD3A7}"/>
    <cellStyle name="Accent6 3 5" xfId="21515" xr:uid="{68A33088-614E-4CDA-8009-0AF69088451A}"/>
    <cellStyle name="Accent6 3 6" xfId="21516" xr:uid="{E54AC97D-6719-449B-AA9B-E7209CDB7D35}"/>
    <cellStyle name="Accent6 3 7" xfId="21517" xr:uid="{4F8983C6-A2A6-4BAE-AA91-3DB587C471D8}"/>
    <cellStyle name="Accent6 3 8" xfId="21518" xr:uid="{8FC1611D-8A99-4001-98F2-AD88BE179E95}"/>
    <cellStyle name="Accent6 3 9" xfId="21519" xr:uid="{791E584D-B603-477A-882A-246A8A2F8BEB}"/>
    <cellStyle name="Accent6 3_球团工序" xfId="21520" xr:uid="{DC4EDDAE-BC65-44EB-86B7-CD0E87033E88}"/>
    <cellStyle name="Accent6 4" xfId="10473" xr:uid="{7E0798CE-1303-436E-BEA3-6841A652ABE2}"/>
    <cellStyle name="Accent6 4 2" xfId="21522" xr:uid="{18A54FAB-893B-40BB-93A1-983C7473D73A}"/>
    <cellStyle name="Accent6 4 3" xfId="21523" xr:uid="{8F569BE3-3E3C-42B4-ADB4-8D055906915F}"/>
    <cellStyle name="Accent6 4 4" xfId="21524" xr:uid="{5D6DFD50-6FCC-441A-969F-3F9C79700F72}"/>
    <cellStyle name="Accent6 4 5" xfId="21525" xr:uid="{769F9D01-CA70-4BA5-90A6-545EC13A5897}"/>
    <cellStyle name="Accent6 4 6" xfId="21526" xr:uid="{EB6E7DB3-0003-465A-A2E1-ED621E45DA34}"/>
    <cellStyle name="Accent6 4 7" xfId="21527" xr:uid="{4AF3ECA4-7D3A-48A3-B24C-15ECE828B57B}"/>
    <cellStyle name="Accent6 4 8" xfId="21521" xr:uid="{27B4C13B-481D-47C2-ACC3-B300E023022B}"/>
    <cellStyle name="Accent6 4_球团工序" xfId="21528" xr:uid="{4F618793-3FB6-462E-922C-285414AC9250}"/>
    <cellStyle name="Accent6 5" xfId="21529" xr:uid="{FC23D2B3-32C2-4D1F-A0D2-2503304F28A3}"/>
    <cellStyle name="Accent6 6" xfId="21530" xr:uid="{87C45EA7-6C13-4EA8-801A-E2973C47B263}"/>
    <cellStyle name="Accent6 7" xfId="21433" xr:uid="{67FDC5F4-850C-42C6-8237-10653EE28C5A}"/>
    <cellStyle name="Accent6 8" xfId="27230" xr:uid="{C851F803-155C-4DA7-B757-9AFC98F7AA71}"/>
    <cellStyle name="Accent6_07月球团产品成本表" xfId="21531" xr:uid="{E2534649-1140-4CE5-886C-DAE7B2BE1873}"/>
    <cellStyle name="AeE­ [0]_INQUIRY ¿μ¾÷AßAø " xfId="21532" xr:uid="{CAA94A9D-F975-469C-AC90-E9A7C58730EB}"/>
    <cellStyle name="AeE­_INQUIRY ¿μ¾÷AßAø " xfId="21533" xr:uid="{E31D47EA-38D3-48A4-BCFB-38DCDFB2245B}"/>
    <cellStyle name="args.style" xfId="5429" xr:uid="{DA43B319-F2E7-44AD-AD0A-968A6F4495BC}"/>
    <cellStyle name="args.style 2" xfId="12587" xr:uid="{53793519-D53C-488F-B09E-22FD7BAA163A}"/>
    <cellStyle name="AÞ¸¶ [0]_INQUIRY ¿?¾÷AßAø " xfId="21534" xr:uid="{786296C0-C28E-4A50-B8D1-586C13228DAF}"/>
    <cellStyle name="AÞ¸¶_INQUIRY ¿?¾÷AßAø " xfId="21535" xr:uid="{C5A0C2E3-5F5A-4FB5-9765-063627AE0B80}"/>
    <cellStyle name="Bad" xfId="3995" xr:uid="{0B21DD6C-E4AE-48E9-8C56-9D8A0A31881D}"/>
    <cellStyle name="Bad 2" xfId="10479" xr:uid="{5D3DA016-F57F-4C1A-9C7E-8AA8F9951FF3}"/>
    <cellStyle name="Bad 2 2" xfId="10480" xr:uid="{380BD570-471A-47C7-AE68-FDE102CACDBD}"/>
    <cellStyle name="Bad 3" xfId="10481" xr:uid="{2B1EF8B5-9559-42DE-8CF2-AB6F9C4B9E21}"/>
    <cellStyle name="Bad 3 2" xfId="10482" xr:uid="{47301A85-A90C-4AE7-ADE1-426301F293F5}"/>
    <cellStyle name="Bad 3 3" xfId="21536" xr:uid="{19BDD091-2D6F-4978-857D-43F2E6DAA5F4}"/>
    <cellStyle name="Bad 4" xfId="10478" xr:uid="{E3630725-5FAA-40CB-90F0-DFE2F0A7A263}"/>
    <cellStyle name="Bad 4 2" xfId="21537" xr:uid="{BA9F04C1-3884-4E8C-B508-736BEB76878A}"/>
    <cellStyle name="Bad 5" xfId="21538" xr:uid="{32F9CA65-9DB3-4299-8FCC-1544D5BEFA05}"/>
    <cellStyle name="Bad 6" xfId="21539" xr:uid="{1A67CB95-3544-46D9-A296-080A0E1AAAFB}"/>
    <cellStyle name="Bad 7" xfId="21540" xr:uid="{2867F74A-383C-45F0-B491-651BE5671BB4}"/>
    <cellStyle name="Bad_球团工序" xfId="21541" xr:uid="{5B4DDB9B-1D7F-4F9A-A514-0EC074594880}"/>
    <cellStyle name="Black" xfId="5430" xr:uid="{07DFABC0-0FBA-490F-BD9D-F267F05AD3DF}"/>
    <cellStyle name="Black 2" xfId="12245" xr:uid="{4EB231EB-6731-45A8-B298-1549659AE553}"/>
    <cellStyle name="Border" xfId="5432" xr:uid="{F2F5D860-B27C-4C95-8937-F8F94506DAB5}"/>
    <cellStyle name="Border 2" xfId="2307" xr:uid="{3C9DFAB4-F1D6-48CC-A126-43A20CF9751E}"/>
    <cellStyle name="Border 2 2" xfId="2310" xr:uid="{CBCCAA46-8D02-4024-92E4-4B5E1A3632A9}"/>
    <cellStyle name="Border 2 2 2" xfId="2765" xr:uid="{E4C05A6C-B340-4C8A-A25F-589E576B2296}"/>
    <cellStyle name="Border 2 2 3" xfId="5433" xr:uid="{691F72F1-665F-4584-98C5-4D92ED147CD2}"/>
    <cellStyle name="Border 2 2 4" xfId="5434" xr:uid="{18185EA7-EC2B-4A48-B386-382359789F7B}"/>
    <cellStyle name="Border 2 3" xfId="2768" xr:uid="{C75BFBBA-1402-4AA7-9A69-F1F9EE0BD079}"/>
    <cellStyle name="Border 2 4" xfId="1118" xr:uid="{2F2853CA-7D39-493D-9BD5-21B06249CBC6}"/>
    <cellStyle name="Border 2 5" xfId="2771" xr:uid="{4F75D2E2-5793-4E36-8233-8A2A47876F90}"/>
    <cellStyle name="Border 3" xfId="2313" xr:uid="{E040CFF4-1B4A-4697-B978-44A38A065067}"/>
    <cellStyle name="Border 3 2" xfId="5435" xr:uid="{BB4B9C58-2B72-4049-9F41-0932CB1EDDD5}"/>
    <cellStyle name="Border 3 2 2" xfId="5436" xr:uid="{DD0CABD4-9CEA-4143-809B-B45A0570B147}"/>
    <cellStyle name="Border 3 2 3" xfId="5437" xr:uid="{B79529C9-9C6C-4B0D-AEDF-19AEC49889E1}"/>
    <cellStyle name="Border 3 2 4" xfId="5438" xr:uid="{A7949304-6D01-4B70-AF53-D0CEE32D731D}"/>
    <cellStyle name="Border 3 3" xfId="5439" xr:uid="{37949CB0-D6AA-411B-95BF-28E4166B054D}"/>
    <cellStyle name="Border 3 4" xfId="5440" xr:uid="{03A263EA-7C61-456F-BF00-39E02E59B25C}"/>
    <cellStyle name="Border 3 5" xfId="5441" xr:uid="{1A76A027-DEEE-4E32-9745-67EE8ED15575}"/>
    <cellStyle name="Border 4" xfId="5442" xr:uid="{9B8064EA-8337-4F3C-85D4-F076CE861784}"/>
    <cellStyle name="Border 4 2" xfId="5443" xr:uid="{74D98096-6E89-44DE-A47F-A5989B4B78BA}"/>
    <cellStyle name="Border 4 2 2" xfId="5444" xr:uid="{FC52DA47-4FB6-4DF1-843F-4CB5EF15C01C}"/>
    <cellStyle name="Border 4 2 3" xfId="233" xr:uid="{CB82690E-ED25-4565-AAB8-3068721749D8}"/>
    <cellStyle name="Border 4 2 4" xfId="5445" xr:uid="{4B857AE4-B99B-47F0-B881-B7211A28D192}"/>
    <cellStyle name="Border 4 3" xfId="5446" xr:uid="{BECB704D-E2ED-40A5-BD9C-37B8662D111D}"/>
    <cellStyle name="Border 4 4" xfId="5447" xr:uid="{271F7CCB-8A5B-43A9-B492-1305E9C6AA33}"/>
    <cellStyle name="Border 4 5" xfId="5448" xr:uid="{71E7811F-468E-4C10-9FE2-02988E03370C}"/>
    <cellStyle name="Border 5" xfId="5449" xr:uid="{2D66AEE4-3972-438C-B0C4-3CE18D5334AA}"/>
    <cellStyle name="Border 5 2" xfId="5450" xr:uid="{8EDC5093-4D01-4E80-954C-5131CB0C9A68}"/>
    <cellStyle name="Border 5 3" xfId="5451" xr:uid="{B52BCD3E-94B1-4F61-8C5B-FA484BC56984}"/>
    <cellStyle name="Border 5 4" xfId="5452" xr:uid="{C8A7FBE2-32B1-470F-903A-8525771C2FE8}"/>
    <cellStyle name="Border 6" xfId="5453" xr:uid="{1E9307E2-F1CD-4885-9674-DBC8A2A38974}"/>
    <cellStyle name="Border 7" xfId="5454" xr:uid="{9C4BC680-AB9C-407A-BDC6-DE1F0F59B5BB}"/>
    <cellStyle name="Border 8" xfId="5455" xr:uid="{C6F09A4B-2CA9-4C5C-AA78-8FEB1C9EC9C8}"/>
    <cellStyle name="Border 9" xfId="12405" xr:uid="{073E2EEA-F579-4FD7-9DCD-0C88C8E28686}"/>
    <cellStyle name="C?AØ_¿?¾÷CoE² " xfId="21542" xr:uid="{7CDF8623-1221-487B-A732-4768A1A123CD}"/>
    <cellStyle name="C￥AØ_¿μ¾÷CoE² " xfId="21543" xr:uid="{66133CE6-716A-48D5-BF15-560A9A935B11}"/>
    <cellStyle name="Calc Currency (0)" xfId="5456" xr:uid="{0BB9978E-979F-4F61-9B65-D5DF8A6E11CA}"/>
    <cellStyle name="Calc Currency (0) 2" xfId="10483" xr:uid="{61B2B7AB-1BA7-4193-B64C-8BBFA840B58C}"/>
    <cellStyle name="Calculation" xfId="5457" xr:uid="{EA2332BB-3341-4CC1-9696-F6BA644B9752}"/>
    <cellStyle name="Calculation 2" xfId="5458" xr:uid="{7F17FF4B-E9C7-48D7-BEF3-A0EBD9724A1D}"/>
    <cellStyle name="Calculation 2 2" xfId="5459" xr:uid="{AA90A6B8-95F2-4D1F-8A8A-9ADA042B84B0}"/>
    <cellStyle name="Calculation 2 2 2" xfId="5460" xr:uid="{2C9F7C92-6C16-4706-B025-E33DF8B23E9F}"/>
    <cellStyle name="Calculation 2 2 3" xfId="5461" xr:uid="{F1E248C7-102F-4077-8107-E215DBA24657}"/>
    <cellStyle name="Calculation 2 2 4" xfId="5462" xr:uid="{CA81CE1F-E92F-4A71-BB89-CB0DAADF1036}"/>
    <cellStyle name="Calculation 2 2 5" xfId="10486" xr:uid="{97A6F31A-AA20-4177-8353-7E28D58D7610}"/>
    <cellStyle name="Calculation 2 3" xfId="5463" xr:uid="{A56F7B9A-5DB0-4832-AFB2-E8362F8D7504}"/>
    <cellStyle name="Calculation 2 4" xfId="5464" xr:uid="{F23EEADB-67DD-45A8-A26A-072DC340BA04}"/>
    <cellStyle name="Calculation 2 5" xfId="5465" xr:uid="{1CE4CCEE-E1AC-4ED0-9A4C-355D1E4E67B2}"/>
    <cellStyle name="Calculation 2 6" xfId="10485" xr:uid="{1CB78AAB-E702-42DF-AA8C-D5E7D8DC1CEA}"/>
    <cellStyle name="Calculation 3" xfId="5466" xr:uid="{B59B570C-8A06-4699-92F0-ED0925E6162F}"/>
    <cellStyle name="Calculation 3 2" xfId="5467" xr:uid="{016E25BB-D24E-4AC3-A754-F497C8AEAD06}"/>
    <cellStyle name="Calculation 3 2 2" xfId="5468" xr:uid="{C09D94B9-6D25-4A2F-9A41-523F9BA0D60B}"/>
    <cellStyle name="Calculation 3 2 3" xfId="5469" xr:uid="{D0C6E642-7FDE-431D-84F8-14DD14017CB2}"/>
    <cellStyle name="Calculation 3 2 4" xfId="5470" xr:uid="{CFBB6979-3B2F-46D1-9B4C-AF20F3AFDE94}"/>
    <cellStyle name="Calculation 3 2 5" xfId="10488" xr:uid="{BFD6ACE2-880C-4BE4-8A2E-E311B9F80FE7}"/>
    <cellStyle name="Calculation 3 3" xfId="5471" xr:uid="{4EFB76E4-7B58-472B-926A-26A82FD2BF82}"/>
    <cellStyle name="Calculation 3 4" xfId="5472" xr:uid="{113E3421-A76D-486F-995A-6D500893FEE0}"/>
    <cellStyle name="Calculation 3 5" xfId="5473" xr:uid="{77B63FC3-AAF5-40AF-B3B7-DE38A3938491}"/>
    <cellStyle name="Calculation 3 6" xfId="10487" xr:uid="{E0C8AFC7-F870-489B-AE93-3BD4A0379678}"/>
    <cellStyle name="Calculation 4" xfId="5474" xr:uid="{FF6D8E4B-CBD1-4E77-99EE-F232B1034A80}"/>
    <cellStyle name="Calculation 4 2" xfId="5475" xr:uid="{20B8BF32-9DC1-4FE6-A107-26CD1AE11AC7}"/>
    <cellStyle name="Calculation 4 2 2" xfId="5476" xr:uid="{41B846D9-E776-49EB-B0A9-91C8E61A6C5B}"/>
    <cellStyle name="Calculation 4 2 3" xfId="5477" xr:uid="{0BBA32A5-CF61-4BF2-8326-42B7C1A2EADE}"/>
    <cellStyle name="Calculation 4 2 4" xfId="5478" xr:uid="{6503EF1D-D7AD-4E78-9524-8702A6BB04CD}"/>
    <cellStyle name="Calculation 4 3" xfId="5479" xr:uid="{12A7D3B7-ABF3-4FDE-802B-88EED442F990}"/>
    <cellStyle name="Calculation 4 4" xfId="5480" xr:uid="{B4597DE4-6212-40B8-AA3B-8DCAF9971E08}"/>
    <cellStyle name="Calculation 4 5" xfId="5481" xr:uid="{D4462D17-5EC8-4093-8D10-1786D1D170BA}"/>
    <cellStyle name="Calculation 5" xfId="5482" xr:uid="{C4B9F245-D43F-4EF9-9F27-7E5901C96613}"/>
    <cellStyle name="Calculation 5 2" xfId="5483" xr:uid="{BC7AA3A9-D93E-401B-9AF2-9C2AF0947AC1}"/>
    <cellStyle name="Calculation 5 3" xfId="5484" xr:uid="{610E3877-0FEA-4B53-ACBC-1A3714073446}"/>
    <cellStyle name="Calculation 5 4" xfId="5485" xr:uid="{9133DEC4-B018-4A2C-A0D2-C833F92B39CA}"/>
    <cellStyle name="Calculation 6" xfId="5486" xr:uid="{444366C4-5A9A-418A-BD3B-DB9A3A5F7CB0}"/>
    <cellStyle name="Calculation 7" xfId="5487" xr:uid="{040E3D3D-8B7E-4FE1-9CB9-61216B837DA2}"/>
    <cellStyle name="Calculation 8" xfId="5488" xr:uid="{F81983F9-A13B-47A3-96FD-49C434EFA87E}"/>
    <cellStyle name="Calculation 9" xfId="10484" xr:uid="{27D8621D-94B7-45C6-87E7-7ED4CE2DE371}"/>
    <cellStyle name="Calculation_动力部" xfId="21544" xr:uid="{A5A3ECA9-3B26-4CC0-BDD3-A3D7B254CD58}"/>
    <cellStyle name="category" xfId="5489" xr:uid="{8CCE70B4-22C0-4C9C-A583-02A29A86A063}"/>
    <cellStyle name="category 2" xfId="12369" xr:uid="{404F98D7-172B-45B7-B38A-8273DDA8045A}"/>
    <cellStyle name="Check Cell" xfId="5490" xr:uid="{1855951D-622C-4995-A947-9502CA4C7D8E}"/>
    <cellStyle name="Check Cell 2" xfId="10490" xr:uid="{15497225-4ECF-40A6-9DB2-50E7E0810B4D}"/>
    <cellStyle name="Check Cell 2 2" xfId="10491" xr:uid="{A6B01E0D-2BEF-4A06-915C-9EF33F7B3D89}"/>
    <cellStyle name="Check Cell 3" xfId="10492" xr:uid="{7A4D0433-18CC-4815-85EE-37CCEB2115BF}"/>
    <cellStyle name="Check Cell 3 2" xfId="10493" xr:uid="{51AAC7E6-3857-46BC-A76D-8FCABFBB6DCB}"/>
    <cellStyle name="Check Cell 3 3" xfId="21545" xr:uid="{E67916AE-186E-4CA6-A0DD-FB7CFB4BFB77}"/>
    <cellStyle name="Check Cell 4" xfId="10489" xr:uid="{5725AC18-10C4-47E5-8F68-57DC1B0CABB9}"/>
    <cellStyle name="Check Cell 4 2" xfId="21546" xr:uid="{7854FC31-99A9-4D6A-8852-C321FA607FFA}"/>
    <cellStyle name="Check Cell 5" xfId="21547" xr:uid="{9B9247A8-C8C2-4F59-BE91-51DFF8BA8FAF}"/>
    <cellStyle name="Check Cell 6" xfId="21548" xr:uid="{BEAD59F6-C8CC-4CCC-95ED-EB8BF38AF10A}"/>
    <cellStyle name="Check Cell 7" xfId="21549" xr:uid="{00E55239-6A57-4A2E-A9B0-129635D847E1}"/>
    <cellStyle name="Check Cell_球团工序" xfId="21550" xr:uid="{D2E3D521-F791-4FFA-9ED7-A2A9BDD93499}"/>
    <cellStyle name="Col Heads" xfId="5491" xr:uid="{0F6B212A-BBE9-4075-9405-ADC0DC5AA8C5}"/>
    <cellStyle name="Col Heads 2" xfId="12738" xr:uid="{E4A908E9-53D3-4D5E-96B3-D3EA545BE3A8}"/>
    <cellStyle name="ColLevel_0" xfId="5493" xr:uid="{8A9717E4-63B4-4BFF-A7AD-8E0FE3ED88AA}"/>
    <cellStyle name="Comma" xfId="27351" xr:uid="{A8ACDC17-32FA-46A0-A70B-79F992ACE043}"/>
    <cellStyle name="Comma [0]" xfId="27352" xr:uid="{3C6DFE37-F136-4F87-8691-D18A895D704B}"/>
    <cellStyle name="Comma [0] 2" xfId="27353" xr:uid="{FD9FC8DD-3D79-4715-9F17-129B5AA58BFE}"/>
    <cellStyle name="Comma [0] 3" xfId="27354" xr:uid="{20419602-40EE-4A1E-9F8F-1048ADEB38AA}"/>
    <cellStyle name="Comma [0] 4" xfId="27355" xr:uid="{0413B822-4118-4A83-92C6-FB04906F212D}"/>
    <cellStyle name="Comma [0] 5" xfId="27356" xr:uid="{DC6A6647-57B7-41D6-93BF-2AD7284C392D}"/>
    <cellStyle name="Comma [0] 6" xfId="27357" xr:uid="{7ACC2A8F-B075-4EEA-832E-2FE7C4FEC333}"/>
    <cellStyle name="Comma [0] 7" xfId="27358" xr:uid="{8B0682F9-C105-4B89-814E-95C02A900744}"/>
    <cellStyle name="Comma [0] 8" xfId="27851" xr:uid="{10336284-FC3D-4925-BDF1-66DFFDA46A32}"/>
    <cellStyle name="Comma [0]_ SG&amp;A Bridge " xfId="5494" xr:uid="{D55D13CB-E6AD-4079-86EF-5418B7B54C07}"/>
    <cellStyle name="Comma 10" xfId="27359" xr:uid="{1100B593-479E-490A-86E6-17734F4E33F7}"/>
    <cellStyle name="Comma 11" xfId="27360" xr:uid="{7ECDB71D-B16A-4AB4-ADFF-7DF181BEF290}"/>
    <cellStyle name="Comma 12" xfId="27361" xr:uid="{703D82DA-89B0-4DFC-9CEB-143D3C518360}"/>
    <cellStyle name="Comma 13" xfId="27362" xr:uid="{FC509ACA-261A-4450-B3BD-09095E62D2F5}"/>
    <cellStyle name="Comma 14" xfId="27363" xr:uid="{D6787B4B-382A-485B-9CA9-F6BF56FF84C6}"/>
    <cellStyle name="Comma 15" xfId="27364" xr:uid="{4D0DFB0D-0188-412A-AF4B-64F9CE8AD924}"/>
    <cellStyle name="Comma 16" xfId="27365" xr:uid="{1DFEB0F2-1102-40C0-89DD-BC3508AD92E7}"/>
    <cellStyle name="Comma 17" xfId="27366" xr:uid="{D7DB413D-85DC-43A0-822E-3D8605D9B870}"/>
    <cellStyle name="Comma 18" xfId="27367" xr:uid="{CBCDDE87-193D-4C45-887E-B05298CB8695}"/>
    <cellStyle name="Comma 19" xfId="27368" xr:uid="{F2595BE3-DA4D-4049-BEC7-7060AE903CB1}"/>
    <cellStyle name="Comma 2" xfId="27369" xr:uid="{CB3B497F-1208-4DA9-99A4-74D4985E5269}"/>
    <cellStyle name="Comma 20" xfId="27370" xr:uid="{2E1F80AF-DEB9-494A-B4DB-63CF4F56B88C}"/>
    <cellStyle name="Comma 21" xfId="27850" xr:uid="{E49BBD03-DB3B-4B6C-8CE7-833BC7B1E206}"/>
    <cellStyle name="Comma 22" xfId="27857" xr:uid="{516A47CA-C643-41F8-905A-5BF936984514}"/>
    <cellStyle name="Comma 3" xfId="27371" xr:uid="{FE704087-B625-429D-B489-FFE0D37B5262}"/>
    <cellStyle name="Comma 4" xfId="27372" xr:uid="{CD98D05B-3CBB-4F4F-8BCE-3C7D7B1BAE13}"/>
    <cellStyle name="Comma 5" xfId="27373" xr:uid="{F52F1BAF-E1E6-4BF6-84C1-14DFABC14D0E}"/>
    <cellStyle name="Comma 6" xfId="27374" xr:uid="{DBA0FD8E-7463-4B38-B17E-05CFC38685EC}"/>
    <cellStyle name="Comma 7" xfId="27375" xr:uid="{8308B27A-E912-48B7-AFE2-279A77135E54}"/>
    <cellStyle name="Comma 8" xfId="27376" xr:uid="{1F7DCCB3-1149-4DDA-9B02-DC30F018A567}"/>
    <cellStyle name="Comma 9" xfId="27377" xr:uid="{B0C3FB5A-D2E6-4F7E-AFE7-8591B0C6C2CE}"/>
    <cellStyle name="comma zerodec" xfId="21551" xr:uid="{AE4BD02E-70F5-4F7D-ACBE-B175134AE0E4}"/>
    <cellStyle name="comma zerodec 2" xfId="21552" xr:uid="{CFD4423F-658D-40F1-AD81-52D3A06B340B}"/>
    <cellStyle name="Comma,0" xfId="5495" xr:uid="{E90A32A6-9879-4380-96D9-E436D7F12D3C}"/>
    <cellStyle name="Comma,0 10" xfId="12727" xr:uid="{B967E8BF-6470-4132-8758-2922C6186A4C}"/>
    <cellStyle name="Comma,0 2" xfId="5498" xr:uid="{262D2BB6-A12F-46DC-A0C6-09FEE82468D3}"/>
    <cellStyle name="Comma,0 3" xfId="5501" xr:uid="{9E5DEF0B-81A1-4A23-B593-1603FAEF3121}"/>
    <cellStyle name="Comma,0 4" xfId="5502" xr:uid="{4566D333-4A1E-49BD-A997-25883F8413F2}"/>
    <cellStyle name="Comma,0 5" xfId="5503" xr:uid="{FFF1ACCF-247C-448F-A181-E9DC416DBF7D}"/>
    <cellStyle name="Comma,0 6" xfId="5504" xr:uid="{E877A41A-FF8E-4E6E-B6C3-79345717A71E}"/>
    <cellStyle name="Comma,0 7" xfId="5505" xr:uid="{67123781-345D-4898-8D61-4E0892670977}"/>
    <cellStyle name="Comma,0 8" xfId="1693" xr:uid="{7FBC251F-77BF-49DB-A77B-24AA8A37B9B7}"/>
    <cellStyle name="Comma,0 9" xfId="5506" xr:uid="{BA1F91E0-2FD6-4CA4-B897-A65918910AA3}"/>
    <cellStyle name="Comma,1" xfId="5507" xr:uid="{DCBBC1DA-77D4-4916-92D4-78EF31B68F2B}"/>
    <cellStyle name="Comma,1 10" xfId="12730" xr:uid="{08A35461-A1A0-45F0-918A-46AB9385409B}"/>
    <cellStyle name="Comma,1 2" xfId="5509" xr:uid="{4B066C2F-E1D0-4731-B99C-7EB2362F5107}"/>
    <cellStyle name="Comma,1 3" xfId="5511" xr:uid="{0A9096D3-4FCB-483E-94CC-EC150BDE6336}"/>
    <cellStyle name="Comma,1 4" xfId="5512" xr:uid="{0D3947A6-D603-4C43-96D9-398EA3231C5C}"/>
    <cellStyle name="Comma,1 5" xfId="5513" xr:uid="{C9B6E572-C22F-4582-971C-923A653F8CC7}"/>
    <cellStyle name="Comma,1 6" xfId="5514" xr:uid="{A275A81E-82A5-41B1-B547-924EE338D509}"/>
    <cellStyle name="Comma,1 7" xfId="5515" xr:uid="{8AEFC85D-5B7F-4150-9F46-101BA068BD38}"/>
    <cellStyle name="Comma,1 8" xfId="1755" xr:uid="{F37133C1-3436-4830-B21E-5172811810A3}"/>
    <cellStyle name="Comma,1 9" xfId="5517" xr:uid="{E7165EAE-D32B-4A06-BFC4-5556CA9049C6}"/>
    <cellStyle name="Comma,2" xfId="5518" xr:uid="{49BFFA86-F853-4C47-BA06-979F0DE9AE35}"/>
    <cellStyle name="Comma,2 10" xfId="12272" xr:uid="{EC28B388-36D0-4016-AD6E-B661450F102E}"/>
    <cellStyle name="Comma,2 2" xfId="5519" xr:uid="{F391EA89-2C56-4717-9E18-F04FB11CA5F9}"/>
    <cellStyle name="Comma,2 3" xfId="5520" xr:uid="{17B62E46-2660-4BD4-9E36-FABD8AB99CEA}"/>
    <cellStyle name="Comma,2 4" xfId="5521" xr:uid="{CBB2AE51-7782-4F66-9E45-4A2AEC488B64}"/>
    <cellStyle name="Comma,2 5" xfId="5522" xr:uid="{77ACB712-AB73-4488-90D9-0458ACE00756}"/>
    <cellStyle name="Comma,2 6" xfId="5523" xr:uid="{46B5FE82-6F2E-4D97-AE6F-3F70C7DDB7E2}"/>
    <cellStyle name="Comma,2 7" xfId="5524" xr:uid="{50F33AB0-D3A2-4CD5-AE30-F249B5D5D838}"/>
    <cellStyle name="Comma,2 8" xfId="5525" xr:uid="{7A9ADA46-8748-4C28-B1E3-DAA006EEB894}"/>
    <cellStyle name="Comma,2 9" xfId="5526" xr:uid="{E5F81D07-221E-42AE-9490-9C266DED787D}"/>
    <cellStyle name="Comma_ SG&amp;A Bridge " xfId="5527" xr:uid="{785B4140-FF9D-48B5-A7EC-A4E438CB2E79}"/>
    <cellStyle name="Comma0" xfId="21553" xr:uid="{D6BD7EF7-9BBD-4141-8955-EF6AC55EDFE7}"/>
    <cellStyle name="Comma0 2" xfId="21554" xr:uid="{88D0D9CD-5732-466D-AE1B-8B86629351C5}"/>
    <cellStyle name="Currency" xfId="27378" xr:uid="{D6702C5D-1640-4C93-8077-1A1B179B8DBD}"/>
    <cellStyle name="Currency [0]" xfId="27379" xr:uid="{6027C845-7492-4E20-BBEC-6DA175EC26F9}"/>
    <cellStyle name="Currency [0] 10" xfId="27380" xr:uid="{C6378461-CAF9-4CC0-B408-22DE4EC13E37}"/>
    <cellStyle name="Currency [0] 11" xfId="27381" xr:uid="{3B590825-5AC5-4F9D-BC88-966C062D1C60}"/>
    <cellStyle name="Currency [0] 12" xfId="27382" xr:uid="{86C32892-4F0E-4F74-8E21-FBAF8BF3EE51}"/>
    <cellStyle name="Currency [0] 13" xfId="27383" xr:uid="{EB7D2F7A-A2C6-4ED4-BFBD-1BBDD9DE8229}"/>
    <cellStyle name="Currency [0] 14" xfId="27849" xr:uid="{8C18C787-A522-4ADA-A18C-FB2E93F250E3}"/>
    <cellStyle name="Currency [0] 2" xfId="27384" xr:uid="{CDB2DCDF-1A88-4BF9-BDCF-5343A036C621}"/>
    <cellStyle name="Currency [0] 3" xfId="27385" xr:uid="{2B03F196-4860-40CB-A0C2-9178CCFBA478}"/>
    <cellStyle name="Currency [0] 4" xfId="27386" xr:uid="{CE1105B5-F1FA-43ED-81CA-017F3B23CBB9}"/>
    <cellStyle name="Currency [0] 5" xfId="27387" xr:uid="{20407DBE-0F54-4091-98F2-E2AAF5ED3155}"/>
    <cellStyle name="Currency [0] 6" xfId="27388" xr:uid="{AB8203D6-4356-4864-A801-D0C64B0513BF}"/>
    <cellStyle name="Currency [0] 7" xfId="27389" xr:uid="{3FBCDFD0-717B-40B2-8A59-0813DE9214F3}"/>
    <cellStyle name="Currency [0] 8" xfId="27390" xr:uid="{6B262CE5-BCDD-4A05-BE18-72FCBEFEEAE3}"/>
    <cellStyle name="Currency [0] 9" xfId="27391" xr:uid="{B470D3FE-76C1-4FB1-ACB8-8717B8431CC7}"/>
    <cellStyle name="Currency [0]_ SG&amp;A Bridge " xfId="5528" xr:uid="{9BB127D3-99B8-44D9-93E2-46AA7D88278E}"/>
    <cellStyle name="Currency 10" xfId="27392" xr:uid="{0DE6E1B7-3E46-4D05-BB37-1C8751197D5E}"/>
    <cellStyle name="Currency 11" xfId="27393" xr:uid="{572EE266-8AAF-4D06-BA40-90D08E4B5656}"/>
    <cellStyle name="Currency 12" xfId="27394" xr:uid="{3FEB8C28-1E37-49DB-AF00-9D73DB6C6F7C}"/>
    <cellStyle name="Currency 13" xfId="27395" xr:uid="{9BF0D01F-1B38-4771-B931-4FD390AAB778}"/>
    <cellStyle name="Currency 14" xfId="27396" xr:uid="{9074C7DD-627C-470C-A704-CE5510320C7A}"/>
    <cellStyle name="Currency 15" xfId="27397" xr:uid="{7AD32AB5-ECE3-4521-9A75-C9005C23D187}"/>
    <cellStyle name="Currency 16" xfId="27398" xr:uid="{EEAE8283-5B92-43AA-ACF5-880EA6A08F85}"/>
    <cellStyle name="Currency 17" xfId="27399" xr:uid="{089FA846-BBCC-4B75-BB56-39FC6256A4C2}"/>
    <cellStyle name="Currency 18" xfId="27400" xr:uid="{DF9EDB36-868E-4C1A-B58E-DC905100EF46}"/>
    <cellStyle name="Currency 19" xfId="27401" xr:uid="{F31ABABD-9BCC-47DB-A962-7D3B5DAEE088}"/>
    <cellStyle name="Currency 2" xfId="27402" xr:uid="{3A89B4AE-658C-4C02-A97B-FA9EB4F7D8BF}"/>
    <cellStyle name="Currency 20" xfId="27403" xr:uid="{F107D9C4-8DFF-4416-91CE-5A894BDB14C1}"/>
    <cellStyle name="Currency 21" xfId="27848" xr:uid="{6F332C6B-5541-4603-8015-8C99CCCC9607}"/>
    <cellStyle name="Currency 22" xfId="27855" xr:uid="{A7A7B62D-3F3C-499E-8B8E-99353F6326D7}"/>
    <cellStyle name="Currency 3" xfId="27404" xr:uid="{48213E8D-0C89-4D24-8840-B44A2DBFFD60}"/>
    <cellStyle name="Currency 4" xfId="27405" xr:uid="{76794AC6-3A72-4BAC-84EC-F6FB5A2009B7}"/>
    <cellStyle name="Currency 5" xfId="27406" xr:uid="{2C2FC78B-BEAA-4E65-88E0-5D88E8289DB2}"/>
    <cellStyle name="Currency 6" xfId="27407" xr:uid="{E4E9A064-D192-4076-BE13-F8736ED87338}"/>
    <cellStyle name="Currency 7" xfId="27408" xr:uid="{091780FE-40AD-410F-86C2-1641302A31DF}"/>
    <cellStyle name="Currency 8" xfId="27409" xr:uid="{42CF2D57-00AB-4B47-ABF4-0FFC1AF5E330}"/>
    <cellStyle name="Currency 9" xfId="27410" xr:uid="{33758AF9-F3CF-47B0-88D9-05AB3F279F14}"/>
    <cellStyle name="Currency,0" xfId="5529" xr:uid="{F3AF3558-CBB6-4B13-AA0C-3616FB9D56C3}"/>
    <cellStyle name="Currency,0 10" xfId="12532" xr:uid="{08DFB502-0D31-4063-860F-6C81B2387B92}"/>
    <cellStyle name="Currency,0 2" xfId="5530" xr:uid="{AA5BD0AE-32D1-4279-A392-81EF235D9814}"/>
    <cellStyle name="Currency,0 3" xfId="5531" xr:uid="{D739E009-2C62-4E19-8A7C-7E3771276973}"/>
    <cellStyle name="Currency,0 4" xfId="5532" xr:uid="{F826A7E8-5E45-4CE1-B4CA-EF10D3BEF43D}"/>
    <cellStyle name="Currency,0 5" xfId="5533" xr:uid="{9EE94883-6717-4C44-B591-C3CE04A83231}"/>
    <cellStyle name="Currency,0 6" xfId="5534" xr:uid="{1DF58256-73A2-4604-A856-893328F7674B}"/>
    <cellStyle name="Currency,0 7" xfId="5535" xr:uid="{C022D73D-BFCB-464C-929C-0205423275EE}"/>
    <cellStyle name="Currency,0 8" xfId="5536" xr:uid="{B2B48FEB-B482-4947-AE1F-17734AE290D6}"/>
    <cellStyle name="Currency,0 9" xfId="5537" xr:uid="{DCD17978-7B0E-400B-9661-BCA4B2D4212D}"/>
    <cellStyle name="Currency,2" xfId="5538" xr:uid="{2EAE0B9F-37B4-46EC-97A5-53BF66C42891}"/>
    <cellStyle name="Currency,2 10" xfId="12336" xr:uid="{32456491-3C15-4F64-9B7F-962D898B586F}"/>
    <cellStyle name="Currency,2 2" xfId="5539" xr:uid="{DE8D74C8-7A29-4199-BC78-B4F597FC633B}"/>
    <cellStyle name="Currency,2 3" xfId="5540" xr:uid="{8231D5B6-8542-4B99-92FA-F0D5E7D252E3}"/>
    <cellStyle name="Currency,2 4" xfId="5541" xr:uid="{D8E7431B-9BA1-4D83-8E6C-94F014DFE4B3}"/>
    <cellStyle name="Currency,2 5" xfId="5542" xr:uid="{C41AEE68-7135-464E-92F9-291C88388CE2}"/>
    <cellStyle name="Currency,2 6" xfId="5544" xr:uid="{4D007613-6052-463B-B2A8-03F4962220AE}"/>
    <cellStyle name="Currency,2 7" xfId="5546" xr:uid="{3E9D79C3-6A2A-4A31-AFF0-533B50680483}"/>
    <cellStyle name="Currency,2 8" xfId="5548" xr:uid="{850568CB-42A2-4D51-B90C-6B7323C0DA4C}"/>
    <cellStyle name="Currency,2 9" xfId="5550" xr:uid="{A0430624-8E43-45D8-AA42-4AEEBE3138CC}"/>
    <cellStyle name="Currency_ SG&amp;A Bridge " xfId="992" xr:uid="{6B8628AF-227C-4A4D-988D-4BBE7469B5C5}"/>
    <cellStyle name="Currency0" xfId="21555" xr:uid="{F0649A77-A208-44C2-879A-23417DDA8837}"/>
    <cellStyle name="Currency0 2" xfId="21556" xr:uid="{3031AAF3-EF15-4910-BC87-197B448E91EF}"/>
    <cellStyle name="Currency1" xfId="21557" xr:uid="{D99A5052-AB8E-41DF-A968-94C61B1ADA75}"/>
    <cellStyle name="Currency1 2" xfId="21558" xr:uid="{5C453111-F706-4429-8D09-7232BE8886D4}"/>
    <cellStyle name="Date" xfId="21559" xr:uid="{52E174B7-780E-4E1A-AB7E-77799F6281DF}"/>
    <cellStyle name="Date 2" xfId="21560" xr:uid="{D49B72A1-E894-46FB-A237-AF21F6C3B17D}"/>
    <cellStyle name="Date 2 2" xfId="21561" xr:uid="{253367E1-40DE-4C11-B695-09446872C911}"/>
    <cellStyle name="Date 2 2 2" xfId="21562" xr:uid="{BBD0BB44-ABA7-4D91-9E67-8FFDA3A378DA}"/>
    <cellStyle name="Date 2 3" xfId="21563" xr:uid="{40496F13-745C-4542-99D6-3A4F6CC74F01}"/>
    <cellStyle name="Date 2 4" xfId="21564" xr:uid="{07F45326-176E-4453-BEC7-226F6DF64BD1}"/>
    <cellStyle name="Date 2 5" xfId="21565" xr:uid="{3CD1F1D9-C6D1-44AE-9CCA-C681031247B4}"/>
    <cellStyle name="Date 2 6" xfId="21566" xr:uid="{C988191C-ADD8-4B3B-97FE-C4915DF9527E}"/>
    <cellStyle name="Date 2 7" xfId="21567" xr:uid="{ABF3FCD0-C527-43ED-BB12-965E8F1E9ADE}"/>
    <cellStyle name="Date 2_球团工序" xfId="21568" xr:uid="{8E18278E-7B65-4749-94F3-A867BDFF688B}"/>
    <cellStyle name="Date 3" xfId="21569" xr:uid="{C2F331FA-96E2-4667-95A6-28EC48F6B958}"/>
    <cellStyle name="Date 3 2" xfId="21570" xr:uid="{9060D92D-749A-4B9F-B1ED-E8E542BA3971}"/>
    <cellStyle name="Date 4" xfId="21571" xr:uid="{E9C0BC42-BC19-4E84-86AE-B9007D95A061}"/>
    <cellStyle name="Date 5" xfId="21572" xr:uid="{63C3C9ED-8A08-451C-9504-356F129F791E}"/>
    <cellStyle name="Date 6" xfId="21573" xr:uid="{EED5C765-5367-45FE-8133-A4CEFBFC57E7}"/>
    <cellStyle name="Date 7" xfId="21574" xr:uid="{C8637400-8CD4-4D36-A53A-5582E2B05292}"/>
    <cellStyle name="Date 8" xfId="21575" xr:uid="{AD8D1B52-3863-4B9D-9F58-EB8F1AE368D4}"/>
    <cellStyle name="Date_动力部" xfId="21576" xr:uid="{519A46C5-0EA9-4711-AB0D-4231FD9E6B75}"/>
    <cellStyle name="Dezimal [0]_laroux" xfId="5551" xr:uid="{908CBBC8-715B-4883-A7E9-20E5E91E993E}"/>
    <cellStyle name="Dezimal_laroux" xfId="5552" xr:uid="{5BF7CF73-610A-4958-A9ED-9DC85138E523}"/>
    <cellStyle name="Dollar (zero dec)" xfId="21577" xr:uid="{247086F2-CB3A-4937-8BAA-C3ED9D87BD34}"/>
    <cellStyle name="Dollar (zero dec) 2" xfId="21578" xr:uid="{7295C594-6E60-48DF-9F4A-B9237D44BB41}"/>
    <cellStyle name="Explanatory Text" xfId="5554" xr:uid="{F72B3651-1E62-4228-89D1-06CAC7DEF469}"/>
    <cellStyle name="Explanatory Text 2" xfId="10494" xr:uid="{1AADFD10-B6A9-4B4A-881E-9D02EC6637D4}"/>
    <cellStyle name="Explanatory Text 2 2" xfId="10495" xr:uid="{110574DE-2C88-4FDD-853C-7508E92DB1D7}"/>
    <cellStyle name="Explanatory Text 3" xfId="10496" xr:uid="{F2895C97-D137-42F2-8A15-37547161E7A2}"/>
    <cellStyle name="Explanatory Text 3 2" xfId="10497" xr:uid="{F0BC5E82-FDA7-4D50-97D4-EEA6E6A02E0C}"/>
    <cellStyle name="Fixed" xfId="21579" xr:uid="{829293D1-7743-4DDE-AA1E-894CF01BEDE7}"/>
    <cellStyle name="Fixed 2" xfId="21580" xr:uid="{CA4F9BAB-BE7F-4D78-A6EE-4BB43A9896F0}"/>
    <cellStyle name="Followed Hyperlink_AheadBehind.xls Chart 23" xfId="5555" xr:uid="{E7290E92-049B-4BC5-A40A-6875C6BD1582}"/>
    <cellStyle name="Good" xfId="5556" xr:uid="{9571C3BD-2756-49C4-986C-1396F481F513}"/>
    <cellStyle name="Good 2" xfId="10499" xr:uid="{F0C4A069-84D9-44A7-81F0-D9657C0E6D7B}"/>
    <cellStyle name="Good 2 2" xfId="10500" xr:uid="{F7FA93DB-3D50-44AD-A5C2-6FB4AB57A6F2}"/>
    <cellStyle name="Good 3" xfId="10501" xr:uid="{0461A01A-A818-4D10-8C0E-757A1512401F}"/>
    <cellStyle name="Good 3 2" xfId="10502" xr:uid="{E8CD3888-BF93-4011-96E9-6D05334F33FC}"/>
    <cellStyle name="Good 3 3" xfId="21581" xr:uid="{51640EEE-48A9-4075-AD0A-D2FB8ECCCF52}"/>
    <cellStyle name="Good 4" xfId="10498" xr:uid="{594EA1DF-D712-478E-B934-6E64F53131BC}"/>
    <cellStyle name="Good 4 2" xfId="21582" xr:uid="{286D834F-4FEA-4E72-B34C-015FF1BC85D5}"/>
    <cellStyle name="Good 5" xfId="21583" xr:uid="{7752B263-0492-466B-B130-2ABF3F48365C}"/>
    <cellStyle name="Good 6" xfId="21584" xr:uid="{12DA0CDC-86B6-4C8D-B70F-8F835F1593F1}"/>
    <cellStyle name="Good 7" xfId="21585" xr:uid="{1124BB09-4CCD-47FF-B3EC-7ADED36F92D4}"/>
    <cellStyle name="Good_球团工序" xfId="21586" xr:uid="{7BB9E481-04CE-4B5A-9434-133486922E11}"/>
    <cellStyle name="Grey" xfId="5557" xr:uid="{9D0910B1-EF89-4B7D-AA43-808B411BF6E9}"/>
    <cellStyle name="Grey 10" xfId="5558" xr:uid="{5CA41087-C3A9-4F41-9BF2-DDF59283224F}"/>
    <cellStyle name="Grey 11" xfId="5559" xr:uid="{66F91124-FA2F-4DD0-A355-76EE0957F6A3}"/>
    <cellStyle name="Grey 12" xfId="5560" xr:uid="{0A4E5427-5DF0-4424-A303-89BBE777BA74}"/>
    <cellStyle name="Grey 13" xfId="5561" xr:uid="{7B9F8EB9-8502-459A-970E-B54161870095}"/>
    <cellStyle name="Grey 14" xfId="12662" xr:uid="{7BF0B865-1256-4393-8FD1-4485707928E6}"/>
    <cellStyle name="Grey 2" xfId="1766" xr:uid="{50C742AE-BE77-49AE-BA63-BE2C082BCF6F}"/>
    <cellStyle name="Grey 2 2" xfId="21587" xr:uid="{CA6F7038-57D4-4CD1-87D6-D7CDC991636F}"/>
    <cellStyle name="Grey 3" xfId="338" xr:uid="{52C4B2BB-1B22-4AE7-8D9A-00B56424E713}"/>
    <cellStyle name="Grey 3 2" xfId="21588" xr:uid="{D36E8817-6F69-4246-A66A-49AA49FDD5FA}"/>
    <cellStyle name="Grey 4" xfId="5562" xr:uid="{4BB10155-BD1F-46FE-B0FD-013A9A765017}"/>
    <cellStyle name="Grey 5" xfId="5563" xr:uid="{97C74DFE-87A0-46A8-9CEE-910983EBD363}"/>
    <cellStyle name="Grey 6" xfId="5564" xr:uid="{94CF5285-A662-4484-9DA0-F1A9FD86E9E5}"/>
    <cellStyle name="Grey 7" xfId="5566" xr:uid="{5E20BB2D-3CF7-4696-B456-01F45246E53C}"/>
    <cellStyle name="Grey 8" xfId="5567" xr:uid="{0D666257-E0B0-456C-8A7E-B11ACDC6AA98}"/>
    <cellStyle name="Grey 9" xfId="5568" xr:uid="{745AB891-BE39-4CD0-888E-8E243197E044}"/>
    <cellStyle name="HEADER" xfId="5569" xr:uid="{FD4C40B8-6D8D-4100-850B-C3EDF560807E}"/>
    <cellStyle name="HEADER 2" xfId="13381" xr:uid="{FFAE51A2-6698-4278-826C-BFDD249EE522}"/>
    <cellStyle name="Header1" xfId="5570" xr:uid="{17BA8559-70D3-4C62-AA31-9DC7A5E29F9A}"/>
    <cellStyle name="Header1 2" xfId="21589" xr:uid="{B35CA832-B764-42CC-B0FB-4011B1AA0395}"/>
    <cellStyle name="Header2" xfId="5571" xr:uid="{88BB7B64-A645-459D-A722-700111EAACC8}"/>
    <cellStyle name="Header2 2" xfId="5572" xr:uid="{60351853-F2C9-4B42-95A7-476F4E9ECE1E}"/>
    <cellStyle name="Header2 2 2" xfId="5573" xr:uid="{808E2EFC-A30F-4EE9-8199-3527ECEE7C1C}"/>
    <cellStyle name="Header2 2 2 2" xfId="5574" xr:uid="{84D2A77F-71C1-41FD-8798-678DE421A94A}"/>
    <cellStyle name="Header2 2 2 2 2" xfId="5575" xr:uid="{5204220D-A5A0-434A-A4C0-4E8F54BCE4D1}"/>
    <cellStyle name="Header2 2 2 2 3" xfId="5576" xr:uid="{77533C5A-5E90-4EDB-9FD3-0379DC9CF35E}"/>
    <cellStyle name="Header2 2 2 2 4" xfId="5577" xr:uid="{AA00326E-A9E4-4980-ADE1-F5DEE418EC61}"/>
    <cellStyle name="Header2 2 2 3" xfId="5578" xr:uid="{B4247199-B656-4E56-B34F-61BA432F945B}"/>
    <cellStyle name="Header2 2 2 4" xfId="5579" xr:uid="{919C7804-34BC-43B5-A537-E761BA03A3B8}"/>
    <cellStyle name="Header2 2 2 5" xfId="5580" xr:uid="{F7327BF1-E2FB-45E2-9BCE-D10F96774ED2}"/>
    <cellStyle name="Header2 2 3" xfId="1414" xr:uid="{0CBE83BA-EE6E-4ABA-BE78-A64DA89F7B91}"/>
    <cellStyle name="Header2 2 4" xfId="5581" xr:uid="{18AD8B24-64F5-4111-B07D-E13C85B116AF}"/>
    <cellStyle name="Header2 2 5" xfId="2565" xr:uid="{ED046173-B047-45D7-872B-34B0D7D9328C}"/>
    <cellStyle name="Header2 2 6" xfId="21590" xr:uid="{E4E3C235-4082-49FB-BB1F-82E848EBAE54}"/>
    <cellStyle name="Header2 2 7" xfId="21591" xr:uid="{BEC728C0-0487-4A21-B8DC-E417168C9CA9}"/>
    <cellStyle name="Header2 2_球团工序" xfId="21592" xr:uid="{9B3D0895-27E4-4BF8-84A7-5BA5DD3F23EF}"/>
    <cellStyle name="Header2 3" xfId="5582" xr:uid="{2AAE84E8-2FEA-4076-A6D5-08CB46B8F3ED}"/>
    <cellStyle name="Header2 3 2" xfId="5583" xr:uid="{7BE495B5-5330-4B71-A3DA-A94E9CD1DAF5}"/>
    <cellStyle name="Header2 3 3" xfId="1419" xr:uid="{DB640DB4-ABEB-4DF6-BD6F-4525AED18596}"/>
    <cellStyle name="Header2 3 4" xfId="5584" xr:uid="{E866AA70-3766-4427-9FAC-2E034667F88F}"/>
    <cellStyle name="Header2 4" xfId="5585" xr:uid="{4994694D-E867-47A7-9272-4E2B72B202D9}"/>
    <cellStyle name="Header2 4 2" xfId="21593" xr:uid="{E991A33B-D2A6-453C-AE42-EB7609A8D973}"/>
    <cellStyle name="Header2 5" xfId="5586" xr:uid="{3C087544-307B-41B8-BD67-27B0189BC287}"/>
    <cellStyle name="Header2 5 2" xfId="21594" xr:uid="{01757DF3-5251-4796-B6DA-93FAE7B07E05}"/>
    <cellStyle name="Header2 6" xfId="5587" xr:uid="{AAF1F7D2-321B-4E33-9680-650DBF6536E1}"/>
    <cellStyle name="Header2 6 2" xfId="21595" xr:uid="{74AF1AB3-C0F7-461C-8F28-73FCEB023581}"/>
    <cellStyle name="Header2 7" xfId="21596" xr:uid="{F4817637-D71E-4DF8-A1CB-B6C38E9BBBA8}"/>
    <cellStyle name="Header2 7 2" xfId="21597" xr:uid="{03CD5637-24E4-4D16-BED6-5987EA2FEE7A}"/>
    <cellStyle name="Header2 8" xfId="21598" xr:uid="{6757FCD7-EBC2-4763-8849-95CF9DBEF8CC}"/>
    <cellStyle name="Header2 8 2" xfId="21599" xr:uid="{682D8957-32D2-4ED1-944E-FA8FCD6A1D5D}"/>
    <cellStyle name="Header2 9" xfId="21600" xr:uid="{69AA0723-6CA5-4175-9B19-131B5962CACB}"/>
    <cellStyle name="Header2_动力部" xfId="21601" xr:uid="{60A10D1C-BD00-42E3-84C2-A42565FA502B}"/>
    <cellStyle name="Heading 1" xfId="5588" xr:uid="{AD40C0FE-0D42-4528-B895-FFE1F6C10ECA}"/>
    <cellStyle name="Heading 1 2" xfId="10503" xr:uid="{C884F7EC-F982-4F22-8283-4D2EA9B1E4A8}"/>
    <cellStyle name="Heading 1 2 2" xfId="10504" xr:uid="{7AFDE70B-665E-456B-AF8A-A8DE5D3E2814}"/>
    <cellStyle name="Heading 1 3" xfId="10505" xr:uid="{E214FA94-139B-4266-809C-7178B3488550}"/>
    <cellStyle name="Heading 1 3 2" xfId="10506" xr:uid="{EE792866-9A5B-4441-8026-1C66A4B28061}"/>
    <cellStyle name="Heading 2" xfId="5590" xr:uid="{08868E06-54EB-4B82-BA39-2D09695EE6E3}"/>
    <cellStyle name="Heading 2 2" xfId="10507" xr:uid="{90CC7418-14B4-43FC-9EDF-6D9ADB33FFC4}"/>
    <cellStyle name="Heading 2 2 2" xfId="10508" xr:uid="{8C3E57FB-2243-40F5-ADA3-739CAFC5099F}"/>
    <cellStyle name="Heading 2 3" xfId="10509" xr:uid="{F8612D22-F818-4018-8400-9C633991BC0B}"/>
    <cellStyle name="Heading 2 3 2" xfId="10510" xr:uid="{FB3116ED-804C-4C53-A793-EE04C6C58E14}"/>
    <cellStyle name="Heading 3" xfId="5592" xr:uid="{D4A182D2-A0B4-414F-82AB-903257F7D0E0}"/>
    <cellStyle name="Heading 3 2" xfId="10511" xr:uid="{A13F59BE-40CD-4D80-A90C-71CC37FEA0AF}"/>
    <cellStyle name="Heading 3 2 2" xfId="10512" xr:uid="{191CB848-052E-467C-8889-79BF264BFEA8}"/>
    <cellStyle name="Heading 3 3" xfId="10513" xr:uid="{BC50A0EA-4133-47BE-9C2D-75352BDAF408}"/>
    <cellStyle name="Heading 3 3 2" xfId="10514" xr:uid="{793B613A-323B-45BC-9F88-B3C7395093E4}"/>
    <cellStyle name="Heading 4" xfId="5594" xr:uid="{B3D4E0D8-7110-4F27-B25D-79E1F3B3DEA0}"/>
    <cellStyle name="Heading 4 2" xfId="10515" xr:uid="{2AB4EC3A-F827-4217-BBFB-04281EA651B7}"/>
    <cellStyle name="Heading 4 2 2" xfId="10516" xr:uid="{DD1BF993-DAD3-4356-84C1-C6CD5F09EB35}"/>
    <cellStyle name="Heading 4 3" xfId="10517" xr:uid="{F27D9FA3-8863-446E-8E55-376AF895EAB6}"/>
    <cellStyle name="Heading 4 3 2" xfId="10518" xr:uid="{DB2EAE60-039E-4010-B756-A7519C78A10C}"/>
    <cellStyle name="Hyperlink_AheadBehind.xls Chart 23" xfId="5596" xr:uid="{742F9203-2253-4D79-BB38-651226CAB783}"/>
    <cellStyle name="Input" xfId="5597" xr:uid="{67985035-70F9-44F1-8189-4E9300B4C7F8}"/>
    <cellStyle name="Input [yellow]" xfId="5598" xr:uid="{7FD10454-6EBE-4F10-9B27-B56F222D568D}"/>
    <cellStyle name="Input [yellow] 10" xfId="5599" xr:uid="{CD5D595F-28AC-4783-8ABC-20C318297D30}"/>
    <cellStyle name="Input [yellow] 11" xfId="5600" xr:uid="{F4917B43-26CC-423B-8B3E-2B683F9CE15B}"/>
    <cellStyle name="Input [yellow] 12" xfId="2070" xr:uid="{6E5FB1DD-9326-49CE-9E40-665EA62E2179}"/>
    <cellStyle name="Input [yellow] 13" xfId="5602" xr:uid="{F502E1BD-278A-4E93-9733-EED7C6E83966}"/>
    <cellStyle name="Input [yellow] 14" xfId="5603" xr:uid="{41D97CBA-035C-473D-AAB9-B2CE7F8F6DAC}"/>
    <cellStyle name="Input [yellow] 15" xfId="5604" xr:uid="{CFB58B7E-1440-4AA5-AEB9-8CDC63576966}"/>
    <cellStyle name="Input [yellow] 16" xfId="124" xr:uid="{CF493A7D-B4E4-479F-9581-874730026D41}"/>
    <cellStyle name="Input [yellow] 17" xfId="12478" xr:uid="{FE7F7BCD-D039-4D41-9E84-EAE65BC1533B}"/>
    <cellStyle name="Input [yellow] 2" xfId="5605" xr:uid="{464103C8-C161-4A26-B37D-7887431F07B0}"/>
    <cellStyle name="Input [yellow] 2 2" xfId="5606" xr:uid="{376BB646-9BF4-40AA-A9C9-83DB2A39BBC1}"/>
    <cellStyle name="Input [yellow] 2 2 2" xfId="5607" xr:uid="{698BC29B-5F87-4696-8C1F-D35038ED2EC8}"/>
    <cellStyle name="Input [yellow] 2 2 3" xfId="5608" xr:uid="{DCC1C708-4C0D-48D0-8C6E-4C5BDC8485EB}"/>
    <cellStyle name="Input [yellow] 2 2 4" xfId="5609" xr:uid="{888AAE5B-73DF-4916-AFBB-C435E9CB5CA4}"/>
    <cellStyle name="Input [yellow] 2 2 5" xfId="21604" xr:uid="{CEC095A7-EBB6-439D-A9EF-69731F0155A7}"/>
    <cellStyle name="Input [yellow] 2 3" xfId="4426" xr:uid="{9A8EA120-6AFC-45DD-9762-C0727FD4CD83}"/>
    <cellStyle name="Input [yellow] 2 4" xfId="5610" xr:uid="{7B7CEBE1-8AB3-403F-BEE4-28BCB1C2F3B3}"/>
    <cellStyle name="Input [yellow] 2 5" xfId="5611" xr:uid="{9E157FEA-A992-412B-90F8-16FE40A1E5B6}"/>
    <cellStyle name="Input [yellow] 2 6" xfId="21603" xr:uid="{B96DE63D-9738-41E9-8D86-C3A9E0D489C9}"/>
    <cellStyle name="Input [yellow] 3" xfId="5612" xr:uid="{99068D7C-2256-4774-BD60-2CDFECC92E4F}"/>
    <cellStyle name="Input [yellow] 3 2" xfId="5613" xr:uid="{CEDDCEB2-51C6-4065-8B7F-A46473017C75}"/>
    <cellStyle name="Input [yellow] 3 2 2" xfId="5614" xr:uid="{AA9CF699-35BB-4E8C-99DB-9A9CCF262499}"/>
    <cellStyle name="Input [yellow] 3 2 3" xfId="5615" xr:uid="{547D14C8-4A03-4BC8-9285-2989186EABF7}"/>
    <cellStyle name="Input [yellow] 3 2 4" xfId="5616" xr:uid="{E7B62254-3AC1-4447-A956-1B647059A1DD}"/>
    <cellStyle name="Input [yellow] 3 2 5" xfId="21606" xr:uid="{9B84D97A-ABCB-4D1A-94BE-E80D4F4E0601}"/>
    <cellStyle name="Input [yellow] 3 3" xfId="4428" xr:uid="{289F4829-3EA0-4B02-8CEE-69947636EE63}"/>
    <cellStyle name="Input [yellow] 3 4" xfId="5617" xr:uid="{8A73395C-08D8-458B-9144-5D9E1D6D591C}"/>
    <cellStyle name="Input [yellow] 3 5" xfId="5618" xr:uid="{7396FDC0-9856-4A85-AA71-0A2B6307F4F1}"/>
    <cellStyle name="Input [yellow] 3 6" xfId="21605" xr:uid="{FE990323-0CEA-4AB7-BF5C-48C53A6F717E}"/>
    <cellStyle name="Input [yellow] 4" xfId="5619" xr:uid="{FC351C69-C540-4632-BDCE-34BFEFFCDA78}"/>
    <cellStyle name="Input [yellow] 4 2" xfId="5620" xr:uid="{623D7E60-C16F-4E32-BEC8-CD9F099F2F3C}"/>
    <cellStyle name="Input [yellow] 4 2 2" xfId="21608" xr:uid="{E4D5EB41-47F0-4B02-A9C9-AC52EC563529}"/>
    <cellStyle name="Input [yellow] 4 3" xfId="4430" xr:uid="{57DF5C40-B915-4687-AE18-4E651A43E9BE}"/>
    <cellStyle name="Input [yellow] 4 4" xfId="21607" xr:uid="{B924903E-AD5F-4B0B-AC2D-0C6CDEB04771}"/>
    <cellStyle name="Input [yellow] 5" xfId="5621" xr:uid="{4D29B7B0-6E85-4AE8-B110-DC26A99BB554}"/>
    <cellStyle name="Input [yellow] 5 2" xfId="21610" xr:uid="{3B42D6EC-801C-4F0A-9432-A5E8F1FEEB81}"/>
    <cellStyle name="Input [yellow] 5 3" xfId="21609" xr:uid="{5500326D-C016-4462-823E-6F40501343A1}"/>
    <cellStyle name="Input [yellow] 6" xfId="5622" xr:uid="{7CF6D9D5-FF94-4D4A-AA7A-B79ED69C0DC9}"/>
    <cellStyle name="Input [yellow] 6 2" xfId="21612" xr:uid="{CAA88833-5C0D-4746-9B52-D50901D1AFDA}"/>
    <cellStyle name="Input [yellow] 6 3" xfId="21611" xr:uid="{6D1978CB-1FB6-4CD3-9365-4C813D8E4D15}"/>
    <cellStyle name="Input [yellow] 7" xfId="4111" xr:uid="{C92CC82C-5913-4256-A5BB-98C9F1C29D27}"/>
    <cellStyle name="Input [yellow] 7 2" xfId="21613" xr:uid="{12AEF1E4-16EA-451F-8A18-3CFD01ED0A18}"/>
    <cellStyle name="Input [yellow] 8" xfId="4114" xr:uid="{B9D4D794-37F9-4810-B8BE-5EC82061C5A0}"/>
    <cellStyle name="Input [yellow] 9" xfId="4116" xr:uid="{7D83425B-29A7-46D1-A540-75DDDC0EAA2F}"/>
    <cellStyle name="Input 10" xfId="11961" xr:uid="{A04671A3-0BF3-427F-9ABD-546BD93239D0}"/>
    <cellStyle name="Input 100" xfId="21614" xr:uid="{57A8D684-DACB-49D4-B93B-41A10FBDC3CD}"/>
    <cellStyle name="Input 101" xfId="21615" xr:uid="{A51F0731-228E-401F-9A04-FA39EC44280A}"/>
    <cellStyle name="Input 102" xfId="21616" xr:uid="{4332E929-8CD3-448E-A726-4A437BEF8860}"/>
    <cellStyle name="Input 103" xfId="21617" xr:uid="{77E7F1D0-DFBB-4026-9CD2-9A532A27E0F3}"/>
    <cellStyle name="Input 104" xfId="21618" xr:uid="{7CF93B10-EC52-4E56-8A13-D33440E2A12E}"/>
    <cellStyle name="Input 105" xfId="21619" xr:uid="{A9F70AE3-B60C-437D-BCCF-BD5AAFD9984E}"/>
    <cellStyle name="Input 106" xfId="21620" xr:uid="{1714FA1B-6D04-44E8-A09B-CBFF9E1D5675}"/>
    <cellStyle name="Input 107" xfId="21621" xr:uid="{7A21AD3A-DEF2-40C3-8272-5E341E3C7C89}"/>
    <cellStyle name="Input 108" xfId="21622" xr:uid="{1A4BF119-07AB-44CF-AC5E-106886DBC777}"/>
    <cellStyle name="Input 109" xfId="21623" xr:uid="{AD41D638-702D-4192-B4FD-4AD8BF6289E3}"/>
    <cellStyle name="Input 11" xfId="11954" xr:uid="{196E5802-72DF-4AC4-B1CB-4CD4984703E3}"/>
    <cellStyle name="Input 110" xfId="21624" xr:uid="{824B7BF5-EDC3-43BA-8FB6-41CABE3A69DB}"/>
    <cellStyle name="Input 111" xfId="21625" xr:uid="{35ECF0F9-007A-4F3E-AFAE-5039EA121093}"/>
    <cellStyle name="Input 112" xfId="21626" xr:uid="{EEA4048F-C6F9-4B96-BFE0-4CEBA7C15B6B}"/>
    <cellStyle name="Input 113" xfId="21627" xr:uid="{EEE25153-E750-447C-BCB3-257445FD9170}"/>
    <cellStyle name="Input 114" xfId="21628" xr:uid="{AB6B7FEA-D187-46AF-AE77-B4C83CB9BAB5}"/>
    <cellStyle name="Input 115" xfId="21629" xr:uid="{8B436B74-79EC-42A8-9C0A-6F86F14D9A3B}"/>
    <cellStyle name="Input 116" xfId="21630" xr:uid="{4B2B16E5-BA68-4CFD-A3C4-62ECAB6ABF58}"/>
    <cellStyle name="Input 117" xfId="21631" xr:uid="{04A8BE11-CF2D-4183-9C87-A4DC55011D4B}"/>
    <cellStyle name="Input 118" xfId="21632" xr:uid="{ACAD5A45-4209-4534-86C6-69C3D4EB6635}"/>
    <cellStyle name="Input 119" xfId="21633" xr:uid="{1BF9EBE6-833D-4F0D-85D7-C8B6752A2D33}"/>
    <cellStyle name="Input 12" xfId="11960" xr:uid="{9E8A70D9-B687-4205-810A-11EC1A16777C}"/>
    <cellStyle name="Input 120" xfId="21634" xr:uid="{EDDE6A21-961C-4898-9391-DCD43CD45AC1}"/>
    <cellStyle name="Input 121" xfId="21635" xr:uid="{19FB7342-C131-4989-B3D7-3C31844F2588}"/>
    <cellStyle name="Input 122" xfId="21636" xr:uid="{1586C090-37A4-48C8-88C9-F9D4EE3923DC}"/>
    <cellStyle name="Input 123" xfId="21637" xr:uid="{618F70E4-D72D-4B6C-98EC-75E06944705D}"/>
    <cellStyle name="Input 124" xfId="21638" xr:uid="{D8060D50-5594-4954-B007-92BE007761A8}"/>
    <cellStyle name="Input 125" xfId="21639" xr:uid="{6A4F1A6D-D191-4A42-9430-52582F4E445D}"/>
    <cellStyle name="Input 126" xfId="21640" xr:uid="{01AA5D46-EB04-44C6-9264-0DDEE6DF357B}"/>
    <cellStyle name="Input 127" xfId="21641" xr:uid="{063C4290-FDB3-4787-A657-79F27D3464B9}"/>
    <cellStyle name="Input 128" xfId="21642" xr:uid="{A509819B-B9C8-4DDF-A3E0-A9BFBA1E6B20}"/>
    <cellStyle name="Input 129" xfId="21643" xr:uid="{98739243-99E7-408D-AAE9-B8C04BE471E8}"/>
    <cellStyle name="Input 13" xfId="11955" xr:uid="{0291A1C2-35E2-4B2C-AD92-BDC58AC45520}"/>
    <cellStyle name="Input 13 2" xfId="21644" xr:uid="{D3C3BBC1-2ECF-4A3E-90EE-7673A73152D1}"/>
    <cellStyle name="Input 130" xfId="21645" xr:uid="{77C90EA5-5E92-4A8D-862B-0E4F9AE152E6}"/>
    <cellStyle name="Input 131" xfId="21646" xr:uid="{842F4F77-A24C-47D0-8C64-7D2F519E9E5D}"/>
    <cellStyle name="Input 132" xfId="21647" xr:uid="{AEF6620C-EC48-4D8E-A2CA-F50FF29065DD}"/>
    <cellStyle name="Input 133" xfId="21648" xr:uid="{A70905E9-C348-41ED-A384-AB765AB0658B}"/>
    <cellStyle name="Input 134" xfId="21649" xr:uid="{0257CE7A-D4E9-4C56-8C5F-265A8A879167}"/>
    <cellStyle name="Input 135" xfId="21650" xr:uid="{96488A08-C711-40C7-BDB3-E12B2BA06668}"/>
    <cellStyle name="Input 136" xfId="21651" xr:uid="{5459062E-8BE0-4B6C-8C95-20F1142E9B61}"/>
    <cellStyle name="Input 137" xfId="21652" xr:uid="{F178C9C3-6B7F-44C4-90C8-33E03ED84212}"/>
    <cellStyle name="Input 138" xfId="21653" xr:uid="{583DFF29-FF33-42D5-970D-0D174E545469}"/>
    <cellStyle name="Input 139" xfId="21654" xr:uid="{AFED1934-24A9-4E5A-B6C1-BEECAC117DBA}"/>
    <cellStyle name="Input 14" xfId="11959" xr:uid="{734B469A-7C9E-441B-A471-88829D7DE9F4}"/>
    <cellStyle name="Input 140" xfId="21655" xr:uid="{6912E7B5-6EC9-402C-95F5-FFA8ABF160CB}"/>
    <cellStyle name="Input 141" xfId="21656" xr:uid="{8BFE3A3A-0DCD-4D7B-8CFC-1519A18F6572}"/>
    <cellStyle name="Input 142" xfId="21657" xr:uid="{7733953F-E565-41F8-AA4A-090F0DA6535C}"/>
    <cellStyle name="Input 143" xfId="21658" xr:uid="{AF327018-0145-4B47-87D0-9A49D74ED397}"/>
    <cellStyle name="Input 144" xfId="21659" xr:uid="{127C6219-FC48-4692-831A-3411347EDEA4}"/>
    <cellStyle name="Input 145" xfId="21660" xr:uid="{4898AD28-8A24-4B20-B29E-C73244BBE714}"/>
    <cellStyle name="Input 146" xfId="21661" xr:uid="{A4CAAA5E-FFFE-44EC-8693-8CB9AA9EF97B}"/>
    <cellStyle name="Input 147" xfId="21662" xr:uid="{C38BCB07-7F88-4533-B36C-D63F695122FA}"/>
    <cellStyle name="Input 148" xfId="21663" xr:uid="{17229F0D-58DF-4D21-8FD0-B334AFF42608}"/>
    <cellStyle name="Input 149" xfId="21664" xr:uid="{B0BB1285-7A77-405C-8845-118954E3B687}"/>
    <cellStyle name="Input 15" xfId="11957" xr:uid="{DD36E97D-F79E-41CC-A29D-9B14A6ED4B4B}"/>
    <cellStyle name="Input 150" xfId="21665" xr:uid="{3A85B9FE-FEDE-4CAB-8B75-519B647D96C4}"/>
    <cellStyle name="Input 151" xfId="21666" xr:uid="{AF4AAA15-9B6F-4A78-9B62-91F466852360}"/>
    <cellStyle name="Input 152" xfId="21667" xr:uid="{68A85C30-FEFB-4203-A622-15773578FCA0}"/>
    <cellStyle name="Input 153" xfId="21668" xr:uid="{8FE0F804-1B4C-424D-B505-06078B5B02D5}"/>
    <cellStyle name="Input 154" xfId="21669" xr:uid="{3D5C14A7-DBF1-4F97-B713-717C2E2B1877}"/>
    <cellStyle name="Input 155" xfId="21670" xr:uid="{D8C2616A-97FF-4A48-ABDB-018603366519}"/>
    <cellStyle name="Input 156" xfId="21671" xr:uid="{7E661174-26F3-4CCC-B5E6-3D4CF24478C1}"/>
    <cellStyle name="Input 157" xfId="21672" xr:uid="{56A4AE80-862B-4D58-9E94-8220286FDC41}"/>
    <cellStyle name="Input 158" xfId="21602" xr:uid="{D07A38E4-940C-47BB-9B38-E65B84CE5F94}"/>
    <cellStyle name="Input 159" xfId="27232" xr:uid="{B384A989-D43F-4125-B095-F480BBB48CA3}"/>
    <cellStyle name="Input 16" xfId="11958" xr:uid="{9D60C3E5-BB0B-42F3-A791-3889577E876B}"/>
    <cellStyle name="Input 17" xfId="21673" xr:uid="{BEF89951-0D06-4162-BC2D-83E0C8D2E11D}"/>
    <cellStyle name="Input 18" xfId="21674" xr:uid="{2A9E17BC-512C-4E43-BA79-7302ADE6DF37}"/>
    <cellStyle name="Input 19" xfId="21675" xr:uid="{5896378D-35F8-432E-B75C-915B8A30B2AE}"/>
    <cellStyle name="Input 2" xfId="5623" xr:uid="{381F49E3-47A5-4C41-A78A-A07D7AD00CB5}"/>
    <cellStyle name="Input 2 2" xfId="5624" xr:uid="{32AE504B-4674-4025-AF69-9B7FC79493D0}"/>
    <cellStyle name="Input 2 2 2" xfId="5625" xr:uid="{3DF218CB-95B2-41E7-B5F0-D4FF90A76431}"/>
    <cellStyle name="Input 2 2 3" xfId="5626" xr:uid="{CF1DC68D-88E4-492D-8321-85A2262C8E5E}"/>
    <cellStyle name="Input 2 2 4" xfId="5627" xr:uid="{87344FC3-896D-4A5D-9201-84B7ECC2E828}"/>
    <cellStyle name="Input 2 2 5" xfId="10521" xr:uid="{CBC0EFC4-0695-40F2-83E8-69230031FB76}"/>
    <cellStyle name="Input 2 3" xfId="5628" xr:uid="{1C34C381-0FBF-46EB-B14F-72900DA34852}"/>
    <cellStyle name="Input 2 4" xfId="5629" xr:uid="{D2EC7B6B-E928-4902-8B65-1CBDEFA5A4FC}"/>
    <cellStyle name="Input 2 5" xfId="5630" xr:uid="{BD4E7276-4BA6-4E84-A6B7-0087439B4D2A}"/>
    <cellStyle name="Input 2 6" xfId="10520" xr:uid="{E0CFB057-7C7F-442B-B92D-4CBC1065A2CA}"/>
    <cellStyle name="Input 20" xfId="21676" xr:uid="{83B4BABD-DD4E-4BCB-8794-A36BD5AB7AF3}"/>
    <cellStyle name="Input 21" xfId="21677" xr:uid="{8A2CD3B5-B65F-482E-A903-8310252290F7}"/>
    <cellStyle name="Input 22" xfId="21678" xr:uid="{2125BA3D-BB24-4837-8A64-DA7CEC827883}"/>
    <cellStyle name="Input 23" xfId="21679" xr:uid="{0821CF23-83D4-4015-A1A5-9D36B3A9DAB8}"/>
    <cellStyle name="Input 24" xfId="21680" xr:uid="{3384E58C-67B3-4D07-9A69-30EC30FA1FB8}"/>
    <cellStyle name="Input 25" xfId="21681" xr:uid="{20E1E17E-2594-4D3F-BF4B-84266B0893D0}"/>
    <cellStyle name="Input 26" xfId="21682" xr:uid="{E6DE8D53-DB96-4E31-B98F-5D79859A980E}"/>
    <cellStyle name="Input 27" xfId="21683" xr:uid="{B7CE8E73-3B34-4D0D-BE46-703BA6A9D3DA}"/>
    <cellStyle name="Input 28" xfId="21684" xr:uid="{18CFE921-CFF9-4605-8573-E8CDD33587D9}"/>
    <cellStyle name="Input 29" xfId="21685" xr:uid="{E24EAD17-0BE3-4188-B715-6B9635732D4C}"/>
    <cellStyle name="Input 3" xfId="5631" xr:uid="{C16CCAF6-6954-4DE7-BA4F-162D5831B419}"/>
    <cellStyle name="Input 3 2" xfId="5632" xr:uid="{F45524D9-0BC9-47C2-A52C-6B72DAD38F97}"/>
    <cellStyle name="Input 3 2 2" xfId="5633" xr:uid="{F9DCC30B-0B12-4218-A130-75AAB2AA66C7}"/>
    <cellStyle name="Input 3 2 3" xfId="5634" xr:uid="{5CF213D9-4C4D-4916-87C3-87142D341EFA}"/>
    <cellStyle name="Input 3 2 4" xfId="5635" xr:uid="{CDDC12E2-EC75-402E-BF23-2C905FFE32A4}"/>
    <cellStyle name="Input 3 2 5" xfId="21686" xr:uid="{CBC83813-4CCC-46FB-8D45-B35C6231AF22}"/>
    <cellStyle name="Input 3 3" xfId="5636" xr:uid="{E8183010-3F6B-40BB-BD70-88D266AD8D72}"/>
    <cellStyle name="Input 3 4" xfId="5637" xr:uid="{B3F3FD47-7435-4A97-BC4F-C492BAFC6BFE}"/>
    <cellStyle name="Input 3 5" xfId="5638" xr:uid="{0688D24E-D722-44E9-8432-F7A9DDF24C74}"/>
    <cellStyle name="Input 3 6" xfId="10522" xr:uid="{456571BB-CA7D-4938-B194-9DC9211241C3}"/>
    <cellStyle name="Input 30" xfId="21687" xr:uid="{11E39289-7BA2-453B-8F9E-F54E6B7DB08C}"/>
    <cellStyle name="Input 31" xfId="21688" xr:uid="{B4C1E855-1467-41BB-9968-23D02657494B}"/>
    <cellStyle name="Input 32" xfId="21689" xr:uid="{81495E2B-8B29-44DB-8217-F92607119AFA}"/>
    <cellStyle name="Input 33" xfId="21690" xr:uid="{AEC0095A-0D56-4EF0-BF08-7AC470790172}"/>
    <cellStyle name="Input 34" xfId="21691" xr:uid="{64880957-13FB-4232-92B8-E4F1F4ECB445}"/>
    <cellStyle name="Input 35" xfId="21692" xr:uid="{8BB2267D-B333-425C-8663-02804F99A875}"/>
    <cellStyle name="Input 36" xfId="21693" xr:uid="{782A9E65-2B68-4646-B93A-C042688368A5}"/>
    <cellStyle name="Input 37" xfId="21694" xr:uid="{733536B2-429D-443B-B1BB-96FA16D62ED1}"/>
    <cellStyle name="Input 38" xfId="21695" xr:uid="{F890BF6C-B500-4498-ACE4-CDEF2F517181}"/>
    <cellStyle name="Input 39" xfId="21696" xr:uid="{027CBAFE-FC68-4928-A43E-BC0046730228}"/>
    <cellStyle name="Input 4" xfId="5639" xr:uid="{33E2A32C-2ACD-43D2-8EB4-8669EC96EB69}"/>
    <cellStyle name="Input 4 2" xfId="5640" xr:uid="{1E3811A2-533C-4722-BBC2-E26EA7662436}"/>
    <cellStyle name="Input 4 2 2" xfId="5641" xr:uid="{8D11F07D-00C5-4B47-97E9-910C54D36523}"/>
    <cellStyle name="Input 4 2 3" xfId="5644" xr:uid="{72905A29-A232-4E22-A3F5-03396F7D9521}"/>
    <cellStyle name="Input 4 2 4" xfId="5647" xr:uid="{6EF94152-71EF-4195-BE45-32EABBAC0C73}"/>
    <cellStyle name="Input 4 2 5" xfId="21698" xr:uid="{A7DF2BE5-F873-40DD-973D-B9EAAB6C2F3D}"/>
    <cellStyle name="Input 4 3" xfId="5650" xr:uid="{9E733A22-1885-405A-9C50-5FBB19B445B8}"/>
    <cellStyle name="Input 4 4" xfId="5651" xr:uid="{3473ED93-5699-4F3A-B47C-9071D8273D1E}"/>
    <cellStyle name="Input 4 5" xfId="5652" xr:uid="{6A4222B0-B144-43D6-9BDE-1EB0A63B5088}"/>
    <cellStyle name="Input 4 6" xfId="21697" xr:uid="{4CAE5498-DB5E-4C80-9E69-F93530D63D31}"/>
    <cellStyle name="Input 40" xfId="21699" xr:uid="{CA886008-C09C-468E-B0B0-BA2BE83FD1E0}"/>
    <cellStyle name="Input 41" xfId="21700" xr:uid="{3F2D37DF-792D-46BA-98AB-D841646C1014}"/>
    <cellStyle name="Input 42" xfId="21701" xr:uid="{3B2FBD80-DBB5-4DD5-A0F5-1158F55683CF}"/>
    <cellStyle name="Input 43" xfId="21702" xr:uid="{0ABD713F-AB4F-46DA-B304-3D88F43E8E7E}"/>
    <cellStyle name="Input 44" xfId="21703" xr:uid="{1B3F26B2-2DBF-429F-80D4-B122BE0A039E}"/>
    <cellStyle name="Input 45" xfId="21704" xr:uid="{DC203914-57FE-4335-B2DF-FF7833BBD444}"/>
    <cellStyle name="Input 46" xfId="21705" xr:uid="{D5D9AAD0-96B4-4A60-9B4A-88464E29FD52}"/>
    <cellStyle name="Input 47" xfId="21706" xr:uid="{76778B13-3B01-4ED1-88D5-B5DB62F865A9}"/>
    <cellStyle name="Input 48" xfId="21707" xr:uid="{0B75ED9F-6001-4106-AE9A-6D0BCF2E6777}"/>
    <cellStyle name="Input 49" xfId="21708" xr:uid="{82E6B4CA-51AE-4740-B0D0-0A4D046FC19D}"/>
    <cellStyle name="Input 5" xfId="4487" xr:uid="{86E09822-6CC3-40F8-97B5-8345E05B3061}"/>
    <cellStyle name="Input 5 2" xfId="21710" xr:uid="{DA058B02-E1AC-4FF3-8FC1-8D9B0AE5EE28}"/>
    <cellStyle name="Input 5 3" xfId="21709" xr:uid="{C58F8E2E-1028-4889-897F-46767E2F14AB}"/>
    <cellStyle name="Input 50" xfId="21711" xr:uid="{D1661704-BDF2-4CC1-B54C-0BC70642BBEA}"/>
    <cellStyle name="Input 51" xfId="21712" xr:uid="{9B32C990-06F4-4C1E-A0E5-487EF3DE6ABF}"/>
    <cellStyle name="Input 52" xfId="21713" xr:uid="{3E19A6EB-F049-4497-9CE8-664F3C2C7456}"/>
    <cellStyle name="Input 53" xfId="21714" xr:uid="{B4F7002F-B4C6-4103-982D-F38712736C55}"/>
    <cellStyle name="Input 54" xfId="21715" xr:uid="{9BB0B93A-96F8-46BE-BB56-FCA1034E134B}"/>
    <cellStyle name="Input 55" xfId="21716" xr:uid="{163E3912-6CAF-4D9E-B4EF-906FCA5A1AC3}"/>
    <cellStyle name="Input 56" xfId="21717" xr:uid="{3DCE30F5-3C14-4655-9B1C-DC827B25FE77}"/>
    <cellStyle name="Input 57" xfId="21718" xr:uid="{E9079532-963F-4CD8-8288-C4D943DEC360}"/>
    <cellStyle name="Input 58" xfId="21719" xr:uid="{CA70F584-7DD3-41D4-946F-813446E6A2A1}"/>
    <cellStyle name="Input 59" xfId="21720" xr:uid="{046DFE0B-2A5B-49D8-B912-369CAAB061B6}"/>
    <cellStyle name="Input 6" xfId="5653" xr:uid="{2CDA2803-70FC-4C34-B137-0E5B2DAC1F06}"/>
    <cellStyle name="Input 6 2" xfId="21722" xr:uid="{0B174151-E4FB-42D3-8189-E784A3F7C034}"/>
    <cellStyle name="Input 6 3" xfId="21721" xr:uid="{BB3B65AA-DBB8-478B-ADE9-8DBC9A9197D0}"/>
    <cellStyle name="Input 60" xfId="21723" xr:uid="{E845C26E-799C-4BAE-86BC-A8A24DB4D1C0}"/>
    <cellStyle name="Input 61" xfId="21724" xr:uid="{E4A4BD68-BEB3-4D4C-A43E-993208857E1F}"/>
    <cellStyle name="Input 62" xfId="21725" xr:uid="{536C7D4A-D305-44E7-ABDF-D37E9B9FEF07}"/>
    <cellStyle name="Input 63" xfId="21726" xr:uid="{214BE026-F17C-463A-8BF4-340AC2530A45}"/>
    <cellStyle name="Input 64" xfId="21727" xr:uid="{54520D40-372C-47E1-B320-A144626E9728}"/>
    <cellStyle name="Input 65" xfId="21728" xr:uid="{D041E98F-D728-4C71-9136-342B810E9B31}"/>
    <cellStyle name="Input 66" xfId="21729" xr:uid="{A1160E54-6E35-441F-9D87-1B29987C5C17}"/>
    <cellStyle name="Input 67" xfId="21730" xr:uid="{1EBCDCEF-EC95-4151-93F5-CEF704C8C8C0}"/>
    <cellStyle name="Input 68" xfId="21731" xr:uid="{528AF83C-CB6D-494E-B9B3-2692817976E8}"/>
    <cellStyle name="Input 69" xfId="21732" xr:uid="{E0097437-2ABB-4A0E-A7E1-C3A8ABA5BF51}"/>
    <cellStyle name="Input 7" xfId="5654" xr:uid="{06BD0DAE-D694-4935-B7D0-66D0AD179BDB}"/>
    <cellStyle name="Input 7 2" xfId="21734" xr:uid="{1351EDD9-E9E2-4843-B612-422677D8846B}"/>
    <cellStyle name="Input 7 3" xfId="21733" xr:uid="{5D246F66-16E8-46BC-8B4A-D4675025C81B}"/>
    <cellStyle name="Input 70" xfId="21735" xr:uid="{226F1318-D025-4486-857B-CF668CCA9572}"/>
    <cellStyle name="Input 71" xfId="21736" xr:uid="{F494018D-AFD0-46AB-8A89-65AD8ED80A3B}"/>
    <cellStyle name="Input 72" xfId="21737" xr:uid="{3CBE9197-E687-4FAF-82E8-2057B1B2936F}"/>
    <cellStyle name="Input 73" xfId="21738" xr:uid="{44FCAFF3-BA80-4ABD-8B42-1C1AF3AF1D1F}"/>
    <cellStyle name="Input 74" xfId="21739" xr:uid="{16DFBAA2-A87B-443F-8933-438CE0CFE30C}"/>
    <cellStyle name="Input 75" xfId="21740" xr:uid="{C4927BD7-23AB-4D37-92BB-6B4A8D92933B}"/>
    <cellStyle name="Input 76" xfId="21741" xr:uid="{662EDBBD-D01D-4EA1-9250-D995F168780C}"/>
    <cellStyle name="Input 77" xfId="21742" xr:uid="{90A56C4A-6EF7-4730-99AA-2C1A3FDE1FDC}"/>
    <cellStyle name="Input 78" xfId="21743" xr:uid="{3053AB62-9AFF-4E14-9E6B-F7FD59BE784C}"/>
    <cellStyle name="Input 79" xfId="21744" xr:uid="{9AE26D56-7658-40E6-8D53-D21490B73AD0}"/>
    <cellStyle name="Input 8" xfId="10519" xr:uid="{2AB8102D-3BF0-4232-BA2E-BBEC6D36B311}"/>
    <cellStyle name="Input 80" xfId="21745" xr:uid="{E8EC9DDA-9427-451E-8E79-26E8335F8959}"/>
    <cellStyle name="Input 81" xfId="21746" xr:uid="{62265A4A-DDFC-4770-8478-8505CE314517}"/>
    <cellStyle name="Input 82" xfId="21747" xr:uid="{26800131-C091-4668-8768-55AA5502EADA}"/>
    <cellStyle name="Input 83" xfId="21748" xr:uid="{99297080-D565-437F-BE6D-01CBD686A49B}"/>
    <cellStyle name="Input 84" xfId="21749" xr:uid="{7E0F457E-ED44-4D73-9156-BC7A8D59EF28}"/>
    <cellStyle name="Input 85" xfId="21750" xr:uid="{95D16E78-D923-48EA-96FE-09879BC93B71}"/>
    <cellStyle name="Input 86" xfId="21751" xr:uid="{E8BF7DF9-BE0E-4BF4-B1C5-3B65E5374B93}"/>
    <cellStyle name="Input 87" xfId="21752" xr:uid="{0E3BE40A-9E84-423C-9342-D5CFF5C0DEDE}"/>
    <cellStyle name="Input 88" xfId="21753" xr:uid="{327636B9-ADC8-42D8-A8E5-E2DABC255814}"/>
    <cellStyle name="Input 89" xfId="21754" xr:uid="{2319913F-3CA9-408D-B681-27A469CA93D9}"/>
    <cellStyle name="Input 9" xfId="11956" xr:uid="{9944DAA1-58CC-4FA0-A487-F1F143EA51BA}"/>
    <cellStyle name="Input 90" xfId="21755" xr:uid="{3207E275-EA07-46DD-9F9A-9544F8E795AA}"/>
    <cellStyle name="Input 91" xfId="21756" xr:uid="{593B0389-7120-4752-B031-C3ABF781FDEA}"/>
    <cellStyle name="Input 92" xfId="21757" xr:uid="{A138AE76-5D89-41F2-9779-32EB70876138}"/>
    <cellStyle name="Input 93" xfId="21758" xr:uid="{D707B324-F68E-472D-8B12-31510F9A44D5}"/>
    <cellStyle name="Input 94" xfId="21759" xr:uid="{441AD6D7-6043-4BFB-9BB4-89EB3FFD90BA}"/>
    <cellStyle name="Input 95" xfId="21760" xr:uid="{5FE26667-0882-4FBB-8F07-160D00F935A4}"/>
    <cellStyle name="Input 96" xfId="21761" xr:uid="{FF96FFA0-28CB-4E2E-8A8B-5C2E1538599E}"/>
    <cellStyle name="Input 97" xfId="21762" xr:uid="{4A086130-4A8A-46E8-BC77-4E241AE0ADD1}"/>
    <cellStyle name="Input 98" xfId="21763" xr:uid="{EACCD9BE-BBA3-43BE-9A76-1945474BC5B1}"/>
    <cellStyle name="Input 99" xfId="21764" xr:uid="{54FA934F-1135-475A-BAF7-6233EBABC0C3}"/>
    <cellStyle name="Input Cells" xfId="5655" xr:uid="{892244C2-6382-44FE-BC1C-28033BCF5271}"/>
    <cellStyle name="Input Cells 2" xfId="5656" xr:uid="{A3293D4D-FAD0-4D2B-87FD-81600A4E1548}"/>
    <cellStyle name="Input Cells 2 2" xfId="21765" xr:uid="{3CFDB9BB-47AC-4828-AC88-841FE2BD3AD9}"/>
    <cellStyle name="Input Cells 3" xfId="12795" xr:uid="{63E8B3E8-A09A-45C5-B4F1-65BE0EACF85E}"/>
    <cellStyle name="Input Cells 3 2" xfId="21766" xr:uid="{06B0F787-2E18-4A7E-B42E-5C3904EC2CB3}"/>
    <cellStyle name="Input Cells 4" xfId="21767" xr:uid="{B3F64B47-C551-4A9E-9AEC-E64CF892EF61}"/>
    <cellStyle name="Input Cells 5" xfId="21768" xr:uid="{CE4C91C1-236A-4F35-A9F0-DBD5D459B01E}"/>
    <cellStyle name="Input Cells 6" xfId="21769" xr:uid="{3D8A33FC-C6BB-499D-B415-C70E58C47786}"/>
    <cellStyle name="Input Cells 7" xfId="21770" xr:uid="{D00472E2-FAA1-4972-9A85-F1B9519F73FF}"/>
    <cellStyle name="Input Cells 8" xfId="21771" xr:uid="{D0074FEB-0D6D-4171-80A2-3995AF502AE7}"/>
    <cellStyle name="Input Cells_动力预提" xfId="21772" xr:uid="{97257C65-2353-4AD4-BA16-B2955C284551}"/>
    <cellStyle name="Input_动力部" xfId="21773" xr:uid="{900E80D6-81EB-4E99-BEC2-D3080825FA75}"/>
    <cellStyle name="Linked Cell" xfId="5657" xr:uid="{75AC3E29-52C4-46F7-899C-077AA7C74574}"/>
    <cellStyle name="Linked Cell 2" xfId="10523" xr:uid="{CDA44484-8CED-45EB-BB13-C80EEC0DE244}"/>
    <cellStyle name="Linked Cell 2 2" xfId="10524" xr:uid="{AFB9B46D-458A-4D17-AAA9-148A6C419324}"/>
    <cellStyle name="Linked Cell 3" xfId="10525" xr:uid="{728AD77A-7C6C-4A3D-A80A-E567B32D2EFB}"/>
    <cellStyle name="Linked Cell 3 2" xfId="10526" xr:uid="{EFA9F184-0E41-402D-8774-32E9BE2C27FA}"/>
    <cellStyle name="Linked Cells" xfId="5658" xr:uid="{136789DF-2C26-424C-B719-A709BBB691C2}"/>
    <cellStyle name="Linked Cells 2" xfId="5659" xr:uid="{8A1A662C-2D53-49DD-8CEA-76283B187A04}"/>
    <cellStyle name="Linked Cells 2 2" xfId="21774" xr:uid="{D2E6B242-6241-48DB-AC81-0641C01FAA3B}"/>
    <cellStyle name="Linked Cells 3" xfId="12661" xr:uid="{8CBBE533-4850-494C-97C2-33857F8C9B18}"/>
    <cellStyle name="Linked Cells 3 2" xfId="21775" xr:uid="{2F5298A9-E12A-4833-9EAA-695955B0EBC3}"/>
    <cellStyle name="Linked Cells 4" xfId="21776" xr:uid="{BEEC19AA-96C1-4BC4-814D-C46D5F31882E}"/>
    <cellStyle name="Linked Cells 5" xfId="21777" xr:uid="{595C8B3F-35C5-4EA9-B33F-009A9DFCCF9D}"/>
    <cellStyle name="Linked Cells 6" xfId="21778" xr:uid="{7E356AF0-53C8-4E7A-AB44-EC799F9BE18B}"/>
    <cellStyle name="Linked Cells 7" xfId="21779" xr:uid="{4AB781C8-CF22-42AD-B4AA-EB7400C2F652}"/>
    <cellStyle name="Linked Cells 8" xfId="21780" xr:uid="{15BDA204-FDA4-4841-928B-5FB72C20F58A}"/>
    <cellStyle name="Linked Cells_动力预提" xfId="21781" xr:uid="{72D5FA3D-95F0-47C1-8710-E88F340AA8D5}"/>
    <cellStyle name="Millares [0]_96 Risk" xfId="5660" xr:uid="{76407FF0-4454-44F3-A7EF-E038583A1D79}"/>
    <cellStyle name="Millares_96 Risk" xfId="5661" xr:uid="{20C608A8-D3FE-4458-9262-5CF52E098E45}"/>
    <cellStyle name="Milliers [0]_!!!GO" xfId="5662" xr:uid="{D2526F62-82BE-4E01-941F-07464E1A3587}"/>
    <cellStyle name="Milliers_!!!GO" xfId="5665" xr:uid="{FA831CF3-1F8E-48DE-BBA8-BECEE13DDAEA}"/>
    <cellStyle name="Model" xfId="5666" xr:uid="{4EF15624-1BBC-4ADF-8AA5-CEF475FABD9F}"/>
    <cellStyle name="Model 2" xfId="12198" xr:uid="{0C9EBAE1-3527-44DC-A910-F32DB292504A}"/>
    <cellStyle name="Moneda [0]_96 Risk" xfId="5667" xr:uid="{875344CB-9DA0-4F89-939C-1D028198782A}"/>
    <cellStyle name="Moneda_96 Risk" xfId="5668" xr:uid="{2EC64513-73BE-4E25-86EA-373866CE3F88}"/>
    <cellStyle name="Mon閠aire [0]_!!!GO" xfId="5669" xr:uid="{ED56E6BA-2C20-473D-8C32-8F72F09A8EE9}"/>
    <cellStyle name="Mon閠aire_!!!GO" xfId="5670" xr:uid="{AAC8FE69-9FC5-42A9-9BF0-1AA5DD0D0D11}"/>
    <cellStyle name="Neutral" xfId="5671" xr:uid="{E7DA1080-4F99-44F1-88F3-82E54F04A21C}"/>
    <cellStyle name="Neutral 2" xfId="10528" xr:uid="{D09ECFCA-3133-4ACF-B988-F5E0A839CD24}"/>
    <cellStyle name="Neutral 2 2" xfId="10529" xr:uid="{EF5C949D-7CCD-437D-8C61-16D99D4E65B4}"/>
    <cellStyle name="Neutral 3" xfId="10530" xr:uid="{0C1D7DD4-5FBE-4CA8-8464-F3F1B1EEA449}"/>
    <cellStyle name="Neutral 3 2" xfId="21782" xr:uid="{0FC15DCF-406E-4696-964F-5431FB032589}"/>
    <cellStyle name="Neutral 4" xfId="10527" xr:uid="{BF81222D-607E-418F-8BBE-20729790222B}"/>
    <cellStyle name="Neutral 4 2" xfId="21783" xr:uid="{513E3970-A8B1-4019-8EFE-D05E503B6CB7}"/>
    <cellStyle name="Neutral 5" xfId="21784" xr:uid="{D49DE5DD-446E-43F4-8FAF-22CFA44D5623}"/>
    <cellStyle name="Neutral 6" xfId="21785" xr:uid="{D9DCD882-F0EC-4E8E-AB1D-408D75AF9F7F}"/>
    <cellStyle name="Neutral 7" xfId="21786" xr:uid="{5127A49F-A5B8-4069-9B67-DFEAA3071BE2}"/>
    <cellStyle name="Neutral_球团工序" xfId="21787" xr:uid="{DBF4D69A-7A99-463F-A116-7C13A6D268BB}"/>
    <cellStyle name="New Times Roman" xfId="21788" xr:uid="{02AF8061-CB93-4D94-AAFF-8AE1BCEA906B}"/>
    <cellStyle name="New Times Roman 2" xfId="21789" xr:uid="{73DDB1CC-BB34-457D-8D00-E22613BEFE89}"/>
    <cellStyle name="no dec" xfId="3557" xr:uid="{FA0CC67D-8953-49DA-A301-CEC8235F05A8}"/>
    <cellStyle name="no dec 2" xfId="12196" xr:uid="{EFC73475-0392-4E68-87EA-533D83E24E24}"/>
    <cellStyle name="Non défini" xfId="5672" xr:uid="{C093B79D-5297-4EDF-ACA4-68CBC116620B}"/>
    <cellStyle name="Non défini 2" xfId="12270" xr:uid="{6C631C48-9BDE-498A-8FB9-81FEEA3FFAB9}"/>
    <cellStyle name="Normal" xfId="27411" xr:uid="{0F1C237A-9334-4E00-A0F8-EBB9E1CC16EA}"/>
    <cellStyle name="Normal - Style1" xfId="2495" xr:uid="{05F6C7F3-9885-4803-BC30-8BAB9ED7ACB3}"/>
    <cellStyle name="Normal - Style1 10" xfId="5673" xr:uid="{1534BD08-FF30-41B3-A74C-1179D1F43CD0}"/>
    <cellStyle name="Normal - Style1 11" xfId="5674" xr:uid="{BA9F9234-622F-49F2-A0F5-AE4116368EF8}"/>
    <cellStyle name="Normal - Style1 12" xfId="5675" xr:uid="{F0F0B1AF-610E-4D7D-8545-AFABB1F3E47C}"/>
    <cellStyle name="Normal - Style1 13" xfId="5676" xr:uid="{918E9D4E-DC28-458C-9E6A-58398B23F760}"/>
    <cellStyle name="Normal - Style1 14" xfId="12201" xr:uid="{58CC3906-88DA-46BE-BC03-4EDE02024E52}"/>
    <cellStyle name="Normal - Style1 15" xfId="21790" xr:uid="{2B7A49E0-8117-4731-B472-0AB3C596FC72}"/>
    <cellStyle name="Normal - Style1 2" xfId="3025" xr:uid="{D31C3B86-E484-4F8E-ADAA-DB30814731A5}"/>
    <cellStyle name="Normal - Style1 2 2" xfId="21791" xr:uid="{CC550D27-B197-4BED-B28F-E7783174922A}"/>
    <cellStyle name="Normal - Style1 3" xfId="5677" xr:uid="{9ECBE479-97B1-4DED-B930-600FE31E828B}"/>
    <cellStyle name="Normal - Style1 4" xfId="543" xr:uid="{228B878E-9F5F-4132-9E07-74189FB1ECDA}"/>
    <cellStyle name="Normal - Style1 5" xfId="1890" xr:uid="{DA2215FD-2966-427B-BFE9-46730BAE6BBC}"/>
    <cellStyle name="Normal - Style1 6" xfId="1896" xr:uid="{32AE8AD8-EDD4-4B75-9FFC-EBD2552D13F9}"/>
    <cellStyle name="Normal - Style1 7" xfId="1899" xr:uid="{78DCB0A4-E729-4F02-BE18-07699494F97A}"/>
    <cellStyle name="Normal - Style1 8" xfId="1905" xr:uid="{4C55B1E3-9FF1-48ED-8D77-92A312123205}"/>
    <cellStyle name="Normal - Style1 9" xfId="5678" xr:uid="{5D612A47-F2FC-41E4-8B01-BBEA0CA0C2A3}"/>
    <cellStyle name="Normal 10" xfId="27412" xr:uid="{0699AA08-7A3C-4B5B-9795-E38C34F730E2}"/>
    <cellStyle name="Normal 11" xfId="27413" xr:uid="{0B401A38-EAC3-413D-A88D-393966919D2F}"/>
    <cellStyle name="Normal 12" xfId="27414" xr:uid="{F52B83CE-F2E1-4E78-84C0-3AFCEB0A4985}"/>
    <cellStyle name="Normal 13" xfId="27415" xr:uid="{5AC366B6-B92D-4EE2-A385-081B4E4C50A8}"/>
    <cellStyle name="Normal 14" xfId="27416" xr:uid="{14D4A0CD-771C-4F96-89CC-96A8741F8FC7}"/>
    <cellStyle name="Normal 15" xfId="27852" xr:uid="{F1D685E5-EAAC-4ED3-99A5-65648C383C03}"/>
    <cellStyle name="Normal 16" xfId="27858" xr:uid="{4C67DE8F-14AC-429F-AD47-E76B563BE68C}"/>
    <cellStyle name="Normal 2" xfId="27417" xr:uid="{4EAD32C9-A393-4A2C-B63C-B07DDFA9AB0B}"/>
    <cellStyle name="Normal 3" xfId="27418" xr:uid="{7AA95440-C8F7-4726-8406-31DF48AE347C}"/>
    <cellStyle name="Normal 4" xfId="27419" xr:uid="{59FBADC3-E48D-4F7B-ABA0-CD9682EF9EEA}"/>
    <cellStyle name="Normal 5" xfId="27420" xr:uid="{B434E4C3-DCC8-4CF9-B159-46B4E01A4164}"/>
    <cellStyle name="Normal 6" xfId="27421" xr:uid="{3403E1B1-8B55-41CD-8A84-17BFFFABB6D5}"/>
    <cellStyle name="Normal 7" xfId="27422" xr:uid="{F8224FBA-3AF0-474E-81B8-F6E77F17419F}"/>
    <cellStyle name="Normal 8" xfId="27423" xr:uid="{5CBB07CC-BF8A-4B36-A823-E4744FA22A1A}"/>
    <cellStyle name="Normal 9" xfId="27424" xr:uid="{7B835E52-C5CA-4DD8-810A-54867CC47118}"/>
    <cellStyle name="Normal_ SG&amp;A Bridge " xfId="5679" xr:uid="{9882CD26-CBC4-4564-924E-F0610B27C7AB}"/>
    <cellStyle name="Note" xfId="5680" xr:uid="{9233A85F-7CE9-4669-AC0A-67E072E5BCD6}"/>
    <cellStyle name="Note 10" xfId="21792" xr:uid="{1A7DE099-E36B-42B5-A0AB-4C0534A453BA}"/>
    <cellStyle name="Note 2" xfId="5681" xr:uid="{5C637A3E-1B42-44BC-999C-521A9FD42EB1}"/>
    <cellStyle name="Note 2 2" xfId="5543" xr:uid="{24A36A90-375B-45FF-9C78-7FAE778379F1}"/>
    <cellStyle name="Note 2 2 2" xfId="5682" xr:uid="{6AB60B25-F183-42A9-BB2A-467F9CB6F8EC}"/>
    <cellStyle name="Note 2 2 3" xfId="5683" xr:uid="{4BB22909-7FD4-436A-909E-4B82B0EC259A}"/>
    <cellStyle name="Note 2 2 4" xfId="4554" xr:uid="{9891E9B7-8FDE-4F82-B7B4-73EF805B5A37}"/>
    <cellStyle name="Note 2 2 5" xfId="10533" xr:uid="{F0EC1D32-6984-47A6-9DC0-600945FFAF77}"/>
    <cellStyle name="Note 2 2 6" xfId="21794" xr:uid="{C4FA9663-FD77-42C4-908F-0B887566E6A3}"/>
    <cellStyle name="Note 2 3" xfId="5545" xr:uid="{E4E9788B-1695-45D3-BE76-079ABF1CC5C2}"/>
    <cellStyle name="Note 2 4" xfId="5547" xr:uid="{22FC385F-AB6E-4034-810F-DEB2DE43D14C}"/>
    <cellStyle name="Note 2 5" xfId="5549" xr:uid="{0A4640AB-57B9-4E67-9F3D-462D4606C1A5}"/>
    <cellStyle name="Note 2 6" xfId="10532" xr:uid="{D8E53B45-F178-441C-9BAA-A3B9EE4E913B}"/>
    <cellStyle name="Note 2 7" xfId="21793" xr:uid="{11A26E03-02DB-4EC6-BFF1-C6D9F12A4138}"/>
    <cellStyle name="Note 3" xfId="5684" xr:uid="{9273393F-018E-415A-9A84-39125CFB9B39}"/>
    <cellStyle name="Note 3 2" xfId="972" xr:uid="{0DBFCC6C-E92B-491C-A366-E1E0056D0D22}"/>
    <cellStyle name="Note 3 2 2" xfId="976" xr:uid="{F40F8909-81C8-440B-8E9F-9DFD2928772A}"/>
    <cellStyle name="Note 3 2 3" xfId="835" xr:uid="{CE03F622-17B5-49BE-BCC8-C5FD3CADDE30}"/>
    <cellStyle name="Note 3 2 4" xfId="982" xr:uid="{355E6535-E323-4ED6-8DCE-AA6FD4CF3CA8}"/>
    <cellStyle name="Note 3 2 5" xfId="10535" xr:uid="{E2335C27-5DD7-4B99-84A8-0A1A68292CCC}"/>
    <cellStyle name="Note 3 3" xfId="1001" xr:uid="{939A8D16-E110-4F48-992D-FDF29E783936}"/>
    <cellStyle name="Note 3 4" xfId="554" xr:uid="{E17FCD72-6663-4F6E-892F-9DE536B45AE5}"/>
    <cellStyle name="Note 3 5" xfId="561" xr:uid="{58A504C1-C488-4CA3-8000-4665C842189D}"/>
    <cellStyle name="Note 3 6" xfId="10534" xr:uid="{B1187557-22DE-43B5-96D2-11CE4FBF0B8C}"/>
    <cellStyle name="Note 4" xfId="5685" xr:uid="{EC63B01D-28F6-4189-81D6-BCC61A04B6D2}"/>
    <cellStyle name="Note 4 2" xfId="1227" xr:uid="{91E36D22-BB52-45F1-A785-4D03A72B95BD}"/>
    <cellStyle name="Note 4 2 2" xfId="5686" xr:uid="{BABAB303-F4C2-4309-964B-F8B94084CB64}"/>
    <cellStyle name="Note 4 2 3" xfId="5687" xr:uid="{26A7E54C-36DD-464B-B694-BACF10A1DC23}"/>
    <cellStyle name="Note 4 2 4" xfId="5688" xr:uid="{4F7DFB21-5815-4B97-B546-BA4050764790}"/>
    <cellStyle name="Note 4 3" xfId="1243" xr:uid="{9A3CA5DC-D693-4050-9F76-51E0D8547EFD}"/>
    <cellStyle name="Note 4 4" xfId="1248" xr:uid="{FD2FD94C-83B5-4C81-9BDA-32B212FCC5B1}"/>
    <cellStyle name="Note 4 5" xfId="1253" xr:uid="{5FA6E33F-744E-49AB-9B1F-037B8A32EAB5}"/>
    <cellStyle name="Note 5" xfId="2554" xr:uid="{782C7551-CF61-48A3-9AB0-F9A89ED6B3D1}"/>
    <cellStyle name="Note 5 2" xfId="5689" xr:uid="{06D456C5-3E6B-4A26-BD79-C0D6E0363561}"/>
    <cellStyle name="Note 5 3" xfId="5690" xr:uid="{18148298-9260-4466-AB57-739B38243792}"/>
    <cellStyle name="Note 5 4" xfId="5691" xr:uid="{8814739F-C2E1-4DF6-9061-44CF11BADF6F}"/>
    <cellStyle name="Note 6" xfId="5692" xr:uid="{C127C5C0-F672-4C89-94D3-E2969AE3D3C2}"/>
    <cellStyle name="Note 7" xfId="5693" xr:uid="{F1FD70A4-3514-4E92-81D2-D765B64A1A93}"/>
    <cellStyle name="Note 8" xfId="2165" xr:uid="{55B56AF8-EB1D-4423-9590-CA8131DBC246}"/>
    <cellStyle name="Note 8 2" xfId="21795" xr:uid="{83C109F4-5F91-4CFF-9656-20EF5774FB23}"/>
    <cellStyle name="Note 9" xfId="10531" xr:uid="{022387AC-A3EE-424B-AD21-623DC5CF7912}"/>
    <cellStyle name="Note_动力部" xfId="21796" xr:uid="{638EB366-9082-4731-8516-8B9DDBA52274}"/>
    <cellStyle name="Output" xfId="5694" xr:uid="{D0801249-1B75-485D-B0AC-DDA5BC37C5AA}"/>
    <cellStyle name="Output 2" xfId="5696" xr:uid="{8FBB8D38-5BFA-43A8-BB81-CDD86BA3AD56}"/>
    <cellStyle name="Output 2 2" xfId="5699" xr:uid="{DD5E41AE-15DE-4CBA-B82B-A1ABC4C749BA}"/>
    <cellStyle name="Output 2 2 2" xfId="5700" xr:uid="{5451E734-A1F4-461F-8353-20A36D849739}"/>
    <cellStyle name="Output 2 2 3" xfId="5703" xr:uid="{C63B364D-2242-4DDC-8972-6BFD9311DEC4}"/>
    <cellStyle name="Output 2 2 4" xfId="5706" xr:uid="{929AFB76-BE72-463F-8FCE-3D7F15A3896E}"/>
    <cellStyle name="Output 2 2 5" xfId="10538" xr:uid="{52698EBC-930D-4F3D-A82E-27DAF837C624}"/>
    <cellStyle name="Output 2 3" xfId="5709" xr:uid="{1B3B1C56-54C4-4087-8614-A9C5BE71F155}"/>
    <cellStyle name="Output 2 4" xfId="5710" xr:uid="{F83C2476-BCAB-4068-9B98-B23A199E6370}"/>
    <cellStyle name="Output 2 5" xfId="5711" xr:uid="{ACAA4A3A-6109-4C6B-A066-3BA1DBDA4E12}"/>
    <cellStyle name="Output 2 6" xfId="10537" xr:uid="{107B7E44-DE71-4C0B-9173-25AB6A7386D5}"/>
    <cellStyle name="Output 3" xfId="5712" xr:uid="{61234AD4-ABF7-4C41-8CD9-6AE58727D005}"/>
    <cellStyle name="Output 3 2" xfId="5715" xr:uid="{E878E2DB-155D-4175-840A-6036EBF373C0}"/>
    <cellStyle name="Output 3 2 2" xfId="5716" xr:uid="{9777BCD0-F857-4706-95CD-ACF389BF7B94}"/>
    <cellStyle name="Output 3 2 3" xfId="5717" xr:uid="{0F6A6E6F-5351-4EC0-BD1C-E9218A2E8F9B}"/>
    <cellStyle name="Output 3 2 4" xfId="5718" xr:uid="{7A0D4A4E-ED72-4069-927D-E7C7039D1ACA}"/>
    <cellStyle name="Output 3 3" xfId="5719" xr:uid="{99E03F05-CB93-4A3C-B8F9-A54CB7CC8C36}"/>
    <cellStyle name="Output 3 4" xfId="5720" xr:uid="{1DDF8200-BC51-4416-B9BE-339D272696BC}"/>
    <cellStyle name="Output 3 5" xfId="5431" xr:uid="{DD261C85-80FB-45BC-8E69-6B713F823EE4}"/>
    <cellStyle name="Output 3 6" xfId="10539" xr:uid="{B96B58CD-7BF5-4266-A519-F671EEEE9EFF}"/>
    <cellStyle name="Output 4" xfId="5721" xr:uid="{35DCBBB0-A3AE-4BED-B218-1A6F38D3BD2D}"/>
    <cellStyle name="Output 4 2" xfId="5724" xr:uid="{428B362F-73CB-4EA4-B7DA-9F56C40BACF8}"/>
    <cellStyle name="Output 4 3" xfId="5725" xr:uid="{DFBF00CF-B835-4B0E-A5A5-2201CC1978F4}"/>
    <cellStyle name="Output 4 4" xfId="5726" xr:uid="{29E55444-2D5E-42B8-8CC8-673A223AD734}"/>
    <cellStyle name="Output 5" xfId="5727" xr:uid="{AB030A5D-7E94-43F9-81D4-6869A9A6E05E}"/>
    <cellStyle name="Output 6" xfId="1465" xr:uid="{21F3B6BE-68DD-4FA3-BAD1-78FD4E3BF935}"/>
    <cellStyle name="Output 7" xfId="4213" xr:uid="{6947F951-5FA0-4E1C-BEA7-6E577C540489}"/>
    <cellStyle name="Output 8" xfId="10536" xr:uid="{654DF672-A06F-4F77-8611-ADDA25415FFB}"/>
    <cellStyle name="Output 8 2" xfId="21797" xr:uid="{92C08D49-B659-435F-A4E6-7764DFD29FA5}"/>
    <cellStyle name="Output_动力部" xfId="21798" xr:uid="{AA7ED313-8728-48C9-A46E-120DFA2B23AD}"/>
    <cellStyle name="per.style" xfId="5730" xr:uid="{E5F0D57B-A3C6-4CE7-9A64-07C905C5D686}"/>
    <cellStyle name="per.style 2" xfId="12793" xr:uid="{9330ADB5-7FC6-4B72-858B-AA367F95F6E9}"/>
    <cellStyle name="Percent" xfId="27425" xr:uid="{A2CF35C9-E53F-4890-BC85-9F3526D4DD3A}"/>
    <cellStyle name="Percent [2]" xfId="5731" xr:uid="{021DE4DF-6182-4654-BA98-247E2F4E9D27}"/>
    <cellStyle name="Percent [2] 10" xfId="5732" xr:uid="{91E58CE6-BEF7-47AB-97ED-6A2781F5CA99}"/>
    <cellStyle name="Percent [2] 11" xfId="5733" xr:uid="{0E7FE746-BA95-424C-A6E7-1FC40039AD4E}"/>
    <cellStyle name="Percent [2] 12" xfId="5734" xr:uid="{25F18AF3-EE2E-4C87-AB5C-FF3D83ED5E7D}"/>
    <cellStyle name="Percent [2] 13" xfId="5735" xr:uid="{656C1046-456E-4235-8F7D-555193AB20A5}"/>
    <cellStyle name="Percent [2] 14" xfId="5736" xr:uid="{FDF47178-10F8-4991-BF76-99715E5C32F0}"/>
    <cellStyle name="Percent [2] 15" xfId="5737" xr:uid="{FB302000-51B7-4DD0-9BD3-9A32A1817238}"/>
    <cellStyle name="Percent [2] 16" xfId="5738" xr:uid="{549EBF4F-FA61-4DB1-9543-D1BAF9F35E43}"/>
    <cellStyle name="Percent [2] 17" xfId="5739" xr:uid="{644D05A4-DA68-4604-9421-452DEBCAD181}"/>
    <cellStyle name="Percent [2] 18" xfId="5740" xr:uid="{4A16341F-7FC2-45EE-917A-27DF50FD3305}"/>
    <cellStyle name="Percent [2] 19" xfId="5741" xr:uid="{2B757414-F324-444A-A352-BE9A990258AE}"/>
    <cellStyle name="Percent [2] 2" xfId="5742" xr:uid="{296FF192-4831-4B45-9BE4-897E6ADD14D1}"/>
    <cellStyle name="Percent [2] 2 2" xfId="21799" xr:uid="{207184A1-6D7F-4019-B4FE-00735CF650E0}"/>
    <cellStyle name="Percent [2] 20" xfId="12472" xr:uid="{1721E9A3-73BA-414E-A0CB-354C685C3A96}"/>
    <cellStyle name="Percent [2] 3" xfId="5743" xr:uid="{30DC8B29-EED5-4F3C-A0A2-104FB3A168A5}"/>
    <cellStyle name="Percent [2] 3 2" xfId="21800" xr:uid="{BB680429-0E32-4D18-9CE7-2B16D99B2581}"/>
    <cellStyle name="Percent [2] 4" xfId="5744" xr:uid="{2B990044-D410-4260-871E-DA4323EC7DA7}"/>
    <cellStyle name="Percent [2] 4 2" xfId="21801" xr:uid="{1CF0A1E3-4286-4FBC-BAC7-213BE92257AC}"/>
    <cellStyle name="Percent [2] 5" xfId="5745" xr:uid="{02A33A75-3DC1-46B2-8191-991E7B66352C}"/>
    <cellStyle name="Percent [2] 6" xfId="5746" xr:uid="{0EF0951A-B87C-4971-B24E-48841F5DB8D4}"/>
    <cellStyle name="Percent [2] 6 2" xfId="5747" xr:uid="{EDA58A31-2F36-426A-A723-B9B1BBD8275C}"/>
    <cellStyle name="Percent [2] 6 3" xfId="5748" xr:uid="{8FC834C0-C752-431D-9890-E2369FBCFD6A}"/>
    <cellStyle name="Percent [2] 6 4" xfId="5749" xr:uid="{A37337E8-CEA4-4EFA-8FE4-CC6BE3A10B5C}"/>
    <cellStyle name="Percent [2] 7" xfId="5750" xr:uid="{57267680-8D16-4817-BACB-7074CB620118}"/>
    <cellStyle name="Percent [2] 8" xfId="5751" xr:uid="{84331BB7-0DF4-4B10-A4A6-96A7FB9CB034}"/>
    <cellStyle name="Percent [2] 9" xfId="5752" xr:uid="{C5B7663E-2F7E-4E99-86F3-4D1C0F9BE378}"/>
    <cellStyle name="Percent 2" xfId="27426" xr:uid="{DAFD8DBB-2907-40E8-9CD3-1CA3ED3E1419}"/>
    <cellStyle name="Percent 3" xfId="27847" xr:uid="{870CDCE4-B74F-460C-AA95-997A86483F9A}"/>
    <cellStyle name="Percent 4" xfId="27854" xr:uid="{56550FB4-E4EE-41FA-B4BA-1EB6F3852DA1}"/>
    <cellStyle name="Percent_!!!GO" xfId="5753" xr:uid="{7F829C69-90B8-4645-893E-6200BD5662B0}"/>
    <cellStyle name="Pourcentage_pldt" xfId="5754" xr:uid="{F0BA809F-42DD-4D40-A599-A57A5BFF5AAE}"/>
    <cellStyle name="PSChar" xfId="1659" xr:uid="{80B70F20-AC36-4AA5-A292-CCD15172850D}"/>
    <cellStyle name="PSChar 10" xfId="12398" xr:uid="{87F53618-2B1E-496A-9ED5-D645FF1BBDF5}"/>
    <cellStyle name="PSChar 10 2" xfId="21802" xr:uid="{B05CCFA0-6F6E-4FEE-9951-DADB740B3660}"/>
    <cellStyle name="PSChar 2" xfId="5755" xr:uid="{598B9851-4DC2-42F3-B883-AAE7F6204DCC}"/>
    <cellStyle name="PSChar 2 2" xfId="21804" xr:uid="{1502CFE1-FD3C-4DFD-9243-2E57197621A7}"/>
    <cellStyle name="PSChar 2 2 2" xfId="21805" xr:uid="{BAD200FF-FB5F-42EB-96A7-78A4BDC0C2CC}"/>
    <cellStyle name="PSChar 2 3" xfId="21806" xr:uid="{55D427EB-BFD3-4D78-A3F5-25669C5809BC}"/>
    <cellStyle name="PSChar 2 4" xfId="21807" xr:uid="{8A46FA07-986F-49D5-8CD8-8F086E79FA89}"/>
    <cellStyle name="PSChar 2 5" xfId="21808" xr:uid="{A60772A5-22E6-4532-85ED-9B4DE7BB559B}"/>
    <cellStyle name="PSChar 2 6" xfId="21809" xr:uid="{E224BEF1-08AE-441F-9450-E1B6D0BB2D10}"/>
    <cellStyle name="PSChar 2 7" xfId="21810" xr:uid="{49115C6F-B812-4A64-98A0-49526A680195}"/>
    <cellStyle name="PSChar 2 8" xfId="21803" xr:uid="{119CDD8D-804C-48F2-B984-E3E99E2C45EE}"/>
    <cellStyle name="PSChar 3" xfId="5756" xr:uid="{74857E0F-65C0-47C9-A17B-E6FB1A3E5DF9}"/>
    <cellStyle name="PSChar 3 2" xfId="21811" xr:uid="{9E372DB6-BF0C-401D-B1ED-48F755809F6E}"/>
    <cellStyle name="PSChar 4" xfId="5757" xr:uid="{8E0C1DE2-D411-482B-9F44-5E61A346F433}"/>
    <cellStyle name="PSChar 4 2" xfId="21812" xr:uid="{D6ECECBB-69AB-423C-97C0-0531ECE2A383}"/>
    <cellStyle name="PSChar 5" xfId="5758" xr:uid="{B7899ABC-1CD9-4346-8147-4F74DA1058E1}"/>
    <cellStyle name="PSChar 5 2" xfId="21813" xr:uid="{B236FFE0-73E7-43FC-BD67-E7A62F75B75F}"/>
    <cellStyle name="PSChar 6" xfId="5759" xr:uid="{43127C98-047F-4F2A-A57A-44A734CA3025}"/>
    <cellStyle name="PSChar 6 2" xfId="21814" xr:uid="{E685B2D6-AE9D-42DD-9D81-05DF42F004D9}"/>
    <cellStyle name="PSChar 7" xfId="5760" xr:uid="{23B1875B-0E7F-4807-861A-27976FA2AC3B}"/>
    <cellStyle name="PSChar 7 2" xfId="21815" xr:uid="{14315B86-8881-4609-B271-AD0F2F428E27}"/>
    <cellStyle name="PSChar 8" xfId="5761" xr:uid="{4110F187-7D4A-465D-B8E0-CF328BCCC088}"/>
    <cellStyle name="PSChar 8 2" xfId="21816" xr:uid="{1A4419B2-7A6D-49A1-BC1A-2CFBCB8CF921}"/>
    <cellStyle name="PSChar 9" xfId="5762" xr:uid="{80695A0E-BA6D-4FFA-B291-C4AAA569A292}"/>
    <cellStyle name="PSChar 9 2" xfId="21817" xr:uid="{70B30C73-FFAF-4E61-8100-C9D40329C7EC}"/>
    <cellStyle name="PSDate" xfId="5763" xr:uid="{667296B9-4FD0-4EC5-BE6D-83D7AE05151D}"/>
    <cellStyle name="PSDate 10" xfId="12473" xr:uid="{0B39DFD8-685D-4333-9239-10EF9C8BF6A0}"/>
    <cellStyle name="PSDate 10 2" xfId="21818" xr:uid="{0B964FE4-DE5D-4635-B827-29A2F58450C4}"/>
    <cellStyle name="PSDate 2" xfId="5764" xr:uid="{F67141FD-2C75-47A9-B919-FE8562CC58FA}"/>
    <cellStyle name="PSDate 2 2" xfId="21820" xr:uid="{D3DE9490-8265-4151-9AA6-2F4D2720081E}"/>
    <cellStyle name="PSDate 2 2 2" xfId="21821" xr:uid="{43CCF342-A79A-464C-B18C-A8189B0F4C47}"/>
    <cellStyle name="PSDate 2 3" xfId="21822" xr:uid="{75008E0D-EE79-4440-A3DA-50D10EAEEE9D}"/>
    <cellStyle name="PSDate 2 4" xfId="21823" xr:uid="{8AB990E3-9F0D-4E4E-A917-F466A7D6260F}"/>
    <cellStyle name="PSDate 2 5" xfId="21824" xr:uid="{DB801472-C44F-473E-8BCA-C62278061E1E}"/>
    <cellStyle name="PSDate 2 6" xfId="21825" xr:uid="{4314443A-71FD-4F15-ACD4-78B95B80E950}"/>
    <cellStyle name="PSDate 2 7" xfId="21826" xr:uid="{357ED699-3185-4A5E-B3E6-6FF8430A9265}"/>
    <cellStyle name="PSDate 2 8" xfId="21819" xr:uid="{BA27816E-2A81-4C15-8671-C57A534F334B}"/>
    <cellStyle name="PSDate 3" xfId="5765" xr:uid="{DA177D2B-FB78-46A2-A91D-287619E0F795}"/>
    <cellStyle name="PSDate 3 2" xfId="21827" xr:uid="{017410DD-97A2-401A-984B-4EE732A153CC}"/>
    <cellStyle name="PSDate 4" xfId="2998" xr:uid="{0DD64873-D176-47F8-962F-304C74B772B1}"/>
    <cellStyle name="PSDate 4 2" xfId="21828" xr:uid="{B081F9CF-507A-4B09-AAA5-27EA18D619EC}"/>
    <cellStyle name="PSDate 5" xfId="5766" xr:uid="{33AF509A-56D5-425B-9B47-7F7B4F9ACAD7}"/>
    <cellStyle name="PSDate 5 2" xfId="21829" xr:uid="{F4169BF4-51E1-4AA7-B12A-11FA6E0758DB}"/>
    <cellStyle name="PSDate 6" xfId="5767" xr:uid="{BCA8224F-1AC3-4060-A48F-F4F54A8C10C8}"/>
    <cellStyle name="PSDate 6 2" xfId="21830" xr:uid="{C4D5435E-854D-4B8A-8358-A98D5BEC20A7}"/>
    <cellStyle name="PSDate 7" xfId="5768" xr:uid="{64BD11B9-5EB5-407E-8FBB-9D2EB16C97BC}"/>
    <cellStyle name="PSDate 7 2" xfId="21831" xr:uid="{05BCAFC2-17B8-43DD-8632-A4BA36108D41}"/>
    <cellStyle name="PSDate 8" xfId="5769" xr:uid="{060A3DC8-A8C3-4249-898C-92D5E7D01BF7}"/>
    <cellStyle name="PSDate 8 2" xfId="21832" xr:uid="{509A7685-F53B-4928-A9D0-61368B949794}"/>
    <cellStyle name="PSDate 9" xfId="5770" xr:uid="{499074E8-8C70-47BD-9AC7-1E13CAE6EF4D}"/>
    <cellStyle name="PSDate 9 2" xfId="21833" xr:uid="{E0FBF878-2937-45C9-99EC-A60E91516C75}"/>
    <cellStyle name="PSDec" xfId="5771" xr:uid="{32AB81E1-A270-4D21-ADF1-04FD836531B5}"/>
    <cellStyle name="PSDec 10" xfId="12267" xr:uid="{17E4F2C5-C700-4251-9836-72B8A85C8C50}"/>
    <cellStyle name="PSDec 10 2" xfId="21834" xr:uid="{0C554F7A-EC06-457F-A56D-84197D0CD2FA}"/>
    <cellStyle name="PSDec 2" xfId="5772" xr:uid="{DF4621B0-AAFC-4C08-869C-385CF782068A}"/>
    <cellStyle name="PSDec 2 2" xfId="21836" xr:uid="{F37149B4-CC9E-4CA3-8B0F-CE458DEA694D}"/>
    <cellStyle name="PSDec 2 2 2" xfId="21837" xr:uid="{D25582C0-36A5-473B-BD8B-51E8A607C6D0}"/>
    <cellStyle name="PSDec 2 3" xfId="21838" xr:uid="{41D5BA5C-CDA5-4ADF-B5C4-2D4E848DDA86}"/>
    <cellStyle name="PSDec 2 4" xfId="21839" xr:uid="{1B0D7982-351C-448A-B0E8-A9F039D186ED}"/>
    <cellStyle name="PSDec 2 5" xfId="21840" xr:uid="{E60DA95C-FC77-4683-9DB0-0644C32DE7C3}"/>
    <cellStyle name="PSDec 2 6" xfId="21841" xr:uid="{9D3BC7D7-E8E3-4AD8-BCFD-E1DC8A75E37D}"/>
    <cellStyle name="PSDec 2 7" xfId="21842" xr:uid="{04D42575-19D7-4444-8CCE-7927DE76F267}"/>
    <cellStyle name="PSDec 2 8" xfId="21835" xr:uid="{CA2E7472-A779-4034-A6D3-37B60E11DB6F}"/>
    <cellStyle name="PSDec 3" xfId="5773" xr:uid="{35F27381-3193-47CA-994B-0BBC96084D36}"/>
    <cellStyle name="PSDec 3 2" xfId="21843" xr:uid="{8CA37617-BBFD-485B-8499-25FF2F047A27}"/>
    <cellStyle name="PSDec 4" xfId="5774" xr:uid="{E3B1C353-42F4-4925-AA36-415B40896DF5}"/>
    <cellStyle name="PSDec 4 2" xfId="21844" xr:uid="{8782749E-18E0-4449-B570-AB47EA623820}"/>
    <cellStyle name="PSDec 5" xfId="5775" xr:uid="{493A46D2-4644-4D8F-8CAE-DEFAB1814A15}"/>
    <cellStyle name="PSDec 5 2" xfId="21845" xr:uid="{712182AC-E426-40C8-BBBD-B976A11309AD}"/>
    <cellStyle name="PSDec 6" xfId="5776" xr:uid="{71F1E9BE-1973-4EBC-A59C-34DCF3E38347}"/>
    <cellStyle name="PSDec 6 2" xfId="21846" xr:uid="{D49CF91B-70CF-43A5-8FF5-016B6B833EA5}"/>
    <cellStyle name="PSDec 7" xfId="5777" xr:uid="{A8102D07-8530-411D-9D9D-A3BA8EBDD082}"/>
    <cellStyle name="PSDec 7 2" xfId="21847" xr:uid="{181243C8-19A8-415C-8135-4516004987A7}"/>
    <cellStyle name="PSDec 8" xfId="5778" xr:uid="{879EE1E8-06AC-4EAF-8979-2A9CEFD5DCA1}"/>
    <cellStyle name="PSDec 8 2" xfId="21848" xr:uid="{080C3C9E-CE09-47B2-8B63-7F5E533F0C10}"/>
    <cellStyle name="PSDec 9" xfId="5779" xr:uid="{65D9FF4C-18F2-4AF5-A4D0-B81E55E60F11}"/>
    <cellStyle name="PSDec 9 2" xfId="21849" xr:uid="{F52CC310-49E9-4485-A70F-AEA27271D77F}"/>
    <cellStyle name="PSHeading" xfId="5780" xr:uid="{08B8F28F-2760-4C84-819B-D5EB7EF153C7}"/>
    <cellStyle name="PSHeading 2" xfId="12207" xr:uid="{1030FE53-C925-4C7F-BFB6-6B3A75037102}"/>
    <cellStyle name="PSHeading 2 2" xfId="21850" xr:uid="{9349CB1F-6C19-4BF8-84FC-F976434C4192}"/>
    <cellStyle name="PSHeading 2 2 2" xfId="21851" xr:uid="{6C8F1969-9AF2-4A44-92AE-CF1E4FF918C6}"/>
    <cellStyle name="PSHeading 2 3" xfId="21852" xr:uid="{D36758BE-ECC6-422E-BECF-1D11236CA77B}"/>
    <cellStyle name="PSHeading 2 4" xfId="21853" xr:uid="{F0F38339-4D44-4437-A726-AFAC4914FD89}"/>
    <cellStyle name="PSHeading 2_球团工序 (2018)" xfId="21854" xr:uid="{F387242C-00FD-419A-BBD6-94BA2974BB64}"/>
    <cellStyle name="PSHeading 3" xfId="21855" xr:uid="{1D817375-7AE7-4BBC-9F81-C2080CEA274E}"/>
    <cellStyle name="PSHeading 4" xfId="21856" xr:uid="{C0F956C9-47E0-46D2-9948-7A1F3147146B}"/>
    <cellStyle name="PSHeading 5" xfId="21857" xr:uid="{1EAD7B10-6E47-496C-AA98-4200F46CE354}"/>
    <cellStyle name="PSHeading 6" xfId="21858" xr:uid="{F135E23D-207A-4BCD-8AA5-58933D7FD5F7}"/>
    <cellStyle name="PSHeading 7" xfId="21859" xr:uid="{FF0BC92C-914B-4363-867F-10C981339872}"/>
    <cellStyle name="PSHeading 8" xfId="21860" xr:uid="{0EB3F81D-1776-42E0-9E6A-BBCA9E531676}"/>
    <cellStyle name="PSHeading_动力部" xfId="21861" xr:uid="{98CD3336-3DDC-4510-BAC4-4C07F5FE3E1B}"/>
    <cellStyle name="PSInt" xfId="5781" xr:uid="{CC9A287E-93EF-4E2C-A061-896BE342A1F7}"/>
    <cellStyle name="PSInt 10" xfId="12338" xr:uid="{DD8E08E2-27CB-475E-A2D4-353D81BADBBA}"/>
    <cellStyle name="PSInt 10 2" xfId="21862" xr:uid="{74E0BA7A-AEBA-4A4E-BC26-E8ECA9E4FEE2}"/>
    <cellStyle name="PSInt 2" xfId="5782" xr:uid="{851F5F08-DFF7-4DC9-B13E-49806CDF85D5}"/>
    <cellStyle name="PSInt 2 2" xfId="21864" xr:uid="{F2492971-BB79-4071-88C2-4DFE18BE83E2}"/>
    <cellStyle name="PSInt 2 2 2" xfId="21865" xr:uid="{D8F028A8-B2FC-42A3-A967-C9C4E8C49154}"/>
    <cellStyle name="PSInt 2 3" xfId="21866" xr:uid="{AAC8A11D-DFD5-460A-A713-951F5A221765}"/>
    <cellStyle name="PSInt 2 4" xfId="21867" xr:uid="{35153AD1-05FF-4F10-8FBF-679B7DCCA4F0}"/>
    <cellStyle name="PSInt 2 5" xfId="21868" xr:uid="{DBFFCE95-6530-42E8-9779-CE2B1D88A490}"/>
    <cellStyle name="PSInt 2 6" xfId="21869" xr:uid="{C026BE2C-6A1A-4231-AE88-EA17BF2C35F5}"/>
    <cellStyle name="PSInt 2 7" xfId="21870" xr:uid="{DD28A1AF-724B-460C-AFD8-38141EADFE2D}"/>
    <cellStyle name="PSInt 2 8" xfId="21863" xr:uid="{98B8D19C-0ED9-40FC-8C6E-91DCCB11EF45}"/>
    <cellStyle name="PSInt 3" xfId="5783" xr:uid="{EB76499E-3209-4C45-B619-098C38EC55D1}"/>
    <cellStyle name="PSInt 3 2" xfId="21871" xr:uid="{C29547F3-DEDD-43CE-8AC3-26A0E2406EA0}"/>
    <cellStyle name="PSInt 4" xfId="5784" xr:uid="{873911CB-90E9-411D-9363-8464824205CE}"/>
    <cellStyle name="PSInt 4 2" xfId="21872" xr:uid="{BA5C5B64-F869-4762-890D-7B423C9B1435}"/>
    <cellStyle name="PSInt 5" xfId="5785" xr:uid="{E73AF863-9D8F-4364-A214-391301CC2EC1}"/>
    <cellStyle name="PSInt 5 2" xfId="21873" xr:uid="{73E4A801-28B3-4F25-A1F0-56803E6C792C}"/>
    <cellStyle name="PSInt 6" xfId="5786" xr:uid="{32F9DA16-5231-471E-B557-B0D47D792BEC}"/>
    <cellStyle name="PSInt 6 2" xfId="21874" xr:uid="{EA305B56-9057-4C8D-9D8D-C386BFCC5020}"/>
    <cellStyle name="PSInt 7" xfId="5787" xr:uid="{BD9F19C4-8381-4051-BF99-D7CD5E2D5CDA}"/>
    <cellStyle name="PSInt 7 2" xfId="21875" xr:uid="{73FE6A07-26A7-49CA-A592-4B02D080C5E6}"/>
    <cellStyle name="PSInt 8" xfId="5788" xr:uid="{EA3021AF-8A74-410A-9B6F-411AD2EF0C57}"/>
    <cellStyle name="PSInt 8 2" xfId="21876" xr:uid="{928FFE65-0ED5-4DA1-AA1E-A39949D7829A}"/>
    <cellStyle name="PSInt 9" xfId="5789" xr:uid="{1FA15B9D-787D-4AC9-A2C9-3369F455EB3A}"/>
    <cellStyle name="PSInt 9 2" xfId="21877" xr:uid="{84DAB076-9C3F-430D-B622-7D12AFCF714D}"/>
    <cellStyle name="PSSpacer" xfId="5790" xr:uid="{BAB3247A-3EFC-41E3-9549-7A1613516FED}"/>
    <cellStyle name="PSSpacer 10" xfId="12597" xr:uid="{D32EADAB-0ABE-4298-8178-AA3D65C2F28C}"/>
    <cellStyle name="PSSpacer 10 2" xfId="21878" xr:uid="{E64D0EC8-EECA-4495-AF23-58A7FC84A8BA}"/>
    <cellStyle name="PSSpacer 2" xfId="5791" xr:uid="{F134F0AD-E452-472C-AE3A-F3BC1B04AD8C}"/>
    <cellStyle name="PSSpacer 2 2" xfId="21880" xr:uid="{207AAAF8-6419-4D56-90DF-DB94F4DC259C}"/>
    <cellStyle name="PSSpacer 2 2 2" xfId="21881" xr:uid="{820B8FC9-57C1-44E9-8F22-ED34478FB8E3}"/>
    <cellStyle name="PSSpacer 2 3" xfId="21882" xr:uid="{0102D13F-B1CC-4FC8-A3C0-EF47E424F7B1}"/>
    <cellStyle name="PSSpacer 2 4" xfId="21883" xr:uid="{6A0A1446-0681-43FE-B7C8-3DDF061E535B}"/>
    <cellStyle name="PSSpacer 2 5" xfId="21884" xr:uid="{2BDD3A32-0B25-40B1-AF0F-080492620AA2}"/>
    <cellStyle name="PSSpacer 2 6" xfId="21885" xr:uid="{4576CF88-7444-4A07-9F86-B4B55E480483}"/>
    <cellStyle name="PSSpacer 2 7" xfId="21886" xr:uid="{F8642D98-5D16-4644-AEBD-5EB221DB17BF}"/>
    <cellStyle name="PSSpacer 2 8" xfId="21879" xr:uid="{C6CC7D94-34C5-4309-A35C-0BE839A7734C}"/>
    <cellStyle name="PSSpacer 3" xfId="5793" xr:uid="{68411180-0068-4CF4-B52E-7DF05215DFE2}"/>
    <cellStyle name="PSSpacer 3 2" xfId="21887" xr:uid="{0BD5C249-115A-4A6C-A406-983D1763603E}"/>
    <cellStyle name="PSSpacer 4" xfId="5794" xr:uid="{4C6284C6-577E-4F79-8241-8776682BBEBD}"/>
    <cellStyle name="PSSpacer 4 2" xfId="21888" xr:uid="{B187D642-972F-4E44-A951-F94C62EF626C}"/>
    <cellStyle name="PSSpacer 5" xfId="5796" xr:uid="{3A2F76B9-4BDC-4690-A5A8-39B957A417B7}"/>
    <cellStyle name="PSSpacer 5 2" xfId="21889" xr:uid="{FF6CBEB3-EF90-4D9F-92B0-40BBE6649133}"/>
    <cellStyle name="PSSpacer 6" xfId="5797" xr:uid="{842B1F89-82FA-45C9-B26F-99D167A9B78D}"/>
    <cellStyle name="PSSpacer 6 2" xfId="21890" xr:uid="{B9C8E05E-DF5D-4978-BF8D-AE8004CD1754}"/>
    <cellStyle name="PSSpacer 7" xfId="5798" xr:uid="{05080317-313E-4D1A-ADA6-440A7C18621E}"/>
    <cellStyle name="PSSpacer 7 2" xfId="21891" xr:uid="{0ED647C9-3408-4AD5-9C4F-6E05CD95FB24}"/>
    <cellStyle name="PSSpacer 8" xfId="5799" xr:uid="{3FE0A287-6F98-4378-A1F7-9D148D6817F6}"/>
    <cellStyle name="PSSpacer 8 2" xfId="21892" xr:uid="{7855A4E0-7401-44DD-8710-70697AA52CCD}"/>
    <cellStyle name="PSSpacer 9" xfId="5800" xr:uid="{93D6875C-CDE1-4A88-B2B7-1642F98B93B3}"/>
    <cellStyle name="PSSpacer 9 2" xfId="21893" xr:uid="{F1C56A71-5EF6-45AD-8CA8-1032940240F4}"/>
    <cellStyle name="Red" xfId="5801" xr:uid="{1FAF0472-E59C-4B1A-B494-3DE6A6AE3407}"/>
    <cellStyle name="Red 2" xfId="12476" xr:uid="{5176FBAB-DFC6-4353-813C-9054619682BF}"/>
    <cellStyle name="row_def_array" xfId="5802" xr:uid="{9B814664-4AA5-4208-BFA1-A4F4CD3B4C6F}"/>
    <cellStyle name="RowLevel_0" xfId="5803" xr:uid="{5C196BF0-382F-4739-9508-3419D06A7C49}"/>
    <cellStyle name="sstot" xfId="5804" xr:uid="{3953312E-3EB4-4C3F-94B7-9D6ADE80F8A9}"/>
    <cellStyle name="sstot 2" xfId="12600" xr:uid="{424EEA26-8543-4983-8D13-148337811AB6}"/>
    <cellStyle name="Standard_AREAS" xfId="5805" xr:uid="{58633E5D-1045-4582-BD93-1F10296E3956}"/>
    <cellStyle name="subhead" xfId="5806" xr:uid="{646104A2-FC60-4565-865A-1F071682BE87}"/>
    <cellStyle name="subhead 2" xfId="12264" xr:uid="{A4191581-B6A0-469C-9785-940075FF01DD}"/>
    <cellStyle name="t" xfId="5807" xr:uid="{41852590-80A1-4F98-9116-02811AD07A39}"/>
    <cellStyle name="t 2" xfId="14337" xr:uid="{CA7CA654-4B8E-4AD9-ACD8-FB3434E1F636}"/>
    <cellStyle name="t_2016年采矿工序预算" xfId="21894" xr:uid="{4124AFC6-14B7-4135-9F3D-71BC1AE20725}"/>
    <cellStyle name="t_2017年全面预算新增指标" xfId="21895" xr:uid="{A4EF70A2-7490-4872-8A95-19A0766F4469}"/>
    <cellStyle name="t_Book1" xfId="4956" xr:uid="{03F5AC85-AC53-40CF-9622-C633ADC405B2}"/>
    <cellStyle name="t_Book1 2" xfId="12799" xr:uid="{20DABF74-EA6F-4DF6-AAB4-A35A021B5AD8}"/>
    <cellStyle name="t_HVAC Equipment (3)" xfId="5808" xr:uid="{0D18B49D-ED41-4051-8FA9-39CCD7444527}"/>
    <cellStyle name="t_HVAC Equipment (3) 2" xfId="12202" xr:uid="{BFC801B2-F984-4778-AD12-D401696B7D0C}"/>
    <cellStyle name="t_HVAC Equipment (3)_2016年采矿工序预算" xfId="21896" xr:uid="{C3CBBBA7-8E1A-45AF-9E07-2D077EA32A72}"/>
    <cellStyle name="t_HVAC Equipment (3)_2017年全面预算新增指标" xfId="21897" xr:uid="{80534385-4687-4D20-A24A-37782298AF06}"/>
    <cellStyle name="t_HVAC Equipment (3)_Book1" xfId="5810" xr:uid="{EEE1E257-F500-4C06-9C84-08D37DB66E87}"/>
    <cellStyle name="t_HVAC Equipment (3)_Book1 2" xfId="13429" xr:uid="{3547397A-4B49-4024-B18A-6DDD5AF5C86D}"/>
    <cellStyle name="Title" xfId="5811" xr:uid="{9751491A-D203-404D-AEB0-22FE010512E5}"/>
    <cellStyle name="Title 2" xfId="10540" xr:uid="{49764DDB-5DAE-484A-9618-B008A0798FA9}"/>
    <cellStyle name="Title 2 2" xfId="10541" xr:uid="{312F17DF-C0A2-4AFF-BA9D-9938CC882592}"/>
    <cellStyle name="Title 3" xfId="10542" xr:uid="{1C2CFD48-5746-4CD6-8C2A-23C997F7F890}"/>
    <cellStyle name="Title 3 2" xfId="10543" xr:uid="{BE276590-028F-48C5-A1A2-A9F3C74EBB50}"/>
    <cellStyle name="Total" xfId="5812" xr:uid="{E433BCF7-EF02-4406-AB9C-1FE15B713D1D}"/>
    <cellStyle name="Total 2" xfId="5813" xr:uid="{3E41FA0E-5B1E-4713-85ED-0D18A0DF79D1}"/>
    <cellStyle name="Total 2 2" xfId="5553" xr:uid="{863B406F-B77F-4005-A6D9-9A761905EB26}"/>
    <cellStyle name="Total 2 2 2" xfId="5814" xr:uid="{62506206-C87E-44CB-BD79-201707D58508}"/>
    <cellStyle name="Total 2 2 2 2" xfId="5815" xr:uid="{6953B57F-4AEE-4AC7-B27E-48FCF2F581DE}"/>
    <cellStyle name="Total 2 2 3" xfId="5816" xr:uid="{72B00564-B43F-4956-A568-7F1AC1ED0C4C}"/>
    <cellStyle name="Total 2 2 3 2" xfId="5818" xr:uid="{86ECD25C-7693-471F-94B7-29D5D4451CF4}"/>
    <cellStyle name="Total 2 2 4" xfId="5819" xr:uid="{2E7ED909-F57B-4D55-9FED-48FDC0FF566C}"/>
    <cellStyle name="Total 2 2 4 2" xfId="5820" xr:uid="{560A8C57-08E2-44E4-83FD-67B4FBE2A63B}"/>
    <cellStyle name="Total 2 2 5" xfId="5821" xr:uid="{08510368-BAC3-4F27-869E-B326C60A9E90}"/>
    <cellStyle name="Total 2 3" xfId="5822" xr:uid="{D4B0F439-B868-45C5-B7B3-180061770921}"/>
    <cellStyle name="Total 2 3 2" xfId="5823" xr:uid="{03C83638-B1D0-4069-BC04-C76669DBC1C3}"/>
    <cellStyle name="Total 2 4" xfId="5824" xr:uid="{77B7F207-ADF9-48D2-A6D6-3F707923B8F3}"/>
    <cellStyle name="Total 2 4 2" xfId="5825" xr:uid="{66D3869E-7A0E-415E-B989-4531860C9292}"/>
    <cellStyle name="Total 2 5" xfId="5826" xr:uid="{0B178D79-B6B7-4AAF-AB66-C5E60A44F6F9}"/>
    <cellStyle name="Total 2 5 2" xfId="5827" xr:uid="{9BAF4237-72E4-486C-A560-5A0AE1F7D334}"/>
    <cellStyle name="Total 2 6" xfId="5828" xr:uid="{CA80F451-4430-40DB-9169-F04811A308ED}"/>
    <cellStyle name="Total 3" xfId="5829" xr:uid="{C63C0357-F06E-4250-B532-C1FF6CC8C151}"/>
    <cellStyle name="Total 3 2" xfId="5830" xr:uid="{968C3817-43B5-40E1-AF94-55819E1FE974}"/>
    <cellStyle name="Total 3 2 2" xfId="159" xr:uid="{82BBC839-C898-474B-A384-CA9AE5895D58}"/>
    <cellStyle name="Total 3 2 2 2" xfId="2212" xr:uid="{A7B31511-48A9-4F1B-B5C9-B4AEEAAFF40F}"/>
    <cellStyle name="Total 3 2 3" xfId="5831" xr:uid="{4D0DAD21-5A81-4C40-9D47-8A41A4A7E14E}"/>
    <cellStyle name="Total 3 2 3 2" xfId="5833" xr:uid="{820F77C0-9AE9-4C77-9996-1D7434341578}"/>
    <cellStyle name="Total 3 2 4" xfId="5835" xr:uid="{8580ECBD-6BFD-4E4D-A454-427A7A6B5C91}"/>
    <cellStyle name="Total 3 2 4 2" xfId="5836" xr:uid="{6459377E-AE88-4AB3-A790-5F3F2271B305}"/>
    <cellStyle name="Total 3 2 5" xfId="5837" xr:uid="{11F0DE05-7F8E-46E3-8BAB-93CAAA22255A}"/>
    <cellStyle name="Total 3 3" xfId="5838" xr:uid="{EA695C8D-495B-4D16-8FDD-9ACC20153936}"/>
    <cellStyle name="Total 3 3 2" xfId="5839" xr:uid="{65B372C1-AF60-42D7-A66D-72A78CA5FA3C}"/>
    <cellStyle name="Total 3 4" xfId="5840" xr:uid="{5190F87F-0256-4CA5-82AF-5A3CA3ABAB22}"/>
    <cellStyle name="Total 3 4 2" xfId="5841" xr:uid="{0F11762E-4A55-4797-8DBA-B563F6E77773}"/>
    <cellStyle name="Total 3 5" xfId="5842" xr:uid="{BC9BB69B-9AC7-4FB8-814B-10D16FC891E0}"/>
    <cellStyle name="Total 3 5 2" xfId="5843" xr:uid="{119294BF-D255-415E-9135-A288E9467269}"/>
    <cellStyle name="Total 3 6" xfId="5844" xr:uid="{F417A51B-7700-4B61-BE78-73EC677EAF5A}"/>
    <cellStyle name="Total 4" xfId="5845" xr:uid="{D6585E10-6322-4E18-82D6-BE041DD76E78}"/>
    <cellStyle name="Total 4 2" xfId="5846" xr:uid="{4FEDBA0E-A3E5-48FC-BB6E-F497C1419564}"/>
    <cellStyle name="Total 4 2 2" xfId="5847" xr:uid="{A9A44317-452B-45C6-B447-29D2C189AA42}"/>
    <cellStyle name="Total 4 2 2 2" xfId="5848" xr:uid="{2B12937B-9FF9-40E7-B317-7576F52D44E2}"/>
    <cellStyle name="Total 4 2 3" xfId="5849" xr:uid="{6CD5D76C-69BA-48BE-9C66-86A65CBB5350}"/>
    <cellStyle name="Total 4 2 3 2" xfId="5851" xr:uid="{0D6636AE-A9D1-486D-AAB8-C5DB293633EF}"/>
    <cellStyle name="Total 4 2 4" xfId="5852" xr:uid="{D7DE326F-E95B-44D4-A0B4-605BF16D96A8}"/>
    <cellStyle name="Total 4 2 4 2" xfId="5853" xr:uid="{058D9D2F-3229-40A8-AAFE-1A5ED8C19511}"/>
    <cellStyle name="Total 4 2 5" xfId="5854" xr:uid="{08F17180-BD37-4D4C-9444-416AB8E0B900}"/>
    <cellStyle name="Total 4 3" xfId="5855" xr:uid="{521CEE6D-8B12-4894-B3EA-537F95F9109B}"/>
    <cellStyle name="Total 4 3 2" xfId="5856" xr:uid="{0790210A-00C8-4F72-BF7D-F75F4C7A76F6}"/>
    <cellStyle name="Total 4 4" xfId="5857" xr:uid="{D782BEDB-5CDD-49E2-A7F2-172BA4EAB5A5}"/>
    <cellStyle name="Total 4 4 2" xfId="5858" xr:uid="{AE06BB77-ED8F-481C-AAC9-E407CEFEC865}"/>
    <cellStyle name="Total 4 5" xfId="5859" xr:uid="{409032FC-4809-45E8-9FB7-2FC98DC3D2D3}"/>
    <cellStyle name="Total 4 5 2" xfId="5860" xr:uid="{062C7E92-B7D0-4E8A-A393-7A1358B4523C}"/>
    <cellStyle name="Total 4 6" xfId="5861" xr:uid="{FCEC55E5-0009-4C4F-9104-470CC3BD8627}"/>
    <cellStyle name="Total 5" xfId="5862" xr:uid="{8AAFD573-692C-4839-884D-251ECFB856B1}"/>
    <cellStyle name="Total 5 2" xfId="5863" xr:uid="{A4489E95-D225-4AE4-91D1-17A5FBC9252E}"/>
    <cellStyle name="Total 5 2 2" xfId="5864" xr:uid="{DF2295F9-D71D-46E6-8884-6CB5911AE305}"/>
    <cellStyle name="Total 5 3" xfId="5865" xr:uid="{6316F580-4907-4E3B-8497-31903699B754}"/>
    <cellStyle name="Total 5 3 2" xfId="5866" xr:uid="{94BE1DB1-83F5-4013-819D-917AEF36FFEC}"/>
    <cellStyle name="Total 5 4" xfId="5867" xr:uid="{CB623FCC-D1F1-4922-8031-57067ADA0E89}"/>
    <cellStyle name="Total 5 4 2" xfId="5868" xr:uid="{D83D2F79-A7D8-47EE-A5D8-E1171B8029AA}"/>
    <cellStyle name="Total 5 5" xfId="5869" xr:uid="{9FB26744-3B53-4285-B5D5-41A7044CA27D}"/>
    <cellStyle name="Total 6" xfId="5870" xr:uid="{29DA4E7D-8488-48E2-B877-1F86E7216425}"/>
    <cellStyle name="Total 6 2" xfId="5871" xr:uid="{AA803AA2-85AE-4DAD-A936-8094ECD90DD7}"/>
    <cellStyle name="Total 7" xfId="5872" xr:uid="{8D1C3A4C-01EF-405B-861C-E9C7961BCFAA}"/>
    <cellStyle name="Total 7 2" xfId="5873" xr:uid="{71F5473F-DEC0-4810-B427-AA770C9A3002}"/>
    <cellStyle name="Total 8" xfId="5874" xr:uid="{EB7C196B-C1BC-4B60-9394-D1ED007CE0CE}"/>
    <cellStyle name="Total 8 2" xfId="5875" xr:uid="{96F969CC-D698-4D13-9F15-6D84B9CFA90B}"/>
    <cellStyle name="Total 9" xfId="5876" xr:uid="{46E6F37E-3A5B-40AB-8866-E2B350E88977}"/>
    <cellStyle name="Total_动力部" xfId="21898" xr:uid="{4DD24E68-0563-4D3A-A21D-6D7000004A6A}"/>
    <cellStyle name="Warning Text" xfId="5877" xr:uid="{D821A724-CE51-4B25-9C06-9F3CD5AE4C20}"/>
    <cellStyle name="Warning Text 2" xfId="10544" xr:uid="{B9DF8B29-0EA3-4159-8DB6-D33823FC605F}"/>
    <cellStyle name="Warning Text 2 2" xfId="10545" xr:uid="{38D9B821-FE07-4B3B-AE8A-EEAB292823C2}"/>
    <cellStyle name="Warning Text 3" xfId="10546" xr:uid="{91C4B49A-F4EA-4973-88EE-F6DED561A527}"/>
    <cellStyle name="Warning Text 3 2" xfId="10547" xr:uid="{B813E76D-34CF-437E-B6E4-984F2BDDF885}"/>
    <cellStyle name="_laroux" xfId="5878" xr:uid="{521EEECA-CB54-4218-A8BB-C020B57B785A}"/>
    <cellStyle name="だ_laroux" xfId="1826" xr:uid="{CDF7D450-3DA9-45CE-A042-4AC37CD8A74D}"/>
    <cellStyle name="百分比" xfId="3" builtinId="5"/>
    <cellStyle name="百分比 10" xfId="5879" xr:uid="{E886AFC4-53DE-4CA2-9E09-BB302D36963A}"/>
    <cellStyle name="百分比 10 2" xfId="5880" xr:uid="{9159EAA4-B596-4CE6-8050-3E63EF7608CD}"/>
    <cellStyle name="百分比 10 3" xfId="5881" xr:uid="{0A3AD2A9-9261-4866-8FCD-6B9A59B40AD9}"/>
    <cellStyle name="百分比 10 4" xfId="5882" xr:uid="{B7A5A6C5-3FE1-49A6-9845-FA563295DD94}"/>
    <cellStyle name="百分比 10 5" xfId="5884" xr:uid="{3EC637C9-57BD-4E8A-9553-491F91642DD2}"/>
    <cellStyle name="百分比 10 6" xfId="5885" xr:uid="{D11D65A3-4E7F-40E8-AD6A-4E854C6CB543}"/>
    <cellStyle name="百分比 10 7" xfId="5886" xr:uid="{FEBD7974-43CF-4BBF-8A23-BA81090232FA}"/>
    <cellStyle name="百分比 10 8" xfId="5887" xr:uid="{8B396561-8BB8-448A-BD57-B996BD6D2060}"/>
    <cellStyle name="百分比 11" xfId="5889" xr:uid="{7E51B2FC-D373-4E3E-8030-ABF63EBAB51E}"/>
    <cellStyle name="百分比 11 2" xfId="5890" xr:uid="{2049B73C-42FE-4F7E-A5A3-427325BD75EA}"/>
    <cellStyle name="百分比 11 3" xfId="5891" xr:uid="{358C7D90-97EB-4538-9345-43A9F9D5B90E}"/>
    <cellStyle name="百分比 11 4" xfId="5892" xr:uid="{3C8C6345-9892-4319-91A0-0BECCDED8ACA}"/>
    <cellStyle name="百分比 11 5" xfId="5893" xr:uid="{1F0CB54A-6F75-4829-8423-64DFAD512178}"/>
    <cellStyle name="百分比 11 6" xfId="5894" xr:uid="{0128C405-1D1C-4007-9701-61EACAB07598}"/>
    <cellStyle name="百分比 11 7" xfId="5895" xr:uid="{DAC8B691-844C-4178-AAF0-6CF041213ED8}"/>
    <cellStyle name="百分比 11 8" xfId="3141" xr:uid="{9A399F06-4FF5-4F65-9F16-AFFEF599F78C}"/>
    <cellStyle name="百分比 12" xfId="5896" xr:uid="{9C513E22-23F1-41A4-BD19-70420F0ABC4C}"/>
    <cellStyle name="百分比 12 2" xfId="5897" xr:uid="{68F52EC7-37A7-4326-97D4-CBA00E6DFEF2}"/>
    <cellStyle name="百分比 12 3" xfId="5898" xr:uid="{9F4679E2-10B4-4A08-9C43-CBC9D4AC91F7}"/>
    <cellStyle name="百分比 12 4" xfId="5899" xr:uid="{FC973657-536D-4270-A897-E3846083CF7A}"/>
    <cellStyle name="百分比 12 5" xfId="5900" xr:uid="{DDB3F4E6-BBCC-48C8-97AD-543482563F14}"/>
    <cellStyle name="百分比 12 6" xfId="2162" xr:uid="{A512BFAB-D9B7-413D-95E5-811B0C82F155}"/>
    <cellStyle name="百分比 12 7" xfId="5901" xr:uid="{109637C9-DB97-46C4-8261-487E8069726A}"/>
    <cellStyle name="百分比 12 8" xfId="3145" xr:uid="{1F81A21A-F7C7-4FD7-ABE1-02294E162ABE}"/>
    <cellStyle name="百分比 13" xfId="5902" xr:uid="{0B64B8CF-0142-4123-9212-2FFE602B7617}"/>
    <cellStyle name="百分比 13 2" xfId="5903" xr:uid="{189BD022-4C97-46AE-87F8-8C569151A1F7}"/>
    <cellStyle name="百分比 13 3" xfId="5904" xr:uid="{9E7FFCD7-CCAC-498F-AA03-E70C352D3DF0}"/>
    <cellStyle name="百分比 13 4" xfId="5905" xr:uid="{8BDAE932-84F5-4C7F-93C5-2BE146F2B8AC}"/>
    <cellStyle name="百分比 13 5" xfId="5906" xr:uid="{AFA7D4D0-4FF3-4C85-BC04-A0F44C3CB1CA}"/>
    <cellStyle name="百分比 13 6" xfId="5908" xr:uid="{05958276-2CC2-4446-8A07-20A880CE725D}"/>
    <cellStyle name="百分比 13 7" xfId="5909" xr:uid="{5116B494-570A-44A3-BDB0-2B04B81886B7}"/>
    <cellStyle name="百分比 13 8" xfId="5910" xr:uid="{CC4B0BDB-7BDA-4406-B861-3629C47F08B5}"/>
    <cellStyle name="百分比 14" xfId="5911" xr:uid="{F2491E73-807C-4243-A4B9-46B18AB822CD}"/>
    <cellStyle name="百分比 14 2" xfId="5912" xr:uid="{EF38C3E0-AC3F-4700-B20F-0A9B138FEC0A}"/>
    <cellStyle name="百分比 14 3" xfId="5913" xr:uid="{A4FCCF29-288E-4D5E-9D83-09A763F9FFEE}"/>
    <cellStyle name="百分比 14 4" xfId="5914" xr:uid="{3EB08095-AB6E-4F04-B1A0-AA4E54D578E7}"/>
    <cellStyle name="百分比 14 5" xfId="5915" xr:uid="{40FAC2B2-0F95-47B4-9501-B3B0ADD88556}"/>
    <cellStyle name="百分比 14 6" xfId="5917" xr:uid="{5F716998-4985-4DAC-99F6-91FAEBF4C483}"/>
    <cellStyle name="百分比 14 7" xfId="5918" xr:uid="{C4274F57-75BC-4801-8A84-821AB00858DE}"/>
    <cellStyle name="百分比 14 8" xfId="5919" xr:uid="{AACCA70C-830A-4DA9-8BC9-A33F46148568}"/>
    <cellStyle name="百分比 15" xfId="5920" xr:uid="{BBF02624-09D9-4E02-A9BC-19AC52C17B46}"/>
    <cellStyle name="百分比 15 2" xfId="5921" xr:uid="{21A3150E-8AAB-479F-9B35-29F5A82DF689}"/>
    <cellStyle name="百分比 15 3" xfId="5922" xr:uid="{163FF1ED-3044-431F-8605-E6D1A62D271C}"/>
    <cellStyle name="百分比 15 4" xfId="5923" xr:uid="{A061E4B2-E4A1-4E75-898D-C790AE4FA7FA}"/>
    <cellStyle name="百分比 15 5" xfId="5924" xr:uid="{F587FE8A-C067-4860-94E9-3674AEE9C884}"/>
    <cellStyle name="百分比 15 6" xfId="5925" xr:uid="{B33A7D33-D0A9-42D2-96F0-38A51D5253D5}"/>
    <cellStyle name="百分比 15 7" xfId="5926" xr:uid="{40578904-CF9E-4FAC-848D-3C5EE7A53CDF}"/>
    <cellStyle name="百分比 15 8" xfId="5927" xr:uid="{69FE54DD-39F1-40BD-B878-5E6790C68923}"/>
    <cellStyle name="百分比 16" xfId="5928" xr:uid="{38DF4678-7FB6-470F-B50D-87C9FCA22C55}"/>
    <cellStyle name="百分比 17" xfId="10548" xr:uid="{9E449A39-8A24-4F39-B534-1E5EF13EE004}"/>
    <cellStyle name="百分比 18" xfId="62" xr:uid="{ACB618AE-9F59-4700-A31A-2526464C22DF}"/>
    <cellStyle name="百分比 19" xfId="27801" xr:uid="{CF659576-7126-43F4-BD06-94E7D18FDAC2}"/>
    <cellStyle name="百分比 2" xfId="4" xr:uid="{00000000-0005-0000-0000-000002000000}"/>
    <cellStyle name="百分比 2 10" xfId="5930" xr:uid="{95A15AA5-C027-4725-8F1B-B1F82DF11027}"/>
    <cellStyle name="百分比 2 11" xfId="5931" xr:uid="{EC2E5C13-293D-420F-A9F2-5952ADB3D2C4}"/>
    <cellStyle name="百分比 2 12" xfId="5932" xr:uid="{6A65914F-A535-45BF-B055-721DC39F9EF1}"/>
    <cellStyle name="百分比 2 13" xfId="5933" xr:uid="{C4CDBEF2-CBEE-40C3-A928-8D616193E0B4}"/>
    <cellStyle name="百分比 2 14" xfId="5934" xr:uid="{430290BC-2504-4570-96BD-7B8F9EEB8D0F}"/>
    <cellStyle name="百分比 2 15" xfId="5935" xr:uid="{92F54D91-DB94-49DE-999F-D0C2383CEF74}"/>
    <cellStyle name="百分比 2 16" xfId="5936" xr:uid="{A182896E-10F4-420E-9478-27CEA7DA0F37}"/>
    <cellStyle name="百分比 2 17" xfId="5937" xr:uid="{9FEE2995-7792-44F6-8845-D68FBFB3DD9F}"/>
    <cellStyle name="百分比 2 18" xfId="10549" xr:uid="{7DE8097F-22B3-4B60-A440-1BF9C763A785}"/>
    <cellStyle name="百分比 2 19" xfId="5929" xr:uid="{F8FCC565-984A-48F9-B5FC-37B49DCD8C25}"/>
    <cellStyle name="百分比 2 2" xfId="5938" xr:uid="{BE09D0B5-FF10-47F9-BFA8-EE6EA533E20A}"/>
    <cellStyle name="百分比 2 2 2" xfId="10551" xr:uid="{84746B2B-6A64-4558-B9D5-56BC3A3CE7BC}"/>
    <cellStyle name="百分比 2 2 2 2" xfId="21899" xr:uid="{8530C602-14FC-4A68-A6C0-C7FA401C0651}"/>
    <cellStyle name="百分比 2 2 2 3" xfId="27427" xr:uid="{0C66D083-F0BD-44CB-9F8D-825E847190B5}"/>
    <cellStyle name="百分比 2 2 3" xfId="10552" xr:uid="{6571519A-124B-4137-9DDC-D628A98331E7}"/>
    <cellStyle name="百分比 2 2 3 2" xfId="27428" xr:uid="{2F6E7DF6-89A5-4A8E-A27D-9864B859A4D9}"/>
    <cellStyle name="百分比 2 2 4" xfId="10550" xr:uid="{91025FAD-7380-40B5-AE25-6AA605DE74D8}"/>
    <cellStyle name="百分比 2 3" xfId="5939" xr:uid="{114CAFD1-BEEE-48B3-AFEA-6FC6AE452DB7}"/>
    <cellStyle name="百分比 2 3 2" xfId="5940" xr:uid="{FEA6B076-FE76-43DB-AEFD-B25D2E45D3A1}"/>
    <cellStyle name="百分比 2 3 2 2" xfId="5941" xr:uid="{5F1E771B-CF14-4023-B3B8-AFF1F559DEFF}"/>
    <cellStyle name="百分比 2 3 3" xfId="21900" xr:uid="{CDBBD5D5-3DE3-4002-A9C0-5AF12972D46B}"/>
    <cellStyle name="百分比 2 3 4" xfId="27429" xr:uid="{0A5CE2A5-F996-4E40-82C5-4C2316CD52F9}"/>
    <cellStyle name="百分比 2 4" xfId="5942" xr:uid="{FD6C5742-34E3-4C5C-9F5A-C50630865DBB}"/>
    <cellStyle name="百分比 2 4 2" xfId="21901" xr:uid="{986B65CB-4F11-40C3-95C3-51C09FF5837F}"/>
    <cellStyle name="百分比 2 4 3" xfId="27245" xr:uid="{8D5EED7F-A523-4970-9DF5-89F779EE07D4}"/>
    <cellStyle name="百分比 2 4 4" xfId="27430" xr:uid="{6F4F77DA-6507-4422-BCB5-C1FE994B7F0F}"/>
    <cellStyle name="百分比 2 5" xfId="5943" xr:uid="{795F87EF-FB45-44CD-BC06-27569FF39A8E}"/>
    <cellStyle name="百分比 2 5 2" xfId="27246" xr:uid="{17B20712-7D52-476C-86DC-22186B7DB873}"/>
    <cellStyle name="百分比 2 6" xfId="5944" xr:uid="{E5007EE9-98C0-476F-8E0C-9E62D0470591}"/>
    <cellStyle name="百分比 2 6 2" xfId="27247" xr:uid="{6F200DF9-7392-4F36-96F3-6D68CFDC52B1}"/>
    <cellStyle name="百分比 2 7" xfId="5946" xr:uid="{3E0E69A8-7456-4D0F-BF0B-0C22226B8187}"/>
    <cellStyle name="百分比 2 7 2" xfId="27248" xr:uid="{55E27E78-D746-4A71-875B-DF8D49DE1B7B}"/>
    <cellStyle name="百分比 2 8" xfId="5947" xr:uid="{0E505203-BF28-43E0-B112-2880E3A2F06A}"/>
    <cellStyle name="百分比 2 9" xfId="4634" xr:uid="{1DC88E37-9CB8-442A-A410-9DB0C006D6A2}"/>
    <cellStyle name="百分比 3" xfId="5948" xr:uid="{FEC4E6B0-D617-4C2C-B970-D1E5EECE5A67}"/>
    <cellStyle name="百分比 3 10" xfId="5949" xr:uid="{75917C5D-EE50-4829-8CF4-195CD1EAE8C2}"/>
    <cellStyle name="百分比 3 11" xfId="5950" xr:uid="{A766C068-2311-4AF4-956C-7F68F93F80B2}"/>
    <cellStyle name="百分比 3 12" xfId="5951" xr:uid="{2F360A38-2942-48F0-B135-E4E7E194EC5E}"/>
    <cellStyle name="百分比 3 13" xfId="5952" xr:uid="{D4C657B3-71CE-46C0-A9E0-08A7EF196DE4}"/>
    <cellStyle name="百分比 3 14" xfId="5953" xr:uid="{D90AA365-F8C7-4D29-9153-462D2DBFEBC5}"/>
    <cellStyle name="百分比 3 15" xfId="5954" xr:uid="{19602339-562F-43EA-B9CA-1CBF472571E0}"/>
    <cellStyle name="百分比 3 16" xfId="10554" xr:uid="{3B4A59CF-EF2D-454B-87E3-948DAD2354B9}"/>
    <cellStyle name="百分比 3 17" xfId="10555" xr:uid="{A1974A69-08C5-4314-AE78-268DA28EF229}"/>
    <cellStyle name="百分比 3 18" xfId="10556" xr:uid="{34D64E4C-3E34-4D5A-B4BB-6D34A21630E2}"/>
    <cellStyle name="百分比 3 19" xfId="10557" xr:uid="{96D24CD5-5F5C-461E-9ACC-53EB97EA992A}"/>
    <cellStyle name="百分比 3 2" xfId="5955" xr:uid="{151C08CC-BC83-4DBC-9FA7-0A150F0F364A}"/>
    <cellStyle name="百分比 3 2 2" xfId="5956" xr:uid="{CD9D32A5-7527-4EB2-8896-CFE16D1777EF}"/>
    <cellStyle name="百分比 3 2 2 2" xfId="1131" xr:uid="{56817596-7B42-42D2-8A5B-2CC6AE532321}"/>
    <cellStyle name="百分比 3 2 2 2 2" xfId="426" xr:uid="{0F3BD060-A084-4155-AC38-9A29C41B459A}"/>
    <cellStyle name="百分比 3 2 2 3" xfId="10558" xr:uid="{8D82669A-283B-4F9E-B4A6-8434D07256C9}"/>
    <cellStyle name="百分比 3 2 3" xfId="5957" xr:uid="{746658EA-3A5E-46F7-9404-F40CA6D2B891}"/>
    <cellStyle name="百分比 3 2 3 2" xfId="10559" xr:uid="{26DCD6E1-3573-4DB1-A916-96ECF227767E}"/>
    <cellStyle name="百分比 3 2 4" xfId="27432" xr:uid="{AAEBB6A0-2110-46EB-8035-13CBAEBA8802}"/>
    <cellStyle name="百分比 3 20" xfId="10560" xr:uid="{07C8BF2F-4864-4757-AEBE-6E0BE37C5EA8}"/>
    <cellStyle name="百分比 3 21" xfId="10561" xr:uid="{B7A17FBE-F824-48A4-A04A-8F8E5632D554}"/>
    <cellStyle name="百分比 3 22" xfId="10562" xr:uid="{D29A31AD-FA06-44D0-9BF5-2DCF939DCF30}"/>
    <cellStyle name="百分比 3 23" xfId="10563" xr:uid="{CB6C4A8F-D3FF-4CCD-9C4E-BD4D799679FA}"/>
    <cellStyle name="百分比 3 24" xfId="10553" xr:uid="{23DFDD24-DDEA-44DD-A02A-C82B1F7282CB}"/>
    <cellStyle name="百分比 3 25" xfId="27431" xr:uid="{76B9ECE7-2239-4AD4-96ED-DA80DD070BEC}"/>
    <cellStyle name="百分比 3 3" xfId="5958" xr:uid="{4447290D-DBEA-4F57-8786-3E5E8F37F10B}"/>
    <cellStyle name="百分比 3 3 2" xfId="5959" xr:uid="{DFC90950-8D19-44B1-B8A3-9B055B41795F}"/>
    <cellStyle name="百分比 3 3 2 2" xfId="10564" xr:uid="{EBE61376-E268-4AC8-9B19-ACCF36D7E92B}"/>
    <cellStyle name="百分比 3 3 3" xfId="10565" xr:uid="{35FFCEB9-2C75-45C2-8DE2-5A80F481736E}"/>
    <cellStyle name="百分比 3 3 4" xfId="27433" xr:uid="{939CE2B8-389D-4ECC-A165-A8CEDBFD30B6}"/>
    <cellStyle name="百分比 3 4" xfId="5960" xr:uid="{82939F80-DF44-4CD2-822F-DBD5E2C0C9DE}"/>
    <cellStyle name="百分比 3 4 2" xfId="10566" xr:uid="{123FAB1C-6A2C-4AAE-94D1-159EE000111E}"/>
    <cellStyle name="百分比 3 5" xfId="5961" xr:uid="{45E94430-AC3A-4CDC-8922-D49952402123}"/>
    <cellStyle name="百分比 3 6" xfId="5962" xr:uid="{8C16260C-2A0F-4ED2-92C3-EBE78E5FF72B}"/>
    <cellStyle name="百分比 3 7" xfId="5964" xr:uid="{7DC4988C-01EC-4522-B729-050C15240813}"/>
    <cellStyle name="百分比 3 8" xfId="5966" xr:uid="{7B5C254E-07A8-409F-8E55-0AA3B63DD809}"/>
    <cellStyle name="百分比 3 9" xfId="4529" xr:uid="{EEA1024C-8309-4260-B20D-7B966CAC1FE8}"/>
    <cellStyle name="百分比 4" xfId="5967" xr:uid="{6F2F113C-0518-420A-9373-36C9938DE229}"/>
    <cellStyle name="百分比 4 2" xfId="5968" xr:uid="{0D748899-D1C9-4706-AF75-63201276FDC7}"/>
    <cellStyle name="百分比 4 2 2" xfId="10568" xr:uid="{F24444C4-A28F-426D-8F9B-D729EABE9EB4}"/>
    <cellStyle name="百分比 4 3" xfId="4012" xr:uid="{3A4DA541-2376-41EE-849E-A41B71D015AB}"/>
    <cellStyle name="百分比 4 3 2" xfId="10569" xr:uid="{A4E84AF0-9C67-4F0A-8783-68854AA8F18C}"/>
    <cellStyle name="百分比 4 4" xfId="5969" xr:uid="{0044399C-E1EC-4666-A8A0-BC3DF93FAACB}"/>
    <cellStyle name="百分比 4 5" xfId="5970" xr:uid="{24D6B990-6FF3-4D13-9F22-BADEC84FA9F5}"/>
    <cellStyle name="百分比 4 6" xfId="5971" xr:uid="{FCF02086-CF8A-4EB8-BFCA-05DA7778D33F}"/>
    <cellStyle name="百分比 4 7" xfId="5973" xr:uid="{C8BD2D72-F0CC-43CC-BCC2-7E2F7C5D8701}"/>
    <cellStyle name="百分比 4 8" xfId="5974" xr:uid="{82618F66-D875-481B-81EF-86D8F2BF7385}"/>
    <cellStyle name="百分比 4 9" xfId="10567" xr:uid="{058D58E0-A308-4F70-9033-0800C0597F9F}"/>
    <cellStyle name="百分比 5" xfId="5975" xr:uid="{DAEBEBD3-D22A-4CF8-81AD-FE245B2EC73A}"/>
    <cellStyle name="百分比 5 2" xfId="5976" xr:uid="{5BBE2425-42EC-40EC-B18C-F271F98688A7}"/>
    <cellStyle name="百分比 5 2 2" xfId="10570" xr:uid="{9133B0E9-533A-4D1B-966D-C0EE8CA3927E}"/>
    <cellStyle name="百分比 5 3" xfId="4016" xr:uid="{21AED9B1-EFE6-42D1-8C46-210E1590A600}"/>
    <cellStyle name="百分比 5 3 2" xfId="10571" xr:uid="{C7D91815-F9AC-4B1C-99CD-CBE361C92D62}"/>
    <cellStyle name="百分比 5 4" xfId="5977" xr:uid="{5E07F490-39E5-4747-8DC7-3FF19BE44383}"/>
    <cellStyle name="百分比 5 5" xfId="5978" xr:uid="{DB6C6DE3-496F-4211-8D08-5E1554C68EA6}"/>
    <cellStyle name="百分比 5 6" xfId="5979" xr:uid="{62D9A6B4-1E47-4DF0-AEF1-B763F65A0EF5}"/>
    <cellStyle name="百分比 5 7" xfId="5982" xr:uid="{91B99CEE-760C-4F5B-AAB8-14453E0D919A}"/>
    <cellStyle name="百分比 5 8" xfId="5983" xr:uid="{8C657690-7E80-455C-BC7C-5E37B49E2E00}"/>
    <cellStyle name="百分比 6" xfId="5984" xr:uid="{15C03F04-B8F9-4DCD-9DB0-721F9772CB26}"/>
    <cellStyle name="百分比 6 2" xfId="5985" xr:uid="{7DCEBCB8-462B-4C37-8647-8FFD1D52EE73}"/>
    <cellStyle name="百分比 6 3" xfId="5986" xr:uid="{0AB10CA4-8F35-4656-A294-3C4C6B2E3032}"/>
    <cellStyle name="百分比 6 4" xfId="5987" xr:uid="{9BAB8CBE-F927-4FEB-A8A4-28491D413ADB}"/>
    <cellStyle name="百分比 6 5" xfId="5988" xr:uid="{61279B5C-7BE5-4F7B-8EE9-84964D95D126}"/>
    <cellStyle name="百分比 6 6" xfId="5989" xr:uid="{285746BC-D37A-4A16-B9CF-D9B0F931969D}"/>
    <cellStyle name="百分比 6 7" xfId="5992" xr:uid="{07579142-027C-4A25-8F33-7CF1C7F7369C}"/>
    <cellStyle name="百分比 6 8" xfId="5994" xr:uid="{59A7C1EA-88CA-472B-A687-5B2C711D390A}"/>
    <cellStyle name="百分比 7" xfId="5995" xr:uid="{14D1D33A-E382-447F-BAC1-E417680E4354}"/>
    <cellStyle name="百分比 7 2" xfId="5996" xr:uid="{16D86D9D-982E-4E59-8067-4C67980DFD4D}"/>
    <cellStyle name="百分比 7 3" xfId="4020" xr:uid="{1964D3B0-E363-40E9-8AC3-46F170EBAB96}"/>
    <cellStyle name="百分比 7 4" xfId="5997" xr:uid="{CCF0ED3A-DE15-4321-B52D-EEC9A468E1E5}"/>
    <cellStyle name="百分比 7 5" xfId="5998" xr:uid="{F5112BBC-463F-42EA-BBE1-9FFCF311C020}"/>
    <cellStyle name="百分比 7 6" xfId="5999" xr:uid="{99E17E14-3065-459F-93B6-133B1D7E9AC8}"/>
    <cellStyle name="百分比 7 7" xfId="6002" xr:uid="{DB96B2DB-B839-46F4-B70F-95F233549735}"/>
    <cellStyle name="百分比 7 8" xfId="6003" xr:uid="{18B19409-D127-4183-8839-2A9D9B23A683}"/>
    <cellStyle name="百分比 8" xfId="6004" xr:uid="{26363A8E-CA35-4FDE-9756-7CE72A622092}"/>
    <cellStyle name="百分比 8 2" xfId="6005" xr:uid="{77DA5CE7-682D-4E02-9E63-18EBE7FF4AF7}"/>
    <cellStyle name="百分比 8 3" xfId="4023" xr:uid="{0A90E608-7AE2-4055-9812-A1018BF355FC}"/>
    <cellStyle name="百分比 8 4" xfId="6006" xr:uid="{898C4BAD-F73D-4E0C-9E90-390C217A4950}"/>
    <cellStyle name="百分比 8 5" xfId="6007" xr:uid="{14E70891-8EFA-443F-9645-1D62CE589B01}"/>
    <cellStyle name="百分比 8 6" xfId="6008" xr:uid="{96E4EE3B-7DC4-4569-9875-54747A3A98B8}"/>
    <cellStyle name="百分比 8 7" xfId="6011" xr:uid="{1E31CB17-24FD-4CCE-A493-9B2D61863D5E}"/>
    <cellStyle name="百分比 8 8" xfId="6012" xr:uid="{136956DB-E7C2-4A9E-8B90-BD22899AF2DE}"/>
    <cellStyle name="百分比 9" xfId="6013" xr:uid="{3FA3C051-DEC1-4011-B85F-EE7D032AD8C4}"/>
    <cellStyle name="百分比 9 2" xfId="6014" xr:uid="{E649C58E-3E1D-433E-BDB5-30EF3C227825}"/>
    <cellStyle name="百分比 9 3" xfId="6015" xr:uid="{DE465A63-DC46-416E-BD9D-50BE5B9967E7}"/>
    <cellStyle name="百分比 9 4" xfId="6016" xr:uid="{843D1AF9-1AD6-44DE-93CD-3400101317D5}"/>
    <cellStyle name="百分比 9 5" xfId="6017" xr:uid="{F8739EBB-777D-4CE3-A121-FCA1BDA9E8A3}"/>
    <cellStyle name="百分比 9 6" xfId="6018" xr:uid="{2A8FD962-4982-467D-93EF-32CB2381DAE7}"/>
    <cellStyle name="百分比 9 7" xfId="6021" xr:uid="{500EC15E-40E5-420F-AE36-5985BEB455C1}"/>
    <cellStyle name="百分比 9 8" xfId="6022" xr:uid="{0E943D56-727F-4E51-9899-B0C53C80E435}"/>
    <cellStyle name="捠壿 [0.00]_PRODUCT DETAIL Q1" xfId="6023" xr:uid="{D1A02C15-5C31-43C9-ABCD-E0FADF4FA4C6}"/>
    <cellStyle name="捠壿_PRODUCT DETAIL Q1" xfId="6024" xr:uid="{60C1A370-421A-4932-89C4-8B895D63D7CC}"/>
    <cellStyle name="编号" xfId="21902" xr:uid="{441D93F7-B642-4A30-AF45-1458B6DED217}"/>
    <cellStyle name="编号 2" xfId="21903" xr:uid="{5B27DACB-D533-415E-A628-824E6C8E0CED}"/>
    <cellStyle name="编号 2 2" xfId="21904" xr:uid="{90F6EA2C-47B9-4AA5-A782-12EED5097770}"/>
    <cellStyle name="编号 2 3" xfId="21905" xr:uid="{59736646-F6D0-4780-ACDE-C7E7325302F5}"/>
    <cellStyle name="编号 2 4" xfId="21906" xr:uid="{6A178922-FC07-4EB0-A200-CC0BFF673C64}"/>
    <cellStyle name="编号 2_动力部" xfId="21907" xr:uid="{85ACB486-B4E0-493D-BBE0-84E20CE7F77C}"/>
    <cellStyle name="编号 3" xfId="21908" xr:uid="{84DA782A-F8AB-4C20-BA53-6A84B3CED677}"/>
    <cellStyle name="编号 4" xfId="21909" xr:uid="{E9BB4A2F-FF62-4774-9F75-7C5D607717DB}"/>
    <cellStyle name="编号_动力部" xfId="21910" xr:uid="{0DFBF242-936E-4EAA-95F9-32B5DCA0D5BD}"/>
    <cellStyle name="标题" xfId="27806" builtinId="15" customBuiltin="1"/>
    <cellStyle name="标题 1" xfId="27807" builtinId="16" customBuiltin="1"/>
    <cellStyle name="标题 1 10" xfId="6026" xr:uid="{34853426-123D-406D-B9E8-BB0B6A6D2DA3}"/>
    <cellStyle name="标题 1 10 2" xfId="10573" xr:uid="{49BDEF80-2BF2-41F6-BC55-7FB38EEB5A6E}"/>
    <cellStyle name="标题 1 10 2 2" xfId="21913" xr:uid="{3F5FC518-CA71-4CAF-90F1-0E274BFBA09C}"/>
    <cellStyle name="标题 1 10 2 3" xfId="21912" xr:uid="{6D7D5194-F198-4498-9331-56B439016A4A}"/>
    <cellStyle name="标题 1 10 3" xfId="10574" xr:uid="{9FE42B24-906A-4DD4-8F87-31B8E04ADD98}"/>
    <cellStyle name="标题 1 10 3 2" xfId="21914" xr:uid="{5123DA5B-E080-4504-83F8-9CBA0B86AB6E}"/>
    <cellStyle name="标题 1 10 4" xfId="10572" xr:uid="{071E2D9F-3D3B-4C11-88B9-3A6775DA04A1}"/>
    <cellStyle name="标题 1 10 4 2" xfId="21915" xr:uid="{0EC5AA4A-3A60-4419-8DCB-03C48EC4CA8B}"/>
    <cellStyle name="标题 1 10 5" xfId="21911" xr:uid="{2C5754FD-9F38-4C4A-B9B4-9B41A517AFEB}"/>
    <cellStyle name="标题 1 11" xfId="6027" xr:uid="{7C39FEEA-B267-41E8-8E48-B6F85D815A78}"/>
    <cellStyle name="标题 1 11 2" xfId="10576" xr:uid="{06CE4128-218C-4B7B-96FA-6C4DF34CF4DA}"/>
    <cellStyle name="标题 1 11 2 2" xfId="21918" xr:uid="{C509F5D9-3155-4F97-B140-1CEED13A4DBD}"/>
    <cellStyle name="标题 1 11 2 3" xfId="21917" xr:uid="{59BC7D5B-03DA-419A-8634-E9C8B76B3177}"/>
    <cellStyle name="标题 1 11 3" xfId="10577" xr:uid="{62165EEC-7692-4CE0-92F1-EFB4DBC95DFD}"/>
    <cellStyle name="标题 1 11 3 2" xfId="21919" xr:uid="{303674E8-144C-4D91-8D16-FF10DD0BC8DE}"/>
    <cellStyle name="标题 1 11 4" xfId="10575" xr:uid="{2520C251-EFE2-42C0-B48C-2036A803126A}"/>
    <cellStyle name="标题 1 11 4 2" xfId="21920" xr:uid="{AE5BE2F7-8DC5-4B10-BAE0-0A92DBA77183}"/>
    <cellStyle name="标题 1 11 5" xfId="21916" xr:uid="{2B2E7220-061C-45E2-A764-5A87FA4B4496}"/>
    <cellStyle name="标题 1 12" xfId="6028" xr:uid="{04BF2223-3103-435E-B080-858DCEAE3768}"/>
    <cellStyle name="标题 1 12 2" xfId="10579" xr:uid="{2CEBB680-7A68-44A8-B35C-3D0A2C3D2B4A}"/>
    <cellStyle name="标题 1 12 2 2" xfId="21923" xr:uid="{3856BAA4-4033-4953-87FD-A14F311F7B29}"/>
    <cellStyle name="标题 1 12 2 3" xfId="21922" xr:uid="{DD9DBB66-F75A-4492-AC99-E5815560D5EC}"/>
    <cellStyle name="标题 1 12 3" xfId="10580" xr:uid="{7D8221ED-3C81-4C39-B352-01A2417B4203}"/>
    <cellStyle name="标题 1 12 3 2" xfId="21924" xr:uid="{1248D6E7-28F8-407F-B7FE-4A7FE14F9B14}"/>
    <cellStyle name="标题 1 12 4" xfId="10578" xr:uid="{184217F9-AF73-4ABB-B716-61665E9F4107}"/>
    <cellStyle name="标题 1 12 4 2" xfId="21925" xr:uid="{8F1C4372-0E1E-4722-808A-F19AB63F2AF7}"/>
    <cellStyle name="标题 1 12 5" xfId="21921" xr:uid="{0BF45BFA-C7C7-47F8-925E-87B8816A9AC2}"/>
    <cellStyle name="标题 1 13" xfId="6029" xr:uid="{57AE8CEE-BACD-4B37-BDF2-4571FD3B1BDD}"/>
    <cellStyle name="标题 1 13 2" xfId="10582" xr:uid="{A5A141CA-1EE0-4B43-B45B-0AF353B97B7B}"/>
    <cellStyle name="标题 1 13 2 2" xfId="21928" xr:uid="{78CE030B-8792-4AC2-B8A9-A342EBE0D3D3}"/>
    <cellStyle name="标题 1 13 2 3" xfId="21927" xr:uid="{FF169A36-FB13-4626-96B8-F1B71FBFE191}"/>
    <cellStyle name="标题 1 13 3" xfId="10583" xr:uid="{EFC30995-4323-4858-A0D8-DE19690BF5ED}"/>
    <cellStyle name="标题 1 13 3 2" xfId="21929" xr:uid="{5A974855-F2DA-4685-BE08-FA794CB269CB}"/>
    <cellStyle name="标题 1 13 4" xfId="10581" xr:uid="{186D1503-A943-4B94-8462-7B896C7D3B32}"/>
    <cellStyle name="标题 1 13 4 2" xfId="21930" xr:uid="{E7AAC5EE-1705-4F33-9C7B-FEAF3B68A1FB}"/>
    <cellStyle name="标题 1 13 5" xfId="21926" xr:uid="{A4CEC673-7167-4151-90A8-2CF25C718417}"/>
    <cellStyle name="标题 1 14" xfId="6030" xr:uid="{8F306B7E-A3D2-417B-9986-314AE841F90A}"/>
    <cellStyle name="标题 1 14 2" xfId="10585" xr:uid="{DEEC5192-F96B-42E7-8133-33C4D607A067}"/>
    <cellStyle name="标题 1 14 2 2" xfId="21933" xr:uid="{4181A2A4-3C43-4A54-8B4E-911AE71ABA00}"/>
    <cellStyle name="标题 1 14 2 3" xfId="21932" xr:uid="{E33B59EB-EA5A-4042-A543-5750692DCB06}"/>
    <cellStyle name="标题 1 14 3" xfId="10586" xr:uid="{1A8B3A66-044F-4FCA-A361-D28A88B8D9B6}"/>
    <cellStyle name="标题 1 14 3 2" xfId="21934" xr:uid="{D8027AE2-A962-48FE-9689-6BE9E7552941}"/>
    <cellStyle name="标题 1 14 4" xfId="10584" xr:uid="{8E7ACD17-12CF-465E-90AA-17221E603AE0}"/>
    <cellStyle name="标题 1 14 4 2" xfId="21935" xr:uid="{B0ABEA04-3C2F-41BA-B287-CCF716F6A4B9}"/>
    <cellStyle name="标题 1 14 5" xfId="21931" xr:uid="{1AEBFA2E-E400-447F-9A2A-CA8441147DDE}"/>
    <cellStyle name="标题 1 15" xfId="6031" xr:uid="{8EA3BDDE-F0D1-406E-81D9-794354D34932}"/>
    <cellStyle name="标题 1 15 2" xfId="10588" xr:uid="{3F60D994-A6CC-4EAF-A220-F41DE749153E}"/>
    <cellStyle name="标题 1 15 2 2" xfId="21938" xr:uid="{89624563-D987-43D0-9C74-2BBC649EF17C}"/>
    <cellStyle name="标题 1 15 2 3" xfId="21937" xr:uid="{DFA7B74E-3A84-4895-8455-8C0C17CC0474}"/>
    <cellStyle name="标题 1 15 3" xfId="10589" xr:uid="{67FE92D2-BD56-48BC-B75C-0355228E2C76}"/>
    <cellStyle name="标题 1 15 3 2" xfId="21939" xr:uid="{35C3D610-45A6-4985-8761-6ADB63F28A3C}"/>
    <cellStyle name="标题 1 15 4" xfId="10587" xr:uid="{7DBEA84D-C509-41F2-95AA-612486AC05C3}"/>
    <cellStyle name="标题 1 15 4 2" xfId="21940" xr:uid="{3A681956-F85D-4DD0-A9C0-920D5F9BD5A5}"/>
    <cellStyle name="标题 1 15 5" xfId="21936" xr:uid="{54441FE8-78B5-4E0B-892E-07CEFDC548C9}"/>
    <cellStyle name="标题 1 16" xfId="6033" xr:uid="{10030657-1887-4F05-99C0-0E9891FF0D36}"/>
    <cellStyle name="标题 1 16 2" xfId="10591" xr:uid="{15DF2041-84FA-4B35-A002-B07661C71E59}"/>
    <cellStyle name="标题 1 16 2 2" xfId="21943" xr:uid="{A94DDD50-CB20-407D-A365-830792144591}"/>
    <cellStyle name="标题 1 16 2 3" xfId="21942" xr:uid="{839A27B5-EED1-4D54-8460-6AC9C1DBC6C2}"/>
    <cellStyle name="标题 1 16 3" xfId="10592" xr:uid="{5BB3C4F4-5397-4B8E-AD8D-DAC8D19BF238}"/>
    <cellStyle name="标题 1 16 3 2" xfId="21944" xr:uid="{5BE0965E-7435-497F-9843-2AFB64A82EB5}"/>
    <cellStyle name="标题 1 16 4" xfId="10590" xr:uid="{D8C1FEDA-0636-49BF-A2A7-078E87077B6E}"/>
    <cellStyle name="标题 1 16 4 2" xfId="21945" xr:uid="{20CE1544-1702-48D6-B0C7-B884EE34ED71}"/>
    <cellStyle name="标题 1 16 5" xfId="21941" xr:uid="{A28235CD-32E9-4496-9777-9FE0D8EFA223}"/>
    <cellStyle name="标题 1 17" xfId="6035" xr:uid="{D7A843E7-5667-40CB-8E3D-6BC85EF3B60D}"/>
    <cellStyle name="标题 1 17 2" xfId="10594" xr:uid="{4ABB8384-8237-4C27-8B19-5AB67226A21F}"/>
    <cellStyle name="标题 1 17 2 2" xfId="21948" xr:uid="{8C310F77-8578-4A55-9FED-7BA51BC257B7}"/>
    <cellStyle name="标题 1 17 2 3" xfId="21947" xr:uid="{38E4A5FC-2FC9-4F5C-B570-1CC69890395B}"/>
    <cellStyle name="标题 1 17 3" xfId="10595" xr:uid="{B9E7B103-9053-4118-8972-B2327C0AFC51}"/>
    <cellStyle name="标题 1 17 3 2" xfId="21949" xr:uid="{5F452B54-CAEE-493F-A7FD-D52986426524}"/>
    <cellStyle name="标题 1 17 4" xfId="10593" xr:uid="{C41F87A1-C2D4-40AC-9757-AD562C36F257}"/>
    <cellStyle name="标题 1 17 4 2" xfId="21950" xr:uid="{F179CBDA-604C-4A32-927F-1B20D0B91768}"/>
    <cellStyle name="标题 1 17 5" xfId="21946" xr:uid="{0D9FBCCC-5A41-4A99-AED7-C60EDE450D33}"/>
    <cellStyle name="标题 1 18" xfId="4341" xr:uid="{5B684543-234F-4D3A-BC02-93419595AEB7}"/>
    <cellStyle name="标题 1 18 2" xfId="10596" xr:uid="{3A4E3699-0B8B-457A-BDFA-B73A6FD756DA}"/>
    <cellStyle name="标题 1 18 2 2" xfId="21953" xr:uid="{C3D5934E-9497-444E-AA75-B5DCF06EB057}"/>
    <cellStyle name="标题 1 18 2 3" xfId="21952" xr:uid="{11CB5E0B-BB09-4486-8838-9776D2448834}"/>
    <cellStyle name="标题 1 18 3" xfId="21954" xr:uid="{CC2DCA13-29D4-4EB0-ACC6-86FCFD9EA849}"/>
    <cellStyle name="标题 1 18 4" xfId="21955" xr:uid="{83DDBB94-97B7-4F89-BB21-1554AE00065C}"/>
    <cellStyle name="标题 1 18 5" xfId="21951" xr:uid="{5B26E4F2-C3B8-4647-B9B1-1BA2276252B9}"/>
    <cellStyle name="标题 1 19" xfId="6037" xr:uid="{FC4D1D79-09F7-4896-9FE8-3CD145750BF2}"/>
    <cellStyle name="标题 1 19 2" xfId="10597" xr:uid="{F2329BD5-64DC-4718-90E0-BDF7F6B834F6}"/>
    <cellStyle name="标题 1 19 2 2" xfId="21958" xr:uid="{C0A8E75A-FED8-4823-97F6-0BBB5DBBDC4E}"/>
    <cellStyle name="标题 1 19 2 3" xfId="21957" xr:uid="{50D9DDF8-887E-4770-84E1-E83C98D3597A}"/>
    <cellStyle name="标题 1 19 3" xfId="21959" xr:uid="{C5DFC93B-93C0-4102-9423-5C55268F6AD3}"/>
    <cellStyle name="标题 1 19 4" xfId="21960" xr:uid="{CA8759BF-4615-447F-916E-AFC81679C7C5}"/>
    <cellStyle name="标题 1 19 5" xfId="21956" xr:uid="{3393B194-44BC-4F74-9D73-263A2DE12871}"/>
    <cellStyle name="标题 1 2" xfId="938" xr:uid="{07EF5E02-8502-49F3-B5B3-28ACFAAD44FB}"/>
    <cellStyle name="标题 1 2 10" xfId="6039" xr:uid="{526E079F-9956-412A-8FA2-4C759315973C}"/>
    <cellStyle name="标题 1 2 11" xfId="6040" xr:uid="{541AE666-53C7-44A3-A9EA-B887F67E1E61}"/>
    <cellStyle name="标题 1 2 12" xfId="6041" xr:uid="{336C9199-3DBD-46B6-9584-D4BB855569AC}"/>
    <cellStyle name="标题 1 2 13" xfId="6042" xr:uid="{E83C4708-0D08-4241-9A08-90B6A8216C91}"/>
    <cellStyle name="标题 1 2 14" xfId="6043" xr:uid="{6C1E6911-43D6-471F-9001-571CCE2A79BD}"/>
    <cellStyle name="标题 1 2 15" xfId="12410" xr:uid="{9F2CDDBD-B312-4E87-9BDA-7CFDFD6B8AAF}"/>
    <cellStyle name="标题 1 2 2" xfId="6044" xr:uid="{07DF35A6-B8F6-4470-AAA9-9217BC08C991}"/>
    <cellStyle name="标题 1 2 2 2" xfId="21962" xr:uid="{8DB87C2A-7059-414F-8DBD-632918D3F381}"/>
    <cellStyle name="标题 1 2 2 3" xfId="21961" xr:uid="{00D1E34D-0DBD-4568-AA40-A0AB99E3AA18}"/>
    <cellStyle name="标题 1 2 2 4" xfId="27434" xr:uid="{7CB36322-F70E-4716-AB35-057E3E7384BB}"/>
    <cellStyle name="标题 1 2 3" xfId="6045" xr:uid="{C329E851-4A96-438B-8DF1-5EBC69D05E72}"/>
    <cellStyle name="标题 1 2 3 2" xfId="21964" xr:uid="{DCE08697-61E9-4ACF-9CA9-2140750E0D32}"/>
    <cellStyle name="标题 1 2 3 3" xfId="21963" xr:uid="{20EB8A37-1C27-4904-9B2F-D93E57F0E5F3}"/>
    <cellStyle name="标题 1 2 3 4" xfId="27435" xr:uid="{210517FB-01F2-46E4-8C8F-A54DAAF98467}"/>
    <cellStyle name="标题 1 2 4" xfId="6046" xr:uid="{B9A3078D-AD94-4150-8F23-2E9452E5463D}"/>
    <cellStyle name="标题 1 2 4 2" xfId="21965" xr:uid="{7D6EF89F-75FD-4A5D-8EEE-9E4B89275553}"/>
    <cellStyle name="标题 1 2 4 3" xfId="27734" xr:uid="{918B5D9C-016D-4CD8-A6A4-01836E135430}"/>
    <cellStyle name="标题 1 2 5" xfId="6047" xr:uid="{5E0D133B-8679-455B-B16A-7633FA078BB1}"/>
    <cellStyle name="标题 1 2 5 2" xfId="21967" xr:uid="{C9234538-5A97-4D3F-BDEE-FD077D561571}"/>
    <cellStyle name="标题 1 2 5 3" xfId="21966" xr:uid="{B9D83562-B6DE-49A0-91F3-AC54AB9338DE}"/>
    <cellStyle name="标题 1 2 6" xfId="6048" xr:uid="{8C9211C9-75EF-4978-90C3-2628F75F708A}"/>
    <cellStyle name="标题 1 2 6 2" xfId="21968" xr:uid="{B2A8A0FA-3F92-490C-B3E4-A79E85D6F209}"/>
    <cellStyle name="标题 1 2 7" xfId="6049" xr:uid="{EE02AA4D-25C1-4339-8ECD-EFFAB1532753}"/>
    <cellStyle name="标题 1 2 7 2" xfId="21969" xr:uid="{35BC437F-1E8E-46AD-A101-4BAE8E509032}"/>
    <cellStyle name="标题 1 2 8" xfId="6050" xr:uid="{C9A994E0-32C7-46BC-9998-9C80D1F3B0C8}"/>
    <cellStyle name="标题 1 2 9" xfId="6051" xr:uid="{035C5FA8-3D2B-41FE-87AD-B73ED79406EF}"/>
    <cellStyle name="标题 1 2_动力部" xfId="21970" xr:uid="{0C3A13C3-A9DA-4A16-ADC8-8EBEE8CFA306}"/>
    <cellStyle name="标题 1 20" xfId="6032" xr:uid="{C0B228DB-E284-41AB-B44E-763992BFA10C}"/>
    <cellStyle name="标题 1 20 2" xfId="10598" xr:uid="{58C427D2-F10F-4C4D-9B79-56210CDD6553}"/>
    <cellStyle name="标题 1 20 2 2" xfId="21973" xr:uid="{9F7CEEAB-407D-4036-947D-82A673BDAA0E}"/>
    <cellStyle name="标题 1 20 2 3" xfId="21972" xr:uid="{E25DDAAB-40DD-4D1B-9B9E-2A322DAC9569}"/>
    <cellStyle name="标题 1 20 3" xfId="21974" xr:uid="{AA9D177B-4E72-4E55-9D05-C21B4DB39036}"/>
    <cellStyle name="标题 1 20 4" xfId="21975" xr:uid="{308A5D6F-6F0D-4066-9EEE-688E72403710}"/>
    <cellStyle name="标题 1 20 5" xfId="21971" xr:uid="{AFFEFBFE-951A-4A08-B4B9-EEB4394555DF}"/>
    <cellStyle name="标题 1 21" xfId="6034" xr:uid="{5C89AB35-C87A-4CF6-8FC1-A93F9A8D6A42}"/>
    <cellStyle name="标题 1 21 2" xfId="10599" xr:uid="{A545658C-9CA1-474C-9769-53BD52BF035C}"/>
    <cellStyle name="标题 1 21 2 2" xfId="21978" xr:uid="{8BF6F3F7-8779-40B6-974E-1CC8636645EE}"/>
    <cellStyle name="标题 1 21 2 3" xfId="21977" xr:uid="{091ED36C-E29D-401D-BBB0-559036744AF3}"/>
    <cellStyle name="标题 1 21 3" xfId="21979" xr:uid="{8F9CC74B-D7BE-42C9-95A9-7811B7C7B851}"/>
    <cellStyle name="标题 1 21 4" xfId="21980" xr:uid="{2FC94AEB-A07C-4866-B41E-D8D87A3C2DE6}"/>
    <cellStyle name="标题 1 21 5" xfId="21976" xr:uid="{4B6F6268-ADFB-41C1-A327-728FFA1EC8E7}"/>
    <cellStyle name="标题 1 22" xfId="6036" xr:uid="{2DBB7BE7-B88E-45D1-A30D-E89DDC132AA0}"/>
    <cellStyle name="标题 1 22 2" xfId="10600" xr:uid="{EE875134-7C2F-4686-BAAA-9A00C6B5D7C7}"/>
    <cellStyle name="标题 1 22 2 2" xfId="21983" xr:uid="{F3AB7758-964F-442F-A5AE-303FEDA9052E}"/>
    <cellStyle name="标题 1 22 2 3" xfId="21982" xr:uid="{954F8B51-9250-4521-9117-2F230CF16F3B}"/>
    <cellStyle name="标题 1 22 3" xfId="21984" xr:uid="{67ACB74C-834E-44E1-B03A-9258FBC6CB2B}"/>
    <cellStyle name="标题 1 22 4" xfId="21985" xr:uid="{79CF33D8-E4B8-4C25-84D3-0A0DA993888A}"/>
    <cellStyle name="标题 1 22 5" xfId="21981" xr:uid="{FAD6CBA8-D534-4831-9C1A-67983103E228}"/>
    <cellStyle name="标题 1 23" xfId="4342" xr:uid="{FF320136-49D2-46D8-A51B-7B8DCCD09110}"/>
    <cellStyle name="标题 1 23 2" xfId="21987" xr:uid="{5999394C-7358-4B98-B2E3-EEF0EDB2C026}"/>
    <cellStyle name="标题 1 23 2 2" xfId="21988" xr:uid="{2C9DDDDA-F0E9-43B4-8579-80A9005852F1}"/>
    <cellStyle name="标题 1 23 3" xfId="21989" xr:uid="{ED54829E-9394-46FA-9FD1-C694AEFDC19D}"/>
    <cellStyle name="标题 1 23 4" xfId="21990" xr:uid="{77A366DA-AC6A-4E0B-A80E-B74B403369FC}"/>
    <cellStyle name="标题 1 23 5" xfId="21986" xr:uid="{DF6F4CC1-98B6-4810-B5E5-486E7DB69C5E}"/>
    <cellStyle name="标题 1 24" xfId="6038" xr:uid="{38E68E96-F885-424F-B3A8-C797FA46CF29}"/>
    <cellStyle name="标题 1 24 2" xfId="21992" xr:uid="{8F76A1E7-CBD6-4EE3-AF61-E4FE8C342498}"/>
    <cellStyle name="标题 1 24 2 2" xfId="21993" xr:uid="{81C8B72D-75AB-49DC-BF5D-D131819836DE}"/>
    <cellStyle name="标题 1 24 3" xfId="21994" xr:uid="{F8A6DFB3-3C06-4595-8221-6394975B0BF0}"/>
    <cellStyle name="标题 1 24 4" xfId="21995" xr:uid="{04F7C682-CDDC-42A7-A5E2-21194EA7D81F}"/>
    <cellStyle name="标题 1 24 5" xfId="21991" xr:uid="{0EDA9353-C300-45DE-8D36-C41579EFCE04}"/>
    <cellStyle name="标题 1 25" xfId="6052" xr:uid="{BF98AEE2-E55F-493C-954A-36913AB785A1}"/>
    <cellStyle name="标题 1 25 2" xfId="21997" xr:uid="{1E65C720-0A57-478A-B912-D8E1725C7C20}"/>
    <cellStyle name="标题 1 25 2 2" xfId="21998" xr:uid="{610210A8-B0D4-463A-9519-357690F523E7}"/>
    <cellStyle name="标题 1 25 3" xfId="21999" xr:uid="{A752E8FB-494A-4CBB-B42A-315B619444D9}"/>
    <cellStyle name="标题 1 25 4" xfId="22000" xr:uid="{899F860F-2BD1-4B91-9613-6C27A7892DA9}"/>
    <cellStyle name="标题 1 25 5" xfId="21996" xr:uid="{22574285-F3F3-47E2-8490-0C287C4A1641}"/>
    <cellStyle name="标题 1 26" xfId="6054" xr:uid="{2F8EAFB1-B49B-4920-B999-E8460C73B1B9}"/>
    <cellStyle name="标题 1 26 2" xfId="22002" xr:uid="{1E56916A-3A2D-47A9-97C7-9762F1670AC2}"/>
    <cellStyle name="标题 1 26 2 2" xfId="22003" xr:uid="{BF2DC713-BC2E-41EE-A0EC-D3D26105C4DD}"/>
    <cellStyle name="标题 1 26 3" xfId="22004" xr:uid="{1460F8A7-65BD-4F32-BFEE-5DE5279C98C3}"/>
    <cellStyle name="标题 1 26 4" xfId="22005" xr:uid="{25F58B20-3CF2-4679-A7D8-AA3CCA69B54C}"/>
    <cellStyle name="标题 1 26 5" xfId="22001" xr:uid="{9EC3D9CE-D6B0-4FAA-884A-C95CF088F0E8}"/>
    <cellStyle name="标题 1 27" xfId="6056" xr:uid="{53E6F62E-7FFC-4571-BB4B-FA5D4E89463F}"/>
    <cellStyle name="标题 1 27 2" xfId="22007" xr:uid="{CD69B3F0-AF16-46D3-A2BC-B99E43FB9E25}"/>
    <cellStyle name="标题 1 27 2 2" xfId="22008" xr:uid="{C742A3B0-A581-4CE0-95AB-78E5BF568853}"/>
    <cellStyle name="标题 1 27 3" xfId="22009" xr:uid="{533E36AF-7262-4016-B82C-445FE828A202}"/>
    <cellStyle name="标题 1 27 4" xfId="22010" xr:uid="{03C07ACE-C31A-4C1F-90F9-F7883CAC4477}"/>
    <cellStyle name="标题 1 27 5" xfId="22006" xr:uid="{5FF12C9C-D910-4900-A000-F599E3F7FBD9}"/>
    <cellStyle name="标题 1 28" xfId="6058" xr:uid="{E6D3E548-414B-4A06-A756-A9962162FB28}"/>
    <cellStyle name="标题 1 28 2" xfId="22012" xr:uid="{EE3DCE2C-6DE5-4716-B547-5C8D36372B37}"/>
    <cellStyle name="标题 1 28 3" xfId="22013" xr:uid="{553DFAFF-12DD-46F2-9085-92D03058A79A}"/>
    <cellStyle name="标题 1 28 4" xfId="22014" xr:uid="{08C50269-FBDD-425F-B40A-EA15E4BAECA7}"/>
    <cellStyle name="标题 1 28 5" xfId="22011" xr:uid="{34BEDE06-83EF-4686-9450-29351C6B657D}"/>
    <cellStyle name="标题 1 29" xfId="6060" xr:uid="{16CBDB23-76E8-4C32-ABD0-AF25D339FDBF}"/>
    <cellStyle name="标题 1 29 2" xfId="22016" xr:uid="{4E4091A5-5C0A-4F5C-9C31-EAFCE0D6E16C}"/>
    <cellStyle name="标题 1 29 3" xfId="22017" xr:uid="{DCFD5A13-74FD-469A-8536-118C5DE9E0DF}"/>
    <cellStyle name="标题 1 29 4" xfId="22018" xr:uid="{97C342DC-488F-4BD7-BC8A-0BC148657E1A}"/>
    <cellStyle name="标题 1 29 5" xfId="22015" xr:uid="{0C592D4B-F6C5-4AED-9402-232697E5E2AB}"/>
    <cellStyle name="标题 1 3" xfId="6062" xr:uid="{16F36E37-0A4D-4949-BAA7-1AEF6E144114}"/>
    <cellStyle name="标题 1 3 2" xfId="6063" xr:uid="{017B641E-9AED-4B92-A9F0-DF9CD836D956}"/>
    <cellStyle name="标题 1 3 2 2" xfId="10601" xr:uid="{DFC4C6FF-A4F4-43F1-8CE7-DF14EB16A538}"/>
    <cellStyle name="标题 1 3 2 3" xfId="22020" xr:uid="{940D2368-A8F0-4126-9AA6-790A25090F8E}"/>
    <cellStyle name="标题 1 3 2 4" xfId="27436" xr:uid="{0BC9AFEE-514B-4825-9EA3-222B44DAB8E4}"/>
    <cellStyle name="标题 1 3 3" xfId="10602" xr:uid="{E920CBFA-AC2A-4392-8765-1D8FD47C29DA}"/>
    <cellStyle name="标题 1 3 3 2" xfId="22022" xr:uid="{DD2486DA-66D4-4DB5-816F-3CBCFADB232C}"/>
    <cellStyle name="标题 1 3 3 3" xfId="22021" xr:uid="{875672F8-E102-4DE0-809A-E568922D0BCF}"/>
    <cellStyle name="标题 1 3 3 4" xfId="27437" xr:uid="{1DAA4C9E-6615-4680-92D2-580963A3C4CC}"/>
    <cellStyle name="标题 1 3 4" xfId="22023" xr:uid="{D07A8762-1D1E-44B7-8FD5-B3ABC260A46C}"/>
    <cellStyle name="标题 1 3 4 2" xfId="27735" xr:uid="{EF8AEC73-49A1-4336-8050-83BD0A59906D}"/>
    <cellStyle name="标题 1 3 5" xfId="22024" xr:uid="{BAF45FDD-4486-4BE9-812E-304120ABA520}"/>
    <cellStyle name="标题 1 3 5 2" xfId="22025" xr:uid="{57B7F9DE-1BF3-4213-BB27-F6BD9F155113}"/>
    <cellStyle name="标题 1 3 6" xfId="22019" xr:uid="{349B65DD-DD4A-4014-9769-8E8B1F5F6491}"/>
    <cellStyle name="标题 1 30" xfId="6053" xr:uid="{0D4783D8-42C6-446D-975E-6982DBEDE256}"/>
    <cellStyle name="标题 1 30 2" xfId="22027" xr:uid="{C8B23F00-13CB-4D8A-AEE5-B0077F6DD7F7}"/>
    <cellStyle name="标题 1 30 3" xfId="22028" xr:uid="{28656EA5-4492-439C-AFBC-6EEC6481C1ED}"/>
    <cellStyle name="标题 1 30 4" xfId="22029" xr:uid="{8B5CD38D-8EB7-4077-A113-6EEE1448D7E7}"/>
    <cellStyle name="标题 1 30 5" xfId="22026" xr:uid="{0D9CE215-F3EF-460C-98A6-3DAC95A7EF33}"/>
    <cellStyle name="标题 1 31" xfId="6055" xr:uid="{1F6812EA-C1B8-4ABC-8583-2DE8A96682AD}"/>
    <cellStyle name="标题 1 31 2" xfId="22031" xr:uid="{B813F2A9-E226-4E40-AFDC-2F3390CC39C0}"/>
    <cellStyle name="标题 1 31 3" xfId="22032" xr:uid="{34792467-338B-43EC-B916-CDB834C3F4F7}"/>
    <cellStyle name="标题 1 31 4" xfId="22033" xr:uid="{0CE64637-C8D5-4124-BAB6-8E2E66CE2615}"/>
    <cellStyle name="标题 1 31 5" xfId="22030" xr:uid="{BAA083B6-238E-42A1-8A07-B16C54E3FA43}"/>
    <cellStyle name="标题 1 32" xfId="6057" xr:uid="{BB67CF31-65ED-4D7D-91FA-3B6E93A3D54B}"/>
    <cellStyle name="标题 1 32 2" xfId="22035" xr:uid="{A98467D3-24E2-48B9-AA3C-A2B9618367BA}"/>
    <cellStyle name="标题 1 32 3" xfId="22036" xr:uid="{B06E6289-6254-48B9-AA3C-A2B9618367BA}"/>
    <cellStyle name="标题 1 32 4" xfId="22037" xr:uid="{B49D3620-FD36-4DC0-850B-D3D989F27783}"/>
    <cellStyle name="标题 1 32 5" xfId="22034" xr:uid="{64785B4C-5ACC-4F26-866D-7DA81F2AA44C}"/>
    <cellStyle name="标题 1 33" xfId="6059" xr:uid="{C38807D4-7481-4C3F-BCE0-605AEAA0713C}"/>
    <cellStyle name="标题 1 33 2" xfId="22039" xr:uid="{8AABD736-F096-402B-ACC7-FD82FB868550}"/>
    <cellStyle name="标题 1 33 3" xfId="22040" xr:uid="{1DE7004C-D120-4BBE-AB33-208C28D96798}"/>
    <cellStyle name="标题 1 33 4" xfId="22041" xr:uid="{5632FA97-E19A-432F-9A22-8D82431ADEC3}"/>
    <cellStyle name="标题 1 33 5" xfId="22038" xr:uid="{C16FAEA5-25EB-48DF-832B-2AA4BC9BC9AF}"/>
    <cellStyle name="标题 1 34" xfId="6061" xr:uid="{60CCB0E3-BFFA-48F1-9187-53CE21F71B20}"/>
    <cellStyle name="标题 1 34 2" xfId="22043" xr:uid="{3B5EEC5A-9436-4AE3-950B-42D40D981D19}"/>
    <cellStyle name="标题 1 34 3" xfId="22044" xr:uid="{B14346E6-C7AD-4BCB-97C8-10B001B56DFC}"/>
    <cellStyle name="标题 1 34 4" xfId="22045" xr:uid="{C1D93576-5196-444D-A92F-067B9A2FB197}"/>
    <cellStyle name="标题 1 34 5" xfId="22042" xr:uid="{2642D814-5B82-41A8-BB7A-3F7BEC589625}"/>
    <cellStyle name="标题 1 35" xfId="6064" xr:uid="{B3D20246-E481-49E3-B2CA-D2C0D8966C31}"/>
    <cellStyle name="标题 1 35 2" xfId="22047" xr:uid="{CFC47A12-095A-418F-89CF-F44FDB4220C8}"/>
    <cellStyle name="标题 1 35 3" xfId="22046" xr:uid="{7FDBC6C6-DD30-4920-AD86-0E71C78B5528}"/>
    <cellStyle name="标题 1 36" xfId="6066" xr:uid="{535002B8-1D5A-42B9-82DA-F0F96BD7E46D}"/>
    <cellStyle name="标题 1 36 2" xfId="22049" xr:uid="{604063D1-2EC3-4EE9-BA2F-490C33FF8128}"/>
    <cellStyle name="标题 1 36 3" xfId="22048" xr:uid="{86F3D280-D24F-4535-AC25-C6B6E99134F2}"/>
    <cellStyle name="标题 1 37" xfId="6068" xr:uid="{680403F2-A028-497F-9BD0-B448653F83A7}"/>
    <cellStyle name="标题 1 37 2" xfId="22051" xr:uid="{84F45B4F-74A0-49CE-8842-E9C3B57C238E}"/>
    <cellStyle name="标题 1 37 3" xfId="22050" xr:uid="{75C1E808-FF3E-4AD6-8978-7F980FF89907}"/>
    <cellStyle name="标题 1 38" xfId="6070" xr:uid="{3422560D-F524-4475-AEF3-2A2E328AE695}"/>
    <cellStyle name="标题 1 38 2" xfId="22053" xr:uid="{8F477B6A-753B-426C-AF14-9328C132091F}"/>
    <cellStyle name="标题 1 38 3" xfId="22052" xr:uid="{6566526D-661B-4D03-A0E7-84A03F87B987}"/>
    <cellStyle name="标题 1 39" xfId="6072" xr:uid="{0D1CA521-363F-4A33-8524-23DD54E4AC3B}"/>
    <cellStyle name="标题 1 39 2" xfId="22055" xr:uid="{B96F9AA4-50F6-47F7-A25F-CB19C9B583C4}"/>
    <cellStyle name="标题 1 39 3" xfId="22054" xr:uid="{E0EFF142-D522-43BF-AF57-29E18219D2E4}"/>
    <cellStyle name="标题 1 4" xfId="2006" xr:uid="{7F037F25-3CBF-418E-B2D7-7E9780955526}"/>
    <cellStyle name="标题 1 4 2" xfId="6074" xr:uid="{C60E068A-AE07-4E9D-86EF-23BE34B28BE8}"/>
    <cellStyle name="标题 1 4 2 2" xfId="10603" xr:uid="{29AFCF95-7E3D-4814-9D05-0551D13F31C2}"/>
    <cellStyle name="标题 1 4 2 2 2" xfId="22058" xr:uid="{AAFF6212-0F75-4968-9EB1-1F238CECFE1C}"/>
    <cellStyle name="标题 1 4 2 3" xfId="22057" xr:uid="{42C5B8AB-8ABB-47F7-BACF-36B5E1EED49F}"/>
    <cellStyle name="标题 1 4 3" xfId="10604" xr:uid="{427C35BC-1339-4326-A311-1D8B53913E2B}"/>
    <cellStyle name="标题 1 4 3 2" xfId="22059" xr:uid="{7D78FFA8-B9D9-465E-A156-59D8B2BF29C8}"/>
    <cellStyle name="标题 1 4 4" xfId="22060" xr:uid="{A464E843-1032-437A-941A-B9CC5CCED231}"/>
    <cellStyle name="标题 1 4 4 2" xfId="22061" xr:uid="{F296972C-1BCB-4E7F-8AFC-3BCC53466968}"/>
    <cellStyle name="标题 1 4 5" xfId="22056" xr:uid="{EB1B2971-53C8-4BE4-9BE3-8404034366D7}"/>
    <cellStyle name="标题 1 40" xfId="6065" xr:uid="{9F939418-FF7B-467A-B60E-154621973776}"/>
    <cellStyle name="标题 1 40 2" xfId="22063" xr:uid="{7B78033E-82E4-4886-B949-662D6C3709D4}"/>
    <cellStyle name="标题 1 40 3" xfId="22062" xr:uid="{C691DCE1-9715-4C73-8D3B-43949EF2BCAC}"/>
    <cellStyle name="标题 1 41" xfId="6067" xr:uid="{7B74C25D-1735-44A7-A0FD-8CAE87F1170D}"/>
    <cellStyle name="标题 1 41 2" xfId="22065" xr:uid="{F683EE43-E203-4E5D-83B8-0225171B0900}"/>
    <cellStyle name="标题 1 41 3" xfId="22064" xr:uid="{0E632286-C564-40BB-B025-2D08531B8D4F}"/>
    <cellStyle name="标题 1 42" xfId="6069" xr:uid="{D93547BB-AC30-4FBB-9FCF-70569A161290}"/>
    <cellStyle name="标题 1 42 2" xfId="22067" xr:uid="{352EAE04-DC15-4407-BE26-F9E3282D9C87}"/>
    <cellStyle name="标题 1 42 3" xfId="22066" xr:uid="{16A424E6-C2F6-4357-9185-803AA71E292F}"/>
    <cellStyle name="标题 1 43" xfId="6071" xr:uid="{1C5826A5-7FE0-43F9-BE69-03E2A05346EC}"/>
    <cellStyle name="标题 1 43 2" xfId="22069" xr:uid="{325402F8-FAD4-4DAB-AFE7-DAC5001824BA}"/>
    <cellStyle name="标题 1 43 3" xfId="22068" xr:uid="{6FF221ED-5B47-4684-BD3E-86EA1682D6B9}"/>
    <cellStyle name="标题 1 44" xfId="6073" xr:uid="{4094885F-BF50-45FE-AB83-0C606C9AA18D}"/>
    <cellStyle name="标题 1 44 2" xfId="22071" xr:uid="{A2BCB07D-8A36-4B80-9E69-0B86E80D13F2}"/>
    <cellStyle name="标题 1 44 3" xfId="22070" xr:uid="{70FDE452-DB07-4EB0-84CE-DBD71EFB73AF}"/>
    <cellStyle name="标题 1 45" xfId="6077" xr:uid="{1F84CCD5-44E5-4066-9E73-EBD51BDC00BE}"/>
    <cellStyle name="标题 1 45 2" xfId="22073" xr:uid="{B9E21F86-0F8C-4E1F-8494-EF5F42747D28}"/>
    <cellStyle name="标题 1 45 3" xfId="22072" xr:uid="{B925D548-6698-434D-BFE5-E0A1933499C3}"/>
    <cellStyle name="标题 1 46" xfId="6079" xr:uid="{E7C9B119-0E41-4447-B5B1-3A6AD841A4CD}"/>
    <cellStyle name="标题 1 46 2" xfId="22075" xr:uid="{99A5A2F9-5930-4C3D-8373-22F1F0321BD4}"/>
    <cellStyle name="标题 1 46 3" xfId="22074" xr:uid="{05FF3BA6-9D26-4C40-8CA6-EAC1A5AB377A}"/>
    <cellStyle name="标题 1 47" xfId="6081" xr:uid="{280F4EB8-B331-4755-A930-93739FB23803}"/>
    <cellStyle name="标题 1 47 2" xfId="22076" xr:uid="{FF6DCCB9-3AB5-4B7A-830E-ED52E97596FA}"/>
    <cellStyle name="标题 1 48" xfId="6083" xr:uid="{F3F0F992-8AB8-495C-9EA2-3F926BA95871}"/>
    <cellStyle name="标题 1 48 2" xfId="22077" xr:uid="{F974E64D-10D6-4CE2-A110-8337D2C02275}"/>
    <cellStyle name="标题 1 49" xfId="6085" xr:uid="{0F355FD3-CD0D-46A8-A5C2-E7C03F507925}"/>
    <cellStyle name="标题 1 49 2" xfId="22078" xr:uid="{7A19EDA5-8B9E-43AE-89B8-1149CB556955}"/>
    <cellStyle name="标题 1 5" xfId="2816" xr:uid="{8EBD64F3-4BE9-4C99-BB50-D175B08CCEBC}"/>
    <cellStyle name="标题 1 5 2" xfId="5817" xr:uid="{242441EE-71CC-4004-8353-6E34E17660E9}"/>
    <cellStyle name="标题 1 5 2 2" xfId="10605" xr:uid="{357603C5-9A75-4944-B254-30C0500ADCB1}"/>
    <cellStyle name="标题 1 5 2 2 2" xfId="22081" xr:uid="{5E5CD243-1FF0-4190-B467-BF6E2FECD303}"/>
    <cellStyle name="标题 1 5 2 3" xfId="22080" xr:uid="{6B3F6D5C-CBBF-489A-A8DC-53810E8AC839}"/>
    <cellStyle name="标题 1 5 3" xfId="10606" xr:uid="{81E754F5-35D2-4126-88DE-FAB0F9104B1E}"/>
    <cellStyle name="标题 1 5 3 2" xfId="22082" xr:uid="{548C85C1-EE37-4B5E-A302-DD60751F8185}"/>
    <cellStyle name="标题 1 5 4" xfId="22083" xr:uid="{AE9115B3-2338-48AC-839E-AE3ACECC5CE7}"/>
    <cellStyle name="标题 1 5 5" xfId="22079" xr:uid="{A8F960C2-8D0F-4BF7-B558-72A72D3FFB70}"/>
    <cellStyle name="标题 1 50" xfId="6078" xr:uid="{E25DA706-5EBD-49F0-9D3E-96F647F6DCF4}"/>
    <cellStyle name="标题 1 50 2" xfId="22084" xr:uid="{670BA545-6107-441A-89D8-B963ABDDB5F2}"/>
    <cellStyle name="标题 1 51" xfId="6080" xr:uid="{577B8E03-2F75-453A-AA98-44E94A59834D}"/>
    <cellStyle name="标题 1 51 2" xfId="22085" xr:uid="{DA786B89-2A03-4954-A617-8C252B603C38}"/>
    <cellStyle name="标题 1 52" xfId="6082" xr:uid="{89340987-E28B-4F2B-A767-0791568085AB}"/>
    <cellStyle name="标题 1 52 2" xfId="22086" xr:uid="{3C3757BE-CBA1-48CA-848C-82FED4C573F5}"/>
    <cellStyle name="标题 1 53" xfId="6084" xr:uid="{29A50BEB-B0A8-404F-8C07-FDEF852844EB}"/>
    <cellStyle name="标题 1 53 2" xfId="22087" xr:uid="{E4B3AEDB-5E19-43D8-9509-B72912E6E032}"/>
    <cellStyle name="标题 1 54" xfId="6086" xr:uid="{252E1061-9DF6-48E5-8EC9-9E4090115CA9}"/>
    <cellStyle name="标题 1 54 2" xfId="22088" xr:uid="{C4637182-BBA3-4220-AEFD-DC127BAEB1CE}"/>
    <cellStyle name="标题 1 55" xfId="6087" xr:uid="{4854EC46-5ADD-459C-A454-55224DC85162}"/>
    <cellStyle name="标题 1 55 2" xfId="22089" xr:uid="{A415FC41-70AC-4B4D-949E-1D47A3978499}"/>
    <cellStyle name="标题 1 56" xfId="6089" xr:uid="{F1F3CCA0-1E3F-4216-98BD-96E3262B00AC}"/>
    <cellStyle name="标题 1 56 2" xfId="22090" xr:uid="{CA21293F-C0E0-43C3-B959-5DC9DDEC78F3}"/>
    <cellStyle name="标题 1 57" xfId="6091" xr:uid="{71293D3A-4E98-43A7-B104-59D8B8D0AE49}"/>
    <cellStyle name="标题 1 58" xfId="6093" xr:uid="{F72D48BA-203B-428B-9061-2E2D62F8A6C1}"/>
    <cellStyle name="标题 1 59" xfId="6095" xr:uid="{A2C8ECAC-A67E-4D19-890F-C2C870F7C11E}"/>
    <cellStyle name="标题 1 6" xfId="6097" xr:uid="{81761208-2DCD-4268-ACC3-890E06F72C6A}"/>
    <cellStyle name="标题 1 6 2" xfId="6098" xr:uid="{C306C1AE-0545-4907-95DA-221486A4915C}"/>
    <cellStyle name="标题 1 6 2 2" xfId="10608" xr:uid="{5BCA7FF4-ADA1-487F-B807-0EC66FBF5FD4}"/>
    <cellStyle name="标题 1 6 2 2 2" xfId="22093" xr:uid="{CAC039D5-313F-40A8-ABA0-36EC70B07C3B}"/>
    <cellStyle name="标题 1 6 2 3" xfId="22092" xr:uid="{4928B7DF-B744-4151-86F8-B8070192CEB9}"/>
    <cellStyle name="标题 1 6 3" xfId="10609" xr:uid="{9F43C69F-377D-429B-9DA9-DD8210C7B93A}"/>
    <cellStyle name="标题 1 6 3 2" xfId="22094" xr:uid="{17F30C60-0BCB-406B-946F-16D84FE966CA}"/>
    <cellStyle name="标题 1 6 4" xfId="10607" xr:uid="{B22A52E0-D4BB-4795-9F4E-72352FB7C626}"/>
    <cellStyle name="标题 1 6 4 2" xfId="22095" xr:uid="{A6FE2118-CA5F-4506-9D1E-65F2F8995B52}"/>
    <cellStyle name="标题 1 6 5" xfId="22091" xr:uid="{68869D90-9CC3-441A-B8E0-8C4B279AAF24}"/>
    <cellStyle name="标题 1 60" xfId="6088" xr:uid="{AFB8982D-1C65-4968-A44E-37605BA65BD1}"/>
    <cellStyle name="标题 1 61" xfId="6090" xr:uid="{4CD5A364-AF71-434F-9929-BA65B9EED2A0}"/>
    <cellStyle name="标题 1 62" xfId="6092" xr:uid="{E7FB5F75-50D3-4E14-BC5D-5E59E36410CD}"/>
    <cellStyle name="标题 1 63" xfId="6094" xr:uid="{D4EFBA87-4A22-4208-AD51-150977F411CE}"/>
    <cellStyle name="标题 1 64" xfId="6096" xr:uid="{3D4ECE00-17FF-4606-BE26-F5F337D6ECE9}"/>
    <cellStyle name="标题 1 65" xfId="6099" xr:uid="{ADFB2679-880A-4415-8894-B7CE47EB69AD}"/>
    <cellStyle name="标题 1 66" xfId="6101" xr:uid="{7CA1FB98-D5E1-468F-B663-CC94A6E3044C}"/>
    <cellStyle name="标题 1 67" xfId="6103" xr:uid="{7E68F95B-C76B-4C9D-B65E-3F6022555BC9}"/>
    <cellStyle name="标题 1 68" xfId="2233" xr:uid="{44D76E3E-A31E-4614-8918-9A2835393DC4}"/>
    <cellStyle name="标题 1 69" xfId="6105" xr:uid="{42A4772D-AA51-43A6-9838-4BAE1694A7AC}"/>
    <cellStyle name="标题 1 7" xfId="6107" xr:uid="{D933EF0B-D748-4919-AC9B-B023016A0C69}"/>
    <cellStyle name="标题 1 7 2" xfId="6108" xr:uid="{BAE48F47-2C74-4C54-A0A5-6FBF8017A7F1}"/>
    <cellStyle name="标题 1 7 2 2" xfId="10611" xr:uid="{C1262BE7-4E60-498C-9DE2-5F6F80FC6DFD}"/>
    <cellStyle name="标题 1 7 2 2 2" xfId="22098" xr:uid="{07BCC374-3792-43CF-A01A-123009D0295B}"/>
    <cellStyle name="标题 1 7 2 3" xfId="22097" xr:uid="{0B48797A-4D35-4C18-9DA1-60FB5FE0BAD1}"/>
    <cellStyle name="标题 1 7 3" xfId="10612" xr:uid="{97C2D33A-94E5-49C5-ADB0-C3323E94BD43}"/>
    <cellStyle name="标题 1 7 3 2" xfId="22099" xr:uid="{2A0C724D-E9C2-4DB6-AA7B-61517260518C}"/>
    <cellStyle name="标题 1 7 4" xfId="10610" xr:uid="{3EECC569-A025-4BDB-A90E-7E4FA8B4720C}"/>
    <cellStyle name="标题 1 7 4 2" xfId="22100" xr:uid="{500B4888-B24D-4F3F-8EAA-D54D675E9C40}"/>
    <cellStyle name="标题 1 7 5" xfId="22096" xr:uid="{A9CFB5CD-65E8-4122-AE96-4731482EAB98}"/>
    <cellStyle name="标题 1 70" xfId="6100" xr:uid="{C6EC9DDF-8B1C-4085-85D8-2A5FF64CE3C3}"/>
    <cellStyle name="标题 1 71" xfId="6102" xr:uid="{E31CEDBE-5D47-4437-9E5D-BB382AE27A8D}"/>
    <cellStyle name="标题 1 72" xfId="6104" xr:uid="{CFF806B9-0051-4A1A-B27D-A75AF50920D8}"/>
    <cellStyle name="标题 1 73" xfId="2232" xr:uid="{49E51A8D-3F87-4AAE-94DC-90030E44ED46}"/>
    <cellStyle name="标题 1 74" xfId="6106" xr:uid="{A7103D2C-F80A-4360-B2BA-B51E85C88A32}"/>
    <cellStyle name="标题 1 75" xfId="6109" xr:uid="{A0E95107-BE03-4D4E-B8E3-2AA06F7CE913}"/>
    <cellStyle name="标题 1 76" xfId="6111" xr:uid="{D5E9F33A-5018-493E-83F2-F75D37C12C6D}"/>
    <cellStyle name="标题 1 77" xfId="6113" xr:uid="{26DB64C0-DE60-42DA-9E92-05F150C83DBB}"/>
    <cellStyle name="标题 1 78" xfId="6115" xr:uid="{9E03E7FD-B648-4A5C-AF6D-D497C2124080}"/>
    <cellStyle name="标题 1 79" xfId="6117" xr:uid="{81605E12-4657-4001-A526-F4155C197E50}"/>
    <cellStyle name="标题 1 8" xfId="6119" xr:uid="{6000C832-8C2D-46C0-851C-32CC57ECEC40}"/>
    <cellStyle name="标题 1 8 2" xfId="6120" xr:uid="{1C39DC8C-EA28-4202-8315-44FFD92D3EA5}"/>
    <cellStyle name="标题 1 8 2 2" xfId="10614" xr:uid="{7602BBF6-ED1A-4B93-B8BA-1A7F596DD24D}"/>
    <cellStyle name="标题 1 8 2 2 2" xfId="22103" xr:uid="{5AA3EC7B-9FCC-47D1-8BAB-BE8D1E048C61}"/>
    <cellStyle name="标题 1 8 2 3" xfId="22102" xr:uid="{6CAFB7D5-15DB-4AB7-9AB5-35972665E497}"/>
    <cellStyle name="标题 1 8 3" xfId="10615" xr:uid="{557A05B9-070F-478E-BC63-A5FD676749EC}"/>
    <cellStyle name="标题 1 8 3 2" xfId="22104" xr:uid="{D3374A08-9D06-4BA1-BFE8-0066FC03D717}"/>
    <cellStyle name="标题 1 8 4" xfId="10613" xr:uid="{41970835-6362-4251-886C-FC55A0E429BA}"/>
    <cellStyle name="标题 1 8 4 2" xfId="22105" xr:uid="{8C3A66B2-E119-409D-89D1-9BECAB13D2C4}"/>
    <cellStyle name="标题 1 8 5" xfId="22101" xr:uid="{7871660B-9DF7-4CD3-8652-3FEA42EDE340}"/>
    <cellStyle name="标题 1 80" xfId="6110" xr:uid="{2E0C9633-9A1C-48A0-8CB6-AE31AC681291}"/>
    <cellStyle name="标题 1 81" xfId="6112" xr:uid="{170FB1F8-7552-43F9-8255-D610DB0986C1}"/>
    <cellStyle name="标题 1 82" xfId="6114" xr:uid="{ECC3D98C-234F-46C5-B7A8-F756B9372790}"/>
    <cellStyle name="标题 1 83" xfId="6116" xr:uid="{BFF18914-7C84-4956-90C5-08217D54C1F2}"/>
    <cellStyle name="标题 1 84" xfId="6118" xr:uid="{0F788002-D392-426B-9109-A252D749BBE4}"/>
    <cellStyle name="标题 1 85" xfId="9320" xr:uid="{F887A65F-E415-498B-A3D2-10FDAB947389}"/>
    <cellStyle name="标题 1 86" xfId="13598" xr:uid="{7548F0B2-22DE-4376-B019-C5A49C02CB72}"/>
    <cellStyle name="标题 1 87" xfId="27160" xr:uid="{D06873B7-985A-49D2-85BD-745B8691883E}"/>
    <cellStyle name="标题 1 88" xfId="27196" xr:uid="{F0AF2409-B606-480B-BC72-025A5E062BB8}"/>
    <cellStyle name="标题 1 89" xfId="27205" xr:uid="{8B0BAD94-011A-4F47-87A1-23814AE1CD02}"/>
    <cellStyle name="标题 1 9" xfId="6121" xr:uid="{2F1FBC71-040E-4AB2-A2E8-05F530E8F7E7}"/>
    <cellStyle name="标题 1 9 2" xfId="10617" xr:uid="{8D4EB2D7-AF5D-4323-A6CB-EC92CE131A2C}"/>
    <cellStyle name="标题 1 9 2 2" xfId="22108" xr:uid="{2F253FE1-4FE8-42FE-9762-36FAA613E6F6}"/>
    <cellStyle name="标题 1 9 2 3" xfId="22107" xr:uid="{FFC457C0-A779-4DDD-AC71-36166A9963C8}"/>
    <cellStyle name="标题 1 9 3" xfId="10618" xr:uid="{31196FC7-B317-4709-9654-B76E217CBE71}"/>
    <cellStyle name="标题 1 9 3 2" xfId="22109" xr:uid="{0892C1FD-6E21-4B02-AAC1-17FC1D15206E}"/>
    <cellStyle name="标题 1 9 4" xfId="10616" xr:uid="{1ABB470B-FF19-47F8-AA2C-A6A3F03031E2}"/>
    <cellStyle name="标题 1 9 4 2" xfId="22110" xr:uid="{E49FE1BB-9DD8-4101-BF5C-2E1BD16E6665}"/>
    <cellStyle name="标题 1 9 5" xfId="22106" xr:uid="{B22E2093-7380-4B7D-A423-FFA1811515D0}"/>
    <cellStyle name="标题 1 90" xfId="932" xr:uid="{35703568-D12F-441F-9171-94A6CCFB69ED}"/>
    <cellStyle name="标题 10" xfId="6122" xr:uid="{FF7B9A3C-AC1F-4B03-9037-FC49858594F1}"/>
    <cellStyle name="标题 10 2" xfId="6123" xr:uid="{67ABA448-A303-4F7A-A3E7-2C98EF7B99B0}"/>
    <cellStyle name="标题 10 2 2" xfId="10620" xr:uid="{236888D9-A9B4-49B1-A122-F36E0E375B3D}"/>
    <cellStyle name="标题 10 2 2 2" xfId="22113" xr:uid="{BCA2FE21-97A4-4911-8CB8-0E31DDF40C63}"/>
    <cellStyle name="标题 10 2 3" xfId="22112" xr:uid="{E055E079-9D30-4DF5-BB39-F2C2B0C6A591}"/>
    <cellStyle name="标题 10 3" xfId="10621" xr:uid="{CF71681C-B3E7-4BD2-9FBF-B92E5D48B3C6}"/>
    <cellStyle name="标题 10 3 2" xfId="22114" xr:uid="{3C2C59E9-B30B-48A7-BF7B-73541A3F0003}"/>
    <cellStyle name="标题 10 4" xfId="10619" xr:uid="{8EAF3BA2-BEA8-40B6-A0EE-01984AAC4E1C}"/>
    <cellStyle name="标题 10 4 2" xfId="22115" xr:uid="{DA9A8A2A-81F2-4B37-8B88-BFEE3B238C57}"/>
    <cellStyle name="标题 10 5" xfId="22111" xr:uid="{AA17D7F4-A561-49B0-BD90-9B317989D04A}"/>
    <cellStyle name="标题 11" xfId="6124" xr:uid="{D8238B3C-5045-4F77-94E7-65949FADD746}"/>
    <cellStyle name="标题 11 2" xfId="6125" xr:uid="{6DB47167-4FF4-4BC5-8E80-6FF66547CEAA}"/>
    <cellStyle name="标题 11 2 2" xfId="10623" xr:uid="{60DB556D-7DFF-4F42-99AE-585B1BA840B1}"/>
    <cellStyle name="标题 11 2 2 2" xfId="22118" xr:uid="{A42BD318-AB94-4CD0-8F6E-047663EB700B}"/>
    <cellStyle name="标题 11 2 3" xfId="22117" xr:uid="{A820E069-918D-4145-9343-7B49D8B89C45}"/>
    <cellStyle name="标题 11 3" xfId="10624" xr:uid="{56B28F67-9922-4CE2-A272-9E37FE7C9290}"/>
    <cellStyle name="标题 11 3 2" xfId="22119" xr:uid="{0004A6F2-7CFE-9092-9343-7B49D8B89C45}"/>
    <cellStyle name="标题 11 4" xfId="10622" xr:uid="{D8EB6B52-9F09-471E-AA24-81E6F5A53152}"/>
    <cellStyle name="标题 11 4 2" xfId="22120" xr:uid="{7DA7E551-B4E3-436E-A8B0-3C782C6490B7}"/>
    <cellStyle name="标题 11 5" xfId="22116" xr:uid="{DCFED19E-F1DF-4476-8985-1EA6B6EEB4AC}"/>
    <cellStyle name="标题 12" xfId="1469" xr:uid="{82DC218B-8884-410F-97E0-F6F42871D166}"/>
    <cellStyle name="标题 12 2" xfId="10626" xr:uid="{0B819947-9406-4AF9-9466-3D045FA4B4B5}"/>
    <cellStyle name="标题 12 2 2" xfId="22123" xr:uid="{F2448027-776F-43C5-8EFC-775A2D4098DB}"/>
    <cellStyle name="标题 12 2 3" xfId="22122" xr:uid="{2C06F0EB-4EAC-4251-A850-271122397444}"/>
    <cellStyle name="标题 12 3" xfId="10627" xr:uid="{35B27FE7-DE9E-41AB-9EE5-4FBE243ECA2C}"/>
    <cellStyle name="标题 12 3 2" xfId="22124" xr:uid="{FFACA401-FD1D-45AE-B176-903B3B29F52E}"/>
    <cellStyle name="标题 12 4" xfId="10625" xr:uid="{48490437-04A1-4991-B92E-2D5C3A9629BA}"/>
    <cellStyle name="标题 12 4 2" xfId="22125" xr:uid="{E737D33C-7492-4E88-90C1-933E7F61C9BE}"/>
    <cellStyle name="标题 12 5" xfId="22121" xr:uid="{F2243B24-8FA1-4EF7-AA73-4B4388FDCFED}"/>
    <cellStyle name="标题 13" xfId="6126" xr:uid="{44A99FF8-53D2-472A-BDB7-53DC142A2C09}"/>
    <cellStyle name="标题 13 2" xfId="10629" xr:uid="{39A6E876-3DC0-442B-A335-B092613F43A4}"/>
    <cellStyle name="标题 13 2 2" xfId="22128" xr:uid="{F9BF7B66-FB7D-48C6-853A-B041EB75E82E}"/>
    <cellStyle name="标题 13 2 3" xfId="22127" xr:uid="{F635CED9-DFAC-4F29-943B-8137F37F14CC}"/>
    <cellStyle name="标题 13 3" xfId="10630" xr:uid="{0410C0EC-A0CE-4A38-BC96-A817D67BC076}"/>
    <cellStyle name="标题 13 3 2" xfId="22129" xr:uid="{5517CD36-DB93-46FD-9B69-5CB2E330E42F}"/>
    <cellStyle name="标题 13 4" xfId="10628" xr:uid="{9DC7C1AD-24DE-422F-B4E2-AE69B505AE86}"/>
    <cellStyle name="标题 13 4 2" xfId="22130" xr:uid="{B659FC63-8D14-4E44-9035-11E1B5FA3DEE}"/>
    <cellStyle name="标题 13 5" xfId="22126" xr:uid="{7A720CEA-8837-4827-ADC5-FC7973B29FC6}"/>
    <cellStyle name="标题 14" xfId="6127" xr:uid="{EE16498B-2E44-4925-AFC0-EDE56AB4C632}"/>
    <cellStyle name="标题 14 2" xfId="10632" xr:uid="{B2F9924C-E5F3-47F6-A755-1FBB37CD9C72}"/>
    <cellStyle name="标题 14 2 2" xfId="22133" xr:uid="{0C284B35-FBE5-4BAE-8B17-A4F9C6ECA479}"/>
    <cellStyle name="标题 14 2 3" xfId="22132" xr:uid="{EE9C43C1-5838-4C69-B659-D24D507039BB}"/>
    <cellStyle name="标题 14 3" xfId="10633" xr:uid="{1A8B9A8D-1BAD-4B64-B0EA-3A3B98305A80}"/>
    <cellStyle name="标题 14 3 2" xfId="22134" xr:uid="{C28D3A0D-98A0-4503-89F9-B6C237A5A9DE}"/>
    <cellStyle name="标题 14 4" xfId="10631" xr:uid="{C426C0FA-F4C5-4B0A-B5A5-02977C269BD0}"/>
    <cellStyle name="标题 14 4 2" xfId="22135" xr:uid="{068FD189-102E-4C4B-BA56-AA51B539B3EE}"/>
    <cellStyle name="标题 14 5" xfId="22131" xr:uid="{52A82F9B-4B5F-448D-92E7-10C1AF607493}"/>
    <cellStyle name="标题 15" xfId="6128" xr:uid="{BEB9849A-2238-42F7-9F05-921BD4847FA5}"/>
    <cellStyle name="标题 15 2" xfId="10635" xr:uid="{1DC6A2CB-5CF3-47CF-A3AA-F1C055F7A66C}"/>
    <cellStyle name="标题 15 2 2" xfId="22138" xr:uid="{E009835B-27F1-4A1D-8993-2A77277371A4}"/>
    <cellStyle name="标题 15 2 3" xfId="22137" xr:uid="{3A4D6106-36B5-4B87-93E1-2896B45CF3F2}"/>
    <cellStyle name="标题 15 3" xfId="10636" xr:uid="{5085F64C-EDE7-416C-842F-D350FF6AE021}"/>
    <cellStyle name="标题 15 3 2" xfId="22139" xr:uid="{471C3986-849A-4713-8B5A-78F026CBBC60}"/>
    <cellStyle name="标题 15 4" xfId="10634" xr:uid="{98CB8D26-9367-40B4-AF43-FF2BD8C65280}"/>
    <cellStyle name="标题 15 4 2" xfId="22140" xr:uid="{A4D81B3D-CE63-4106-9890-AD53311E76B2}"/>
    <cellStyle name="标题 15 5" xfId="22136" xr:uid="{DE9C3D00-0E95-4B72-990B-0EE64A7A9B7D}"/>
    <cellStyle name="标题 16" xfId="6130" xr:uid="{AF2E8D5F-8E4E-42EC-B616-F28B98498539}"/>
    <cellStyle name="标题 16 2" xfId="10638" xr:uid="{B18D38CC-2BCD-4AA3-892F-2ED970222D5A}"/>
    <cellStyle name="标题 16 2 2" xfId="22143" xr:uid="{FD61FFC1-E02C-4B4A-BAE8-71212B3F2FD3}"/>
    <cellStyle name="标题 16 2 3" xfId="22142" xr:uid="{7160A5A9-BF2A-43B7-9826-E29E796A0441}"/>
    <cellStyle name="标题 16 3" xfId="10639" xr:uid="{01196FCD-44DB-4092-A4E7-9733F9015C34}"/>
    <cellStyle name="标题 16 3 2" xfId="22144" xr:uid="{B3E5E55F-96CE-4798-9910-3D87D5845AD4}"/>
    <cellStyle name="标题 16 4" xfId="10637" xr:uid="{477F569D-AA4F-4AF4-9778-C197F31CA7BC}"/>
    <cellStyle name="标题 16 4 2" xfId="22145" xr:uid="{09CB8E0F-BF28-4172-B576-18A158066094}"/>
    <cellStyle name="标题 16 5" xfId="22141" xr:uid="{A5077E62-286D-4F94-8368-C9B2D4979B52}"/>
    <cellStyle name="标题 17" xfId="6132" xr:uid="{A5B22986-6D64-4CD0-9973-B601E96BAF6A}"/>
    <cellStyle name="标题 17 2" xfId="10641" xr:uid="{86EAD611-D687-45CB-8E55-7925015ED324}"/>
    <cellStyle name="标题 17 2 2" xfId="22148" xr:uid="{367C47E6-D632-443B-8B78-C0EF66CE000C}"/>
    <cellStyle name="标题 17 2 3" xfId="22147" xr:uid="{5B90717E-E2F3-42B5-99DB-D63B9614CB11}"/>
    <cellStyle name="标题 17 3" xfId="10642" xr:uid="{B8F9F495-16F5-423F-989B-69AA0DF856E3}"/>
    <cellStyle name="标题 17 3 2" xfId="22149" xr:uid="{40885F87-30EF-4F53-922C-AC9A9B3F6F0A}"/>
    <cellStyle name="标题 17 4" xfId="10640" xr:uid="{C6F068B9-DC7F-49C8-80EF-2D72633CDDF1}"/>
    <cellStyle name="标题 17 4 2" xfId="22150" xr:uid="{C375761B-A632-4754-A5E7-EC21050C683A}"/>
    <cellStyle name="标题 17 5" xfId="22146" xr:uid="{AC91FCE7-EF8F-4D6A-9D92-F6384BD9EF33}"/>
    <cellStyle name="标题 18" xfId="6134" xr:uid="{374595F0-B73C-4E20-9476-6D2838F5CE95}"/>
    <cellStyle name="标题 18 2" xfId="10644" xr:uid="{DBC7DFA4-33F5-4B47-AAD9-FA00A2BED633}"/>
    <cellStyle name="标题 18 2 2" xfId="22153" xr:uid="{F95318E2-E884-4229-81C4-ACE281E6D422}"/>
    <cellStyle name="标题 18 2 3" xfId="22152" xr:uid="{29B51D77-FD5C-48B8-9AF9-519E23A5FAC3}"/>
    <cellStyle name="标题 18 3" xfId="10645" xr:uid="{B6B59374-3DA8-40E1-9153-2305F69D4FD8}"/>
    <cellStyle name="标题 18 3 2" xfId="22154" xr:uid="{6D8F0095-4EEF-44A0-BF3B-48A1550B54E7}"/>
    <cellStyle name="标题 18 4" xfId="10643" xr:uid="{9F3303C7-4663-4DD5-AD17-5485B4FAC7AB}"/>
    <cellStyle name="标题 18 4 2" xfId="22155" xr:uid="{F495310E-6AB7-4B5A-AB5F-89D7753E4B59}"/>
    <cellStyle name="标题 18 5" xfId="22151" xr:uid="{D312CDB1-5177-4410-8397-091B0FD12E8E}"/>
    <cellStyle name="标题 19" xfId="6136" xr:uid="{7049E3BA-C499-40A2-B8DD-0AC21230B62E}"/>
    <cellStyle name="标题 19 2" xfId="10647" xr:uid="{681A67DE-1F21-402F-B557-177BEBF84A23}"/>
    <cellStyle name="标题 19 2 2" xfId="22158" xr:uid="{0D36A678-A84A-4AB8-893A-2E51128F982C}"/>
    <cellStyle name="标题 19 2 3" xfId="22157" xr:uid="{849D5ECA-738C-4E3F-850D-0FA7B4BD464C}"/>
    <cellStyle name="标题 19 3" xfId="10648" xr:uid="{717F9CA6-F35D-40FF-8262-72A3B7C6B2C0}"/>
    <cellStyle name="标题 19 3 2" xfId="22159" xr:uid="{EFA2E415-B493-49F8-BF2E-106ED299C65A}"/>
    <cellStyle name="标题 19 4" xfId="10646" xr:uid="{FDF088A4-02BB-4B4F-BC01-2498382806D0}"/>
    <cellStyle name="标题 19 4 2" xfId="22160" xr:uid="{F707DFE1-0DA8-46AF-BCD9-B063A6F34B39}"/>
    <cellStyle name="标题 19 5" xfId="22156" xr:uid="{A59FD02A-9BA2-4469-892F-C609EAFDDE77}"/>
    <cellStyle name="标题 2" xfId="27808" builtinId="17" customBuiltin="1"/>
    <cellStyle name="标题 2 10" xfId="6138" xr:uid="{BFD04DAC-033C-4719-A705-BDDCDBB63BAE}"/>
    <cellStyle name="标题 2 10 2" xfId="10650" xr:uid="{FFF0C87C-4887-455E-B948-47F24716538E}"/>
    <cellStyle name="标题 2 10 2 2" xfId="22163" xr:uid="{EA427ECC-9A78-4A18-9BF5-42FDBE37E007}"/>
    <cellStyle name="标题 2 10 2 3" xfId="22162" xr:uid="{6D1BDFF3-0563-461F-9776-926635FA3FC8}"/>
    <cellStyle name="标题 2 10 3" xfId="10651" xr:uid="{82EE84F1-298E-4BED-987A-7865186FF5CA}"/>
    <cellStyle name="标题 2 10 3 2" xfId="22164" xr:uid="{984D23AD-A14E-4D76-9D7F-7D060821C125}"/>
    <cellStyle name="标题 2 10 4" xfId="10649" xr:uid="{9F8BEF33-C1E3-49A1-9762-499D4B16CDBC}"/>
    <cellStyle name="标题 2 10 4 2" xfId="22165" xr:uid="{1F70B048-0FF4-492E-8A10-1786D34761F7}"/>
    <cellStyle name="标题 2 10 5" xfId="22161" xr:uid="{13E5C6C1-AC7D-41B8-83BF-2499E5AEF00C}"/>
    <cellStyle name="标题 2 11" xfId="6139" xr:uid="{05D57565-745C-4C3E-9E81-C059D8FD3BBD}"/>
    <cellStyle name="标题 2 11 2" xfId="10653" xr:uid="{F2428F2D-BF1F-4C95-A69B-256D31B44812}"/>
    <cellStyle name="标题 2 11 2 2" xfId="22168" xr:uid="{21B0551A-0124-4D04-BAB7-D07378E77CBB}"/>
    <cellStyle name="标题 2 11 2 3" xfId="22167" xr:uid="{83B2EBCC-B1A1-4E80-91ED-D30FD4828D1A}"/>
    <cellStyle name="标题 2 11 3" xfId="10654" xr:uid="{C490A7C2-C400-4E47-9956-956C31A0CD4B}"/>
    <cellStyle name="标题 2 11 3 2" xfId="22169" xr:uid="{9E3223DC-801D-4A68-92DE-54A21F7DC6F1}"/>
    <cellStyle name="标题 2 11 4" xfId="10652" xr:uid="{6C5A576B-D389-4FEA-A40A-CF4CEA35B07E}"/>
    <cellStyle name="标题 2 11 4 2" xfId="22170" xr:uid="{95BF7166-F936-4BD7-877B-10B707B70B62}"/>
    <cellStyle name="标题 2 11 5" xfId="22166" xr:uid="{520F7C95-0551-4A25-A0C3-117601EF714C}"/>
    <cellStyle name="标题 2 12" xfId="6140" xr:uid="{327333C2-A1BB-4EF2-A6AA-2998D294DE52}"/>
    <cellStyle name="标题 2 12 2" xfId="10656" xr:uid="{0C49CCA2-CC2B-4231-BBF3-369C3046613E}"/>
    <cellStyle name="标题 2 12 2 2" xfId="22173" xr:uid="{CC83A5BE-BC3E-410C-BD59-4461D31CC39B}"/>
    <cellStyle name="标题 2 12 2 3" xfId="22172" xr:uid="{89A13DD0-0191-4D11-9CB8-8268EABACEE5}"/>
    <cellStyle name="标题 2 12 3" xfId="10657" xr:uid="{3F88453F-16B5-4D85-924F-E793F358D5ED}"/>
    <cellStyle name="标题 2 12 3 2" xfId="22174" xr:uid="{7A8FAFA0-DA37-4CF0-8AF0-6B52946E1BE0}"/>
    <cellStyle name="标题 2 12 4" xfId="10655" xr:uid="{41BC0390-121A-4711-8955-08E3204CFD75}"/>
    <cellStyle name="标题 2 12 4 2" xfId="22175" xr:uid="{913F05EE-EEC6-4F08-889A-2C18A6443136}"/>
    <cellStyle name="标题 2 12 5" xfId="22171" xr:uid="{44C97923-96F2-4016-893C-09A854C2CBF3}"/>
    <cellStyle name="标题 2 13" xfId="6141" xr:uid="{A941E09C-A535-45CE-AA1E-ED077175CC0D}"/>
    <cellStyle name="标题 2 13 2" xfId="10659" xr:uid="{2813F969-ED71-421E-9F7F-636F15EA09A6}"/>
    <cellStyle name="标题 2 13 2 2" xfId="22178" xr:uid="{964BB861-65EC-42C3-8732-EC0EDFB44356}"/>
    <cellStyle name="标题 2 13 2 3" xfId="22177" xr:uid="{E8E27C30-CDD5-4372-AB26-7F5867DF4098}"/>
    <cellStyle name="标题 2 13 3" xfId="10660" xr:uid="{BE403369-2093-45C8-B3A4-2E2D5CA65392}"/>
    <cellStyle name="标题 2 13 3 2" xfId="22179" xr:uid="{CB0D957C-9AAE-4349-BC4E-7591FF8F49C7}"/>
    <cellStyle name="标题 2 13 4" xfId="10658" xr:uid="{9A21D024-308C-4333-B510-4427841AD056}"/>
    <cellStyle name="标题 2 13 4 2" xfId="22180" xr:uid="{6D7191AD-BDBC-4EDF-99E3-57C132D2534C}"/>
    <cellStyle name="标题 2 13 5" xfId="22176" xr:uid="{B3A2F1C3-9F59-4E12-8B18-48256F010F13}"/>
    <cellStyle name="标题 2 14" xfId="6142" xr:uid="{A9D41132-F409-4BC3-8C98-9144F8DA426E}"/>
    <cellStyle name="标题 2 14 2" xfId="10662" xr:uid="{6E1D7B92-8AE3-4D3C-BFC2-B2ED62AC2282}"/>
    <cellStyle name="标题 2 14 2 2" xfId="22183" xr:uid="{25D8F9B4-977B-453F-B50D-93AD96539592}"/>
    <cellStyle name="标题 2 14 2 3" xfId="22182" xr:uid="{37FFFFA9-A05C-4C4B-84B1-5631076D35CA}"/>
    <cellStyle name="标题 2 14 3" xfId="10663" xr:uid="{995A3DBD-B3E3-4F0F-A290-50A46FBFC9D4}"/>
    <cellStyle name="标题 2 14 3 2" xfId="22184" xr:uid="{2149F9D9-F2AA-43D1-912F-65C452292607}"/>
    <cellStyle name="标题 2 14 4" xfId="10661" xr:uid="{A0A5E4EE-FF9B-49FA-872A-D6ACDE7E0803}"/>
    <cellStyle name="标题 2 14 4 2" xfId="22185" xr:uid="{57869F07-1ED1-4F2C-BC82-4A836635EE03}"/>
    <cellStyle name="标题 2 14 5" xfId="22181" xr:uid="{6A1E801D-8BF8-406D-ACC6-76CD557CF6BE}"/>
    <cellStyle name="标题 2 15" xfId="6143" xr:uid="{33F63290-B80E-4392-8BEE-B622FF585D86}"/>
    <cellStyle name="标题 2 15 2" xfId="10665" xr:uid="{49446221-6CB7-4A05-AC3B-3DB5F63012C0}"/>
    <cellStyle name="标题 2 15 2 2" xfId="22188" xr:uid="{74E86335-E506-444D-A3E7-D4ECE15A7D1B}"/>
    <cellStyle name="标题 2 15 2 3" xfId="22187" xr:uid="{61FBFE74-1109-4BBC-8FEE-137D1F2633F6}"/>
    <cellStyle name="标题 2 15 3" xfId="10666" xr:uid="{CEF2AF72-89BC-431B-BEC2-3BF3B4D7BF86}"/>
    <cellStyle name="标题 2 15 3 2" xfId="22189" xr:uid="{E3DC98BC-28E9-40FC-813A-20D8C72E8BD5}"/>
    <cellStyle name="标题 2 15 4" xfId="10664" xr:uid="{19DA4AF6-8DC2-4D25-BD18-8A64E257A5BC}"/>
    <cellStyle name="标题 2 15 4 2" xfId="22190" xr:uid="{C287A555-32B4-4FCB-99D5-E347DEB618A9}"/>
    <cellStyle name="标题 2 15 5" xfId="22186" xr:uid="{D408CB7D-2FE6-4921-BFC3-A0F8A43E9E09}"/>
    <cellStyle name="标题 2 16" xfId="6145" xr:uid="{E62E5407-D7BF-4EBF-99EF-489E67F6D377}"/>
    <cellStyle name="标题 2 16 2" xfId="10668" xr:uid="{D257DD38-C39E-4366-894D-8825B72F41D6}"/>
    <cellStyle name="标题 2 16 2 2" xfId="22193" xr:uid="{63C98DA8-320A-41D0-BDB2-7EE9E1B661D2}"/>
    <cellStyle name="标题 2 16 2 3" xfId="22192" xr:uid="{B0FFBCDD-D823-4D50-8F77-22F79D5D66D7}"/>
    <cellStyle name="标题 2 16 3" xfId="10669" xr:uid="{60C4577D-37CC-4F5A-BD82-422C3CC60014}"/>
    <cellStyle name="标题 2 16 3 2" xfId="22194" xr:uid="{52673BE2-8D26-4C98-8DCB-088C18D755AE}"/>
    <cellStyle name="标题 2 16 4" xfId="10667" xr:uid="{8888641C-80DB-44DF-B5BA-F77E20B3878C}"/>
    <cellStyle name="标题 2 16 4 2" xfId="22195" xr:uid="{24B57BED-718B-4317-9DC0-D257CB1B1DF3}"/>
    <cellStyle name="标题 2 16 5" xfId="22191" xr:uid="{D3F998BA-DC9B-41F0-B0DA-19D63C5FD214}"/>
    <cellStyle name="标题 2 17" xfId="6147" xr:uid="{EE69319D-52ED-43E2-A85A-FA7F0F0CDE22}"/>
    <cellStyle name="标题 2 17 2" xfId="10671" xr:uid="{CF35593A-73E0-492D-9111-C49A86A6DEF1}"/>
    <cellStyle name="标题 2 17 2 2" xfId="22198" xr:uid="{46D9A9D3-AA7C-4E47-A8DC-D5C6671814C7}"/>
    <cellStyle name="标题 2 17 2 3" xfId="22197" xr:uid="{CEB4E90E-8CD6-4CCE-8783-757576B1968C}"/>
    <cellStyle name="标题 2 17 3" xfId="10672" xr:uid="{1C162096-5D46-4BAC-9F15-D75E605EA847}"/>
    <cellStyle name="标题 2 17 3 2" xfId="22199" xr:uid="{78A5483B-0D76-445E-89EB-ED8522A18179}"/>
    <cellStyle name="标题 2 17 4" xfId="10670" xr:uid="{7D343F60-DBEF-4AA3-9D58-AF033B858247}"/>
    <cellStyle name="标题 2 17 4 2" xfId="22200" xr:uid="{EC075CFE-48D0-4994-8665-B281F3C4D350}"/>
    <cellStyle name="标题 2 17 5" xfId="22196" xr:uid="{1D266D1F-F571-4662-80B9-516BE5055416}"/>
    <cellStyle name="标题 2 18" xfId="6149" xr:uid="{23652A74-821C-497E-A028-0615B05CEC1B}"/>
    <cellStyle name="标题 2 18 2" xfId="10673" xr:uid="{F1BCE455-590B-4501-815F-3D7ABD7A6CDD}"/>
    <cellStyle name="标题 2 18 2 2" xfId="22203" xr:uid="{81CD127F-714D-4EBE-9782-01495C743786}"/>
    <cellStyle name="标题 2 18 2 3" xfId="22202" xr:uid="{0518833D-ABE5-42C4-8EEF-F28A48FCAD49}"/>
    <cellStyle name="标题 2 18 3" xfId="22204" xr:uid="{0255CB5F-FCF7-4520-BC91-C8A3BE3334AE}"/>
    <cellStyle name="标题 2 18 4" xfId="22205" xr:uid="{79A25E8C-3A0D-486A-BCEF-C551AD5C283C}"/>
    <cellStyle name="标题 2 18 5" xfId="22201" xr:uid="{2D17E873-353D-4C11-94C4-AF5D375EEDF4}"/>
    <cellStyle name="标题 2 19" xfId="6151" xr:uid="{1EB37E3D-7876-4CEB-9856-7EC4DE338D84}"/>
    <cellStyle name="标题 2 19 2" xfId="10674" xr:uid="{467C86AA-7D9D-4F39-A629-642DC31F2B72}"/>
    <cellStyle name="标题 2 19 2 2" xfId="22208" xr:uid="{66C516A5-C1B8-49CA-A138-34DAC1AD5194}"/>
    <cellStyle name="标题 2 19 2 3" xfId="22207" xr:uid="{E440A9F9-AC98-4557-BA04-3CB1B084F7DF}"/>
    <cellStyle name="标题 2 19 3" xfId="22209" xr:uid="{70BC7BD0-0FDF-4FA6-A6CA-365833B38220}"/>
    <cellStyle name="标题 2 19 4" xfId="22210" xr:uid="{DBF3494B-897F-4E4F-8494-2BA223F75002}"/>
    <cellStyle name="标题 2 19 5" xfId="22206" xr:uid="{A3C9EDFE-9F1A-48FE-B808-8BB18A5960D6}"/>
    <cellStyle name="标题 2 2" xfId="134" xr:uid="{51763F63-E33B-4EA1-B704-DDDD6EB884A3}"/>
    <cellStyle name="标题 2 2 10" xfId="3781" xr:uid="{0CAE618C-3398-4683-9471-B7D2BC180B8E}"/>
    <cellStyle name="标题 2 2 11" xfId="6153" xr:uid="{6DED7C56-C31D-4EE9-B850-9FEFB13B8D11}"/>
    <cellStyle name="标题 2 2 12" xfId="6154" xr:uid="{C3881A75-9CD6-4033-BE3C-57189D28EC43}"/>
    <cellStyle name="标题 2 2 13" xfId="6155" xr:uid="{F7AEF5F0-4F0B-439C-BC18-897D390746B2}"/>
    <cellStyle name="标题 2 2 14" xfId="6156" xr:uid="{662ABC8C-9CEC-4432-BBC8-26613DE42648}"/>
    <cellStyle name="标题 2 2 15" xfId="12728" xr:uid="{2C4089CE-5849-4BA9-9767-598D124EBCDC}"/>
    <cellStyle name="标题 2 2 2" xfId="2053" xr:uid="{D1172FB7-29B8-47E6-9964-2E5843B90484}"/>
    <cellStyle name="标题 2 2 2 2" xfId="22212" xr:uid="{DE86DD3E-B295-465C-89E1-DCE27AA06BC4}"/>
    <cellStyle name="标题 2 2 2 3" xfId="22211" xr:uid="{F01787CF-B4B2-4DCF-B252-F29F049E6D62}"/>
    <cellStyle name="标题 2 2 2 4" xfId="27438" xr:uid="{B53CDDFB-DCC4-478E-AC34-2A9FAA1F3039}"/>
    <cellStyle name="标题 2 2 3" xfId="6157" xr:uid="{028423FF-884D-4932-BB32-06E0F0CA02DC}"/>
    <cellStyle name="标题 2 2 3 2" xfId="22214" xr:uid="{52D00D09-C4EF-4D26-8A93-D34831C55450}"/>
    <cellStyle name="标题 2 2 3 3" xfId="22213" xr:uid="{7C3EEEE2-0BD8-49C6-B65B-891251CB6CAE}"/>
    <cellStyle name="标题 2 2 3 4" xfId="27439" xr:uid="{28195B6E-749A-49B6-8B52-69803559B6DF}"/>
    <cellStyle name="标题 2 2 4" xfId="6158" xr:uid="{998BF2A7-F75F-49A1-BE76-77BEE09112CA}"/>
    <cellStyle name="标题 2 2 4 2" xfId="22215" xr:uid="{A2212970-C06F-4FF8-9F76-200A577A3B7D}"/>
    <cellStyle name="标题 2 2 4 3" xfId="27736" xr:uid="{4D93855E-C2DD-454D-A9EF-3707D6018F89}"/>
    <cellStyle name="标题 2 2 5" xfId="6159" xr:uid="{BD5C6DC0-727D-4D1C-AE89-845C3A86BE6E}"/>
    <cellStyle name="标题 2 2 5 2" xfId="22217" xr:uid="{9F7ABD4D-9012-4F66-A014-843CDB988FDE}"/>
    <cellStyle name="标题 2 2 5 3" xfId="22216" xr:uid="{8CD2C627-A2F5-40E0-97B8-B33E610F4BD8}"/>
    <cellStyle name="标题 2 2 6" xfId="6160" xr:uid="{5343E646-A62E-45D9-99B2-14EDE3837050}"/>
    <cellStyle name="标题 2 2 6 2" xfId="22218" xr:uid="{55DF531C-053C-412D-8901-549970B73540}"/>
    <cellStyle name="标题 2 2 7" xfId="6161" xr:uid="{76BBA7A1-DC8E-4887-89B6-7928C78BFC7B}"/>
    <cellStyle name="标题 2 2 7 2" xfId="22219" xr:uid="{251833C5-7247-4000-9B2A-B49EE0A0E84C}"/>
    <cellStyle name="标题 2 2 8" xfId="6162" xr:uid="{A0D9D2D1-FAA1-41CE-8705-C06AB753151A}"/>
    <cellStyle name="标题 2 2 9" xfId="6163" xr:uid="{A9670E0E-7F28-4E93-A7E4-FD9B2F96D354}"/>
    <cellStyle name="标题 2 2_动力部" xfId="22220" xr:uid="{EBDF5A19-3410-4F04-B501-00CD438497B6}"/>
    <cellStyle name="标题 2 20" xfId="6144" xr:uid="{BACD61F2-7902-4CA9-AB94-B0E2EB9064C2}"/>
    <cellStyle name="标题 2 20 2" xfId="10675" xr:uid="{A005FE10-6BD3-4208-87A7-3158B5EE03D6}"/>
    <cellStyle name="标题 2 20 2 2" xfId="22223" xr:uid="{BF608CA0-4250-471E-A9D3-0B7D04A05F11}"/>
    <cellStyle name="标题 2 20 2 3" xfId="22222" xr:uid="{AA598AC3-6E61-4FF2-86EF-D9B3856A2D0E}"/>
    <cellStyle name="标题 2 20 3" xfId="22224" xr:uid="{448F7F00-F9F8-457F-BA9C-5195C41874FA}"/>
    <cellStyle name="标题 2 20 4" xfId="22225" xr:uid="{F2DBAF2D-B608-44F1-B2C8-B247CBCA9202}"/>
    <cellStyle name="标题 2 20 5" xfId="22221" xr:uid="{DF2DC39E-A534-4F0B-B1A4-6D5757E5C067}"/>
    <cellStyle name="标题 2 21" xfId="6146" xr:uid="{F48EA116-8AAD-4C9D-90BE-66FEDD73CCE5}"/>
    <cellStyle name="标题 2 21 2" xfId="10676" xr:uid="{8D0C5A08-3513-4E49-9F14-AEEE1CCFA2B6}"/>
    <cellStyle name="标题 2 21 2 2" xfId="22228" xr:uid="{26603F94-750C-4EFD-AEB8-084443AB4A73}"/>
    <cellStyle name="标题 2 21 2 3" xfId="22227" xr:uid="{A3C5A077-F72C-4AA5-A96D-EF5CC965C9DB}"/>
    <cellStyle name="标题 2 21 3" xfId="22229" xr:uid="{06D426F2-7488-4653-A594-345B42831FA2}"/>
    <cellStyle name="标题 2 21 4" xfId="22230" xr:uid="{202EAC45-980E-46BC-B1DF-565B93EE329D}"/>
    <cellStyle name="标题 2 21 5" xfId="22226" xr:uid="{6302B323-4DD9-4828-A1E7-41158DBE3B62}"/>
    <cellStyle name="标题 2 22" xfId="6148" xr:uid="{DAFBAF57-5579-499B-8269-FE8730B68D7F}"/>
    <cellStyle name="标题 2 22 2" xfId="10677" xr:uid="{CF7D7E42-D25C-4F6A-A1CE-FE565DEE62EC}"/>
    <cellStyle name="标题 2 22 2 2" xfId="22233" xr:uid="{E1B4E893-D6BA-4927-8268-3DC47FD92268}"/>
    <cellStyle name="标题 2 22 2 3" xfId="22232" xr:uid="{850C0B4D-F028-4340-BDD5-E6C30AA607FE}"/>
    <cellStyle name="标题 2 22 3" xfId="22234" xr:uid="{742F76F0-E858-4291-B95D-B609EFF4ED0A}"/>
    <cellStyle name="标题 2 22 4" xfId="22235" xr:uid="{9BE1A0E7-E4E0-4554-8408-9EBE5B2A0264}"/>
    <cellStyle name="标题 2 22 5" xfId="22231" xr:uid="{A1D8B1D7-5010-4720-992E-3A07888655FF}"/>
    <cellStyle name="标题 2 23" xfId="6150" xr:uid="{4731154E-E2E7-4204-A889-063543569301}"/>
    <cellStyle name="标题 2 23 2" xfId="22237" xr:uid="{68F42B30-A90E-4D0E-A2FB-FC7310D55F34}"/>
    <cellStyle name="标题 2 23 2 2" xfId="22238" xr:uid="{0551DBCC-0461-41FD-8CBB-E72171EC0451}"/>
    <cellStyle name="标题 2 23 3" xfId="22239" xr:uid="{791DEB35-8F39-453B-8625-88C67EE7CBE9}"/>
    <cellStyle name="标题 2 23 4" xfId="22240" xr:uid="{C9FC754E-E47D-441F-A2DC-0A1519DC6958}"/>
    <cellStyle name="标题 2 23 5" xfId="22236" xr:uid="{F20A4EEB-F05C-4BCD-A5D1-D4D7BB71D523}"/>
    <cellStyle name="标题 2 24" xfId="6152" xr:uid="{888D47AB-911D-4393-881D-92AFA01A56B2}"/>
    <cellStyle name="标题 2 24 2" xfId="22242" xr:uid="{51B329CD-1BF7-4588-A665-AF07A06C679A}"/>
    <cellStyle name="标题 2 24 2 2" xfId="22243" xr:uid="{38F7EC0F-28AA-402A-82B3-100EC589B729}"/>
    <cellStyle name="标题 2 24 3" xfId="22244" xr:uid="{4ED6E349-738A-4286-BEF9-6D7E7F3CB819}"/>
    <cellStyle name="标题 2 24 4" xfId="22245" xr:uid="{15E8FFDF-DA89-42F5-BFC7-A17705CFF541}"/>
    <cellStyle name="标题 2 24 5" xfId="22241" xr:uid="{4D4872AC-010A-48EA-B280-BA75549FB9C1}"/>
    <cellStyle name="标题 2 25" xfId="6164" xr:uid="{5FB7CC1C-44D4-4F5C-889B-0E2B3DB65506}"/>
    <cellStyle name="标题 2 25 2" xfId="22247" xr:uid="{EC8D2F3C-0DEE-465E-9DFE-E99F503AAF58}"/>
    <cellStyle name="标题 2 25 2 2" xfId="22248" xr:uid="{9BA4772D-AEA8-4A89-8A3F-B0E58CA7354F}"/>
    <cellStyle name="标题 2 25 3" xfId="22249" xr:uid="{04A18A49-0487-41B9-83FF-406FAD67F322}"/>
    <cellStyle name="标题 2 25 4" xfId="22250" xr:uid="{1739A5FA-28DB-46F9-B4B2-A7999BEF7FD8}"/>
    <cellStyle name="标题 2 25 5" xfId="22246" xr:uid="{C12ECAF5-B788-46CD-A1A4-49E70FBAC2CB}"/>
    <cellStyle name="标题 2 26" xfId="6166" xr:uid="{C04BBFD6-607B-4802-A00E-73412059306B}"/>
    <cellStyle name="标题 2 26 2" xfId="22252" xr:uid="{5901AE98-8E0D-4502-ABDC-34500FC3E009}"/>
    <cellStyle name="标题 2 26 2 2" xfId="22253" xr:uid="{39D121E3-E687-4050-86CA-AD882102CA3C}"/>
    <cellStyle name="标题 2 26 3" xfId="22254" xr:uid="{3536FF30-AF2E-4682-9C61-69ED0435AE33}"/>
    <cellStyle name="标题 2 26 4" xfId="22255" xr:uid="{F89F919F-E2B1-4A86-8FC1-52992495D5D7}"/>
    <cellStyle name="标题 2 26 5" xfId="22251" xr:uid="{34837415-D3FC-431E-A4F5-D2F2793D5C25}"/>
    <cellStyle name="标题 2 27" xfId="6168" xr:uid="{DBD95F7E-CBEB-4FFC-9BD7-FEB91DF8DD01}"/>
    <cellStyle name="标题 2 27 2" xfId="22257" xr:uid="{949EDADD-7DE2-4F63-87AB-B3C11289B839}"/>
    <cellStyle name="标题 2 27 2 2" xfId="22258" xr:uid="{9DF135E0-C86B-4202-A052-164F5E88DB45}"/>
    <cellStyle name="标题 2 27 3" xfId="22259" xr:uid="{24C58711-878D-49C0-B9EC-7665CD7293DD}"/>
    <cellStyle name="标题 2 27 4" xfId="22260" xr:uid="{452935BE-D2DB-4FAD-B183-7E4E2314F5D8}"/>
    <cellStyle name="标题 2 27 5" xfId="22256" xr:uid="{6E230EAF-0E9E-4495-B0F1-5A65A94F2A30}"/>
    <cellStyle name="标题 2 28" xfId="6170" xr:uid="{139466B2-2BA3-4C41-969B-B0A0D3063414}"/>
    <cellStyle name="标题 2 28 2" xfId="22262" xr:uid="{1CF39E54-E02F-4F40-98BA-1CEF15E8A7E1}"/>
    <cellStyle name="标题 2 28 3" xfId="22263" xr:uid="{6BD85ACB-AD8C-4377-81CD-020061C29548}"/>
    <cellStyle name="标题 2 28 4" xfId="22264" xr:uid="{CC8BAFD3-605D-4CCF-9E52-3CA6F014ACB4}"/>
    <cellStyle name="标题 2 28 5" xfId="22261" xr:uid="{2BD17688-3DE7-4A50-9CDF-659DACEA3495}"/>
    <cellStyle name="标题 2 29" xfId="6172" xr:uid="{4A65E0FC-ED5E-4054-A73C-9475BBE2FE4F}"/>
    <cellStyle name="标题 2 29 2" xfId="22266" xr:uid="{A64D033E-0735-4B46-8082-A4490661F7E7}"/>
    <cellStyle name="标题 2 29 3" xfId="22267" xr:uid="{D4E1EB3D-3A8E-43AB-8874-D5B8FAAA81AD}"/>
    <cellStyle name="标题 2 29 4" xfId="22268" xr:uid="{31E5E7A8-7B1D-460D-AFE2-82E30F6382A1}"/>
    <cellStyle name="标题 2 29 5" xfId="22265" xr:uid="{F36ED2A4-CBA6-474F-8105-E366008FF1ED}"/>
    <cellStyle name="标题 2 3" xfId="2980" xr:uid="{FD72A8D3-7E9E-45FD-A38F-DD74A9272146}"/>
    <cellStyle name="标题 2 3 2" xfId="2076" xr:uid="{39279BF3-E366-4265-8DDA-DBC0968C7321}"/>
    <cellStyle name="标题 2 3 2 2" xfId="10678" xr:uid="{B8CF1D10-BFB0-4890-B7B2-3B1C7AE16D7D}"/>
    <cellStyle name="标题 2 3 2 3" xfId="22270" xr:uid="{7F3C762A-F521-4240-BA6E-9E08F78842A4}"/>
    <cellStyle name="标题 2 3 2 4" xfId="27440" xr:uid="{EAC9201A-8B19-40C3-B125-2CCA96E53B6C}"/>
    <cellStyle name="标题 2 3 3" xfId="10679" xr:uid="{E22AE63E-03F3-4264-B021-11C0F75B36E1}"/>
    <cellStyle name="标题 2 3 3 2" xfId="22272" xr:uid="{77625D66-682D-4AFE-B037-6BE1ECD75199}"/>
    <cellStyle name="标题 2 3 3 3" xfId="22271" xr:uid="{1D4EE29B-7322-4A99-8774-85462C113D70}"/>
    <cellStyle name="标题 2 3 3 4" xfId="27441" xr:uid="{F8CF1359-339C-4D0B-871D-45A0752FC00D}"/>
    <cellStyle name="标题 2 3 4" xfId="22273" xr:uid="{55C7DF57-1240-4D6E-B57E-220B37A99737}"/>
    <cellStyle name="标题 2 3 4 2" xfId="27737" xr:uid="{088DDB15-E4F1-44D8-B4B4-9E6DD17870EE}"/>
    <cellStyle name="标题 2 3 5" xfId="22274" xr:uid="{EDCFBF1D-81EC-4264-B658-4801B862B3B3}"/>
    <cellStyle name="标题 2 3 5 2" xfId="22275" xr:uid="{E52235FB-ED7D-4424-8A6A-2F1ACC077790}"/>
    <cellStyle name="标题 2 3 6" xfId="22269" xr:uid="{9FC1F433-11EF-411F-88C5-03F910FAA037}"/>
    <cellStyle name="标题 2 30" xfId="6165" xr:uid="{969615A1-9E1C-4CC5-925D-5EFA4F2A19BB}"/>
    <cellStyle name="标题 2 30 2" xfId="22277" xr:uid="{4E516621-C91F-4BC0-B83E-E8525AD46FBB}"/>
    <cellStyle name="标题 2 30 3" xfId="22278" xr:uid="{980F5483-932D-4026-B06F-89AE5FAC7125}"/>
    <cellStyle name="标题 2 30 4" xfId="22279" xr:uid="{AEE7DFB1-DB2E-4693-A5CA-40155F1DB279}"/>
    <cellStyle name="标题 2 30 5" xfId="22276" xr:uid="{7307901A-FB74-4EAB-874F-711A97E37FFD}"/>
    <cellStyle name="标题 2 31" xfId="6167" xr:uid="{780CF06D-44FF-41EB-8BD2-327B408E2DFF}"/>
    <cellStyle name="标题 2 31 2" xfId="22281" xr:uid="{DB8F9439-F99A-46C1-9665-A267A8026890}"/>
    <cellStyle name="标题 2 31 3" xfId="22282" xr:uid="{6AD4538B-0ECB-45A3-89C3-F0580394844B}"/>
    <cellStyle name="标题 2 31 4" xfId="22283" xr:uid="{A45B0326-7593-48E9-B2E0-4A8A0E63E636}"/>
    <cellStyle name="标题 2 31 5" xfId="22280" xr:uid="{99EAE752-D9D5-476A-81CC-D0F67B19A48F}"/>
    <cellStyle name="标题 2 32" xfId="6169" xr:uid="{001A04AA-52AB-4BCF-BDD4-6A5ECDA8E2F9}"/>
    <cellStyle name="标题 2 32 2" xfId="22285" xr:uid="{95CCF1FF-0685-4444-B291-D70BC1C097EA}"/>
    <cellStyle name="标题 2 32 3" xfId="22286" xr:uid="{73E47EE7-23AD-412B-AFF2-5C7D56D5D068}"/>
    <cellStyle name="标题 2 32 4" xfId="22287" xr:uid="{F4F38B63-514F-4902-A6C6-E945217138B0}"/>
    <cellStyle name="标题 2 32 5" xfId="22284" xr:uid="{85CCCB4D-2EBA-4F07-A3A4-3378E91807E8}"/>
    <cellStyle name="标题 2 33" xfId="6171" xr:uid="{E4CAF33C-DE0E-41ED-88E0-3F12B2510EC4}"/>
    <cellStyle name="标题 2 33 2" xfId="22289" xr:uid="{169FB6E4-8F54-4E34-8861-B05E75FB9938}"/>
    <cellStyle name="标题 2 33 3" xfId="22290" xr:uid="{10781441-77F6-494C-8FCF-8185A71147CB}"/>
    <cellStyle name="标题 2 33 4" xfId="22291" xr:uid="{E2418A71-B173-4551-804A-C7742576AD16}"/>
    <cellStyle name="标题 2 33 5" xfId="22288" xr:uid="{E86637A4-0463-476B-A036-B1937C0BFE78}"/>
    <cellStyle name="标题 2 34" xfId="6173" xr:uid="{5B20F8F4-90C7-4F3A-B9A2-3B20F85948E6}"/>
    <cellStyle name="标题 2 34 2" xfId="22293" xr:uid="{FC7C2013-ACF9-4AE4-A28C-22FBB665A1E7}"/>
    <cellStyle name="标题 2 34 3" xfId="22294" xr:uid="{73426C76-32E7-47DF-A081-7D703497244D}"/>
    <cellStyle name="标题 2 34 4" xfId="22295" xr:uid="{3C4E6EBB-3725-4291-B6DF-7CC69C6776A4}"/>
    <cellStyle name="标题 2 34 5" xfId="22292" xr:uid="{72FBC117-9E55-47A6-9A67-16CF59DB11A9}"/>
    <cellStyle name="标题 2 35" xfId="6174" xr:uid="{BC2E85B6-BF8D-468B-8EC1-31F8C6F39FAF}"/>
    <cellStyle name="标题 2 35 2" xfId="22297" xr:uid="{8DF5C720-B3F6-4380-A6EF-9EBE35F517CE}"/>
    <cellStyle name="标题 2 35 3" xfId="22296" xr:uid="{A0266700-9AAB-4784-A966-C1CDEDD4EEE3}"/>
    <cellStyle name="标题 2 36" xfId="6176" xr:uid="{4776F119-0280-4675-9E74-E03D149A8265}"/>
    <cellStyle name="标题 2 36 2" xfId="22299" xr:uid="{B73AFBBC-923F-4848-9976-96C29915F5A3}"/>
    <cellStyle name="标题 2 36 3" xfId="22298" xr:uid="{77803978-7A5B-46A2-9A74-3A3BA21A3D81}"/>
    <cellStyle name="标题 2 37" xfId="6178" xr:uid="{C6611346-21AA-4697-8455-DD114E3346CA}"/>
    <cellStyle name="标题 2 37 2" xfId="22301" xr:uid="{4B8C7FE5-8386-4F3E-976E-526B4897BE86}"/>
    <cellStyle name="标题 2 37 3" xfId="22300" xr:uid="{E2BA6B49-9CF9-43BA-8BD9-248CA6A09702}"/>
    <cellStyle name="标题 2 38" xfId="6180" xr:uid="{21B6325F-16B4-4145-972F-2A30849E1329}"/>
    <cellStyle name="标题 2 38 2" xfId="22303" xr:uid="{32762C4E-5F87-4DCD-8C58-AA2F30BB3DA2}"/>
    <cellStyle name="标题 2 38 3" xfId="22302" xr:uid="{970AB60E-C0A1-46A1-B537-32C01AFDC19D}"/>
    <cellStyle name="标题 2 39" xfId="6182" xr:uid="{D32A0893-39CF-4093-803E-5BF4CE8AD281}"/>
    <cellStyle name="标题 2 39 2" xfId="22305" xr:uid="{8E7E9867-A2A5-40FF-915C-73AF7E1E2FC1}"/>
    <cellStyle name="标题 2 39 3" xfId="22304" xr:uid="{EE2DAC61-8C1B-4DC5-9EE6-A4DED81C0862}"/>
    <cellStyle name="标题 2 4" xfId="6184" xr:uid="{A28856FB-31B2-4674-81A4-D803E3ED20A1}"/>
    <cellStyle name="标题 2 4 2" xfId="6185" xr:uid="{5DF4354C-D23F-4EE1-A472-7ACE47D0EDD6}"/>
    <cellStyle name="标题 2 4 2 2" xfId="10680" xr:uid="{37A5BD30-4D11-45FD-AFD1-F1249319E1C4}"/>
    <cellStyle name="标题 2 4 2 2 2" xfId="22308" xr:uid="{5CF418CB-A6F6-4B5C-B5DD-E6182817D4CC}"/>
    <cellStyle name="标题 2 4 2 3" xfId="22307" xr:uid="{40631A98-936B-4824-ABDC-2EB7874EE1DE}"/>
    <cellStyle name="标题 2 4 3" xfId="10681" xr:uid="{81114194-35B7-4ACB-A490-627AE573048F}"/>
    <cellStyle name="标题 2 4 3 2" xfId="22309" xr:uid="{840D40AF-751A-4F1B-A876-00CFD5E635D4}"/>
    <cellStyle name="标题 2 4 4" xfId="22310" xr:uid="{9A71A06F-6899-4062-95A5-D676154E32C4}"/>
    <cellStyle name="标题 2 4 4 2" xfId="22311" xr:uid="{1586791F-8A6A-476B-B9D4-A5D9A5F1347D}"/>
    <cellStyle name="标题 2 4 5" xfId="22306" xr:uid="{F4A0A4FB-9224-41F4-BC40-D91F7C310A36}"/>
    <cellStyle name="标题 2 40" xfId="6175" xr:uid="{70F0AC9F-258C-4E9F-9B45-9FE751957924}"/>
    <cellStyle name="标题 2 40 2" xfId="22313" xr:uid="{501A7761-01F9-4AFA-BBF7-B46E92F8F9C5}"/>
    <cellStyle name="标题 2 40 3" xfId="22312" xr:uid="{E311B462-B845-4BA2-88C9-A634338ABF60}"/>
    <cellStyle name="标题 2 41" xfId="6177" xr:uid="{C5F2A6B4-350E-4765-A9E7-9C6A98DCB8E8}"/>
    <cellStyle name="标题 2 41 2" xfId="22315" xr:uid="{CAB47E1D-6C0F-4308-B6F4-BC3C73F11EE0}"/>
    <cellStyle name="标题 2 41 3" xfId="22314" xr:uid="{075F46B5-E6C2-4E3C-AF3D-9E4F9CD2F5B2}"/>
    <cellStyle name="标题 2 42" xfId="6179" xr:uid="{7B437E8B-C0F1-4AA7-96C2-BB7BB22DD7F1}"/>
    <cellStyle name="标题 2 42 2" xfId="22317" xr:uid="{41C67C0C-AE5E-4D49-BB61-A44D01BFAEB3}"/>
    <cellStyle name="标题 2 42 3" xfId="22316" xr:uid="{A7FE058F-FEEB-4BAD-A7AF-4B352E752553}"/>
    <cellStyle name="标题 2 43" xfId="6181" xr:uid="{7D128926-0C7C-4EC2-AA84-2CB65C394DF6}"/>
    <cellStyle name="标题 2 43 2" xfId="22319" xr:uid="{66A7599A-4EB1-4D32-8A2D-3A21F35B8E62}"/>
    <cellStyle name="标题 2 43 3" xfId="22318" xr:uid="{8D6E0CEF-FD96-437E-9D06-EAC382AD6C54}"/>
    <cellStyle name="标题 2 44" xfId="6183" xr:uid="{DAE75483-05E1-41C1-B0AE-1863A820AC7D}"/>
    <cellStyle name="标题 2 44 2" xfId="22321" xr:uid="{30465DC0-7DF8-4F2D-938A-3AD8C597708F}"/>
    <cellStyle name="标题 2 44 3" xfId="22320" xr:uid="{59E0A279-51AD-48E2-B336-D679F6BD8B61}"/>
    <cellStyle name="标题 2 45" xfId="6186" xr:uid="{C79A759B-0510-49DC-BA08-CD14CF059641}"/>
    <cellStyle name="标题 2 45 2" xfId="22323" xr:uid="{533C82D5-2E3B-4597-B3DA-C2DAE1CC6F58}"/>
    <cellStyle name="标题 2 45 3" xfId="22322" xr:uid="{69DB7DAD-BFFD-4943-BEF6-C53C2E435AC3}"/>
    <cellStyle name="标题 2 46" xfId="6188" xr:uid="{E9DB6C77-23D0-4431-98C1-1984144533FA}"/>
    <cellStyle name="标题 2 46 2" xfId="22325" xr:uid="{72642574-D0E1-4F37-8421-354BD98BA3E6}"/>
    <cellStyle name="标题 2 46 3" xfId="22324" xr:uid="{0FAA8FCD-7735-4AE8-B98C-85E1618D38A3}"/>
    <cellStyle name="标题 2 47" xfId="343" xr:uid="{337E7503-135E-4607-84B8-70A537EB54A5}"/>
    <cellStyle name="标题 2 47 2" xfId="22326" xr:uid="{84AAE4E0-71EF-431D-AA8F-4FF63BD4D5D9}"/>
    <cellStyle name="标题 2 48" xfId="6190" xr:uid="{8CFD4852-F6D1-4C64-8C54-E825C30C1456}"/>
    <cellStyle name="标题 2 48 2" xfId="22327" xr:uid="{FAB92F2E-5A09-4025-9074-136AA8F1FEC0}"/>
    <cellStyle name="标题 2 49" xfId="6192" xr:uid="{E28A0B56-ADEA-4BC5-9899-BAB664735DC2}"/>
    <cellStyle name="标题 2 49 2" xfId="22328" xr:uid="{339C08EF-A0D0-4E01-9676-06EA19565A42}"/>
    <cellStyle name="标题 2 5" xfId="2990" xr:uid="{23505DDC-EF5C-4745-B83E-96146D08D4C4}"/>
    <cellStyle name="标题 2 5 2" xfId="5832" xr:uid="{F9331D13-1AF3-4F8B-A304-062672FB0B4C}"/>
    <cellStyle name="标题 2 5 2 2" xfId="10682" xr:uid="{43F48A7A-7427-4233-942C-D5F2C9D8EDB6}"/>
    <cellStyle name="标题 2 5 2 2 2" xfId="22331" xr:uid="{48057212-32C2-4D5E-965D-615FA5E0F2D8}"/>
    <cellStyle name="标题 2 5 2 3" xfId="22330" xr:uid="{7EF522DD-9EEB-45F5-9264-599D9F77CA91}"/>
    <cellStyle name="标题 2 5 3" xfId="10683" xr:uid="{2721AE58-39E6-4775-B6FA-643668DBA749}"/>
    <cellStyle name="标题 2 5 3 2" xfId="22332" xr:uid="{1A09C468-2730-4829-B10F-AC530E8CF1BF}"/>
    <cellStyle name="标题 2 5 4" xfId="22333" xr:uid="{31175DC6-B658-4CD5-977A-10CAC257477A}"/>
    <cellStyle name="标题 2 5 5" xfId="22329" xr:uid="{456E1B95-682C-47F9-A6C0-D4E5439DE830}"/>
    <cellStyle name="标题 2 50" xfId="6187" xr:uid="{273C7E20-479F-4608-B2D7-03F678C125B5}"/>
    <cellStyle name="标题 2 50 2" xfId="22334" xr:uid="{FB64C1C9-06FC-464D-9D9E-320BAAC5ED55}"/>
    <cellStyle name="标题 2 51" xfId="6189" xr:uid="{B095CBE2-9448-459B-8AA0-439F1AA65687}"/>
    <cellStyle name="标题 2 51 2" xfId="22335" xr:uid="{1B0E77B8-F6BC-4765-B337-88BCE3F13F18}"/>
    <cellStyle name="标题 2 52" xfId="344" xr:uid="{174F6D89-D0E2-4093-9102-FFA82BE00491}"/>
    <cellStyle name="标题 2 52 2" xfId="22336" xr:uid="{8A7FE704-D543-48C2-B934-11AB3D46A578}"/>
    <cellStyle name="标题 2 53" xfId="6191" xr:uid="{EA5F9B8A-E54A-433F-9F9D-91D83728F2FF}"/>
    <cellStyle name="标题 2 53 2" xfId="22337" xr:uid="{0B1EB908-3D70-4ACD-B968-48929D907C05}"/>
    <cellStyle name="标题 2 54" xfId="6193" xr:uid="{DEA886AE-8891-4484-AEA8-72A2DDDD0B3F}"/>
    <cellStyle name="标题 2 54 2" xfId="22338" xr:uid="{EB317768-27AC-498C-82FD-46F79BCCCCCE}"/>
    <cellStyle name="标题 2 55" xfId="6194" xr:uid="{EC3D0880-586F-42C9-82E1-DC65C768F56D}"/>
    <cellStyle name="标题 2 55 2" xfId="22339" xr:uid="{BF0F73B6-BBEE-4450-83C8-75A84EC6575B}"/>
    <cellStyle name="标题 2 56" xfId="6196" xr:uid="{569F4581-8E6F-4E98-91D0-BD05B62293A6}"/>
    <cellStyle name="标题 2 56 2" xfId="22340" xr:uid="{2AE52842-5715-4E50-BFB6-134C04FFFDB9}"/>
    <cellStyle name="标题 2 57" xfId="6198" xr:uid="{31AD604E-815E-4E57-AF48-24058D91291B}"/>
    <cellStyle name="标题 2 58" xfId="6200" xr:uid="{F1C1D6E3-2A19-4035-BBCA-53975FBA57D7}"/>
    <cellStyle name="标题 2 59" xfId="6202" xr:uid="{CDC988E7-63F6-4F3B-B744-E931EEBAE1BE}"/>
    <cellStyle name="标题 2 6" xfId="6204" xr:uid="{63108A50-FD44-42AD-9557-E22D06C833CF}"/>
    <cellStyle name="标题 2 6 2" xfId="6205" xr:uid="{648D2651-3419-44A7-9A6E-EA9BF695425B}"/>
    <cellStyle name="标题 2 6 2 2" xfId="10685" xr:uid="{DDC01C96-513B-40D4-9341-21B1501DDAE9}"/>
    <cellStyle name="标题 2 6 2 2 2" xfId="22343" xr:uid="{D23B85F3-4261-430C-8505-191417EF174A}"/>
    <cellStyle name="标题 2 6 2 3" xfId="22342" xr:uid="{228C6997-33EC-4AC7-AA33-906C9B19F25A}"/>
    <cellStyle name="标题 2 6 3" xfId="10686" xr:uid="{015E8C04-B53D-495C-BEDC-5BE225FD7E7B}"/>
    <cellStyle name="标题 2 6 3 2" xfId="22344" xr:uid="{C7AA6B70-854E-448B-8B76-A0F1B16E331D}"/>
    <cellStyle name="标题 2 6 4" xfId="10684" xr:uid="{E4BF216D-5902-47EA-A11E-56EEF64EDFA9}"/>
    <cellStyle name="标题 2 6 4 2" xfId="22345" xr:uid="{3DB1CF8C-E4C9-4343-A431-0946B8DDB538}"/>
    <cellStyle name="标题 2 6 5" xfId="22341" xr:uid="{C1E4D731-05AB-4F51-B302-ABB2C419276C}"/>
    <cellStyle name="标题 2 60" xfId="6195" xr:uid="{AD06A3BC-38B9-4A1B-8957-517FF1126957}"/>
    <cellStyle name="标题 2 61" xfId="6197" xr:uid="{96F139FC-872D-49CA-975F-5753F6973D33}"/>
    <cellStyle name="标题 2 62" xfId="6199" xr:uid="{3719B116-F5EE-4037-A707-536289A4E9FC}"/>
    <cellStyle name="标题 2 63" xfId="6201" xr:uid="{B460E5DF-D534-4BC6-A764-F58B0F7E8077}"/>
    <cellStyle name="标题 2 64" xfId="6203" xr:uid="{D598D15C-B8E9-467B-8049-CCE2D614D1B7}"/>
    <cellStyle name="标题 2 65" xfId="6206" xr:uid="{DAC04377-DA72-43EA-AB4A-00005523C54B}"/>
    <cellStyle name="标题 2 66" xfId="6208" xr:uid="{978365B2-D673-4140-B97E-7E6243F90054}"/>
    <cellStyle name="标题 2 67" xfId="6210" xr:uid="{A93B1126-49F8-4C49-BCFD-F35EC0B07E64}"/>
    <cellStyle name="标题 2 68" xfId="6213" xr:uid="{B9B58081-62A5-4F39-924B-91A911D499FE}"/>
    <cellStyle name="标题 2 69" xfId="6216" xr:uid="{698C33F7-89B3-4410-850F-2A6566553806}"/>
    <cellStyle name="标题 2 7" xfId="6219" xr:uid="{EF2ADD72-9398-43CD-B0B8-006E47BC3602}"/>
    <cellStyle name="标题 2 7 2" xfId="6220" xr:uid="{0D36D69E-F1FF-43C6-AF9E-779F15A138A5}"/>
    <cellStyle name="标题 2 7 2 2" xfId="10688" xr:uid="{E7DB65D3-5AA8-4E25-AA72-45496ADFA3DC}"/>
    <cellStyle name="标题 2 7 2 2 2" xfId="22348" xr:uid="{BAB08E64-8CC4-45AF-967D-122763EC1495}"/>
    <cellStyle name="标题 2 7 2 3" xfId="22347" xr:uid="{A7B18993-A5C9-48A8-A8D1-105FBA22A5A4}"/>
    <cellStyle name="标题 2 7 3" xfId="10689" xr:uid="{679923EF-DCE9-49C5-895B-3627B5B4B6E6}"/>
    <cellStyle name="标题 2 7 3 2" xfId="22349" xr:uid="{6CF2D49B-7F05-4919-B99A-E7E2BA45D22B}"/>
    <cellStyle name="标题 2 7 4" xfId="10687" xr:uid="{0E090D4C-03DC-4A15-97AF-EB439B378595}"/>
    <cellStyle name="标题 2 7 4 2" xfId="22350" xr:uid="{D414B30C-BBD7-40F0-9062-E201CFF8C551}"/>
    <cellStyle name="标题 2 7 5" xfId="22346" xr:uid="{1FFFCE86-CBBB-42DA-A5E7-7F0B6C3BE77E}"/>
    <cellStyle name="标题 2 70" xfId="6207" xr:uid="{0DBADB98-31CB-444A-BA44-7AD0D4A03EB8}"/>
    <cellStyle name="标题 2 71" xfId="6209" xr:uid="{FC27C916-6DF8-496A-AC43-9CFA57BD50B2}"/>
    <cellStyle name="标题 2 72" xfId="6211" xr:uid="{AC4A8BA6-69FC-4E38-944F-B18434B436A0}"/>
    <cellStyle name="标题 2 73" xfId="6214" xr:uid="{66D206CD-45FF-417E-A3BE-B295B3FB39D9}"/>
    <cellStyle name="标题 2 74" xfId="6217" xr:uid="{F1F20DFB-CEF8-4AA5-ABEE-1116786DD851}"/>
    <cellStyle name="标题 2 75" xfId="6221" xr:uid="{47EAC244-A467-4312-9C09-20E3AB59D76B}"/>
    <cellStyle name="标题 2 76" xfId="6223" xr:uid="{67DE86BE-9702-48CB-A1F0-2E9A913EB50B}"/>
    <cellStyle name="标题 2 77" xfId="6225" xr:uid="{AD58CECF-3824-4FA0-82FA-827B22FD5D43}"/>
    <cellStyle name="标题 2 78" xfId="6227" xr:uid="{43D8B922-F431-4702-AB6A-719D4AC52C9E}"/>
    <cellStyle name="标题 2 79" xfId="6229" xr:uid="{589570C6-E6AD-432F-970A-092A6DA40346}"/>
    <cellStyle name="标题 2 8" xfId="6231" xr:uid="{B9F3D885-39F6-43EA-9C85-14930D65C566}"/>
    <cellStyle name="标题 2 8 2" xfId="6232" xr:uid="{8900C968-D368-48F4-B5F2-081720382B26}"/>
    <cellStyle name="标题 2 8 2 2" xfId="10691" xr:uid="{0BEF0067-6B01-46D0-9B5A-EB3058182495}"/>
    <cellStyle name="标题 2 8 2 2 2" xfId="22353" xr:uid="{2461098B-BBD5-4ABC-8D2F-893EC0A2ECFC}"/>
    <cellStyle name="标题 2 8 2 3" xfId="22352" xr:uid="{3FFE82FD-E13E-4B78-9024-9A5EED80E106}"/>
    <cellStyle name="标题 2 8 3" xfId="10692" xr:uid="{394A2CDA-CA5D-4B7A-BF24-68CE7BF63411}"/>
    <cellStyle name="标题 2 8 3 2" xfId="22354" xr:uid="{2B1AB820-4010-44CB-897B-827435ADD8F9}"/>
    <cellStyle name="标题 2 8 4" xfId="10690" xr:uid="{FF08CA99-DCCD-44C8-9158-0C492030DF1A}"/>
    <cellStyle name="标题 2 8 4 2" xfId="22355" xr:uid="{2042B210-0DF4-49E0-967D-40D8229AD5C4}"/>
    <cellStyle name="标题 2 8 5" xfId="22351" xr:uid="{F5D0BAFF-090A-407C-9D6B-29AC9C38D525}"/>
    <cellStyle name="标题 2 80" xfId="6222" xr:uid="{434FEF43-CBD1-4ED5-A3F0-6BEFDE18FB11}"/>
    <cellStyle name="标题 2 81" xfId="6224" xr:uid="{9E348185-41C8-4A74-A755-47AE6006D5AC}"/>
    <cellStyle name="标题 2 82" xfId="6226" xr:uid="{A8600DEB-767F-4631-9BA7-189FB1614DAF}"/>
    <cellStyle name="标题 2 83" xfId="6228" xr:uid="{A815B357-93B6-411B-987E-AE71AF00DF8F}"/>
    <cellStyle name="标题 2 84" xfId="6230" xr:uid="{2DAC39D8-E429-4D9A-B8ED-1C5F7DD0792E}"/>
    <cellStyle name="标题 2 85" xfId="9321" xr:uid="{C10DBC7A-86B2-47E8-95AA-F68CB0F9DC88}"/>
    <cellStyle name="标题 2 86" xfId="13597" xr:uid="{5C403B55-2E2A-44A7-81A5-A5E01B60B410}"/>
    <cellStyle name="标题 2 87" xfId="27161" xr:uid="{EB5C40C3-4A11-4613-8299-3ED55E24DD13}"/>
    <cellStyle name="标题 2 88" xfId="27189" xr:uid="{2A2064F7-B82C-4852-81C3-066310CCFA7B}"/>
    <cellStyle name="标题 2 89" xfId="27203" xr:uid="{3EF48AFF-148E-4CC3-9747-25A70BF9A861}"/>
    <cellStyle name="标题 2 9" xfId="6233" xr:uid="{55656365-52B2-40A0-B7E1-A588A7AEFE43}"/>
    <cellStyle name="标题 2 9 2" xfId="10694" xr:uid="{707F7431-1722-4D29-98DE-AEE1A1342207}"/>
    <cellStyle name="标题 2 9 2 2" xfId="22358" xr:uid="{8EDBC9F3-F744-412B-9982-3A6D5D858F55}"/>
    <cellStyle name="标题 2 9 2 3" xfId="22357" xr:uid="{B7AC3128-3BAE-4D48-AEEE-124BF1AB9D36}"/>
    <cellStyle name="标题 2 9 3" xfId="10695" xr:uid="{2F943609-BD5A-41DF-B37A-F1E7953A9762}"/>
    <cellStyle name="标题 2 9 3 2" xfId="22359" xr:uid="{A53E5206-7821-4296-B1BF-46D80CE82257}"/>
    <cellStyle name="标题 2 9 4" xfId="10693" xr:uid="{122A6EDF-2233-40C8-8D09-CF6D9D15E5FA}"/>
    <cellStyle name="标题 2 9 4 2" xfId="22360" xr:uid="{7E1BFD12-AD47-429F-8D39-8AB107D5EEB6}"/>
    <cellStyle name="标题 2 9 5" xfId="22356" xr:uid="{E2ACACA2-AD05-4D19-AF3A-7D80C32F88EA}"/>
    <cellStyle name="标题 2 90" xfId="93" xr:uid="{581E498D-36CA-4455-BCBD-3FE01DF78074}"/>
    <cellStyle name="标题 20" xfId="6129" xr:uid="{8AF909F0-E061-41B7-BCD3-5C78317D1BA8}"/>
    <cellStyle name="标题 20 2" xfId="10697" xr:uid="{4B00DBDC-89D1-4123-B8E0-23F616630F71}"/>
    <cellStyle name="标题 20 2 2" xfId="22363" xr:uid="{9AEBF134-A843-497D-84FA-681E9D9EA69E}"/>
    <cellStyle name="标题 20 2 3" xfId="22362" xr:uid="{51CAC512-4CEF-41A0-9989-C134E06E4F18}"/>
    <cellStyle name="标题 20 3" xfId="10698" xr:uid="{252D94AF-02AD-494E-A020-D1FE22724FE8}"/>
    <cellStyle name="标题 20 3 2" xfId="22364" xr:uid="{4B33B8EC-BB40-4746-AA2A-40F494C5A599}"/>
    <cellStyle name="标题 20 4" xfId="10696" xr:uid="{D57A7FDC-9535-47C6-8470-01C34D2104CA}"/>
    <cellStyle name="标题 20 4 2" xfId="22365" xr:uid="{E045AE0B-F662-47E2-B123-AD47013CF86A}"/>
    <cellStyle name="标题 20 5" xfId="22361" xr:uid="{2707232E-A8A0-4F0A-BA32-C3B080BCAF89}"/>
    <cellStyle name="标题 21" xfId="6131" xr:uid="{33AE0F05-94EE-4E12-8F45-FAD890BDF745}"/>
    <cellStyle name="标题 21 2" xfId="10699" xr:uid="{07188CDB-FC01-46AE-8CB6-B52DCBD43F55}"/>
    <cellStyle name="标题 21 2 2" xfId="22368" xr:uid="{5BC68F07-9CAC-4EAA-B0D4-5AECFA328B52}"/>
    <cellStyle name="标题 21 2 3" xfId="22367" xr:uid="{F93C5DD7-AA75-45DA-B6BF-C731BEF6C481}"/>
    <cellStyle name="标题 21 3" xfId="22369" xr:uid="{F463396E-A9BB-4D4A-8E75-BFFAFFE4740E}"/>
    <cellStyle name="标题 21 4" xfId="22370" xr:uid="{BF75C7A8-6A61-4814-AF9F-42EF109249B5}"/>
    <cellStyle name="标题 21 5" xfId="22366" xr:uid="{6B471188-F6B1-4E62-8F67-640ED58FDC93}"/>
    <cellStyle name="标题 22" xfId="6133" xr:uid="{2F92E546-28B9-4E88-8824-453A0F158608}"/>
    <cellStyle name="标题 22 2" xfId="10700" xr:uid="{E55C7ADA-CF6B-4DD3-B56F-0538C5B4B321}"/>
    <cellStyle name="标题 22 2 2" xfId="22373" xr:uid="{CADBD41E-1B7B-4F74-8248-6E8C5E3DD925}"/>
    <cellStyle name="标题 22 2 3" xfId="22372" xr:uid="{88FED291-F577-4A6A-BF1B-639A40E1CAAF}"/>
    <cellStyle name="标题 22 3" xfId="22374" xr:uid="{D33AD959-700E-4F20-99AC-CB7ADEF69933}"/>
    <cellStyle name="标题 22 4" xfId="22375" xr:uid="{BB5FCC3D-CF01-4BE7-BCF1-E9469FDEF516}"/>
    <cellStyle name="标题 22 5" xfId="22371" xr:uid="{87CB36AA-6F0C-4E29-B5E5-03AE28AA244A}"/>
    <cellStyle name="标题 23" xfId="6135" xr:uid="{4F46CD38-6F0B-4A2A-9BC6-B0B8674BA672}"/>
    <cellStyle name="标题 23 2" xfId="10701" xr:uid="{E0133D30-7970-4561-A8EB-93F62166D0E7}"/>
    <cellStyle name="标题 23 2 2" xfId="22378" xr:uid="{0CDAA57E-2C73-462F-A4C7-28F127E0330E}"/>
    <cellStyle name="标题 23 2 3" xfId="22377" xr:uid="{2C98EC9A-4A5B-4EF2-92EE-E6084A61308A}"/>
    <cellStyle name="标题 23 3" xfId="22379" xr:uid="{7E85B79C-3356-4B0D-A40C-5700B0877059}"/>
    <cellStyle name="标题 23 4" xfId="22380" xr:uid="{BE25A8DA-C1C2-4608-B8C2-D2F2A67A11F7}"/>
    <cellStyle name="标题 23 5" xfId="22376" xr:uid="{6E54E887-C94C-4780-87BC-EEBC25EE2908}"/>
    <cellStyle name="标题 24" xfId="6137" xr:uid="{492D92A5-314B-4F87-AD6D-E34B33CAF7AA}"/>
    <cellStyle name="标题 24 2" xfId="10702" xr:uid="{FDD379C2-0B2E-4D41-8677-0FD3869373A2}"/>
    <cellStyle name="标题 24 2 2" xfId="22383" xr:uid="{DEA17061-1B48-4877-8B57-76A79F4B054A}"/>
    <cellStyle name="标题 24 2 3" xfId="22382" xr:uid="{FCE147DD-FE84-43D6-B9B2-89975B56BC27}"/>
    <cellStyle name="标题 24 3" xfId="22384" xr:uid="{E3FBEEE0-2402-4C79-9E03-BCE2ABF53610}"/>
    <cellStyle name="标题 24 4" xfId="22385" xr:uid="{EB5ACCF9-C191-443E-B5EE-678A4A32DB25}"/>
    <cellStyle name="标题 24 5" xfId="22381" xr:uid="{29149AA1-BEE1-4D51-93AF-BFB70263BB8C}"/>
    <cellStyle name="标题 25" xfId="6234" xr:uid="{CB5FA0CC-5E2B-46E8-AA0F-56946C9C622F}"/>
    <cellStyle name="标题 25 2" xfId="10703" xr:uid="{7F8C1120-B57E-4F3E-86D3-2280907E1D2B}"/>
    <cellStyle name="标题 25 2 2" xfId="22388" xr:uid="{128AB0AF-53E8-4E8B-A6B5-866B387C722F}"/>
    <cellStyle name="标题 25 2 3" xfId="22387" xr:uid="{4D31E0DD-7828-4703-AF35-3F8904D3DC1F}"/>
    <cellStyle name="标题 25 3" xfId="22389" xr:uid="{F1CD6804-DBB2-4C5B-B89A-56A4BDBBEFB1}"/>
    <cellStyle name="标题 25 4" xfId="22390" xr:uid="{CCDD1C15-6915-462F-8FEF-77A268A8A379}"/>
    <cellStyle name="标题 25 5" xfId="22386" xr:uid="{084A83C0-EA22-4F67-9CE1-102630954B06}"/>
    <cellStyle name="标题 25 6" xfId="27738" xr:uid="{58839E44-6FEC-459E-AB84-2ACAC23AF153}"/>
    <cellStyle name="标题 26" xfId="6236" xr:uid="{AE94FAA8-F031-4CE3-9ADB-02955EC0F58B}"/>
    <cellStyle name="标题 26 2" xfId="22392" xr:uid="{0FA7D93B-F917-4FF2-A116-DD1BDD14D4C1}"/>
    <cellStyle name="标题 26 2 2" xfId="22393" xr:uid="{52B5F594-5C3A-4E05-A098-86CC55666E64}"/>
    <cellStyle name="标题 26 3" xfId="22394" xr:uid="{7F9B5867-6FD0-4F36-BE32-3FFC7DD9ADDD}"/>
    <cellStyle name="标题 26 4" xfId="22395" xr:uid="{2F15E0B3-0A07-4E74-B1D2-CE28DC8D5A14}"/>
    <cellStyle name="标题 26 5" xfId="22391" xr:uid="{541AC94A-84FB-423C-BDA9-9E829409342B}"/>
    <cellStyle name="标题 27" xfId="6238" xr:uid="{42B61621-C6B0-4A22-8391-D19D4596ED5E}"/>
    <cellStyle name="标题 27 2" xfId="22397" xr:uid="{FE930148-0D80-453B-BAED-700C6D06EA96}"/>
    <cellStyle name="标题 27 2 2" xfId="22398" xr:uid="{D465793F-660D-4009-B032-CF35B452822E}"/>
    <cellStyle name="标题 27 3" xfId="22399" xr:uid="{8443F623-1D0A-4B4B-9B56-EA4AEB83D8B7}"/>
    <cellStyle name="标题 27 4" xfId="22400" xr:uid="{53EC8599-B133-4777-A99D-B9AD80D3587E}"/>
    <cellStyle name="标题 27 5" xfId="22396" xr:uid="{02FCB59A-361D-47CA-BC59-1C6DF1F85BD1}"/>
    <cellStyle name="标题 28" xfId="6240" xr:uid="{5666C042-614D-4759-BEA6-DA2451EC88DD}"/>
    <cellStyle name="标题 28 2" xfId="22402" xr:uid="{EEB9C8D3-DD11-4815-B216-F8B40C8B0766}"/>
    <cellStyle name="标题 28 2 2" xfId="22403" xr:uid="{68C1BD92-0DE7-4074-BB73-340582D18E6F}"/>
    <cellStyle name="标题 28 3" xfId="22404" xr:uid="{4F46A0E8-2B86-4979-8AD3-06C737784DE2}"/>
    <cellStyle name="标题 28 4" xfId="22405" xr:uid="{9BE8AD7E-3E18-4204-8182-BD297D6D8667}"/>
    <cellStyle name="标题 28 5" xfId="22401" xr:uid="{7C706E8F-B26B-42DF-8157-32BFC4FEEFCD}"/>
    <cellStyle name="标题 29" xfId="6242" xr:uid="{97A4C861-8A29-446B-AEAB-95E8976EB8A3}"/>
    <cellStyle name="标题 29 2" xfId="22407" xr:uid="{D88F7E7A-49E1-4902-AE02-2A6E1D5FC04E}"/>
    <cellStyle name="标题 29 2 2" xfId="22408" xr:uid="{5E9C8C34-CCFA-4AF8-99A1-627F661FD19C}"/>
    <cellStyle name="标题 29 3" xfId="22409" xr:uid="{736BEB80-6F7E-44F3-9617-EBAB293EBA11}"/>
    <cellStyle name="标题 29 4" xfId="22410" xr:uid="{E1A0BDF1-2D84-4431-8CB6-4DD7E6907D4B}"/>
    <cellStyle name="标题 29 5" xfId="22406" xr:uid="{479275E8-C24F-4422-88E6-98529DF0E91F}"/>
    <cellStyle name="标题 3" xfId="27809" builtinId="18" customBuiltin="1"/>
    <cellStyle name="标题 3 10" xfId="6244" xr:uid="{5AB76F95-1E63-4DCF-9768-EF60CED91A9C}"/>
    <cellStyle name="标题 3 10 2" xfId="10705" xr:uid="{D053A64D-FD1A-4194-934B-5DA528C99F94}"/>
    <cellStyle name="标题 3 10 2 2" xfId="22413" xr:uid="{262956D2-7A12-495F-BC1A-EA4D076A8BDB}"/>
    <cellStyle name="标题 3 10 2 3" xfId="22412" xr:uid="{B02A21E6-5B6D-4F3A-BC5E-ACE5A2416868}"/>
    <cellStyle name="标题 3 10 3" xfId="10706" xr:uid="{DD5243BF-2353-416A-BF89-BB9D36FA6332}"/>
    <cellStyle name="标题 3 10 3 2" xfId="22414" xr:uid="{437DE322-17BE-41DA-A8C1-82B25DB86DE8}"/>
    <cellStyle name="标题 3 10 4" xfId="10704" xr:uid="{DEA82614-54A5-41F4-9D36-EB0BDA67245B}"/>
    <cellStyle name="标题 3 10 4 2" xfId="22415" xr:uid="{C857EAC7-6FCA-4F82-8B15-3D0AF6B16EB1}"/>
    <cellStyle name="标题 3 10 5" xfId="22411" xr:uid="{34C8D960-EA26-4731-94B0-DF712522ECD2}"/>
    <cellStyle name="标题 3 11" xfId="6245" xr:uid="{370E368A-EA07-49E6-AD6C-8B890443971F}"/>
    <cellStyle name="标题 3 11 2" xfId="10708" xr:uid="{BC98C6F9-E181-4A85-9F3D-9944C89D30CE}"/>
    <cellStyle name="标题 3 11 2 2" xfId="22418" xr:uid="{B0BF8E07-571C-4614-9D27-B40D36CA11E2}"/>
    <cellStyle name="标题 3 11 2 3" xfId="22417" xr:uid="{1C34079A-9249-444A-B7C8-FD6BBBA5EA8D}"/>
    <cellStyle name="标题 3 11 3" xfId="10709" xr:uid="{2F3EA9B1-B214-4D75-B8E9-87A1B92FE78B}"/>
    <cellStyle name="标题 3 11 3 2" xfId="22419" xr:uid="{288E9797-B34E-485F-BC00-9C9CD446400A}"/>
    <cellStyle name="标题 3 11 4" xfId="10707" xr:uid="{BE0EDFBC-2731-43FD-803C-12686B829B1F}"/>
    <cellStyle name="标题 3 11 4 2" xfId="22420" xr:uid="{21010BF8-10DF-4DEB-9480-360D09480A44}"/>
    <cellStyle name="标题 3 11 5" xfId="22416" xr:uid="{7DE5A1C5-0D71-4ACA-8D6A-49E737B98D6E}"/>
    <cellStyle name="标题 3 12" xfId="6246" xr:uid="{20175263-9179-4E10-BB49-78D1A150CCEB}"/>
    <cellStyle name="标题 3 12 2" xfId="10711" xr:uid="{24D4303A-B445-4215-9102-670FCA263C77}"/>
    <cellStyle name="标题 3 12 2 2" xfId="22423" xr:uid="{D12E1642-C0EE-4600-B17E-518CA643C9B0}"/>
    <cellStyle name="标题 3 12 2 3" xfId="22422" xr:uid="{C4944AF2-80FE-44F5-B766-C7240376448A}"/>
    <cellStyle name="标题 3 12 3" xfId="10712" xr:uid="{A6545E07-BB4F-4280-8298-41A33C59D162}"/>
    <cellStyle name="标题 3 12 3 2" xfId="22424" xr:uid="{A3A43CBE-8B03-4F34-B86B-22111AC405DC}"/>
    <cellStyle name="标题 3 12 4" xfId="10710" xr:uid="{D255A1DA-1C20-472A-A719-4E4AEE83C3B5}"/>
    <cellStyle name="标题 3 12 4 2" xfId="22425" xr:uid="{8762FFCD-AACF-4504-ABAC-8A92E21082AD}"/>
    <cellStyle name="标题 3 12 5" xfId="22421" xr:uid="{A5B1DD3B-5475-4310-9AA9-6A80FF77A78C}"/>
    <cellStyle name="标题 3 13" xfId="6247" xr:uid="{76868777-3BC3-4F0B-8E68-571D75448C12}"/>
    <cellStyle name="标题 3 13 2" xfId="10714" xr:uid="{C9E01A26-367B-4205-BFBC-0BBB68779CCC}"/>
    <cellStyle name="标题 3 13 2 2" xfId="22428" xr:uid="{7C4A4D28-1EAB-475A-8A5F-A09B8D71C0F8}"/>
    <cellStyle name="标题 3 13 2 3" xfId="22427" xr:uid="{43928B26-9580-47B9-A5EA-1E286C44686D}"/>
    <cellStyle name="标题 3 13 3" xfId="10715" xr:uid="{C7831C35-CE57-4A3C-B3FC-4D1A45A5869A}"/>
    <cellStyle name="标题 3 13 3 2" xfId="22429" xr:uid="{D1A92E7F-CEE9-4820-AE49-B50A49B0F66E}"/>
    <cellStyle name="标题 3 13 4" xfId="10713" xr:uid="{F7F8855E-8113-4E4A-A7F2-D60A2E10AA36}"/>
    <cellStyle name="标题 3 13 4 2" xfId="22430" xr:uid="{AA18CE8A-0C41-4182-B766-B6C112EBB53F}"/>
    <cellStyle name="标题 3 13 5" xfId="22426" xr:uid="{8BA055A1-6FBF-440A-81AA-AA9759B76CDC}"/>
    <cellStyle name="标题 3 14" xfId="6248" xr:uid="{7F34177F-A631-47A4-979F-32AC7E12F510}"/>
    <cellStyle name="标题 3 14 2" xfId="10717" xr:uid="{B9866BA1-C959-4400-8D90-9D5FB6149A14}"/>
    <cellStyle name="标题 3 14 2 2" xfId="22433" xr:uid="{DEEA40B3-F357-43CE-AB20-4FCA1C057FBF}"/>
    <cellStyle name="标题 3 14 2 3" xfId="22432" xr:uid="{24260D84-330F-4EF4-B662-681DF72F9D78}"/>
    <cellStyle name="标题 3 14 3" xfId="10718" xr:uid="{D76DFB13-A411-497E-83A3-D1D06A6BB5BF}"/>
    <cellStyle name="标题 3 14 3 2" xfId="22434" xr:uid="{507D2DB9-6CDD-4676-875C-C1B6308C37B6}"/>
    <cellStyle name="标题 3 14 4" xfId="10716" xr:uid="{9D713095-5902-492E-83C4-865E7683B0D9}"/>
    <cellStyle name="标题 3 14 4 2" xfId="22435" xr:uid="{7736C9B4-955A-490A-A858-D1ACB53E08E0}"/>
    <cellStyle name="标题 3 14 5" xfId="22431" xr:uid="{8C08422F-DD24-4232-87DA-FBDC402EF02C}"/>
    <cellStyle name="标题 3 15" xfId="6249" xr:uid="{ABA6776E-DD21-406A-9056-97F0276D1B4D}"/>
    <cellStyle name="标题 3 15 2" xfId="10720" xr:uid="{3AB04FB1-BC6D-45C3-ACDF-C3121DB10C53}"/>
    <cellStyle name="标题 3 15 2 2" xfId="22438" xr:uid="{867003E4-7E00-4BAE-8193-62AB6A4DDBF0}"/>
    <cellStyle name="标题 3 15 2 3" xfId="22437" xr:uid="{C4F5AD1F-70A6-4502-920E-18715C6463E3}"/>
    <cellStyle name="标题 3 15 3" xfId="10721" xr:uid="{E3333326-F440-4DB1-8AD7-01AD647C4C0A}"/>
    <cellStyle name="标题 3 15 3 2" xfId="22439" xr:uid="{98C1BFC2-FED6-45B9-B632-28A6467373F2}"/>
    <cellStyle name="标题 3 15 4" xfId="10719" xr:uid="{A216E695-3FB7-4275-BDB2-8C005683E6AC}"/>
    <cellStyle name="标题 3 15 4 2" xfId="22440" xr:uid="{5243B181-7EDD-4F7E-91E6-99F1C9BE3392}"/>
    <cellStyle name="标题 3 15 5" xfId="22436" xr:uid="{F9C799B2-626B-4310-B0E0-D6D2BDFE18B2}"/>
    <cellStyle name="标题 3 16" xfId="6251" xr:uid="{5AD953F7-7A83-444C-81B9-E0A042258BB1}"/>
    <cellStyle name="标题 3 16 2" xfId="10723" xr:uid="{E85D8E9E-A635-4063-9164-FCC46CB38D3E}"/>
    <cellStyle name="标题 3 16 2 2" xfId="22443" xr:uid="{A5DE2F85-5502-4159-9810-6028DC3F9946}"/>
    <cellStyle name="标题 3 16 2 3" xfId="22442" xr:uid="{7510D67F-0352-4550-854C-50E40FA380C3}"/>
    <cellStyle name="标题 3 16 3" xfId="10724" xr:uid="{EE5153CD-9FB6-46B8-96A4-E4798D39EE6A}"/>
    <cellStyle name="标题 3 16 3 2" xfId="22444" xr:uid="{A1EC3AE8-8EAC-4617-A9D2-443C99BC5FBF}"/>
    <cellStyle name="标题 3 16 4" xfId="10722" xr:uid="{F26A2CEE-0EC8-43D7-BE42-9EA5ED7A24C3}"/>
    <cellStyle name="标题 3 16 4 2" xfId="22445" xr:uid="{C04DFB93-D766-4337-9B79-36B699FE24AA}"/>
    <cellStyle name="标题 3 16 5" xfId="22441" xr:uid="{4F55416F-D976-4BC9-8B70-46584D6588D9}"/>
    <cellStyle name="标题 3 17" xfId="6253" xr:uid="{28A73DE8-515B-4E6D-B522-DD9DDFC07CE5}"/>
    <cellStyle name="标题 3 17 2" xfId="10726" xr:uid="{F06BE93A-5DD3-4D92-A342-47AEBBEA45D2}"/>
    <cellStyle name="标题 3 17 2 2" xfId="22448" xr:uid="{AACA2266-4B8B-4BD1-BF1E-3E1C5368F346}"/>
    <cellStyle name="标题 3 17 2 3" xfId="22447" xr:uid="{27B6B5A2-AF14-41EC-BBA5-3814323BE573}"/>
    <cellStyle name="标题 3 17 3" xfId="10727" xr:uid="{B7BE1E93-7E1C-474D-9C7A-72871679CFFE}"/>
    <cellStyle name="标题 3 17 3 2" xfId="22449" xr:uid="{B7C9DBFA-B5F6-42A5-9539-0F7486AF846D}"/>
    <cellStyle name="标题 3 17 4" xfId="10725" xr:uid="{34D51447-55AB-4A3E-A631-22A941AFBBC2}"/>
    <cellStyle name="标题 3 17 4 2" xfId="22450" xr:uid="{3A8FF763-50C1-49E8-8276-7D5A1AACF78B}"/>
    <cellStyle name="标题 3 17 5" xfId="22446" xr:uid="{81DEEDCA-E12B-4DC3-A04B-FAC545A2267F}"/>
    <cellStyle name="标题 3 18" xfId="6255" xr:uid="{8D478894-4E45-4FF1-B6B2-9390B65662BD}"/>
    <cellStyle name="标题 3 18 2" xfId="10728" xr:uid="{D479249B-652F-47F7-860F-8CD4537EB535}"/>
    <cellStyle name="标题 3 18 2 2" xfId="22453" xr:uid="{A2162CE8-BA8C-4DC7-934A-AE05A85CF884}"/>
    <cellStyle name="标题 3 18 2 3" xfId="22452" xr:uid="{A866185C-0CEA-4CF1-AB7F-F318DB520658}"/>
    <cellStyle name="标题 3 18 3" xfId="22454" xr:uid="{C3BBA10F-2776-44E8-9A27-C0853A9957FA}"/>
    <cellStyle name="标题 3 18 4" xfId="22455" xr:uid="{673C1C52-0F0D-47A3-9D79-FB1F9BB433A6}"/>
    <cellStyle name="标题 3 18 5" xfId="22451" xr:uid="{0C01E862-ECA7-4059-95C0-332DABCA016C}"/>
    <cellStyle name="标题 3 19" xfId="6257" xr:uid="{BE5027BD-59B2-447F-95C2-6EEAC2BCD1E3}"/>
    <cellStyle name="标题 3 19 2" xfId="10729" xr:uid="{0CAF27CD-8E89-4ACF-9E2C-357688AA2DCE}"/>
    <cellStyle name="标题 3 19 2 2" xfId="22458" xr:uid="{99C6A804-CBFA-4F87-8E75-5F54330AA23D}"/>
    <cellStyle name="标题 3 19 2 3" xfId="22457" xr:uid="{F4799D07-9C8D-4252-8C3B-835E853F0EDD}"/>
    <cellStyle name="标题 3 19 3" xfId="22459" xr:uid="{D36DADDB-706A-4820-903A-36BA56ECF097}"/>
    <cellStyle name="标题 3 19 4" xfId="22460" xr:uid="{C8C55936-C7B0-48AC-A051-E11DFAEDED9B}"/>
    <cellStyle name="标题 3 19 5" xfId="22456" xr:uid="{24F29DD8-723A-4514-B021-9E6CD2E65A3B}"/>
    <cellStyle name="标题 3 2" xfId="6259" xr:uid="{3B74DCA0-776A-4A7B-A8C3-127FD7749F6A}"/>
    <cellStyle name="标题 3 2 10" xfId="6260" xr:uid="{F787C1CD-079A-45E6-9F9B-35B302649664}"/>
    <cellStyle name="标题 3 2 11" xfId="6261" xr:uid="{3BCE8665-93D5-4B2F-BE3B-B9D3C670117E}"/>
    <cellStyle name="标题 3 2 12" xfId="6262" xr:uid="{E952F089-A5A7-4374-B462-6511E4309864}"/>
    <cellStyle name="标题 3 2 13" xfId="6263" xr:uid="{5C875FF7-5764-4B0C-8EEB-7CDC90D81B61}"/>
    <cellStyle name="标题 3 2 14" xfId="6264" xr:uid="{82FBB367-3232-4931-BFCA-E7C8747D12ED}"/>
    <cellStyle name="标题 3 2 15" xfId="13447" xr:uid="{731F5171-27B3-427F-8946-3FC1332CFF48}"/>
    <cellStyle name="标题 3 2 2" xfId="6266" xr:uid="{926DF696-1CF4-425E-94D2-25D889B61737}"/>
    <cellStyle name="标题 3 2 2 2" xfId="22462" xr:uid="{5D6B2814-9607-49ED-8596-A2522E581592}"/>
    <cellStyle name="标题 3 2 2 3" xfId="22461" xr:uid="{C46281E6-0010-4B18-94A9-C96BA7558F2B}"/>
    <cellStyle name="标题 3 2 2 4" xfId="27442" xr:uid="{AB2FC982-EE53-4F86-8C15-EA805EA75821}"/>
    <cellStyle name="标题 3 2 3" xfId="6267" xr:uid="{EE8EB6AB-3398-4FC4-AD35-309AC2A006C0}"/>
    <cellStyle name="标题 3 2 3 2" xfId="22464" xr:uid="{3734A416-ED26-40CC-A42B-FE23957CF84E}"/>
    <cellStyle name="标题 3 2 3 3" xfId="22463" xr:uid="{D7DBCC41-22B8-482F-A492-AF70FA798B4C}"/>
    <cellStyle name="标题 3 2 3 4" xfId="27443" xr:uid="{54C3F63A-E2BC-41E6-A65A-7227B9D150F9}"/>
    <cellStyle name="标题 3 2 4" xfId="6268" xr:uid="{445596DF-9E6F-46A0-8E8F-C238FB18C4BD}"/>
    <cellStyle name="标题 3 2 4 2" xfId="22465" xr:uid="{21C3A2A6-1350-488C-9006-CFDA845E6721}"/>
    <cellStyle name="标题 3 2 4 3" xfId="27739" xr:uid="{669DF39A-3D1E-4A24-BE57-46D0A050BE41}"/>
    <cellStyle name="标题 3 2 5" xfId="6269" xr:uid="{D6078D4E-AEF4-48D1-BC4D-074F0B095F6E}"/>
    <cellStyle name="标题 3 2 5 2" xfId="22467" xr:uid="{EE78FE31-77B0-4179-9782-35742C96AABE}"/>
    <cellStyle name="标题 3 2 5 3" xfId="22466" xr:uid="{049F277A-75E5-4097-ABBB-10B691956354}"/>
    <cellStyle name="标题 3 2 6" xfId="6270" xr:uid="{4FE7B8EC-29A1-489D-9A92-573BAFFB4FED}"/>
    <cellStyle name="标题 3 2 6 2" xfId="22468" xr:uid="{3C4DB569-87C5-4D5E-8F28-B6D3327ED231}"/>
    <cellStyle name="标题 3 2 7" xfId="6271" xr:uid="{3451BA28-49F5-465F-995E-66B2CEA4CDC5}"/>
    <cellStyle name="标题 3 2 7 2" xfId="22469" xr:uid="{44045EBD-95F3-4E5A-A0FE-F2F6BC79AB01}"/>
    <cellStyle name="标题 3 2 8" xfId="6272" xr:uid="{363A2073-C7EC-4C85-AB13-5DDA66E72589}"/>
    <cellStyle name="标题 3 2 9" xfId="6273" xr:uid="{05716711-CD98-4F42-9D1A-9FE644949A03}"/>
    <cellStyle name="标题 3 2_动力部" xfId="22470" xr:uid="{8A0718C1-5581-4378-B336-FF8B4E3E0B1E}"/>
    <cellStyle name="标题 3 20" xfId="6250" xr:uid="{20B7A210-EC3A-469B-9363-074F50D3B806}"/>
    <cellStyle name="标题 3 20 2" xfId="10730" xr:uid="{D6B4F50B-F10F-48DF-BB13-13EB8DD0D4FD}"/>
    <cellStyle name="标题 3 20 2 2" xfId="22473" xr:uid="{6B05A9CE-D1BC-443D-B4AF-E3E58F3BE416}"/>
    <cellStyle name="标题 3 20 2 3" xfId="22472" xr:uid="{22CD101D-4D83-4C49-B6C3-F9C981F7BC16}"/>
    <cellStyle name="标题 3 20 3" xfId="22474" xr:uid="{5D5B579D-1622-4836-A327-E6600F05D39B}"/>
    <cellStyle name="标题 3 20 4" xfId="22475" xr:uid="{1050AE69-86A3-45B4-B633-363BF54CB587}"/>
    <cellStyle name="标题 3 20 5" xfId="22471" xr:uid="{CFAC84D6-1FA3-4E90-A0A0-22455EBF4718}"/>
    <cellStyle name="标题 3 21" xfId="6252" xr:uid="{BB2410E5-7FA0-4F4E-9F76-51BC171AF745}"/>
    <cellStyle name="标题 3 21 2" xfId="10731" xr:uid="{BBE1E062-A1D7-4409-B77C-9F4081A0CB05}"/>
    <cellStyle name="标题 3 21 2 2" xfId="22478" xr:uid="{F59F1252-F4F3-45FE-B674-1765CBC8A7A9}"/>
    <cellStyle name="标题 3 21 2 3" xfId="22477" xr:uid="{5A4ED9BF-D786-44E5-BA53-D3E0D90624F3}"/>
    <cellStyle name="标题 3 21 3" xfId="22479" xr:uid="{50405225-246B-41E3-A202-54AF88914A7C}"/>
    <cellStyle name="标题 3 21 4" xfId="22480" xr:uid="{8AEAD3A4-1851-4C14-B77C-26319E7BDED5}"/>
    <cellStyle name="标题 3 21 5" xfId="22476" xr:uid="{05AFE543-2492-40AD-8DE0-8AE5AD3B7EF6}"/>
    <cellStyle name="标题 3 22" xfId="6254" xr:uid="{BB9E7F26-7724-4A72-AAB1-608F15E02917}"/>
    <cellStyle name="标题 3 22 2" xfId="10732" xr:uid="{5680D170-4208-4434-9044-B5DA999EE487}"/>
    <cellStyle name="标题 3 22 2 2" xfId="22483" xr:uid="{116FB6AE-C417-4E25-871B-160DCC174141}"/>
    <cellStyle name="标题 3 22 2 3" xfId="22482" xr:uid="{6B5BEA12-AC09-463F-AFFE-7767C5A109A6}"/>
    <cellStyle name="标题 3 22 3" xfId="22484" xr:uid="{3D1AF465-49CA-4990-82BA-ED7D92F4D041}"/>
    <cellStyle name="标题 3 22 4" xfId="22485" xr:uid="{5F8548E9-922E-4BD4-9E26-4717CD7A4164}"/>
    <cellStyle name="标题 3 22 5" xfId="22481" xr:uid="{A2A503B7-F4EA-480C-A7AA-C6F9096BC5A7}"/>
    <cellStyle name="标题 3 23" xfId="6256" xr:uid="{04C81B59-BB2B-4B5E-8CE0-4A553BBFCA6A}"/>
    <cellStyle name="标题 3 23 2" xfId="22487" xr:uid="{952C3FDF-4F5A-481B-8BFC-629EC3932F7C}"/>
    <cellStyle name="标题 3 23 2 2" xfId="22488" xr:uid="{7E959DDB-6CC6-4B77-9723-DE6C6F85A454}"/>
    <cellStyle name="标题 3 23 3" xfId="22489" xr:uid="{B85F7A24-AD80-4D02-96B0-22FA78444CD8}"/>
    <cellStyle name="标题 3 23 4" xfId="22490" xr:uid="{D4B28BAA-3F4E-4DB9-9C96-3BDA77EC2784}"/>
    <cellStyle name="标题 3 23 5" xfId="22486" xr:uid="{FA0F3240-641D-4D16-AD52-3330BD3DC0AD}"/>
    <cellStyle name="标题 3 24" xfId="6258" xr:uid="{58E18739-4E03-4133-A94A-A8617CA52DA7}"/>
    <cellStyle name="标题 3 24 2" xfId="22492" xr:uid="{DCD6B2A5-216C-49C8-90C8-F7974B53DA24}"/>
    <cellStyle name="标题 3 24 2 2" xfId="22493" xr:uid="{32B6E7AB-30FE-4B6E-8147-259F68D40614}"/>
    <cellStyle name="标题 3 24 3" xfId="22494" xr:uid="{F318F7A1-0636-4AAD-8A8B-A84C60BCBE59}"/>
    <cellStyle name="标题 3 24 4" xfId="22495" xr:uid="{D5BBE715-D80B-4505-AA3D-DDDB7A6BCC78}"/>
    <cellStyle name="标题 3 24 5" xfId="22491" xr:uid="{6BD8E593-2A75-4EB4-AEA7-38BD5908F9F5}"/>
    <cellStyle name="标题 3 25" xfId="6274" xr:uid="{021FE10F-5BB0-4D42-A4F4-4BF5254D4725}"/>
    <cellStyle name="标题 3 25 2" xfId="22497" xr:uid="{BBEFFF33-C7D0-45B9-A907-96CCF9C58CDD}"/>
    <cellStyle name="标题 3 25 2 2" xfId="22498" xr:uid="{ECAF2D21-3516-4628-ADEE-9389A5B3D1D3}"/>
    <cellStyle name="标题 3 25 3" xfId="22499" xr:uid="{064869D5-6057-4CA4-BAEA-637144E8CD7E}"/>
    <cellStyle name="标题 3 25 4" xfId="22500" xr:uid="{4FD78111-8990-442F-A25B-A79931D2F425}"/>
    <cellStyle name="标题 3 25 5" xfId="22496" xr:uid="{43983B36-16EB-46B2-AE89-D177A8460FDA}"/>
    <cellStyle name="标题 3 26" xfId="6276" xr:uid="{8E683905-D9AE-4D9D-A407-4EF86B926539}"/>
    <cellStyle name="标题 3 26 2" xfId="22502" xr:uid="{2592D068-D64C-483F-ADCC-53CA199DE4C1}"/>
    <cellStyle name="标题 3 26 2 2" xfId="22503" xr:uid="{D1D1C947-2704-45EC-9F72-B70F0D14031D}"/>
    <cellStyle name="标题 3 26 3" xfId="22504" xr:uid="{E14AA8F5-23FF-4BCC-A0A6-B30A97A3CF30}"/>
    <cellStyle name="标题 3 26 4" xfId="22505" xr:uid="{6EF6C899-B793-4893-B797-C79FF3D1DC1B}"/>
    <cellStyle name="标题 3 26 5" xfId="22501" xr:uid="{4C292171-AC96-494C-946C-D7F2DF6C7B9E}"/>
    <cellStyle name="标题 3 27" xfId="6278" xr:uid="{7E4D992A-2C49-4DA4-803E-5893D8708DC0}"/>
    <cellStyle name="标题 3 27 2" xfId="22507" xr:uid="{69266DA1-A47E-4065-91C0-D51D81761F46}"/>
    <cellStyle name="标题 3 27 2 2" xfId="22508" xr:uid="{3D61A396-E21A-4705-BC51-2AE89A1107FB}"/>
    <cellStyle name="标题 3 27 3" xfId="22509" xr:uid="{CFC5AF9C-AE61-4265-9A85-E207F4732EC8}"/>
    <cellStyle name="标题 3 27 4" xfId="22510" xr:uid="{43794714-6764-4DAC-BA61-66E7A7D324B0}"/>
    <cellStyle name="标题 3 27 5" xfId="22506" xr:uid="{C2427914-338C-4FB3-93B8-08ACDB76B869}"/>
    <cellStyle name="标题 3 28" xfId="6280" xr:uid="{FB1D1905-1DA1-4013-A1D7-B4EE27BEA03F}"/>
    <cellStyle name="标题 3 28 2" xfId="22512" xr:uid="{9F3CE123-A131-4DB8-B718-9E9702C6F9B5}"/>
    <cellStyle name="标题 3 28 3" xfId="22513" xr:uid="{10A14837-240F-4BAA-AEF4-27C7B19D7B56}"/>
    <cellStyle name="标题 3 28 4" xfId="22514" xr:uid="{87F5CF16-72DC-43AD-952D-49F3D7EDC1EC}"/>
    <cellStyle name="标题 3 28 5" xfId="22511" xr:uid="{FD65AE09-201C-4475-9261-4F2D2B98DF30}"/>
    <cellStyle name="标题 3 29" xfId="6282" xr:uid="{70E44B25-3C6E-4C3D-855D-6ACC7A081623}"/>
    <cellStyle name="标题 3 29 2" xfId="22516" xr:uid="{E21205BE-201E-4472-9E1F-79F19624F97F}"/>
    <cellStyle name="标题 3 29 3" xfId="22517" xr:uid="{7E9C1E05-C006-4D41-99B7-5A721F57EB89}"/>
    <cellStyle name="标题 3 29 4" xfId="22518" xr:uid="{83A15EE8-C070-463F-BC22-C48E77C2492C}"/>
    <cellStyle name="标题 3 29 5" xfId="22515" xr:uid="{6BC0DAF3-732E-47F7-BD38-B9F0CE4256F3}"/>
    <cellStyle name="标题 3 3" xfId="3174" xr:uid="{082CA769-680A-44EB-BAA4-4670B43705AF}"/>
    <cellStyle name="标题 3 3 2" xfId="6284" xr:uid="{40E2AF0F-F6AE-4EEA-80D3-8E6B32139E90}"/>
    <cellStyle name="标题 3 3 2 2" xfId="10733" xr:uid="{2D191801-E53C-4769-9B70-07628822278D}"/>
    <cellStyle name="标题 3 3 2 3" xfId="22520" xr:uid="{212F6A97-5F8D-4111-8A43-EDCF5E6D0DF4}"/>
    <cellStyle name="标题 3 3 2 4" xfId="27444" xr:uid="{7EE38EC6-4849-4EDC-A943-8E6C46E7D350}"/>
    <cellStyle name="标题 3 3 3" xfId="10734" xr:uid="{1CD84221-10AB-4329-95C0-FE619B8C4033}"/>
    <cellStyle name="标题 3 3 3 2" xfId="22522" xr:uid="{EF3B7AD0-EB8C-4284-BE25-7F8C4AC5F532}"/>
    <cellStyle name="标题 3 3 3 3" xfId="22521" xr:uid="{D8AF7136-F20D-4BAC-8F88-7BD867B3D8E4}"/>
    <cellStyle name="标题 3 3 3 4" xfId="27445" xr:uid="{1F1F5A88-1AEA-4E77-A17D-11A8B78C7B2A}"/>
    <cellStyle name="标题 3 3 4" xfId="22523" xr:uid="{9ADE8793-373B-40A7-8CFC-8D7DDEC2E2CC}"/>
    <cellStyle name="标题 3 3 4 2" xfId="27740" xr:uid="{2EC00EE7-C181-429A-8877-68FD04D6AB82}"/>
    <cellStyle name="标题 3 3 5" xfId="22524" xr:uid="{C54AC971-D4C8-447E-9284-F02C19FF6F58}"/>
    <cellStyle name="标题 3 3 5 2" xfId="22525" xr:uid="{ACC4A592-041F-452D-A913-8D4730840B0F}"/>
    <cellStyle name="标题 3 3 6" xfId="22519" xr:uid="{9D4011D3-806B-4C51-AFC8-AA57080E96BF}"/>
    <cellStyle name="标题 3 30" xfId="6275" xr:uid="{6975EF84-6311-4AB4-9A79-4663BCA4DE6A}"/>
    <cellStyle name="标题 3 30 2" xfId="22527" xr:uid="{8D1A0CF7-8473-4DED-810C-2F8043002510}"/>
    <cellStyle name="标题 3 30 3" xfId="22528" xr:uid="{9C846547-C3A6-457B-ABF5-04046B17E92D}"/>
    <cellStyle name="标题 3 30 4" xfId="22529" xr:uid="{FB2CE492-3352-486C-A342-B49FBB26CA12}"/>
    <cellStyle name="标题 3 30 5" xfId="22526" xr:uid="{A6D34EE9-E69A-4CA1-8537-91F9EAD9E4EF}"/>
    <cellStyle name="标题 3 31" xfId="6277" xr:uid="{CD0DA7A7-AF29-4AC4-A1EC-7FF89E6F9370}"/>
    <cellStyle name="标题 3 31 2" xfId="22531" xr:uid="{3498719B-501D-4DDB-AEC8-1A9993D40265}"/>
    <cellStyle name="标题 3 31 3" xfId="22532" xr:uid="{9085FF3D-6692-436E-9524-34D73549A745}"/>
    <cellStyle name="标题 3 31 4" xfId="22533" xr:uid="{885A55B7-DAD6-4967-B389-A34BE110F8CD}"/>
    <cellStyle name="标题 3 31 5" xfId="22530" xr:uid="{F89948F0-E5F6-41ED-AB6E-5E68D62CF9EF}"/>
    <cellStyle name="标题 3 32" xfId="6279" xr:uid="{9A57EF5C-5696-449A-BEDF-8E0AE2D2614A}"/>
    <cellStyle name="标题 3 32 2" xfId="22535" xr:uid="{CAD5A6E0-C4F0-47A9-A8A5-2070C2C75FB3}"/>
    <cellStyle name="标题 3 32 3" xfId="22536" xr:uid="{2C5F8C86-CB7A-4DE8-86A5-ABC10ACF52E5}"/>
    <cellStyle name="标题 3 32 4" xfId="22537" xr:uid="{740B21BE-80C2-48CC-8735-A83D9DFE97E5}"/>
    <cellStyle name="标题 3 32 5" xfId="22534" xr:uid="{5ABAE1E1-912C-40E2-8E6D-DCB7BFEF468C}"/>
    <cellStyle name="标题 3 33" xfId="6281" xr:uid="{8F5C3769-A2FA-4418-94D1-E920DD52E5D6}"/>
    <cellStyle name="标题 3 33 2" xfId="22539" xr:uid="{0B724333-527B-419E-9648-00A61DA982BE}"/>
    <cellStyle name="标题 3 33 3" xfId="22540" xr:uid="{846E868A-44CB-4337-938E-5EC43704B8C6}"/>
    <cellStyle name="标题 3 33 4" xfId="22541" xr:uid="{B3ABDB1E-B16C-42FC-A9DA-A3C23DB3A72B}"/>
    <cellStyle name="标题 3 33 5" xfId="22538" xr:uid="{F3FCDADF-68FC-4958-81E0-77B85EE54107}"/>
    <cellStyle name="标题 3 34" xfId="6283" xr:uid="{186ACAB6-1727-4CFF-91BF-FD4021870205}"/>
    <cellStyle name="标题 3 34 2" xfId="22543" xr:uid="{AC32B132-F10D-4DBA-B2AA-E258832551B5}"/>
    <cellStyle name="标题 3 34 3" xfId="22544" xr:uid="{E18658AC-CF1C-4DA4-9D21-854BCAE55706}"/>
    <cellStyle name="标题 3 34 4" xfId="22545" xr:uid="{B26E2196-FF28-4A6C-9E70-E7BF227C15D5}"/>
    <cellStyle name="标题 3 34 5" xfId="22542" xr:uid="{863E555E-4F43-464E-BEF3-CAC7721C7DD6}"/>
    <cellStyle name="标题 3 35" xfId="4730" xr:uid="{81161C61-018A-4656-8E91-7C34A8F8D554}"/>
    <cellStyle name="标题 3 35 2" xfId="22547" xr:uid="{5F713725-2909-46EE-9D8E-56AB610E0ADB}"/>
    <cellStyle name="标题 3 35 3" xfId="22546" xr:uid="{29065504-3609-4200-AFDF-92F20F11269A}"/>
    <cellStyle name="标题 3 36" xfId="6285" xr:uid="{42ACE828-1B27-4DBB-AB07-69C23999F558}"/>
    <cellStyle name="标题 3 36 2" xfId="22549" xr:uid="{FB63FF78-C520-4127-8A3D-05642E3A0A3D}"/>
    <cellStyle name="标题 3 36 3" xfId="22548" xr:uid="{F11361E6-C8D5-4D0E-B5F6-7B38C8BEDCC8}"/>
    <cellStyle name="标题 3 37" xfId="6287" xr:uid="{91DF6211-E830-4C1C-8954-7B0ED5976874}"/>
    <cellStyle name="标题 3 37 2" xfId="22551" xr:uid="{8CAA98D9-BD03-45E5-91D2-81C48A013FDD}"/>
    <cellStyle name="标题 3 37 3" xfId="22550" xr:uid="{DE40BFFB-7241-446E-A3E7-3943F93EB3C1}"/>
    <cellStyle name="标题 3 38" xfId="6289" xr:uid="{CAB4C441-BA2D-4CFF-ACFF-40CCAA3404BC}"/>
    <cellStyle name="标题 3 38 2" xfId="22553" xr:uid="{5676FA18-BA23-48EF-928A-A3E81352EE8D}"/>
    <cellStyle name="标题 3 38 3" xfId="22552" xr:uid="{F23B2D07-F778-44FC-A966-D591B9FCFD4E}"/>
    <cellStyle name="标题 3 39" xfId="6291" xr:uid="{D06FC188-F471-453B-96A1-94B3258BEDEE}"/>
    <cellStyle name="标题 3 39 2" xfId="22555" xr:uid="{B7E3ED7F-BA22-4A53-92C9-20E7450CFBCE}"/>
    <cellStyle name="标题 3 39 3" xfId="22554" xr:uid="{990444C2-38C9-4FC0-9F1F-80DC9CAB65AB}"/>
    <cellStyle name="标题 3 4" xfId="6293" xr:uid="{851A3BDB-AD2F-422A-96B3-CFCA5D10636E}"/>
    <cellStyle name="标题 3 4 2" xfId="6294" xr:uid="{1C73BE7D-D0E7-4E0A-B80D-CBD107E0CD44}"/>
    <cellStyle name="标题 3 4 2 2" xfId="10735" xr:uid="{CAFEB664-9630-4F67-AD0A-8A3DF56215E1}"/>
    <cellStyle name="标题 3 4 2 2 2" xfId="22558" xr:uid="{2BE7FF0E-2C88-414B-B5ED-3F05C2CF2ED6}"/>
    <cellStyle name="标题 3 4 2 3" xfId="22557" xr:uid="{457448B0-D054-4EBF-8380-5DDCB2D09DCF}"/>
    <cellStyle name="标题 3 4 3" xfId="10736" xr:uid="{861DD5FA-AC20-4F8C-A2FF-3A417B36D35F}"/>
    <cellStyle name="标题 3 4 3 2" xfId="22559" xr:uid="{75988857-DD63-4A7E-8F9B-C1A85F701A7D}"/>
    <cellStyle name="标题 3 4 4" xfId="22560" xr:uid="{ED99C38A-D40E-4D60-AA3F-6D19CEB270A0}"/>
    <cellStyle name="标题 3 4 4 2" xfId="22561" xr:uid="{52C49550-5933-45A1-B7FC-993955B432F3}"/>
    <cellStyle name="标题 3 4 5" xfId="22556" xr:uid="{BB1C1C62-6442-4731-8057-992F1E27C358}"/>
    <cellStyle name="标题 3 40" xfId="4731" xr:uid="{C581F5A6-225C-448D-A81C-BFEE225E1B54}"/>
    <cellStyle name="标题 3 40 2" xfId="22563" xr:uid="{594390D8-BADF-4BE3-BB29-E8481BD87CCC}"/>
    <cellStyle name="标题 3 40 3" xfId="22562" xr:uid="{250F639F-AD1D-4DD0-A437-18311BD29826}"/>
    <cellStyle name="标题 3 41" xfId="6286" xr:uid="{E1C93659-1919-4A84-A1A8-516BA3003D20}"/>
    <cellStyle name="标题 3 41 2" xfId="22565" xr:uid="{E14654E0-130F-4B6E-8143-0C1A49FF8B71}"/>
    <cellStyle name="标题 3 41 3" xfId="22564" xr:uid="{7705121F-AA1A-4ECF-8BAA-6605CEBAE675}"/>
    <cellStyle name="标题 3 42" xfId="6288" xr:uid="{1BC96B69-99AB-4AA1-B987-E8CFC4DB4AEA}"/>
    <cellStyle name="标题 3 42 2" xfId="22567" xr:uid="{116C7BC9-685A-47AF-A74D-6AC5DDBB3E57}"/>
    <cellStyle name="标题 3 42 3" xfId="22566" xr:uid="{5E11FA80-0F63-4114-BB22-BBB47DE11607}"/>
    <cellStyle name="标题 3 43" xfId="6290" xr:uid="{77096FC9-8D14-4DFF-9C40-5D2AEA1E7785}"/>
    <cellStyle name="标题 3 43 2" xfId="22569" xr:uid="{10B92F83-F746-4910-A6C8-4E5B1EA75F08}"/>
    <cellStyle name="标题 3 43 3" xfId="22568" xr:uid="{FCED849F-5B09-4CCF-9742-36A829D0A48D}"/>
    <cellStyle name="标题 3 44" xfId="6292" xr:uid="{209E9995-BA17-4665-85B0-1B87EA56A9D6}"/>
    <cellStyle name="标题 3 44 2" xfId="22571" xr:uid="{8503FBB9-A780-4C1E-915A-023D1A1B6768}"/>
    <cellStyle name="标题 3 44 3" xfId="22570" xr:uid="{E1B63735-4D61-4C82-B3CC-17AF4D751358}"/>
    <cellStyle name="标题 3 45" xfId="6295" xr:uid="{7D2B0742-C61F-4EB4-8541-6F8E57A27774}"/>
    <cellStyle name="标题 3 45 2" xfId="22573" xr:uid="{CE1DA88F-67D5-4F46-8D38-D2FB41660A24}"/>
    <cellStyle name="标题 3 45 3" xfId="22572" xr:uid="{233B37D6-6327-4016-98C6-49B2EC2A1C82}"/>
    <cellStyle name="标题 3 46" xfId="6297" xr:uid="{1D5EB9AA-069F-428F-80E8-AB81F9DE9464}"/>
    <cellStyle name="标题 3 46 2" xfId="22575" xr:uid="{21B3B1DF-5393-4EC7-8505-94FA50EAD74A}"/>
    <cellStyle name="标题 3 46 3" xfId="22574" xr:uid="{D70483E1-222E-463F-B276-1C4C978A0388}"/>
    <cellStyle name="标题 3 47" xfId="6299" xr:uid="{1017B463-30C6-41D9-BCFF-79B61E1773B5}"/>
    <cellStyle name="标题 3 47 2" xfId="22576" xr:uid="{1CC7EEA3-F4F0-4F25-9A68-47510FAA7013}"/>
    <cellStyle name="标题 3 48" xfId="6301" xr:uid="{AAF67BE0-01C6-4E5B-AA4E-6E068182B44A}"/>
    <cellStyle name="标题 3 48 2" xfId="22577" xr:uid="{8A0F5EE0-32C6-43D8-9DCB-E7BD432C3B48}"/>
    <cellStyle name="标题 3 49" xfId="6303" xr:uid="{412F80E5-12F4-47DA-A069-E50DBF78D450}"/>
    <cellStyle name="标题 3 49 2" xfId="22578" xr:uid="{F69B10AD-AF31-4A2B-A569-108262F7F446}"/>
    <cellStyle name="标题 3 5" xfId="4326" xr:uid="{D3CA341E-7AFE-42E5-9C58-36950BF52606}"/>
    <cellStyle name="标题 3 5 2" xfId="5850" xr:uid="{5B08403D-8DD1-403B-9182-7F56A01A1318}"/>
    <cellStyle name="标题 3 5 2 2" xfId="10737" xr:uid="{40D6AB16-DC3D-4BD1-87F8-8903F0659C93}"/>
    <cellStyle name="标题 3 5 2 2 2" xfId="22581" xr:uid="{19D6FC80-6314-456E-8D58-91E000B8454C}"/>
    <cellStyle name="标题 3 5 2 3" xfId="22580" xr:uid="{90EDD7DE-A6C7-4D71-AC88-233B1ED40C13}"/>
    <cellStyle name="标题 3 5 3" xfId="10738" xr:uid="{C20AA7D7-0F4B-40F1-B59C-4ADA133338AE}"/>
    <cellStyle name="标题 3 5 3 2" xfId="22582" xr:uid="{B6154DE6-2561-41B8-9BCC-4967F36B3305}"/>
    <cellStyle name="标题 3 5 4" xfId="22583" xr:uid="{A3733A7A-8FF7-44FE-A439-35CC85BCC1C1}"/>
    <cellStyle name="标题 3 5 5" xfId="22579" xr:uid="{22561614-9E04-44A6-88C6-D6B24137D838}"/>
    <cellStyle name="标题 3 50" xfId="6296" xr:uid="{0251AFBD-D107-4EF5-9638-1BA66A628926}"/>
    <cellStyle name="标题 3 50 2" xfId="22584" xr:uid="{84AFD160-7C04-41C6-8E66-EC7A906D33FA}"/>
    <cellStyle name="标题 3 51" xfId="6298" xr:uid="{DFEC9814-1044-4CC7-AFCC-B6FFB5B5AB30}"/>
    <cellStyle name="标题 3 51 2" xfId="22585" xr:uid="{350DFDC0-6C04-44E1-BB92-5DF5B887BD94}"/>
    <cellStyle name="标题 3 52" xfId="6300" xr:uid="{F7224D93-0966-4907-AB37-AD8B9217F241}"/>
    <cellStyle name="标题 3 52 2" xfId="22586" xr:uid="{D9B2A639-8739-491B-A3C9-0DC205D99B3D}"/>
    <cellStyle name="标题 3 53" xfId="6302" xr:uid="{B1838C01-2BC3-4E36-AC9F-0BC041008FDF}"/>
    <cellStyle name="标题 3 53 2" xfId="22587" xr:uid="{6F391D55-620D-4694-88B0-5305EC56807F}"/>
    <cellStyle name="标题 3 54" xfId="6304" xr:uid="{4D8E24D8-F765-4D8A-A93C-453E2ADA4A46}"/>
    <cellStyle name="标题 3 54 2" xfId="22588" xr:uid="{DEAF2FB5-EF6A-4450-AAD3-65CA01F2072B}"/>
    <cellStyle name="标题 3 55" xfId="6305" xr:uid="{D4AD253F-AA88-4C40-BBEA-0FD9CEDDBBB5}"/>
    <cellStyle name="标题 3 55 2" xfId="22589" xr:uid="{545EF0E6-4B3C-4D67-9409-5A4E8CCACE46}"/>
    <cellStyle name="标题 3 56" xfId="6307" xr:uid="{40D0F37B-9758-49E4-9020-7A017DF72104}"/>
    <cellStyle name="标题 3 56 2" xfId="22590" xr:uid="{64626086-1115-41E3-B9F2-991D92A05BFB}"/>
    <cellStyle name="标题 3 57" xfId="6309" xr:uid="{534D4A35-3A8A-4B91-8C30-EF15356FDD91}"/>
    <cellStyle name="标题 3 58" xfId="6311" xr:uid="{4E77403B-CDC5-4CB9-8E75-6A2D6E311CAE}"/>
    <cellStyle name="标题 3 59" xfId="6313" xr:uid="{CE6DA1F0-A1F9-48DB-9ED9-CAC0FBFE5F91}"/>
    <cellStyle name="标题 3 6" xfId="6315" xr:uid="{DB145FDA-7434-4946-9AAC-7B62E32E2920}"/>
    <cellStyle name="标题 3 6 2" xfId="6316" xr:uid="{D4EA839E-2E28-47D6-8513-E35248581AD7}"/>
    <cellStyle name="标题 3 6 2 2" xfId="10740" xr:uid="{D3F61201-E5D8-43C0-9AE5-029995923221}"/>
    <cellStyle name="标题 3 6 2 2 2" xfId="22593" xr:uid="{D87164BC-8CDD-4891-B818-61EB232E5D87}"/>
    <cellStyle name="标题 3 6 2 3" xfId="22592" xr:uid="{EEC00D37-B685-4A2A-A579-B842A3056952}"/>
    <cellStyle name="标题 3 6 3" xfId="10741" xr:uid="{C4085506-6F45-405E-A6CE-1C8C7B17CB01}"/>
    <cellStyle name="标题 3 6 3 2" xfId="22594" xr:uid="{24E258AB-E5EE-44E4-9AA5-F7EAFDB39BE0}"/>
    <cellStyle name="标题 3 6 4" xfId="10739" xr:uid="{FD8406F9-DF58-4A5E-9423-60E89DECC049}"/>
    <cellStyle name="标题 3 6 4 2" xfId="22595" xr:uid="{195EDAA3-49B0-49FF-B831-B93D3F19DCEB}"/>
    <cellStyle name="标题 3 6 5" xfId="22591" xr:uid="{A16A27A2-38E5-422D-9F46-05D28A82C8E8}"/>
    <cellStyle name="标题 3 60" xfId="6306" xr:uid="{B8EAAABD-43F1-488A-A74F-DCBEFB03CD77}"/>
    <cellStyle name="标题 3 61" xfId="6308" xr:uid="{8427C9FB-9737-4AA3-A247-F5BB85215DB7}"/>
    <cellStyle name="标题 3 62" xfId="6310" xr:uid="{7A984E49-29AC-4B37-8024-89B1F25C5B15}"/>
    <cellStyle name="标题 3 63" xfId="6312" xr:uid="{D9EF3F59-CC21-42B9-8E18-7C0263E81B25}"/>
    <cellStyle name="标题 3 64" xfId="6314" xr:uid="{AB708F5F-B923-4165-B502-20221E8B19B5}"/>
    <cellStyle name="标题 3 65" xfId="6317" xr:uid="{3ED9FD03-22CA-49A9-ACD4-735A3D4A18C1}"/>
    <cellStyle name="标题 3 66" xfId="6319" xr:uid="{AF038C93-B810-4C46-9B1C-C7844F1A55A1}"/>
    <cellStyle name="标题 3 67" xfId="6321" xr:uid="{C588CBEE-FF6E-4406-8994-31267C8B9468}"/>
    <cellStyle name="标题 3 68" xfId="6323" xr:uid="{17559591-0B9F-4ED0-9571-126565DE9785}"/>
    <cellStyle name="标题 3 69" xfId="6325" xr:uid="{E7610BF7-A563-4952-BE51-67F480300627}"/>
    <cellStyle name="标题 3 7" xfId="6327" xr:uid="{701C640E-C9BA-43F4-8B91-487D44FBDC5A}"/>
    <cellStyle name="标题 3 7 2" xfId="6328" xr:uid="{C1F81C3D-1A4C-4283-BE7E-A8A807F3150F}"/>
    <cellStyle name="标题 3 7 2 2" xfId="10743" xr:uid="{3FB5ABDB-23AB-468A-AC0D-4CC3C61269D0}"/>
    <cellStyle name="标题 3 7 2 2 2" xfId="22598" xr:uid="{6C2141D8-80AE-4B03-A896-EF74F2498AAD}"/>
    <cellStyle name="标题 3 7 2 3" xfId="22597" xr:uid="{4EF0DCFF-CE0A-4131-8CAD-FFC611450DE9}"/>
    <cellStyle name="标题 3 7 3" xfId="10744" xr:uid="{4AE8F9A2-A576-4563-ADCC-415761BC596E}"/>
    <cellStyle name="标题 3 7 3 2" xfId="22599" xr:uid="{7FA40A8C-A362-43CE-A202-1F9ABBEA4378}"/>
    <cellStyle name="标题 3 7 4" xfId="10742" xr:uid="{04581B20-42F1-4F53-B2BF-061626E86D93}"/>
    <cellStyle name="标题 3 7 4 2" xfId="22600" xr:uid="{65AFA5AB-A27D-42D4-8288-61CE55B419E8}"/>
    <cellStyle name="标题 3 7 5" xfId="22596" xr:uid="{B9C7F3A1-CCA5-4750-8A0C-B2D0EB837516}"/>
    <cellStyle name="标题 3 70" xfId="6318" xr:uid="{A0EE5F56-2968-4E88-AD91-2C626681D612}"/>
    <cellStyle name="标题 3 71" xfId="6320" xr:uid="{AE4DE4B6-C160-46E8-9BEE-078A73250315}"/>
    <cellStyle name="标题 3 72" xfId="6322" xr:uid="{5E60B45C-7EDD-4DAC-A64A-8C42AE6A391C}"/>
    <cellStyle name="标题 3 73" xfId="6324" xr:uid="{DF78EFEA-768D-403F-964D-9DACB944BB95}"/>
    <cellStyle name="标题 3 74" xfId="6326" xr:uid="{05F167D1-E34B-4996-9FC6-DB1CC0722731}"/>
    <cellStyle name="标题 3 75" xfId="6329" xr:uid="{F51BACCF-94CB-4487-8597-F130F11F2B04}"/>
    <cellStyle name="标题 3 76" xfId="6331" xr:uid="{BA428971-9B17-4B7E-AD23-D2DE0097F18E}"/>
    <cellStyle name="标题 3 77" xfId="6333" xr:uid="{D7DB22D1-7E16-4431-A570-28D12FE5DCB4}"/>
    <cellStyle name="标题 3 78" xfId="6335" xr:uid="{C849D971-7C50-4674-93DE-64A5C59AA992}"/>
    <cellStyle name="标题 3 79" xfId="6337" xr:uid="{E009CC2C-C3D6-4E57-83EB-4163FED78B5B}"/>
    <cellStyle name="标题 3 8" xfId="6339" xr:uid="{3AA155F9-E986-455F-AD5E-D071DD1FC03E}"/>
    <cellStyle name="标题 3 8 2" xfId="6340" xr:uid="{9601EEDB-3BDE-4DCE-8809-46BF9EBF98FF}"/>
    <cellStyle name="标题 3 8 2 2" xfId="10746" xr:uid="{747CB452-8074-4051-ADEC-0AF24619D8B6}"/>
    <cellStyle name="标题 3 8 2 2 2" xfId="22603" xr:uid="{2E92A5C7-060E-41BD-9CD7-04F9AD966375}"/>
    <cellStyle name="标题 3 8 2 3" xfId="22602" xr:uid="{18C9D459-E110-4E1A-A1AB-1D708767DA6F}"/>
    <cellStyle name="标题 3 8 3" xfId="10747" xr:uid="{1FE3A844-BACE-4FCE-8BBE-33185AA78418}"/>
    <cellStyle name="标题 3 8 3 2" xfId="22604" xr:uid="{0C71C09D-CD86-4944-9F5C-1E65671CB17B}"/>
    <cellStyle name="标题 3 8 4" xfId="10745" xr:uid="{CC08FC9A-FFF9-471E-897E-AABC607913AC}"/>
    <cellStyle name="标题 3 8 4 2" xfId="22605" xr:uid="{E22EDE58-992E-4F93-B3C2-8E073C03CC3C}"/>
    <cellStyle name="标题 3 8 5" xfId="22601" xr:uid="{7CB2C2AA-AD46-4EB3-9F57-E20620DB92DE}"/>
    <cellStyle name="标题 3 80" xfId="6330" xr:uid="{EF5E60AE-5DFB-46FD-BF51-667D34A4A7DB}"/>
    <cellStyle name="标题 3 81" xfId="6332" xr:uid="{8AAB11DA-9573-4B91-8206-978E7CF33FD6}"/>
    <cellStyle name="标题 3 82" xfId="6334" xr:uid="{C105B722-E505-4172-998C-F007CBF6A2F9}"/>
    <cellStyle name="标题 3 83" xfId="6336" xr:uid="{7E1D616B-0FE2-4868-93CD-D9A80ADBD544}"/>
    <cellStyle name="标题 3 84" xfId="6338" xr:uid="{BB40F4AC-A74E-4061-A9DB-2EDC3D4A105F}"/>
    <cellStyle name="标题 3 85" xfId="9322" xr:uid="{CFF4A9F3-A50E-4866-9E19-C61FD2B5726E}"/>
    <cellStyle name="标题 3 86" xfId="13596" xr:uid="{384C431C-7A65-4549-8996-EEDA861C36A6}"/>
    <cellStyle name="标题 3 87" xfId="27144" xr:uid="{729CAE9D-A1E8-43B1-A236-4DE5A03169AB}"/>
    <cellStyle name="标题 3 88" xfId="27182" xr:uid="{AD5C8E87-EE9C-4A08-A9C4-C366F17DB703}"/>
    <cellStyle name="标题 3 89" xfId="27213" xr:uid="{4E6A6944-236F-4844-A4BE-AF001F1ADBD3}"/>
    <cellStyle name="标题 3 9" xfId="6341" xr:uid="{BE75751C-BA76-4993-A9CE-4C958089D788}"/>
    <cellStyle name="标题 3 9 2" xfId="10749" xr:uid="{FD8F420E-AEB1-46DB-BE17-B64446FA014B}"/>
    <cellStyle name="标题 3 9 2 2" xfId="22608" xr:uid="{5C00E87F-16CB-4587-8C35-908F9EF32123}"/>
    <cellStyle name="标题 3 9 2 3" xfId="22607" xr:uid="{F3A6EBB4-01A4-4E62-AE41-CE127ACCE651}"/>
    <cellStyle name="标题 3 9 3" xfId="10750" xr:uid="{92C295B4-3033-4654-8374-28417FA8150C}"/>
    <cellStyle name="标题 3 9 3 2" xfId="22609" xr:uid="{21ED067D-3C12-4205-A169-51FBD56A4E2C}"/>
    <cellStyle name="标题 3 9 4" xfId="10748" xr:uid="{F300FEFC-6DA7-4479-AC13-007EDDC17783}"/>
    <cellStyle name="标题 3 9 4 2" xfId="22610" xr:uid="{5A09B6E3-16B6-4C0A-A3A2-D0054C53BE46}"/>
    <cellStyle name="标题 3 9 5" xfId="22606" xr:uid="{EB9DF43A-E94F-426A-BE37-E0CD368D4613}"/>
    <cellStyle name="标题 3 90" xfId="944" xr:uid="{793273E9-BC89-425A-A913-3AA122B68CF8}"/>
    <cellStyle name="标题 30" xfId="6235" xr:uid="{A1D6939E-B123-43AF-B005-E8F24C4F99D7}"/>
    <cellStyle name="标题 30 2" xfId="22612" xr:uid="{F55E4BEB-9934-409F-AA11-92844781BBC3}"/>
    <cellStyle name="标题 30 2 2" xfId="22613" xr:uid="{1B40D8E1-F1CC-4335-97B3-6DEC81F00697}"/>
    <cellStyle name="标题 30 3" xfId="22614" xr:uid="{AB98301F-98A1-4C74-83B9-456AA450BA05}"/>
    <cellStyle name="标题 30 4" xfId="22615" xr:uid="{A35C5C47-3AB4-4385-A878-C930A9D8EF43}"/>
    <cellStyle name="标题 30 5" xfId="22611" xr:uid="{C4E1BC09-5696-4273-AF80-2AF44518B70B}"/>
    <cellStyle name="标题 31" xfId="6237" xr:uid="{9590EAD5-9535-4404-9394-88FA8055192E}"/>
    <cellStyle name="标题 31 2" xfId="22617" xr:uid="{BD38AA12-77C9-4DB9-9A64-B20BA2A9ED68}"/>
    <cellStyle name="标题 31 3" xfId="22618" xr:uid="{F4647DCC-9548-46D6-9A7D-5DF3DEA7D141}"/>
    <cellStyle name="标题 31 4" xfId="22619" xr:uid="{924493B1-469A-49C1-985C-FCB643D18351}"/>
    <cellStyle name="标题 31 5" xfId="22616" xr:uid="{49147CDF-BAED-4DDE-B794-B135574FABEB}"/>
    <cellStyle name="标题 32" xfId="6239" xr:uid="{BBFBFF28-A406-4CD2-A339-862E0798BA39}"/>
    <cellStyle name="标题 32 2" xfId="22621" xr:uid="{C5BDD292-B649-4FA2-91B9-DFF09E5D0BA5}"/>
    <cellStyle name="标题 32 3" xfId="22622" xr:uid="{ED5D9A08-DDFC-46DF-9B02-529135829DA1}"/>
    <cellStyle name="标题 32 4" xfId="22623" xr:uid="{E9B7C68F-CE88-4740-B2E2-FBFC5B6B0C3D}"/>
    <cellStyle name="标题 32 5" xfId="22620" xr:uid="{CB0DC69B-4F5D-4D5B-A3E6-5470F654CFF1}"/>
    <cellStyle name="标题 33" xfId="6241" xr:uid="{DDC76F0C-FA7C-4CDF-B75F-015E4CE0594F}"/>
    <cellStyle name="标题 33 2" xfId="22625" xr:uid="{7B8D360E-D782-4727-80C3-FDDE4C35DDED}"/>
    <cellStyle name="标题 33 3" xfId="22626" xr:uid="{17D6FC4D-F335-4237-BC79-B93676801E78}"/>
    <cellStyle name="标题 33 4" xfId="22627" xr:uid="{935BC0D9-EFB9-49F3-9DBA-C6C45A7DA1FF}"/>
    <cellStyle name="标题 33 5" xfId="22624" xr:uid="{B28B830F-9F37-48DF-B0D0-0E7A06E36C6A}"/>
    <cellStyle name="标题 34" xfId="6243" xr:uid="{2F512043-06E1-4659-B7B3-ED7D57578596}"/>
    <cellStyle name="标题 34 2" xfId="22629" xr:uid="{4E6FEF51-FEBB-4348-A2F1-37DB9602EB57}"/>
    <cellStyle name="标题 34 3" xfId="22630" xr:uid="{59F7DDCD-283A-4037-90DC-3B866F196FBD}"/>
    <cellStyle name="标题 34 4" xfId="22631" xr:uid="{6A075E4E-EC07-40D1-8D6C-AD4487FD60CA}"/>
    <cellStyle name="标题 34 5" xfId="22628" xr:uid="{5FBB504A-B5A4-48D3-895E-B75BA55355ED}"/>
    <cellStyle name="标题 35" xfId="6342" xr:uid="{AA4052EC-B34A-483B-8F4D-5D9A2BA00B94}"/>
    <cellStyle name="标题 35 2" xfId="22633" xr:uid="{108B4B35-6664-463C-BEA3-ABA82F409F14}"/>
    <cellStyle name="标题 35 3" xfId="22634" xr:uid="{37997F10-7A72-448B-8802-CF4B3FEAF61C}"/>
    <cellStyle name="标题 35 4" xfId="22635" xr:uid="{51D0A80F-B955-4586-AF09-5E85BF4F9214}"/>
    <cellStyle name="标题 35 5" xfId="22632" xr:uid="{5BAC88DF-4F7F-4C14-AC12-C5E1DBD00976}"/>
    <cellStyle name="标题 36" xfId="6344" xr:uid="{073DBE2E-8E30-4C84-855F-A36C95606DF1}"/>
    <cellStyle name="标题 36 2" xfId="22637" xr:uid="{8E82F9C0-9117-48AD-97A0-DBDFFA0DFF5A}"/>
    <cellStyle name="标题 36 3" xfId="22638" xr:uid="{B0D919FD-A4C9-46A3-A044-01D7134CF3FB}"/>
    <cellStyle name="标题 36 4" xfId="22639" xr:uid="{09CAC85A-26CF-490A-ABCF-E9925016F409}"/>
    <cellStyle name="标题 36 5" xfId="22636" xr:uid="{4EBA4AA4-D993-4846-91C5-1CF70B2B6785}"/>
    <cellStyle name="标题 37" xfId="6346" xr:uid="{F6502D12-5CFD-41B4-BDBE-475575FC8653}"/>
    <cellStyle name="标题 37 2" xfId="22641" xr:uid="{F35BF2C2-7679-447B-8B37-425F2642EA6C}"/>
    <cellStyle name="标题 37 3" xfId="22642" xr:uid="{945C49DA-1013-4890-B923-991032C56A82}"/>
    <cellStyle name="标题 37 4" xfId="22643" xr:uid="{A357BFEE-3B00-4EDD-A90E-501FF7695839}"/>
    <cellStyle name="标题 37 5" xfId="22640" xr:uid="{F56C8166-6015-4F04-878D-BEE6D6030244}"/>
    <cellStyle name="标题 38" xfId="6348" xr:uid="{763356C8-573C-436A-B964-38CAA7382E76}"/>
    <cellStyle name="标题 38 2" xfId="22645" xr:uid="{EEB48A68-B44D-42BA-A161-9DBB933E465C}"/>
    <cellStyle name="标题 38 3" xfId="22644" xr:uid="{E50BB735-2C98-40C0-80B4-2C610119DA86}"/>
    <cellStyle name="标题 39" xfId="6350" xr:uid="{5917AFEA-61F8-41DE-8FB1-C8E5C48E3DA5}"/>
    <cellStyle name="标题 39 2" xfId="22647" xr:uid="{BDD9F231-6086-4CBA-A369-B528EF599DE3}"/>
    <cellStyle name="标题 39 3" xfId="22646" xr:uid="{4B3C0672-9C30-4A12-8B30-145C14DA8253}"/>
    <cellStyle name="标题 4" xfId="27810" builtinId="19" customBuiltin="1"/>
    <cellStyle name="标题 4 10" xfId="6353" xr:uid="{75CA61FF-CD6C-479A-BD30-BA0EFD0876B7}"/>
    <cellStyle name="标题 4 10 2" xfId="10752" xr:uid="{15C8147F-F9C3-45CA-934B-10D8ED438BF7}"/>
    <cellStyle name="标题 4 10 2 2" xfId="22650" xr:uid="{730B91CC-B568-46D2-B081-15D9A02A09EC}"/>
    <cellStyle name="标题 4 10 2 3" xfId="22649" xr:uid="{0707C702-0F15-43B9-9248-E830F5317087}"/>
    <cellStyle name="标题 4 10 3" xfId="10753" xr:uid="{F6CD7C97-CEA7-4759-B8A2-D8756A945DA2}"/>
    <cellStyle name="标题 4 10 3 2" xfId="22651" xr:uid="{278F0651-883D-4D09-B455-B596A6C74150}"/>
    <cellStyle name="标题 4 10 4" xfId="10751" xr:uid="{D0F730CB-4372-4947-AAC1-33386E744979}"/>
    <cellStyle name="标题 4 10 4 2" xfId="22652" xr:uid="{A97B76CF-24F5-4562-A7CB-145FE19C85BB}"/>
    <cellStyle name="标题 4 10 5" xfId="22648" xr:uid="{346DFD9A-8ABC-4795-A72A-84BD1D017D20}"/>
    <cellStyle name="标题 4 11" xfId="6354" xr:uid="{E537D194-2B23-4569-B626-F801036A8276}"/>
    <cellStyle name="标题 4 11 2" xfId="10755" xr:uid="{1CCF8C54-A431-43A9-970B-2355BE72D3A4}"/>
    <cellStyle name="标题 4 11 2 2" xfId="22655" xr:uid="{7C971797-D68B-4483-97DB-6A93CEF071AC}"/>
    <cellStyle name="标题 4 11 2 3" xfId="22654" xr:uid="{9287F665-29CE-4313-A893-DE83377B7624}"/>
    <cellStyle name="标题 4 11 3" xfId="10756" xr:uid="{66D44CE6-DC34-4347-B8F7-55553B3DE993}"/>
    <cellStyle name="标题 4 11 3 2" xfId="22656" xr:uid="{AB68A607-E0AC-4861-8539-B37F15A6CBF0}"/>
    <cellStyle name="标题 4 11 4" xfId="10754" xr:uid="{1729CD03-DE69-4C44-B211-DEABDB2D87A4}"/>
    <cellStyle name="标题 4 11 4 2" xfId="22657" xr:uid="{FA3AEB7E-3400-49D3-A818-E95CDC6DC1D7}"/>
    <cellStyle name="标题 4 11 5" xfId="22653" xr:uid="{920E7128-309F-4329-AFBF-11015A9B3DE1}"/>
    <cellStyle name="标题 4 12" xfId="6355" xr:uid="{2D9D3255-748F-4D6F-B3FD-D67B56CD7FDD}"/>
    <cellStyle name="标题 4 12 2" xfId="10758" xr:uid="{B6625CED-EAAA-404C-BF7D-48274FBDFB25}"/>
    <cellStyle name="标题 4 12 2 2" xfId="22660" xr:uid="{0EF2DEDF-DB9C-4069-A4DE-A0518D438E88}"/>
    <cellStyle name="标题 4 12 2 3" xfId="22659" xr:uid="{8F444CF2-20FC-4F4B-A333-23C0FD24931B}"/>
    <cellStyle name="标题 4 12 3" xfId="10759" xr:uid="{9D9B0757-8FAA-42CD-A47C-7DAAEF7ABDF9}"/>
    <cellStyle name="标题 4 12 3 2" xfId="22661" xr:uid="{65A69135-5F4B-4F6F-84E4-969F129F492C}"/>
    <cellStyle name="标题 4 12 4" xfId="10757" xr:uid="{C4DDA67E-75FD-48D9-8D99-DF9301073041}"/>
    <cellStyle name="标题 4 12 4 2" xfId="22662" xr:uid="{03FAE230-DB11-4DE1-81FE-6499730151B7}"/>
    <cellStyle name="标题 4 12 5" xfId="22658" xr:uid="{B8DE30CD-7B37-4E62-8070-B867B82AE501}"/>
    <cellStyle name="标题 4 13" xfId="6356" xr:uid="{D36BC57E-16C7-4BC2-B12A-14C5874709E7}"/>
    <cellStyle name="标题 4 13 2" xfId="10761" xr:uid="{DC0A83D1-A414-4E9B-BEEE-A09C418E23AA}"/>
    <cellStyle name="标题 4 13 2 2" xfId="22665" xr:uid="{083021F3-77F9-42BD-8795-2D9A3930A726}"/>
    <cellStyle name="标题 4 13 2 3" xfId="22664" xr:uid="{01D60D6E-CF96-4BD2-BEF1-D2ECF595939F}"/>
    <cellStyle name="标题 4 13 3" xfId="10762" xr:uid="{BAB141A7-1461-4AC3-9601-3894461A4955}"/>
    <cellStyle name="标题 4 13 3 2" xfId="22666" xr:uid="{0BDB2F58-6461-4431-A131-BAF52FB574E7}"/>
    <cellStyle name="标题 4 13 4" xfId="10760" xr:uid="{67C71B49-D54D-4FA0-BCD7-F98103E064B0}"/>
    <cellStyle name="标题 4 13 4 2" xfId="22667" xr:uid="{951981D9-AD28-4306-B20F-8CD22A6ADBFF}"/>
    <cellStyle name="标题 4 13 5" xfId="22663" xr:uid="{AE2C30D2-B939-445E-858D-89DDF143EE0D}"/>
    <cellStyle name="标题 4 14" xfId="6357" xr:uid="{4066A3C0-FC85-4B22-9EF4-1F50F7A7CBE7}"/>
    <cellStyle name="标题 4 14 2" xfId="10764" xr:uid="{19230F73-F63C-4C74-BA12-E788F149465C}"/>
    <cellStyle name="标题 4 14 2 2" xfId="22670" xr:uid="{E0F21B07-12E0-4664-8C52-6D0B6DB9B309}"/>
    <cellStyle name="标题 4 14 2 3" xfId="22669" xr:uid="{4142DE12-8BC4-4DAE-B38C-7A8C539AB060}"/>
    <cellStyle name="标题 4 14 3" xfId="10765" xr:uid="{72BBF4C7-50DF-4BF7-9494-DED1F3105696}"/>
    <cellStyle name="标题 4 14 3 2" xfId="22671" xr:uid="{7ADA7EE1-6080-4D75-82EE-E665D408C8A2}"/>
    <cellStyle name="标题 4 14 4" xfId="10763" xr:uid="{F3B06A6F-BBB1-4DDF-9083-45B88B2A3116}"/>
    <cellStyle name="标题 4 14 4 2" xfId="22672" xr:uid="{71C53DE6-F2C1-4EF9-81BC-FE5C238DB9F4}"/>
    <cellStyle name="标题 4 14 5" xfId="22668" xr:uid="{A6697289-3BA1-4633-BC50-C253F889501F}"/>
    <cellStyle name="标题 4 15" xfId="6358" xr:uid="{986DC7BF-F400-42AF-ADEF-723BD00632C5}"/>
    <cellStyle name="标题 4 15 2" xfId="10767" xr:uid="{EE34490E-3270-4D3D-8E76-C17A523F6EFD}"/>
    <cellStyle name="标题 4 15 2 2" xfId="22675" xr:uid="{5250E89A-D7EE-49FD-8DF4-B1A01A9E14A9}"/>
    <cellStyle name="标题 4 15 2 3" xfId="22674" xr:uid="{1BA6683F-3D69-4B74-AD73-B73F659A3F7A}"/>
    <cellStyle name="标题 4 15 3" xfId="10768" xr:uid="{6F91D205-83EB-4894-B9C8-4A6A83A50755}"/>
    <cellStyle name="标题 4 15 3 2" xfId="22676" xr:uid="{47709B90-6F42-4A62-8410-C37856E9AF8B}"/>
    <cellStyle name="标题 4 15 4" xfId="10766" xr:uid="{0B3B8B5B-2C17-44B3-A6D9-AC1E1B6F0FE5}"/>
    <cellStyle name="标题 4 15 4 2" xfId="22677" xr:uid="{2A1AA05C-BECF-43A5-AFCF-27C82A748A70}"/>
    <cellStyle name="标题 4 15 5" xfId="22673" xr:uid="{5AF13C4C-8276-4466-957D-C28D38E94264}"/>
    <cellStyle name="标题 4 16" xfId="6360" xr:uid="{C77F8F0C-6FC5-4FBE-A026-99DAEA188457}"/>
    <cellStyle name="标题 4 16 2" xfId="10770" xr:uid="{46357060-69F6-4877-9326-7C0A924F4B38}"/>
    <cellStyle name="标题 4 16 2 2" xfId="22680" xr:uid="{990D172F-F6D2-403B-B7AA-64F104E3D406}"/>
    <cellStyle name="标题 4 16 2 3" xfId="22679" xr:uid="{EF59CAA9-3446-40B9-AFF9-9ABAE338EAA8}"/>
    <cellStyle name="标题 4 16 3" xfId="10771" xr:uid="{2B099AE0-021E-4339-A629-04EC663D3B2A}"/>
    <cellStyle name="标题 4 16 3 2" xfId="22681" xr:uid="{5C453C95-3416-471E-810F-7A49FA6E27CF}"/>
    <cellStyle name="标题 4 16 4" xfId="10769" xr:uid="{ACF7DB2E-35ED-4CB9-AE94-EF9DCD66184B}"/>
    <cellStyle name="标题 4 16 4 2" xfId="22682" xr:uid="{C8855A27-C448-4FB0-A592-CF61D17D22CF}"/>
    <cellStyle name="标题 4 16 5" xfId="22678" xr:uid="{37E2BCA0-A2D8-42F5-A832-46270DB06AE5}"/>
    <cellStyle name="标题 4 17" xfId="6362" xr:uid="{3328D74E-374C-4567-B0FB-55091F87DE98}"/>
    <cellStyle name="标题 4 17 2" xfId="10773" xr:uid="{84888F49-E187-4F42-B903-35C8AD85CA52}"/>
    <cellStyle name="标题 4 17 2 2" xfId="22685" xr:uid="{33E7FB2E-F047-440C-90F8-4B39CD6CF0FC}"/>
    <cellStyle name="标题 4 17 2 3" xfId="22684" xr:uid="{1D9D7566-B005-4595-9A79-8F6BC74A2DB9}"/>
    <cellStyle name="标题 4 17 3" xfId="10774" xr:uid="{87F79765-90AE-452E-9B08-C16B0315C077}"/>
    <cellStyle name="标题 4 17 3 2" xfId="22686" xr:uid="{8858812A-475F-4F6E-BB07-489CD330E858}"/>
    <cellStyle name="标题 4 17 4" xfId="10772" xr:uid="{D7CBD3D5-CB37-4918-AF7C-677BDD6C38BF}"/>
    <cellStyle name="标题 4 17 4 2" xfId="22687" xr:uid="{B56C8C98-C9B5-4E09-98EA-BB3CB5EE61D5}"/>
    <cellStyle name="标题 4 17 5" xfId="22683" xr:uid="{8AF1A3C7-3132-4999-BE69-2F9C27F1EE72}"/>
    <cellStyle name="标题 4 18" xfId="6364" xr:uid="{D3ACFB85-121B-4F69-8110-C9F37E8DC0DF}"/>
    <cellStyle name="标题 4 18 2" xfId="10775" xr:uid="{159FBC59-0F1B-41F3-9C7A-828B8058C015}"/>
    <cellStyle name="标题 4 18 2 2" xfId="22690" xr:uid="{D0F0BAC2-2C42-4B21-B2E5-72FD229AF442}"/>
    <cellStyle name="标题 4 18 2 3" xfId="22689" xr:uid="{9EF6E9EC-3DBF-41E5-BE0A-0AB96700A702}"/>
    <cellStyle name="标题 4 18 3" xfId="22691" xr:uid="{E42DECBE-78CC-4CE4-915E-70FEFB55F5B0}"/>
    <cellStyle name="标题 4 18 4" xfId="22692" xr:uid="{AE94FE2D-32F0-4D79-8364-1DB5606F2C31}"/>
    <cellStyle name="标题 4 18 5" xfId="22688" xr:uid="{8493559D-B4EE-4D8A-AB76-D6BB5349904F}"/>
    <cellStyle name="标题 4 19" xfId="6366" xr:uid="{D39971F7-826A-4578-9AD4-DB2F72320F47}"/>
    <cellStyle name="标题 4 19 2" xfId="10776" xr:uid="{57A13709-5D4C-4FD3-AED9-4CE5B036D3D4}"/>
    <cellStyle name="标题 4 19 2 2" xfId="22695" xr:uid="{51F57DAA-42F6-44E7-84D1-2A4ABB2A5FC8}"/>
    <cellStyle name="标题 4 19 2 3" xfId="22694" xr:uid="{BAD53BB8-8997-4D52-AFB2-61B7590C2E57}"/>
    <cellStyle name="标题 4 19 3" xfId="22696" xr:uid="{C4F26A85-2983-425A-8547-F9F1E0D93486}"/>
    <cellStyle name="标题 4 19 4" xfId="22697" xr:uid="{F20FC2E1-A82F-45C9-B6E7-BF01A907CCC6}"/>
    <cellStyle name="标题 4 19 5" xfId="22693" xr:uid="{0005EA98-7BB0-404D-B0F8-CD0A30C3FA0B}"/>
    <cellStyle name="标题 4 2" xfId="6368" xr:uid="{CCACD773-5EC1-45C0-8527-03709C088A45}"/>
    <cellStyle name="标题 4 2 10" xfId="6369" xr:uid="{E7D6F621-CC9A-4F0A-A91C-E67E8599D9FB}"/>
    <cellStyle name="标题 4 2 11" xfId="6370" xr:uid="{A36E1528-482B-4039-A4A3-D633B3DA49F3}"/>
    <cellStyle name="标题 4 2 12" xfId="6371" xr:uid="{3E077B68-01CC-4BAA-90A9-E5F80AEA46B9}"/>
    <cellStyle name="标题 4 2 13" xfId="6372" xr:uid="{FC07F176-8826-4B41-86C9-C59DFE8CA533}"/>
    <cellStyle name="标题 4 2 14" xfId="6374" xr:uid="{73ACDB28-175B-4455-B07D-1623831787E9}"/>
    <cellStyle name="标题 4 2 15" xfId="12603" xr:uid="{EB36135D-5847-4A4F-A065-40F322318D7E}"/>
    <cellStyle name="标题 4 2 2" xfId="6376" xr:uid="{BAFD3BC5-F7F7-4D93-BFA3-A2023941D49F}"/>
    <cellStyle name="标题 4 2 2 2" xfId="22699" xr:uid="{F53BB247-461B-42F4-B4A0-4ADABCC6F8A3}"/>
    <cellStyle name="标题 4 2 2 3" xfId="22698" xr:uid="{E9FCABB1-9945-46FB-BE2B-CE4ADC9A06A2}"/>
    <cellStyle name="标题 4 2 2 4" xfId="27446" xr:uid="{9ED5D233-0481-49BC-845A-831A9917A430}"/>
    <cellStyle name="标题 4 2 3" xfId="6377" xr:uid="{AA453F10-F18C-490F-8A1A-98AE698BC069}"/>
    <cellStyle name="标题 4 2 3 2" xfId="22701" xr:uid="{22D2AA86-252B-4298-A71B-0BC8F28FBB90}"/>
    <cellStyle name="标题 4 2 3 3" xfId="22700" xr:uid="{60097468-95DE-42DA-92DF-E5DF2DFC20B4}"/>
    <cellStyle name="标题 4 2 3 4" xfId="27447" xr:uid="{07D27E37-9B67-4CFA-9928-A0E9AD1F2234}"/>
    <cellStyle name="标题 4 2 4" xfId="6378" xr:uid="{6FA4EE8D-6576-4D10-BF9F-A9503344B078}"/>
    <cellStyle name="标题 4 2 4 2" xfId="22702" xr:uid="{9C3C2A34-F777-4A5C-A95B-8B3A425C827F}"/>
    <cellStyle name="标题 4 2 4 3" xfId="27741" xr:uid="{3FE60BE5-BFFA-4BA0-88CF-7A263EC74E27}"/>
    <cellStyle name="标题 4 2 5" xfId="6379" xr:uid="{EBA94246-7217-453F-AF35-5F68E7BCF785}"/>
    <cellStyle name="标题 4 2 5 2" xfId="22704" xr:uid="{8E47A5E8-ED00-43D9-930E-1628B5B95F21}"/>
    <cellStyle name="标题 4 2 5 3" xfId="22703" xr:uid="{59DFE158-0777-4F34-A7B2-CE10BAD5567B}"/>
    <cellStyle name="标题 4 2 6" xfId="6380" xr:uid="{AA6DD621-7DE8-445F-A671-545DF13E7E6B}"/>
    <cellStyle name="标题 4 2 6 2" xfId="22705" xr:uid="{AD0ADA5E-71FC-4200-BA4A-BDD29C80E166}"/>
    <cellStyle name="标题 4 2 7" xfId="6381" xr:uid="{76EFF038-9547-47E2-8A1F-655476FBD499}"/>
    <cellStyle name="标题 4 2 7 2" xfId="22706" xr:uid="{3200ADAA-6C98-4F5C-8577-C4FCD21206F7}"/>
    <cellStyle name="标题 4 2 8" xfId="6382" xr:uid="{2A7027D1-75D8-4745-B907-EE94C3244AAF}"/>
    <cellStyle name="标题 4 2 9" xfId="6383" xr:uid="{221259F0-7C68-459D-996A-8F871CC764A8}"/>
    <cellStyle name="标题 4 2_动力部" xfId="22707" xr:uid="{9CDFEBCD-25EB-4B85-873E-085FECD56C25}"/>
    <cellStyle name="标题 4 20" xfId="6359" xr:uid="{4CAA27C3-10A4-47E6-9297-E7C44A0E4AD5}"/>
    <cellStyle name="标题 4 20 2" xfId="10777" xr:uid="{9F62153B-ADB3-4DAF-A6DA-132037F32316}"/>
    <cellStyle name="标题 4 20 2 2" xfId="22710" xr:uid="{A29B0EA8-AA7D-414C-B515-C1DA6B2048A3}"/>
    <cellStyle name="标题 4 20 2 3" xfId="22709" xr:uid="{44ADA39E-721F-422F-9263-19C21C6AC984}"/>
    <cellStyle name="标题 4 20 3" xfId="22711" xr:uid="{3B48FA80-EDB1-42EA-AA3B-63FE92790ADA}"/>
    <cellStyle name="标题 4 20 4" xfId="22712" xr:uid="{4976D45A-91C9-44C7-B1A4-82864C81EEC2}"/>
    <cellStyle name="标题 4 20 5" xfId="22708" xr:uid="{51AF5A6C-69A9-43F4-A233-2E3CCD6E5BB9}"/>
    <cellStyle name="标题 4 21" xfId="6361" xr:uid="{ED58EB5A-1450-43F4-A61D-AA7DD384A05E}"/>
    <cellStyle name="标题 4 21 2" xfId="10778" xr:uid="{C7F98612-0548-4C33-9DD3-7F605D82993A}"/>
    <cellStyle name="标题 4 21 2 2" xfId="22715" xr:uid="{9CD32695-CF33-4087-8AC2-E84122AA73DA}"/>
    <cellStyle name="标题 4 21 2 3" xfId="22714" xr:uid="{DCBA7300-45FB-4C2E-B10C-8984579329F0}"/>
    <cellStyle name="标题 4 21 3" xfId="22716" xr:uid="{FE4F62A5-3876-4121-BC98-29284C88FC17}"/>
    <cellStyle name="标题 4 21 4" xfId="22717" xr:uid="{CD4C3280-25A8-4924-94C4-825785E33874}"/>
    <cellStyle name="标题 4 21 5" xfId="22713" xr:uid="{629ED6C7-9853-4294-916B-D99CD792B60E}"/>
    <cellStyle name="标题 4 22" xfId="6363" xr:uid="{A546E30F-EEEE-4860-ADC3-95751D7BAA79}"/>
    <cellStyle name="标题 4 22 2" xfId="10779" xr:uid="{949C3460-5D1B-4367-9EF4-B97563C59F93}"/>
    <cellStyle name="标题 4 22 2 2" xfId="22720" xr:uid="{60B87C1E-7B32-458D-A76B-055E96B2E379}"/>
    <cellStyle name="标题 4 22 2 3" xfId="22719" xr:uid="{9E8B6729-70B8-45DB-A2BA-C1176089D949}"/>
    <cellStyle name="标题 4 22 3" xfId="22721" xr:uid="{263B3463-211F-410B-AFAE-9054354613B0}"/>
    <cellStyle name="标题 4 22 4" xfId="22722" xr:uid="{42155FDD-913F-45CF-9875-5D14932C5B55}"/>
    <cellStyle name="标题 4 22 5" xfId="22718" xr:uid="{9F1105D1-2F02-4556-80B1-988B05F300F1}"/>
    <cellStyle name="标题 4 23" xfId="6365" xr:uid="{568122ED-748D-4B99-BA0F-6222764CFD9F}"/>
    <cellStyle name="标题 4 23 2" xfId="22724" xr:uid="{63817507-8E21-4C6D-9875-319A277B194D}"/>
    <cellStyle name="标题 4 23 2 2" xfId="22725" xr:uid="{D525D403-9951-4F69-9C4A-0EBB01385250}"/>
    <cellStyle name="标题 4 23 3" xfId="22726" xr:uid="{3F04842E-2B8F-482F-976A-79F5CE08DA11}"/>
    <cellStyle name="标题 4 23 4" xfId="22727" xr:uid="{4EB26817-15FE-4F5B-9A53-534DA811A0D3}"/>
    <cellStyle name="标题 4 23 5" xfId="22723" xr:uid="{0076D6F1-CB11-4A80-8626-0D0DC75223FF}"/>
    <cellStyle name="标题 4 24" xfId="6367" xr:uid="{A3583F81-60B2-49EB-9D10-B4B70A22B8E6}"/>
    <cellStyle name="标题 4 24 2" xfId="22729" xr:uid="{9C311F60-B279-48BD-AC7D-0EC6EF10F625}"/>
    <cellStyle name="标题 4 24 2 2" xfId="22730" xr:uid="{583A13DF-A930-4FFC-A21E-95BF806703DB}"/>
    <cellStyle name="标题 4 24 3" xfId="22731" xr:uid="{218FAD04-99CB-4624-83FF-A09C53996923}"/>
    <cellStyle name="标题 4 24 4" xfId="22732" xr:uid="{E0F964AA-84FC-4022-86C5-9EBFBC3DE5D0}"/>
    <cellStyle name="标题 4 24 5" xfId="22728" xr:uid="{2248AEAC-8F44-4356-BFD3-9625F2CFB6EA}"/>
    <cellStyle name="标题 4 25" xfId="6384" xr:uid="{9816BD2B-55EE-4A8A-B9D1-834F3161C6C2}"/>
    <cellStyle name="标题 4 25 2" xfId="22734" xr:uid="{74F195D8-71B3-4E67-B10F-FC68C241F70F}"/>
    <cellStyle name="标题 4 25 2 2" xfId="22735" xr:uid="{139BEFC8-3EBA-4834-9B2C-83FA80E19491}"/>
    <cellStyle name="标题 4 25 3" xfId="22736" xr:uid="{F54D2C3E-62B8-4B1C-A7D8-F306F5D51811}"/>
    <cellStyle name="标题 4 25 4" xfId="22737" xr:uid="{AFCC156F-C5B4-43EF-A986-C1B72B52ED53}"/>
    <cellStyle name="标题 4 25 5" xfId="22733" xr:uid="{2599E48F-91A0-4C17-B713-FFE496A13121}"/>
    <cellStyle name="标题 4 26" xfId="6386" xr:uid="{F7A98FDD-E67B-423B-AB34-C9BCB8E870FE}"/>
    <cellStyle name="标题 4 26 2" xfId="22739" xr:uid="{B2A4E5EE-0147-4AFE-BED3-57B27683ADA8}"/>
    <cellStyle name="标题 4 26 2 2" xfId="22740" xr:uid="{62C41AAB-A9A5-49F8-99FF-D7B3F93A49DF}"/>
    <cellStyle name="标题 4 26 3" xfId="22741" xr:uid="{65B59AE2-3432-48E0-B9F5-A20E71EE9A56}"/>
    <cellStyle name="标题 4 26 4" xfId="22742" xr:uid="{C3D8AD46-680E-41F0-91F3-B4AF20CEA615}"/>
    <cellStyle name="标题 4 26 5" xfId="22738" xr:uid="{709D117A-6CF5-47AC-BD91-A10B28017FD6}"/>
    <cellStyle name="标题 4 27" xfId="6388" xr:uid="{3AF1ADE9-AA69-4301-B6BA-6D827CC54509}"/>
    <cellStyle name="标题 4 27 2" xfId="22744" xr:uid="{91BD6C2A-6E81-4EDE-A67C-0DD8B9C667E5}"/>
    <cellStyle name="标题 4 27 2 2" xfId="22745" xr:uid="{8A2DBF75-A794-4F93-8A45-0A9FF8856229}"/>
    <cellStyle name="标题 4 27 3" xfId="22746" xr:uid="{27BC6E68-6EC8-4D54-94E7-0FBE9C3E5D1B}"/>
    <cellStyle name="标题 4 27 4" xfId="22747" xr:uid="{8C52CB20-490E-4ACF-94D9-522E7A43C522}"/>
    <cellStyle name="标题 4 27 5" xfId="22743" xr:uid="{42C448BC-47E8-4654-84E2-B4CDE10F9C81}"/>
    <cellStyle name="标题 4 28" xfId="6390" xr:uid="{C59362D1-5533-4685-A8F8-B6EE34F56ED5}"/>
    <cellStyle name="标题 4 28 2" xfId="22749" xr:uid="{A8799119-D66B-476F-88CF-F0D020E6C87C}"/>
    <cellStyle name="标题 4 28 3" xfId="22750" xr:uid="{12E3CD09-FDAA-4C73-AAA1-8795CA4D15F3}"/>
    <cellStyle name="标题 4 28 4" xfId="22751" xr:uid="{D6561958-344E-4FAA-B207-AAB91759CF9D}"/>
    <cellStyle name="标题 4 28 5" xfId="22748" xr:uid="{956455CF-D9AD-4E90-ACAC-50D4FD1846E0}"/>
    <cellStyle name="标题 4 29" xfId="6392" xr:uid="{38AE480C-7D7F-425F-92CB-C4204F647EF8}"/>
    <cellStyle name="标题 4 29 2" xfId="22753" xr:uid="{166DDB96-8C16-4671-94BD-91BF7A3F13F8}"/>
    <cellStyle name="标题 4 29 3" xfId="22754" xr:uid="{77F6ADA2-B817-49AC-86A4-64B9884420D8}"/>
    <cellStyle name="标题 4 29 4" xfId="22755" xr:uid="{04BFFD41-D687-4E15-B60A-7508CEF4A176}"/>
    <cellStyle name="标题 4 29 5" xfId="22752" xr:uid="{EBC5FB6F-1819-4D00-A48A-1AF600EB0ECF}"/>
    <cellStyle name="标题 4 3" xfId="3177" xr:uid="{69EB48F5-3CB2-4C15-B3FD-3D5365B1D506}"/>
    <cellStyle name="标题 4 3 2" xfId="6394" xr:uid="{36D2429C-8CC6-4EA3-895E-7DFF70A735C4}"/>
    <cellStyle name="标题 4 3 2 2" xfId="10780" xr:uid="{58523461-A479-4EA9-8B68-0B6CEC5C09E8}"/>
    <cellStyle name="标题 4 3 2 3" xfId="22757" xr:uid="{BD1E49B5-C40F-40B7-906F-913D58DD76B6}"/>
    <cellStyle name="标题 4 3 2 4" xfId="27448" xr:uid="{90F50D31-5A9A-4529-9600-CF3F62143E26}"/>
    <cellStyle name="标题 4 3 3" xfId="10781" xr:uid="{2E86930A-43A5-48ED-B54E-BA73F8C6644C}"/>
    <cellStyle name="标题 4 3 3 2" xfId="22759" xr:uid="{14D858CB-5C53-4ED5-88FF-2E1C750B6BD0}"/>
    <cellStyle name="标题 4 3 3 3" xfId="22758" xr:uid="{BAB0FC02-1B2D-48BE-A257-77B98E429AC9}"/>
    <cellStyle name="标题 4 3 3 4" xfId="27449" xr:uid="{53279C77-1C56-4D42-92D0-23EB5845D618}"/>
    <cellStyle name="标题 4 3 4" xfId="22760" xr:uid="{84D14BFC-7174-4BCC-8E80-B15C80CF033B}"/>
    <cellStyle name="标题 4 3 4 2" xfId="27742" xr:uid="{47BA8A95-889B-4D5D-9CFC-8E197322719D}"/>
    <cellStyle name="标题 4 3 5" xfId="22761" xr:uid="{7E9DABAF-A68D-4F51-9F02-8A1A5C6F145C}"/>
    <cellStyle name="标题 4 3 5 2" xfId="22762" xr:uid="{8B9D1A0A-269A-4748-9F21-89FB873D9C1E}"/>
    <cellStyle name="标题 4 3 6" xfId="22756" xr:uid="{4869F826-C73A-4B91-A60F-854B0BA3D8B5}"/>
    <cellStyle name="标题 4 30" xfId="6385" xr:uid="{E108BAA1-2858-48B8-BF36-9CD4970B9A9F}"/>
    <cellStyle name="标题 4 30 2" xfId="22764" xr:uid="{8FE9B57D-3FD4-4FB1-8774-B49C43D0B2F5}"/>
    <cellStyle name="标题 4 30 3" xfId="22765" xr:uid="{7BC0B613-26A4-4A5C-9142-55A645B87CBC}"/>
    <cellStyle name="标题 4 30 4" xfId="22766" xr:uid="{E5F477DF-C369-4935-8DD4-0BBC10D5EC49}"/>
    <cellStyle name="标题 4 30 5" xfId="22763" xr:uid="{4BCFB3FA-8733-4B37-A097-49BD4F08A935}"/>
    <cellStyle name="标题 4 31" xfId="6387" xr:uid="{B5175D27-7909-42F3-903A-5F81372FB451}"/>
    <cellStyle name="标题 4 31 2" xfId="22768" xr:uid="{EE46F070-A8C7-4A01-84E4-1DFE59BCD9D2}"/>
    <cellStyle name="标题 4 31 3" xfId="22769" xr:uid="{D59D3E0B-929E-4ED5-9778-8B948E593147}"/>
    <cellStyle name="标题 4 31 4" xfId="22770" xr:uid="{90D39CE5-1714-46E7-90A4-88213E8DF5DB}"/>
    <cellStyle name="标题 4 31 5" xfId="22767" xr:uid="{1BE063F5-4A55-43A3-93D1-28CD8019431A}"/>
    <cellStyle name="标题 4 32" xfId="6389" xr:uid="{FA4F413B-0208-49E5-A7F2-75E29FE9CD0D}"/>
    <cellStyle name="标题 4 32 2" xfId="22772" xr:uid="{1908EA7A-FC99-411B-B2ED-8983B61AB5A8}"/>
    <cellStyle name="标题 4 32 3" xfId="22773" xr:uid="{F8C1DB55-648B-4299-96A9-59FE74167420}"/>
    <cellStyle name="标题 4 32 4" xfId="22774" xr:uid="{D438CA3E-9E70-428B-B6E6-C29CD83B9255}"/>
    <cellStyle name="标题 4 32 5" xfId="22771" xr:uid="{A9A8B19E-EC67-4AAE-9EB4-FCFA9ACFC63D}"/>
    <cellStyle name="标题 4 33" xfId="6391" xr:uid="{C98CE949-7915-43B9-978E-A8AB9B100B80}"/>
    <cellStyle name="标题 4 33 2" xfId="22776" xr:uid="{1AC8A627-7E1C-4876-B6FF-A0559A7F74E3}"/>
    <cellStyle name="标题 4 33 3" xfId="22777" xr:uid="{6CD5CB27-EA8A-4C8A-AAFA-B060258F052A}"/>
    <cellStyle name="标题 4 33 4" xfId="22778" xr:uid="{CE50362B-414A-4B4A-8940-203CB36D491D}"/>
    <cellStyle name="标题 4 33 5" xfId="22775" xr:uid="{268369D5-B990-418E-9BC1-40007D702E1D}"/>
    <cellStyle name="标题 4 34" xfId="6393" xr:uid="{7096EC0D-86E2-4FE8-AA47-D973AD9C5223}"/>
    <cellStyle name="标题 4 34 2" xfId="22780" xr:uid="{D9FB722E-BAD9-4BA5-AD2C-9EFE384CE251}"/>
    <cellStyle name="标题 4 34 3" xfId="22781" xr:uid="{68017697-1A32-495D-A013-F8FD6CB42C15}"/>
    <cellStyle name="标题 4 34 4" xfId="22782" xr:uid="{2804BCE9-5CD7-493F-B753-265F4A5488F4}"/>
    <cellStyle name="标题 4 34 5" xfId="22779" xr:uid="{283774F6-425D-4D00-A5AF-B8A86EF7C561}"/>
    <cellStyle name="标题 4 35" xfId="4742" xr:uid="{6CF88CCE-8F36-4512-B516-608CF19D58E9}"/>
    <cellStyle name="标题 4 35 2" xfId="22784" xr:uid="{4B4CC193-2ECB-4639-AC41-0B7BA60B69D9}"/>
    <cellStyle name="标题 4 35 3" xfId="22783" xr:uid="{026A4495-B28C-4C82-BF10-C218DB29D441}"/>
    <cellStyle name="标题 4 36" xfId="6395" xr:uid="{C35178B2-595C-46F4-B485-E42322F67732}"/>
    <cellStyle name="标题 4 36 2" xfId="22786" xr:uid="{D28191EC-5497-45CE-9665-2E1E88FDD8FE}"/>
    <cellStyle name="标题 4 36 3" xfId="22785" xr:uid="{E59CC641-F42C-49AF-B066-44D46241E4B8}"/>
    <cellStyle name="标题 4 37" xfId="6397" xr:uid="{0415026F-C094-4319-AF76-845011509AC6}"/>
    <cellStyle name="标题 4 37 2" xfId="22788" xr:uid="{7228DC47-27C5-48BC-B72B-158D06B77ADF}"/>
    <cellStyle name="标题 4 37 3" xfId="22787" xr:uid="{F0051E80-A2DA-41E9-BDC5-1CC6D7C3A403}"/>
    <cellStyle name="标题 4 38" xfId="6399" xr:uid="{4EFF0FB6-B5C6-4F73-8715-5F33C9ECC365}"/>
    <cellStyle name="标题 4 38 2" xfId="22790" xr:uid="{F5A7EA64-B941-4A3C-B160-AC246F7F8AE7}"/>
    <cellStyle name="标题 4 38 3" xfId="22789" xr:uid="{3676FCCC-5C6D-4DD9-8F70-93DB70FCA333}"/>
    <cellStyle name="标题 4 39" xfId="6401" xr:uid="{70058DCF-F857-4B2A-98FA-EF5345B909AD}"/>
    <cellStyle name="标题 4 39 2" xfId="22792" xr:uid="{896FF1B0-7822-49BC-A273-B9F48CEFBE0C}"/>
    <cellStyle name="标题 4 39 3" xfId="22791" xr:uid="{7B4402E3-7567-4570-BBDE-0A6AC00A75D6}"/>
    <cellStyle name="标题 4 4" xfId="6403" xr:uid="{DDC9250D-2B97-4A17-A5E3-011E0B73A418}"/>
    <cellStyle name="标题 4 4 2" xfId="6404" xr:uid="{3C5FD124-3619-4ACB-AF33-6BB10163B489}"/>
    <cellStyle name="标题 4 4 2 2" xfId="10782" xr:uid="{11BD795C-CC1F-44E1-A3C2-35157411A2B4}"/>
    <cellStyle name="标题 4 4 2 2 2" xfId="22795" xr:uid="{1E8D6674-245F-4999-ACF1-D4D1FA4B9637}"/>
    <cellStyle name="标题 4 4 2 3" xfId="22794" xr:uid="{CB19B72C-9EB4-4B5E-9D26-5C4476057B95}"/>
    <cellStyle name="标题 4 4 3" xfId="10783" xr:uid="{AF8611B8-44ED-4BDB-B537-24403FC1C39F}"/>
    <cellStyle name="标题 4 4 3 2" xfId="22796" xr:uid="{4E3451DD-0CB8-4841-98B6-DFDD29A1B496}"/>
    <cellStyle name="标题 4 4 4" xfId="22797" xr:uid="{2E13133A-EA5C-4728-94FA-665101E2ACF0}"/>
    <cellStyle name="标题 4 4 4 2" xfId="22798" xr:uid="{756142AF-2115-4804-B093-BC7E911C3828}"/>
    <cellStyle name="标题 4 4 5" xfId="22793" xr:uid="{7B0CC88E-9793-4128-90E5-B9C187D02F0D}"/>
    <cellStyle name="标题 4 40" xfId="4743" xr:uid="{DEBF4AA5-8813-402B-89C7-7A7D279158E0}"/>
    <cellStyle name="标题 4 40 2" xfId="22800" xr:uid="{98BF9467-8216-4CCC-B507-65A296DCD603}"/>
    <cellStyle name="标题 4 40 3" xfId="22799" xr:uid="{F610F2A5-453E-4E2A-83BA-CB0328B52ECD}"/>
    <cellStyle name="标题 4 41" xfId="6396" xr:uid="{ED653407-FD0F-4A8C-A62D-A5601DC57D88}"/>
    <cellStyle name="标题 4 41 2" xfId="22802" xr:uid="{9C55ED2E-4364-4B3C-8D11-D52149A4F0D2}"/>
    <cellStyle name="标题 4 41 3" xfId="22801" xr:uid="{352638AB-78D1-43C9-BD4E-BA0013D898D1}"/>
    <cellStyle name="标题 4 42" xfId="6398" xr:uid="{EBD3D6A5-A872-41E4-995B-03EE62845772}"/>
    <cellStyle name="标题 4 42 2" xfId="22804" xr:uid="{A4673953-A66C-4680-972B-479B6D8B3A28}"/>
    <cellStyle name="标题 4 42 3" xfId="22803" xr:uid="{B4A76834-565C-4468-A2C2-1B11716C71D0}"/>
    <cellStyle name="标题 4 43" xfId="6400" xr:uid="{41046A47-388A-4B3D-BF40-5C2BE3860AA7}"/>
    <cellStyle name="标题 4 43 2" xfId="22806" xr:uid="{F17C50F9-EE95-448B-B30E-295BA2F160F4}"/>
    <cellStyle name="标题 4 43 3" xfId="22805" xr:uid="{C5A36588-714C-4E6C-BF52-A99042F50410}"/>
    <cellStyle name="标题 4 44" xfId="6402" xr:uid="{72F0DFDA-209E-441D-A5FE-A6E499627F6B}"/>
    <cellStyle name="标题 4 44 2" xfId="22808" xr:uid="{05B44733-DDF6-4A79-AED6-E7E1A94580B6}"/>
    <cellStyle name="标题 4 44 3" xfId="22807" xr:uid="{E5EBEFC0-2986-426D-A2FB-3E03B414D671}"/>
    <cellStyle name="标题 4 45" xfId="6405" xr:uid="{5EF28ED3-099A-4DA9-89C6-D5CA570EA78C}"/>
    <cellStyle name="标题 4 45 2" xfId="22810" xr:uid="{5F308430-DBDF-4D83-8EAD-DF26BCBFD2DC}"/>
    <cellStyle name="标题 4 45 3" xfId="22809" xr:uid="{8175736A-08FE-4BCF-AFE3-64CB8CB079C4}"/>
    <cellStyle name="标题 4 46" xfId="6407" xr:uid="{D7A18CD8-9574-4055-953F-C008C052EF60}"/>
    <cellStyle name="标题 4 46 2" xfId="22812" xr:uid="{07D76033-6D82-4E18-8FB4-DC5123EDF004}"/>
    <cellStyle name="标题 4 46 3" xfId="22811" xr:uid="{0CA73D36-DE4E-4033-B969-9E28D6A47F17}"/>
    <cellStyle name="标题 4 47" xfId="6409" xr:uid="{270D1BF1-6C98-472D-9A7B-128D6B6B26EB}"/>
    <cellStyle name="标题 4 47 2" xfId="22813" xr:uid="{4BC06FA7-A807-493E-87CF-4ABC6A4E310A}"/>
    <cellStyle name="标题 4 48" xfId="6411" xr:uid="{A0CB287A-2EAD-4DEB-9EF1-BC53200E63D2}"/>
    <cellStyle name="标题 4 48 2" xfId="22814" xr:uid="{25CC7115-4DFA-49E6-BE95-574E839D99B3}"/>
    <cellStyle name="标题 4 49" xfId="6413" xr:uid="{2775CB58-60E8-4C10-92BD-6F400B73E239}"/>
    <cellStyle name="标题 4 49 2" xfId="22815" xr:uid="{F07A04C2-184A-42EF-9CA3-2D5BC9A4BED1}"/>
    <cellStyle name="标题 4 5" xfId="6415" xr:uid="{1EC28A41-B79A-42DC-968F-319275B9F4C9}"/>
    <cellStyle name="标题 4 5 2" xfId="6416" xr:uid="{21AF7DC6-E7DC-457D-9294-80E65C9BD01D}"/>
    <cellStyle name="标题 4 5 2 2" xfId="10784" xr:uid="{2270462D-9719-4B48-8950-F89625F46B48}"/>
    <cellStyle name="标题 4 5 2 2 2" xfId="22818" xr:uid="{E39E4395-654E-42A0-9B3B-52CF4A8DE745}"/>
    <cellStyle name="标题 4 5 2 3" xfId="22817" xr:uid="{86CA2D3C-53A5-4822-93A4-95B3EB5A2896}"/>
    <cellStyle name="标题 4 5 3" xfId="10785" xr:uid="{4B8FC404-A99D-4CEC-9879-72801C48EA1F}"/>
    <cellStyle name="标题 4 5 3 2" xfId="22819" xr:uid="{5B153D31-EF2F-419B-8451-CF93D6D4FF9A}"/>
    <cellStyle name="标题 4 5 4" xfId="22820" xr:uid="{A561EEE2-03BC-431C-B5BB-DDE9D22C1C56}"/>
    <cellStyle name="标题 4 5 5" xfId="22816" xr:uid="{9D7E5FD0-2824-4922-B9D2-21EF5CFAED68}"/>
    <cellStyle name="标题 4 50" xfId="6406" xr:uid="{14C9FF75-C72D-4061-A784-5CFEE33F1365}"/>
    <cellStyle name="标题 4 50 2" xfId="22821" xr:uid="{745F4994-47E8-4E37-84BB-030EA8AA1857}"/>
    <cellStyle name="标题 4 51" xfId="6408" xr:uid="{6BAA72AE-C157-4ED1-AFBA-EBCA13107493}"/>
    <cellStyle name="标题 4 51 2" xfId="22822" xr:uid="{775B3CC5-EB72-417F-B94E-E952AFDCF66A}"/>
    <cellStyle name="标题 4 52" xfId="6410" xr:uid="{445D8A89-64EA-49B8-9E17-1AC70A29EF42}"/>
    <cellStyle name="标题 4 52 2" xfId="22823" xr:uid="{A3B812F0-1239-4FD5-878D-23296D6891DB}"/>
    <cellStyle name="标题 4 53" xfId="6412" xr:uid="{9754A5CD-8CA5-4D1D-A2C2-D325A7792BE4}"/>
    <cellStyle name="标题 4 53 2" xfId="22824" xr:uid="{93DBD8E6-CE18-4C07-AFA2-BE492714C912}"/>
    <cellStyle name="标题 4 54" xfId="6414" xr:uid="{9A545BAF-26DC-4D12-B733-CFA6AC483556}"/>
    <cellStyle name="标题 4 54 2" xfId="22825" xr:uid="{5F40472E-E056-4CA6-AF72-FCCC512898C1}"/>
    <cellStyle name="标题 4 55" xfId="6417" xr:uid="{153A35CC-BA85-49C8-A18A-0367E4B5E86E}"/>
    <cellStyle name="标题 4 55 2" xfId="22826" xr:uid="{D903C8DA-1C06-4EF7-9188-89276BCE1C89}"/>
    <cellStyle name="标题 4 56" xfId="6419" xr:uid="{AEF9AA44-32CF-4C82-BCB7-A3C4BF2878D9}"/>
    <cellStyle name="标题 4 56 2" xfId="22827" xr:uid="{FC8C71C9-C98B-41F0-BC12-51C0E0AE719A}"/>
    <cellStyle name="标题 4 57" xfId="6421" xr:uid="{B171941E-F6F9-4E36-861A-85C727CD9027}"/>
    <cellStyle name="标题 4 58" xfId="6423" xr:uid="{C0F4F5F8-D6A9-41FC-B33C-7A97CDE1299A}"/>
    <cellStyle name="标题 4 59" xfId="6425" xr:uid="{40EA469C-8ED5-482F-B7AD-DBA9249D60E3}"/>
    <cellStyle name="标题 4 6" xfId="6427" xr:uid="{45DC9483-9AFE-4F0D-9BEE-9CD67CCFBCDB}"/>
    <cellStyle name="标题 4 6 2" xfId="6428" xr:uid="{E419979B-2469-41C6-A8E3-0E9697D6125B}"/>
    <cellStyle name="标题 4 6 2 2" xfId="10787" xr:uid="{43D474C8-D748-4AAA-9928-70F13E92F51C}"/>
    <cellStyle name="标题 4 6 2 2 2" xfId="22830" xr:uid="{A31005A2-0D6F-4394-9924-31A1AD8E14CA}"/>
    <cellStyle name="标题 4 6 2 3" xfId="22829" xr:uid="{36B9C5F5-0403-4FD6-9509-A87664C10172}"/>
    <cellStyle name="标题 4 6 3" xfId="10788" xr:uid="{72A90962-324F-4EEC-91CD-6864BA87F490}"/>
    <cellStyle name="标题 4 6 3 2" xfId="22831" xr:uid="{B37F330D-E617-40EA-9974-2A372D8693B7}"/>
    <cellStyle name="标题 4 6 4" xfId="10786" xr:uid="{A7A1BE31-0AB4-4752-80F4-762E2C8250E1}"/>
    <cellStyle name="标题 4 6 4 2" xfId="22832" xr:uid="{1ACA5801-239D-409A-9433-FEF5E00EA77B}"/>
    <cellStyle name="标题 4 6 5" xfId="22828" xr:uid="{B9C2762D-874B-4C12-9127-633B9F07317A}"/>
    <cellStyle name="标题 4 60" xfId="6418" xr:uid="{CDA1D6EE-C234-425D-8FC4-2CD0EAD59668}"/>
    <cellStyle name="标题 4 61" xfId="6420" xr:uid="{3F5DA5F3-D4EA-48C4-966D-1B3482BA89BB}"/>
    <cellStyle name="标题 4 62" xfId="6422" xr:uid="{6FBCE71A-906E-4994-9494-7D9A5E0D7C1C}"/>
    <cellStyle name="标题 4 63" xfId="6424" xr:uid="{AD3EBAE5-05F6-42FA-B508-A896ABC2D0DE}"/>
    <cellStyle name="标题 4 64" xfId="6426" xr:uid="{25DD1B11-0BE6-44F9-A90F-B0FB5BDD02E6}"/>
    <cellStyle name="标题 4 65" xfId="6429" xr:uid="{77210B73-EF2A-4EB0-9DE8-B16ACCC67A9D}"/>
    <cellStyle name="标题 4 66" xfId="6431" xr:uid="{21276530-CB2E-47F5-B8BB-06B84C2E1471}"/>
    <cellStyle name="标题 4 67" xfId="6433" xr:uid="{06C40305-28A2-40AB-A46D-CBB4BBFA0B59}"/>
    <cellStyle name="标题 4 68" xfId="6435" xr:uid="{D8EA9B9B-4199-47FE-87EF-3B605C1EE221}"/>
    <cellStyle name="标题 4 69" xfId="6437" xr:uid="{5D834113-4A12-41E4-A972-9C398851F68F}"/>
    <cellStyle name="标题 4 7" xfId="6439" xr:uid="{1C75F8A3-7BE4-4B82-A0C2-A10BBBBAA800}"/>
    <cellStyle name="标题 4 7 2" xfId="6440" xr:uid="{58FE51A4-A1AA-408A-9BE1-38A7DA22260A}"/>
    <cellStyle name="标题 4 7 2 2" xfId="10790" xr:uid="{B86BD17C-D052-4EA1-95AB-1BE55A6878DA}"/>
    <cellStyle name="标题 4 7 2 2 2" xfId="22835" xr:uid="{AB557DCB-E794-4C7B-B809-72EB6BC06DD6}"/>
    <cellStyle name="标题 4 7 2 3" xfId="22834" xr:uid="{D2CA3001-2ED3-491F-A2E4-A52B1C299863}"/>
    <cellStyle name="标题 4 7 3" xfId="10791" xr:uid="{2F2E95EE-A45B-4C76-ACF0-8552EDC901C7}"/>
    <cellStyle name="标题 4 7 3 2" xfId="22836" xr:uid="{BAC58B5F-5CDD-45B6-B69E-EACCF5700F79}"/>
    <cellStyle name="标题 4 7 4" xfId="10789" xr:uid="{836D76FC-22E0-4F38-A05F-52DE1889ABCB}"/>
    <cellStyle name="标题 4 7 4 2" xfId="22837" xr:uid="{FC2A88A2-4A1F-44EE-B277-B407CC6CDB7D}"/>
    <cellStyle name="标题 4 7 5" xfId="22833" xr:uid="{B863EB16-7BEF-4419-A580-EE262A40B439}"/>
    <cellStyle name="标题 4 70" xfId="6430" xr:uid="{63C31A44-EF8C-426B-921E-F12ACE355267}"/>
    <cellStyle name="标题 4 71" xfId="6432" xr:uid="{15D20CB7-BFC7-4DE8-964D-FB9095429945}"/>
    <cellStyle name="标题 4 72" xfId="6434" xr:uid="{04D71CCD-B3D1-4DFE-8CD3-1A55DD39D197}"/>
    <cellStyle name="标题 4 73" xfId="6436" xr:uid="{B5B0DB46-8FF3-43D8-983D-9E2B89CAC3D8}"/>
    <cellStyle name="标题 4 74" xfId="6438" xr:uid="{EDEA6B65-7BC9-485F-A4A0-15315F5317AB}"/>
    <cellStyle name="标题 4 75" xfId="6441" xr:uid="{D39844A9-0653-4B65-B984-8DC3C45230B3}"/>
    <cellStyle name="标题 4 76" xfId="6443" xr:uid="{B3E4B840-8597-48BE-9787-2190848C210F}"/>
    <cellStyle name="标题 4 77" xfId="6445" xr:uid="{F7BD1051-3689-4CF6-94D3-3AA62ACF7FA4}"/>
    <cellStyle name="标题 4 78" xfId="6447" xr:uid="{8B1A769B-9F6E-4E13-AAB3-E6DBAA6A9981}"/>
    <cellStyle name="标题 4 79" xfId="6449" xr:uid="{5FECC3A9-B522-4B9E-83F1-7A3537777933}"/>
    <cellStyle name="标题 4 8" xfId="6451" xr:uid="{1E568D92-4B47-43E6-AADB-10FC8BACE977}"/>
    <cellStyle name="标题 4 8 2" xfId="6452" xr:uid="{BD9A1130-6CFD-4528-A85E-17BAF18519DF}"/>
    <cellStyle name="标题 4 8 2 2" xfId="10793" xr:uid="{EA2297D9-2CE4-4756-8AB6-F2A6FDB7D915}"/>
    <cellStyle name="标题 4 8 2 2 2" xfId="22840" xr:uid="{A52C0328-ECD4-4B6D-8640-3E562DFF1B75}"/>
    <cellStyle name="标题 4 8 2 3" xfId="22839" xr:uid="{F5496B22-A895-419A-AA30-E38C9DAF8E0F}"/>
    <cellStyle name="标题 4 8 3" xfId="10794" xr:uid="{C6FE910F-DC96-42FF-9F6A-EB2477EBCBAD}"/>
    <cellStyle name="标题 4 8 3 2" xfId="22841" xr:uid="{90DB910B-3B16-4765-854A-D304A160B324}"/>
    <cellStyle name="标题 4 8 4" xfId="10792" xr:uid="{1800BE6B-8AB2-44F1-8640-2F5798786084}"/>
    <cellStyle name="标题 4 8 4 2" xfId="22842" xr:uid="{91A1117F-433F-4CAB-ADA1-304D267F2142}"/>
    <cellStyle name="标题 4 8 5" xfId="22838" xr:uid="{B36339C4-1464-472A-8680-2BFA2562F7D6}"/>
    <cellStyle name="标题 4 80" xfId="6442" xr:uid="{DC3E9D53-A6E9-4B83-A759-DC4A6AEFDE25}"/>
    <cellStyle name="标题 4 81" xfId="6444" xr:uid="{B3B36081-3427-4735-96A8-E604ABED7233}"/>
    <cellStyle name="标题 4 82" xfId="6446" xr:uid="{9CC86B1E-A431-4BB3-9DB2-DA21781BD71B}"/>
    <cellStyle name="标题 4 83" xfId="6448" xr:uid="{BD5C250F-297C-4018-A862-ACC16F639730}"/>
    <cellStyle name="标题 4 84" xfId="6450" xr:uid="{8159FF61-819B-4BDA-AA6A-841111BD6DF1}"/>
    <cellStyle name="标题 4 85" xfId="9323" xr:uid="{59680FDF-0116-4BE5-B341-FEF4B952A162}"/>
    <cellStyle name="标题 4 86" xfId="13595" xr:uid="{A14D3255-5FC6-471B-BC9E-0C0E09073192}"/>
    <cellStyle name="标题 4 87" xfId="27171" xr:uid="{08D00268-2C7F-440D-8575-C30F2D563577}"/>
    <cellStyle name="标题 4 88" xfId="27165" xr:uid="{A35256CB-061C-4461-AADA-95841C675E32}"/>
    <cellStyle name="标题 4 89" xfId="27198" xr:uid="{C60EE174-EEA3-415A-A8C3-6AB903B364BC}"/>
    <cellStyle name="标题 4 9" xfId="6453" xr:uid="{24F4BAB6-24CC-4E2A-A131-FE8D0B7F18DE}"/>
    <cellStyle name="标题 4 9 2" xfId="10796" xr:uid="{3B7842EC-A7EA-4B81-9ABB-5F7A674C5B07}"/>
    <cellStyle name="标题 4 9 2 2" xfId="22845" xr:uid="{C46B7017-2505-4240-8EB2-5292F5A923E3}"/>
    <cellStyle name="标题 4 9 2 3" xfId="22844" xr:uid="{93C45AC9-62E8-4C80-9442-DA10DCBC8ADD}"/>
    <cellStyle name="标题 4 9 3" xfId="10797" xr:uid="{888FB7B3-46A6-42CF-81D8-B4975C8DEAAA}"/>
    <cellStyle name="标题 4 9 3 2" xfId="22846" xr:uid="{F291476F-92A4-45F0-B5B0-B62A9C281F09}"/>
    <cellStyle name="标题 4 9 4" xfId="10795" xr:uid="{C5231E5B-2A9F-4321-96AB-936C02C23FCC}"/>
    <cellStyle name="标题 4 9 4 2" xfId="22847" xr:uid="{B93DF10C-2B1B-4057-BB7C-8FF815F8B642}"/>
    <cellStyle name="标题 4 9 5" xfId="22843" xr:uid="{A7984E37-D2F2-4B2C-A884-946BF1223142}"/>
    <cellStyle name="标题 4 90" xfId="6352" xr:uid="{C6814579-55E5-4FB9-826D-C4C07CE36F04}"/>
    <cellStyle name="标题 40" xfId="6343" xr:uid="{557ACBC6-9280-4C40-A116-FA5F8E1FC9D6}"/>
    <cellStyle name="标题 40 2" xfId="22849" xr:uid="{74309A60-11F3-4424-A6AB-CAFB5517E2DB}"/>
    <cellStyle name="标题 40 3" xfId="22848" xr:uid="{B55C1A07-DBD6-4A55-8BED-C1A584275EE7}"/>
    <cellStyle name="标题 41" xfId="6345" xr:uid="{E960BF79-A087-4C15-8C08-B8AE416FFE6A}"/>
    <cellStyle name="标题 41 2" xfId="22851" xr:uid="{8D259BA2-AEC2-4484-A50C-EFCF21BF7B44}"/>
    <cellStyle name="标题 41 3" xfId="22850" xr:uid="{E994C791-046B-44BF-89A9-9BD795869124}"/>
    <cellStyle name="标题 42" xfId="6347" xr:uid="{58E8127E-5A1C-4240-ABA5-B756B497DB46}"/>
    <cellStyle name="标题 42 2" xfId="22853" xr:uid="{B5536881-564E-4394-9F13-C1212E29FBC3}"/>
    <cellStyle name="标题 42 3" xfId="22852" xr:uid="{634B4B9E-3AA5-4E40-9D3A-1F8C6D88A9A1}"/>
    <cellStyle name="标题 43" xfId="6349" xr:uid="{EAC09ED8-C640-42F9-8D21-380110E6E5A8}"/>
    <cellStyle name="标题 43 2" xfId="22855" xr:uid="{65FC9120-F4F1-4E29-974E-834728C44B9D}"/>
    <cellStyle name="标题 43 3" xfId="22854" xr:uid="{57955A91-5339-4F56-831B-8A2C47B3E9A9}"/>
    <cellStyle name="标题 44" xfId="6351" xr:uid="{D3301074-D470-453F-B70B-79B25F1C943C}"/>
    <cellStyle name="标题 44 2" xfId="22857" xr:uid="{13E399A0-CE3F-4B29-8048-8C70997E3EAE}"/>
    <cellStyle name="标题 44 3" xfId="22856" xr:uid="{91FFBD83-9B49-423D-B4B9-49C16740413F}"/>
    <cellStyle name="标题 45" xfId="6454" xr:uid="{3FB47196-C074-4F19-B235-114375C01BF8}"/>
    <cellStyle name="标题 45 2" xfId="22859" xr:uid="{1F0F5590-F62C-4B12-8B7E-7088B7DB6CA2}"/>
    <cellStyle name="标题 45 3" xfId="22858" xr:uid="{9D4FDA46-182E-4353-9735-84AC497B9EFA}"/>
    <cellStyle name="标题 46" xfId="6456" xr:uid="{C6B64A6D-F5FD-46B8-AFC6-A1F2198C1277}"/>
    <cellStyle name="标题 46 2" xfId="22861" xr:uid="{DA6E2391-F4DB-42A8-9DF5-75E8D19AFD90}"/>
    <cellStyle name="标题 46 3" xfId="22860" xr:uid="{2DD7C2BB-E6EB-4375-B453-D011C284C8E3}"/>
    <cellStyle name="标题 47" xfId="6458" xr:uid="{5F60755A-0238-4DD5-9322-B5CE620B4540}"/>
    <cellStyle name="标题 47 2" xfId="22863" xr:uid="{51F26D36-DC97-4E70-AA8E-178D1443BF67}"/>
    <cellStyle name="标题 47 3" xfId="22862" xr:uid="{7CAB68E0-0B10-446E-8A61-6B52805BBCB6}"/>
    <cellStyle name="标题 48" xfId="6460" xr:uid="{CC1B9CD3-F5A8-4EA2-9685-DFF266C3F281}"/>
    <cellStyle name="标题 48 2" xfId="22865" xr:uid="{B759E3A0-2831-4115-924F-049A1BC1B78C}"/>
    <cellStyle name="标题 48 3" xfId="22864" xr:uid="{488FCC33-E137-4544-9062-B70ED01592D4}"/>
    <cellStyle name="标题 49" xfId="6462" xr:uid="{E930450F-BA05-49A7-A906-73B57E625D48}"/>
    <cellStyle name="标题 49 2" xfId="22867" xr:uid="{4F570119-9895-4AE9-BE16-6BEA46D7F072}"/>
    <cellStyle name="标题 49 3" xfId="22866" xr:uid="{3394A018-8869-4A67-A9EE-89D008288FFC}"/>
    <cellStyle name="标题 5" xfId="6464" xr:uid="{B47DF0AB-E224-4F3C-892D-4A5B8D9759DC}"/>
    <cellStyle name="标题 5 10" xfId="6465" xr:uid="{3B1F9372-A498-46CE-9960-48F8B17668DE}"/>
    <cellStyle name="标题 5 11" xfId="6466" xr:uid="{3BA9971F-7F6F-47EC-B611-804AF48E8428}"/>
    <cellStyle name="标题 5 12" xfId="6467" xr:uid="{8E4E12E4-3774-4108-A46E-7E8D5261DA5A}"/>
    <cellStyle name="标题 5 13" xfId="6468" xr:uid="{6A4F78BB-A713-4165-835F-1878BF4F5A99}"/>
    <cellStyle name="标题 5 14" xfId="6469" xr:uid="{DA2F206E-F4D7-4870-8783-A1C76A446CD9}"/>
    <cellStyle name="标题 5 15" xfId="12798" xr:uid="{DDD3C21D-3F47-412A-B0AA-5B36CC019B33}"/>
    <cellStyle name="标题 5 2" xfId="6470" xr:uid="{398CDCDF-C879-4D87-934F-BF18692BCDB8}"/>
    <cellStyle name="标题 5 2 2" xfId="22869" xr:uid="{202E778A-C488-4F15-AE6A-BC2A45960738}"/>
    <cellStyle name="标题 5 2 3" xfId="22868" xr:uid="{A2816FFB-189F-401A-9808-6F81E9FD1F9E}"/>
    <cellStyle name="标题 5 2 4" xfId="27450" xr:uid="{5E436543-6174-459E-80BE-EA3CA3E907C1}"/>
    <cellStyle name="标题 5 3" xfId="3180" xr:uid="{C38BEFEC-8438-4C31-AAE3-A62F9BB84345}"/>
    <cellStyle name="标题 5 3 2" xfId="22871" xr:uid="{0DE9F7BD-9174-4391-8F54-579F7281FAF2}"/>
    <cellStyle name="标题 5 3 3" xfId="22870" xr:uid="{F5190EBA-2620-493A-8E61-1531412F0918}"/>
    <cellStyle name="标题 5 3 4" xfId="27451" xr:uid="{8045A514-4105-43C6-9D1C-3D6C580D50D0}"/>
    <cellStyle name="标题 5 4" xfId="6471" xr:uid="{0C8013FE-CA74-45A3-9190-C2AB9CFB340A}"/>
    <cellStyle name="标题 5 4 2" xfId="22872" xr:uid="{EC89FC16-7607-4E5F-BAE9-E7611387BF9E}"/>
    <cellStyle name="标题 5 4 3" xfId="27743" xr:uid="{B22708B5-6FEC-4506-9A3A-6AE654B3361B}"/>
    <cellStyle name="标题 5 5" xfId="6472" xr:uid="{CE914A28-92B6-4783-B493-985C5CA9B2E3}"/>
    <cellStyle name="标题 5 5 2" xfId="22874" xr:uid="{4F7FCB43-B36F-4EA9-90A3-3B9C8EB8E050}"/>
    <cellStyle name="标题 5 5 3" xfId="22873" xr:uid="{54F301EF-3414-49E8-A447-06EFB04027D4}"/>
    <cellStyle name="标题 5 6" xfId="6473" xr:uid="{BDD9A0B0-DE88-4281-B099-CBFAC24BA8A2}"/>
    <cellStyle name="标题 5 6 2" xfId="22875" xr:uid="{A7DFCA94-E2B9-48C9-A788-DB04F4BB66BA}"/>
    <cellStyle name="标题 5 7" xfId="6474" xr:uid="{61E0ADE4-2D2C-44F0-B89C-2B390AE07B7F}"/>
    <cellStyle name="标题 5 7 2" xfId="22876" xr:uid="{E19B5F50-15A9-4F99-93B7-E36890F81B73}"/>
    <cellStyle name="标题 5 8" xfId="6475" xr:uid="{A18CB169-45BF-4807-BBDA-85FCDA244B22}"/>
    <cellStyle name="标题 5 9" xfId="6476" xr:uid="{5144059C-DDA8-439C-8B79-B81EC459AE2E}"/>
    <cellStyle name="标题 5_动力部" xfId="22877" xr:uid="{E69F1EC8-38B4-4324-8E4B-78619140071F}"/>
    <cellStyle name="标题 50" xfId="6455" xr:uid="{BFB091F2-9D92-4E91-85A2-F427DFA9BD0D}"/>
    <cellStyle name="标题 50 2" xfId="22878" xr:uid="{4B7B87FC-9A78-4D2A-AFF4-3739190A36BB}"/>
    <cellStyle name="标题 51" xfId="6457" xr:uid="{67D6B98B-1A93-4AD0-9A5F-77E01380149D}"/>
    <cellStyle name="标题 51 2" xfId="22879" xr:uid="{D979F80A-286A-4793-84F6-35A4605D679E}"/>
    <cellStyle name="标题 52" xfId="6459" xr:uid="{C798A7F5-771D-4FC9-AF77-03CC688D2B82}"/>
    <cellStyle name="标题 52 2" xfId="22880" xr:uid="{E7C0CC83-8934-4F18-88F4-A62449105AEE}"/>
    <cellStyle name="标题 53" xfId="6461" xr:uid="{3353DA61-3706-486A-8CA4-0FAF7EC67965}"/>
    <cellStyle name="标题 53 2" xfId="22881" xr:uid="{68A4FFB8-C19B-4B3D-BFDA-97EA4AAB1C78}"/>
    <cellStyle name="标题 54" xfId="6463" xr:uid="{BAC01F1D-9F44-429F-B093-73ED4B8C8E7D}"/>
    <cellStyle name="标题 54 2" xfId="22882" xr:uid="{3261C185-2AB9-44F3-B689-2BFC3D4E2B09}"/>
    <cellStyle name="标题 55" xfId="6477" xr:uid="{A5C926D8-471F-4A50-9EA8-E752F7970CAE}"/>
    <cellStyle name="标题 55 2" xfId="22883" xr:uid="{D8721238-0B23-41E6-ABDF-C92B8D394483}"/>
    <cellStyle name="标题 56" xfId="6479" xr:uid="{CFAC0F70-81BC-48DA-95EF-A735414E2874}"/>
    <cellStyle name="标题 56 2" xfId="22884" xr:uid="{4C7C2D19-546C-40BA-81D7-99987E5BA57F}"/>
    <cellStyle name="标题 57" xfId="4151" xr:uid="{27B6D30A-EF19-4B0A-ABA5-FFF5F789C6FA}"/>
    <cellStyle name="标题 57 2" xfId="22885" xr:uid="{DA24C95C-880B-40E0-A4DC-7BD3C2081991}"/>
    <cellStyle name="标题 58" xfId="6481" xr:uid="{5A345866-585C-4114-97B3-56259DBD82E0}"/>
    <cellStyle name="标题 58 2" xfId="22886" xr:uid="{76369B42-3C88-4572-BD09-C9E3DDC5B64F}"/>
    <cellStyle name="标题 59" xfId="6483" xr:uid="{9F225F16-334C-48D3-8BF8-4C742EFB39C9}"/>
    <cellStyle name="标题 59 2" xfId="22887" xr:uid="{9B68D24C-AAF1-4D09-89EB-DDC469EDC9ED}"/>
    <cellStyle name="标题 6" xfId="6485" xr:uid="{00E8CC21-A238-4FD4-800C-027D0214B9B3}"/>
    <cellStyle name="标题 6 2" xfId="6486" xr:uid="{26E512FF-A2C6-48B5-9A7D-5E7C485FA7D9}"/>
    <cellStyle name="标题 6 2 2" xfId="10798" xr:uid="{D2B2AB4A-0DC2-4833-B541-8B10332A2D16}"/>
    <cellStyle name="标题 6 2 3" xfId="22889" xr:uid="{B5D40CFC-1C28-4E1F-978F-A8E6CC233FF2}"/>
    <cellStyle name="标题 6 2 4" xfId="27452" xr:uid="{6A3C1E7F-E9F8-4C8D-8E32-264CDE9C3914}"/>
    <cellStyle name="标题 6 3" xfId="10799" xr:uid="{5A0DC2CD-5712-4A2E-AB93-1BF720EEBA8D}"/>
    <cellStyle name="标题 6 3 2" xfId="22891" xr:uid="{6B628D5E-1CB4-4903-8553-62C7AD29857A}"/>
    <cellStyle name="标题 6 3 3" xfId="22890" xr:uid="{2AC520C1-C716-48BD-8AAA-D5D9DEFE4D7B}"/>
    <cellStyle name="标题 6 3 4" xfId="27453" xr:uid="{1A4EFBFB-B42C-46F0-BCA0-8DC00C1F236C}"/>
    <cellStyle name="标题 6 4" xfId="22892" xr:uid="{599F0478-208D-4EF3-BB70-D0BC453847B6}"/>
    <cellStyle name="标题 6 4 2" xfId="27744" xr:uid="{026E57B1-F574-4999-B1FA-1BA8BC031E66}"/>
    <cellStyle name="标题 6 5" xfId="22893" xr:uid="{7E2CFF6A-F8E3-40BB-BE00-31BC7A65F034}"/>
    <cellStyle name="标题 6 5 2" xfId="22894" xr:uid="{7C3D90C8-753E-4B9A-BD06-27AD8E59FA76}"/>
    <cellStyle name="标题 6 6" xfId="22888" xr:uid="{BB2B6C5C-77A6-4C63-9F39-8B51021CFF1D}"/>
    <cellStyle name="标题 60" xfId="6478" xr:uid="{543B2BB2-1969-4A69-8648-6D025E3A437C}"/>
    <cellStyle name="标题 61" xfId="6480" xr:uid="{B603105E-67A5-46E1-8E76-01E6A2BA0C9B}"/>
    <cellStyle name="标题 62" xfId="4152" xr:uid="{3AA48D5F-4D2C-4FDE-9501-0CDE2A0E2017}"/>
    <cellStyle name="标题 63" xfId="6482" xr:uid="{7AC4B981-859D-4D87-993A-90AB6ECAAC90}"/>
    <cellStyle name="标题 64" xfId="6484" xr:uid="{F62B3855-6725-4E82-AE9E-E94A9663EC8C}"/>
    <cellStyle name="标题 65" xfId="6487" xr:uid="{61668009-46B4-43A8-98F1-FBE40ADD7B3C}"/>
    <cellStyle name="标题 66" xfId="6489" xr:uid="{BA2E8712-A930-4DA6-B57A-9F8FE75FD5A1}"/>
    <cellStyle name="标题 67" xfId="6491" xr:uid="{2A37F2FB-8A1F-4AE3-B2CA-5689CAE48342}"/>
    <cellStyle name="标题 68" xfId="6493" xr:uid="{CA44E58F-F3A0-4653-90CA-F5518675FBF3}"/>
    <cellStyle name="标题 69" xfId="6495" xr:uid="{04307CD3-6830-47F3-9C64-0D8F69EFA1A4}"/>
    <cellStyle name="标题 7" xfId="3519" xr:uid="{87EFF74D-9DF6-47B8-BE73-4C35EA46DF2D}"/>
    <cellStyle name="标题 7 2" xfId="3400" xr:uid="{F5674F25-0F90-4D54-A02E-09A208D02C3E}"/>
    <cellStyle name="标题 7 2 2" xfId="10800" xr:uid="{BD6161B8-2D66-4A6C-A554-140C193B5420}"/>
    <cellStyle name="标题 7 2 2 2" xfId="22897" xr:uid="{3018C11C-30DA-49D7-8485-5892167C09C7}"/>
    <cellStyle name="标题 7 2 3" xfId="22896" xr:uid="{C93FB0DF-D2E0-4BC9-8879-28B7709380F0}"/>
    <cellStyle name="标题 7 3" xfId="10801" xr:uid="{9BA5EDCD-CB3C-44E3-B231-8F9FC47C2229}"/>
    <cellStyle name="标题 7 3 2" xfId="22898" xr:uid="{0ED47EC6-8591-4E90-B378-72FAA7F016D2}"/>
    <cellStyle name="标题 7 4" xfId="22899" xr:uid="{55B4FDEC-86E1-4435-8E08-5A5A72A017E8}"/>
    <cellStyle name="标题 7 4 2" xfId="22900" xr:uid="{0E9799E7-DA3D-4AD6-B5F6-89459C04A36E}"/>
    <cellStyle name="标题 7 5" xfId="22895" xr:uid="{11BD4262-099D-4CF7-94A3-7710EC365DFA}"/>
    <cellStyle name="标题 70" xfId="6488" xr:uid="{99CD9278-96BF-424B-BE85-0F5F37A8F5FE}"/>
    <cellStyle name="标题 71" xfId="6490" xr:uid="{EE3C9D3B-882A-44D7-80EF-6B66E6C380B5}"/>
    <cellStyle name="标题 72" xfId="6492" xr:uid="{6FC24612-64FD-4CF9-8EFB-307F31CBF395}"/>
    <cellStyle name="标题 73" xfId="6494" xr:uid="{4EAE1D00-6592-4697-93CA-11A609E07029}"/>
    <cellStyle name="标题 74" xfId="6496" xr:uid="{F03769DF-2D51-4AD0-8967-9589B318E9EA}"/>
    <cellStyle name="标题 75" xfId="6497" xr:uid="{F653ADB0-FE3C-4C04-853C-F6D82CEF79B4}"/>
    <cellStyle name="标题 76" xfId="6499" xr:uid="{3ED183D4-0F5D-4F96-9DEE-761028355201}"/>
    <cellStyle name="标题 77" xfId="6501" xr:uid="{EA34C558-6EB1-4F6C-8620-6F8593FE9F21}"/>
    <cellStyle name="标题 78" xfId="6503" xr:uid="{8A55F1FE-49C5-4CF6-B0F1-A682B201C445}"/>
    <cellStyle name="标题 79" xfId="6505" xr:uid="{713A091C-CB42-4933-B2EB-32346961FF61}"/>
    <cellStyle name="标题 8" xfId="4144" xr:uid="{7B82E00A-E2D8-4B86-AF76-6ED890EB5E71}"/>
    <cellStyle name="标题 8 2" xfId="1598" xr:uid="{7C2B4C7A-947A-4041-8BF0-EC1F062CAA08}"/>
    <cellStyle name="标题 8 2 2" xfId="10802" xr:uid="{9E2C2323-C664-4CF9-AFB8-AFA058E943B0}"/>
    <cellStyle name="标题 8 2 2 2" xfId="22903" xr:uid="{10E231C9-1AC3-4A07-B818-DA0C58818D6E}"/>
    <cellStyle name="标题 8 2 3" xfId="22902" xr:uid="{B0ED6B82-7F5B-4757-8319-68F02143B791}"/>
    <cellStyle name="标题 8 3" xfId="10803" xr:uid="{F65518B9-55C4-46AA-8616-190E6C0940BC}"/>
    <cellStyle name="标题 8 3 2" xfId="22904" xr:uid="{94FC7C40-7EB1-4CD1-A78B-D8A797A8C56F}"/>
    <cellStyle name="标题 8 4" xfId="22905" xr:uid="{01254686-436C-46A6-A6D9-4B3B71B6F2C2}"/>
    <cellStyle name="标题 8 5" xfId="22901" xr:uid="{5B38F9A5-9DFC-42E8-AD14-4F22FF23BF45}"/>
    <cellStyle name="标题 80" xfId="6498" xr:uid="{C1229D0B-539B-4621-B8AD-8229B75F3725}"/>
    <cellStyle name="标题 81" xfId="6500" xr:uid="{5CA657F4-32F3-4963-BC23-6F60426329F4}"/>
    <cellStyle name="标题 82" xfId="6502" xr:uid="{A5A7AF77-DAF2-487B-8F50-9BF5B28D1FD2}"/>
    <cellStyle name="标题 83" xfId="6504" xr:uid="{0946645E-8726-4B1E-AC45-2B240DB20429}"/>
    <cellStyle name="标题 84" xfId="6506" xr:uid="{3A01A8BF-723E-4CEB-B9B7-91DDC0071963}"/>
    <cellStyle name="标题 85" xfId="6507" xr:uid="{EBD1CF53-FC91-4539-B8F8-0A3F4167129A}"/>
    <cellStyle name="标题 86" xfId="6508" xr:uid="{74A80BD5-915A-44DF-9356-BF4AFB708342}"/>
    <cellStyle name="标题 87" xfId="6509" xr:uid="{96BBF3A5-8649-4C7A-B0B8-34B42C12D7DA}"/>
    <cellStyle name="标题 88" xfId="9319" xr:uid="{3763E2BB-DB6F-4F41-A294-31485BF7C08C}"/>
    <cellStyle name="标题 89" xfId="13599" xr:uid="{5D4AD37F-F01F-43A7-A917-4E0F2244A6D1}"/>
    <cellStyle name="标题 9" xfId="4146" xr:uid="{2538A12B-8C5A-40EE-BB5D-89199EF020B1}"/>
    <cellStyle name="标题 9 2" xfId="6510" xr:uid="{5C511232-6566-4B2F-8B6C-4214ACA67EF9}"/>
    <cellStyle name="标题 9 2 2" xfId="10805" xr:uid="{75A17DAB-F630-401A-BF46-E732BF02665A}"/>
    <cellStyle name="标题 9 2 2 2" xfId="22908" xr:uid="{606F3A03-D0B7-475F-82BA-F0384BDB6086}"/>
    <cellStyle name="标题 9 2 3" xfId="22907" xr:uid="{A4611FEB-23E0-4311-85B5-23F9E82D6BB6}"/>
    <cellStyle name="标题 9 3" xfId="10806" xr:uid="{5573AF05-D8CE-4C19-ACE9-30A234DEEC5A}"/>
    <cellStyle name="标题 9 3 2" xfId="22909" xr:uid="{7289F2E1-E6A2-411C-8202-93880F12EC88}"/>
    <cellStyle name="标题 9 4" xfId="10804" xr:uid="{F4AEA74F-A64D-43C1-9FAA-3D87D1BEB6F1}"/>
    <cellStyle name="标题 9 4 2" xfId="22910" xr:uid="{5410498F-A10A-444B-8FF4-0168E8DE79AE}"/>
    <cellStyle name="标题 9 5" xfId="22906" xr:uid="{882C08AB-7092-4A18-A9AE-B87EE55CE918}"/>
    <cellStyle name="标题 90" xfId="27159" xr:uid="{0363DB03-873C-434E-B895-91D7A8001576}"/>
    <cellStyle name="标题 91" xfId="27201" xr:uid="{E8BB8A5F-8701-4B8C-8542-CB3737E3DF2E}"/>
    <cellStyle name="标题 92" xfId="27226" xr:uid="{21B6BAFC-62B6-44CA-8CA6-0B8BBE29D168}"/>
    <cellStyle name="标题 93" xfId="6025" xr:uid="{BD3CB3B1-9F49-45D1-AC96-A07EE63B46B3}"/>
    <cellStyle name="标题 94" xfId="27249" xr:uid="{9262CC03-5F3F-4776-8D38-668F00DF08E5}"/>
    <cellStyle name="标题1" xfId="22911" xr:uid="{EE9DA87B-1514-4045-8892-F36C46CD1861}"/>
    <cellStyle name="标题1 2" xfId="22912" xr:uid="{7BA53580-3DDE-4213-8EAC-CBCA8C7016B4}"/>
    <cellStyle name="标题1 2 2" xfId="22913" xr:uid="{6293F8A6-B6E0-4CF3-8A06-44C7A0561C5E}"/>
    <cellStyle name="标题1 2 3" xfId="22914" xr:uid="{F7886942-2317-471D-9377-060CB9B7F1CC}"/>
    <cellStyle name="标题1 2 4" xfId="22915" xr:uid="{6C3FB0F1-E282-4D8A-B0AD-18136B8955B6}"/>
    <cellStyle name="标题1 3" xfId="22916" xr:uid="{25E53702-7172-40DD-B1FC-D14151C6A371}"/>
    <cellStyle name="标题1 4" xfId="22917" xr:uid="{C0DD6D67-B9DB-43B2-9724-DB8282ADCB71}"/>
    <cellStyle name="标题1_动力部" xfId="22918" xr:uid="{A3983528-CF5E-4015-8CF6-2A4AEC553AEA}"/>
    <cellStyle name="標準_96.9累計" xfId="6511" xr:uid="{40502DDA-3B5F-418C-B97E-9BD6CC760FF7}"/>
    <cellStyle name="表标题" xfId="22919" xr:uid="{65E60842-3618-4A07-A239-35A97681AF64}"/>
    <cellStyle name="表标题 2" xfId="22920" xr:uid="{23D6DA6F-D7EA-4DDD-ABC3-E74EB1120DCA}"/>
    <cellStyle name="表标题 2 2" xfId="22921" xr:uid="{56251553-CB8A-4745-BD62-C98BC2F75326}"/>
    <cellStyle name="表标题 2_动力部" xfId="22922" xr:uid="{F5A7BFC4-B3A4-4829-91F8-070B5F837752}"/>
    <cellStyle name="表标题 3" xfId="22923" xr:uid="{DE9A3916-2AE2-4690-B08B-FE2015794E4A}"/>
    <cellStyle name="表标题_动力部" xfId="22924" xr:uid="{FA47BD92-4945-4748-8F1E-A1AB6C2CE1E1}"/>
    <cellStyle name="部门" xfId="22925" xr:uid="{8A79F697-08F4-40BF-8DD8-D4EC7DFAD2D1}"/>
    <cellStyle name="部门 2" xfId="22926" xr:uid="{0DD2F126-1BF7-4774-963F-2BD09F851D15}"/>
    <cellStyle name="部门 2 2" xfId="22927" xr:uid="{301252DE-2CC8-488F-81B1-584CC319D079}"/>
    <cellStyle name="部门 2 3" xfId="22928" xr:uid="{B02FBFC5-64DB-4FF7-A75A-2BEBC4DF1A48}"/>
    <cellStyle name="部门 2 4" xfId="22929" xr:uid="{530DBFF1-5629-4E59-B893-073CDB907A71}"/>
    <cellStyle name="部门 3" xfId="22930" xr:uid="{D2B35453-43ED-4E61-BE1E-39227B07E0E1}"/>
    <cellStyle name="部门 4" xfId="22931" xr:uid="{D4980B5C-46CB-45A4-A900-C1EBAF8E7F3B}"/>
    <cellStyle name="部门 5" xfId="22932" xr:uid="{D81B28C3-5173-415F-9DF0-1BA7B9E53970}"/>
    <cellStyle name="部门 6" xfId="22933" xr:uid="{3A37CF92-3828-4210-A060-8E87A4EBFAAB}"/>
    <cellStyle name="部门_动力部" xfId="22934" xr:uid="{012DA75B-CA22-479E-9D1A-67ECA2C3B0EE}"/>
    <cellStyle name="差" xfId="27812" builtinId="27" customBuiltin="1"/>
    <cellStyle name="差 10" xfId="6513" xr:uid="{69FFC7A8-9225-4376-8B25-4B71817D602C}"/>
    <cellStyle name="差 10 2" xfId="10809" xr:uid="{548822E2-6DD8-4803-BF29-532947045B0B}"/>
    <cellStyle name="差 10 2 2" xfId="22937" xr:uid="{C1E52592-0A18-42B3-9817-3DFFA99B620D}"/>
    <cellStyle name="差 10 2 3" xfId="22936" xr:uid="{D8A17071-5F24-4D74-AA02-D4DD162D8CE3}"/>
    <cellStyle name="差 10 3" xfId="10810" xr:uid="{DAA58184-A3F7-4B7E-B6BB-8DE9CDCA9029}"/>
    <cellStyle name="差 10 3 2" xfId="22938" xr:uid="{30749FE4-88BE-4A85-B30B-435307A681FF}"/>
    <cellStyle name="差 10 4" xfId="10808" xr:uid="{02783642-C178-4473-8084-44958F57BCA0}"/>
    <cellStyle name="差 10 4 2" xfId="22939" xr:uid="{01EC3986-A4B5-4D8F-BEDB-36CDAA8259D3}"/>
    <cellStyle name="差 10 5" xfId="22935" xr:uid="{8A175471-6244-4A4D-A38B-44638C248BB3}"/>
    <cellStyle name="差 11" xfId="6514" xr:uid="{B3B69CD6-11CC-42A4-8328-FB37F1549B3D}"/>
    <cellStyle name="差 11 2" xfId="10812" xr:uid="{3402C492-FB2C-4BAF-91BB-DD8B3C75FC87}"/>
    <cellStyle name="差 11 2 2" xfId="22942" xr:uid="{9079B3DD-E25F-4DCF-8060-607205DC0F2F}"/>
    <cellStyle name="差 11 2 3" xfId="22941" xr:uid="{B08AAAF0-A4AD-4F6B-A620-70C2FBC07550}"/>
    <cellStyle name="差 11 3" xfId="10813" xr:uid="{75FE7324-E83D-43A2-98C7-0AE916035DE2}"/>
    <cellStyle name="差 11 3 2" xfId="22943" xr:uid="{08080735-C7BA-46F4-9E59-1A5E4024A4CD}"/>
    <cellStyle name="差 11 4" xfId="10811" xr:uid="{48CDFF07-9202-4B35-A1B6-5A5CEF69DAE2}"/>
    <cellStyle name="差 11 4 2" xfId="22944" xr:uid="{CC535BDD-27C4-414D-A7D8-BE1DDCC02F4A}"/>
    <cellStyle name="差 11 5" xfId="22940" xr:uid="{20039AF7-4345-468D-94F4-ABFBDD772ED0}"/>
    <cellStyle name="差 12" xfId="6515" xr:uid="{B7EBDD45-AAEF-462F-8F97-0A87D336BE33}"/>
    <cellStyle name="差 12 2" xfId="10815" xr:uid="{11028DA3-6205-4AEF-A61A-D03E861A90F7}"/>
    <cellStyle name="差 12 2 2" xfId="22947" xr:uid="{F513AE48-70D3-4519-95B6-1CD7E556E5C4}"/>
    <cellStyle name="差 12 2 3" xfId="22946" xr:uid="{3ABCB1F6-A4CB-4652-A4B1-39506A4E20BD}"/>
    <cellStyle name="差 12 3" xfId="10816" xr:uid="{204DD75E-F5AB-4F57-A5BD-5E4CA706F267}"/>
    <cellStyle name="差 12 3 2" xfId="22948" xr:uid="{43BEE061-AA02-4A7F-B0B4-7F899C2DAF20}"/>
    <cellStyle name="差 12 4" xfId="10814" xr:uid="{44AB54F7-CB23-4FF2-98A8-A0A48AC0BADB}"/>
    <cellStyle name="差 12 4 2" xfId="22949" xr:uid="{3644C171-53A4-40F7-A046-1543CDC6E5A4}"/>
    <cellStyle name="差 12 5" xfId="22945" xr:uid="{6725DF8D-939C-4249-9E9D-551B582EADA6}"/>
    <cellStyle name="差 13" xfId="6516" xr:uid="{845AB9EB-14E2-41BA-A18E-411BAA614D5F}"/>
    <cellStyle name="差 13 2" xfId="10818" xr:uid="{F900F66D-DD36-4957-A081-9F63D0083F7F}"/>
    <cellStyle name="差 13 2 2" xfId="22952" xr:uid="{74DDCAF0-C493-4D80-B73E-2DF5D1CAFC86}"/>
    <cellStyle name="差 13 2 3" xfId="22951" xr:uid="{DBEF1C69-87FF-48DA-8E0B-A7EEF772A6E5}"/>
    <cellStyle name="差 13 3" xfId="10819" xr:uid="{08F81BE6-8078-4457-ADDE-12F76BD6B346}"/>
    <cellStyle name="差 13 3 2" xfId="22953" xr:uid="{DDD51552-0918-4F07-BBAA-8B7B3316DE58}"/>
    <cellStyle name="差 13 4" xfId="10817" xr:uid="{E7D087E7-F84F-4E13-825A-366B8660ACBC}"/>
    <cellStyle name="差 13 4 2" xfId="22954" xr:uid="{628516C8-FB99-4A3F-9298-DA86AA9F9D12}"/>
    <cellStyle name="差 13 5" xfId="22950" xr:uid="{EF76998C-A9BB-466C-B597-34D2456CFD3B}"/>
    <cellStyle name="差 14" xfId="6517" xr:uid="{36BCC5AE-FF43-40D8-8053-7412A283C127}"/>
    <cellStyle name="差 14 2" xfId="10821" xr:uid="{7341BF9E-6375-4B39-833C-B93E9C8048BB}"/>
    <cellStyle name="差 14 2 2" xfId="22957" xr:uid="{5315C29A-2801-48EE-B8CC-1F168256F9BE}"/>
    <cellStyle name="差 14 2 3" xfId="22956" xr:uid="{95BA7E65-4587-4FC4-B507-1E5FC93E4461}"/>
    <cellStyle name="差 14 3" xfId="10822" xr:uid="{474AF04D-2FFA-493F-8DDB-71FEE89DE4C9}"/>
    <cellStyle name="差 14 3 2" xfId="22958" xr:uid="{99AC1AEA-6896-44B3-8A01-F54D07D6525E}"/>
    <cellStyle name="差 14 4" xfId="10820" xr:uid="{EEC4A3A3-DCB2-4378-BCBB-0C085D239544}"/>
    <cellStyle name="差 14 4 2" xfId="22959" xr:uid="{E606C8A2-3A14-4768-8E2F-4ABC041A5EAB}"/>
    <cellStyle name="差 14 5" xfId="22955" xr:uid="{CE079476-C961-4478-A3F5-62E883FC4BE8}"/>
    <cellStyle name="差 15" xfId="6518" xr:uid="{170C0A3C-A9D0-4BD4-B08A-83F434180A8B}"/>
    <cellStyle name="差 15 2" xfId="10824" xr:uid="{5B2897A4-D255-4330-9A21-445A3F6BFB00}"/>
    <cellStyle name="差 15 2 2" xfId="22962" xr:uid="{F9280C62-0F3D-41C0-8FFD-FAF6551E5E33}"/>
    <cellStyle name="差 15 2 3" xfId="22961" xr:uid="{2603517C-E83E-45FD-9711-893F6F3A3246}"/>
    <cellStyle name="差 15 3" xfId="10825" xr:uid="{610CB9C4-0692-429D-9E8C-F20C19483E31}"/>
    <cellStyle name="差 15 3 2" xfId="22963" xr:uid="{17294800-75A6-42CF-9FE1-3F8C2B3121FC}"/>
    <cellStyle name="差 15 4" xfId="10823" xr:uid="{9FB91D67-2A52-4B94-8D62-97401A4BAD31}"/>
    <cellStyle name="差 15 4 2" xfId="22964" xr:uid="{B1E807A1-E070-4234-97B2-259090EB176B}"/>
    <cellStyle name="差 15 5" xfId="22960" xr:uid="{E9E46E2E-DCD5-4472-A893-343AA42969CA}"/>
    <cellStyle name="差 16" xfId="6520" xr:uid="{420A619D-47BF-4231-964F-C4578D92E016}"/>
    <cellStyle name="差 16 2" xfId="10827" xr:uid="{A3BABD5B-D616-4C06-8894-488CC101126D}"/>
    <cellStyle name="差 16 2 2" xfId="22967" xr:uid="{DD6FD938-F91D-412B-B7DB-0597EA6DE768}"/>
    <cellStyle name="差 16 2 3" xfId="22966" xr:uid="{F6493D0E-9C4F-4D72-83E8-F35D57EFB9F0}"/>
    <cellStyle name="差 16 3" xfId="10828" xr:uid="{2F0C8CEE-D46F-4305-9140-DA4698CAD8B1}"/>
    <cellStyle name="差 16 3 2" xfId="22968" xr:uid="{0506B5B1-DBB9-4D7A-BD9E-45D510BF4AA4}"/>
    <cellStyle name="差 16 4" xfId="10826" xr:uid="{B964FDC1-08F3-49DF-ACBE-D62F0FDACDEE}"/>
    <cellStyle name="差 16 4 2" xfId="22969" xr:uid="{4BE469C9-A4D7-432C-BF43-554911666677}"/>
    <cellStyle name="差 16 5" xfId="22965" xr:uid="{0857FCB2-ECF6-4210-8219-2AA4517171AC}"/>
    <cellStyle name="差 17" xfId="6522" xr:uid="{CD079028-FC5D-467E-9C7D-BC1CACAD65C9}"/>
    <cellStyle name="差 17 2" xfId="10830" xr:uid="{CE8AA250-9EBC-4CBA-9B36-0459DC64F870}"/>
    <cellStyle name="差 17 2 2" xfId="22972" xr:uid="{DC73CB16-0F24-42C7-AABE-01D78C88EA8B}"/>
    <cellStyle name="差 17 2 3" xfId="22971" xr:uid="{E35724DB-C8F4-4E17-B9B4-6A3D01C7E846}"/>
    <cellStyle name="差 17 3" xfId="10831" xr:uid="{128A0979-ED71-4E4B-89CD-8C241819124A}"/>
    <cellStyle name="差 17 3 2" xfId="22973" xr:uid="{5AA82773-4172-40D2-945D-F03401939561}"/>
    <cellStyle name="差 17 4" xfId="10829" xr:uid="{00C5B746-3336-44AB-BF1B-844D3DDDA6D5}"/>
    <cellStyle name="差 17 4 2" xfId="22974" xr:uid="{524FD141-7FB3-4E28-8273-B5D451C6A5C9}"/>
    <cellStyle name="差 17 5" xfId="22970" xr:uid="{C64A986B-C377-4BFC-BEA5-4832C48AB8CA}"/>
    <cellStyle name="差 18" xfId="6524" xr:uid="{56B30882-F9F3-493E-8143-83662BE947E6}"/>
    <cellStyle name="差 18 2" xfId="10832" xr:uid="{9AD321D0-D01C-4D3B-8A83-8BE00B8C7D07}"/>
    <cellStyle name="差 18 2 2" xfId="22977" xr:uid="{2885B12C-07B5-4DF6-9B00-0AFFE0120A24}"/>
    <cellStyle name="差 18 2 3" xfId="22976" xr:uid="{193051E1-5A2C-4A6F-8665-0E45F91763A8}"/>
    <cellStyle name="差 18 3" xfId="22978" xr:uid="{E0651A4B-F235-4E64-82AA-599E12018411}"/>
    <cellStyle name="差 18 4" xfId="22979" xr:uid="{63093024-B6AA-4730-AD2C-BAA3E9DEC64E}"/>
    <cellStyle name="差 18 5" xfId="22975" xr:uid="{40E818C8-0A68-49FC-94F5-3960DF57E66E}"/>
    <cellStyle name="差 19" xfId="6526" xr:uid="{B252B82B-4DA8-4666-ABD0-80A6B732F115}"/>
    <cellStyle name="差 19 2" xfId="10833" xr:uid="{44BE5CED-1869-4DCC-A4B8-8CEAE6A04845}"/>
    <cellStyle name="差 19 2 2" xfId="22982" xr:uid="{5527134E-7611-4381-9734-F233EAA4093E}"/>
    <cellStyle name="差 19 2 3" xfId="22981" xr:uid="{30EE8600-CEC4-4A35-8A2E-4E072819725B}"/>
    <cellStyle name="差 19 3" xfId="22983" xr:uid="{F235E8D2-A6E7-4CE7-846E-D76EBBC21D63}"/>
    <cellStyle name="差 19 4" xfId="22984" xr:uid="{F8CF7593-8041-401B-8463-2DB3457927FD}"/>
    <cellStyle name="差 19 5" xfId="22980" xr:uid="{21B985B7-3B8C-478C-98BF-4BEE432AA8F2}"/>
    <cellStyle name="差 2" xfId="6528" xr:uid="{536600A1-B502-4AF2-B14E-D9AD4D2F1880}"/>
    <cellStyle name="差 2 10" xfId="6529" xr:uid="{48DBCF44-6E90-4BC0-B2CC-33FA5E609E3E}"/>
    <cellStyle name="差 2 11" xfId="6530" xr:uid="{4C29A8CC-36B9-4BBC-9556-729B9481C8A9}"/>
    <cellStyle name="差 2 12" xfId="6531" xr:uid="{C121B648-79B6-4547-A1D1-D2920D67748B}"/>
    <cellStyle name="差 2 13" xfId="6532" xr:uid="{0B20D75F-64AC-40E9-A084-CD384EF36FA3}"/>
    <cellStyle name="差 2 14" xfId="990" xr:uid="{942762B8-FAAE-45D3-852E-41B5E803F84C}"/>
    <cellStyle name="差 2 15" xfId="10834" xr:uid="{3A725431-6DAC-4DE1-93E3-55429D2B46CA}"/>
    <cellStyle name="差 2 16" xfId="12594" xr:uid="{1B2548E3-B820-4FD4-B07C-1F18EEC82C19}"/>
    <cellStyle name="差 2 2" xfId="3340" xr:uid="{CCDF66AC-B8DB-40CE-AE06-5C91906E5F5F}"/>
    <cellStyle name="差 2 2 2" xfId="10835" xr:uid="{5C91A8C3-B577-4FBB-B02A-E5819923E6E9}"/>
    <cellStyle name="差 2 2 2 2" xfId="22986" xr:uid="{D85445F6-E9F2-4975-8217-C0E72982C6EC}"/>
    <cellStyle name="差 2 2 3" xfId="22985" xr:uid="{F99B57B4-502B-40AA-8EE8-7C6D34761D52}"/>
    <cellStyle name="差 2 2 4" xfId="27454" xr:uid="{D34196A0-4422-434A-AD6D-FD7B725A84A5}"/>
    <cellStyle name="差 2 3" xfId="3345" xr:uid="{016AE4A7-6212-4659-8C59-985DD46A6880}"/>
    <cellStyle name="差 2 3 2" xfId="10836" xr:uid="{8589964D-5900-46F6-8442-269DA0D2D673}"/>
    <cellStyle name="差 2 3 2 2" xfId="22988" xr:uid="{E54B779C-655E-43CA-925B-5AC218876564}"/>
    <cellStyle name="差 2 3 3" xfId="22987" xr:uid="{71943468-C7AB-483B-B3B0-77BD99F5B57F}"/>
    <cellStyle name="差 2 3 4" xfId="27455" xr:uid="{94DF0F1C-C264-4A7A-BBE5-5825B4761DA3}"/>
    <cellStyle name="差 2 4" xfId="6533" xr:uid="{CDFE386F-2399-478D-A1DD-4490E40CBC9E}"/>
    <cellStyle name="差 2 4 2" xfId="22989" xr:uid="{83CC202B-B9D8-4BB6-80BC-7856004F3B45}"/>
    <cellStyle name="差 2 4 3" xfId="27745" xr:uid="{FFA14D70-43F2-45F0-AE0A-1E06B69CA46A}"/>
    <cellStyle name="差 2 5" xfId="6534" xr:uid="{073F6BED-D124-4AE8-B7E5-6109E178D4A7}"/>
    <cellStyle name="差 2 5 2" xfId="22991" xr:uid="{DB2AA918-7AB2-4C95-A26F-B1CEF3F0153D}"/>
    <cellStyle name="差 2 5 3" xfId="22990" xr:uid="{F3E5BA89-FBC4-4647-B63D-AD9A4BF47D8D}"/>
    <cellStyle name="差 2 6" xfId="6535" xr:uid="{ED2A289A-A979-4689-B822-52D91B7CA6BF}"/>
    <cellStyle name="差 2 6 2" xfId="22992" xr:uid="{0083FDB4-A47B-40CB-93F5-E8511E286F79}"/>
    <cellStyle name="差 2 7" xfId="6536" xr:uid="{B14F5177-D1DD-4A6C-A21E-00031D9121A7}"/>
    <cellStyle name="差 2 7 2" xfId="22993" xr:uid="{B02597B8-6BA7-45A4-94CA-50CC90868BFA}"/>
    <cellStyle name="差 2 8" xfId="6537" xr:uid="{9184F59D-1DAC-480C-953A-8930E1DB569F}"/>
    <cellStyle name="差 2 9" xfId="6538" xr:uid="{DB12F4F1-6DAE-4DCE-B3FC-07611CB4576D}"/>
    <cellStyle name="差 2_动力部" xfId="22994" xr:uid="{79182487-088E-407C-87B1-A106DECBB581}"/>
    <cellStyle name="差 20" xfId="6519" xr:uid="{D3A22B0A-9853-40D0-8D14-18B33A3D8445}"/>
    <cellStyle name="差 20 2" xfId="10837" xr:uid="{88DB2D4B-6985-48F8-9E3A-1943A555796C}"/>
    <cellStyle name="差 20 2 2" xfId="22997" xr:uid="{57405ED9-F3B7-48F2-9C75-53532B9B7B96}"/>
    <cellStyle name="差 20 2 3" xfId="22996" xr:uid="{AD89F1B7-92BF-41E4-A6D8-8E38301314E9}"/>
    <cellStyle name="差 20 3" xfId="22998" xr:uid="{84873F17-A2D0-4E1F-A73E-707AA400B8B4}"/>
    <cellStyle name="差 20 4" xfId="22999" xr:uid="{B78685C6-8515-4AB0-81D7-7E6B313A0F6E}"/>
    <cellStyle name="差 20 5" xfId="22995" xr:uid="{123A561C-1E29-4036-8375-A4B6B72E8D1A}"/>
    <cellStyle name="差 21" xfId="6521" xr:uid="{0EE06BA5-8E17-48A3-A999-22CF96C0DA89}"/>
    <cellStyle name="差 21 2" xfId="10838" xr:uid="{506E3A83-E595-43B3-A97E-E51629290D43}"/>
    <cellStyle name="差 21 2 2" xfId="23002" xr:uid="{2B6BA291-3CF8-4147-A90D-3469290B3B69}"/>
    <cellStyle name="差 21 2 3" xfId="23001" xr:uid="{2FACBF6B-A931-45F1-BEF0-210C7AD8B2E6}"/>
    <cellStyle name="差 21 3" xfId="23003" xr:uid="{74D43E57-5E31-4134-8876-E65C3ED9CE2B}"/>
    <cellStyle name="差 21 4" xfId="23004" xr:uid="{36EA6B45-07C4-46ED-9A2A-B534C5805018}"/>
    <cellStyle name="差 21 5" xfId="23000" xr:uid="{36B5B187-1E31-48E9-8920-C736F05AD442}"/>
    <cellStyle name="差 22" xfId="6523" xr:uid="{4752817B-21E0-4842-B4D5-B118A76790F6}"/>
    <cellStyle name="差 22 2" xfId="10839" xr:uid="{EAA16836-8F74-4238-8A87-142BC531B716}"/>
    <cellStyle name="差 22 2 2" xfId="23007" xr:uid="{D265941D-4976-4B4C-90BF-3E9E526B7626}"/>
    <cellStyle name="差 22 2 3" xfId="23006" xr:uid="{46B4A237-024E-4AE8-8C46-83C088949A60}"/>
    <cellStyle name="差 22 3" xfId="23008" xr:uid="{CD8614AB-9DF3-4B38-9803-F7AEB956F90C}"/>
    <cellStyle name="差 22 4" xfId="23009" xr:uid="{830E5ED3-6D46-4621-A5E3-B28E2423287E}"/>
    <cellStyle name="差 22 5" xfId="23005" xr:uid="{C3AEE281-83AC-4D01-BD4C-68DB0A55196A}"/>
    <cellStyle name="差 23" xfId="6525" xr:uid="{E826F60D-EBC3-4C37-84CC-CEBD0D799EC0}"/>
    <cellStyle name="差 23 2" xfId="23011" xr:uid="{17F27204-C4A2-4FBA-A0E2-1F7D46E066B2}"/>
    <cellStyle name="差 23 2 2" xfId="23012" xr:uid="{31A4B131-5652-4B6B-84C6-DE46FEB36075}"/>
    <cellStyle name="差 23 3" xfId="23013" xr:uid="{28E630F9-3B99-4407-9E52-90FC5CFF2BF3}"/>
    <cellStyle name="差 23 4" xfId="23014" xr:uid="{9C1FDAFF-8325-40AE-82FE-C3FED28D6333}"/>
    <cellStyle name="差 23 5" xfId="23010" xr:uid="{196E95D4-54CA-41A9-B6E2-0EF7D2C1B644}"/>
    <cellStyle name="差 24" xfId="6527" xr:uid="{786F728F-6D4B-43B5-8119-CF2F63384268}"/>
    <cellStyle name="差 24 2" xfId="23016" xr:uid="{07D736C6-BBC3-449E-833B-043B51A5D6DC}"/>
    <cellStyle name="差 24 2 2" xfId="23017" xr:uid="{0DAA055C-1AD8-4D8E-8543-EDA1075A35FD}"/>
    <cellStyle name="差 24 3" xfId="23018" xr:uid="{F9F26C49-B577-48BE-AFAD-0E9F8B0699AA}"/>
    <cellStyle name="差 24 4" xfId="23019" xr:uid="{5576FC7E-22B3-4AD1-AA1D-A2F79D73E452}"/>
    <cellStyle name="差 24 5" xfId="23015" xr:uid="{D2D552B4-45AC-417B-A4E0-9CC58B979F86}"/>
    <cellStyle name="差 25" xfId="6539" xr:uid="{08E7B113-5B76-45A3-ADA2-801128846EB0}"/>
    <cellStyle name="差 25 2" xfId="23021" xr:uid="{9A7C9ECC-221D-420D-9984-3D5EBF2B2157}"/>
    <cellStyle name="差 25 2 2" xfId="23022" xr:uid="{6D4FEABF-1C2D-4BB0-A3D1-242278B06092}"/>
    <cellStyle name="差 25 3" xfId="23023" xr:uid="{25FD13C3-D2FB-4EAB-ACA9-9A493BC1C7AA}"/>
    <cellStyle name="差 25 4" xfId="23024" xr:uid="{6B34A0F9-8AD9-4820-A261-27AA9C391152}"/>
    <cellStyle name="差 25 5" xfId="23020" xr:uid="{1DD3141D-860F-4AA5-B925-CEF35DD0723C}"/>
    <cellStyle name="差 26" xfId="6541" xr:uid="{C0C9429C-1E1E-48F7-B059-1E6B9A93553D}"/>
    <cellStyle name="差 26 2" xfId="23026" xr:uid="{90FDCA82-D720-4D73-A4A1-05790EF985B4}"/>
    <cellStyle name="差 26 2 2" xfId="23027" xr:uid="{D87C4450-5316-4CDA-A0EB-28F5C4614E79}"/>
    <cellStyle name="差 26 3" xfId="23028" xr:uid="{7C620A0C-E75E-404E-8DCB-E5A07D95C187}"/>
    <cellStyle name="差 26 4" xfId="23029" xr:uid="{54A600AE-2E85-411E-B502-DD25E8984882}"/>
    <cellStyle name="差 26 5" xfId="23025" xr:uid="{9C5F4551-D6E5-4AC7-ABBD-3BE42BB2C409}"/>
    <cellStyle name="差 27" xfId="6543" xr:uid="{F8CEC642-B3EA-4C8F-B193-09D9ADD17070}"/>
    <cellStyle name="差 27 2" xfId="23031" xr:uid="{E00D16CE-479F-4BAA-8A96-90659B5BB767}"/>
    <cellStyle name="差 27 2 2" xfId="23032" xr:uid="{3B7BEBD0-0F56-4D0F-91E7-53F0A63D2953}"/>
    <cellStyle name="差 27 3" xfId="23033" xr:uid="{12AA4855-7DBD-4C2E-B76A-11C53B731F3A}"/>
    <cellStyle name="差 27 4" xfId="23034" xr:uid="{B9AE4D08-A31C-45BF-A096-F478F970BC78}"/>
    <cellStyle name="差 27 5" xfId="23030" xr:uid="{BDD26B26-BFE5-41E4-B9A5-E3EF3B6A21BC}"/>
    <cellStyle name="差 28" xfId="6545" xr:uid="{0960A7D6-DD29-41C9-9032-64785CBE8DB2}"/>
    <cellStyle name="差 28 2" xfId="23036" xr:uid="{BD842680-E00B-4EA5-B404-78C2B4365026}"/>
    <cellStyle name="差 28 3" xfId="23037" xr:uid="{417AE422-B347-48B2-9362-C3E04C0821DE}"/>
    <cellStyle name="差 28 4" xfId="23038" xr:uid="{D963875E-B743-46CA-857D-3AB5F034F617}"/>
    <cellStyle name="差 28 5" xfId="23035" xr:uid="{52FCA09F-0F1E-4906-A481-A6B08D8A1CCC}"/>
    <cellStyle name="差 29" xfId="6547" xr:uid="{6355FACE-32D4-42C4-A9D8-C3B116C85F91}"/>
    <cellStyle name="差 29 2" xfId="23040" xr:uid="{E3297491-F07B-4381-9ED2-13C3E5717213}"/>
    <cellStyle name="差 29 3" xfId="23041" xr:uid="{80E99D45-919C-4B45-9811-40DA8628898E}"/>
    <cellStyle name="差 29 4" xfId="23042" xr:uid="{CBF5C546-42A7-4567-B01C-B653B6ADECF9}"/>
    <cellStyle name="差 29 5" xfId="23039" xr:uid="{EA40D8DC-599F-4997-859F-7E3DCB3E28D2}"/>
    <cellStyle name="差 3" xfId="6549" xr:uid="{E6C3968F-C7FE-4BB9-8FD3-CEF0F7F227F1}"/>
    <cellStyle name="差 3 2" xfId="10841" xr:uid="{722C2285-DE4B-4B30-82AE-95FB1968BC30}"/>
    <cellStyle name="差 3 2 2" xfId="23044" xr:uid="{CFF9F735-91C0-423B-9372-22CEFF3B2821}"/>
    <cellStyle name="差 3 2 3" xfId="27456" xr:uid="{D208205B-06C2-4C54-B713-548BAD57A19E}"/>
    <cellStyle name="差 3 3" xfId="10842" xr:uid="{8A03F593-48F2-443D-9437-17624D7DC61E}"/>
    <cellStyle name="差 3 3 2" xfId="23046" xr:uid="{E3E82EB8-5A0C-46E3-940E-6AAF016A9F47}"/>
    <cellStyle name="差 3 3 3" xfId="23045" xr:uid="{2BF039F0-3D15-4E10-BB05-92604A256617}"/>
    <cellStyle name="差 3 3 4" xfId="27457" xr:uid="{7F99BC6C-2DF3-4B92-9798-139AB278DA03}"/>
    <cellStyle name="差 3 4" xfId="10840" xr:uid="{2B9461FC-B74B-4E51-A1B4-E63E1D0A8DD8}"/>
    <cellStyle name="差 3 4 2" xfId="23047" xr:uid="{1CC80A58-3102-4BC8-BDA0-0C48E50AC059}"/>
    <cellStyle name="差 3 4 3" xfId="27746" xr:uid="{AE0F6C73-88B9-4C73-A7B2-74464F370C09}"/>
    <cellStyle name="差 3 5" xfId="23048" xr:uid="{AB1165E8-C54F-45C1-916B-B3B72AA4BFEA}"/>
    <cellStyle name="差 3 5 2" xfId="23049" xr:uid="{82151CF9-DEA3-4BFF-AFED-F34B52A7D7F5}"/>
    <cellStyle name="差 3 6" xfId="23043" xr:uid="{26A77284-118F-4E28-B5A0-1D10E2D06D43}"/>
    <cellStyle name="差 30" xfId="6540" xr:uid="{47DB9CD3-0C67-420B-9AE5-74A7E3543D88}"/>
    <cellStyle name="差 30 2" xfId="23051" xr:uid="{3BF92CA7-51E9-4C30-9508-96BDFAEBCE67}"/>
    <cellStyle name="差 30 3" xfId="23052" xr:uid="{A074BE10-B7E7-47CF-B258-66B15483B071}"/>
    <cellStyle name="差 30 4" xfId="23053" xr:uid="{67EED07E-FD22-48B2-984D-DF1654BC3C03}"/>
    <cellStyle name="差 30 5" xfId="23050" xr:uid="{3833D525-FA4F-4680-A9BA-98D6E118B425}"/>
    <cellStyle name="差 31" xfId="6542" xr:uid="{0C0F3B5F-E248-4CDA-AAF9-4A66819B40A2}"/>
    <cellStyle name="差 31 2" xfId="23055" xr:uid="{74683969-0C9B-429E-95E0-43F637FDBF45}"/>
    <cellStyle name="差 31 3" xfId="23056" xr:uid="{23A09CD1-8BC2-4471-BABF-1AC188D5AD60}"/>
    <cellStyle name="差 31 4" xfId="23057" xr:uid="{BB603065-C6F2-4AFF-A53F-D7A77767EAD5}"/>
    <cellStyle name="差 31 5" xfId="23054" xr:uid="{4B83A3D6-2BB0-40B1-936D-DFB9F46AE92E}"/>
    <cellStyle name="差 32" xfId="6544" xr:uid="{328A7BBD-4EF9-4780-A92B-E31F7156636A}"/>
    <cellStyle name="差 32 2" xfId="23059" xr:uid="{CAF89DA8-6F0B-4062-BEC9-C701F7DDA8B4}"/>
    <cellStyle name="差 32 3" xfId="23060" xr:uid="{96CAFF8C-63C6-4734-AFC3-037B4D826DD5}"/>
    <cellStyle name="差 32 4" xfId="23061" xr:uid="{2632F853-436F-4B09-A7F0-18841435A6D5}"/>
    <cellStyle name="差 32 5" xfId="23058" xr:uid="{BA995313-F106-4AA4-8A92-FF64D4D7BA4D}"/>
    <cellStyle name="差 33" xfId="6546" xr:uid="{AD7E485F-6777-4611-AE9F-ABBB05C113DC}"/>
    <cellStyle name="差 33 2" xfId="23063" xr:uid="{8DD1EC80-3B58-4FE8-ADB4-97DE17E9D875}"/>
    <cellStyle name="差 33 3" xfId="23064" xr:uid="{BB7C8061-6B7C-4006-9960-AC1E613CCE33}"/>
    <cellStyle name="差 33 4" xfId="23065" xr:uid="{222F2FBD-BC7E-4B6E-871A-90FFA16700EA}"/>
    <cellStyle name="差 33 5" xfId="23062" xr:uid="{98537658-2C59-4B8F-AC23-1EE04CCB6232}"/>
    <cellStyle name="差 34" xfId="6548" xr:uid="{5A29EA66-C3AF-45C4-B1CC-646B6A1157F0}"/>
    <cellStyle name="差 34 2" xfId="13452" xr:uid="{73C67787-A86D-41C7-BFDE-57ECC9AE492D}"/>
    <cellStyle name="差 34 2 2" xfId="23067" xr:uid="{2DB34516-C33B-4F25-AE76-3EB9627950CE}"/>
    <cellStyle name="差 34 3" xfId="23068" xr:uid="{DE16E35B-18DE-40BA-B571-104A376E0B84}"/>
    <cellStyle name="差 34 4" xfId="23069" xr:uid="{4C018BE9-F9BA-4781-97D0-EF1727405B57}"/>
    <cellStyle name="差 34 5" xfId="23066" xr:uid="{2582EB12-ED66-4E95-8177-A1006995249F}"/>
    <cellStyle name="差 35" xfId="6550" xr:uid="{F9A58151-CC00-499D-9C56-E81851ADAA89}"/>
    <cellStyle name="差 35 2" xfId="13453" xr:uid="{4122BE68-8E99-4DA6-82FD-ECF31B438806}"/>
    <cellStyle name="差 35 2 2" xfId="23071" xr:uid="{565C714C-5426-4CF9-903E-5E995B0A0D81}"/>
    <cellStyle name="差 35 3" xfId="23070" xr:uid="{A7B75F81-9D93-4E68-AADD-BF6119688A6C}"/>
    <cellStyle name="差 36" xfId="6552" xr:uid="{7E9EB1AC-E079-4FDD-8144-6E62B400D963}"/>
    <cellStyle name="差 36 2" xfId="13454" xr:uid="{5EF3ED1C-3424-4FEF-B335-D337F05F230F}"/>
    <cellStyle name="差 36 2 2" xfId="23073" xr:uid="{9EEEDCAE-1CFE-459B-AEF4-9EB11111EECA}"/>
    <cellStyle name="差 36 3" xfId="23072" xr:uid="{3D386FE9-BF9E-4495-805D-00667E4862F4}"/>
    <cellStyle name="差 37" xfId="6554" xr:uid="{B35609D0-EF0B-461A-9EB9-2E642A188850}"/>
    <cellStyle name="差 37 2" xfId="13455" xr:uid="{6789D29A-33B5-4074-BB11-C9891427843C}"/>
    <cellStyle name="差 37 2 2" xfId="23075" xr:uid="{4FB1C522-DB1E-4756-BE39-EF196AA31265}"/>
    <cellStyle name="差 37 3" xfId="23074" xr:uid="{7CCB6EA8-4C98-48D4-B5D0-72F98B1323AB}"/>
    <cellStyle name="差 38" xfId="6556" xr:uid="{59FD34BC-B27B-47F9-A5BB-882E604B8495}"/>
    <cellStyle name="差 38 2" xfId="13456" xr:uid="{65A57147-1DB0-42AD-9358-DD29B3B3CC7C}"/>
    <cellStyle name="差 38 2 2" xfId="23077" xr:uid="{E010BEF8-E8EF-47FD-8A65-228AFA1F4034}"/>
    <cellStyle name="差 38 3" xfId="23076" xr:uid="{BD818349-E6F2-49CE-BE97-7873D03171D6}"/>
    <cellStyle name="差 39" xfId="6558" xr:uid="{F8D7E8CD-A50A-4D62-BFF9-FFA5B1D499AA}"/>
    <cellStyle name="差 39 2" xfId="13457" xr:uid="{AF12A797-A2EC-42EA-BE41-4A57216BDE35}"/>
    <cellStyle name="差 39 2 2" xfId="23079" xr:uid="{CC0C3A63-CBB2-41E9-9558-2201A2190F00}"/>
    <cellStyle name="差 39 3" xfId="23078" xr:uid="{7463F32B-6E85-49FA-92EA-B981AF6EE379}"/>
    <cellStyle name="差 4" xfId="6560" xr:uid="{6E29AA6B-CDB3-42AF-B522-5D6193D744A6}"/>
    <cellStyle name="差 4 2" xfId="10844" xr:uid="{3519EAC4-C428-4225-8CF2-26485DE67FF3}"/>
    <cellStyle name="差 4 2 2" xfId="23082" xr:uid="{8576C644-4342-4721-AB6C-18F640392DF7}"/>
    <cellStyle name="差 4 2 3" xfId="23081" xr:uid="{9274541A-AE93-4DE9-B4A8-29F0AF8C5671}"/>
    <cellStyle name="差 4 3" xfId="10845" xr:uid="{69BB0D68-8523-407D-BADD-64846B29696D}"/>
    <cellStyle name="差 4 3 2" xfId="23083" xr:uid="{C436C46A-4646-4E65-8BBB-398727CC1E4E}"/>
    <cellStyle name="差 4 4" xfId="10843" xr:uid="{7DDA0889-ACC4-4904-8CE4-82A5B8A1F34D}"/>
    <cellStyle name="差 4 4 2" xfId="23085" xr:uid="{CEBDF8C9-BD7F-4653-82B2-1EFFB4EFDFDA}"/>
    <cellStyle name="差 4 4 3" xfId="23084" xr:uid="{72A76818-CCF1-43A8-B06C-F71FDDCA3037}"/>
    <cellStyle name="差 4 5" xfId="23080" xr:uid="{688F206F-E3D9-4E00-86E7-01EC60F0A596}"/>
    <cellStyle name="差 40" xfId="6551" xr:uid="{AE6A07A4-9FA4-4ACB-8D28-B8747CF3C50D}"/>
    <cellStyle name="差 40 2" xfId="13458" xr:uid="{167E8398-37AA-441A-88BD-B6E8A748727F}"/>
    <cellStyle name="差 40 2 2" xfId="23087" xr:uid="{6C3F2D3B-1B80-415B-BF41-168D45068C0D}"/>
    <cellStyle name="差 40 3" xfId="23086" xr:uid="{58A06E39-F57A-430A-8F62-C8F5B7748931}"/>
    <cellStyle name="差 41" xfId="6553" xr:uid="{6377B76F-6C5A-424C-91D6-791480D28B1E}"/>
    <cellStyle name="差 41 2" xfId="13459" xr:uid="{7D59AEE3-1AD7-462E-B349-14C522383E11}"/>
    <cellStyle name="差 41 2 2" xfId="23089" xr:uid="{21A93D1C-262D-4A44-829D-EC85BF205171}"/>
    <cellStyle name="差 41 3" xfId="23088" xr:uid="{F3F76F69-2F01-458F-9B79-9A6242537D0E}"/>
    <cellStyle name="差 42" xfId="6555" xr:uid="{9717EC40-48A6-4140-A549-6F72C66B4E7B}"/>
    <cellStyle name="差 42 2" xfId="13460" xr:uid="{319698CC-AF66-439C-9F6D-ECACB7EABB8F}"/>
    <cellStyle name="差 42 2 2" xfId="23091" xr:uid="{C01EDC4B-D3D0-4D0A-BDDE-98DF923D85ED}"/>
    <cellStyle name="差 42 3" xfId="23090" xr:uid="{DA08CA2C-064F-4A5E-8069-3179095A3B2C}"/>
    <cellStyle name="差 43" xfId="6557" xr:uid="{BAEB1894-9D3A-424C-B843-579B1106C80E}"/>
    <cellStyle name="差 43 2" xfId="13461" xr:uid="{8C8EA24A-9D97-49FC-9E04-95EF29029F85}"/>
    <cellStyle name="差 43 2 2" xfId="23093" xr:uid="{35F549A8-39EE-4544-A551-51000A573186}"/>
    <cellStyle name="差 43 3" xfId="23092" xr:uid="{7D7CE49B-866F-4F30-A2A0-5D89792972AE}"/>
    <cellStyle name="差 44" xfId="6559" xr:uid="{3B4743F4-3F09-4973-8F6E-2FF455B04CD1}"/>
    <cellStyle name="差 44 2" xfId="13462" xr:uid="{FF549C01-5441-4626-BC7C-7D65D5D14ECB}"/>
    <cellStyle name="差 44 2 2" xfId="23095" xr:uid="{DB24D8FC-5E83-4AB5-9F60-95B087DB697B}"/>
    <cellStyle name="差 44 3" xfId="23094" xr:uid="{96D10B23-B2FE-40D3-8499-B337AD7908E2}"/>
    <cellStyle name="差 45" xfId="6561" xr:uid="{7656F3BB-5446-4F45-94EA-33B232AECE3C}"/>
    <cellStyle name="差 45 2" xfId="13463" xr:uid="{E51F1092-FA5C-4CA6-8B37-F5B0F5C61E04}"/>
    <cellStyle name="差 45 2 2" xfId="23097" xr:uid="{D8A12A87-9479-47F8-82C0-CBD9806C5F5C}"/>
    <cellStyle name="差 45 3" xfId="23096" xr:uid="{6486C359-9BFC-479E-B7B8-4DBCF6898EE9}"/>
    <cellStyle name="差 46" xfId="6563" xr:uid="{9CE309C9-43DF-45C6-AED0-CDE0AE3A4816}"/>
    <cellStyle name="差 46 2" xfId="13464" xr:uid="{DD2074D6-91F6-4635-99C3-C87533097429}"/>
    <cellStyle name="差 46 2 2" xfId="23099" xr:uid="{4F2A35A3-70C4-4F12-BBA6-16234FFBC328}"/>
    <cellStyle name="差 46 3" xfId="23098" xr:uid="{885D9B4C-AA55-4ED9-B7FC-6541B468BD1D}"/>
    <cellStyle name="差 47" xfId="6565" xr:uid="{DEF1AD6E-B9AC-4CA6-ACDB-DC35EB72F62C}"/>
    <cellStyle name="差 47 2" xfId="13465" xr:uid="{2F4F82BC-A654-48E9-B382-5BD3A315E2B0}"/>
    <cellStyle name="差 47 3" xfId="23100" xr:uid="{D1BA506F-F6E5-48DA-89D7-2B9CB8674461}"/>
    <cellStyle name="差 48" xfId="6567" xr:uid="{C7EF450B-ECAF-4CC9-A7CA-5AA1F51DF5D7}"/>
    <cellStyle name="差 48 2" xfId="13466" xr:uid="{6DCDC0BC-9E3C-4DD9-B027-E8AD90BB0A0D}"/>
    <cellStyle name="差 48 3" xfId="23101" xr:uid="{52F06AD3-4ACD-4DC9-BABC-789411299CBB}"/>
    <cellStyle name="差 49" xfId="6569" xr:uid="{0A24A0B9-D174-42C6-B85A-ED705C5BF924}"/>
    <cellStyle name="差 49 2" xfId="13467" xr:uid="{76373A09-4F31-4370-B7BC-C68C7FF883A3}"/>
    <cellStyle name="差 49 3" xfId="23102" xr:uid="{961806D4-254C-4884-A7B0-25D1FD67934A}"/>
    <cellStyle name="差 5" xfId="6571" xr:uid="{11CEAD48-99CE-4F3F-9DDE-1646B92735DD}"/>
    <cellStyle name="差 5 2" xfId="10847" xr:uid="{FA24D917-AB19-4FBC-8F22-AD7FDF43AE7F}"/>
    <cellStyle name="差 5 2 2" xfId="23105" xr:uid="{FA837F9E-ADD0-45A2-9970-83FA667794C1}"/>
    <cellStyle name="差 5 2 3" xfId="23104" xr:uid="{7AEFEC22-B407-427F-95CE-EB6E3DB83214}"/>
    <cellStyle name="差 5 3" xfId="10848" xr:uid="{09F974A3-23D1-4139-9F10-D88F7CBDAB37}"/>
    <cellStyle name="差 5 3 2" xfId="23106" xr:uid="{F74FE11E-83FD-4D91-9447-AE7F577B859B}"/>
    <cellStyle name="差 5 4" xfId="10846" xr:uid="{DCFF8BBC-92F5-497D-A37F-948BECCD18FD}"/>
    <cellStyle name="差 5 4 2" xfId="23107" xr:uid="{5E8C63E8-FCFB-4ED3-B276-FEB6A74A59A0}"/>
    <cellStyle name="差 5 5" xfId="23103" xr:uid="{92861495-F6E1-487B-BE79-4A5D9630D92F}"/>
    <cellStyle name="差 50" xfId="6562" xr:uid="{C6BA7B71-E173-48D6-8899-B2604FB9406B}"/>
    <cellStyle name="差 50 2" xfId="13468" xr:uid="{089AA087-988A-4ED2-A314-1AE5C3CA3D43}"/>
    <cellStyle name="差 50 3" xfId="23108" xr:uid="{E0BE1C57-1B66-4B13-BC7F-31749495D797}"/>
    <cellStyle name="差 51" xfId="6564" xr:uid="{3E8838CE-CED2-4885-BE81-F39FE833FD66}"/>
    <cellStyle name="差 51 2" xfId="13469" xr:uid="{4DFAD150-7B8D-48D0-9832-8A9DB44EE1AE}"/>
    <cellStyle name="差 51 3" xfId="23109" xr:uid="{36A5D47D-362E-4AB3-9DDD-63F10406CFC6}"/>
    <cellStyle name="差 52" xfId="6566" xr:uid="{181BE52A-146F-412E-A594-EA3B6AF7F6C4}"/>
    <cellStyle name="差 52 2" xfId="13470" xr:uid="{C06AB212-E140-4248-BCCD-CF06B6D7FF0E}"/>
    <cellStyle name="差 52 3" xfId="23110" xr:uid="{9CF73E00-4CC7-4A0C-BBFD-E8160C98AC36}"/>
    <cellStyle name="差 53" xfId="6568" xr:uid="{F69B2039-4542-40FC-B618-B50BB1ACB1F2}"/>
    <cellStyle name="差 53 2" xfId="13471" xr:uid="{20F2C6E8-210B-4E0E-A46A-28CCBBC95E33}"/>
    <cellStyle name="差 53 3" xfId="23111" xr:uid="{51D2EB65-6CFF-4034-B818-20DC32C7641D}"/>
    <cellStyle name="差 54" xfId="6570" xr:uid="{E21F7B1D-9EEA-478F-BC73-8DC2250DBD8E}"/>
    <cellStyle name="差 54 2" xfId="13472" xr:uid="{C9DCD6D6-6571-4C41-8E58-894129E7BFF8}"/>
    <cellStyle name="差 54 3" xfId="23112" xr:uid="{82165399-E411-4ED0-BE6D-03437DF40890}"/>
    <cellStyle name="差 55" xfId="6572" xr:uid="{916DD93A-0B16-4E6F-9C00-151DE3F0998F}"/>
    <cellStyle name="差 55 2" xfId="13473" xr:uid="{E971DFCF-9F07-4EBA-8A05-8C4A4CF5B4C4}"/>
    <cellStyle name="差 55 3" xfId="23113" xr:uid="{3D8F00B5-25AC-4D23-8045-BCBF5A3A5E1D}"/>
    <cellStyle name="差 56" xfId="6574" xr:uid="{6F94BAFE-3C51-450E-BE9D-32D16AFF389E}"/>
    <cellStyle name="差 56 2" xfId="13474" xr:uid="{FE6A98A7-09C5-49DB-A8F5-4C3AB9954E00}"/>
    <cellStyle name="差 56 3" xfId="23114" xr:uid="{66F162CE-1624-483F-BEBC-728D8F413347}"/>
    <cellStyle name="差 57" xfId="6576" xr:uid="{AAB83DE6-DD0F-4BE6-88A5-0E30F46B8759}"/>
    <cellStyle name="差 57 2" xfId="13475" xr:uid="{B97E3E73-A88E-4407-89A6-18924C6C8558}"/>
    <cellStyle name="差 58" xfId="6578" xr:uid="{1C439916-AFB4-47F0-A26F-F6983AD8881D}"/>
    <cellStyle name="差 58 2" xfId="13476" xr:uid="{0EE5DC66-BFAC-4738-AF5C-DCB3C0BC9A71}"/>
    <cellStyle name="差 59" xfId="6580" xr:uid="{EAEF6600-2A3E-4A4A-BAD4-A7EF0F0E638F}"/>
    <cellStyle name="差 59 2" xfId="13477" xr:uid="{D0EA63BF-755E-4859-9823-62C997A5406A}"/>
    <cellStyle name="差 6" xfId="6582" xr:uid="{8E84D770-8DA8-4C23-8AF7-CE222056F1D5}"/>
    <cellStyle name="差 6 2" xfId="6583" xr:uid="{CFE62012-15C5-403C-8A6C-942FA77BAD9A}"/>
    <cellStyle name="差 6 2 2" xfId="10850" xr:uid="{354B9CE0-0F36-4395-BFB0-AA6AB03BBB11}"/>
    <cellStyle name="差 6 2 2 2" xfId="23117" xr:uid="{268CC974-5748-4D48-A770-6CFAA496761B}"/>
    <cellStyle name="差 6 2 3" xfId="23116" xr:uid="{946F384C-7DCC-409D-A282-F03C956426C2}"/>
    <cellStyle name="差 6 3" xfId="10851" xr:uid="{5268945E-DAF9-4455-9C25-A8DC91AFF5DA}"/>
    <cellStyle name="差 6 3 2" xfId="23118" xr:uid="{70DEB093-FBED-4651-9160-B4D65553182F}"/>
    <cellStyle name="差 6 4" xfId="10849" xr:uid="{7D5EB5F1-9717-4AFF-8BF5-13A867342B44}"/>
    <cellStyle name="差 6 4 2" xfId="23119" xr:uid="{D0776FA7-8859-4EBD-8887-DDEB7EEADED7}"/>
    <cellStyle name="差 6 5" xfId="23115" xr:uid="{1BFC3914-374B-46D1-8522-7360BB3D9ABB}"/>
    <cellStyle name="差 60" xfId="6573" xr:uid="{CD1E4401-FF2D-4725-96B4-75B9676C5DE5}"/>
    <cellStyle name="差 60 2" xfId="13478" xr:uid="{58B521C8-C85A-4BEF-8F81-992ABDC47D01}"/>
    <cellStyle name="差 61" xfId="6575" xr:uid="{3097E03E-9050-4661-89B9-D87588236E09}"/>
    <cellStyle name="差 61 2" xfId="13479" xr:uid="{377A93C9-155C-48DC-BC63-98D5BE7059EC}"/>
    <cellStyle name="差 62" xfId="6577" xr:uid="{40438EBB-EA84-475C-BC22-D8B07BA4160E}"/>
    <cellStyle name="差 62 2" xfId="13480" xr:uid="{A0C34829-0673-480D-BA4D-3BE8F2C02946}"/>
    <cellStyle name="差 63" xfId="6579" xr:uid="{B997A3E1-4FA6-41F5-A047-89206B3F36F2}"/>
    <cellStyle name="差 63 2" xfId="13481" xr:uid="{F91F255C-CD68-4ACF-8F76-6D06E87B249F}"/>
    <cellStyle name="差 64" xfId="6581" xr:uid="{768062E4-3D9D-44FC-9315-74E3D212E190}"/>
    <cellStyle name="差 64 2" xfId="13482" xr:uid="{6F680A6B-6321-4CD5-BCC9-D387EECFDCE9}"/>
    <cellStyle name="差 65" xfId="6584" xr:uid="{108A4DED-5BBC-4BDD-9A6C-C9E0F4F9A16D}"/>
    <cellStyle name="差 65 2" xfId="13483" xr:uid="{23764162-2899-4243-8D55-F633318FA2E0}"/>
    <cellStyle name="差 66" xfId="6586" xr:uid="{A70DE35A-093C-4208-A706-777D24B6634F}"/>
    <cellStyle name="差 66 2" xfId="13484" xr:uid="{09B87709-3889-4BE7-82F1-7E01C1BFBE26}"/>
    <cellStyle name="差 67" xfId="6588" xr:uid="{2FE89CA9-7A8A-46C7-B8EC-2771C0AE7B7B}"/>
    <cellStyle name="差 67 2" xfId="13485" xr:uid="{4045438A-06A5-44A9-8462-78CE60E0A768}"/>
    <cellStyle name="差 68" xfId="6590" xr:uid="{364DF2A4-F9F1-401D-9179-03AB4CE4863C}"/>
    <cellStyle name="差 68 2" xfId="13486" xr:uid="{6CF94F0F-2B89-44CE-91E0-DC5CF6A4E75C}"/>
    <cellStyle name="差 69" xfId="6592" xr:uid="{4651C7B7-E6B7-4481-B03A-D8DEBA9988DF}"/>
    <cellStyle name="差 69 2" xfId="13487" xr:uid="{F3785A45-1337-4A86-A067-DFE574D6623D}"/>
    <cellStyle name="差 7" xfId="90" xr:uid="{9830C876-225E-4B22-8139-4DF3F79DC139}"/>
    <cellStyle name="差 7 2" xfId="131" xr:uid="{F614AD4C-938B-46D4-A07B-9994AD1FCADF}"/>
    <cellStyle name="差 7 2 2" xfId="10853" xr:uid="{4A783E9B-5805-43A2-A7F5-A0206BCD6F1B}"/>
    <cellStyle name="差 7 2 2 2" xfId="23122" xr:uid="{33DD778E-399D-4C90-87DE-CB8E475C800E}"/>
    <cellStyle name="差 7 2 3" xfId="23121" xr:uid="{2E5A01F8-1A82-4931-80AC-C99C9AB51EE5}"/>
    <cellStyle name="差 7 3" xfId="10854" xr:uid="{EA6B6118-3E32-42B4-B187-E5DFD3F2032C}"/>
    <cellStyle name="差 7 3 2" xfId="23123" xr:uid="{F7F0A7A0-DBA9-4EF5-AE79-CB027E0BD866}"/>
    <cellStyle name="差 7 4" xfId="10852" xr:uid="{1C7D40EC-2964-4EC3-B94F-22DFAA04765E}"/>
    <cellStyle name="差 7 4 2" xfId="23124" xr:uid="{41A41FAD-0781-4B97-97A1-38E5F2897D94}"/>
    <cellStyle name="差 7 5" xfId="23120" xr:uid="{9FCA8749-C1C0-4FA5-9324-204A41D9B264}"/>
    <cellStyle name="差 70" xfId="6585" xr:uid="{B0DC1031-3A87-4A53-B4A7-854D87991F23}"/>
    <cellStyle name="差 70 2" xfId="13488" xr:uid="{61807128-DFBE-4086-98FD-A9C599D60E4F}"/>
    <cellStyle name="差 71" xfId="6587" xr:uid="{A51B49D0-F462-4E2A-A903-07FF2A226D1F}"/>
    <cellStyle name="差 71 2" xfId="13489" xr:uid="{8933AFE4-42E4-47D0-AE96-BAB5C30E403D}"/>
    <cellStyle name="差 72" xfId="6589" xr:uid="{071DF9DD-049F-4130-B9BC-D482CBF9AC0C}"/>
    <cellStyle name="差 72 2" xfId="13490" xr:uid="{03B49CB0-7BB4-472F-86E1-251471749058}"/>
    <cellStyle name="差 73" xfId="6591" xr:uid="{CF82C8E5-516E-42BA-AD15-A1EE21FBC3F4}"/>
    <cellStyle name="差 73 2" xfId="13491" xr:uid="{6181E3C3-DBC2-4B85-B156-57A48341280C}"/>
    <cellStyle name="差 74" xfId="6593" xr:uid="{75C259D8-31FE-4A20-8F8D-B651A8E167D7}"/>
    <cellStyle name="差 74 2" xfId="13492" xr:uid="{C4BF2691-362A-431D-B361-F0A190684ECD}"/>
    <cellStyle name="差 75" xfId="6594" xr:uid="{BA6D4867-1400-4D13-AF39-DE67A5BD89AF}"/>
    <cellStyle name="差 75 2" xfId="13493" xr:uid="{E197BD6E-7F8A-4730-A857-1F8B866C69F7}"/>
    <cellStyle name="差 76" xfId="6596" xr:uid="{1AF9CA75-9ED5-4FF2-AD3C-B3304C4D20A2}"/>
    <cellStyle name="差 76 2" xfId="13494" xr:uid="{F693BFF8-0BC9-45FF-964B-27BC3A8F3FC7}"/>
    <cellStyle name="差 77" xfId="6598" xr:uid="{4F19D870-1462-4915-83A1-CBAD8678C8AB}"/>
    <cellStyle name="差 77 2" xfId="13495" xr:uid="{F6F20B51-20E7-4C3C-B443-FEB1884BF847}"/>
    <cellStyle name="差 78" xfId="6600" xr:uid="{25F96D99-8595-42B0-8BE3-68769146DDC0}"/>
    <cellStyle name="差 78 2" xfId="13496" xr:uid="{A180C439-9469-493F-8407-BC8437442C59}"/>
    <cellStyle name="差 79" xfId="6602" xr:uid="{B293BC7F-EFEE-459D-85AC-26DB5F5504B0}"/>
    <cellStyle name="差 79 2" xfId="13497" xr:uid="{CC3DE6AC-04D1-4668-95E7-E90C96930E83}"/>
    <cellStyle name="差 8" xfId="6604" xr:uid="{FE0D96CF-3B72-4424-AFAB-4D7FC5743AF9}"/>
    <cellStyle name="差 8 2" xfId="6605" xr:uid="{2B36E94F-2EB9-4FA8-98A5-3754F5C0F2EC}"/>
    <cellStyle name="差 8 2 2" xfId="10856" xr:uid="{CC13C9A8-CAD7-4F72-AA40-3073A773C6BB}"/>
    <cellStyle name="差 8 2 2 2" xfId="23127" xr:uid="{81FF580C-7D2E-4591-BA47-F9F5F2239303}"/>
    <cellStyle name="差 8 2 3" xfId="23126" xr:uid="{C23CDD28-5F39-47BE-BE0F-25D9700C35AD}"/>
    <cellStyle name="差 8 3" xfId="10857" xr:uid="{EB3B491F-ABD7-4A5F-B86C-7CE46268AAB0}"/>
    <cellStyle name="差 8 3 2" xfId="23128" xr:uid="{796D517D-A0FA-415D-A398-83913C01A107}"/>
    <cellStyle name="差 8 4" xfId="10855" xr:uid="{543DA794-917B-4DA7-A85F-BFD900750BFF}"/>
    <cellStyle name="差 8 4 2" xfId="23129" xr:uid="{06950E72-C73F-4969-8556-02F003A8829A}"/>
    <cellStyle name="差 8 5" xfId="23125" xr:uid="{D2E9BF3F-387D-4319-AB69-69E99F689A59}"/>
    <cellStyle name="差 80" xfId="6595" xr:uid="{1C0388E8-86A6-4DFF-B3E5-C0F9A4B8C936}"/>
    <cellStyle name="差 80 2" xfId="13498" xr:uid="{591D4E8E-EAF8-4019-8593-787716F67CE6}"/>
    <cellStyle name="差 81" xfId="6597" xr:uid="{A280D15F-6185-4620-994B-CF4EEC4ED8EA}"/>
    <cellStyle name="差 81 2" xfId="13499" xr:uid="{9B2C0A3C-E785-4475-B5F1-9DE32F09F825}"/>
    <cellStyle name="差 82" xfId="6599" xr:uid="{8A7587F9-D6D7-4620-8587-3403E052402F}"/>
    <cellStyle name="差 82 2" xfId="13500" xr:uid="{545E6C58-368A-490E-966A-65A06BD14000}"/>
    <cellStyle name="差 83" xfId="6601" xr:uid="{79AC8B95-772C-4058-A8D2-AA6FE2832C50}"/>
    <cellStyle name="差 83 2" xfId="13501" xr:uid="{4C04EFF9-C91D-4EA7-859F-B50E8808614B}"/>
    <cellStyle name="差 84" xfId="6603" xr:uid="{BD94485A-C7D6-45FC-B010-88B6DB6E7076}"/>
    <cellStyle name="差 84 2" xfId="13502" xr:uid="{D82B2024-44FE-4C08-B198-9145462449A5}"/>
    <cellStyle name="差 85" xfId="9325" xr:uid="{48B040BB-6026-4501-8F8A-B512FA2A7D68}"/>
    <cellStyle name="差 86" xfId="10807" xr:uid="{36259393-FC02-45FF-B762-58FBDC9F5FDA}"/>
    <cellStyle name="差 87" xfId="13594" xr:uid="{4904F672-B305-4B78-8D11-E29734F92655}"/>
    <cellStyle name="差 88" xfId="27162" xr:uid="{B929B164-91A7-4949-AB86-86C06C904B93}"/>
    <cellStyle name="差 89" xfId="27214" xr:uid="{00157F2F-713A-4498-9D16-94730F0EE643}"/>
    <cellStyle name="差 9" xfId="6606" xr:uid="{5486C39C-136E-4FDD-8DF9-6346650A4A00}"/>
    <cellStyle name="差 9 2" xfId="10859" xr:uid="{D88234E5-B66B-4735-BF8F-9A68FBAE1D59}"/>
    <cellStyle name="差 9 2 2" xfId="23132" xr:uid="{2CAFFBEE-C518-4899-99E1-FDB8A5208361}"/>
    <cellStyle name="差 9 2 3" xfId="23131" xr:uid="{A3A75874-7FB9-43D1-8522-B0220420BFDB}"/>
    <cellStyle name="差 9 3" xfId="10860" xr:uid="{30B9819F-D360-4F9C-A147-E3C520045453}"/>
    <cellStyle name="差 9 3 2" xfId="23133" xr:uid="{EFABFE74-6673-4DC9-8528-034BDC270336}"/>
    <cellStyle name="差 9 4" xfId="10858" xr:uid="{68218EE0-88A3-4F1F-81AC-4535EB890A8A}"/>
    <cellStyle name="差 9 4 2" xfId="23134" xr:uid="{556EDD8A-8C1F-4186-B1D8-29F4D2EE1555}"/>
    <cellStyle name="差 9 5" xfId="23130" xr:uid="{64B4F91C-8C68-4D7C-88E3-A37D64AC5BE8}"/>
    <cellStyle name="差 90" xfId="27221" xr:uid="{443A9816-1A41-4DC8-9CDA-C60717B68C94}"/>
    <cellStyle name="差 91" xfId="6512" xr:uid="{23765D1E-E86C-43A8-B60C-BDFBA3EAFB8E}"/>
    <cellStyle name="差_14年预算降本措施11.22" xfId="23135" xr:uid="{FF00E79B-460C-4484-BB21-1DC8370CF1C3}"/>
    <cellStyle name="差_14年预算降本措施11.22 2" xfId="23136" xr:uid="{4201C51F-A72C-4AAA-9813-C0BD32939CE6}"/>
    <cellStyle name="差_14年预算降本措施11.22_动力部" xfId="23137" xr:uid="{9C3CA286-E403-44BF-8A36-EF9365906D26}"/>
    <cellStyle name="差_1月外协费用报表" xfId="23138" xr:uid="{745EA422-6244-4C67-99F2-5E62FAD05311}"/>
    <cellStyle name="差_1月外协费用报表 2" xfId="23139" xr:uid="{698E0FD6-8117-4712-8DF5-77583ACF3BF5}"/>
    <cellStyle name="差_1月外协费用报表 3" xfId="23140" xr:uid="{1D7F4A2A-F7BB-48FD-BDDD-90394AA91A74}"/>
    <cellStyle name="差_2012厂各单位预算指标分解2012.3.31" xfId="23141" xr:uid="{A1C55B2F-E37A-48C5-985B-893CEB8150D4}"/>
    <cellStyle name="差_2012厂各单位预算指标分解2012.3.31_动力预提" xfId="23142" xr:uid="{E0C5EA5B-486D-48BC-803B-85F65E9F55F9}"/>
    <cellStyle name="差_2012厂各单位预算指标分解2012.3.31_球团工序" xfId="23143" xr:uid="{3EDD9B23-B8DD-4AFA-88D9-F35A973E7384}"/>
    <cellStyle name="差_2012厂内部预算指标下达(2)2.20" xfId="23144" xr:uid="{8F56E024-FEBF-424D-B951-2A7480F4F83B}"/>
    <cellStyle name="差_2012厂内部预算指标下达(2)2.20_动力预提" xfId="23145" xr:uid="{F64E0436-9574-4466-B74C-A6BFE9A1327C}"/>
    <cellStyle name="差_2012厂内部预算指标下达(2)2.20_球团工序" xfId="23146" xr:uid="{49A537C8-D1E5-4311-A44D-9E1A8AD2B3A2}"/>
    <cellStyle name="差_2013" xfId="23147" xr:uid="{86A9DF55-E2BF-4EF1-A5F0-E15AEEC0EEE6}"/>
    <cellStyle name="差_2013 2" xfId="23148" xr:uid="{D7B02262-7D81-4BA4-9785-BF44E21FFF54}"/>
    <cellStyle name="差_2013_动力部" xfId="23149" xr:uid="{DB6FAFC3-1200-4A59-9878-80F0DBEF663E}"/>
    <cellStyle name="差_2013年东山矿预算12.12" xfId="23150" xr:uid="{147F8442-1E04-4DB3-B292-519A1B65CD2D}"/>
    <cellStyle name="差_2013年东山矿预算12.12_动力部" xfId="23151" xr:uid="{825F9244-C5B6-4FCD-A44B-AF2A57E01617}"/>
    <cellStyle name="差_2013年复合材料厂产能及降本预算10.29" xfId="23152" xr:uid="{32D8C3C2-DCC3-4EF1-928C-89EF9624FD18}"/>
    <cellStyle name="差_2013年复合材料厂产能及降本预算10.29 2" xfId="23153" xr:uid="{4E89A6B1-E7C3-4AD0-ADD5-277CEAA5C7C3}"/>
    <cellStyle name="差_2013年复合材料厂产能及降本预算10.29_动力部" xfId="23154" xr:uid="{136E5B74-B3C5-4460-B740-7E86E0284A31}"/>
    <cellStyle name="差_2013年复合材料厂产能及降本预算10.29_副本峨矿2016年预算格式" xfId="23155" xr:uid="{1FCD9549-7288-4782-812C-9E6C869D128B}"/>
    <cellStyle name="差_2013年复合材料厂产能及降本预算10.29_副本峨矿2016年预算格式 2" xfId="23156" xr:uid="{64EF266F-3234-4C26-B73C-49B31C65FD40}"/>
    <cellStyle name="差_2013年复合材料厂产能及降本预算10.29_副本峨矿2016年预算格式_动力部" xfId="23157" xr:uid="{EA57FEE5-8AF6-48AE-8E0B-FB0E8B277EE3}"/>
    <cellStyle name="差_2013年尖山铁矿全面预算11.07" xfId="23158" xr:uid="{62A3D688-96F6-4277-8E28-A1F6734265E4}"/>
    <cellStyle name="差_2013年尖山铁矿全面预算11.07 2" xfId="23159" xr:uid="{FE802CC7-F7EE-4D60-B037-3C4ED6DB0C95}"/>
    <cellStyle name="差_2013年尖山铁矿全面预算11.07_动力部" xfId="23160" xr:uid="{14FD5FBB-995C-4764-A1C7-006DA81D5AF3}"/>
    <cellStyle name="差_2013年尖山铁矿全面预算11.07_副本峨矿2016年预算格式" xfId="23161" xr:uid="{EA6643F5-E647-4317-9570-96ACD6F47BEA}"/>
    <cellStyle name="差_2013年尖山铁矿全面预算11.07_副本峨矿2016年预算格式 2" xfId="23162" xr:uid="{3CA028B0-B27B-4BEE-9A58-BA09350CD6B7}"/>
    <cellStyle name="差_2013年尖山铁矿全面预算11.07_副本峨矿2016年预算格式_动力部" xfId="23163" xr:uid="{2C3F02B3-D624-4D3F-8BC4-D8F6E01C736C}"/>
    <cellStyle name="差_2014.01集团重点工程信息" xfId="6607" xr:uid="{557591BB-BD81-4361-B2E8-1B7A27117265}"/>
    <cellStyle name="差_2014.01集团重点工程信息 2" xfId="10861" xr:uid="{14953E72-C4C6-4B00-AA8B-6D5B177D01C4}"/>
    <cellStyle name="差_2014.01集团重点工程信息_2014年4月集团计财信息" xfId="6608" xr:uid="{75AC5C77-1645-4D91-BEF0-9312E53FAADB}"/>
    <cellStyle name="差_2014.01集团重点工程信息_阿克斯" xfId="6609" xr:uid="{96F405E1-396C-44F7-899E-49706FA5D9B7}"/>
    <cellStyle name="差_2014.01集团重点工程信息_钢科月度信息" xfId="6610" xr:uid="{DB5ED365-6384-43B2-9103-6495F2BC9AA5}"/>
    <cellStyle name="差_2014.01集团重点工程信息_工业园月度信息" xfId="6611" xr:uid="{4781C5D7-CFBE-4194-81AE-45FE88C8E503}"/>
    <cellStyle name="差_2014.01集团重点工程信息_晋煤太钢4月份信息" xfId="6612" xr:uid="{8DD5E9B4-1E88-4B77-895F-E2825416513F}"/>
    <cellStyle name="差_2014.01集团重点工程信息_耐火公司4月信息" xfId="6613" xr:uid="{E3C56D74-F4DB-409D-B231-BE59F8FFC634}"/>
    <cellStyle name="差_2014.01集团重点工程信息_泥屯月度信息" xfId="6614" xr:uid="{D0AFEE02-D805-4D09-8DC2-B9B3D6727811}"/>
    <cellStyle name="差_2014.01集团重点工程信息_世茂信息模板1" xfId="6615" xr:uid="{582357E0-65AF-479B-A26A-EE2C86E5C280}"/>
    <cellStyle name="差_2014.01集团重点工程信息_太钢哈斯科2014年4月财务报表20140527" xfId="2719" xr:uid="{9773F64A-78B7-457B-B680-CD989F78563F}"/>
    <cellStyle name="差_2014.01集团重点工程信息_信息（财务四室-福利厂）改" xfId="6616" xr:uid="{0312CC77-0D06-446D-8FD7-7C9A3BF61ADC}"/>
    <cellStyle name="差_2014.01集团重点工程信息_信息模板_矿业" xfId="6617" xr:uid="{B106FA28-E6D9-4979-945B-6E95AA304508}"/>
    <cellStyle name="差_2014.01集团重点工程信息_信息模板工程技术" xfId="6618" xr:uid="{65D0205F-3999-4AAB-80C1-204BAC85B62C}"/>
    <cellStyle name="差_2014.01集团重点工程信息_信息模板-晋非公司" xfId="1686" xr:uid="{0F38C511-660A-46BF-8373-7982BF1D1362}"/>
    <cellStyle name="差_2014.01集团重点工程信息_信息模板-太原太钢大明" xfId="6619" xr:uid="{E945817E-6BDA-4F0D-AF9C-57248BCCF5B2}"/>
    <cellStyle name="差_2014.01集团重点工程信息_信息模板-信自" xfId="6620" xr:uid="{E163D7A8-72CC-4FC4-908B-8E325AEC15BF}"/>
    <cellStyle name="差_2014产能预算初稿12.18.1(1)" xfId="23164" xr:uid="{9362D048-EC3F-4541-B20C-B9D5C8DA880E}"/>
    <cellStyle name="差_2014产能预算初稿12.18.1(1) 2" xfId="23165" xr:uid="{1E7D6FD0-F981-4C0B-9B67-507AFB3ADA89}"/>
    <cellStyle name="差_2014产能预算初稿12.18.1(1)_动力部" xfId="23166" xr:uid="{05DEFD02-12A9-4B8C-B197-8F9E881827A5}"/>
    <cellStyle name="差_2014产能预算初稿12.18.1(1)_副本峨矿2016年预算格式" xfId="23167" xr:uid="{1102037D-CF81-48C5-BE10-9F5B1AB96ED9}"/>
    <cellStyle name="差_2014产能预算初稿12.18.1(1)_副本峨矿2016年预算格式 2" xfId="23168" xr:uid="{9398560C-CD63-4D98-863B-E5F764E46DFF}"/>
    <cellStyle name="差_2014产能预算初稿12.18.1(1)_副本峨矿2016年预算格式_动力部" xfId="23169" xr:uid="{AED75E31-DF4B-425B-9A89-6899F5B9608F}"/>
    <cellStyle name="差_2014年产量预算初稿" xfId="23170" xr:uid="{3FE222AF-92E3-45C4-8CB2-443254CF300A}"/>
    <cellStyle name="差_2014年产量预算初稿 2" xfId="23171" xr:uid="{44F1CEE6-48B8-49B1-A3AC-F6C1983DC93E}"/>
    <cellStyle name="差_2014年产量预算初稿_动力部" xfId="23172" xr:uid="{D8A1D83C-96A9-40EE-9541-161ECA91BAF9}"/>
    <cellStyle name="差_2014年尖山成本预算2014113" xfId="23173" xr:uid="{AB80C01F-65B2-4C70-B9E5-D9162315BD0B}"/>
    <cellStyle name="差_2014年尖山成本预算2014113 2" xfId="23174" xr:uid="{3F340B99-662E-468C-BEE3-B69BD0340833}"/>
    <cellStyle name="差_2014年尖山成本预算2014113 2_动力部" xfId="23175" xr:uid="{6263F3EC-78FA-47AF-ADF9-4244C9DDC97C}"/>
    <cellStyle name="差_2014年尖山成本预算2014113_动力部" xfId="23176" xr:uid="{D9E951AA-4E8C-4346-A498-7F7D23E9B4A5}"/>
    <cellStyle name="差_2014年尖山成本预算2014113_副本峨矿2016年预算格式" xfId="23177" xr:uid="{0146E3AB-FB98-4EBE-AFC2-42664FA36785}"/>
    <cellStyle name="差_2014年尖山成本预算2014113_副本峨矿2016年预算格式 2" xfId="23178" xr:uid="{273F7D2A-1783-4242-80CE-B116A2A1D04A}"/>
    <cellStyle name="差_2014年尖山成本预算2014113_副本峨矿2016年预算格式_动力部" xfId="23179" xr:uid="{EAAD85BA-FAA7-437C-8FC4-F03A0FF25C4F}"/>
    <cellStyle name="差_2014年外协费用指标分解12.15" xfId="23180" xr:uid="{234A495A-302F-42B2-BF53-B0BF181AAAEB}"/>
    <cellStyle name="差_2014年外协费用指标分解12.15_工艺科2017年全面预算20161010" xfId="23181" xr:uid="{5058F9F8-C69E-4C67-B949-DEF1C67DFB26}"/>
    <cellStyle name="差_2015年尖山成本预算（334万-425元)" xfId="23182" xr:uid="{3FAA404A-4858-4CB7-BECB-812721688988}"/>
    <cellStyle name="差_2015年尖山成本预算（334万-425元) 2" xfId="23183" xr:uid="{29905438-EEC8-4190-8B3E-F90C9755FC5D}"/>
    <cellStyle name="差_2015年尖山成本预算（334万-425元) 2_动力部" xfId="23184" xr:uid="{3FDFBA25-1360-4ABC-92A9-5ABED515814F}"/>
    <cellStyle name="差_2015年尖山成本预算（334万-425元)_动力部" xfId="23185" xr:uid="{811E7710-8F8F-4D85-9DCA-42175779BE36}"/>
    <cellStyle name="差_2015年尖山成本预算（360万-408元)" xfId="23186" xr:uid="{C8493DC4-FD91-4FE0-801E-E8BAC7C65C4B}"/>
    <cellStyle name="差_2015年尖山成本预算（360万-408元) 2" xfId="23187" xr:uid="{86EAC18E-5D84-4662-831C-A521BBF84795}"/>
    <cellStyle name="差_2015年尖山成本预算（360万-408元) 2_动力部" xfId="23188" xr:uid="{1A76DA13-93A2-4D3D-BDC5-D97D60A58ABD}"/>
    <cellStyle name="差_2015年尖山成本预算（360万-408元)_动力部" xfId="23189" xr:uid="{81303CEA-DEF0-4113-9FB7-9E8D9D8276B7}"/>
    <cellStyle name="差_2015年矿业公司工资预算" xfId="23190" xr:uid="{DBBB5511-A510-4D1B-9139-995EAAE291B1}"/>
    <cellStyle name="差_2015年矿业公司工资预算 2" xfId="23191" xr:uid="{CBE37408-AE00-4275-A8C6-0DA3B29FCD54}"/>
    <cellStyle name="差_2015年矿业公司工资预算 2_动力部" xfId="23192" xr:uid="{CBD4F37C-8224-4256-8E9E-EA92340DBC73}"/>
    <cellStyle name="差_2015年矿业公司工资预算_动力部" xfId="23193" xr:uid="{C7BE11FB-DA2E-49AD-8E01-F47A045933E7}"/>
    <cellStyle name="差_2015折旧预算（交付资产折旧）" xfId="23194" xr:uid="{C9928A6F-F093-4A59-8C4E-48FC906B8B58}"/>
    <cellStyle name="差_2015折旧预算（交付资产折旧） 2" xfId="23195" xr:uid="{B9DC300C-5360-49A9-B291-1A86F2CD13B0}"/>
    <cellStyle name="差_2015折旧预算（交付资产折旧） 2_动力部" xfId="23196" xr:uid="{82A37662-7564-44F3-AAE8-2825BF6910C4}"/>
    <cellStyle name="差_2015折旧预算（交付资产折旧）_2016年9月成本报表" xfId="23197" xr:uid="{0E8F31D5-B8ED-47F6-8F37-D4E4F225153C}"/>
    <cellStyle name="差_2015折旧预算（交付资产折旧）_2016年9月成本报表 2" xfId="23198" xr:uid="{470474A0-2D7B-4494-B50D-F7CC81C31126}"/>
    <cellStyle name="差_2015折旧预算（交付资产折旧）_2016年9月成本报表 2_动力部" xfId="23199" xr:uid="{3DC1D013-D0D4-4D52-B6B5-B6FB56754C76}"/>
    <cellStyle name="差_2015折旧预算（交付资产折旧）_2016年9月成本报表_动力部" xfId="23200" xr:uid="{C65DE1C8-089F-49AC-BB92-73F2FF7F1BD2}"/>
    <cellStyle name="差_2015折旧预算（交付资产折旧）_动力部" xfId="23201" xr:uid="{8CE9D138-8EF8-4CE8-BBE2-8C6BA3F1F958}"/>
    <cellStyle name="差_2015折旧预算（交付资产折旧）_加不利2016年预算3稿（内）1106" xfId="23202" xr:uid="{0A4445E3-A8E2-4E4A-A9E6-FF2FE8F12DEE}"/>
    <cellStyle name="差_2015折旧预算（交付资产折旧）_加不利2016年预算3稿（内）1106 2" xfId="23203" xr:uid="{BD9113A7-A514-40E6-862C-22F60515345D}"/>
    <cellStyle name="差_2015折旧预算（交付资产折旧）_加不利2016年预算3稿（内）1106 2_动力部" xfId="23204" xr:uid="{0F183634-DED6-4A34-9C2E-62497409197F}"/>
    <cellStyle name="差_2015折旧预算（交付资产折旧）_加不利2016年预算3稿（内）1106_动力部" xfId="23205" xr:uid="{4BB05E25-950D-4C0A-A626-CCAEA650BB3D}"/>
    <cellStyle name="差_2015折旧预算（交付资产折旧）_尖山铁矿2016年预算内部全面预算(129)" xfId="23206" xr:uid="{94D41A16-A306-4BBA-AC29-AACF537BB0E8}"/>
    <cellStyle name="差_2015折旧预算（交付资产折旧）_尖山铁矿2016年预算内部全面预算(129) 2" xfId="23207" xr:uid="{8BA3046D-4536-4C05-9BDD-F9B57162F23F}"/>
    <cellStyle name="差_2015折旧预算（交付资产折旧）_尖山铁矿2016年预算内部全面预算(129) 2_动力部" xfId="23208" xr:uid="{0EAB44B2-2B62-4CDD-998A-E603D0840287}"/>
    <cellStyle name="差_2015折旧预算（交付资产折旧）_尖山铁矿2016年预算内部全面预算(129)_动力部" xfId="23209" xr:uid="{C66F0A2F-7AC8-4F14-9BFF-1755941DA4D0}"/>
    <cellStyle name="差_2015折旧预算（交付资产折旧）_尖山铁矿2017年全面预算1.26" xfId="23210" xr:uid="{BFB388D2-ABE1-482E-BCA8-AFA800951D73}"/>
    <cellStyle name="差_2016年9月成本报表" xfId="23211" xr:uid="{4DF6A37B-4C85-44E9-957E-0B15FE9574C5}"/>
    <cellStyle name="差_2016年9月成本报表 2" xfId="23212" xr:uid="{BE5993B2-5B5A-4041-9C6E-A9C28305D848}"/>
    <cellStyle name="差_2016年9月成本报表 2_动力部" xfId="23213" xr:uid="{B6798DF4-0B48-4DA8-AE7B-E947E2F6E302}"/>
    <cellStyle name="差_2016年9月成本报表_动力部" xfId="23214" xr:uid="{99BAFC86-8FD9-4371-95BE-789E710D7248}"/>
    <cellStyle name="差_2017年12月财务报表（山西太钢鑫磊资源有限公司）12" xfId="23215" xr:uid="{76DCF184-E28D-4AA4-A2D5-A4FE3C62CB60}"/>
    <cellStyle name="差_2017年12月成本报表-峨口" xfId="23216" xr:uid="{E325BB25-D45D-447D-8AFE-BFBBB76A69BA}"/>
    <cellStyle name="差_2017年1月矿业公司（鑫磊）外协费用报表." xfId="23217" xr:uid="{D17DD2B6-7914-49DE-B2FE-422174B27226}"/>
    <cellStyle name="差_2017年4月财务报表（山西太钢鑫磊资源有限公司）" xfId="23218" xr:uid="{0BB621BF-99E4-46A9-A2DF-387032B401B9}"/>
    <cellStyle name="差_2017年矿业公司福利费用明细表汇总" xfId="23219" xr:uid="{F280BED8-C658-431A-9272-E3A43B9B2773}"/>
    <cellStyle name="差_2017年全面预算新增表样" xfId="23220" xr:uid="{DC4D8359-1E84-4549-AF29-A3835CEC77F6}"/>
    <cellStyle name="差_2017年全面预算新增表样 2" xfId="23221" xr:uid="{722FA2CA-B676-4BE1-B1DF-13A717608C3F}"/>
    <cellStyle name="差_2017年全面预算新增表样 2_动力部" xfId="23222" xr:uid="{63750176-1042-4270-8D0C-0FBE9C7053F2}"/>
    <cellStyle name="差_2017年全面预算新增表样_动力部" xfId="23223" xr:uid="{5C57A980-1FCE-4713-9EFD-ED546AB7DFC5}"/>
    <cellStyle name="差_2017年全面预算新增指标" xfId="23224" xr:uid="{16BCCAE3-02A3-4914-BA73-FBA367C936B2}"/>
    <cellStyle name="差_2017年全面预算新增指标 2" xfId="23225" xr:uid="{40ED076F-8279-47F3-A806-AF989C2CBC8C}"/>
    <cellStyle name="差_2017年全面预算新增指标 2_动力部" xfId="23226" xr:uid="{18AE8307-8CE2-4F42-8870-B3943FC9A940}"/>
    <cellStyle name="差_2017年全面预算新增指标_动力部" xfId="23227" xr:uid="{D5992AD6-9EBB-4EA3-9AF2-C85CBCB9AA53}"/>
    <cellStyle name="差_Book1" xfId="5565" xr:uid="{8D673634-D1DF-4346-BBA0-DB41122525A3}"/>
    <cellStyle name="差_Book1 2" xfId="6621" xr:uid="{71BC2607-DEC7-41FA-8CBC-30B0F366F036}"/>
    <cellStyle name="差_Book1 2 10" xfId="23229" xr:uid="{46E4A9E4-F60F-4556-AD89-F465E4A7B263}"/>
    <cellStyle name="差_Book1 2 2" xfId="23230" xr:uid="{1F31F12B-D373-4987-B7BB-5B06ADE61BDF}"/>
    <cellStyle name="差_Book1 2 2_动力部" xfId="23231" xr:uid="{F66DC0B9-8C16-40F7-A77A-6D676C18AE44}"/>
    <cellStyle name="差_Book1 2 3" xfId="23232" xr:uid="{FE45670B-F8E2-4A05-AA72-873217DC312F}"/>
    <cellStyle name="差_Book1 2 3_动力部" xfId="23233" xr:uid="{6A48EC67-FBB1-44EF-B800-A4BC5C1D4F31}"/>
    <cellStyle name="差_Book1 2 4" xfId="23234" xr:uid="{69A7E224-9A62-44C6-AB46-EBE1CBCABFFA}"/>
    <cellStyle name="差_Book1 2 5" xfId="23235" xr:uid="{A720592B-11F0-4CE0-B3F8-C0D13D1078BA}"/>
    <cellStyle name="差_Book1 2 6" xfId="23236" xr:uid="{73AA3487-678E-420C-9560-EDE09CEF574A}"/>
    <cellStyle name="差_Book1 2 7" xfId="23237" xr:uid="{395F34EB-775A-406D-A005-2D4C004C1151}"/>
    <cellStyle name="差_Book1 2 8" xfId="23238" xr:uid="{87C084A6-30C3-4ABC-A476-B715704DE730}"/>
    <cellStyle name="差_Book1 2 9" xfId="23239" xr:uid="{DB80309D-E4F0-47C5-AC2A-F6E0DC9B1AAA}"/>
    <cellStyle name="差_Book1 2_2017年全面预算新增表样" xfId="23240" xr:uid="{F76C7F63-CFAF-4E32-90E3-EB87CF73EADD}"/>
    <cellStyle name="差_Book1 2_2017年全面预算新增表样 2" xfId="23241" xr:uid="{95E7257F-4EA3-4A67-AD7F-F8C273D39691}"/>
    <cellStyle name="差_Book1 2_2017年全面预算新增表样 2_动力部" xfId="23242" xr:uid="{3B673E83-4198-4437-A1FA-E531F35CE356}"/>
    <cellStyle name="差_Book1 2_2017年全面预算新增表样_动力部" xfId="23243" xr:uid="{62B2BA8C-C471-4A4B-9B62-B8C0C6C125BF}"/>
    <cellStyle name="差_Book1 2_2017年全面预算新增指标" xfId="23244" xr:uid="{EFD3A0AB-0D9D-48C0-B618-BCCEB85DF0CC}"/>
    <cellStyle name="差_Book1 2_2017年全面预算新增指标 2" xfId="23245" xr:uid="{F2722DB5-AF83-4312-AD68-F7282286A2C2}"/>
    <cellStyle name="差_Book1 2_2017年全面预算新增指标 2_动力部" xfId="23246" xr:uid="{16DF31AE-27E3-4C3B-B92D-4C37B7B0C914}"/>
    <cellStyle name="差_Book1 2_2017年全面预算新增指标_动力部" xfId="23247" xr:uid="{0BE0F955-CF30-4039-BAA6-F455FA2DE67E}"/>
    <cellStyle name="差_Book1 2_动力部" xfId="23248" xr:uid="{B5B8E575-4B5E-4D76-AA46-D3FA8CA1CD89}"/>
    <cellStyle name="差_Book1 2_工艺科2017年全面预算20161010" xfId="23249" xr:uid="{CDB1C27B-C480-4EA0-B66E-72E6ECA4A909}"/>
    <cellStyle name="差_Book1 2_工艺科2017年全面预算20161010 2" xfId="23250" xr:uid="{BA262330-88C0-45ED-9054-8EA3F8C35D16}"/>
    <cellStyle name="差_Book1 2_工艺科2017年全面预算20161010 2_动力部" xfId="23251" xr:uid="{EAB0CFB6-E309-4FF1-8980-15DE68ECEB11}"/>
    <cellStyle name="差_Book1 2_工艺科2017年全面预算20161010_动力部" xfId="23252" xr:uid="{772D638D-84C2-4038-8ACB-CE83C0CF9205}"/>
    <cellStyle name="差_Book1 2_尖山矿2017年产量预算及不利因素影响报" xfId="23253" xr:uid="{CE2F2706-A642-4EB6-A4D7-314F818B9B6E}"/>
    <cellStyle name="差_Book1 2_尖山矿2017年产量预算及不利因素影响报 2" xfId="23254" xr:uid="{F56773CD-818E-4CB9-AB3A-BE7B7A750879}"/>
    <cellStyle name="差_Book1 2_尖山矿2017年产量预算及不利因素影响报 2_动力部" xfId="23255" xr:uid="{C92193EB-3047-49DA-B5A4-4A2330F3E25A}"/>
    <cellStyle name="差_Book1 2_尖山矿2017年产量预算及不利因素影响报_动力部" xfId="23256" xr:uid="{6EAD6114-30F1-4508-81A7-B05313B0025D}"/>
    <cellStyle name="差_Book1 2_球团工序" xfId="23257" xr:uid="{CFDDD4E0-AECC-426A-9B9A-DE1E076E1A68}"/>
    <cellStyle name="差_Book1 3" xfId="12199" xr:uid="{20D2377D-28AF-4AC8-86CA-9F68B4F699C6}"/>
    <cellStyle name="差_Book1 3 2" xfId="23258" xr:uid="{FA095934-55FE-4C89-9CF4-2FF14F4EB400}"/>
    <cellStyle name="差_Book1 3_动力部" xfId="23259" xr:uid="{437ED8E5-B98A-4AE1-876F-2FC062F32792}"/>
    <cellStyle name="差_Book1 4" xfId="23228" xr:uid="{A856ADA8-5C16-40EF-B22E-F383B7D97377}"/>
    <cellStyle name="差_Book1_07月球团产品成本表" xfId="23260" xr:uid="{A68C854D-B8C6-43EC-8219-F9416964903B}"/>
    <cellStyle name="差_Book1_09月球团产品成本表 " xfId="23261" xr:uid="{A373C48F-0688-43B0-B487-EA7799DA5BF6}"/>
    <cellStyle name="差_Book1_1" xfId="6265" xr:uid="{133E4DB3-F57B-4F87-AB07-65F4BA50AA6A}"/>
    <cellStyle name="差_Book1_1 2" xfId="6622" xr:uid="{DE579B48-DA8F-4FCB-BEFC-2E2D87CD383F}"/>
    <cellStyle name="差_Book1_1 2 2" xfId="23264" xr:uid="{CED21EC1-0946-4CDB-A277-5C342C0A5434}"/>
    <cellStyle name="差_Book1_1 2 3" xfId="23263" xr:uid="{C116580F-B868-44D2-9B55-6CD9D2E6C04A}"/>
    <cellStyle name="差_Book1_1 3" xfId="12729" xr:uid="{29D283FF-7EAE-451E-BF2B-A9268A6A63BD}"/>
    <cellStyle name="差_Book1_1 3 2" xfId="23265" xr:uid="{80D10FB1-089D-467F-BDC4-E848EDCF52BD}"/>
    <cellStyle name="差_Book1_1 4" xfId="23266" xr:uid="{580A3416-D81F-4BC4-A37C-46D43BD2CC18}"/>
    <cellStyle name="差_Book1_1 5" xfId="23267" xr:uid="{FF354790-0C2E-462D-8DAD-93657FCA250F}"/>
    <cellStyle name="差_Book1_1 6" xfId="23268" xr:uid="{0CF63259-AFAC-493A-A2B0-47F33D87CFC2}"/>
    <cellStyle name="差_Book1_1 7" xfId="23269" xr:uid="{11C40E2A-71C2-40BC-8917-4E648AD7451D}"/>
    <cellStyle name="差_Book1_1 8" xfId="23270" xr:uid="{92348FB4-1DF4-4530-9F84-6B565F8CB9C4}"/>
    <cellStyle name="差_Book1_1 9" xfId="23262" xr:uid="{988834DE-BB67-4CCD-B04C-21646C977DDA}"/>
    <cellStyle name="差_Book1_1_Book1" xfId="23271" xr:uid="{3D1E8BEE-BA15-4424-94D8-58C07EB49DA6}"/>
    <cellStyle name="差_Book1_1_Book1_动力部" xfId="23272" xr:uid="{D36DD4B2-158D-4C85-A8CB-A2B5B76A0FA1}"/>
    <cellStyle name="差_Book1_1_动力部" xfId="23273" xr:uid="{9B4E6FD7-4513-4F44-AE3D-D8240C7C6C4C}"/>
    <cellStyle name="差_Book1_1_动力预提" xfId="23274" xr:uid="{A4D47D64-0C2E-4763-B600-BF8B797018A7}"/>
    <cellStyle name="差_Book1_1_副本峨矿2016年预算格式" xfId="23275" xr:uid="{72DACCEA-B06C-4BF9-92CC-1827C058676F}"/>
    <cellStyle name="差_Book1_1_副本峨矿2016年预算格式 2" xfId="23276" xr:uid="{50CE9059-988D-4100-9AE2-81CFE290D1DA}"/>
    <cellStyle name="差_Book1_1_副本峨矿2016年预算格式_动力部" xfId="23277" xr:uid="{A8DC0CBA-2E2D-444D-B3A6-B80760E701E2}"/>
    <cellStyle name="差_Book1_1_球团工序" xfId="23278" xr:uid="{254C1967-EFAD-42CF-8C5B-B1935D21D007}"/>
    <cellStyle name="差_Book1_1_球团工序_1" xfId="23279" xr:uid="{78CDF1C1-CC25-4BB6-B335-A34B4242AB51}"/>
    <cellStyle name="差_Book1_10月球团产品成本表" xfId="23280" xr:uid="{AEB851B0-5FDD-41A3-A39C-BB612862DE36}"/>
    <cellStyle name="差_Book1_11月球团产品成本表" xfId="23281" xr:uid="{73F38A59-E465-41E0-A766-D0A0CA9087DE}"/>
    <cellStyle name="差_Book1_2" xfId="6623" xr:uid="{982FBDD2-EE51-4334-81D3-3FAC865B9211}"/>
    <cellStyle name="差_Book1_2 2" xfId="6624" xr:uid="{11475FAF-C8C8-4875-A52A-A2E9096476AD}"/>
    <cellStyle name="差_Book1_2 3" xfId="12412" xr:uid="{BBB9D562-EE8E-4630-8EFC-58136B858A15}"/>
    <cellStyle name="差_Book1_2014年降本增效指标完成情况" xfId="23282" xr:uid="{2F0425EB-1C9E-4B8E-B694-6F0A1323DE4C}"/>
    <cellStyle name="差_Book1_2014年降本增效指标完成情况 2" xfId="23283" xr:uid="{754C1FBD-6F62-42B5-9FE9-07BAFC288560}"/>
    <cellStyle name="差_Book1_2016年9月成本报表" xfId="23284" xr:uid="{731968C4-685B-4C13-8D5C-DB0D0C0F04B9}"/>
    <cellStyle name="差_Book1_2016年9月成本报表 2" xfId="23285" xr:uid="{E5011E81-7790-426A-BDB3-68591FD7859F}"/>
    <cellStyle name="差_Book1_2016年9月成本报表 2_动力部" xfId="23286" xr:uid="{1A51D90D-F0E2-4CC2-9542-0112EF3AFBD4}"/>
    <cellStyle name="差_Book1_2016年9月成本报表_动力部" xfId="23287" xr:uid="{4243406C-3342-4435-B94E-65A1AD90D7E8}"/>
    <cellStyle name="差_Book1_2017年全面预算新增表样" xfId="23288" xr:uid="{5FB9D832-4C58-4563-B367-77FC78061D75}"/>
    <cellStyle name="差_Book1_2017年全面预算新增表样 2" xfId="23289" xr:uid="{4CA710DF-93DB-444E-A322-3A461B91233B}"/>
    <cellStyle name="差_Book1_2017年全面预算新增表样 2_动力部" xfId="23290" xr:uid="{999BB6A1-D7B3-47F0-B33F-C215046F7772}"/>
    <cellStyle name="差_Book1_2017年全面预算新增表样_动力部" xfId="23291" xr:uid="{2328D420-D449-42C8-A671-7AD9971FD3A8}"/>
    <cellStyle name="差_Book1_2017年全面预算新增指标" xfId="23292" xr:uid="{E0A12617-7571-478B-B511-175BDE6EDD7D}"/>
    <cellStyle name="差_Book1_2017年全面预算新增指标 2" xfId="23293" xr:uid="{866A48F7-A7A0-46F5-A5C3-D514BFF8EBB3}"/>
    <cellStyle name="差_Book1_2017年全面预算新增指标 2_动力部" xfId="23294" xr:uid="{D0115DD9-2F9D-437F-BB8E-054137B8DA74}"/>
    <cellStyle name="差_Book1_2017年全面预算新增指标_动力部" xfId="23295" xr:uid="{9265B9DC-455E-4922-A7EB-21566D78EC71}"/>
    <cellStyle name="差_Book1_Book1" xfId="23296" xr:uid="{3535FB15-3923-440E-8B97-EB5AEAE9B3F7}"/>
    <cellStyle name="差_Book1_Book1_动力部" xfId="23297" xr:uid="{4E2DD446-B5EF-4DD3-9E2C-5F44E179D5C4}"/>
    <cellStyle name="差_Book1_Sheet5" xfId="23298" xr:uid="{4EA8A5BD-DF3C-4FE9-8C4F-A7FD84675146}"/>
    <cellStyle name="差_Book1_待摊 (自产)" xfId="23299" xr:uid="{BB3E4839-17C2-4ED6-90E9-ADFE9408627A}"/>
    <cellStyle name="差_Book1_动力部" xfId="23300" xr:uid="{416A69AF-073C-47B5-BF03-8299C0550392}"/>
    <cellStyle name="差_Book1_动力预提" xfId="23301" xr:uid="{04E9295D-16B6-43D5-8AA0-26D08C64DE39}"/>
    <cellStyle name="差_Book1_峨口分析台帐" xfId="23302" xr:uid="{0A1C5EF8-85A6-47FB-94E3-187FC0738C11}"/>
    <cellStyle name="差_Book1_峨口分析台帐 2" xfId="23303" xr:uid="{96FFAAB3-6A06-4643-A463-64B07497FFD8}"/>
    <cellStyle name="差_Book1_峨矿1月份成本报表(管理)" xfId="23304" xr:uid="{1E59B599-3394-443E-914F-E3B59AB6205E}"/>
    <cellStyle name="差_Book1_副本峨矿2014年经营Ⅱ档预算全稿qt(2013.12.25发送矿业公司)" xfId="23305" xr:uid="{1290D181-EC9C-416F-94A6-4227093A5CF1}"/>
    <cellStyle name="差_Book1_工艺科2017年全面预算20161010" xfId="23306" xr:uid="{44FB486D-5E6A-4187-A8AE-B24D8317019C}"/>
    <cellStyle name="差_Book1_工艺科2017年全面预算20161010 2" xfId="23307" xr:uid="{C2DA8536-ECE2-4984-8FBB-EE3A1B15AB1C}"/>
    <cellStyle name="差_Book1_工艺科2017年全面预算20161010 2_动力部" xfId="23308" xr:uid="{B22EB29D-D57A-4AED-92E5-77105C4BCA06}"/>
    <cellStyle name="差_Book1_工艺科2017年全面预算20161010_动力部" xfId="23309" xr:uid="{BB8E0F64-5E15-47A6-BC54-88D9EBBF313F}"/>
    <cellStyle name="差_Book1_加不利2016年预算3稿（内）1106" xfId="23310" xr:uid="{2B7C0FC1-F9F4-4B27-80AE-86A0D166886F}"/>
    <cellStyle name="差_Book1_加不利2016年预算3稿（内）1106 2" xfId="23311" xr:uid="{D67E153C-DAC3-4E8F-BD3D-8A535F59EB70}"/>
    <cellStyle name="差_Book1_加不利2016年预算3稿（内）1106 2_动力部" xfId="23312" xr:uid="{1A102937-E38E-4928-8A77-A38F33785FEC}"/>
    <cellStyle name="差_Book1_加不利2016年预算3稿（内）1106_动力部" xfId="23313" xr:uid="{9BF38F66-BFB0-471E-9485-E20C7D9DC1A8}"/>
    <cellStyle name="差_Book1_尖山矿2017年产量预算及不利因素影响报" xfId="23314" xr:uid="{C8D16C8A-12A9-4A8A-B429-BD82DDA4A59C}"/>
    <cellStyle name="差_Book1_尖山矿2017年产量预算及不利因素影响报 2" xfId="23315" xr:uid="{13FDC6E1-7E7A-42DF-A715-A076B494DAF6}"/>
    <cellStyle name="差_Book1_尖山矿2017年产量预算及不利因素影响报 2_动力部" xfId="23316" xr:uid="{35801516-9245-4E0E-A846-3A76AEE26D52}"/>
    <cellStyle name="差_Book1_尖山矿2017年产量预算及不利因素影响报_动力部" xfId="23317" xr:uid="{4DDF2A51-B6FF-4209-90B0-34102A1F7AFA}"/>
    <cellStyle name="差_Book1_尖山铁矿2016年预算内部全面预算(129)" xfId="23318" xr:uid="{D79C7C26-E0A7-4FF5-813D-BC08FA1D1469}"/>
    <cellStyle name="差_Book1_尖山铁矿2016年预算内部全面预算(129) 2" xfId="23319" xr:uid="{5052BE2D-0AE9-4D00-985A-49A93ECF64B7}"/>
    <cellStyle name="差_Book1_尖山铁矿2016年预算内部全面预算(129) 2_动力部" xfId="23320" xr:uid="{AE6BD161-9A20-4640-AA76-B07DE64D05C3}"/>
    <cellStyle name="差_Book1_尖山铁矿2016年预算内部全面预算(129)_动力部" xfId="23321" xr:uid="{43265561-E9BF-410E-A891-4EE95A34044F}"/>
    <cellStyle name="差_Book1_尖山铁矿2017年全面预算1.26" xfId="23322" xr:uid="{C6E8E2F0-CCCB-4F93-98EE-89FD228E4378}"/>
    <cellStyle name="差_Book1_降本增效简报底表(杜占杰9.1)" xfId="23323" xr:uid="{EA5C7C66-21AB-4D24-937D-9804E67A748A}"/>
    <cellStyle name="差_Book1_降本增效简报底表(杜占杰9.1) 2" xfId="23324" xr:uid="{DD8FD973-154A-4621-BD1A-FDD9B3FAC5B9}"/>
    <cellStyle name="差_Book1_矿业公司2014年全面预算稿（机关费用）" xfId="23325" xr:uid="{0B6119B4-4912-406C-9B0C-37154CCE856A}"/>
    <cellStyle name="差_Book1_矿业公司2014年全面预算稿（机关费用） 2" xfId="23326" xr:uid="{35EC1E58-D943-4FD8-8D11-7F46C5006E38}"/>
    <cellStyle name="差_Book1_矿业公司2014年全面预算稿（机关费用） 2_动力部" xfId="23327" xr:uid="{A23E7DDE-C1E5-4C0D-AF43-EFCD1687D78A}"/>
    <cellStyle name="差_Book1_矿业公司2014年全面预算稿（机关费用）_动力部" xfId="23328" xr:uid="{F176F595-7C30-4CBD-87EF-7128AE88A942}"/>
    <cellStyle name="差_Book1_利润表(4)" xfId="23329" xr:uid="{0A185C92-EEED-4D82-8D1D-10987C668A1D}"/>
    <cellStyle name="差_Book1_收入利润18" xfId="23330" xr:uid="{04DA79CE-C78A-470D-837F-F729A1A4EFDB}"/>
    <cellStyle name="差_Book1_收入利润18_动力部" xfId="23331" xr:uid="{7F843044-0205-4BD1-805F-6DFDAE20A9AE}"/>
    <cellStyle name="差_Book1_预提 (自产)" xfId="23332" xr:uid="{7E33CB7F-640D-4C6C-A4CD-28F4BE7800C9}"/>
    <cellStyle name="差_安全生产费" xfId="23333" xr:uid="{1FCF44B7-2867-45A7-89F8-8D6A38BFA3D4}"/>
    <cellStyle name="差_安全生产费_1" xfId="23334" xr:uid="{8BA11F5B-1DAC-428E-8EF6-061E5FB05C4D}"/>
    <cellStyle name="差_财务快报信息格式5.25" xfId="6625" xr:uid="{3845996E-EC74-45C9-9A71-C50C101EA161}"/>
    <cellStyle name="差_待摊费用" xfId="23335" xr:uid="{CF789D0F-4599-4410-9F31-2DBACCF3A193}"/>
    <cellStyle name="差_待摊费用_1" xfId="23336" xr:uid="{7835C785-226B-4C7C-A455-F3FCDEB34DD8}"/>
    <cellStyle name="差_动力部" xfId="23337" xr:uid="{8BA5B358-21FE-4436-A03F-F2627F49C4D3}"/>
    <cellStyle name="差_动力部_1" xfId="23338" xr:uid="{1AA1E276-1BEA-48D3-9439-85598DA8FF7A}"/>
    <cellStyle name="差_动力部_2" xfId="23339" xr:uid="{794A9594-10DC-465A-BB4D-492525610F70}"/>
    <cellStyle name="差_动力预提" xfId="23340" xr:uid="{BC1E7FE7-2BE2-40E8-9165-ACE1D142705C}"/>
    <cellStyle name="差_对标指标8" xfId="23341" xr:uid="{33E96439-3909-41EC-9B10-F73818F29E75}"/>
    <cellStyle name="差_对标指标8_动力部" xfId="23342" xr:uid="{ABEB4045-6CB7-45DF-8C70-98A8F8561B78}"/>
    <cellStyle name="差_峨口铁矿工程科在建工程" xfId="23343" xr:uid="{7F08430C-4CCD-4D58-8866-435B321C8654}"/>
    <cellStyle name="差_峨口铁矿工程科在建工程 2" xfId="23344" xr:uid="{9E5951E9-E959-4E7A-A756-9FCD2E6F634C}"/>
    <cellStyle name="差_峨口铁矿工程科在建工程 3" xfId="23345" xr:uid="{58175FE0-4338-47FB-9C48-E0DD33E217DA}"/>
    <cellStyle name="差_峨口铁矿工程科在建工程_球团工序" xfId="23346" xr:uid="{B52889CA-0F67-4778-A190-14B333DBC740}"/>
    <cellStyle name="差_复合材料厂2013年预算12.12 (version 1)" xfId="23347" xr:uid="{D4C9C3BC-C32A-46DC-8694-192691F042A3}"/>
    <cellStyle name="差_复合材料厂2013年预算12.12 (version 1) 2" xfId="23348" xr:uid="{29751792-2678-4FBE-9C6C-1D465C314D00}"/>
    <cellStyle name="差_复合材料厂2013年预算12.12 (version 1)_动力部" xfId="23349" xr:uid="{76C5EDCF-CEE3-4DDB-8C98-D8F3D53DA93E}"/>
    <cellStyle name="差_复合材料厂2013年预算13.02.20" xfId="23350" xr:uid="{0658B77C-8A43-4D65-A09C-47F68C3691FB}"/>
    <cellStyle name="差_复合材料厂2013年预算13.02.20 2" xfId="23351" xr:uid="{6B33E8C6-372A-401C-B5EF-565A4E06A64C}"/>
    <cellStyle name="差_复合材料厂2013年预算13.02.20_动力部" xfId="23352" xr:uid="{60E27686-EFD6-4A58-AF7D-389A1BEA33D7}"/>
    <cellStyle name="差_复合材料厂2014年预算1.15" xfId="23353" xr:uid="{5EF4E81A-E3D5-4CB6-9B73-8FDC60BA6595}"/>
    <cellStyle name="差_复合材料厂2014年预算1.15 2" xfId="23354" xr:uid="{E4093130-1B1E-4A0F-A80F-3D539E6DA619}"/>
    <cellStyle name="差_复合材料厂2014年预算1.15_动力部" xfId="23355" xr:uid="{50BF38F3-67EB-4494-9A60-44F1528BEE7A}"/>
    <cellStyle name="差_复合厂2012年全面预算第3稿(产量及其它10.28)报" xfId="23356" xr:uid="{C4BE0459-97A8-4789-8C97-1B0B04D441F8}"/>
    <cellStyle name="差_复合厂2012年全面预算第3稿(产量及其它10.28)报 10" xfId="23357" xr:uid="{213803D3-CB9D-4B98-B819-D4082F33AF1E}"/>
    <cellStyle name="差_复合厂2012年全面预算第3稿(产量及其它10.28)报 11" xfId="23358" xr:uid="{46DDB361-E48E-4B64-914D-BA3B9C2FE869}"/>
    <cellStyle name="差_复合厂2012年全面预算第3稿(产量及其它10.28)报 2" xfId="23359" xr:uid="{EDA85ED0-EF84-413A-BDE1-C31EB39C3526}"/>
    <cellStyle name="差_复合厂2012年全面预算第3稿(产量及其它10.28)报 2 2" xfId="23360" xr:uid="{E56CFABF-3A09-451A-9EBF-E3EA0BCDF9B8}"/>
    <cellStyle name="差_复合厂2012年全面预算第3稿(产量及其它10.28)报 2 3" xfId="23361" xr:uid="{F63CD333-9985-4C0D-B194-C58AE6EDA6F8}"/>
    <cellStyle name="差_复合厂2012年全面预算第3稿(产量及其它10.28)报 2_动力部" xfId="23362" xr:uid="{3A190E47-1F10-4F14-AF22-B63F55CEC12E}"/>
    <cellStyle name="差_复合厂2012年全面预算第3稿(产量及其它10.28)报 3" xfId="23363" xr:uid="{1706687B-CCD1-4932-90B7-02C0DD0321E3}"/>
    <cellStyle name="差_复合厂2012年全面预算第3稿(产量及其它10.28)报 3 2" xfId="23364" xr:uid="{A9448E7D-2122-488F-9FBD-4AF2C9BAE4B5}"/>
    <cellStyle name="差_复合厂2012年全面预算第3稿(产量及其它10.28)报 3_动力部" xfId="23365" xr:uid="{6C1E1EA3-AA03-46AB-9533-69E760895207}"/>
    <cellStyle name="差_复合厂2012年全面预算第3稿(产量及其它10.28)报 4" xfId="23366" xr:uid="{3FA4452E-5F6D-485F-A931-92B6968072F5}"/>
    <cellStyle name="差_复合厂2012年全面预算第3稿(产量及其它10.28)报 4_动力部" xfId="23367" xr:uid="{1403348D-C693-459B-9C8C-2CDA4860288A}"/>
    <cellStyle name="差_复合厂2012年全面预算第3稿(产量及其它10.28)报 5" xfId="23368" xr:uid="{F40E9B26-F91D-4F34-B3B1-73BFCF898C68}"/>
    <cellStyle name="差_复合厂2012年全面预算第3稿(产量及其它10.28)报 6" xfId="23369" xr:uid="{51E90B08-7D27-4552-B5D6-A7A3D3C7B9C0}"/>
    <cellStyle name="差_复合厂2012年全面预算第3稿(产量及其它10.28)报 7" xfId="23370" xr:uid="{7A03CE32-15DE-4071-84DB-F3C69973BE9F}"/>
    <cellStyle name="差_复合厂2012年全面预算第3稿(产量及其它10.28)报 8" xfId="23371" xr:uid="{4DC0B673-1E22-4751-B77E-1A055528EE75}"/>
    <cellStyle name="差_复合厂2012年全面预算第3稿(产量及其它10.28)报 9" xfId="23372" xr:uid="{102108AC-1FF2-4823-B92A-91AF36BB48E2}"/>
    <cellStyle name="差_复合厂2012年全面预算第3稿(产量及其它10.28)报_2012厂各单位预算指标分解2012.3.31" xfId="23373" xr:uid="{60E1FD73-3707-45EB-97DB-557103E85836}"/>
    <cellStyle name="差_复合厂2012年全面预算第3稿(产量及其它10.28)报_2012厂各单位预算指标分解2012.3.31 2" xfId="23374" xr:uid="{83D5DF09-F5E6-4C73-8393-AE843111CC8C}"/>
    <cellStyle name="差_复合厂2012年全面预算第3稿(产量及其它10.28)报_2012厂各单位预算指标分解2012.3.31_动力部" xfId="23375" xr:uid="{DAE3D345-5C0D-4C37-9E7A-B77C5F67E8F7}"/>
    <cellStyle name="差_复合厂2012年全面预算第3稿(产量及其它10.28)报_2012厂各单位预算指标分解2012.3.31_副本峨矿2016年预算格式" xfId="23376" xr:uid="{6BE0807C-6F6A-4AAD-9E2F-327488D1EC09}"/>
    <cellStyle name="差_复合厂2012年全面预算第3稿(产量及其它10.28)报_2012厂各单位预算指标分解2012.3.31_副本峨矿2016年预算格式 2" xfId="23377" xr:uid="{7ED2F5A3-6594-451B-A274-685B6B22A470}"/>
    <cellStyle name="差_复合厂2012年全面预算第3稿(产量及其它10.28)报_2012厂各单位预算指标分解2012.3.31_副本峨矿2016年预算格式_动力部" xfId="23378" xr:uid="{043E0E31-BC8B-4DD3-8623-0E466CE8DA8D}"/>
    <cellStyle name="差_复合厂2012年全面预算第3稿(产量及其它10.28)报_2012厂内部预算指标下达(2)2.20" xfId="23379" xr:uid="{9BAF6BF8-E8B0-45BD-A618-1566D31A20FD}"/>
    <cellStyle name="差_复合厂2012年全面预算第3稿(产量及其它10.28)报_2012厂内部预算指标下达(2)2.20 2" xfId="23380" xr:uid="{E4EF0E27-802D-4A69-9EF1-21EC920366BB}"/>
    <cellStyle name="差_复合厂2012年全面预算第3稿(产量及其它10.28)报_2012厂内部预算指标下达(2)2.20_动力部" xfId="23381" xr:uid="{BB7538ED-C7D4-480E-B434-88D25BFEB2C5}"/>
    <cellStyle name="差_复合厂2012年全面预算第3稿(产量及其它10.28)报_2012厂内部预算指标下达(2)2.20_副本峨矿2016年预算格式" xfId="23382" xr:uid="{A403C067-5293-48A6-8C54-D0CCDDA97E84}"/>
    <cellStyle name="差_复合厂2012年全面预算第3稿(产量及其它10.28)报_2012厂内部预算指标下达(2)2.20_副本峨矿2016年预算格式 2" xfId="23383" xr:uid="{67E72857-309E-443F-84AF-9FF6E8297CE6}"/>
    <cellStyle name="差_复合厂2012年全面预算第3稿(产量及其它10.28)报_2012厂内部预算指标下达(2)2.20_副本峨矿2016年预算格式_动力部" xfId="23384" xr:uid="{42E1F4C2-5451-48EA-80D4-F474304DCAC9}"/>
    <cellStyle name="差_复合厂2012年全面预算第3稿(产量及其它10.28)报_2016年9月成本报表" xfId="23385" xr:uid="{B96B882A-1E65-491B-8E55-8B2A3947702E}"/>
    <cellStyle name="差_复合厂2012年全面预算第3稿(产量及其它10.28)报_2016年9月成本报表 2" xfId="23386" xr:uid="{0CF78F34-3805-463E-91DD-8F3FD28F2D18}"/>
    <cellStyle name="差_复合厂2012年全面预算第3稿(产量及其它10.28)报_2016年9月成本报表 2_动力部" xfId="23387" xr:uid="{2CECE5D9-6A1F-4F60-B8F0-D5F90FDE1DEF}"/>
    <cellStyle name="差_复合厂2012年全面预算第3稿(产量及其它10.28)报_2016年9月成本报表_动力部" xfId="23388" xr:uid="{160EEE43-A188-47A9-B5E8-E379B3C94454}"/>
    <cellStyle name="差_复合厂2012年全面预算第3稿(产量及其它10.28)报_2016年采矿工序预算" xfId="23389" xr:uid="{38F476A9-3891-4E28-A715-090BBA03F666}"/>
    <cellStyle name="差_复合厂2012年全面预算第3稿(产量及其它10.28)报_2017年全面预算新增表样" xfId="23390" xr:uid="{5706842C-CA9D-48EA-9CF3-26C0152E9905}"/>
    <cellStyle name="差_复合厂2012年全面预算第3稿(产量及其它10.28)报_2017年全面预算新增表样 2" xfId="23391" xr:uid="{5F884A0C-1363-49B0-A511-85D88E8B1348}"/>
    <cellStyle name="差_复合厂2012年全面预算第3稿(产量及其它10.28)报_2017年全面预算新增表样 2_动力部" xfId="23392" xr:uid="{D9B982CB-F4D8-4FBF-9B2F-48B9320F23B7}"/>
    <cellStyle name="差_复合厂2012年全面预算第3稿(产量及其它10.28)报_2017年全面预算新增表样_动力部" xfId="23393" xr:uid="{FD571476-9573-478E-8954-80733FD5372B}"/>
    <cellStyle name="差_复合厂2012年全面预算第3稿(产量及其它10.28)报_2017年全面预算新增指标" xfId="23394" xr:uid="{73EAE742-649C-4455-AA24-83DD3D9DEBE9}"/>
    <cellStyle name="差_复合厂2012年全面预算第3稿(产量及其它10.28)报_2017年全面预算新增指标 2" xfId="23395" xr:uid="{E031A504-6541-4E78-B10F-A3BC7A92ECB6}"/>
    <cellStyle name="差_复合厂2012年全面预算第3稿(产量及其它10.28)报_2017年全面预算新增指标 2_动力部" xfId="23396" xr:uid="{3A154EC7-A354-48E9-A3AC-BA05D54FBC91}"/>
    <cellStyle name="差_复合厂2012年全面预算第3稿(产量及其它10.28)报_2017年全面预算新增指标_动力部" xfId="23397" xr:uid="{91167130-9636-43F6-874B-1609DD0B37CC}"/>
    <cellStyle name="差_复合厂2012年全面预算第3稿(产量及其它10.28)报_动力部" xfId="23398" xr:uid="{FD3C89AC-7339-4512-83A3-FED990F85564}"/>
    <cellStyle name="差_复合厂2012年全面预算第3稿(产量及其它10.28)报_动力预提" xfId="23399" xr:uid="{6B864F7B-2F99-4CE7-A14E-FB94719E99B7}"/>
    <cellStyle name="差_复合厂2012年全面预算第3稿(产量及其它10.28)报_复合2015年全面预算稿10.29" xfId="23400" xr:uid="{BB02AA18-962E-425B-BCDF-4FF3DE04D7DE}"/>
    <cellStyle name="差_复合厂2012年全面预算第3稿(产量及其它10.28)报_复合2015年全面预算稿10.29 2" xfId="23401" xr:uid="{D7B7BFBA-A8BE-44AB-AE69-4C309EFCCA7D}"/>
    <cellStyle name="差_复合厂2012年全面预算第3稿(产量及其它10.28)报_复合2015年全面预算稿10.29_动力部" xfId="23402" xr:uid="{632EE48D-616E-4A38-AA19-9E962D32759B}"/>
    <cellStyle name="差_复合厂2012年全面预算第3稿(产量及其它10.28)报_复合材料厂2013年预算12.12 (version 1)" xfId="23403" xr:uid="{6DDC0BC5-C23B-4333-A490-9E478CFFB1B9}"/>
    <cellStyle name="差_复合厂2012年全面预算第3稿(产量及其它10.28)报_复合材料厂2013年预算12.12 (version 1) 2" xfId="23404" xr:uid="{56347EE4-3181-4358-A2BB-210194CE2217}"/>
    <cellStyle name="差_复合厂2012年全面预算第3稿(产量及其它10.28)报_复合材料厂2013年预算12.12 (version 1)_动力部" xfId="23405" xr:uid="{5D690AF3-4187-4EC4-8664-64CEE1EFF284}"/>
    <cellStyle name="差_复合厂2012年全面预算第3稿(产量及其它10.28)报_复合材料厂2013年预算13.02.20" xfId="23406" xr:uid="{7E93AF47-10B7-4381-90C8-910C932E4A68}"/>
    <cellStyle name="差_复合厂2012年全面预算第3稿(产量及其它10.28)报_复合材料厂2013年预算13.02.20 2" xfId="23407" xr:uid="{53A685BE-5303-4CA3-8C25-E8BF121098B2}"/>
    <cellStyle name="差_复合厂2012年全面预算第3稿(产量及其它10.28)报_复合材料厂2013年预算13.02.20_动力部" xfId="23408" xr:uid="{AE946D49-704F-446C-BD6B-98EFF9ED261F}"/>
    <cellStyle name="差_复合厂2012年全面预算第3稿(产量及其它10.28)报_复件 复合材料厂2014年预算12.13" xfId="23409" xr:uid="{EFF66073-C0F3-4BBD-A55C-B0F66C8D3C5B}"/>
    <cellStyle name="差_复合厂2012年全面预算第3稿(产量及其它10.28)报_复件 复合材料厂2014年预算12.13 2" xfId="23410" xr:uid="{85E2D0DA-C9FF-4CF0-993D-47CCDB65AD65}"/>
    <cellStyle name="差_复合厂2012年全面预算第3稿(产量及其它10.28)报_复件 复合材料厂2014年预算12.13_动力部" xfId="23411" xr:uid="{CB44CF2B-B4DA-4A6E-895D-48ED637CB24B}"/>
    <cellStyle name="差_复合厂2012年全面预算第3稿(产量及其它10.28)报_副本峨矿2014年经营Ⅱ档预算全稿qt(2013.12.25发送矿业公司)" xfId="23412" xr:uid="{0D3160AE-B458-4C4D-AB10-A1BED204941A}"/>
    <cellStyle name="差_复合厂2012年全面预算第3稿(产量及其它10.28)报_副本峨矿2016年预算格式" xfId="23413" xr:uid="{19BAB330-E238-41F5-A60C-0F66081AF4EB}"/>
    <cellStyle name="差_复合厂2012年全面预算第3稿(产量及其它10.28)报_副本峨矿2016年预算格式 2" xfId="23414" xr:uid="{109452E5-3B10-410A-B2E6-F8CF2DF60145}"/>
    <cellStyle name="差_复合厂2012年全面预算第3稿(产量及其它10.28)报_副本峨矿2016年预算格式_动力部" xfId="23415" xr:uid="{E7A0350F-75B6-4C4E-A2C8-64A38EAB13AC}"/>
    <cellStyle name="差_复合厂2012年全面预算第3稿(产量及其它10.28)报_副本太钢复合材料厂2013修理费预算12.13" xfId="23416" xr:uid="{2378514B-5176-4F89-81E5-A207DE001CB4}"/>
    <cellStyle name="差_复合厂2012年全面预算第3稿(产量及其它10.28)报_副本太钢复合材料厂2013修理费预算12.13 2" xfId="23417" xr:uid="{4F57E76E-5449-49BF-9386-2FC04112C2CF}"/>
    <cellStyle name="差_复合厂2012年全面预算第3稿(产量及其它10.28)报_副本太钢复合材料厂2013修理费预算12.13_动力部" xfId="23418" xr:uid="{9A4B2F47-1BD2-4C24-B8AE-3DCD6EB4D92B}"/>
    <cellStyle name="差_复合厂2012年全面预算第3稿(产量及其它10.28)报_副本太钢复合材料厂2013修理费预算12.13_副本峨矿2016年预算格式" xfId="23419" xr:uid="{1E5F3F66-A9DC-485C-B173-B11EC54CE0AB}"/>
    <cellStyle name="差_复合厂2012年全面预算第3稿(产量及其它10.28)报_副本太钢复合材料厂2013修理费预算12.13_副本峨矿2016年预算格式 2" xfId="23420" xr:uid="{45A7069D-E25E-403D-A1BD-1DCA0D509BCA}"/>
    <cellStyle name="差_复合厂2012年全面预算第3稿(产量及其它10.28)报_副本太钢复合材料厂2013修理费预算12.13_副本峨矿2016年预算格式_动力部" xfId="23421" xr:uid="{8123054E-5741-4774-A052-82DCE0A4BCC1}"/>
    <cellStyle name="差_复合厂2012年全面预算第3稿(产量及其它10.28)报_副本太钢复合材料厂2014修理费预算及分解10.17(修改后)" xfId="23422" xr:uid="{DF470F5A-2D6E-443B-BC76-F21933F38BA2}"/>
    <cellStyle name="差_复合厂2012年全面预算第3稿(产量及其它10.28)报_副本太钢复合材料厂2014修理费预算及分解10.17(修改后) 2" xfId="23423" xr:uid="{8C1908A6-819B-484A-B696-AD1FFB3E3463}"/>
    <cellStyle name="差_复合厂2012年全面预算第3稿(产量及其它10.28)报_副本太钢复合材料厂2014修理费预算及分解10.17(修改后)_动力部" xfId="23424" xr:uid="{7CD3B025-F803-4EDD-B6ED-E336B34F658B}"/>
    <cellStyle name="差_复合厂2012年全面预算第3稿(产量及其它10.28)报_副本太钢复合材料厂2014修理费预算及分解10.17(修改后)_副本峨矿2016年预算格式" xfId="23425" xr:uid="{B04C9A48-C4DE-4340-AD19-3EF86B07382B}"/>
    <cellStyle name="差_复合厂2012年全面预算第3稿(产量及其它10.28)报_副本太钢复合材料厂2014修理费预算及分解10.17(修改后)_副本峨矿2016年预算格式 2" xfId="23426" xr:uid="{006378FA-5012-424D-B3FC-7405C3A500AD}"/>
    <cellStyle name="差_复合厂2012年全面预算第3稿(产量及其它10.28)报_副本太钢复合材料厂2014修理费预算及分解10.17(修改后)_副本峨矿2016年预算格式_动力部" xfId="23427" xr:uid="{C38C165C-7B5A-4050-964E-D8DEBFF9A5E8}"/>
    <cellStyle name="差_复合厂2012年全面预算第3稿(产量及其它10.28)报_工艺科2017年全面预算20161010" xfId="23428" xr:uid="{2931BC49-8F7D-498A-AD36-4FF3730ACF68}"/>
    <cellStyle name="差_复合厂2012年全面预算第3稿(产量及其它10.28)报_工艺科2017年全面预算20161010 2" xfId="23429" xr:uid="{469B4243-C02F-43DE-BCFF-DE521D00A968}"/>
    <cellStyle name="差_复合厂2012年全面预算第3稿(产量及其它10.28)报_工艺科2017年全面预算20161010 2_动力部" xfId="23430" xr:uid="{9D63F05C-DA05-4C3D-BE4A-E482E99BBD19}"/>
    <cellStyle name="差_复合厂2012年全面预算第3稿(产量及其它10.28)报_工艺科2017年全面预算20161010_动力部" xfId="23431" xr:uid="{A0DE00A2-DAB9-400D-9C61-F876C0AC8260}"/>
    <cellStyle name="差_复合厂2012年全面预算第3稿(产量及其它10.28)报_加不利2016年预算3稿（内）1106" xfId="23432" xr:uid="{D5B82672-FDB2-4061-99EB-232F79B62492}"/>
    <cellStyle name="差_复合厂2012年全面预算第3稿(产量及其它10.28)报_加不利2016年预算3稿（内）1106 2" xfId="23433" xr:uid="{F2A42558-BC26-4879-940D-27963314A909}"/>
    <cellStyle name="差_复合厂2012年全面预算第3稿(产量及其它10.28)报_加不利2016年预算3稿（内）1106 2_动力部" xfId="23434" xr:uid="{5879B41A-AFBE-4A20-87C8-2967DE86746F}"/>
    <cellStyle name="差_复合厂2012年全面预算第3稿(产量及其它10.28)报_加不利2016年预算3稿（内）1106_动力部" xfId="23435" xr:uid="{2C5578BC-741D-4520-AC49-A42695468539}"/>
    <cellStyle name="差_复合厂2012年全面预算第3稿(产量及其它10.28)报_尖山矿2017年产量预算及不利因素影响报" xfId="23436" xr:uid="{56EE6F12-CE2E-43E6-987C-81EF4CE1CCA9}"/>
    <cellStyle name="差_复合厂2012年全面预算第3稿(产量及其它10.28)报_尖山矿2017年产量预算及不利因素影响报 2" xfId="23437" xr:uid="{4A98C322-77FB-42F2-899D-33C84CDB9A19}"/>
    <cellStyle name="差_复合厂2012年全面预算第3稿(产量及其它10.28)报_尖山矿2017年产量预算及不利因素影响报 2_动力部" xfId="23438" xr:uid="{181589EA-5DE2-4725-B2C9-A5084F830364}"/>
    <cellStyle name="差_复合厂2012年全面预算第3稿(产量及其它10.28)报_尖山矿2017年产量预算及不利因素影响报_动力部" xfId="23439" xr:uid="{AF8E77B4-FF5E-4F90-B1DB-1918AB20E40A}"/>
    <cellStyle name="差_复合厂2012年全面预算第3稿(产量及其它10.28)报_尖山铁矿2016年预算内部全面预算(129)" xfId="23440" xr:uid="{BAE877EF-2F7F-450F-80C5-EA0F98714C43}"/>
    <cellStyle name="差_复合厂2012年全面预算第3稿(产量及其它10.28)报_尖山铁矿2016年预算内部全面预算(129) 2" xfId="23441" xr:uid="{83FB412A-3DB7-4B9B-906E-9A2FFB5D981D}"/>
    <cellStyle name="差_复合厂2012年全面预算第3稿(产量及其它10.28)报_尖山铁矿2016年预算内部全面预算(129) 2_动力部" xfId="23442" xr:uid="{3FEDA218-CF7C-48DA-8E60-9F0D265ED92A}"/>
    <cellStyle name="差_复合厂2012年全面预算第3稿(产量及其它10.28)报_尖山铁矿2016年预算内部全面预算(129)_动力部" xfId="23443" xr:uid="{6273DB19-1CAB-4799-82A0-00B951E9847C}"/>
    <cellStyle name="差_复合厂2012年全面预算第3稿(产量及其它10.28)报_尖山铁矿2017年全面预算1.26" xfId="23444" xr:uid="{ABC7EC40-3C6F-4AF8-ADEA-CB930B3FC7F7}"/>
    <cellStyle name="差_复合厂2012年全面预算第3稿(产量及其它10.28)报_球团工序" xfId="23445" xr:uid="{1B78FDAD-6C69-4257-9E2F-C25DF9F3D205}"/>
    <cellStyle name="差_复合厂2012年全面预算第3稿(产量及其它10.28)报_上报复合材料厂2013年预算10.20" xfId="23446" xr:uid="{1FBC7E1A-CD99-4AA4-9ECA-8A1ABFB8F98D}"/>
    <cellStyle name="差_复合厂2012年全面预算第3稿(产量及其它10.28)报_上报复合材料厂2013年预算10.20 2" xfId="23447" xr:uid="{BA5DC3AA-A019-4F8D-A002-AAE5633AE464}"/>
    <cellStyle name="差_复合厂2012年全面预算第3稿(产量及其它10.28)报_上报复合材料厂2013年预算10.20_动力部" xfId="23448" xr:uid="{BCDDF830-0B44-4A4D-B980-5AD871A58998}"/>
    <cellStyle name="差_复合厂2012年全面预算第3稿(产量及其它10.28)报_太钢复合材料厂2013修理费预算10.27改" xfId="23449" xr:uid="{8A86F73D-3D15-4FA5-BF0C-7A3F1BB0064C}"/>
    <cellStyle name="差_复合厂2012年全面预算第3稿(产量及其它10.28)报_太钢复合材料厂2013修理费预算10.27改 2" xfId="23450" xr:uid="{29BB037D-E026-4FB0-B6FB-6639132D54C0}"/>
    <cellStyle name="差_复合厂2012年全面预算第3稿(产量及其它10.28)报_太钢复合材料厂2013修理费预算10.27改_动力部" xfId="23451" xr:uid="{45042778-BD07-4DD1-98A2-0FEDB7C019E9}"/>
    <cellStyle name="差_复合厂2012年全面预算第3稿(产量及其它10.28)报_太钢复合材料厂2013修理费预算10.27改_副本峨矿2016年预算格式" xfId="23452" xr:uid="{48EB58F7-1F16-43D5-8ABC-4137969AF219}"/>
    <cellStyle name="差_复合厂2012年全面预算第3稿(产量及其它10.28)报_太钢复合材料厂2013修理费预算10.27改_副本峨矿2016年预算格式 2" xfId="23453" xr:uid="{9584F9B5-9071-4995-97ED-580EBC09AF3C}"/>
    <cellStyle name="差_复合厂2012年全面预算第3稿(产量及其它10.28)报_太钢复合材料厂2013修理费预算10.27改_副本峨矿2016年预算格式_动力部" xfId="23454" xr:uid="{8C6EFBFD-1B4F-452C-9498-0160B65CD9AF}"/>
    <cellStyle name="差_复合厂2012年全面预算第3稿(产量及其它10.28)报_太钢鑫磊2017年1月非生产、安全、修理费统计报表" xfId="23455" xr:uid="{DDDD15D5-A72D-4288-9AD8-CFADA79E5F2C}"/>
    <cellStyle name="差_复合厂2012年全面预算第6稿(产量及其它3.2)" xfId="23456" xr:uid="{502709B4-5F22-413C-B853-5429B632DA6F}"/>
    <cellStyle name="差_复合厂2012年全面预算第6稿(产量及其它3.2) 2" xfId="23457" xr:uid="{1088EBD1-FFDB-4785-87BA-818EFCDE84B6}"/>
    <cellStyle name="差_复合厂2012年全面预算第6稿(产量及其它3.2)_2012厂各单位预算指标分解2012.3.31" xfId="23458" xr:uid="{99855502-294D-4F1C-9EBC-D8630D57F7AF}"/>
    <cellStyle name="差_复合厂2012年全面预算第6稿(产量及其它3.2)_2012厂各单位预算指标分解2012.3.31 2" xfId="23459" xr:uid="{7EC0678F-2846-4B44-A430-F63FB34DFF48}"/>
    <cellStyle name="差_复合厂2012年全面预算第6稿(产量及其它3.2)_2012厂各单位预算指标分解2012.3.31_动力部" xfId="23460" xr:uid="{6B3EC046-A27E-4DFC-83E6-95598F307D12}"/>
    <cellStyle name="差_复合厂2012年全面预算第6稿(产量及其它3.2)_2012厂各单位预算指标分解2012.3.31_副本峨矿2016年预算格式" xfId="23461" xr:uid="{36A7F626-2A18-495B-B8B9-576B47BCF53D}"/>
    <cellStyle name="差_复合厂2012年全面预算第6稿(产量及其它3.2)_2012厂各单位预算指标分解2012.3.31_副本峨矿2016年预算格式 2" xfId="23462" xr:uid="{04DF0B0B-1507-4B9A-B606-523CC7F37E67}"/>
    <cellStyle name="差_复合厂2012年全面预算第6稿(产量及其它3.2)_2012厂各单位预算指标分解2012.3.31_副本峨矿2016年预算格式_动力部" xfId="23463" xr:uid="{4832D9BD-CDD2-40A7-B7BE-2F45FD53C202}"/>
    <cellStyle name="差_复合厂2012年全面预算第6稿(产量及其它3.2)_2012厂内部预算指标下达(2)2.20" xfId="23464" xr:uid="{35E7E4BF-4C41-43B5-8369-BD94555F83CD}"/>
    <cellStyle name="差_复合厂2012年全面预算第6稿(产量及其它3.2)_2012厂内部预算指标下达(2)2.20 2" xfId="23465" xr:uid="{DBC9C342-E783-4D5E-9062-857698DAFC1B}"/>
    <cellStyle name="差_复合厂2012年全面预算第6稿(产量及其它3.2)_2012厂内部预算指标下达(2)2.20_动力部" xfId="23466" xr:uid="{8AA9F5DE-D158-4D82-9AE2-A27437411FA1}"/>
    <cellStyle name="差_复合厂2012年全面预算第6稿(产量及其它3.2)_2012厂内部预算指标下达(2)2.20_副本峨矿2016年预算格式" xfId="23467" xr:uid="{2283CC8A-EA5E-46A0-9987-D0EDCAA91503}"/>
    <cellStyle name="差_复合厂2012年全面预算第6稿(产量及其它3.2)_2012厂内部预算指标下达(2)2.20_副本峨矿2016年预算格式 2" xfId="23468" xr:uid="{961295CE-15A4-4D62-9BA8-947EA7787853}"/>
    <cellStyle name="差_复合厂2012年全面预算第6稿(产量及其它3.2)_2012厂内部预算指标下达(2)2.20_副本峨矿2016年预算格式_动力部" xfId="23469" xr:uid="{3B8534C9-D98D-4695-A63A-157DEE7738FC}"/>
    <cellStyle name="差_复合厂2012年全面预算第6稿(产量及其它3.2)_动力部" xfId="23470" xr:uid="{76F9CA8C-9EA8-433A-B155-70DD1FCCCB8F}"/>
    <cellStyle name="差_复合厂2012年全面预算第6稿(产量及其它3.2)_复合材料厂2013年预算12.12 (version 1)" xfId="23471" xr:uid="{D39BC442-59BF-4B5D-B62D-6075638753EA}"/>
    <cellStyle name="差_复合厂2012年全面预算第6稿(产量及其它3.2)_复合材料厂2013年预算12.12 (version 1) 2" xfId="23472" xr:uid="{A191459A-DCD0-44CB-AB08-FE2E69B9AAFE}"/>
    <cellStyle name="差_复合厂2012年全面预算第6稿(产量及其它3.2)_复合材料厂2013年预算12.12 (version 1)_动力部" xfId="23473" xr:uid="{CE1125DE-2B1F-459F-ACB6-0D6826CAC4D3}"/>
    <cellStyle name="差_复合厂2012年全面预算第6稿(产量及其它3.2)_复合材料厂2013年预算13.02.20" xfId="23474" xr:uid="{6137059A-0518-4B4D-B872-15EAF226DE99}"/>
    <cellStyle name="差_复合厂2012年全面预算第6稿(产量及其它3.2)_复合材料厂2013年预算13.02.20 2" xfId="23475" xr:uid="{CA06C438-6987-4175-99E3-A41181DE2B17}"/>
    <cellStyle name="差_复合厂2012年全面预算第6稿(产量及其它3.2)_复合材料厂2013年预算13.02.20_动力部" xfId="23476" xr:uid="{BF9D240E-1E6B-44C0-B2EE-308C84C7653C}"/>
    <cellStyle name="差_复合厂2012年全面预算第6稿(产量及其它3.2)_复件 复合材料厂2014年预算12.13" xfId="23477" xr:uid="{9257393F-81F9-4C36-95A1-7ADD3EF3DD04}"/>
    <cellStyle name="差_复合厂2012年全面预算第6稿(产量及其它3.2)_复件 复合材料厂2014年预算12.13 2" xfId="23478" xr:uid="{FAE96A01-1BF9-4373-BD89-E35B2DD33192}"/>
    <cellStyle name="差_复合厂2012年全面预算第6稿(产量及其它3.2)_复件 复合材料厂2014年预算12.13_动力部" xfId="23479" xr:uid="{05EA5FA4-A325-4F1A-8013-89ECA6C0A46A}"/>
    <cellStyle name="差_复合厂2012年全面预算第6稿(产量及其它3.2)_副本太钢复合材料厂2013修理费预算12.13" xfId="23480" xr:uid="{5F72A6B7-6FDE-4E36-90D9-78CFDF6F62B5}"/>
    <cellStyle name="差_复合厂2012年全面预算第6稿(产量及其它3.2)_副本太钢复合材料厂2013修理费预算12.13 2" xfId="23481" xr:uid="{8F9AF631-3369-44A2-83C1-AFE18463A8EC}"/>
    <cellStyle name="差_复合厂2012年全面预算第6稿(产量及其它3.2)_副本太钢复合材料厂2013修理费预算12.13_动力部" xfId="23482" xr:uid="{B34C300C-55D0-4B7B-9CC5-786EC5848649}"/>
    <cellStyle name="差_复合厂2012年全面预算第6稿(产量及其它3.2)_副本太钢复合材料厂2013修理费预算12.13_副本峨矿2016年预算格式" xfId="23483" xr:uid="{E748AA8B-9341-4EA1-B42D-8ECB3E1A12D3}"/>
    <cellStyle name="差_复合厂2012年全面预算第6稿(产量及其它3.2)_副本太钢复合材料厂2013修理费预算12.13_副本峨矿2016年预算格式 2" xfId="23484" xr:uid="{B01E863A-0039-434E-8653-ACAF6D909484}"/>
    <cellStyle name="差_复合厂2012年全面预算第6稿(产量及其它3.2)_副本太钢复合材料厂2013修理费预算12.13_副本峨矿2016年预算格式_动力部" xfId="23485" xr:uid="{DD40C167-5896-474E-879A-E609704D9BDD}"/>
    <cellStyle name="差_复合厂2012年全面预算第6稿(产量及其它3.2)_副本太钢复合材料厂2014修理费预算及分解10.17(修改后)" xfId="23486" xr:uid="{F62F266B-902C-4085-B91D-BA1C21760518}"/>
    <cellStyle name="差_复合厂2012年全面预算第6稿(产量及其它3.2)_副本太钢复合材料厂2014修理费预算及分解10.17(修改后) 2" xfId="23487" xr:uid="{5A1D68F5-0AD3-4B33-82CC-8FE2FEEAB671}"/>
    <cellStyle name="差_复合厂2012年全面预算第6稿(产量及其它3.2)_副本太钢复合材料厂2014修理费预算及分解10.17(修改后)_动力部" xfId="23488" xr:uid="{1DD419F6-9BD7-43C1-B91B-AB65157A25A3}"/>
    <cellStyle name="差_复合厂2012年全面预算第6稿(产量及其它3.2)_副本太钢复合材料厂2014修理费预算及分解10.17(修改后)_副本峨矿2016年预算格式" xfId="23489" xr:uid="{9FC3D545-509E-485D-B913-D454EDF25918}"/>
    <cellStyle name="差_复合厂2012年全面预算第6稿(产量及其它3.2)_副本太钢复合材料厂2014修理费预算及分解10.17(修改后)_副本峨矿2016年预算格式 2" xfId="23490" xr:uid="{B906D2A4-64BE-44CC-9DF4-68A51F5C8382}"/>
    <cellStyle name="差_复合厂2012年全面预算第6稿(产量及其它3.2)_副本太钢复合材料厂2014修理费预算及分解10.17(修改后)_副本峨矿2016年预算格式_动力部" xfId="23491" xr:uid="{C42E3A7D-31F2-4E61-8D71-2994CF776C2B}"/>
    <cellStyle name="差_复合厂2012年全面预算第6稿(产量及其它3.2)_上报复合材料厂2013年预算10.20" xfId="23492" xr:uid="{AB90E587-2335-40B1-A263-2C491C1BA3E9}"/>
    <cellStyle name="差_复合厂2012年全面预算第6稿(产量及其它3.2)_上报复合材料厂2013年预算10.20 2" xfId="23493" xr:uid="{A078A3C6-53F1-4511-9D5C-60C1C4CE83D4}"/>
    <cellStyle name="差_复合厂2012年全面预算第6稿(产量及其它3.2)_上报复合材料厂2013年预算10.20_动力部" xfId="23494" xr:uid="{4E871823-0648-4CE2-9D00-FACC927490B6}"/>
    <cellStyle name="差_复合厂2012年全面预算第6稿(产量及其它3.2)_太钢复合材料厂2013修理费预算10.27改" xfId="23495" xr:uid="{52BF160D-4780-44BF-9332-5F2DB57C7C9E}"/>
    <cellStyle name="差_复合厂2012年全面预算第6稿(产量及其它3.2)_太钢复合材料厂2013修理费预算10.27改 2" xfId="23496" xr:uid="{BE44C9A4-A9A2-41A9-8016-FEA0AE717F2F}"/>
    <cellStyle name="差_复合厂2012年全面预算第6稿(产量及其它3.2)_太钢复合材料厂2013修理费预算10.27改_动力部" xfId="23497" xr:uid="{BDF6E195-FA73-4B76-8208-4C587D385FCF}"/>
    <cellStyle name="差_复合厂2012年全面预算第6稿(产量及其它3.2)_太钢复合材料厂2013修理费预算10.27改_副本峨矿2016年预算格式" xfId="23498" xr:uid="{A10D3C73-8961-4AF2-BE6C-14D04D0AE1A8}"/>
    <cellStyle name="差_复合厂2012年全面预算第6稿(产量及其它3.2)_太钢复合材料厂2013修理费预算10.27改_副本峨矿2016年预算格式 2" xfId="23499" xr:uid="{7AB26490-9332-4777-89DB-448A58D33ACD}"/>
    <cellStyle name="差_复合厂2012年全面预算第6稿(产量及其它3.2)_太钢复合材料厂2013修理费预算10.27改_副本峨矿2016年预算格式_动力部" xfId="23500" xr:uid="{0CB722FB-69BE-4E97-B2BF-A83394FC1CFE}"/>
    <cellStyle name="差_复合厂2012年全面预算第6稿(产量其它3.2)" xfId="23501" xr:uid="{FDF266B6-EEE2-4ECC-B645-A638F47219AB}"/>
    <cellStyle name="差_复合厂2012年全面预算第6稿(产量其它3.2) 2" xfId="23502" xr:uid="{9DA3E3AB-76F0-474D-A478-0D334CE8ACF7}"/>
    <cellStyle name="差_复合厂2012年全面预算第6稿(产量其它3.2)_2012厂各单位预算指标分解2012.3.31" xfId="23503" xr:uid="{75B0F7D9-9759-4546-AC8B-DEAF42D004AC}"/>
    <cellStyle name="差_复合厂2012年全面预算第6稿(产量其它3.2)_2012厂各单位预算指标分解2012.3.31 2" xfId="23504" xr:uid="{8946089B-FFF1-4C66-82FE-A5FAFE4050B7}"/>
    <cellStyle name="差_复合厂2012年全面预算第6稿(产量其它3.2)_2012厂各单位预算指标分解2012.3.31_动力部" xfId="23505" xr:uid="{66491591-FB1F-488F-A225-C65312BBC65C}"/>
    <cellStyle name="差_复合厂2012年全面预算第6稿(产量其它3.2)_2012厂各单位预算指标分解2012.3.31_副本峨矿2016年预算格式" xfId="23506" xr:uid="{19B21F90-B9BC-433F-A5C8-EE195351C753}"/>
    <cellStyle name="差_复合厂2012年全面预算第6稿(产量其它3.2)_2012厂各单位预算指标分解2012.3.31_副本峨矿2016年预算格式 2" xfId="23507" xr:uid="{2FC837EB-EBAD-40E0-ADC5-C979A672FD39}"/>
    <cellStyle name="差_复合厂2012年全面预算第6稿(产量其它3.2)_2012厂各单位预算指标分解2012.3.31_副本峨矿2016年预算格式_动力部" xfId="23508" xr:uid="{2711D7AF-FD15-4D0C-8B31-CCFA5830D1E0}"/>
    <cellStyle name="差_复合厂2012年全面预算第6稿(产量其它3.2)_2012厂内部预算指标下达(2)2.20" xfId="23509" xr:uid="{4CCC36E1-762A-4012-85FE-4722A217BC60}"/>
    <cellStyle name="差_复合厂2012年全面预算第6稿(产量其它3.2)_2012厂内部预算指标下达(2)2.20 2" xfId="23510" xr:uid="{D9E7CDFC-BFDA-4633-A319-BC577343C01D}"/>
    <cellStyle name="差_复合厂2012年全面预算第6稿(产量其它3.2)_2012厂内部预算指标下达(2)2.20_动力部" xfId="23511" xr:uid="{BD3BAA4D-0D7F-45D7-9F47-9BA5E78924E0}"/>
    <cellStyle name="差_复合厂2012年全面预算第6稿(产量其它3.2)_2012厂内部预算指标下达(2)2.20_副本峨矿2016年预算格式" xfId="23512" xr:uid="{E58E8001-CF1D-4AE2-AFFC-D5DBD3A69EF4}"/>
    <cellStyle name="差_复合厂2012年全面预算第6稿(产量其它3.2)_2012厂内部预算指标下达(2)2.20_副本峨矿2016年预算格式 2" xfId="23513" xr:uid="{08AD2335-B369-4548-8DEF-7E5BA6CC07AF}"/>
    <cellStyle name="差_复合厂2012年全面预算第6稿(产量其它3.2)_2012厂内部预算指标下达(2)2.20_副本峨矿2016年预算格式_动力部" xfId="23514" xr:uid="{D1FE896D-7046-479F-8FCE-CBAC6E18EFF9}"/>
    <cellStyle name="差_复合厂2012年全面预算第6稿(产量其它3.2)_动力部" xfId="23515" xr:uid="{67C4B8C2-964D-49B9-A4F1-33CAEC473637}"/>
    <cellStyle name="差_复合厂2012年全面预算第6稿(产量其它3.2)_复合材料厂2013年预算12.12 (version 1)" xfId="23516" xr:uid="{B4E290C3-005E-4097-AB48-2E79D9640810}"/>
    <cellStyle name="差_复合厂2012年全面预算第6稿(产量其它3.2)_复合材料厂2013年预算12.12 (version 1) 2" xfId="23517" xr:uid="{68D59C87-2495-4182-A5CE-B5C98333EC2E}"/>
    <cellStyle name="差_复合厂2012年全面预算第6稿(产量其它3.2)_复合材料厂2013年预算12.12 (version 1)_动力部" xfId="23518" xr:uid="{DEC6DB55-A07E-4CF2-80D5-4F83473EA4FC}"/>
    <cellStyle name="差_复合厂2012年全面预算第6稿(产量其它3.2)_复合材料厂2013年预算13.02.20" xfId="23519" xr:uid="{6223B98A-9604-47EB-A4E1-0946C9D81A15}"/>
    <cellStyle name="差_复合厂2012年全面预算第6稿(产量其它3.2)_复合材料厂2013年预算13.02.20 2" xfId="23520" xr:uid="{72C0B93A-E907-4760-97DA-D803156C9D06}"/>
    <cellStyle name="差_复合厂2012年全面预算第6稿(产量其它3.2)_复合材料厂2013年预算13.02.20_动力部" xfId="23521" xr:uid="{50B76FE6-160D-476C-B7E7-BDA183DC55BD}"/>
    <cellStyle name="差_复合厂2012年全面预算第6稿(产量其它3.2)_复件 复合材料厂2014年预算12.13" xfId="23522" xr:uid="{037EC2D0-8B52-4135-B77B-1BAD7261CF32}"/>
    <cellStyle name="差_复合厂2012年全面预算第6稿(产量其它3.2)_复件 复合材料厂2014年预算12.13 2" xfId="23523" xr:uid="{41148815-7835-462B-B2C3-0FBA3F6AE327}"/>
    <cellStyle name="差_复合厂2012年全面预算第6稿(产量其它3.2)_复件 复合材料厂2014年预算12.13_动力部" xfId="23524" xr:uid="{C516AAC2-1029-460B-BB4F-E62EF43B95A6}"/>
    <cellStyle name="差_复合厂2012年全面预算第6稿(产量其它3.2)_副本太钢复合材料厂2013修理费预算12.13" xfId="23525" xr:uid="{A6BE33C9-4E08-40B7-AD53-282FF20569EC}"/>
    <cellStyle name="差_复合厂2012年全面预算第6稿(产量其它3.2)_副本太钢复合材料厂2013修理费预算12.13 2" xfId="23526" xr:uid="{96D0D2B7-F467-47D9-BE00-959A767F5DFC}"/>
    <cellStyle name="差_复合厂2012年全面预算第6稿(产量其它3.2)_副本太钢复合材料厂2013修理费预算12.13_动力部" xfId="23527" xr:uid="{94A86D70-8472-4268-BE3D-287333E886F2}"/>
    <cellStyle name="差_复合厂2012年全面预算第6稿(产量其它3.2)_副本太钢复合材料厂2013修理费预算12.13_副本峨矿2016年预算格式" xfId="23528" xr:uid="{1B1489B5-03D2-42E0-B8D3-05D1C2308773}"/>
    <cellStyle name="差_复合厂2012年全面预算第6稿(产量其它3.2)_副本太钢复合材料厂2013修理费预算12.13_副本峨矿2016年预算格式 2" xfId="23529" xr:uid="{5EE6207E-19B4-4802-8F90-C7AB69F402ED}"/>
    <cellStyle name="差_复合厂2012年全面预算第6稿(产量其它3.2)_副本太钢复合材料厂2013修理费预算12.13_副本峨矿2016年预算格式_动力部" xfId="23530" xr:uid="{2BEE5190-F5F8-4C6A-81C4-255643BDF015}"/>
    <cellStyle name="差_复合厂2012年全面预算第6稿(产量其它3.2)_副本太钢复合材料厂2014修理费预算及分解10.17(修改后)" xfId="23531" xr:uid="{FEF459EB-D055-477D-A8BF-1C1011CFC168}"/>
    <cellStyle name="差_复合厂2012年全面预算第6稿(产量其它3.2)_副本太钢复合材料厂2014修理费预算及分解10.17(修改后) 2" xfId="23532" xr:uid="{F6D0C318-EAC8-495E-BDF6-D7CF92B73E5B}"/>
    <cellStyle name="差_复合厂2012年全面预算第6稿(产量其它3.2)_副本太钢复合材料厂2014修理费预算及分解10.17(修改后)_动力部" xfId="23533" xr:uid="{2FE60856-6274-4904-8605-116D59B3FF79}"/>
    <cellStyle name="差_复合厂2012年全面预算第6稿(产量其它3.2)_副本太钢复合材料厂2014修理费预算及分解10.17(修改后)_副本峨矿2016年预算格式" xfId="23534" xr:uid="{60EF6E89-D81C-4CAD-93EF-F030563FBB7B}"/>
    <cellStyle name="差_复合厂2012年全面预算第6稿(产量其它3.2)_副本太钢复合材料厂2014修理费预算及分解10.17(修改后)_副本峨矿2016年预算格式 2" xfId="23535" xr:uid="{84C7B0E7-56F2-449E-801A-7133E72E9141}"/>
    <cellStyle name="差_复合厂2012年全面预算第6稿(产量其它3.2)_副本太钢复合材料厂2014修理费预算及分解10.17(修改后)_副本峨矿2016年预算格式_动力部" xfId="23536" xr:uid="{AC6FCAC3-9788-4FE9-B319-C6C860905A0C}"/>
    <cellStyle name="差_复合厂2012年全面预算第6稿(产量其它3.2)_上报复合材料厂2013年预算10.20" xfId="23537" xr:uid="{4FC0FC3B-6B15-445C-81A2-85E0FBDDE0F0}"/>
    <cellStyle name="差_复合厂2012年全面预算第6稿(产量其它3.2)_上报复合材料厂2013年预算10.20 2" xfId="23538" xr:uid="{774AC3DE-3543-444A-AC24-2CC25AD34234}"/>
    <cellStyle name="差_复合厂2012年全面预算第6稿(产量其它3.2)_上报复合材料厂2013年预算10.20_动力部" xfId="23539" xr:uid="{56B188AF-C0F6-4165-AA92-C066212825E3}"/>
    <cellStyle name="差_复合厂2012年全面预算第6稿(产量其它3.2)_太钢复合材料厂2013修理费预算10.27改" xfId="23540" xr:uid="{62BC84FD-F7B8-4A28-A1E9-F47F1780F1E4}"/>
    <cellStyle name="差_复合厂2012年全面预算第6稿(产量其它3.2)_太钢复合材料厂2013修理费预算10.27改 2" xfId="23541" xr:uid="{4A9CFC47-09C9-4C19-B489-E7CDB8DFF28B}"/>
    <cellStyle name="差_复合厂2012年全面预算第6稿(产量其它3.2)_太钢复合材料厂2013修理费预算10.27改_动力部" xfId="23542" xr:uid="{1CBB9701-8940-4DD5-B0DE-CA3A5F3D7B4B}"/>
    <cellStyle name="差_复合厂2012年全面预算第6稿(产量其它3.2)_太钢复合材料厂2013修理费预算10.27改_副本峨矿2016年预算格式" xfId="23543" xr:uid="{8CF67426-A5DC-4B86-8561-978C61B6A6AC}"/>
    <cellStyle name="差_复合厂2012年全面预算第6稿(产量其它3.2)_太钢复合材料厂2013修理费预算10.27改_副本峨矿2016年预算格式 2" xfId="23544" xr:uid="{0F646AF0-1B75-449F-B9E6-E6A2944D8C33}"/>
    <cellStyle name="差_复合厂2012年全面预算第6稿(产量其它3.2)_太钢复合材料厂2013修理费预算10.27改_副本峨矿2016年预算格式_动力部" xfId="23545" xr:uid="{2D5A14ED-A9AB-456D-B2DE-FB29CDE321D7}"/>
    <cellStyle name="差_复件 复合材料厂2012年预算11.23" xfId="23546" xr:uid="{E524414B-7E53-47EF-815A-6CF908110414}"/>
    <cellStyle name="差_复件 复合材料厂2012年预算11.23 10" xfId="23547" xr:uid="{A59E3C5A-07AA-43D7-999E-0F96F66F560A}"/>
    <cellStyle name="差_复件 复合材料厂2012年预算11.23 2" xfId="23548" xr:uid="{2C3AE512-517B-49B6-A55C-37EE18931D18}"/>
    <cellStyle name="差_复件 复合材料厂2012年预算11.23 2 2" xfId="23549" xr:uid="{623FA7CA-91E1-4B9A-80F0-D5D6497758CF}"/>
    <cellStyle name="差_复件 复合材料厂2012年预算11.23 3" xfId="23550" xr:uid="{9AA1DD4E-9518-41D7-B339-1675BDF5CC9C}"/>
    <cellStyle name="差_复件 复合材料厂2012年预算11.23 3 2" xfId="23551" xr:uid="{E818FB82-1DCE-4F3B-83CE-C6611DE763E1}"/>
    <cellStyle name="差_复件 复合材料厂2012年预算11.23 4" xfId="23552" xr:uid="{66B6B09D-E96E-491D-ABD5-C87BFAC8E26B}"/>
    <cellStyle name="差_复件 复合材料厂2012年预算11.23 5" xfId="23553" xr:uid="{D957D46B-5751-44CF-BB20-658BDC3ED3EE}"/>
    <cellStyle name="差_复件 复合材料厂2012年预算11.23 6" xfId="23554" xr:uid="{D0B71BEE-D527-46D7-8AFF-65688D43A042}"/>
    <cellStyle name="差_复件 复合材料厂2012年预算11.23 7" xfId="23555" xr:uid="{06AD02BF-924F-4880-B109-D20EB8EFE838}"/>
    <cellStyle name="差_复件 复合材料厂2012年预算11.23 8" xfId="23556" xr:uid="{CA56144A-4F98-4FA4-8C0D-3CD9821CAA2F}"/>
    <cellStyle name="差_复件 复合材料厂2012年预算11.23 9" xfId="23557" xr:uid="{CEF6BA77-6666-47B4-B73F-2B4DC0F53FAF}"/>
    <cellStyle name="差_复件 复合材料厂2012年预算11.23_2016年9月成本报表" xfId="23558" xr:uid="{EF4244DC-6D0D-4AF4-9A5B-09B77B32C192}"/>
    <cellStyle name="差_复件 复合材料厂2012年预算11.23_2016年采矿工序预算" xfId="23559" xr:uid="{8B7CC7EA-85FF-4FC3-BC99-74217C00377E}"/>
    <cellStyle name="差_复件 复合材料厂2012年预算11.23_2017年全面预算新增表样" xfId="23560" xr:uid="{89A8FB58-4B8D-47EF-999B-610748556637}"/>
    <cellStyle name="差_复件 复合材料厂2012年预算11.23_2017年全面预算新增指标" xfId="23561" xr:uid="{551CB464-72FE-4984-AAE3-9D8D517B590C}"/>
    <cellStyle name="差_复件 复合材料厂2012年预算11.23_动力预提" xfId="23562" xr:uid="{C9F59688-91EF-42BA-A8BD-610F105DD718}"/>
    <cellStyle name="差_复件 复合材料厂2012年预算11.23_副本峨矿2014年经营Ⅱ档预算全稿qt(2013.12.25发送矿业公司)" xfId="23563" xr:uid="{658ABCFB-2C18-44B9-B334-69D35B4EBC53}"/>
    <cellStyle name="差_复件 复合材料厂2012年预算11.23_工艺科2017年全面预算20161010" xfId="23564" xr:uid="{39C808A1-26CD-40D2-9316-57DAED05D538}"/>
    <cellStyle name="差_复件 复合材料厂2012年预算11.23_加不利2016年预算3稿（内）1106" xfId="23565" xr:uid="{4DC84738-1F11-4801-8A6A-D370BF6DE7E2}"/>
    <cellStyle name="差_复件 复合材料厂2012年预算11.23_加不利2016年预算3稿（内）1106_2016年预算3稿11.30(300万吨3900万采总工资降内）" xfId="23566" xr:uid="{076D7432-15A1-4321-A105-DFC78C8B5404}"/>
    <cellStyle name="差_复件 复合材料厂2012年预算11.23_尖山矿2017年产量预算及不利因素影响报" xfId="23567" xr:uid="{01DC4B25-B55E-4670-A63D-71DE9C2B518A}"/>
    <cellStyle name="差_复件 复合材料厂2012年预算11.23_尖山铁矿2016年预算内部全面预算(129)" xfId="23568" xr:uid="{4678746B-0DBF-4A9A-8177-A02332724035}"/>
    <cellStyle name="差_复件 复合材料厂2012年预算11.23_尖山铁矿2017年全面预算1.26" xfId="23569" xr:uid="{774283A6-9FD6-4FE3-99B0-683F45F4DF16}"/>
    <cellStyle name="差_复件 复合材料厂2012年预算11.23_球团工序" xfId="23570" xr:uid="{E492FFA6-1066-405D-BBFC-DF3F76155BC7}"/>
    <cellStyle name="差_复件 复合材料厂2012年预算11.23_球团工序_1" xfId="23571" xr:uid="{A4E6A018-9CDD-4A65-8AE9-CE752347DFC5}"/>
    <cellStyle name="差_复件 复合材料厂2012年预算11.23_太钢鑫磊2017年1月非生产、安全、修理费统计报表" xfId="23572" xr:uid="{3F5D1873-DBE6-48F8-9D33-76BF8F9B0CB0}"/>
    <cellStyle name="差_复件 复合材料厂2014年预算12.13" xfId="23573" xr:uid="{D6FBF74C-4D50-4A6C-81BA-8DDF5C0744E7}"/>
    <cellStyle name="差_复件 复合材料厂2014年预算12.13 2" xfId="23574" xr:uid="{CD649AA0-3BD4-409D-8D52-7A435AFCA1A3}"/>
    <cellStyle name="差_复件 复合材料厂2014年预算12.13_动力部" xfId="23575" xr:uid="{204F6D14-7118-4769-82B3-09F28C4117A1}"/>
    <cellStyle name="差_复件 矿业公司工资预算(1)" xfId="23576" xr:uid="{1A930202-8AEB-453D-8E6F-5D3C2B900B66}"/>
    <cellStyle name="差_复件 矿业公司工资预算(1) 2" xfId="23577" xr:uid="{C39DDE7B-C536-4D64-9313-018A1D6BB255}"/>
    <cellStyle name="差_复件 矿业公司工资预算(1) 2_动力部" xfId="23578" xr:uid="{4D36FB56-3C83-44E0-868B-DE893F999368}"/>
    <cellStyle name="差_复件 矿业公司工资预算(1)_动力部" xfId="23579" xr:uid="{6C6A4117-5735-46C3-8DF6-665D5825D351}"/>
    <cellStyle name="差_副本05-各单位消耗指标2012(3)" xfId="23580" xr:uid="{6CFC0000-6388-412E-A831-D825F07DDB95}"/>
    <cellStyle name="差_副本05-各单位消耗指标2012(3) 2" xfId="23581" xr:uid="{8F1394F9-0263-4C5A-8A94-02C73104F6BB}"/>
    <cellStyle name="差_副本05-各单位消耗指标2012(3)_动力部" xfId="23582" xr:uid="{9B26125D-2D87-483F-8AC8-FB3F54283072}"/>
    <cellStyle name="差_副本05-各单位消耗指标2012(3)_副本峨矿2016年预算格式" xfId="23583" xr:uid="{6E8C04DF-CF61-4963-B68A-2FE47AFB7D11}"/>
    <cellStyle name="差_副本05-各单位消耗指标2012(3)_副本峨矿2016年预算格式 2" xfId="23584" xr:uid="{EF96413A-8CEB-47A8-9D38-CC6F5BF5A435}"/>
    <cellStyle name="差_副本05-各单位消耗指标2012(3)_副本峨矿2016年预算格式_动力部" xfId="23585" xr:uid="{30A91776-FBB1-411E-91F1-CE83A9F47CD9}"/>
    <cellStyle name="差_副本2013复合材料厂工资预算V3" xfId="23586" xr:uid="{A229A31A-7BC0-4499-9DB6-7CB41E22C7AD}"/>
    <cellStyle name="差_副本2013复合材料厂工资预算V3 2" xfId="23587" xr:uid="{D643D450-8055-43DE-956A-B8494052F327}"/>
    <cellStyle name="差_副本2013复合材料厂工资预算V3_动力部" xfId="23588" xr:uid="{D34CDAE2-5528-44AA-B81E-3962EB5601A4}"/>
    <cellStyle name="差_副本2013复合材料厂工资预算V3_副本峨矿2016年预算格式" xfId="23589" xr:uid="{879BA0F1-576C-449D-A692-7755C6910EE5}"/>
    <cellStyle name="差_副本2013复合材料厂工资预算V3_副本峨矿2016年预算格式 2" xfId="23590" xr:uid="{482A0D95-B87F-454B-97EC-32A6349D70E7}"/>
    <cellStyle name="差_副本2013复合材料厂工资预算V3_副本峨矿2016年预算格式_动力部" xfId="23591" xr:uid="{F0D700C9-9A77-4962-839C-1ADB460C597E}"/>
    <cellStyle name="差_副本2013年复合材料厂产能及降本预算10.25" xfId="23592" xr:uid="{990B91C4-989D-4EC5-9C7B-09476B11D9EA}"/>
    <cellStyle name="差_副本2013年复合材料厂产能及降本预算10.25 2" xfId="23593" xr:uid="{71E73FE4-AA66-4D33-944E-29CD02C41CAF}"/>
    <cellStyle name="差_副本2013年复合材料厂产能及降本预算10.25_动力部" xfId="23594" xr:uid="{024F5520-8CA2-43F8-8F0B-5E632897B472}"/>
    <cellStyle name="差_副本2013年复合材料厂产能及降本预算10.25_副本峨矿2016年预算格式" xfId="23595" xr:uid="{3123FE47-B457-4BFE-B8C6-DF22522D98B2}"/>
    <cellStyle name="差_副本2013年复合材料厂产能及降本预算10.25_副本峨矿2016年预算格式 2" xfId="23596" xr:uid="{030E20C3-EE9D-4E18-B1FD-30016924D3BF}"/>
    <cellStyle name="差_副本2013年复合材料厂产能及降本预算10.25_副本峨矿2016年预算格式_动力部" xfId="23597" xr:uid="{F433AE97-D49B-4822-9ECD-083F69552119}"/>
    <cellStyle name="差_副本峨矿2014年经营Ⅱ档预算全稿qt(2013.12.25发送矿业公司)" xfId="23598" xr:uid="{64C616E5-26C7-43CF-B3A1-8B1A7118BB39}"/>
    <cellStyle name="差_副本复合材料厂2013年生产辅助外协预算编制表" xfId="23599" xr:uid="{4D24AC9F-1EF5-4130-9211-FAB89A897E0D}"/>
    <cellStyle name="差_副本复合材料厂2013年生产辅助外协预算编制表 2" xfId="23600" xr:uid="{1A2E3F96-3F68-479E-A70A-2784AA6E4D7A}"/>
    <cellStyle name="差_副本复合材料厂2013年生产辅助外协预算编制表_动力部" xfId="23601" xr:uid="{C688E7E5-DC9B-465A-A5E3-D61776618457}"/>
    <cellStyle name="差_副本复合材料厂2013年生产辅助外协预算编制表_副本峨矿2016年预算格式" xfId="23602" xr:uid="{767FEDEC-BAE5-4B31-8810-1DD83357197F}"/>
    <cellStyle name="差_副本复合材料厂2013年生产辅助外协预算编制表_副本峨矿2016年预算格式 2" xfId="23603" xr:uid="{B5CC2686-CAD9-48EE-AEDE-6EAF2294F276}"/>
    <cellStyle name="差_副本复合材料厂2013年生产辅助外协预算编制表_副本峨矿2016年预算格式_动力部" xfId="23604" xr:uid="{3D580F3E-F965-431E-BF35-65812FDA561B}"/>
    <cellStyle name="差_副本矿业公司汇总及汇报初稿（复合材料厂）" xfId="23605" xr:uid="{FE3DA28D-D0C7-49E2-9A6E-DE00DFE579FE}"/>
    <cellStyle name="差_副本矿业公司汇总及汇报初稿（复合材料厂） 2" xfId="23606" xr:uid="{C95DCC32-6876-430F-BCA7-AC4E446B9C95}"/>
    <cellStyle name="差_副本矿业公司汇总及汇报初稿（复合材料厂）_动力部" xfId="23607" xr:uid="{F6D5AB6B-6729-487D-AE55-2B8F070C899B}"/>
    <cellStyle name="差_副本矿业公司汇总及汇报初稿（复合材料厂）_副本峨矿2016年预算格式" xfId="23608" xr:uid="{7E0C748F-8433-4432-B82E-029386FD5661}"/>
    <cellStyle name="差_副本矿业公司汇总及汇报初稿（复合材料厂）_副本峨矿2016年预算格式 2" xfId="23609" xr:uid="{F8145C97-6488-418A-AC24-CF8B69FE2337}"/>
    <cellStyle name="差_副本矿业公司汇总及汇报初稿（复合材料厂）_副本峨矿2016年预算格式_动力部" xfId="23610" xr:uid="{2F5A4E17-C443-460A-9D8D-565722CD275D}"/>
    <cellStyle name="差_副本太钢复合材料厂2013修理费预算12.13" xfId="23611" xr:uid="{E2289FF0-E34F-4DEC-853C-7511C418392B}"/>
    <cellStyle name="差_副本太钢复合材料厂2013修理费预算12.13_动力预提" xfId="23612" xr:uid="{AF3CE4EF-E187-4832-A781-DE8F0E7A6570}"/>
    <cellStyle name="差_副本太钢复合材料厂2013修理费预算12.13_球团工序" xfId="23613" xr:uid="{21AF4229-BFC6-42D3-A622-78BF38AD60B8}"/>
    <cellStyle name="差_副本太钢复合材料厂2014修理费预算及分解10.17(修改后)" xfId="23614" xr:uid="{D186D167-9E7B-4983-887F-5B6CA5B45F8C}"/>
    <cellStyle name="差_副本太钢复合材料厂2014修理费预算及分解10.17(修改后)_动力预提" xfId="23615" xr:uid="{5A7C0648-6CDE-48A5-9DCA-B8AC5D2666EB}"/>
    <cellStyle name="差_副本太钢复合材料厂2014修理费预算及分解10.17(修改后)_球团工序" xfId="23616" xr:uid="{BB496017-2BFC-4E31-A0E9-8C1C43AB4561}"/>
    <cellStyle name="差_工艺科2017年全面预算20161010" xfId="23617" xr:uid="{5E4644C1-3282-4673-A7A2-99C34D748ED9}"/>
    <cellStyle name="差_工艺科2017年全面预算20161010 2" xfId="23618" xr:uid="{EE919A4D-31EB-4962-83C3-DE6EDF91F63A}"/>
    <cellStyle name="差_工艺科2017年全面预算20161010 2_动力部" xfId="23619" xr:uid="{4515540D-9D66-4F03-956F-4E1161BF3765}"/>
    <cellStyle name="差_工艺科2017年全面预算20161010_动力部" xfId="23620" xr:uid="{8B714F6E-0891-4540-B90C-7806FF7E5BA8}"/>
    <cellStyle name="差_管理费用" xfId="6627" xr:uid="{CD995322-60FF-42DD-A7DA-F9FEF8B28012}"/>
    <cellStyle name="差_管理费用 2" xfId="13503" xr:uid="{414730EA-B58F-4092-8FDE-E775DAE5A240}"/>
    <cellStyle name="差_计量室" xfId="23621" xr:uid="{D8E8ED39-4281-443D-B434-393E47CEACC3}"/>
    <cellStyle name="差_加不利2016年预算3稿（内）1106" xfId="23622" xr:uid="{DAED7D6D-DD2A-4EEC-BE62-8B156E263514}"/>
    <cellStyle name="差_加不利2016年预算3稿（内）1106 2" xfId="23623" xr:uid="{C252BA27-E7FA-436F-BDA2-A4E2E47B3069}"/>
    <cellStyle name="差_加不利2016年预算3稿（内）1106 2_动力部" xfId="23624" xr:uid="{CCF18980-4E50-449F-BC7A-31F2C45874C9}"/>
    <cellStyle name="差_加不利2016年预算3稿（内）1106_动力部" xfId="23625" xr:uid="{7502FDA0-F32E-406F-8918-DEF7A4547BCD}"/>
    <cellStyle name="差_尖山2014年全面预算稿" xfId="23626" xr:uid="{F16721F1-33E3-493F-8310-CC6A6E2AE08C}"/>
    <cellStyle name="差_尖山2014年全面预算稿 2" xfId="23627" xr:uid="{83BAE1F2-2543-4C47-9D7C-73282D9BB32B}"/>
    <cellStyle name="差_尖山2014年全面预算稿 2_动力部" xfId="23628" xr:uid="{99F96284-27A3-45C2-A6BA-69DF6273E925}"/>
    <cellStyle name="差_尖山2014年全面预算稿_2016年9月成本报表" xfId="23629" xr:uid="{3206FAEA-477C-4B23-9D00-ADF96558A8B1}"/>
    <cellStyle name="差_尖山2014年全面预算稿_2016年9月成本报表 2" xfId="23630" xr:uid="{E231BC1A-EC27-42D6-9936-E461A3D77F19}"/>
    <cellStyle name="差_尖山2014年全面预算稿_2016年9月成本报表 2_动力部" xfId="23631" xr:uid="{C34BDB6D-62D2-45FF-A6BF-39B37A4C92C5}"/>
    <cellStyle name="差_尖山2014年全面预算稿_2016年9月成本报表_动力部" xfId="23632" xr:uid="{B0C8DFEC-585A-47C5-9714-6FA2D2D965D2}"/>
    <cellStyle name="差_尖山2014年全面预算稿_动力部" xfId="23633" xr:uid="{C95D28CA-BD7E-4193-A935-BEFA4CAC8548}"/>
    <cellStyle name="差_尖山2014年全面预算稿_加不利2016年预算3稿（内）1106" xfId="23634" xr:uid="{8DC840FD-4BA9-4041-987F-82778842DE60}"/>
    <cellStyle name="差_尖山2014年全面预算稿_加不利2016年预算3稿（内）1106 2" xfId="23635" xr:uid="{4081A0A9-0216-49FE-A501-129E9F2C9133}"/>
    <cellStyle name="差_尖山2014年全面预算稿_加不利2016年预算3稿（内）1106 2_动力部" xfId="23636" xr:uid="{DABDD1F3-E5BE-45DC-815A-0D66A53B2C9B}"/>
    <cellStyle name="差_尖山2014年全面预算稿_加不利2016年预算3稿（内）1106_动力部" xfId="23637" xr:uid="{D2EADD43-7754-406E-8BCF-CDD3C2A5C712}"/>
    <cellStyle name="差_尖山2014年全面预算稿_尖山铁矿2016年预算内部全面预算(129)" xfId="23638" xr:uid="{375E3AB5-0605-4A5B-9D22-D45D495059E2}"/>
    <cellStyle name="差_尖山2014年全面预算稿_尖山铁矿2016年预算内部全面预算(129) 2" xfId="23639" xr:uid="{4047FC3E-69E8-4D92-80E5-4A7C27EEA15D}"/>
    <cellStyle name="差_尖山2014年全面预算稿_尖山铁矿2016年预算内部全面预算(129) 2_动力部" xfId="23640" xr:uid="{E2ED16F4-3D43-4A3B-BD71-57D2D7EB5406}"/>
    <cellStyle name="差_尖山2014年全面预算稿_尖山铁矿2016年预算内部全面预算(129)_动力部" xfId="23641" xr:uid="{5544328E-12D2-48A5-8107-C0AF9061FA6C}"/>
    <cellStyle name="差_尖山2014年全面预算稿_尖山铁矿2017年全面预算1.26" xfId="23642" xr:uid="{9CAA0951-706F-47CB-9D2E-E6F108136698}"/>
    <cellStyle name="差_尖山2015年全面预算稿10.20" xfId="23643" xr:uid="{C7AF5105-43C9-4974-B99C-2385BE9F529E}"/>
    <cellStyle name="差_尖山2015年全面预算稿10.20 2" xfId="23644" xr:uid="{F160E8E6-71B3-409A-AF83-9181FE28CA1A}"/>
    <cellStyle name="差_尖山2015年全面预算稿10.20 2_动力部" xfId="23645" xr:uid="{9EF72DC4-A45E-4B5A-9A19-78F5FF627A6D}"/>
    <cellStyle name="差_尖山2015年全面预算稿10.20_2016年9月成本报表" xfId="23646" xr:uid="{DE74D8C4-D268-4E23-912C-29175DE1B595}"/>
    <cellStyle name="差_尖山2015年全面预算稿10.20_2016年9月成本报表 2" xfId="23647" xr:uid="{17E40607-9774-48EC-9766-7956BCC2FA22}"/>
    <cellStyle name="差_尖山2015年全面预算稿10.20_2016年9月成本报表 2_动力部" xfId="23648" xr:uid="{0A7C9402-2523-4EB7-BCC0-213A6F853559}"/>
    <cellStyle name="差_尖山2015年全面预算稿10.20_2016年9月成本报表_动力部" xfId="23649" xr:uid="{9938E740-6F65-4824-B15C-EF6F79C21432}"/>
    <cellStyle name="差_尖山2015年全面预算稿10.20_动力部" xfId="23650" xr:uid="{AAFF15FA-0527-43B8-8117-2F5118F0BB75}"/>
    <cellStyle name="差_尖山2015年全面预算稿10.20_加不利2016年预算3稿（内）1106" xfId="23651" xr:uid="{D3DBF3FB-B122-4987-9F4C-758D8F1A8C5C}"/>
    <cellStyle name="差_尖山2015年全面预算稿10.20_加不利2016年预算3稿（内）1106 2" xfId="23652" xr:uid="{D527937A-5772-4C63-8338-A0AE8FFA4223}"/>
    <cellStyle name="差_尖山2015年全面预算稿10.20_加不利2016年预算3稿（内）1106 2_动力部" xfId="23653" xr:uid="{DA35381E-0DC2-4CAD-95AF-06CF665C3A18}"/>
    <cellStyle name="差_尖山2015年全面预算稿10.20_加不利2016年预算3稿（内）1106_动力部" xfId="23654" xr:uid="{F3F5D000-5163-4773-B4AD-95E34A4C3539}"/>
    <cellStyle name="差_尖山2015年全面预算稿10.20_尖山铁矿2016年预算内部全面预算(129)" xfId="23655" xr:uid="{282C1462-375D-4319-A4E0-6CC57784D0C1}"/>
    <cellStyle name="差_尖山2015年全面预算稿10.20_尖山铁矿2016年预算内部全面预算(129) 2" xfId="23656" xr:uid="{19A22C60-0742-4A81-B7BE-AA11775F3B91}"/>
    <cellStyle name="差_尖山2015年全面预算稿10.20_尖山铁矿2016年预算内部全面预算(129) 2_动力部" xfId="23657" xr:uid="{85B68F8C-42D2-4044-9596-ADB15F2F932B}"/>
    <cellStyle name="差_尖山2015年全面预算稿10.20_尖山铁矿2016年预算内部全面预算(129)_动力部" xfId="23658" xr:uid="{BB8CAA3A-1B4A-4408-AF6C-90730D7DA54E}"/>
    <cellStyle name="差_尖山2015年全面预算稿10.20_尖山铁矿2017年全面预算1.26" xfId="23659" xr:uid="{1A9AE1E6-047E-4CD6-ABF9-B784E9EBC58E}"/>
    <cellStyle name="差_尖山矿2017年产量预算及不利因素影响报" xfId="23660" xr:uid="{F0E5BDCA-DCEE-475F-8EED-06788383F43E}"/>
    <cellStyle name="差_尖山矿2017年产量预算及不利因素影响报 2" xfId="23661" xr:uid="{4F3F08F6-CD1F-460A-B435-9B0887B5B40A}"/>
    <cellStyle name="差_尖山矿2017年产量预算及不利因素影响报 2_动力部" xfId="23662" xr:uid="{4804D3E5-78BB-40D2-BFB2-1033F0DCC781}"/>
    <cellStyle name="差_尖山矿2017年产量预算及不利因素影响报_动力部" xfId="23663" xr:uid="{BD2ED292-ADA5-4042-AF55-10CF40C25EE8}"/>
    <cellStyle name="差_尖山铁矿2016年预算内部全面预算(129)" xfId="23664" xr:uid="{A907D37E-AF73-4602-8290-8F6A8EF653EE}"/>
    <cellStyle name="差_尖山铁矿2016年预算内部全面预算(129) 2" xfId="23665" xr:uid="{6F160456-4DB0-44CA-81F0-9345E633181F}"/>
    <cellStyle name="差_尖山铁矿2016年预算内部全面预算(129) 2_动力部" xfId="23666" xr:uid="{B2FF9FC4-C72B-4B1B-A942-DED8A335A50E}"/>
    <cellStyle name="差_尖山铁矿2016年预算内部全面预算(129)_动力部" xfId="23667" xr:uid="{D082F37A-95DD-480A-822F-2C9802B61AC2}"/>
    <cellStyle name="差_尖山铁矿2017年全面预算1.26" xfId="23668" xr:uid="{7C7BB5D9-407B-40DB-9B8F-D54A6E4975E0}"/>
    <cellStyle name="差_尖山铁矿工艺科2017年投资计划及收益项目20161026" xfId="23669" xr:uid="{D2BD1E05-8E19-4CEE-BEBF-A611752641B4}"/>
    <cellStyle name="差_尖山铁矿工艺科2017年投资计划及收益项目20161026 2" xfId="23670" xr:uid="{0B66C6D9-CB4D-48B7-A637-467CBAE2B3F3}"/>
    <cellStyle name="差_尖山铁矿工艺科2017年投资计划及收益项目20161026 2_动力部" xfId="23671" xr:uid="{5E79FDFC-A7EA-40A0-8B39-BDAF827C69B9}"/>
    <cellStyle name="差_尖山铁矿工艺科2017年投资计划及收益项目20161026_动力部" xfId="23672" xr:uid="{A123FAB2-424E-4206-A11C-203CFC97CF02}"/>
    <cellStyle name="差_精选成本(外购) (40)" xfId="23673" xr:uid="{A1DE56BE-E817-4FF7-B899-89748DF4428B}"/>
    <cellStyle name="差_矿业公司2014年全面预算稿（机关费用）" xfId="23674" xr:uid="{4C156340-199C-4E2D-81D6-C7C2858AA1B4}"/>
    <cellStyle name="差_矿业公司2014年全面预算稿（机关费用） 2" xfId="23675" xr:uid="{5682F036-A050-4471-818F-BE001E054B7D}"/>
    <cellStyle name="差_矿业公司2014年全面预算稿（机关费用） 2_动力部" xfId="23676" xr:uid="{7D99DE39-22A3-4EDE-8036-02AD053AB422}"/>
    <cellStyle name="差_矿业公司2014年全面预算稿（机关费用） 3" xfId="23677" xr:uid="{4A05B591-7FE2-4913-AA48-122D66FBCA07}"/>
    <cellStyle name="差_矿业公司2014年全面预算稿（机关费用） 3_动力部" xfId="23678" xr:uid="{5801DD6D-0634-4018-8E92-2966DC0D47BA}"/>
    <cellStyle name="差_矿业公司2014年全面预算稿（机关费用）_动力部" xfId="23679" xr:uid="{7A640EF0-EC7B-4A19-ACBF-2073CCCD58D2}"/>
    <cellStyle name="差_矿业公司2015年外协预算" xfId="23680" xr:uid="{66046C24-40F7-475D-AE26-D32890ABA10F}"/>
    <cellStyle name="差_矿业公司2015年外协预算 2" xfId="23681" xr:uid="{6CE490A3-A484-41D9-BE60-901C7610C1C7}"/>
    <cellStyle name="差_矿业公司2015年外协预算 2_动力部" xfId="23682" xr:uid="{D1A61F4E-090B-418B-8C40-A4FF64693A9A}"/>
    <cellStyle name="差_矿业公司2015年外协预算_动力部" xfId="23683" xr:uid="{C9DAE6D4-A343-4D68-8982-FCFAEE296ADB}"/>
    <cellStyle name="差_矿业公司产量、成本利润分析机关本部(1)" xfId="23684" xr:uid="{DD66D379-B4DC-4226-BAE3-766AFF4792FD}"/>
    <cellStyle name="差_矿业公司产量、成本利润分析机关本部(1) 2" xfId="23685" xr:uid="{F0EC47C4-7DAC-4F36-91B4-E63EF7505C62}"/>
    <cellStyle name="差_矿业公司产量、成本利润分析机关本部(1) 3" xfId="23686" xr:uid="{785FB4AE-46FF-4BD5-B9A7-A59FF44A1DA7}"/>
    <cellStyle name="差_其他业务收支预算表(峨矿)" xfId="23687" xr:uid="{F36EF81E-73F3-47C8-B367-66E7FCAAFBDE}"/>
    <cellStyle name="差_其他业务收支预算表(峨矿)_动力部" xfId="23688" xr:uid="{F0240F06-CA09-4BEB-8E7E-61E1237EB0D5}"/>
    <cellStyle name="差_球团工序" xfId="23689" xr:uid="{0C677C5F-4A3E-4254-A9F0-C8D9615670DC}"/>
    <cellStyle name="差_球团工序 (2018)" xfId="23690" xr:uid="{5B279365-4E5C-4C55-BE26-688794011EBA}"/>
    <cellStyle name="差_球团工序 (2018)_1" xfId="23691" xr:uid="{861EBF5C-09E4-40AA-8B3C-9EBAA8288963}"/>
    <cellStyle name="差_球团工序 (2018)_2" xfId="23692" xr:uid="{F65820E7-9FDC-4E92-A64C-CF565DC6DBA6}"/>
    <cellStyle name="差_球团工序_1" xfId="23693" xr:uid="{62947580-5D52-4B70-B054-C053D1A5679E}"/>
    <cellStyle name="差_全面预算-产量技经预算310-2.64-3.34" xfId="23694" xr:uid="{5691E71E-E65D-4DFE-B016-6730482C9B5D}"/>
    <cellStyle name="差_上报复合材料厂2013年预算10.20" xfId="23695" xr:uid="{06D0B4A4-BEA9-484F-B68C-7AB530FA103B}"/>
    <cellStyle name="差_上报复合材料厂2013年预算10.20 2" xfId="23696" xr:uid="{81413C9F-1707-4DC8-B033-1B7F6CC2B050}"/>
    <cellStyle name="差_上报复合材料厂2013年预算10.20_动力部" xfId="23697" xr:uid="{5936FE38-234D-4D40-9E30-4168E56CD7ED}"/>
    <cellStyle name="差_收入利润18" xfId="23698" xr:uid="{9B73E0AA-63DF-477C-BE3C-67EC3E383A32}"/>
    <cellStyle name="差_收入利润18_动力部" xfId="23699" xr:uid="{521E1EA1-5777-4A5A-8742-A84023A9C66E}"/>
    <cellStyle name="差_太钢复合材料厂2013修理费预算10.27改" xfId="23700" xr:uid="{C2674B05-E0BC-47B0-80E7-D55A81E43B55}"/>
    <cellStyle name="差_太钢复合材料厂2013修理费预算10.27改_动力预提" xfId="23701" xr:uid="{A1C8AFE1-EAFD-4C99-9611-2DBB7F59330A}"/>
    <cellStyle name="差_太钢复合材料厂2013修理费预算10.27改_球团工序" xfId="23702" xr:uid="{87DC32F4-11CD-4E38-B33A-B56101F8C70C}"/>
    <cellStyle name="差_太钢鑫磊2016年3月报表" xfId="23703" xr:uid="{022F7F3C-1D18-4D08-B26D-9D77BFE567D2}"/>
    <cellStyle name="差_卫生部财务分析模板" xfId="6628" xr:uid="{DF351872-D1CA-44AA-993D-E49E482AF4F8}"/>
    <cellStyle name="差_现金流量表12" xfId="23704" xr:uid="{23343E3C-6268-4A32-8B1A-F7D306F6963E}"/>
    <cellStyle name="差_小册子工程4月" xfId="6629" xr:uid="{B90A280F-D176-4FF2-B12B-2178FCF5D604}"/>
    <cellStyle name="差_信息_矿业_2" xfId="6631" xr:uid="{F95BBD2F-B166-4E15-B062-08DD39CD0A92}"/>
    <cellStyle name="差_应上交款项情况表" xfId="6632" xr:uid="{E9C0F19B-EFD5-4EF7-B931-88810C80881F}"/>
    <cellStyle name="差_应上交款项情况表 2" xfId="13504" xr:uid="{97964FD0-396C-4AD9-975A-1C8400D26D2E}"/>
    <cellStyle name="差_营业税金及附加" xfId="23705" xr:uid="{465D12EF-926E-420F-BFB8-B03D2B511E4F}"/>
    <cellStyle name="差_营业税金及附加_1" xfId="23706" xr:uid="{9D565B5C-A61B-4C50-9052-6C3957AE66C3}"/>
    <cellStyle name="差_营业外支出" xfId="23707" xr:uid="{D5C32AD4-3524-4DA0-8482-8B55935D367F}"/>
    <cellStyle name="差_营业外支出_1" xfId="23708" xr:uid="{F445E971-94EB-46DB-B04B-D4DE3D80CC34}"/>
    <cellStyle name="差_预算汇总" xfId="23709" xr:uid="{BD65F123-4D15-4BE7-989A-4C4F7A20A0BD}"/>
    <cellStyle name="差_预算汇总 2" xfId="23710" xr:uid="{F6161D22-50C3-43C5-BCDF-E3FBDEE73E0A}"/>
    <cellStyle name="差_预算汇总 3" xfId="23711" xr:uid="{2C219ED1-77E3-4B89-90A2-CD89F8C2944F}"/>
    <cellStyle name="差_预算汇总表" xfId="23712" xr:uid="{4BCBAFA5-FC7C-4C3E-B354-6A1B9DFBE9D6}"/>
    <cellStyle name="差_预算汇总表_动力部" xfId="23713" xr:uid="{18DB386C-30E5-45F3-9374-796969326EDE}"/>
    <cellStyle name="差_预提费用" xfId="23714" xr:uid="{65948F91-E734-4FD7-B553-2E24E29E09D6}"/>
    <cellStyle name="差_预提费用_1" xfId="23715" xr:uid="{C301E15F-40A3-48CE-926D-8A1BC09152AC}"/>
    <cellStyle name="差_月度信息模板-资金管理室" xfId="6634" xr:uid="{2331CF39-C78E-4D08-BC4B-FE1DCB65ECF6}"/>
    <cellStyle name="差_自动化室" xfId="23716" xr:uid="{D8174CDE-B712-4C89-9F7C-7CEC911E959B}"/>
    <cellStyle name="常规" xfId="0" builtinId="0"/>
    <cellStyle name="常规 10" xfId="6635" xr:uid="{D7314E94-11C7-43BF-B00B-F68616C0FEAC}"/>
    <cellStyle name="常规 10 2" xfId="6636" xr:uid="{998668F6-C340-43D3-8E1A-A558AA673D80}"/>
    <cellStyle name="常规 10 2 10" xfId="27862" xr:uid="{291302F9-A17C-4BAF-89F4-D0152978C5AE}"/>
    <cellStyle name="常规 10 2 2" xfId="10864" xr:uid="{7C789245-F06C-44D3-95FC-9BCD5F5C29F3}"/>
    <cellStyle name="常规 10 2 2 2" xfId="12" xr:uid="{00000000-0005-0000-0000-000004000000}"/>
    <cellStyle name="常规 10 2 2 2 2" xfId="23717" xr:uid="{B3792CEA-AFD5-40E1-B039-4A4D589F2177}"/>
    <cellStyle name="常规 10 2 3" xfId="10863" xr:uid="{C86FE9A9-6E43-4682-A8E6-339C88A7ECF1}"/>
    <cellStyle name="常规 10 2 3 2" xfId="23718" xr:uid="{C31C904C-3511-4B7F-AA1F-C33A5227337D}"/>
    <cellStyle name="常规 10 2 3_动力部" xfId="23719" xr:uid="{1FAE53CE-1B4F-4089-958C-E5C03DE5024F}"/>
    <cellStyle name="常规 10 2 4" xfId="23720" xr:uid="{2A43AE20-24BF-4456-9551-CC4A47BCE308}"/>
    <cellStyle name="常规 10 2 5" xfId="27458" xr:uid="{05A75064-333B-4773-8DAC-63155B45BC0D}"/>
    <cellStyle name="常规 10 2_动力部" xfId="23721" xr:uid="{11C002FE-AFD7-4980-9EAB-2FEF5A0FAA1C}"/>
    <cellStyle name="常规 10 3" xfId="6637" xr:uid="{03E693B5-A067-4421-91D3-68A553E8B29F}"/>
    <cellStyle name="常规 10 3 2" xfId="10865" xr:uid="{F2BE1EA7-A0F9-4558-A069-99DCB0CEF4AF}"/>
    <cellStyle name="常规 10 3 4" xfId="27459" xr:uid="{EFE433BD-FB66-449E-BDB9-6D9F1DB0B3EC}"/>
    <cellStyle name="常规 10 3 4 2" xfId="27460" xr:uid="{30F8FF7B-E4A5-48B7-88EA-074E30F19ABC}"/>
    <cellStyle name="常规 10 3 4 3" xfId="27461" xr:uid="{B967B832-1FD1-4246-BBEF-3B0897E79EC6}"/>
    <cellStyle name="常规 10 3 4 4" xfId="27462" xr:uid="{3981DD8D-B103-44D8-B266-4C26815F6482}"/>
    <cellStyle name="常规 10 3 4 5" xfId="27463" xr:uid="{0B3E192A-84C6-4B7B-BCCE-B607ECF4B9BE}"/>
    <cellStyle name="常规 10 3 4 6" xfId="27464" xr:uid="{43DA296C-9D7D-4C89-8E1E-AD9E26C79FBB}"/>
    <cellStyle name="常规 10 3 4 7" xfId="27465" xr:uid="{7CAB1161-42D0-449F-B491-43567836E21C}"/>
    <cellStyle name="常规 10 3 4 8" xfId="27466" xr:uid="{B026B2FC-55BD-47FA-9984-31DE72A6A7C8}"/>
    <cellStyle name="常规 10 4" xfId="10866" xr:uid="{DF6001D2-44AF-4241-8995-A8EDB170AA12}"/>
    <cellStyle name="常规 10 5" xfId="10867" xr:uid="{64975FDA-D515-4976-BA24-D71783510715}"/>
    <cellStyle name="常规 10 5 2" xfId="23723" xr:uid="{9F256040-7FA0-4814-800D-B55AD1F5FFF4}"/>
    <cellStyle name="常规 10 5 3" xfId="23722" xr:uid="{A9404046-0502-412D-9BCA-F2B91A76DBE1}"/>
    <cellStyle name="常规 10 5_动力部" xfId="23724" xr:uid="{C884C100-885A-496B-A6B4-58FD16ED0DDB}"/>
    <cellStyle name="常规 10 6" xfId="10862" xr:uid="{54E61DF7-4782-478E-BA6B-80FAD85FAB7D}"/>
    <cellStyle name="常规 10 7" xfId="27747" xr:uid="{17F9D54C-F2BF-49F0-8849-75C7CA0B41CC}"/>
    <cellStyle name="常规 10_1月外协费用报表" xfId="23725" xr:uid="{6CF473E1-2F1E-4E77-AD42-9681DF6CB8CE}"/>
    <cellStyle name="常规 100" xfId="6638" xr:uid="{FC3BDD03-5CAB-412C-98BE-8EE5D9E560A0}"/>
    <cellStyle name="常规 100 2" xfId="13505" xr:uid="{A3CA19C1-6A9D-4BE9-A4D0-B9D5F16F14BF}"/>
    <cellStyle name="常规 100 3" xfId="23726" xr:uid="{2EC85153-6884-4CDC-88AA-385BE433985A}"/>
    <cellStyle name="常规 101" xfId="6640" xr:uid="{7F817894-CB15-4DAF-B32F-3C5905FDD193}"/>
    <cellStyle name="常规 101 2" xfId="13506" xr:uid="{B8C59811-1FCD-4760-8777-4ED313813C1C}"/>
    <cellStyle name="常规 101 3" xfId="23727" xr:uid="{0FF6A5CF-0AA1-4EF8-8EDE-7D4B33879BEB}"/>
    <cellStyle name="常规 102" xfId="6642" xr:uid="{2FA08B6B-3B2F-4068-9F3F-F3D85F32B8CA}"/>
    <cellStyle name="常规 102 10" xfId="23729" xr:uid="{233C98D8-FFD9-482A-8CBB-64667B9D9B3F}"/>
    <cellStyle name="常规 102 10 2" xfId="27861" xr:uid="{ADC2DEFA-1161-4F3D-833F-6BF9FF73EA8C}"/>
    <cellStyle name="常规 102 11" xfId="23730" xr:uid="{00C86266-93D7-426B-A43A-58021B9541B7}"/>
    <cellStyle name="常规 102 12" xfId="23731" xr:uid="{691300AF-E3DA-4498-AD45-97E491C58F9C}"/>
    <cellStyle name="常规 102 13" xfId="23728" xr:uid="{DB2A573A-C5E3-404C-BBC2-319EF71D7401}"/>
    <cellStyle name="常规 102 2" xfId="13507" xr:uid="{BA7CCA92-7615-40AB-A65E-089FE1C313DA}"/>
    <cellStyle name="常规 102 2 10" xfId="23732" xr:uid="{9D1A6868-F35C-4035-B4A0-D07404DECCD6}"/>
    <cellStyle name="常规 102 2 2" xfId="23733" xr:uid="{1D7CFABF-EA03-458B-872F-FBC77BFBCF7A}"/>
    <cellStyle name="常规 102 2 3" xfId="23734" xr:uid="{63CCE9D0-60B4-4BD7-94FF-FA701E094340}"/>
    <cellStyle name="常规 102 2 4" xfId="23735" xr:uid="{F271FE07-2B92-4CC6-A9B7-C725E75C09DC}"/>
    <cellStyle name="常规 102 2 5" xfId="23736" xr:uid="{4F44B58B-BADC-4262-9951-20CF41D7F267}"/>
    <cellStyle name="常规 102 2 6" xfId="23737" xr:uid="{428A1C75-8791-4D7A-B69A-B030DCE8F629}"/>
    <cellStyle name="常规 102 2 7" xfId="23738" xr:uid="{A4C92B91-1C6A-4A5A-953B-1F82D7ABD8EC}"/>
    <cellStyle name="常规 102 2 8" xfId="23739" xr:uid="{B16838B8-DFC7-4F31-B18F-686BEE6BC962}"/>
    <cellStyle name="常规 102 2 9" xfId="23740" xr:uid="{7BDC28D7-95BC-46E3-8BBB-EC94EC1021A1}"/>
    <cellStyle name="常规 102 3" xfId="23741" xr:uid="{17293B62-97F8-4969-AAC5-29834E54FEDC}"/>
    <cellStyle name="常规 102 4" xfId="23742" xr:uid="{92984F8B-46A0-4208-90BA-69649712DA90}"/>
    <cellStyle name="常规 102 5" xfId="23743" xr:uid="{45E0F3E0-F61B-4CC6-9868-16AC7BCD1E69}"/>
    <cellStyle name="常规 102 6" xfId="23744" xr:uid="{AB71F251-338F-44C4-9253-97D7E051FA39}"/>
    <cellStyle name="常规 102 7" xfId="23745" xr:uid="{511D3D5A-620E-46F3-9BE4-08AA3BA34080}"/>
    <cellStyle name="常规 102 8" xfId="23746" xr:uid="{A7D33D17-7D26-46C9-B0A5-6C9CB0D3F568}"/>
    <cellStyle name="常规 102 9" xfId="23747" xr:uid="{8B385494-6926-446F-8901-C7D792775BC2}"/>
    <cellStyle name="常规 103" xfId="6644" xr:uid="{B76A3D2D-CF37-40FA-B94F-FDA63C902793}"/>
    <cellStyle name="常规 103 2" xfId="23749" xr:uid="{8CEA47A6-B595-4FA8-A29F-98AD94DAC596}"/>
    <cellStyle name="常规 103 3" xfId="23748" xr:uid="{05A8584B-3D01-4DD9-B8C2-97237F7C2752}"/>
    <cellStyle name="常规 104" xfId="6646" xr:uid="{A4E78990-ECB7-4457-A660-569612E010F7}"/>
    <cellStyle name="常规 104 2" xfId="23751" xr:uid="{EEC81C6F-82E5-4669-911D-09F56CB76AF6}"/>
    <cellStyle name="常规 104 3" xfId="23750" xr:uid="{55E74F49-8E36-45B7-93D3-BCF1AD8033EC}"/>
    <cellStyle name="常规 104 4" xfId="27805" xr:uid="{71725B02-5ED5-452E-AA6C-9F1D89E296BB}"/>
    <cellStyle name="常规 105" xfId="13" xr:uid="{00000000-0005-0000-0000-000005000000}"/>
    <cellStyle name="常规 105 2" xfId="23753" xr:uid="{A0C0C253-76E4-49AC-A2B2-99EBF16EEAE8}"/>
    <cellStyle name="常规 105 3" xfId="23752" xr:uid="{2D8DFE46-B9D6-48EA-B60C-F7AC4A65C264}"/>
    <cellStyle name="常规 105 4" xfId="2537" xr:uid="{3099878E-838D-40B0-B7D0-3102BCDD9FF5}"/>
    <cellStyle name="常规 105 7" xfId="27869" xr:uid="{8565681D-F183-4509-B0F9-D4C865D5642D}"/>
    <cellStyle name="常规 106" xfId="14" xr:uid="{00000000-0005-0000-0000-000006000000}"/>
    <cellStyle name="常规 106 2" xfId="6648" xr:uid="{8CCB3AAA-4649-434C-BC50-59B4577933E5}"/>
    <cellStyle name="常规 106 2 2" xfId="23755" xr:uid="{6C55111E-A8DA-4BFA-9425-54E2AD51A948}"/>
    <cellStyle name="常规 106 3" xfId="23754" xr:uid="{C5DFE18A-A754-48CD-80F7-331F9CE7B94E}"/>
    <cellStyle name="常规 106 4" xfId="1039" xr:uid="{3E3996B8-1D0B-4F4E-9DC4-31F95AC1E925}"/>
    <cellStyle name="常规 107" xfId="6649" xr:uid="{0DB497C8-7ADB-49E1-B0D8-E1A575995A2D}"/>
    <cellStyle name="常规 107 2" xfId="23757" xr:uid="{4FF8D368-CAAE-42A6-9316-C41A252ED9C6}"/>
    <cellStyle name="常规 107 3" xfId="23758" xr:uid="{E7A617C7-4310-452C-974E-2D858EEA6B0D}"/>
    <cellStyle name="常规 107 4" xfId="23756" xr:uid="{A6360098-66BD-400D-AEA7-2428D1033BDB}"/>
    <cellStyle name="常规 108" xfId="2150" xr:uid="{7C8A69BA-9403-433D-8286-892D635111EA}"/>
    <cellStyle name="常规 108 2" xfId="6650" xr:uid="{24D409AC-9313-4706-BD6D-3CDE05AFB55D}"/>
    <cellStyle name="常规 108 2 2" xfId="23760" xr:uid="{7763E745-B0EE-4CC8-A904-C89C422F445C}"/>
    <cellStyle name="常规 108 3" xfId="23761" xr:uid="{60460A6D-33FA-43CF-AE66-F9AA97F535B7}"/>
    <cellStyle name="常规 108 4" xfId="23759" xr:uid="{3AE389DE-0BDE-43B3-98E8-98C44469C4DD}"/>
    <cellStyle name="常规 109" xfId="6651" xr:uid="{6CEA47D1-046E-49D7-9F96-39C315CE104D}"/>
    <cellStyle name="常规 109 2" xfId="23763" xr:uid="{77D91B7C-7289-4832-9DAF-A1D8230393BF}"/>
    <cellStyle name="常规 109 3" xfId="23764" xr:uid="{F81CF4C4-FA64-439B-A9FB-BEB4A71902B5}"/>
    <cellStyle name="常规 109 4" xfId="23762" xr:uid="{AADB569C-988A-40D2-8DBB-17752E8259AE}"/>
    <cellStyle name="常规 11" xfId="6652" xr:uid="{34C6698C-A8E9-4AA8-B55D-B62A83CBE43E}"/>
    <cellStyle name="常规 11 2" xfId="10869" xr:uid="{9F11028E-45D1-4FD4-9DB6-BEF60EA4F1E5}"/>
    <cellStyle name="常规 11 2 2" xfId="23766" xr:uid="{AF3B6421-E903-4F71-9BFA-48885E6D970D}"/>
    <cellStyle name="常规 11 2 2 2" xfId="23767" xr:uid="{13D8C1C0-194D-411A-8B73-E69BB4B4210B}"/>
    <cellStyle name="常规 11 2 3" xfId="23768" xr:uid="{4522A44B-314D-4575-A040-D63C3172F6C9}"/>
    <cellStyle name="常规 11 2 4" xfId="23769" xr:uid="{064C0431-ADC3-49EB-9FE5-E01696C45DEC}"/>
    <cellStyle name="常规 11 2 5" xfId="23770" xr:uid="{6C534D72-D2E6-4ED8-AD37-FC559EA8DE5F}"/>
    <cellStyle name="常规 11 2 6" xfId="23771" xr:uid="{080463F0-A3B1-4A89-918B-5C5BC4216D44}"/>
    <cellStyle name="常规 11 2 7" xfId="23772" xr:uid="{1CCF407A-D3DA-45F2-BD4C-ADC9943D7B4B}"/>
    <cellStyle name="常规 11 2 8" xfId="23765" xr:uid="{9372C79C-62AF-4CE5-A6B4-3A363C0EFA5E}"/>
    <cellStyle name="常规 11 2_球团工序" xfId="23773" xr:uid="{7FF2EB33-7331-4335-94C1-52A9D4C803AD}"/>
    <cellStyle name="常规 11 3" xfId="10870" xr:uid="{1A0B28C7-1F5A-4C51-9405-F34F18DE865E}"/>
    <cellStyle name="常规 11 3 2" xfId="23775" xr:uid="{A8FACEDD-E3F2-42BB-B609-F20E4346A23D}"/>
    <cellStyle name="常规 11 3 2 2" xfId="27751" xr:uid="{558EA38E-114B-456A-9E16-42E1C388B8B9}"/>
    <cellStyle name="常规 11 3 2 3" xfId="27750" xr:uid="{82907337-B2C0-40E3-89AB-27C37F231322}"/>
    <cellStyle name="常规 11 3 3" xfId="23774" xr:uid="{D5CE39EB-BB81-473C-BF79-0C090B259874}"/>
    <cellStyle name="常规 11 3 4" xfId="27749" xr:uid="{FDCDE839-3025-401B-8D79-5AE45056D473}"/>
    <cellStyle name="常规 11 4" xfId="10871" xr:uid="{BB0ED327-37F4-4389-9EFA-AE25A694CE3A}"/>
    <cellStyle name="常规 11 4 2" xfId="23776" xr:uid="{6C82388C-4A08-4CF7-BCD9-139A05696C85}"/>
    <cellStyle name="常规 11 5" xfId="10868" xr:uid="{2E9874AF-7A48-4AB1-9E6E-EF0D2494B48B}"/>
    <cellStyle name="常规 11 6" xfId="27748" xr:uid="{69BEAC45-43BB-4FA1-99D5-6C0C76718FBF}"/>
    <cellStyle name="常规 11 9" xfId="27467" xr:uid="{B7C122E5-AF85-46F9-9FD4-9E498CB35CD0}"/>
    <cellStyle name="常规 11 9 2" xfId="27468" xr:uid="{73960483-F2DC-41C9-B718-4C6D4781DC1D}"/>
    <cellStyle name="常规 11 9 3" xfId="27469" xr:uid="{FA2F020D-EC32-4635-938F-132E207D1F3E}"/>
    <cellStyle name="常规 11 9 4" xfId="27470" xr:uid="{624DEFC7-21FF-4CC6-AF48-C57B0FA26C9A}"/>
    <cellStyle name="常规 11 9 5" xfId="27471" xr:uid="{D8B344EA-004E-4A7E-9067-42E456D91614}"/>
    <cellStyle name="常规 11 9 6" xfId="27472" xr:uid="{30C306E6-C622-49FA-A31A-931780B7B867}"/>
    <cellStyle name="常规 11 9 7" xfId="27473" xr:uid="{9765C1CA-C214-4534-B006-F5C29389D0F2}"/>
    <cellStyle name="常规 11 9 8" xfId="27474" xr:uid="{CDDCC94F-6BA8-41EB-9BAA-4EDA3B938D09}"/>
    <cellStyle name="常规 11_2015年工艺质量科全面预算" xfId="23777" xr:uid="{34D1CEC4-55DA-4C0D-885B-49E5D3B41088}"/>
    <cellStyle name="常规 110" xfId="2536" xr:uid="{35975252-DEE7-4FE1-8BE7-434B5FF2C1AD}"/>
    <cellStyle name="常规 110 2" xfId="23779" xr:uid="{EF11088C-A2F8-4292-B21F-87B7ED05E71D}"/>
    <cellStyle name="常规 110 3" xfId="23778" xr:uid="{4E2C868C-60D3-4260-BCF7-926B3FC1B5C1}"/>
    <cellStyle name="常规 111" xfId="9318" xr:uid="{5EB9501F-087D-403B-A062-9FA0F0857021}"/>
    <cellStyle name="常规 111 2" xfId="23781" xr:uid="{B534A483-09D1-4560-B570-8698EE46DA25}"/>
    <cellStyle name="常规 111 3" xfId="23780" xr:uid="{0A57C652-86D0-46E5-887C-E44D3E5A8379}"/>
    <cellStyle name="常规 112" xfId="9360" xr:uid="{BD08A767-B657-495D-9422-0501F338300B}"/>
    <cellStyle name="常规 112 2" xfId="23783" xr:uid="{033ABA96-FAA3-40EE-A7ED-0895F820A873}"/>
    <cellStyle name="常规 112 3" xfId="23782" xr:uid="{2AC54257-E95E-4101-AA39-B3F14E8431AA}"/>
    <cellStyle name="常规 113" xfId="13664" xr:uid="{016864BB-A14A-45A5-B418-3AA0B25250E0}"/>
    <cellStyle name="常规 113 2" xfId="23784" xr:uid="{8AD0BACE-A188-42CB-B05D-572DD15067FA}"/>
    <cellStyle name="常规 114" xfId="12273" xr:uid="{3017A139-99E9-4D35-9399-CA559E76B700}"/>
    <cellStyle name="常规 114 2" xfId="23786" xr:uid="{9DE00556-D40E-42C5-8109-6FEC5438A468}"/>
    <cellStyle name="常规 114 3" xfId="23785" xr:uid="{B691CE51-6801-4C43-A20F-E86D9217C037}"/>
    <cellStyle name="常规 115" xfId="23787" xr:uid="{74520284-2A53-4693-A2D1-C08270698942}"/>
    <cellStyle name="常规 115 2" xfId="23788" xr:uid="{5422CE21-CBE7-4932-A30E-E1E93F8659E2}"/>
    <cellStyle name="常规 116" xfId="23789" xr:uid="{E0F61F9B-FCB7-4E12-9945-D153179CDA0A}"/>
    <cellStyle name="常规 116 2" xfId="23790" xr:uid="{5B86EBA5-82B4-40F8-8E7F-24A8162DF501}"/>
    <cellStyle name="常规 117" xfId="23791" xr:uid="{72EC5089-AE01-46B0-AF18-C911F84BB2BE}"/>
    <cellStyle name="常规 117 2" xfId="23792" xr:uid="{A82A906C-2D35-4392-BA4A-62DF7C20EE3D}"/>
    <cellStyle name="常规 118" xfId="23793" xr:uid="{B9FE2EEE-61DE-4441-B71E-4065911DD53A}"/>
    <cellStyle name="常规 118 2" xfId="23794" xr:uid="{A8ACB307-49BC-47E1-85B1-3D0CD1449E10}"/>
    <cellStyle name="常规 119" xfId="23795" xr:uid="{91650E31-890D-4E73-A8A7-37F2F538F05E}"/>
    <cellStyle name="常规 119 2" xfId="23796" xr:uid="{1C0AA11C-80D4-40F2-BC42-6319278695C7}"/>
    <cellStyle name="常规 12" xfId="6653" xr:uid="{F1091EE7-3E9C-42F3-84CC-E3A997F6E793}"/>
    <cellStyle name="常规 12 10" xfId="10872" xr:uid="{AE1C5782-2694-4728-A587-45B3B9231512}"/>
    <cellStyle name="常规 12 11" xfId="27752" xr:uid="{FACFDA8C-02C4-42A0-AB86-0A1DD2E3CE34}"/>
    <cellStyle name="常规 12 2" xfId="6654" xr:uid="{49ACB727-543A-4B04-A8FD-510C9E89671F}"/>
    <cellStyle name="常规 12 2 2" xfId="10873" xr:uid="{8C1CFB9C-3130-4281-BCFF-FC3F03BEDDBE}"/>
    <cellStyle name="常规 12 2 2 2" xfId="23797" xr:uid="{CD2576A0-A97B-400C-9BF9-17DB26A6522B}"/>
    <cellStyle name="常规 12 2 3" xfId="23798" xr:uid="{944AAA51-1CF1-488F-A64E-8C9F1D1336C1}"/>
    <cellStyle name="常规 12 2 4" xfId="23799" xr:uid="{C524B871-8828-40A0-AD88-F94333E47DBF}"/>
    <cellStyle name="常规 12 2 5" xfId="23800" xr:uid="{1C5B33D7-FB93-4915-83EA-BDB9AFB4236C}"/>
    <cellStyle name="常规 12 2 6" xfId="23801" xr:uid="{9CADC43D-02E6-459E-A368-897203958C79}"/>
    <cellStyle name="常规 12 2 7" xfId="23802" xr:uid="{06CD3574-5D97-43E9-A92C-79754178D31E}"/>
    <cellStyle name="常规 12 2_球团工序" xfId="23803" xr:uid="{347DAC23-C205-4593-B08E-D83D5D284110}"/>
    <cellStyle name="常规 12 3" xfId="6655" xr:uid="{9A281C57-E0BF-4680-B4BA-7A58A0DBEBF4}"/>
    <cellStyle name="常规 12 3 2" xfId="10874" xr:uid="{29AA74BB-F746-46F8-AC56-FBA00D442828}"/>
    <cellStyle name="常规 12 4" xfId="6656" xr:uid="{AC294621-D560-4769-B72B-932B50F3D457}"/>
    <cellStyle name="常规 12 4 2" xfId="10875" xr:uid="{F1C84679-9DA0-4BAE-895F-3F49F3C01757}"/>
    <cellStyle name="常规 12 5" xfId="6657" xr:uid="{4DF98EF2-84F7-403C-A7C4-B642F7218FCE}"/>
    <cellStyle name="常规 12 5 2" xfId="10876" xr:uid="{A29A125D-C51F-422F-AE5F-DEEBD81104C5}"/>
    <cellStyle name="常规 12 6" xfId="3747" xr:uid="{9771D04D-70C6-4BD5-AC73-F49BD03DF75C}"/>
    <cellStyle name="常规 12 7" xfId="6658" xr:uid="{D4921B68-6214-47C9-9FFD-54694DA07F20}"/>
    <cellStyle name="常规 12 8" xfId="6659" xr:uid="{41CB53FF-4F19-40F9-AA62-56167C50AA00}"/>
    <cellStyle name="常规 12 9" xfId="6660" xr:uid="{A6A14E5B-4757-4F62-9423-DC8AECDCD68A}"/>
    <cellStyle name="常规 12_动力部" xfId="23804" xr:uid="{4725B30E-3FEF-4A09-95E0-324B1B71848A}"/>
    <cellStyle name="常规 120" xfId="23805" xr:uid="{FAB85179-1854-42ED-9C8B-E5E0B642CB68}"/>
    <cellStyle name="常规 120 2" xfId="23806" xr:uid="{F4F87DEE-DC79-40D9-999F-BC2FAAEED518}"/>
    <cellStyle name="常规 121" xfId="23807" xr:uid="{226FD01D-42C0-4830-B73C-6785CBA50BDB}"/>
    <cellStyle name="常规 121 2" xfId="23808" xr:uid="{2B2F17A7-D993-4A8C-8660-04F026F1ACB0}"/>
    <cellStyle name="常规 122" xfId="23809" xr:uid="{BD46CF98-0808-4384-87AB-07412FB8E4A6}"/>
    <cellStyle name="常规 122 2" xfId="23810" xr:uid="{DD658251-3723-41D1-AA12-2E7924EEC280}"/>
    <cellStyle name="常规 123" xfId="23811" xr:uid="{7F22B4EB-1C60-4618-BC15-102D83FAD8C2}"/>
    <cellStyle name="常规 123 2" xfId="23812" xr:uid="{01FBB86F-D461-4DCD-9238-DEDBCA7BD76E}"/>
    <cellStyle name="常规 124" xfId="23813" xr:uid="{7E48C049-34BA-4B03-9A1E-354FDC2B277E}"/>
    <cellStyle name="常规 124 2" xfId="23814" xr:uid="{11106DCA-E084-41E5-82BB-E4C45DE8BC5E}"/>
    <cellStyle name="常规 125" xfId="23815" xr:uid="{31FAEF3C-EAEA-4136-9F1C-08242677E835}"/>
    <cellStyle name="常规 125 2" xfId="23816" xr:uid="{A3A9796D-9881-4ECE-8010-0FFD3297EA54}"/>
    <cellStyle name="常规 126" xfId="23817" xr:uid="{57BD445F-008A-4C06-88A0-C504A18A5A12}"/>
    <cellStyle name="常规 126 2" xfId="23818" xr:uid="{9173A547-A761-478F-8854-E06C2D9FF8EA}"/>
    <cellStyle name="常规 127" xfId="23819" xr:uid="{CAEB9506-C765-43FC-9CA6-9DBFE800443E}"/>
    <cellStyle name="常规 127 2" xfId="23820" xr:uid="{2DAB0D0F-C8EA-4023-94EE-50F43B29DF6F}"/>
    <cellStyle name="常规 128" xfId="23821" xr:uid="{FED26CCD-2225-4A9E-A16F-C35147F48ECF}"/>
    <cellStyle name="常规 128 2" xfId="23822" xr:uid="{4204D37A-D70E-476D-9DE8-4A90ECB72175}"/>
    <cellStyle name="常规 129" xfId="23823" xr:uid="{65E6AD56-54FB-4110-9757-B8395FD3DC90}"/>
    <cellStyle name="常规 129 2" xfId="23824" xr:uid="{D9EB0A19-C9B5-4A07-8D06-4BABAC5C67DF}"/>
    <cellStyle name="常规 13" xfId="6661" xr:uid="{AB4B81E0-F891-4F7E-AF63-DA097957AB52}"/>
    <cellStyle name="常规 13 10" xfId="23826" xr:uid="{FBB7F603-015D-4B78-83BE-9F3C464A5297}"/>
    <cellStyle name="常规 13 11" xfId="23825" xr:uid="{E1783409-2C5A-4838-88C2-BEC6B2D3FB85}"/>
    <cellStyle name="常规 13 12" xfId="27475" xr:uid="{9DC4EB91-5200-45FA-B97E-9B4B7308E894}"/>
    <cellStyle name="常规 13 13" xfId="27753" xr:uid="{31880001-55B7-4A03-AFEC-446F77B6B896}"/>
    <cellStyle name="常规 13 2" xfId="6662" xr:uid="{37D4FC02-FCE8-4455-B7D1-2712ED492962}"/>
    <cellStyle name="常规 13 2 2" xfId="23828" xr:uid="{B4462FBC-B2A9-4424-8356-BD4FB914BC79}"/>
    <cellStyle name="常规 13 2 2 2" xfId="23829" xr:uid="{F00B46DA-7DCF-4C42-98D8-C55FD18002FA}"/>
    <cellStyle name="常规 13 2 3" xfId="23830" xr:uid="{D550DB31-61BC-46EA-931C-7622D6DC49BD}"/>
    <cellStyle name="常规 13 2 4" xfId="23827" xr:uid="{F38FCBAC-6972-45DD-BEC9-9F40B36BBD02}"/>
    <cellStyle name="常规 13 2 5" xfId="27476" xr:uid="{DC1ADAE7-60A5-4C9D-ADE4-FEF1B5B2C720}"/>
    <cellStyle name="常规 13 3" xfId="10878" xr:uid="{F5157B4C-75DF-42F1-8EBB-EA10E844AF69}"/>
    <cellStyle name="常规 13 3 2" xfId="23832" xr:uid="{7270C87C-47E2-478D-9BE0-6AEE55313D58}"/>
    <cellStyle name="常规 13 3 3" xfId="23833" xr:uid="{F5DFE2B4-B83B-4752-80E7-01F9D696A120}"/>
    <cellStyle name="常规 13 3 4" xfId="23834" xr:uid="{6F01AAB6-703C-4020-8316-1A7A7779A836}"/>
    <cellStyle name="常规 13 3 5" xfId="23835" xr:uid="{96B0F29E-6DB0-4CB8-A9E7-0E4AE842D0F9}"/>
    <cellStyle name="常规 13 3 6" xfId="23836" xr:uid="{AF6BA3DF-2E64-4BF9-8989-6E6B37FC0C46}"/>
    <cellStyle name="常规 13 3 7" xfId="23837" xr:uid="{2563B1F4-3814-429E-A667-0A71014E1CC3}"/>
    <cellStyle name="常规 13 3 8" xfId="23838" xr:uid="{4B7B32CA-A76D-4DE2-96C0-471E088A1976}"/>
    <cellStyle name="常规 13 3 9" xfId="23831" xr:uid="{BD8152D3-948E-45A2-A05D-1E18D244903B}"/>
    <cellStyle name="常规 13 3_球团工序" xfId="23839" xr:uid="{E1D4B5A9-D6DD-4069-9A47-638A736F3545}"/>
    <cellStyle name="常规 13 4" xfId="10879" xr:uid="{BFE09AB3-6C0D-4560-ACA0-F54E08E0C1EB}"/>
    <cellStyle name="常规 13 4 2" xfId="23840" xr:uid="{ECD8722C-ADC1-4D7C-8C9C-9B7685F187D8}"/>
    <cellStyle name="常规 13 5" xfId="10880" xr:uid="{82BB3338-D10C-45D2-9CBD-4A15DAD703BA}"/>
    <cellStyle name="常规 13 5 2" xfId="23841" xr:uid="{87972A0B-A074-4585-A30F-876A171ADE9C}"/>
    <cellStyle name="常规 13 6" xfId="10877" xr:uid="{4FAAFAF8-57F5-4C9E-97C0-55B0C229B795}"/>
    <cellStyle name="常规 13 6 2" xfId="23842" xr:uid="{E296D3A4-91C3-434A-8174-05FD807499D4}"/>
    <cellStyle name="常规 13 7" xfId="23843" xr:uid="{0EA3E3F4-2929-4C03-B2A4-30C96AFAE6DD}"/>
    <cellStyle name="常规 13 8" xfId="23844" xr:uid="{DDF7CEE8-BF18-43B1-A450-C8AF3D3D0CC1}"/>
    <cellStyle name="常规 13 9" xfId="23845" xr:uid="{D1EF6F89-43AB-4058-994C-E772EA84C5D2}"/>
    <cellStyle name="常规 13_动力部" xfId="23846" xr:uid="{B54FAF84-0955-49A0-B53A-A9A6BE5619FE}"/>
    <cellStyle name="常规 130" xfId="23847" xr:uid="{632A5994-A12A-4C28-8D80-E415362A2AB3}"/>
    <cellStyle name="常规 130 2" xfId="23848" xr:uid="{DC5A1A7E-A6E9-41E1-8D07-EB85A2106DE9}"/>
    <cellStyle name="常规 131" xfId="23849" xr:uid="{1D0DD672-C824-489E-9BA6-7672A3A24E8B}"/>
    <cellStyle name="常规 131 2" xfId="23850" xr:uid="{B592283B-608D-4D59-AB19-44549F4D6EAA}"/>
    <cellStyle name="常规 132" xfId="23851" xr:uid="{B0A035AF-291F-4DF3-B9CE-256DE0075E81}"/>
    <cellStyle name="常规 132 2" xfId="23852" xr:uid="{AB571D5C-AED1-462A-90F9-5E930122256D}"/>
    <cellStyle name="常规 133" xfId="23853" xr:uid="{31E65D76-FDDD-422F-BE73-C58B40FEB2EC}"/>
    <cellStyle name="常规 133 2" xfId="23854" xr:uid="{D53C7BDC-062D-4317-B2C3-1F419885623F}"/>
    <cellStyle name="常规 134" xfId="23855" xr:uid="{7F030E75-7C4F-4CC1-8CBB-8AC181294B4B}"/>
    <cellStyle name="常规 134 2" xfId="23856" xr:uid="{4E6380CF-ADE9-42E4-8CBF-248BBA9F4379}"/>
    <cellStyle name="常规 135" xfId="23857" xr:uid="{A90DC749-43F9-43F0-901B-14CF3AF2220D}"/>
    <cellStyle name="常规 135 2" xfId="23858" xr:uid="{7E971E32-EE43-46FA-95B2-D4E228955A95}"/>
    <cellStyle name="常规 136" xfId="23859" xr:uid="{EE0EE44C-4858-451A-B06C-0D8DF5759FA9}"/>
    <cellStyle name="常规 136 2" xfId="23860" xr:uid="{52B818EB-B38F-4F5E-BF46-1CB3B80DDDEE}"/>
    <cellStyle name="常规 137" xfId="23861" xr:uid="{61CD035E-8346-4101-8C9C-2E00AD43C20F}"/>
    <cellStyle name="常规 137 2" xfId="23862" xr:uid="{A96DC888-6F98-4FAF-BE29-3B1B809411C4}"/>
    <cellStyle name="常规 138" xfId="23863" xr:uid="{9CF63249-5D46-4107-BF45-8F0CCBD6C69B}"/>
    <cellStyle name="常规 138 2" xfId="23864" xr:uid="{3CD075F5-7CF7-4CA7-B10F-C5097CA13D6D}"/>
    <cellStyle name="常规 139" xfId="23865" xr:uid="{AC33F3E5-BAC4-4D80-9C47-308D4426333A}"/>
    <cellStyle name="常规 139 2" xfId="23866" xr:uid="{C34EF16C-92A8-4C76-913D-5D2770BEAB36}"/>
    <cellStyle name="常规 14" xfId="6663" xr:uid="{B1C731FC-B5A0-4721-A681-FE997681A996}"/>
    <cellStyle name="常规 14 2" xfId="11" xr:uid="{00000000-0005-0000-0000-000007000000}"/>
    <cellStyle name="常规 14 2 2" xfId="10882" xr:uid="{4B787D61-9643-4B83-8E59-3C03B7D21C29}"/>
    <cellStyle name="常规 14 2 2 2" xfId="23870" xr:uid="{234D30E6-1FA5-454F-8F42-70F499C90066}"/>
    <cellStyle name="常规 14 2 2 3" xfId="23869" xr:uid="{ED91D9C8-DF49-4D1F-97F4-0ECD195D6CF4}"/>
    <cellStyle name="常规 14 2 3" xfId="23871" xr:uid="{5D775475-11C4-4DAE-BD8E-68D25BEA85B3}"/>
    <cellStyle name="常规 14 2 4" xfId="23868" xr:uid="{6EAEAF71-CB53-4F87-9558-1219D753B84C}"/>
    <cellStyle name="常规 14 2 5" xfId="6664" xr:uid="{7E32EC9F-65D5-4A1B-B593-83D050C62B1B}"/>
    <cellStyle name="常规 14 3" xfId="10883" xr:uid="{78289DCF-E268-47DD-AE59-CC9737B54FA5}"/>
    <cellStyle name="常规 14 3 2" xfId="23873" xr:uid="{77940CA7-CD5D-4E29-B9AB-FD0AE2A04E52}"/>
    <cellStyle name="常规 14 3 3" xfId="23872" xr:uid="{A1C91E59-8891-4ECA-ACA7-D9175595F19F}"/>
    <cellStyle name="常规 14 4" xfId="10884" xr:uid="{993BAB1F-800C-43AA-B809-9C37271A09F3}"/>
    <cellStyle name="常规 14 4 2" xfId="23874" xr:uid="{542EA362-23DA-4F5E-AC58-4889E463BE0B}"/>
    <cellStyle name="常规 14 5" xfId="10885" xr:uid="{11AF1AC9-FABD-4CC4-A75D-F20754C32567}"/>
    <cellStyle name="常规 14 6" xfId="10881" xr:uid="{D3D3280F-D942-4A82-9026-2D377CD1FA18}"/>
    <cellStyle name="常规 14 7" xfId="23867" xr:uid="{098023C2-C561-4CB7-9C12-A7628DBAB3CA}"/>
    <cellStyle name="常规 14_2016年9月成本报表" xfId="23875" xr:uid="{B27A3D1C-2C7A-4907-AE4A-7C41B19F9058}"/>
    <cellStyle name="常规 140" xfId="23876" xr:uid="{ECCED340-BE90-423D-BC66-6ABDA882DFE6}"/>
    <cellStyle name="常规 140 2" xfId="23877" xr:uid="{D0CB41AD-CDB7-4ABE-8883-8951E68282AF}"/>
    <cellStyle name="常规 141" xfId="23878" xr:uid="{E8411530-6198-46FE-A505-A181994869D7}"/>
    <cellStyle name="常规 141 2" xfId="23879" xr:uid="{979BF488-0E1D-4BAD-B1B2-8EF83AA91174}"/>
    <cellStyle name="常规 142" xfId="23880" xr:uid="{623597A2-4165-4941-94AA-E0DB6F03FD21}"/>
    <cellStyle name="常规 142 2" xfId="23881" xr:uid="{B36386B7-A034-445F-826B-4AA02456FAC0}"/>
    <cellStyle name="常规 143" xfId="23882" xr:uid="{894808DD-163A-46D6-8C25-519837908670}"/>
    <cellStyle name="常规 143 2" xfId="23883" xr:uid="{53DF4E11-BD45-4036-8452-79748D808B36}"/>
    <cellStyle name="常规 144" xfId="23884" xr:uid="{9DA87AFE-8800-41CD-8C29-87D387B779DA}"/>
    <cellStyle name="常规 144 2" xfId="23885" xr:uid="{C1DF34D8-B11B-49E5-83C2-BF17F0A59978}"/>
    <cellStyle name="常规 145" xfId="23886" xr:uid="{9E94D6D8-B87A-4A86-96D8-F32F4CB064C1}"/>
    <cellStyle name="常规 145 2" xfId="23887" xr:uid="{B39586E9-4B5B-4DED-A992-5A8B01B570B6}"/>
    <cellStyle name="常规 146" xfId="23888" xr:uid="{50731C61-9765-460D-9F71-CFE5FF8AE55A}"/>
    <cellStyle name="常规 147" xfId="23889" xr:uid="{907D16EA-4E10-4A9E-B291-CC1379CBC80E}"/>
    <cellStyle name="常规 147 2" xfId="23890" xr:uid="{45853E8D-76A9-44EF-B377-68302EF3E7BB}"/>
    <cellStyle name="常规 148" xfId="23891" xr:uid="{D1BFA7EB-630A-4B1F-81A2-1300C234DF98}"/>
    <cellStyle name="常规 149" xfId="23892" xr:uid="{04343CA8-57D0-491B-979A-9E1919069462}"/>
    <cellStyle name="常规 15" xfId="6665" xr:uid="{CD3D2C15-C122-4204-AD48-A6B661594C6C}"/>
    <cellStyle name="常规 15 10" xfId="23894" xr:uid="{F1B01BB8-7F00-40BF-AFB5-D75EBC94C6CA}"/>
    <cellStyle name="常规 15 11" xfId="23895" xr:uid="{D5C22E5D-93AA-4743-8E6E-49258915F42D}"/>
    <cellStyle name="常规 15 12" xfId="23896" xr:uid="{339D18DA-99F1-4741-97C8-15085D13141F}"/>
    <cellStyle name="常规 15 13" xfId="23897" xr:uid="{D7A098EC-1F3E-4A36-9E87-B97128E85455}"/>
    <cellStyle name="常规 15 14" xfId="23898" xr:uid="{6B04AE82-D02B-4580-A945-8F6C5F5DC93F}"/>
    <cellStyle name="常规 15 15" xfId="23899" xr:uid="{5F8C6D31-FCE0-48EB-8DF6-16A76099DCCB}"/>
    <cellStyle name="常规 15 16" xfId="23900" xr:uid="{6EA097B3-A3E5-4DB2-A0A4-C9886D0D6A6D}"/>
    <cellStyle name="常规 15 17" xfId="23901" xr:uid="{47989A44-4E52-4068-BB41-DFD2FC6EA3D5}"/>
    <cellStyle name="常规 15 18" xfId="23893" xr:uid="{861003BA-1D69-421A-A4EF-10AEA44AF67E}"/>
    <cellStyle name="常规 15 19" xfId="27754" xr:uid="{68F8F34F-5A0D-44D7-91F6-2164764FE469}"/>
    <cellStyle name="常规 15 2" xfId="10887" xr:uid="{ECCDD7BA-34AC-462A-84A6-36CE4E7D58EA}"/>
    <cellStyle name="常规 15 2 2" xfId="23903" xr:uid="{E71E4588-1A30-485A-B0D4-46D2C7958DCF}"/>
    <cellStyle name="常规 15 2 3" xfId="23904" xr:uid="{DB4CC6A9-1020-4664-8086-5EB742B20C4B}"/>
    <cellStyle name="常规 15 2 4" xfId="23905" xr:uid="{3FEEA897-98E4-4EBA-BB37-800357837BD2}"/>
    <cellStyle name="常规 15 2 5" xfId="23906" xr:uid="{FC1F0AE8-EC59-4906-A8F2-ADB9C8022B8D}"/>
    <cellStyle name="常规 15 2 6" xfId="23907" xr:uid="{337DE6D5-A5F7-4A93-BB77-8F0FC8F664F4}"/>
    <cellStyle name="常规 15 2 7" xfId="23908" xr:uid="{B99338A1-99E6-4EF7-B88B-CDC277C28997}"/>
    <cellStyle name="常规 15 2 8" xfId="23902" xr:uid="{32B97D2D-7749-4E24-8732-C5E3EC726577}"/>
    <cellStyle name="常规 15 2 9" xfId="27477" xr:uid="{741C6317-496B-4E79-9D10-E70FE6AB67F7}"/>
    <cellStyle name="常规 15 2_球团工序" xfId="23909" xr:uid="{DDA182DC-DA45-4779-9B5D-169D70F1B385}"/>
    <cellStyle name="常规 15 3" xfId="10886" xr:uid="{B6930347-BC23-4F94-978F-5CB78A8D9607}"/>
    <cellStyle name="常规 15 3 2" xfId="23911" xr:uid="{8ED523A9-E957-402C-8D5B-AD55E6D342D3}"/>
    <cellStyle name="常规 15 3 3" xfId="23910" xr:uid="{EC4A9DC1-F62E-4C73-8941-F5AE828064E9}"/>
    <cellStyle name="常规 15 4" xfId="23912" xr:uid="{EB9AFD2C-477D-4B58-AE77-1C4614471DBE}"/>
    <cellStyle name="常规 15 4 10" xfId="23913" xr:uid="{811A9178-6078-4DF9-AEA2-5B0AD01B9E74}"/>
    <cellStyle name="常规 15 4 11" xfId="23914" xr:uid="{9D7B8709-DA76-46AD-9CBC-CA4AC4BF75CA}"/>
    <cellStyle name="常规 15 4 12" xfId="23915" xr:uid="{DE42F686-A311-485D-8385-89BF18A1189D}"/>
    <cellStyle name="常规 15 4 13" xfId="23916" xr:uid="{8AC9CAB1-B6F9-4C0C-8E57-07DCCDDAC21C}"/>
    <cellStyle name="常规 15 4 2" xfId="23917" xr:uid="{B5D646FF-B137-4287-B791-7E42A0A81EE0}"/>
    <cellStyle name="常规 15 4 2 2" xfId="23918" xr:uid="{E7B23F3C-2952-4ECB-A564-7759E92F75C6}"/>
    <cellStyle name="常规 15 4 2 3" xfId="23919" xr:uid="{00100882-F1B2-45A8-9C32-79D5092F699E}"/>
    <cellStyle name="常规 15 4 3" xfId="23920" xr:uid="{F74B5ABC-4063-447E-946C-96D665CFB94E}"/>
    <cellStyle name="常规 15 4 4" xfId="23921" xr:uid="{1F2D0E93-1044-4186-986D-E1BFB6FC547F}"/>
    <cellStyle name="常规 15 4 5" xfId="23922" xr:uid="{5671088C-84AC-4851-BB62-BDEFD413E34F}"/>
    <cellStyle name="常规 15 4 6" xfId="23923" xr:uid="{3B8326DA-3504-4D54-8D51-3C798CD6E609}"/>
    <cellStyle name="常规 15 4 7" xfId="23924" xr:uid="{CAC5BEF6-5661-47A5-97F4-FCB05FAF2DEF}"/>
    <cellStyle name="常规 15 4 8" xfId="23925" xr:uid="{ECEDD189-9B73-49E7-8DBE-3344074336D6}"/>
    <cellStyle name="常规 15 4 9" xfId="23926" xr:uid="{58CDEED7-F2B7-4024-83A4-22CEA198E012}"/>
    <cellStyle name="常规 15 5" xfId="23927" xr:uid="{8EDDE7A2-0D1E-40F4-9702-DA61FEF758A6}"/>
    <cellStyle name="常规 15 5 2" xfId="23928" xr:uid="{1E131E4A-4E6B-4644-9D76-7E2D584BFA5D}"/>
    <cellStyle name="常规 15 6" xfId="23929" xr:uid="{C5735373-FA37-4EE0-A25C-89A4270883E0}"/>
    <cellStyle name="常规 15 6 2" xfId="23930" xr:uid="{E3FD7DA7-B65A-4315-BCF5-522D188C4A76}"/>
    <cellStyle name="常规 15 7" xfId="23931" xr:uid="{874FE676-FE15-4413-BBED-769560AC4CC6}"/>
    <cellStyle name="常规 15 7 2" xfId="23932" xr:uid="{E092C7A1-7A06-4B36-AEE7-0BE02D508B71}"/>
    <cellStyle name="常规 15 8" xfId="23933" xr:uid="{2B4EA94B-4DC4-45D7-88E6-76CC7F9692E1}"/>
    <cellStyle name="常规 15 8 2" xfId="23934" xr:uid="{9F838900-191E-4AF8-AB71-149F712193A1}"/>
    <cellStyle name="常规 15 9" xfId="23935" xr:uid="{360656B2-0143-4FFD-879F-85F6DC3D1290}"/>
    <cellStyle name="常规 15 9 2" xfId="23936" xr:uid="{0B4515BD-71A5-450E-943B-7DE3A661C54A}"/>
    <cellStyle name="常规 15_动力部" xfId="23937" xr:uid="{6C5C6303-FE61-4FEA-A1A8-EB78774A0EB7}"/>
    <cellStyle name="常规 150" xfId="23938" xr:uid="{5F9BB566-FBC3-4000-9F6A-34844C268D27}"/>
    <cellStyle name="常规 151" xfId="23939" xr:uid="{4D31C352-F9C0-4157-B83C-0FAA2203A834}"/>
    <cellStyle name="常规 152" xfId="23940" xr:uid="{8AA01CD8-53C2-48A6-8616-2BFB2486772E}"/>
    <cellStyle name="常规 153" xfId="23941" xr:uid="{EFA935A5-8601-4A52-AD89-399A757C7107}"/>
    <cellStyle name="常规 154" xfId="23942" xr:uid="{D4BFAD7C-7DA4-463E-B94F-08F238C4E6DB}"/>
    <cellStyle name="常规 155" xfId="23943" xr:uid="{F3056EFE-E4BC-460B-A61C-70251B49D078}"/>
    <cellStyle name="常规 156" xfId="23944" xr:uid="{B578D15D-E044-467A-94E3-76E2A2F837F9}"/>
    <cellStyle name="常规 157" xfId="23945" xr:uid="{691E249C-506F-4A2D-8CA3-05C9842C9EF7}"/>
    <cellStyle name="常规 158" xfId="23946" xr:uid="{190DC1B5-8DA6-4CDB-A6E5-2481A1C685C7}"/>
    <cellStyle name="常规 159" xfId="23947" xr:uid="{3D19324A-CB28-4EED-A77B-32E1CA7793AD}"/>
    <cellStyle name="常规 16" xfId="6667" xr:uid="{9B1FBD71-8203-4FA5-A2FC-D3635A7F2FBC}"/>
    <cellStyle name="常规 16 2" xfId="5963" xr:uid="{C236CCE0-81AC-4750-93FB-98CD3EC54CEC}"/>
    <cellStyle name="常规 16 2 2" xfId="10889" xr:uid="{02320766-84EE-4E5F-8BA1-C83BED85F829}"/>
    <cellStyle name="常规 16 2 2 2" xfId="23950" xr:uid="{10B4A2A7-2C0F-48A7-9676-14E689EA3072}"/>
    <cellStyle name="常规 16 2 3" xfId="23949" xr:uid="{12FF32D0-9C55-436F-BB74-8EE32F94794D}"/>
    <cellStyle name="常规 16 2 4" xfId="27478" xr:uid="{92BA8C07-873B-4580-A449-85435D37D2BB}"/>
    <cellStyle name="常规 16 3" xfId="5965" xr:uid="{E30A42A4-7C30-4DC1-94B7-960BEE3E1B50}"/>
    <cellStyle name="常规 16 3 2" xfId="10890" xr:uid="{7AE89944-509D-466B-BC2B-201C329C990C}"/>
    <cellStyle name="常规 16 3 2 2" xfId="27755" xr:uid="{87D4EE24-EAEC-4980-9D92-0F7E3F45730F}"/>
    <cellStyle name="常规 16 3 3" xfId="23951" xr:uid="{3710C9ED-C4B7-4F7B-8C3E-8FCA5D567D4E}"/>
    <cellStyle name="常规 16 4" xfId="10888" xr:uid="{19935EAC-2C8C-424B-8480-FB8EBF9E4D8D}"/>
    <cellStyle name="常规 16 5" xfId="23948" xr:uid="{B86CD66C-F7ED-41E1-A5BF-11FBBF859AA6}"/>
    <cellStyle name="常规 16 7" xfId="27756" xr:uid="{1434B642-99DA-497C-9445-019CD74D3111}"/>
    <cellStyle name="常规 16 7 2" xfId="27757" xr:uid="{E13A9214-1E94-4645-8904-EA84840C9C9E}"/>
    <cellStyle name="常规 16_Book1" xfId="23952" xr:uid="{7B62CB49-1259-45AC-AE18-A2CDA316DC67}"/>
    <cellStyle name="常规 160" xfId="23953" xr:uid="{83D34621-6BCE-43BB-9053-16AEB16D54BC}"/>
    <cellStyle name="常规 161" xfId="23954" xr:uid="{4DFF906D-8CE5-410F-88D9-1B6B0307D96A}"/>
    <cellStyle name="常规 162" xfId="23955" xr:uid="{652E87C0-8176-4B2A-B35E-4751FD89BEC5}"/>
    <cellStyle name="常规 163" xfId="23956" xr:uid="{BB6437FB-5FD6-491D-86EE-9F3811B8C589}"/>
    <cellStyle name="常规 164" xfId="23957" xr:uid="{9949F397-63FF-4A77-A92F-549037F603B5}"/>
    <cellStyle name="常规 165" xfId="23958" xr:uid="{F70280CF-91FD-4A45-ACBD-78A3EB61B16B}"/>
    <cellStyle name="常规 166" xfId="23959" xr:uid="{B0C88CEF-A1B0-4103-B8F6-448D1FC73EE5}"/>
    <cellStyle name="常规 167" xfId="23960" xr:uid="{6C16E5E8-3305-45ED-BCF1-83BC0661ACA0}"/>
    <cellStyle name="常规 168" xfId="23961" xr:uid="{D611CD58-EB41-43B8-BE8A-FA111291D885}"/>
    <cellStyle name="常规 169" xfId="23962" xr:uid="{AE74A026-BD70-4B0E-A1B4-300D2EF7BF5F}"/>
    <cellStyle name="常规 17" xfId="6669" xr:uid="{386057C1-E560-4E13-9838-26E5B8F500C0}"/>
    <cellStyle name="常规 17 2" xfId="5972" xr:uid="{2DD42AAC-F802-4701-B0F5-2A52BA7F5824}"/>
    <cellStyle name="常规 17 2 2" xfId="10892" xr:uid="{2450A84A-C01B-412C-91E4-D3AA0C6353EB}"/>
    <cellStyle name="常规 17 2 2 2" xfId="23964" xr:uid="{E926FBCD-91EB-42A0-A678-DF697C12FBC7}"/>
    <cellStyle name="常规 17 2 3" xfId="23963" xr:uid="{A05D2CDC-A787-444D-89FA-99323981537E}"/>
    <cellStyle name="常规 17 2 4" xfId="27479" xr:uid="{87CB2CA4-A2C0-4841-AAC5-2CE18D4DB651}"/>
    <cellStyle name="常规 17 3" xfId="10891" xr:uid="{E6A72E98-4D2F-493B-963C-063A37F0AD8A}"/>
    <cellStyle name="常规 17 3 2" xfId="23966" xr:uid="{56E58CFF-7F72-434C-B8B5-EAC258ED50A4}"/>
    <cellStyle name="常规 17 3 3" xfId="23965" xr:uid="{61D2642A-0515-4613-BCDB-1AF51DDD3986}"/>
    <cellStyle name="常规 17 4" xfId="23967" xr:uid="{704433E9-231A-4220-B19A-6DEF0B7275E7}"/>
    <cellStyle name="常规 17 5" xfId="23968" xr:uid="{5FF68AB2-BA61-4CFA-91C0-E76085493C5D}"/>
    <cellStyle name="常规 17_动力部" xfId="23969" xr:uid="{D580EC71-D3D7-4121-81BD-A4C9978EAAC0}"/>
    <cellStyle name="常规 170" xfId="23970" xr:uid="{4B4444AC-CCFD-4475-9767-31E109B71E56}"/>
    <cellStyle name="常规 171" xfId="23971" xr:uid="{CA14C0CD-D657-4995-97BB-6D2322BCADDA}"/>
    <cellStyle name="常规 172" xfId="23972" xr:uid="{B3751AA6-615D-49E3-AF39-B38A672B3CF7}"/>
    <cellStyle name="常规 173" xfId="23973" xr:uid="{61802361-482B-41A3-B843-D1F0633C9278}"/>
    <cellStyle name="常规 174" xfId="23974" xr:uid="{F8C171F9-57C3-4659-AB9E-F67A7C9CF897}"/>
    <cellStyle name="常规 175" xfId="23975" xr:uid="{E4EF9CD5-F32F-4340-8810-940FA5358024}"/>
    <cellStyle name="常规 176" xfId="23976" xr:uid="{E626D1F3-2559-47AD-B6C6-BDE6100F62B3}"/>
    <cellStyle name="常规 177" xfId="23977" xr:uid="{B851C9C8-6ED9-4E6E-8260-DB89ECFF8553}"/>
    <cellStyle name="常规 178" xfId="23978" xr:uid="{F887C1E0-8676-40D4-B651-CBDCD2792172}"/>
    <cellStyle name="常规 179" xfId="23979" xr:uid="{8021FE4E-2280-4566-9B16-F7AC48D2DF08}"/>
    <cellStyle name="常规 18" xfId="6671" xr:uid="{6458DBA4-486A-481E-8E5E-8BE3443971F3}"/>
    <cellStyle name="常规 18 2" xfId="5980" xr:uid="{C42F0BB0-2AAF-4A20-B765-446307FF1CDF}"/>
    <cellStyle name="常规 18 2 2" xfId="10894" xr:uid="{1C1F0EAB-AB3C-439E-8A17-187B37F63C8E}"/>
    <cellStyle name="常规 18 2 2 3" xfId="6673" xr:uid="{B1227DCE-B227-4FCC-9317-673C1C33DCD3}"/>
    <cellStyle name="常规 18 2 3" xfId="23980" xr:uid="{1A07EB28-BB33-4381-B643-E3F6C84768A8}"/>
    <cellStyle name="常规 18 2 4" xfId="27480" xr:uid="{5F27F34F-5BC5-4E6A-B750-596DEBAC4834}"/>
    <cellStyle name="常规 18 3" xfId="10893" xr:uid="{9165B485-6FB0-410D-8AAA-084A2004A04B}"/>
    <cellStyle name="常规 18 3 2" xfId="23982" xr:uid="{76540116-4996-4DA5-95D2-AE92D4AC96CC}"/>
    <cellStyle name="常规 18 3 3" xfId="23981" xr:uid="{1046CD9F-D15E-4C8D-AACE-5D7BA51BA141}"/>
    <cellStyle name="常规 18 4" xfId="13508" xr:uid="{DC0C2923-2043-45EB-88C4-2211F416CEB7}"/>
    <cellStyle name="常规 18 4 2" xfId="23983" xr:uid="{62E928B4-9076-4E24-9076-A7A595802E2A}"/>
    <cellStyle name="常规 180" xfId="23984" xr:uid="{6CCE612E-5F95-4476-8A49-87828F52ED13}"/>
    <cellStyle name="常规 181" xfId="23985" xr:uid="{B71A2B5E-EA8F-4C74-96EA-6C5D7C107886}"/>
    <cellStyle name="常规 182" xfId="23986" xr:uid="{153E7480-25A1-42DD-9C6F-EA29F2DAC2ED}"/>
    <cellStyle name="常规 183" xfId="23987" xr:uid="{34E7A18E-FFAD-48C2-BE10-A1CBD18A5710}"/>
    <cellStyle name="常规 184" xfId="23988" xr:uid="{C6217027-7441-4FC3-A8F3-24C03CA4007A}"/>
    <cellStyle name="常规 184 2" xfId="23989" xr:uid="{E63ACB61-488B-459D-8D70-EBDEFDA127FE}"/>
    <cellStyle name="常规 185" xfId="23990" xr:uid="{A72E8934-0717-4293-9880-165BF482EED4}"/>
    <cellStyle name="常规 186" xfId="23991" xr:uid="{57044C30-7E32-4886-9F49-12D11C73D6A6}"/>
    <cellStyle name="常规 187" xfId="23992" xr:uid="{1185D2D4-BA40-402C-8365-48E07EF895F6}"/>
    <cellStyle name="常规 188" xfId="23993" xr:uid="{6FF18C01-D79C-44BD-BB6A-9BBC476A531D}"/>
    <cellStyle name="常规 189" xfId="23994" xr:uid="{2CA053F0-9507-4A3F-9FAD-18D9B803FA25}"/>
    <cellStyle name="常规 19" xfId="6674" xr:uid="{B08CC0DD-C207-453E-B3D3-54FC6F15C1CD}"/>
    <cellStyle name="常规 19 2" xfId="5990" xr:uid="{08F5804C-B909-452B-ACD0-AB3EF34A382C}"/>
    <cellStyle name="常规 19 2 2" xfId="10896" xr:uid="{5BDA5C32-92A1-44AA-983E-669CE413260F}"/>
    <cellStyle name="常规 19 2 3" xfId="27481" xr:uid="{0084D411-B97E-4B5A-A3C6-20C269C7F262}"/>
    <cellStyle name="常规 19 3" xfId="5993" xr:uid="{F9293583-1685-4FE5-9B31-9D4A0CED7F25}"/>
    <cellStyle name="常规 19 3 2" xfId="23995" xr:uid="{67793E6D-0311-4EE9-A02C-BB842E670ADD}"/>
    <cellStyle name="常规 19 4" xfId="10895" xr:uid="{7BD363C2-9FF5-4669-9D16-3FF357033AA9}"/>
    <cellStyle name="常规 19 5" xfId="13509" xr:uid="{4A512DE9-E66B-4A85-8C8D-EBA7ED8EF2B8}"/>
    <cellStyle name="常规 190" xfId="14333" xr:uid="{6EF46623-B717-4909-A35B-9F30DF892BC5}"/>
    <cellStyle name="常规 191" xfId="23996" xr:uid="{D2324E42-B02A-4BDA-B47A-EFCBDAFEB9A1}"/>
    <cellStyle name="常规 192" xfId="23997" xr:uid="{09E413E6-DC5F-41A0-97F4-06B583C508A0}"/>
    <cellStyle name="常规 193" xfId="23998" xr:uid="{E16F39E2-1ACE-43B3-960A-95BCAF4F0E46}"/>
    <cellStyle name="常规 194" xfId="23999" xr:uid="{06B16336-40B4-40A3-9BEA-6E83C8936186}"/>
    <cellStyle name="常规 195" xfId="24000" xr:uid="{32F00DAC-3772-488B-B921-EB71ADDF9260}"/>
    <cellStyle name="常规 196" xfId="24001" xr:uid="{7F7E34B7-F965-44A8-9ADF-C3412FD208FA}"/>
    <cellStyle name="常规 197" xfId="24002" xr:uid="{9D913544-903D-407F-A3EE-EA32149C4C44}"/>
    <cellStyle name="常规 198" xfId="24003" xr:uid="{7388DB54-DA60-4247-AA91-4D02E87F1A96}"/>
    <cellStyle name="常规 199" xfId="24004" xr:uid="{3041DF91-45ED-4EC3-BF12-00637F8E2781}"/>
    <cellStyle name="常规 2" xfId="15" xr:uid="{00000000-0005-0000-0000-000008000000}"/>
    <cellStyle name="常规 2 10" xfId="6677" xr:uid="{C4BDD4B4-6BD0-4AFA-BEE4-E4D8F1F621E1}"/>
    <cellStyle name="常规 2 10 2" xfId="6678" xr:uid="{DE24E72E-D8C1-45F6-A5F0-25C4AB3D8E46}"/>
    <cellStyle name="常规 2 10 2 2" xfId="10899" xr:uid="{AA678A21-B5F7-420E-865E-F2896481E169}"/>
    <cellStyle name="常规 2 10 2 2 2" xfId="27758" xr:uid="{8CBC9316-C745-4A23-BA00-207D7AA37C8B}"/>
    <cellStyle name="常规 2 10 3" xfId="10900" xr:uid="{25A133C3-2504-44F8-AC47-02C8FFA8A50B}"/>
    <cellStyle name="常规 2 10 4" xfId="10898" xr:uid="{E4E913AE-0E88-4A7D-BAF5-3E982980268B}"/>
    <cellStyle name="常规 2 10 5" xfId="24006" xr:uid="{DCC31B75-0A61-4597-8883-76130469B4BB}"/>
    <cellStyle name="常规 2 11" xfId="6679" xr:uid="{9B06DB62-33DF-40F2-9E5A-9A72BE3DA4B8}"/>
    <cellStyle name="常规 2 11 2" xfId="6680" xr:uid="{BBD93109-E5CB-4919-A824-9655A12DE750}"/>
    <cellStyle name="常规 2 11 2 2" xfId="10902" xr:uid="{581B6C10-B0B9-4B7A-81ED-1CC8C31E6F85}"/>
    <cellStyle name="常规 2 11 3" xfId="10903" xr:uid="{C383FCD9-565B-4C75-84D1-0AC49904C495}"/>
    <cellStyle name="常规 2 11 4" xfId="10901" xr:uid="{53C19326-7585-4F54-A72C-7FF6CB757312}"/>
    <cellStyle name="常规 2 12" xfId="6682" xr:uid="{12E11E65-81AF-4B6B-B952-4DFF9219AA2E}"/>
    <cellStyle name="常规 2 12 2" xfId="6683" xr:uid="{5759251D-3EBD-4BDA-B5B3-FE24018057BD}"/>
    <cellStyle name="常规 2 12 2 2" xfId="10905" xr:uid="{4B0F5D73-3F05-4029-8793-7432784AB501}"/>
    <cellStyle name="常规 2 12 3" xfId="10906" xr:uid="{CE9D074B-D35C-4A8D-A8B2-3CC06641A8C7}"/>
    <cellStyle name="常规 2 12 4" xfId="10904" xr:uid="{3458A999-3513-4A76-A125-249DDF124DD4}"/>
    <cellStyle name="常规 2 12 5" xfId="24007" xr:uid="{F9EB35C2-A061-4E4C-B9CA-1360D6EFCE71}"/>
    <cellStyle name="常规 2 13" xfId="6684" xr:uid="{1717E51F-CFEB-44F9-A6B8-DB076BD421DE}"/>
    <cellStyle name="常规 2 13 2" xfId="6685" xr:uid="{53CB80E7-54EF-4AC5-A4A0-F8F106C1270F}"/>
    <cellStyle name="常规 2 13 2 2" xfId="10908" xr:uid="{C714068B-AC5A-416F-8BFF-77AFC898D24D}"/>
    <cellStyle name="常规 2 13 3" xfId="10907" xr:uid="{065C7B48-2CCF-448A-B71E-FE0A397F901A}"/>
    <cellStyle name="常规 2 14" xfId="6686" xr:uid="{4DB635BF-01A7-4619-B39C-2FF3ED07AF14}"/>
    <cellStyle name="常规 2 14 2" xfId="6687" xr:uid="{B163D6D3-1274-4613-AD6B-082C94D1472C}"/>
    <cellStyle name="常规 2 14 3" xfId="10909" xr:uid="{DC28FE7B-34A1-4800-986F-46420C295D57}"/>
    <cellStyle name="常规 2 15" xfId="6688" xr:uid="{F9CF203F-098A-4B5F-BA81-6ADD24573C3D}"/>
    <cellStyle name="常规 2 15 2" xfId="6690" xr:uid="{08CB7596-E1AF-4CC3-82C8-2BD798021171}"/>
    <cellStyle name="常规 2 15 3" xfId="10910" xr:uid="{83631370-B228-43D3-A74E-D6A598387C00}"/>
    <cellStyle name="常规 2 16" xfId="6691" xr:uid="{3D9E5E0B-2D0B-4E46-BBDD-76EFAADEF728}"/>
    <cellStyle name="常规 2 16 2" xfId="6692" xr:uid="{64BA8640-7AB1-4F8B-A6D1-FB412F65EBBD}"/>
    <cellStyle name="常规 2 16 3" xfId="10911" xr:uid="{701D9C22-85EE-4663-A17A-CC4634CFE6E2}"/>
    <cellStyle name="常规 2 17" xfId="6693" xr:uid="{4827238C-2533-46A4-8BBD-320D08F54B87}"/>
    <cellStyle name="常规 2 17 2" xfId="6694" xr:uid="{A8B1694F-4DE7-4FE7-BB40-82EFE1A9D56C}"/>
    <cellStyle name="常规 2 17 3" xfId="10912" xr:uid="{3EA18C5B-AB3B-445A-8FAE-74337F8DFA41}"/>
    <cellStyle name="常规 2 18" xfId="6695" xr:uid="{ADC92A65-2A41-49A6-8A9E-B3EE9F9D0A8A}"/>
    <cellStyle name="常规 2 18 2" xfId="6696" xr:uid="{41845222-EF31-4FB9-BFD3-8C7E63C9AD88}"/>
    <cellStyle name="常规 2 18 3" xfId="10913" xr:uid="{9ECC3A04-70FD-4539-9479-617A4B281695}"/>
    <cellStyle name="常规 2 19" xfId="6697" xr:uid="{FCB7CB86-E14A-4CA9-A8D1-801B3903362A}"/>
    <cellStyle name="常规 2 19 2" xfId="10914" xr:uid="{276CF468-D0CA-429A-951C-FAA447D9B494}"/>
    <cellStyle name="常规 2 2" xfId="9" xr:uid="{00000000-0005-0000-0000-000009000000}"/>
    <cellStyle name="常规 2 2 10" xfId="6699" xr:uid="{9281BA62-CE03-44AE-816A-CC6CECFCF4CF}"/>
    <cellStyle name="常规 2 2 10 2" xfId="24009" xr:uid="{7C77757B-EC76-4AAE-81D3-D32B856BE16F}"/>
    <cellStyle name="常规 2 2 11" xfId="6700" xr:uid="{117977C3-0FF3-4D57-A3C3-1F5DC58239E0}"/>
    <cellStyle name="常规 2 2 12" xfId="6701" xr:uid="{8932F296-9A14-4580-85E2-C31F90CBCDBD}"/>
    <cellStyle name="常规 2 2 13" xfId="6702" xr:uid="{1AE7ADC8-212D-4F96-837F-751C0BC09928}"/>
    <cellStyle name="常规 2 2 14" xfId="6704" xr:uid="{B9927D62-5C55-4667-85D0-9FE4E50D3CF1}"/>
    <cellStyle name="常规 2 2 15" xfId="6705" xr:uid="{0F83BA86-A6D3-48F5-AD53-384356C7C4F3}"/>
    <cellStyle name="常规 2 2 16" xfId="6706" xr:uid="{DA83FF38-C59A-42C5-BE46-A125F4177F53}"/>
    <cellStyle name="常规 2 2 17" xfId="6707" xr:uid="{12DF7DF0-0B0A-45BA-B964-82A279501273}"/>
    <cellStyle name="常规 2 2 18" xfId="24008" xr:uid="{A507319D-BF22-4721-82A3-F579AE8E9AED}"/>
    <cellStyle name="常规 2 2 19" xfId="6698" xr:uid="{65DD1BF8-CC7A-4742-9463-69BED2B200F4}"/>
    <cellStyle name="常规 2 2 2" xfId="6708" xr:uid="{1E2B0647-F9EB-45AD-9F83-5D320F171291}"/>
    <cellStyle name="常规 2 2 2 10" xfId="6709" xr:uid="{022FB33C-9F6E-420C-8B6C-81A996689101}"/>
    <cellStyle name="常规 2 2 2 11" xfId="6710" xr:uid="{3923731F-D50C-42BA-AFF5-E17467AE76BD}"/>
    <cellStyle name="常规 2 2 2 12" xfId="6711" xr:uid="{B862CEE1-360F-4BEA-86E7-6646BD6A3DAD}"/>
    <cellStyle name="常规 2 2 2 13" xfId="6712" xr:uid="{81464584-3B64-4A69-B439-A27D418095A1}"/>
    <cellStyle name="常规 2 2 2 14" xfId="6713" xr:uid="{B115DEE3-ADE2-4231-922C-BD85D1286AC9}"/>
    <cellStyle name="常规 2 2 2 15" xfId="6714" xr:uid="{0F44E643-ED08-4114-8A28-3CAB84806EA7}"/>
    <cellStyle name="常规 2 2 2 16" xfId="2709" xr:uid="{A1A0B609-A4E8-4D90-8B04-765CC2A5265A}"/>
    <cellStyle name="常规 2 2 2 17" xfId="6715" xr:uid="{E92236D0-4567-4400-A215-4857FEEA20E0}"/>
    <cellStyle name="常规 2 2 2 18" xfId="27759" xr:uid="{B8758473-0FA3-4113-AEB1-B0C0EDE43BD4}"/>
    <cellStyle name="常规 2 2 2 2" xfId="6716" xr:uid="{3AB050A2-DAFE-4312-9454-905B6F757D8C}"/>
    <cellStyle name="常规 2 2 2 2 2" xfId="17" xr:uid="{00000000-0005-0000-0000-00000A000000}"/>
    <cellStyle name="常规 2 2 2 2 2 2" xfId="6718" xr:uid="{97C70121-F90D-4843-8F8B-FC3867C7D3F8}"/>
    <cellStyle name="常规 2 2 2 2 2 2 2" xfId="4504" xr:uid="{3E2DAC38-A122-44C1-A353-FA25B9B4F1B8}"/>
    <cellStyle name="常规 2 2 2 2 2 2 2 2" xfId="4506" xr:uid="{01C88E8D-2C75-41F4-9591-04AEEAE7B8D9}"/>
    <cellStyle name="常规 2 2 2 2 2 3" xfId="6719" xr:uid="{175869D5-8638-47D6-B3F9-70516A5C0CB5}"/>
    <cellStyle name="常规 2 2 2 2 2 4" xfId="6720" xr:uid="{1E1069B2-49BE-4334-B5DC-1325932D09D8}"/>
    <cellStyle name="常规 2 2 2 2 2 5" xfId="6717" xr:uid="{E1A2BA5D-8205-49A7-948C-B974EAF1AAF3}"/>
    <cellStyle name="常规 2 2 2 2 3" xfId="6721" xr:uid="{5FAF0BCC-D4BF-46A1-975B-D42246410E0C}"/>
    <cellStyle name="常规 2 2 2 2 3 2" xfId="6722" xr:uid="{8A8FD822-B9D8-457B-B21A-24AFA1E49B66}"/>
    <cellStyle name="常规 2 2 2 2 4" xfId="27760" xr:uid="{09FF1E7D-FA8C-4E51-BC18-7B7D52EBD102}"/>
    <cellStyle name="常规 2 2 2 2 4 2" xfId="6723" xr:uid="{BFF59A2D-8237-4640-A38C-4DEC7CB4009B}"/>
    <cellStyle name="常规 2 2 2 3" xfId="6724" xr:uid="{523EF1D9-1D57-42F2-8930-D69B4697D91A}"/>
    <cellStyle name="常规 2 2 2 3 2" xfId="24010" xr:uid="{6D1E0AB0-B6FE-43AC-946D-794CF4D650D8}"/>
    <cellStyle name="常规 2 2 2 4" xfId="6725" xr:uid="{45870D15-4FC4-4097-8FB5-9A56504440E7}"/>
    <cellStyle name="常规 2 2 2 4 2" xfId="6726" xr:uid="{A3224816-B3EF-435F-BBA9-CB1E6F3B959D}"/>
    <cellStyle name="常规 2 2 2 4 2 2" xfId="6727" xr:uid="{7599C797-1630-488E-BD8F-998347048BF4}"/>
    <cellStyle name="常规 2 2 2 4_动力部" xfId="24011" xr:uid="{BDBF62D5-0183-428B-A111-0E69B5AE3D7C}"/>
    <cellStyle name="常规 2 2 2 5" xfId="6728" xr:uid="{19D5F84B-3395-4143-A31A-4451E4B6ECBD}"/>
    <cellStyle name="常规 2 2 2 6" xfId="6729" xr:uid="{1F6E76F1-D843-48F3-84FB-420137F58CBD}"/>
    <cellStyle name="常规 2 2 2 6 2" xfId="24012" xr:uid="{12E5AC2B-B991-4EE1-8CFD-1E63791BF868}"/>
    <cellStyle name="常规 2 2 2 6_动力部" xfId="24013" xr:uid="{4B3E77D6-32B3-4E2C-A17C-8D1A73C42708}"/>
    <cellStyle name="常规 2 2 2 7" xfId="6730" xr:uid="{7FFD83A0-EE37-418A-963D-FAE7A6988379}"/>
    <cellStyle name="常规 2 2 2 8" xfId="6731" xr:uid="{7A10EA2D-2225-4B92-813C-68D999F4FF73}"/>
    <cellStyle name="常规 2 2 2 9" xfId="6732" xr:uid="{479C7D95-F40C-4B89-8E2F-5759B83FD3C8}"/>
    <cellStyle name="常规 2 2 2_6300工厂标准成本模板（11-23）运用新的径锻机机时产量" xfId="10915" xr:uid="{EA68FAE5-BEDC-49B4-890F-EC13812DBAC1}"/>
    <cellStyle name="常规 2 2 3" xfId="6733" xr:uid="{C6AC59C1-55CB-469C-AF44-8059E0204062}"/>
    <cellStyle name="常规 2 2 3 2" xfId="6734" xr:uid="{CA103716-A070-40D7-94A5-053268603041}"/>
    <cellStyle name="常规 2 2 3 2 2" xfId="6735" xr:uid="{C4146C22-696A-4FE5-8249-FDF5419EB9E8}"/>
    <cellStyle name="常规 2 2 3 2 2 2" xfId="6736" xr:uid="{4B8100C5-66AA-4CB7-8F97-B68339D18086}"/>
    <cellStyle name="常规 2 2 3 2 2 2 2" xfId="6737" xr:uid="{5C84D2B5-516D-40CE-B627-99A0AE5DFA30}"/>
    <cellStyle name="常规 2 2 3 2 3" xfId="6738" xr:uid="{EE23CB6F-B0E9-4244-BE0D-42ECDAAB0A43}"/>
    <cellStyle name="常规 2 2 3 3" xfId="6739" xr:uid="{1D6ACCA8-0628-4262-929D-EB8FB60ECD1B}"/>
    <cellStyle name="常规 2 2 3 3 2" xfId="6740" xr:uid="{3228D0FD-F11C-4C4F-ABE1-6D1C2CF69644}"/>
    <cellStyle name="常规 2 2 3 4" xfId="27482" xr:uid="{73C4025A-15C4-45B5-AAA2-623D0F207B3A}"/>
    <cellStyle name="常规 2 2 3 5" xfId="27761" xr:uid="{41B4784C-8857-44C9-AA21-121E9325E3CF}"/>
    <cellStyle name="常规 2 2 3_动力部" xfId="24014" xr:uid="{71622D59-7E97-4F15-B568-F118289C766C}"/>
    <cellStyle name="常规 2 2 4" xfId="6741" xr:uid="{3DFB6266-7930-4DC5-B933-DCDD19BF4957}"/>
    <cellStyle name="常规 2 2 4 2" xfId="6742" xr:uid="{2F76FB29-FF67-4D29-AB95-37C8880FCDE3}"/>
    <cellStyle name="常规 2 2 4 2 2" xfId="6743" xr:uid="{7EC431C7-77C8-4AB2-B8B8-1B1F95ECAD12}"/>
    <cellStyle name="常规 2 2 4 2 3" xfId="24016" xr:uid="{3C786C5C-3726-49F9-A563-E62322B57082}"/>
    <cellStyle name="常规 2 2 4 3" xfId="24017" xr:uid="{E0F2F3A8-DDA6-401A-AC58-7F9C3446EF95}"/>
    <cellStyle name="常规 2 2 4 4" xfId="24015" xr:uid="{BC2BCD41-FB44-4773-887A-B1556202ABDD}"/>
    <cellStyle name="常规 2 2 4 5" xfId="27483" xr:uid="{AB532307-EC09-486B-9BC1-8D499D0AC709}"/>
    <cellStyle name="常规 2 2 5" xfId="6744" xr:uid="{C595412C-956E-49FE-8F9E-F8C54055BD74}"/>
    <cellStyle name="常规 2 2 5 2" xfId="10916" xr:uid="{6CED34E7-8891-4181-BFAA-04A9DF7E7B75}"/>
    <cellStyle name="常规 2 2 5 2 2" xfId="24019" xr:uid="{F4C9134B-5A27-4D91-A67E-A6DF9A8562B0}"/>
    <cellStyle name="常规 2 2 5 3" xfId="24018" xr:uid="{429CC82C-1591-4D20-901A-0D103EB9C5BA}"/>
    <cellStyle name="常规 2 2 5 4" xfId="27484" xr:uid="{3913F4E0-90D5-43DF-A92A-DE3C4C9951DD}"/>
    <cellStyle name="常规 2 2 6" xfId="6745" xr:uid="{648BA1A7-8D3C-4683-90E8-273091BDEE5F}"/>
    <cellStyle name="常规 2 2 6 2" xfId="24021" xr:uid="{50ABEF56-2B48-44C7-A229-4FE2DF969F84}"/>
    <cellStyle name="常规 2 2 6 3" xfId="24020" xr:uid="{C3D402C9-F8FB-4C79-80D9-9565F6C78371}"/>
    <cellStyle name="常规 2 2 6 4" xfId="27485" xr:uid="{E12EBF89-E169-4725-82DD-453077DC8F82}"/>
    <cellStyle name="常规 2 2 7" xfId="6746" xr:uid="{C3FEB668-5F0F-45B2-80F9-60C31080AC15}"/>
    <cellStyle name="常规 2 2 7 2" xfId="24023" xr:uid="{3C5D7478-4C43-4FA8-8579-B371D0F17BDC}"/>
    <cellStyle name="常规 2 2 7 3" xfId="24022" xr:uid="{3E72C0DF-94E2-43C0-9745-B89EE3B396F0}"/>
    <cellStyle name="常规 2 2 7 4" xfId="27486" xr:uid="{1EBDC265-3659-4B56-99DD-25A78EEE8DA3}"/>
    <cellStyle name="常规 2 2 8" xfId="6747" xr:uid="{970BB970-27E7-40A5-9619-9F156E00019C}"/>
    <cellStyle name="常规 2 2 8 2" xfId="24025" xr:uid="{6C584F6A-EF4B-4C61-83DA-726390EAD04C}"/>
    <cellStyle name="常规 2 2 8 3" xfId="24024" xr:uid="{DD2E01E1-B788-4F50-AE1B-26FE8BB20BA8}"/>
    <cellStyle name="常规 2 2 8 4" xfId="27487" xr:uid="{B5334F49-23BA-48F0-8664-0FD4D159A606}"/>
    <cellStyle name="常规 2 2 9" xfId="6748" xr:uid="{0DEC63C5-14CE-465F-94E3-85796A834B2C}"/>
    <cellStyle name="常规 2 2 9 2" xfId="24027" xr:uid="{0B29593B-BDC5-40C0-8E5F-DCAFC7D1D226}"/>
    <cellStyle name="常规 2 2 9 3" xfId="24026" xr:uid="{4BF2C3A5-FD2F-4CFE-B1A2-BCB3E45DDE11}"/>
    <cellStyle name="常规 2 2_2017年12月成本报表-峨口" xfId="24028" xr:uid="{E2B35051-48FC-42E6-B5EE-129C5DF560BA}"/>
    <cellStyle name="常规 2 20" xfId="6689" xr:uid="{622A6E8B-556E-4FE3-882C-5439A28C2498}"/>
    <cellStyle name="常规 2 20 2" xfId="10917" xr:uid="{4CE4FCC7-9719-4EF1-BCDE-F9A07A95397E}"/>
    <cellStyle name="常规 2 21" xfId="10918" xr:uid="{8EDAE428-B517-4552-9B3D-5F2E1A1E5000}"/>
    <cellStyle name="常规 2 22" xfId="10919" xr:uid="{4C93A455-EB08-4AE1-886B-2D69E4A4FF72}"/>
    <cellStyle name="常规 2 23" xfId="10920" xr:uid="{49329016-75E2-4282-878D-95E5077BBBE3}"/>
    <cellStyle name="常规 2 24" xfId="10921" xr:uid="{97638AD1-89C7-445D-A58E-A03C72FD54A6}"/>
    <cellStyle name="常规 2 25" xfId="10897" xr:uid="{CB8F11CD-BD06-4140-91DC-FADAB6A38069}"/>
    <cellStyle name="常规 2 26" xfId="13451" xr:uid="{B4BB21E3-CA02-4692-A6A4-B9DF19D7B134}"/>
    <cellStyle name="常规 2 27" xfId="12864" xr:uid="{86945EB4-14C5-46A0-95B5-5F3E69B2BC24}"/>
    <cellStyle name="常规 2 28" xfId="13432" xr:uid="{EC97DBD7-671C-448A-9D52-63922FE5845F}"/>
    <cellStyle name="常规 2 29" xfId="13442" xr:uid="{0FDFE217-E194-4627-96C6-1EE2679D040B}"/>
    <cellStyle name="常规 2 3" xfId="6749" xr:uid="{BBEBA47C-16A7-4589-9377-1DA8FD3807C8}"/>
    <cellStyle name="常规 2 3 10" xfId="6750" xr:uid="{30991DB6-3DDD-410C-9CAB-CF20BC07709F}"/>
    <cellStyle name="常规 2 3 10 2" xfId="6751" xr:uid="{F1F8D358-8868-4A1B-B678-164F1DFFCAF3}"/>
    <cellStyle name="常规 2 3 11" xfId="6752" xr:uid="{97511007-5CF4-400E-88AF-D5E07CC18D8C}"/>
    <cellStyle name="常规 2 3 11 2" xfId="40" xr:uid="{5C9BD687-D48D-4D1E-B3E5-7EC4A407C307}"/>
    <cellStyle name="常规 2 3 12" xfId="6753" xr:uid="{9AB47A90-F3BA-43A8-A6AC-6CC71644C72E}"/>
    <cellStyle name="常规 2 3 12 2" xfId="6754" xr:uid="{4097B3A4-4E55-497C-B7AC-49373D11B143}"/>
    <cellStyle name="常规 2 3 13" xfId="6755" xr:uid="{A5E56974-421C-44C2-8419-78C8C107FEB6}"/>
    <cellStyle name="常规 2 3 13 2" xfId="6756" xr:uid="{050D6323-FE68-421F-9B25-CDE3AEE7EB42}"/>
    <cellStyle name="常规 2 3 14" xfId="6757" xr:uid="{789D1C7F-4075-4A22-B09F-A6810185262E}"/>
    <cellStyle name="常规 2 3 14 2" xfId="6758" xr:uid="{B05B317F-A2B2-4182-A82F-93777AEC45B9}"/>
    <cellStyle name="常规 2 3 15" xfId="6759" xr:uid="{78A9323E-B499-4E3B-93A3-171890BE4122}"/>
    <cellStyle name="常规 2 3 15 2" xfId="6760" xr:uid="{21B0A1EE-A59F-46FC-A02E-40E654D709BF}"/>
    <cellStyle name="常规 2 3 16" xfId="10922" xr:uid="{B2800061-0EBF-40E6-969E-D867C52EE4C6}"/>
    <cellStyle name="常规 2 3 17" xfId="24029" xr:uid="{7CDE2998-390B-455F-AC53-9FA38A08A03C}"/>
    <cellStyle name="常规 2 3 18" xfId="27488" xr:uid="{7A009AC7-F38F-4015-976B-D12D5819B82C}"/>
    <cellStyle name="常规 2 3 2" xfId="6761" xr:uid="{F0A2BD56-5482-4F62-9746-2B79D75A2AE6}"/>
    <cellStyle name="常规 2 3 2 2" xfId="6762" xr:uid="{CA094544-3872-473D-8B21-2E2B9FF45D56}"/>
    <cellStyle name="常规 2 3 2 2 2" xfId="6763" xr:uid="{FA42EC28-C241-4E7F-B8E1-D3272297098A}"/>
    <cellStyle name="常规 2 3 2 2 2 2" xfId="6764" xr:uid="{216DE726-D1EA-4E32-BDF4-EBDE1803A2BB}"/>
    <cellStyle name="常规 2 3 2 3" xfId="6765" xr:uid="{12D66882-96E3-4336-B4DF-793FA676DF10}"/>
    <cellStyle name="常规 2 3 2 3 2" xfId="10923" xr:uid="{CF8CE53D-E8D3-445C-80BD-C8D46E4F08DA}"/>
    <cellStyle name="常规 2 3 2 3 2 2" xfId="27764" xr:uid="{764AFA96-1FD8-46C4-B08D-FA8C05278ABE}"/>
    <cellStyle name="常规 2 3 2 3 2 3" xfId="27763" xr:uid="{5831BAA7-BD3D-4B22-8BCC-00EE21D828FA}"/>
    <cellStyle name="常规 2 3 2 3 3" xfId="27762" xr:uid="{7C00A20C-B3C6-4B80-9B33-2077FF0AB3B2}"/>
    <cellStyle name="常规 2 3 2 4" xfId="24030" xr:uid="{47F46108-611B-4F8D-8375-5417AB20AC1B}"/>
    <cellStyle name="常规 2 3 2 5" xfId="27489" xr:uid="{70873419-C9F9-4E0F-B524-BCC1B0732258}"/>
    <cellStyle name="常规 2 3 3" xfId="6766" xr:uid="{A51A92F2-6582-4B05-BAD5-2903B83B8E92}"/>
    <cellStyle name="常规 2 3 3 2" xfId="6767" xr:uid="{8556EE65-0656-4B04-AB11-CF4E139434C1}"/>
    <cellStyle name="常规 2 3 3 2 2" xfId="10924" xr:uid="{7C688E1E-89D7-4DB1-A86B-200F090A4766}"/>
    <cellStyle name="常规 2 3 3 2 2 2" xfId="10925" xr:uid="{1394A45D-C051-483C-87CF-DB067659F249}"/>
    <cellStyle name="常规 2 3 3 2 3" xfId="10926" xr:uid="{6087D225-EE47-4370-9A04-8B43A51DC51D}"/>
    <cellStyle name="常规 2 3 3 2_6300工厂标准成本模板（11-23）运用新的径锻机机时产量" xfId="10927" xr:uid="{4841D15D-C2D8-44FF-B67D-D46977496AA9}"/>
    <cellStyle name="常规 2 3 3 3" xfId="10928" xr:uid="{5B716788-E947-4FBB-BAC0-A11AC8AC7AC0}"/>
    <cellStyle name="常规 2 3 3 3 2" xfId="10929" xr:uid="{381CBD14-94E1-41E1-BB30-69F57E14BD3D}"/>
    <cellStyle name="常规 2 3 3 4" xfId="10930" xr:uid="{0DB4D285-96C0-4C8B-B62B-AE5A02683276}"/>
    <cellStyle name="常规 2 3 3 4 2" xfId="10931" xr:uid="{79604E6F-BEAF-4F7D-8980-9715DB4BE919}"/>
    <cellStyle name="常规 2 3 3 5" xfId="24031" xr:uid="{9A0E9940-8B6D-419B-8694-958FA9D545B0}"/>
    <cellStyle name="常规 2 3 3 6" xfId="27240" xr:uid="{D53368E6-A21D-44B8-94BF-4C36C5D10D1A}"/>
    <cellStyle name="常规 2 3 3_径锻费用模板" xfId="10932" xr:uid="{B954D80A-11F7-4322-A908-DA57AD2C216C}"/>
    <cellStyle name="常规 2 3 4" xfId="5809" xr:uid="{3507445C-27D1-4023-9008-14CA88729554}"/>
    <cellStyle name="常规 2 3 4 2" xfId="6768" xr:uid="{624C129B-6209-46C9-B831-05DD1D48B3B0}"/>
    <cellStyle name="常规 2 3 5" xfId="6769" xr:uid="{5C419D3F-9783-463D-A632-15D7323DB5AF}"/>
    <cellStyle name="常规 2 3 5 2" xfId="4420" xr:uid="{96C47C13-4B54-4B5F-A1CD-330D23FE4718}"/>
    <cellStyle name="常规 2 3 6" xfId="6770" xr:uid="{F168122F-A9A9-40FD-8E6A-C15CAD39690C}"/>
    <cellStyle name="常规 2 3 6 2" xfId="2540" xr:uid="{3D4C2640-2899-478B-A640-9397BA1722B9}"/>
    <cellStyle name="常规 2 3 7" xfId="6771" xr:uid="{9F35347A-ED13-41B0-B197-6C88B135E882}"/>
    <cellStyle name="常规 2 3 7 2" xfId="2557" xr:uid="{0B2080C7-205C-4A84-9F84-35496C19DD3F}"/>
    <cellStyle name="常规 2 3 8" xfId="6772" xr:uid="{3110E616-8534-4B92-A6D7-4747789A677A}"/>
    <cellStyle name="常规 2 3 8 2" xfId="2579" xr:uid="{E8F2DBF1-5B00-4065-AD89-24F2B7011289}"/>
    <cellStyle name="常规 2 3 9" xfId="6773" xr:uid="{BD625114-D617-4DC9-9F91-51AF6D4A8829}"/>
    <cellStyle name="常规 2 3 9 2" xfId="175" xr:uid="{0ACDD105-3A18-4D0A-B087-D9199A8F4CA9}"/>
    <cellStyle name="常规 2 3_动力部" xfId="24032" xr:uid="{C0A003D6-7E0D-4EC5-8D83-0CE00D0D71C4}"/>
    <cellStyle name="常规 2 30" xfId="12787" xr:uid="{7A96ECD0-C09F-45AF-9EBF-AA5182E75B7F}"/>
    <cellStyle name="常规 2 31" xfId="12800" xr:uid="{895AB548-9955-4F2A-86E1-7124F5E44E07}"/>
    <cellStyle name="常规 2 32" xfId="12197" xr:uid="{64A84B7B-C0FE-4B15-8444-63B5FAEF319D}"/>
    <cellStyle name="常规 2 33" xfId="14334" xr:uid="{C354F480-7D65-4197-8EF0-82D38C6F0040}"/>
    <cellStyle name="常规 2 34" xfId="14335" xr:uid="{11985304-7F22-4C21-986F-37A0D7C8D4AB}"/>
    <cellStyle name="常规 2 35" xfId="12660" xr:uid="{FD8A3EC5-529D-4F18-AD55-E04B83DE1339}"/>
    <cellStyle name="常规 2 36" xfId="24005" xr:uid="{9661AC0C-521A-4A74-A033-476D94BF9AC4}"/>
    <cellStyle name="常规 2 37" xfId="6676" xr:uid="{18D0ECE1-3B28-4BC7-9E5B-1ED22AD646B2}"/>
    <cellStyle name="常规 2 4" xfId="6774" xr:uid="{9D7776AE-4C3E-4A1C-A56C-F3EE953D8066}"/>
    <cellStyle name="常规 2 4 2" xfId="10934" xr:uid="{7C36962A-14AB-4A64-A5C4-3EBF65DD7B42}"/>
    <cellStyle name="常规 2 4 2 2" xfId="24035" xr:uid="{1617670A-E38E-4978-BDD1-0D67C3566A47}"/>
    <cellStyle name="常规 2 4 2 3" xfId="24034" xr:uid="{126679BB-E27C-41C9-A784-34D091D4B31F}"/>
    <cellStyle name="常规 2 4 3" xfId="10935" xr:uid="{BFAEBB45-D4CC-4F21-95C8-CE192AAFE4AA}"/>
    <cellStyle name="常规 2 4 4" xfId="10933" xr:uid="{8358CEF8-A9BB-485D-9A23-C601BF0E9EE8}"/>
    <cellStyle name="常规 2 4 5" xfId="24033" xr:uid="{0EB7705A-389F-4101-B700-B9CBDA660585}"/>
    <cellStyle name="常规 2 4 6" xfId="27765" xr:uid="{DC21AC3C-6AE2-4985-89B2-E6BEF01F27DB}"/>
    <cellStyle name="常规 2 4_2017年12月成本报表-峨口" xfId="24036" xr:uid="{DDEEA444-EDB3-4AB7-90BE-17A0AAC8DD4F}"/>
    <cellStyle name="常规 2 5" xfId="6775" xr:uid="{EAA5BE56-BD08-451C-9943-01CE136DB9C0}"/>
    <cellStyle name="常规 2 5 2" xfId="10937" xr:uid="{9704979E-C05E-4B06-8961-D4D65C97C1FD}"/>
    <cellStyle name="常规 2 5 3" xfId="10938" xr:uid="{B902FAC6-6B55-4803-864E-46E98133AF38}"/>
    <cellStyle name="常规 2 5 3 2" xfId="24038" xr:uid="{34CC6035-CEE4-4856-97AF-A947663713E8}"/>
    <cellStyle name="常规 2 5 4" xfId="10936" xr:uid="{00CE231E-25E0-405E-BD4B-4D9988635604}"/>
    <cellStyle name="常规 2 5 5" xfId="24037" xr:uid="{BAE58840-6831-4096-ADD8-61105056A808}"/>
    <cellStyle name="常规 2 6" xfId="6776" xr:uid="{B15C600C-286B-4211-9511-47C3AA966D02}"/>
    <cellStyle name="常规 2 6 2" xfId="6777" xr:uid="{765E7A6F-D999-41C1-B8BA-70C3ABC7F7F2}"/>
    <cellStyle name="常规 2 6 2 2" xfId="10940" xr:uid="{68A2CCBB-2721-400A-A883-2B5F54F1F018}"/>
    <cellStyle name="常规 2 6 3" xfId="10941" xr:uid="{8BAB320E-70D1-4355-942C-45798545AA64}"/>
    <cellStyle name="常规 2 6 3 2" xfId="24040" xr:uid="{21163262-AEF1-494E-BBDE-8B96FD9E9861}"/>
    <cellStyle name="常规 2 6 4" xfId="10939" xr:uid="{4154B4F7-B980-493B-9702-ABEB363E7011}"/>
    <cellStyle name="常规 2 6 5" xfId="24039" xr:uid="{6B5BD122-7D04-41D1-8FEE-E107B8EE6935}"/>
    <cellStyle name="常规 2 6 6" xfId="27490" xr:uid="{C4A2035D-098A-4E44-BEE7-C2426197FC1E}"/>
    <cellStyle name="常规 2 7" xfId="6778" xr:uid="{F78E1C16-C70E-4541-957E-F5ABDA03E638}"/>
    <cellStyle name="常规 2 7 2" xfId="6779" xr:uid="{B982333B-F613-44C2-A9C9-5BBE81D1F3CA}"/>
    <cellStyle name="常规 2 7 2 2" xfId="10943" xr:uid="{7BE5DF1C-3B95-40DA-B592-FEE2268EA0C4}"/>
    <cellStyle name="常规 2 7 3" xfId="10944" xr:uid="{2A53082F-C736-46BC-8370-DC2EA7644115}"/>
    <cellStyle name="常规 2 7 4" xfId="10942" xr:uid="{32A9B706-7590-49CB-893A-A0E3D1EB2F1B}"/>
    <cellStyle name="常规 2 8" xfId="6780" xr:uid="{A7BED099-8363-42F9-BF98-9ACAA08C4E87}"/>
    <cellStyle name="常规 2 8 2" xfId="10946" xr:uid="{F81BC896-E270-43DF-B670-C9F540754C29}"/>
    <cellStyle name="常规 2 8 3" xfId="10947" xr:uid="{F858E7D8-5482-4039-93DC-7A6EB135C755}"/>
    <cellStyle name="常规 2 8 4" xfId="10945" xr:uid="{7916D0D6-039F-46AE-9DDF-35DCFB433389}"/>
    <cellStyle name="常规 2 9" xfId="6782" xr:uid="{299448EE-556B-4059-9E8E-8328D998F205}"/>
    <cellStyle name="常规 2 9 2" xfId="6784" xr:uid="{A18C047C-D8DC-44F1-876E-93BA253D9F75}"/>
    <cellStyle name="常规 2 9 2 2" xfId="10949" xr:uid="{2BAB5B64-E7DA-4D0A-8292-18FF9E54F3ED}"/>
    <cellStyle name="常规 2 9 3" xfId="10950" xr:uid="{CC4C80AC-8DBA-4210-BBDA-EB61DF62CDD9}"/>
    <cellStyle name="常规 2 9 4" xfId="10948" xr:uid="{268A800E-7438-4CE2-AD6C-81A5DA94449D}"/>
    <cellStyle name="常规 2 9 5" xfId="24041" xr:uid="{F23102C2-83BF-4B19-B696-0D0BD08D8FE3}"/>
    <cellStyle name="常规 2_111" xfId="24042" xr:uid="{8E620F21-CDB2-42CD-AA52-C0E7E3FB1E46}"/>
    <cellStyle name="常规 20" xfId="6666" xr:uid="{2C8E9016-B3B8-4115-98EB-223AE1F9331B}"/>
    <cellStyle name="常规 20 2" xfId="5945" xr:uid="{2D0BDF86-3666-4695-A01D-8A16814A68D7}"/>
    <cellStyle name="常规 20 2 2" xfId="10952" xr:uid="{CD630459-BC33-47A6-8D8A-E103B01A4E34}"/>
    <cellStyle name="常规 20 2 3" xfId="27491" xr:uid="{90D72094-0CFE-47F1-8E79-6CFF6DD10E59}"/>
    <cellStyle name="常规 20 3" xfId="10951" xr:uid="{5E4C9877-CA57-4A66-A195-CAF54CF2DB8E}"/>
    <cellStyle name="常规 20 3 2" xfId="24043" xr:uid="{B39E6651-959A-402A-A945-DFEE2A0DDADA}"/>
    <cellStyle name="常规 20 4" xfId="13510" xr:uid="{8A313B3E-B816-4501-A1F6-E3C906F65AFC}"/>
    <cellStyle name="常规 200" xfId="24044" xr:uid="{A7B33414-823F-480D-96C3-80BBED853663}"/>
    <cellStyle name="常规 201" xfId="24045" xr:uid="{A9F26E38-190F-4B0D-9092-A499BDDCA007}"/>
    <cellStyle name="常规 202" xfId="24046" xr:uid="{ACB1814C-0504-4988-9434-CE6880A3BA48}"/>
    <cellStyle name="常规 203" xfId="24047" xr:uid="{63D16AC0-F27C-458B-BAB9-D52A4E0F849F}"/>
    <cellStyle name="常规 204" xfId="24048" xr:uid="{9D5A2DF2-FD3F-4FB5-A1D3-B113BA742DA8}"/>
    <cellStyle name="常规 205" xfId="24049" xr:uid="{1A06FCCB-25D1-498D-8247-7051D332A53C}"/>
    <cellStyle name="常规 206" xfId="24050" xr:uid="{B1A3B29F-5091-45C1-BA1E-BA36BCEFA77A}"/>
    <cellStyle name="常规 207" xfId="24051" xr:uid="{65F8BFC6-64C8-4FE6-9B82-DFE25770C09F}"/>
    <cellStyle name="常规 208" xfId="24052" xr:uid="{354CE8DA-F47B-43B9-91C8-36FDB5AFFABA}"/>
    <cellStyle name="常规 209" xfId="24053" xr:uid="{2BA60934-0EE4-4F56-998B-DE22DBEEFF77}"/>
    <cellStyle name="常规 21" xfId="6668" xr:uid="{C76D22D2-9F52-4F80-8DC9-6544F56E360B}"/>
    <cellStyle name="常规 21 2" xfId="10953" xr:uid="{7655D043-511A-4DA5-85BD-411F06862699}"/>
    <cellStyle name="常规 21 2 2" xfId="24056" xr:uid="{20A4EF93-93A0-4253-A061-77C3E03AA231}"/>
    <cellStyle name="常规 21 2 3" xfId="24055" xr:uid="{8F9F92AC-F200-4367-9E86-781F621A1D59}"/>
    <cellStyle name="常规 21 2 4" xfId="27493" xr:uid="{74C1B61B-536B-4B3D-BECF-045044A285ED}"/>
    <cellStyle name="常规 21 3" xfId="13511" xr:uid="{C71FBCAC-4F5D-4EC6-B2DA-663E1624E989}"/>
    <cellStyle name="常规 21 3 2" xfId="24057" xr:uid="{E40F9E27-E6AC-4BF2-A04A-266B8D5D2A35}"/>
    <cellStyle name="常规 21 4" xfId="24054" xr:uid="{9D28B47B-944B-40F7-B82B-1E740E94163E}"/>
    <cellStyle name="常规 21 5" xfId="27492" xr:uid="{994690E9-C58B-4CD0-92C5-B09E2B6A6FBF}"/>
    <cellStyle name="常规 21 6" xfId="27766" xr:uid="{F7A00501-C96B-48FC-AB21-E427CF8E036B}"/>
    <cellStyle name="常规 210" xfId="24058" xr:uid="{293035EA-2197-4EF1-BFFB-28705C24A849}"/>
    <cellStyle name="常规 211" xfId="24059" xr:uid="{008DB24F-23E9-45FD-8CC2-F5F82E0A91EC}"/>
    <cellStyle name="常规 212" xfId="24060" xr:uid="{B9F05DFD-2B71-40A3-B7D1-83ECC3531E09}"/>
    <cellStyle name="常规 213" xfId="24061" xr:uid="{DE5D4469-AC48-4DAA-8809-10453613D888}"/>
    <cellStyle name="常规 214" xfId="24062" xr:uid="{DFCDF544-22AF-4831-B923-43EB970248EF}"/>
    <cellStyle name="常规 215" xfId="24063" xr:uid="{EE402C75-0D3E-48EE-A39E-37F7FA7781CC}"/>
    <cellStyle name="常规 216" xfId="24064" xr:uid="{83E4B481-40B2-480B-81CB-4C27A1F9B071}"/>
    <cellStyle name="常规 217" xfId="24065" xr:uid="{59A966E2-0063-4B87-8C7D-6C96746D7A66}"/>
    <cellStyle name="常规 218" xfId="24066" xr:uid="{4CCE02AD-4C67-4CB9-BB00-1C9414A0A460}"/>
    <cellStyle name="常规 219" xfId="24067" xr:uid="{DB2E1694-EE3A-4056-A91B-585AE92C2153}"/>
    <cellStyle name="常规 22" xfId="6670" xr:uid="{3CA0D12C-0048-4A82-B49C-6AB00BB4410B}"/>
    <cellStyle name="常规 22 2" xfId="10954" xr:uid="{42663B4D-4033-472A-B72B-BF498C10B1C3}"/>
    <cellStyle name="常规 22 2 2" xfId="24068" xr:uid="{11C028A7-ACBD-4B24-B68A-197F9CCFD95C}"/>
    <cellStyle name="常规 22 2 3" xfId="27495" xr:uid="{492BE4A0-DC07-4B66-A758-7200FB88867F}"/>
    <cellStyle name="常规 22 3" xfId="13512" xr:uid="{3E7ECAED-D762-4FE4-AE61-2D83BC0AB337}"/>
    <cellStyle name="常规 22 3 2" xfId="24069" xr:uid="{B73A3184-E75A-431E-8EF5-809E850455F7}"/>
    <cellStyle name="常规 22 4" xfId="27494" xr:uid="{9DBEA908-CA36-49C3-ABE4-49F94C9747DA}"/>
    <cellStyle name="常规 220" xfId="24070" xr:uid="{D7758E49-A6AE-4DCA-B71C-DC74D86836CC}"/>
    <cellStyle name="常规 221" xfId="24071" xr:uid="{91E197CA-D10C-4059-9865-30A5475F2CE0}"/>
    <cellStyle name="常规 222" xfId="24072" xr:uid="{8538472F-5822-463B-9F80-B4F8DAD774C7}"/>
    <cellStyle name="常规 223" xfId="24073" xr:uid="{38E67E2C-E477-4075-8EB4-7250B0C55C22}"/>
    <cellStyle name="常规 224" xfId="24074" xr:uid="{1BEBFADE-F7D1-4AF2-ADE2-E21BE80E248E}"/>
    <cellStyle name="常规 225" xfId="24075" xr:uid="{91364BAE-928F-4B20-93CE-2E10DD5C3AF5}"/>
    <cellStyle name="常规 226" xfId="24076" xr:uid="{775D5BF8-31BA-4BFD-9729-EF6C30C8190A}"/>
    <cellStyle name="常规 227" xfId="24077" xr:uid="{DA8F9979-B231-4F18-A23E-FC40627174E9}"/>
    <cellStyle name="常规 228" xfId="24078" xr:uid="{35CFEF07-325D-414A-A472-B9D086527C63}"/>
    <cellStyle name="常规 229" xfId="24079" xr:uid="{2E76CC82-3932-41F2-9D56-4C8D9C3175CC}"/>
    <cellStyle name="常规 23" xfId="6672" xr:uid="{C37C2E7E-3188-4473-9593-3BC9AC24447E}"/>
    <cellStyle name="常规 23 2" xfId="5981" xr:uid="{22B94D95-D26B-40BF-A2FA-67009ED34C25}"/>
    <cellStyle name="常规 23 2 2" xfId="24081" xr:uid="{3D36CF73-E90C-4AC4-8994-61983C9D089B}"/>
    <cellStyle name="常规 23 2 3" xfId="24080" xr:uid="{0465C133-8EF0-45FD-9DB1-2C654C49574F}"/>
    <cellStyle name="常规 23 3" xfId="10955" xr:uid="{4FACD62C-7E2C-4FCC-956A-B144AA43A801}"/>
    <cellStyle name="常规 23 4" xfId="13513" xr:uid="{5926EF62-7562-411B-8F1D-B4B1E1442A85}"/>
    <cellStyle name="常规 230" xfId="24082" xr:uid="{25E8BAC8-84A9-4366-9DB3-DD31B88EAFDC}"/>
    <cellStyle name="常规 231" xfId="24083" xr:uid="{6D14947E-CF5D-42DB-B6DD-06B85FF284F7}"/>
    <cellStyle name="常规 232" xfId="24084" xr:uid="{C772ED34-ECFE-4570-A0E7-2FF73E797B0B}"/>
    <cellStyle name="常规 233" xfId="24085" xr:uid="{6E70774B-C3B1-40C6-A32F-EBE4560E974A}"/>
    <cellStyle name="常规 234" xfId="24086" xr:uid="{3300C862-0F22-4EBD-849D-B208C80D58F8}"/>
    <cellStyle name="常规 235" xfId="24087" xr:uid="{51AF8D6D-1142-4B43-97BC-6E8A5A7B2B84}"/>
    <cellStyle name="常规 236" xfId="24088" xr:uid="{E869D000-4560-402D-AFA5-C14A6A39F70B}"/>
    <cellStyle name="常规 237" xfId="24089" xr:uid="{8151AA27-79D7-4FE9-A843-6ECAF017BF9D}"/>
    <cellStyle name="常规 238" xfId="24090" xr:uid="{A2891791-34C4-4DAD-97F6-D210538063A5}"/>
    <cellStyle name="常规 239" xfId="24091" xr:uid="{11324084-6906-4EB1-8AA5-4C7FF3CBAEA0}"/>
    <cellStyle name="常规 24" xfId="6675" xr:uid="{4FF313BB-B44C-4ED6-9C93-A91E29A86C86}"/>
    <cellStyle name="常规 24 2" xfId="5991" xr:uid="{8ADEE106-F542-4B31-B214-EA2A2A5553C0}"/>
    <cellStyle name="常规 24 2 2" xfId="24093" xr:uid="{4EE5FC5C-DC93-4172-9149-B08207F32A60}"/>
    <cellStyle name="常规 24 2 3" xfId="24092" xr:uid="{71E63BBD-BA8E-45B7-8A33-B31085AD871A}"/>
    <cellStyle name="常规 24 2 4" xfId="27497" xr:uid="{F7FDF732-DB5A-493E-B481-6B9448DC6C9D}"/>
    <cellStyle name="常规 24 3" xfId="10956" xr:uid="{4C66B632-5450-4FE4-991A-3E766266764A}"/>
    <cellStyle name="常规 24 4" xfId="13514" xr:uid="{67C97CDD-FAAD-4549-9F9E-B1CEBBDC0127}"/>
    <cellStyle name="常规 24 5" xfId="27496" xr:uid="{973B6F66-2CB7-4D8A-9BFD-53F343D31E63}"/>
    <cellStyle name="常规 24 6" xfId="27767" xr:uid="{BCE3DA47-16DC-4E1D-AF28-460B5300399B}"/>
    <cellStyle name="常规 240" xfId="24094" xr:uid="{FD492B3B-46DD-45E7-ACF4-3E92A51DB5EB}"/>
    <cellStyle name="常规 241" xfId="24095" xr:uid="{DEE0F458-FBA8-4C0A-A835-3EAED6EBE7BA}"/>
    <cellStyle name="常规 242" xfId="24096" xr:uid="{6E0A0B7B-994F-4B2F-8E4B-F2C866DDE068}"/>
    <cellStyle name="常规 243" xfId="24097" xr:uid="{EB1FDC86-A211-47E7-BAA9-4C076F73A296}"/>
    <cellStyle name="常规 244" xfId="24098" xr:uid="{CF897C43-02BE-44B1-B443-B3BE9909DBE5}"/>
    <cellStyle name="常规 245" xfId="24099" xr:uid="{0D83134D-A95E-4C68-803B-296AEACE83F8}"/>
    <cellStyle name="常规 246" xfId="24100" xr:uid="{2F342814-A38B-40EF-A596-38B6DEA74DB2}"/>
    <cellStyle name="常规 247" xfId="24101" xr:uid="{552761F3-09F1-4251-8161-751164427599}"/>
    <cellStyle name="常规 248" xfId="24102" xr:uid="{F0324A27-7491-4480-86EE-43F2FA7721B7}"/>
    <cellStyle name="常规 249" xfId="24103" xr:uid="{7F2FB3AC-2F7C-4269-A27D-B62569A9151E}"/>
    <cellStyle name="常规 25" xfId="6786" xr:uid="{16EC96E5-7971-42DD-8792-B580B38B22A1}"/>
    <cellStyle name="常规 25 2" xfId="6000" xr:uid="{A602F60E-A7BD-4220-9F14-058D8224CF04}"/>
    <cellStyle name="常规 25 2 2" xfId="24105" xr:uid="{6758B3A2-B3CA-49F4-930F-CA2D6D7A162A}"/>
    <cellStyle name="常规 25 2 3" xfId="24104" xr:uid="{3FE8E446-23A5-4C2B-8E75-FE8D505BCA18}"/>
    <cellStyle name="常规 25 3" xfId="10957" xr:uid="{1EEFDF1C-B3E6-4430-B5DF-27D1C3E997A7}"/>
    <cellStyle name="常规 25 4" xfId="13515" xr:uid="{060E267D-185C-4FC7-996D-0264B3E5E86B}"/>
    <cellStyle name="常规 25 5" xfId="27498" xr:uid="{C9322CFA-3D6D-4306-AA68-4F5553EA9C93}"/>
    <cellStyle name="常规 25 6" xfId="27768" xr:uid="{71E4A37E-D704-436A-A608-2C73AE03BA67}"/>
    <cellStyle name="常规 250" xfId="24106" xr:uid="{8DE44133-88F6-43BE-8C9E-76309CE8CA76}"/>
    <cellStyle name="常规 251" xfId="24107" xr:uid="{AB1FB2A6-FB90-4F7E-A358-3CB14E8789D2}"/>
    <cellStyle name="常规 252" xfId="24108" xr:uid="{A86A4994-A1E8-4A3A-BED0-362EB1FC750F}"/>
    <cellStyle name="常规 253" xfId="24109" xr:uid="{936B1DC9-4F58-450C-BD3D-FC7457463EA5}"/>
    <cellStyle name="常规 254" xfId="24110" xr:uid="{9FBF034C-F06C-4410-A187-5601A5FD88F8}"/>
    <cellStyle name="常规 255" xfId="24111" xr:uid="{AA7450E9-0C39-4C8C-B6FB-250BF10B44EF}"/>
    <cellStyle name="常规 256" xfId="24112" xr:uid="{8CA94D1A-5515-455A-B1A9-44B7E05A384E}"/>
    <cellStyle name="常规 257" xfId="6788" xr:uid="{9214DDE0-607E-4365-A6D2-CDB435344719}"/>
    <cellStyle name="常规 257 2" xfId="14332" xr:uid="{3BC847BD-9BFF-48E2-A305-B1E4FFAC3E27}"/>
    <cellStyle name="常规 258" xfId="24113" xr:uid="{FA25D2FA-AC5D-4212-8C08-8D52AF5470FB}"/>
    <cellStyle name="常规 259" xfId="24114" xr:uid="{C692849F-D536-4956-9D2D-B61585F08943}"/>
    <cellStyle name="常规 26" xfId="6789" xr:uid="{799FC285-E630-48A7-924E-389271814CCA}"/>
    <cellStyle name="常规 26 2" xfId="6009" xr:uid="{CE80DD0B-0780-4D3F-89D4-DF8DE5258B17}"/>
    <cellStyle name="常规 26 2 2" xfId="24117" xr:uid="{EBAF5FA6-013F-4654-8717-F1F9ADE7CDBD}"/>
    <cellStyle name="常规 26 2 3" xfId="24116" xr:uid="{3338511F-5B1F-482E-B25A-4B240490B9B6}"/>
    <cellStyle name="常规 26 3" xfId="13516" xr:uid="{12C491D3-B328-414B-8A5F-C6D5CF7DAF3C}"/>
    <cellStyle name="常规 26 3 2" xfId="24118" xr:uid="{0EF2CF33-C714-4059-9D9E-679806582557}"/>
    <cellStyle name="常规 26 4" xfId="24115" xr:uid="{3EFB0F0D-9A75-44A1-95A2-85AF7AA04D81}"/>
    <cellStyle name="常规 26 5" xfId="27499" xr:uid="{0376359B-A076-4D04-BC9E-BC5F08675CC3}"/>
    <cellStyle name="常规 26 6" xfId="27769" xr:uid="{503D1114-A55E-42FF-BB8F-4244784E9870}"/>
    <cellStyle name="常规 260" xfId="24119" xr:uid="{FECA7007-1B85-422C-B6F8-1492A3ADD865}"/>
    <cellStyle name="常规 261" xfId="24120" xr:uid="{E17A0293-C249-4999-B66B-FA82474ED395}"/>
    <cellStyle name="常规 262" xfId="24121" xr:uid="{5B9D78D4-D2F9-4A27-9932-F70D355DF901}"/>
    <cellStyle name="常规 263" xfId="24122" xr:uid="{456A8FCC-0C91-440D-80C3-3F7C0E8A60A8}"/>
    <cellStyle name="常规 264" xfId="24123" xr:uid="{15400821-0B7E-415C-B15B-55F134F02780}"/>
    <cellStyle name="常规 265" xfId="24124" xr:uid="{E666302D-057D-447D-9C54-104D80DC28DF}"/>
    <cellStyle name="常规 266" xfId="24125" xr:uid="{09154C21-70F4-45A4-BB32-00A7FA483FAF}"/>
    <cellStyle name="常规 267" xfId="24126" xr:uid="{A0A0A904-CAC7-477A-AA48-65DA84B359B0}"/>
    <cellStyle name="常规 268" xfId="24127" xr:uid="{95F8B2B0-6C74-4704-9B92-41B3D9F4CD0F}"/>
    <cellStyle name="常规 269" xfId="27242" xr:uid="{1F1BDD99-360C-4B44-96A4-10745BD4668E}"/>
    <cellStyle name="常规 27" xfId="6791" xr:uid="{E404DD19-2215-4554-ADF4-AD072833FBAA}"/>
    <cellStyle name="常规 27 2" xfId="6019" xr:uid="{E3EAF3B8-D3EB-4623-BBC1-F334561E8CFD}"/>
    <cellStyle name="常规 27 2 2" xfId="24130" xr:uid="{D3CA263D-AB5C-49FD-9081-ED07CD336A41}"/>
    <cellStyle name="常规 27 2 3" xfId="24129" xr:uid="{0F95E44D-51BB-4242-9BEC-9BE7362DE7F2}"/>
    <cellStyle name="常规 27 3" xfId="13517" xr:uid="{EECAD6E0-4F82-41A2-A5A3-877D9E00A415}"/>
    <cellStyle name="常规 27 3 2" xfId="24131" xr:uid="{C229AEC1-4686-4F6A-8120-66A53B34B9C5}"/>
    <cellStyle name="常规 27 4" xfId="24128" xr:uid="{02B7F446-CAA6-49E4-9269-9EC93D250D8B}"/>
    <cellStyle name="常规 27 5" xfId="27500" xr:uid="{7D072400-DAF5-4D82-98EC-D254839442AF}"/>
    <cellStyle name="常规 27 6" xfId="27770" xr:uid="{DB9C000A-F2DF-429F-81B6-70686E63B4E0}"/>
    <cellStyle name="常规 270" xfId="27158" xr:uid="{1A5E8D6F-2FD3-429A-BFB1-341D16758688}"/>
    <cellStyle name="常规 271" xfId="27208" xr:uid="{A371E66A-FDF5-4D89-932F-EB8FA7029B60}"/>
    <cellStyle name="常规 272" xfId="27219" xr:uid="{80459889-06D8-48AF-9DDD-F8C175B7DAE9}"/>
    <cellStyle name="常规 273" xfId="27243" xr:uid="{67AD3613-9C8A-446E-8161-A2EE43AFF292}"/>
    <cellStyle name="常规 274" xfId="21" xr:uid="{BB16C313-133F-4F0A-9491-0BD727580776}"/>
    <cellStyle name="常规 275" xfId="27244" xr:uid="{351C321B-ED85-4091-A39A-FA7E140BF1E6}"/>
    <cellStyle name="常规 276" xfId="27667" xr:uid="{B1B4D875-75F5-4709-BA7A-490ED073623E}"/>
    <cellStyle name="常规 277" xfId="27802" xr:uid="{F3627C59-6F13-4379-B8A7-A0923A7FB00C}"/>
    <cellStyle name="常规 278" xfId="27804" xr:uid="{415C4392-7713-4DF8-9380-3938EBE7FAF4}"/>
    <cellStyle name="常规 279" xfId="27846" xr:uid="{8948B267-9AD4-44B2-B694-08A9639039F0}"/>
    <cellStyle name="常规 28" xfId="6793" xr:uid="{BE01B6E3-31D6-4D23-8337-AEBF16A72866}"/>
    <cellStyle name="常规 28 2" xfId="6795" xr:uid="{4A48B4CF-8EA1-4291-B009-B5DFA51EA8A1}"/>
    <cellStyle name="常规 28 2 2" xfId="24134" xr:uid="{60ADFE7F-C0D5-4BBC-8F1B-008AE9532449}"/>
    <cellStyle name="常规 28 2 3" xfId="24133" xr:uid="{2F51A096-913D-4604-820B-5571CA4B9013}"/>
    <cellStyle name="常规 28 3" xfId="10958" xr:uid="{B65AC37C-AAEA-47EF-BEC9-F90AA136FC49}"/>
    <cellStyle name="常规 28 3 2" xfId="24135" xr:uid="{B6B4A0F5-E832-4B99-9E9E-626E39B21AE6}"/>
    <cellStyle name="常规 28 4" xfId="13518" xr:uid="{868AFBDB-39B4-4B78-84DD-CD944E47D45A}"/>
    <cellStyle name="常规 28 5" xfId="24132" xr:uid="{993A4842-52B4-45B9-B724-E45CFBC22BF4}"/>
    <cellStyle name="常规 28 6" xfId="27501" xr:uid="{403CD652-90B4-43B9-ADE5-BF123844D687}"/>
    <cellStyle name="常规 280" xfId="27853" xr:uid="{2CAE0589-B2C6-46E3-9996-81C918C5C431}"/>
    <cellStyle name="常规 281" xfId="27856" xr:uid="{E01D2C99-ADDE-42F7-B13C-69A128E9BDFE}"/>
    <cellStyle name="常规 282" xfId="27859" xr:uid="{CC0EAC93-C934-4925-86FD-5C5ECF5966D1}"/>
    <cellStyle name="常规 283" xfId="27860" xr:uid="{A5495C01-1CD7-4516-AF28-2D2F93B10310}"/>
    <cellStyle name="常规 284" xfId="27870" xr:uid="{15DFCE74-115B-4792-B537-482A3C018E3B}"/>
    <cellStyle name="常规 29" xfId="6797" xr:uid="{DCFF20D2-2B5B-4F5A-AC78-1C6D444F360C}"/>
    <cellStyle name="常规 29 2" xfId="6799" xr:uid="{641DC48D-CB55-4810-AA56-4DFA262363D0}"/>
    <cellStyle name="常规 29 2 2" xfId="24138" xr:uid="{CC5B62AD-6AFD-462B-B145-A700CC461EEB}"/>
    <cellStyle name="常规 29 2 3" xfId="24137" xr:uid="{A85DC652-2D31-45DE-B401-9DA65B92B6B4}"/>
    <cellStyle name="常规 29 3" xfId="10959" xr:uid="{18D8EFF4-70DE-423D-AF57-A6B44B27D0B6}"/>
    <cellStyle name="常规 29 3 2" xfId="24139" xr:uid="{3140AE80-E3A9-40D6-AF74-13AEE84D8FD5}"/>
    <cellStyle name="常规 29 4" xfId="13519" xr:uid="{599CFBA8-93E1-416B-B0BE-3F4BE0B1AF97}"/>
    <cellStyle name="常规 29 5" xfId="24136" xr:uid="{8BC959B1-C103-4C7C-B8F9-DAC1495326B3}"/>
    <cellStyle name="常规 29 6" xfId="27502" xr:uid="{0636EDB6-8D7B-4DED-8F53-56EFFFD2839D}"/>
    <cellStyle name="常规 3" xfId="6801" xr:uid="{67D092E0-A512-4821-B6B7-FA1337757874}"/>
    <cellStyle name="常规 3 10" xfId="6802" xr:uid="{94072EEC-7043-43A3-B1EE-C4B3DAA1F621}"/>
    <cellStyle name="常规 3 10 2" xfId="10961" xr:uid="{2265523D-B05B-4CF2-95D3-210E5FA7C7BE}"/>
    <cellStyle name="常规 3 11" xfId="6803" xr:uid="{9690FFCB-C9A4-4D85-9CFF-6016B847D955}"/>
    <cellStyle name="常规 3 11 2" xfId="10962" xr:uid="{CAD5CA8C-E6CF-4AF3-A9D0-90DC4EA43693}"/>
    <cellStyle name="常规 3 12" xfId="6804" xr:uid="{2E9C21E2-349E-4443-8370-B583BA891E0F}"/>
    <cellStyle name="常规 3 12 2" xfId="10963" xr:uid="{5682B841-3190-405F-9301-F470C9615F0C}"/>
    <cellStyle name="常规 3 13" xfId="6805" xr:uid="{315256DC-BE47-45CE-BF63-1F01B0E9142A}"/>
    <cellStyle name="常规 3 13 2" xfId="10964" xr:uid="{BEB6DC2C-E2C6-4B21-888E-9E54A09A98B1}"/>
    <cellStyle name="常规 3 14" xfId="6806" xr:uid="{ABC644BD-5ADD-41DE-86DD-0B6E088D1428}"/>
    <cellStyle name="常规 3 14 2" xfId="10965" xr:uid="{E44E290F-4B0C-4457-8DFB-C746B31B6819}"/>
    <cellStyle name="常规 3 15" xfId="6807" xr:uid="{34D01DAA-8B9C-4CA4-87B2-705D126CF697}"/>
    <cellStyle name="常规 3 15 2" xfId="10966" xr:uid="{52885D52-3101-41C2-84A0-3CAD846449C4}"/>
    <cellStyle name="常规 3 16" xfId="6808" xr:uid="{E5C3FC99-198A-4077-BAEF-4F79592A92B7}"/>
    <cellStyle name="常规 3 16 2" xfId="10967" xr:uid="{D0F93A40-5838-4596-AAF8-E52A7B6AB61A}"/>
    <cellStyle name="常规 3 17" xfId="6809" xr:uid="{D846A291-5BD1-41F7-B558-2EC4DCED7CCC}"/>
    <cellStyle name="常规 3 17 2" xfId="10968" xr:uid="{A01C2CD4-1789-4765-90CB-290395373098}"/>
    <cellStyle name="常规 3 18" xfId="10969" xr:uid="{D3F39570-889B-4DE6-862B-B4811F05166E}"/>
    <cellStyle name="常规 3 19" xfId="10970" xr:uid="{BFA7C789-6048-4F13-BC4D-3B2F8D2343AF}"/>
    <cellStyle name="常规 3 2" xfId="6810" xr:uid="{171EBDB4-642F-4AF9-BD62-F68BD836C88C}"/>
    <cellStyle name="常规 3 2 2" xfId="6811" xr:uid="{348B2E95-6A2E-4934-AC56-C2B8D34C7CB1}"/>
    <cellStyle name="常规 3 2 2 2" xfId="6813" xr:uid="{18086143-11B2-4CFD-B150-34DEEC7BBDAA}"/>
    <cellStyle name="常规 3 2 2 2 2" xfId="6814" xr:uid="{B3C4B46B-A0D5-4971-8877-5A16428220AA}"/>
    <cellStyle name="常规 3 2 2 2 2 2" xfId="6815" xr:uid="{A0FABAF0-20E5-4022-8911-8963F92832DD}"/>
    <cellStyle name="常规 3 2 2 3" xfId="6681" xr:uid="{DE8D41B9-B2E0-4295-B6D9-2B6A3245C852}"/>
    <cellStyle name="常规 3 2 2 4" xfId="10972" xr:uid="{465DE3FB-1399-44F2-A11B-0F33B84837A7}"/>
    <cellStyle name="常规 3 2 2 5" xfId="24141" xr:uid="{62DD5747-5387-4053-BD5B-53C5C8DCF7CD}"/>
    <cellStyle name="常规 3 2 2 6" xfId="27771" xr:uid="{5D86E289-C83C-4E67-99F1-5234ADF12414}"/>
    <cellStyle name="常规 3 2 3" xfId="6816" xr:uid="{18BAA6B5-FB7F-4BCD-9D3F-535513F4410D}"/>
    <cellStyle name="常规 3 2 3 2" xfId="6818" xr:uid="{302D11DC-A2CB-4AB6-9364-C89E8FF82416}"/>
    <cellStyle name="常规 3 2 3 3" xfId="10973" xr:uid="{D7AB3FBE-3D6A-49F6-85A4-9BBB41849536}"/>
    <cellStyle name="常规 3 2 3 4" xfId="27772" xr:uid="{2D222E39-42F8-4DCA-9937-FE51C483E0E7}"/>
    <cellStyle name="常规 3 2 4" xfId="10974" xr:uid="{542D4EF8-A1F0-48F8-B52A-FD93AAD6CF29}"/>
    <cellStyle name="常规 3 2 4 2" xfId="24142" xr:uid="{51438A4C-368C-477C-9458-0CC85463DF5B}"/>
    <cellStyle name="常规 3 2 5" xfId="10971" xr:uid="{F88EB785-DD88-4415-860D-2C852C2A88FA}"/>
    <cellStyle name="常规 3 2 5 2" xfId="24143" xr:uid="{968BA81F-B8D3-4C8F-B2C0-0C6C935A3465}"/>
    <cellStyle name="常规 3 2 6" xfId="24144" xr:uid="{50260F0F-D0A5-4CBD-9233-8803290E69DD}"/>
    <cellStyle name="常规 3 2 7" xfId="24145" xr:uid="{E22000B5-1CAC-44D9-9794-A43C2204A36C}"/>
    <cellStyle name="常规 3 2 8" xfId="24146" xr:uid="{31ED4547-BF5D-4AE4-B4AD-B38110C58EB5}"/>
    <cellStyle name="常规 3 2 9" xfId="24140" xr:uid="{425E05BB-3907-4D62-94C7-7383DF25D078}"/>
    <cellStyle name="常规 3 2_动力部" xfId="24147" xr:uid="{4E0217A4-CF3A-4333-8605-516DA82DF55D}"/>
    <cellStyle name="常规 3 20" xfId="10975" xr:uid="{75C5F196-059F-4283-B753-D95805BC4C39}"/>
    <cellStyle name="常规 3 21" xfId="10976" xr:uid="{86E33443-CC21-43F4-9454-9CE3D1294700}"/>
    <cellStyle name="常规 3 22" xfId="10977" xr:uid="{D6FBA69B-A95C-4BFF-9E3A-B3F32B066374}"/>
    <cellStyle name="常规 3 23" xfId="10978" xr:uid="{AEE6880E-23EF-4E91-B5B0-F0DBBF4C5432}"/>
    <cellStyle name="常规 3 24" xfId="10960" xr:uid="{3004F155-839D-4A1D-992C-310582C6F3B5}"/>
    <cellStyle name="常规 3 25" xfId="27250" xr:uid="{3047E814-A2C1-4927-BA10-A05D4F4FD130}"/>
    <cellStyle name="常规 3 3" xfId="6819" xr:uid="{982A3946-F976-4A69-B11D-ECB1050E000E}"/>
    <cellStyle name="常规 3 3 2" xfId="5039" xr:uid="{313A9578-B713-416B-A184-4D708B38C099}"/>
    <cellStyle name="常规 3 3 2 2" xfId="6820" xr:uid="{0E7B14A0-278B-4046-8A5F-F469B1327B89}"/>
    <cellStyle name="常规 3 3 2 3" xfId="10979" xr:uid="{50AE37A6-9EA8-405D-BC44-2E06F3F774AF}"/>
    <cellStyle name="常规 3 3 2 4" xfId="24149" xr:uid="{64971A71-ED22-485A-BF03-9F73C8971EBC}"/>
    <cellStyle name="常规 3 3 3" xfId="10980" xr:uid="{541B4450-2A4A-4056-AB1B-22A0719FB8F4}"/>
    <cellStyle name="常规 3 3 4" xfId="24148" xr:uid="{21F17490-8938-493A-B69D-8AA9433A08EA}"/>
    <cellStyle name="常规 3 4" xfId="6821" xr:uid="{46670B0E-0108-43E4-B638-AD8BE6D44AA2}"/>
    <cellStyle name="常规 3 4 2" xfId="10981" xr:uid="{048A1824-CFE3-43AE-8CEF-06E224819BD7}"/>
    <cellStyle name="常规 3 4 2 2" xfId="24151" xr:uid="{D86D2C98-3EFE-4AFA-8070-16E17E2F7FE1}"/>
    <cellStyle name="常规 3 4 3" xfId="10982" xr:uid="{FCC689CC-BC55-4810-9785-6FE1B714D558}"/>
    <cellStyle name="常规 3 4 4" xfId="24150" xr:uid="{7698330C-95DD-4AA0-A3C1-85BB575F7E06}"/>
    <cellStyle name="常规 3 5" xfId="6822" xr:uid="{A26D90B1-B32C-46A2-8898-9F84C10512BA}"/>
    <cellStyle name="常规 3 5 2" xfId="10984" xr:uid="{F7AC890F-B16A-4C30-8E8C-1AD3409A9160}"/>
    <cellStyle name="常规 3 5 3" xfId="10983" xr:uid="{6A799002-2FA3-4042-B7B4-37BDD757AB84}"/>
    <cellStyle name="常规 3 5 4" xfId="24152" xr:uid="{885BF41B-7E2A-44D2-9871-6092BC2D9A57}"/>
    <cellStyle name="常规 3 6" xfId="6823" xr:uid="{27FDE0BF-2C5E-44EF-99E4-F67BB4AF1572}"/>
    <cellStyle name="常规 3 6 2" xfId="10985" xr:uid="{FA8F9BE3-8939-4D37-98BB-50053D2FEA3D}"/>
    <cellStyle name="常规 3 7" xfId="6824" xr:uid="{FC45658F-EDCD-449A-B316-FBD4BA3007E5}"/>
    <cellStyle name="常规 3 7 2" xfId="10986" xr:uid="{72F8F98B-84D8-48E8-92B5-575775D53AEC}"/>
    <cellStyle name="常规 3 8" xfId="6825" xr:uid="{66F392CA-EB42-4CE1-9F92-2BF7BA90996F}"/>
    <cellStyle name="常规 3 8 2" xfId="10987" xr:uid="{9731364F-E71F-42B2-B234-7D455490161D}"/>
    <cellStyle name="常规 3 9" xfId="6826" xr:uid="{AF538D20-E5A9-4B56-8FDF-1F8D9F7B2E49}"/>
    <cellStyle name="常规 3 9 2" xfId="10988" xr:uid="{0EF8F02C-73E6-4613-A03C-B874389F5949}"/>
    <cellStyle name="常规 3_111" xfId="24153" xr:uid="{C52F2DF9-8634-4F43-AA6F-44E83652F64A}"/>
    <cellStyle name="常规 30" xfId="6787" xr:uid="{4A1BB1D1-1297-4E51-BDC7-87A9BF02A915}"/>
    <cellStyle name="常规 30 2" xfId="6001" xr:uid="{7C172F07-8336-4378-B0FC-BE47AB1A12E1}"/>
    <cellStyle name="常规 30 2 2" xfId="24156" xr:uid="{CFF249C1-9C3F-4968-95BC-140C654E95AC}"/>
    <cellStyle name="常规 30 2 3" xfId="24155" xr:uid="{002B48D7-84EF-499C-A0C1-33F1428CC805}"/>
    <cellStyle name="常规 30 3" xfId="24157" xr:uid="{AFE4CBA0-6D5C-46F0-830E-F2DC36ECAB20}"/>
    <cellStyle name="常规 30 4" xfId="24154" xr:uid="{9EDCEFE6-58AA-4BBF-B1D0-48FF097A460E}"/>
    <cellStyle name="常规 30 5" xfId="27503" xr:uid="{B05F5594-F2B4-4EEB-AFFB-4A2F2990EEC6}"/>
    <cellStyle name="常规 309" xfId="27864" xr:uid="{44CA4B8C-8A19-401D-9D26-B5BF97C39A01}"/>
    <cellStyle name="常规 31" xfId="6790" xr:uid="{1A5B7DCA-11B8-4196-84F1-86440199F866}"/>
    <cellStyle name="常规 31 2" xfId="6010" xr:uid="{B8AC96BD-3EFF-4CD6-BFB3-AD515BB73712}"/>
    <cellStyle name="常规 31 2 2" xfId="24160" xr:uid="{45FB3601-0F6A-4E08-92D7-33CE3085CA47}"/>
    <cellStyle name="常规 31 2 3" xfId="24159" xr:uid="{017A6D16-06FC-4D12-9F5E-A4B998A077EB}"/>
    <cellStyle name="常规 31 3" xfId="13520" xr:uid="{15EB6A2C-DEA6-407F-A5F8-BCAEEC74B9EB}"/>
    <cellStyle name="常规 31 3 2" xfId="24161" xr:uid="{EE2CD88F-4DEC-493A-B67D-A7F8DCCEA891}"/>
    <cellStyle name="常规 31 4" xfId="24158" xr:uid="{C1FD67C6-0B61-4B31-ADDE-9F702C642651}"/>
    <cellStyle name="常规 31 5" xfId="27504" xr:uid="{D0458953-84FC-44B5-ADA0-2937D53297A7}"/>
    <cellStyle name="常规 310" xfId="27866" xr:uid="{E9733A6D-7D72-47BC-901A-D3D5290E48D8}"/>
    <cellStyle name="常规 316" xfId="27863" xr:uid="{ECA72CB8-67EF-4284-86D1-74DAB33DDAFD}"/>
    <cellStyle name="常规 317" xfId="27865" xr:uid="{CB582AC2-01F7-484B-B734-571CBECDCE56}"/>
    <cellStyle name="常规 32" xfId="6792" xr:uid="{167E8484-91AF-4586-BB3F-5807C9E8AC33}"/>
    <cellStyle name="常规 32 2" xfId="6020" xr:uid="{F8078005-97D9-4C97-A466-58C8F12FAF96}"/>
    <cellStyle name="常规 32 2 2" xfId="24164" xr:uid="{9C504EE7-E332-464A-9AE5-61CD726C0D36}"/>
    <cellStyle name="常规 32 2 3" xfId="24163" xr:uid="{8586FBD5-01F6-45D6-878C-59222A748998}"/>
    <cellStyle name="常规 32 3" xfId="13521" xr:uid="{2F35E213-4BE9-4031-828C-1D3CF3184CA1}"/>
    <cellStyle name="常规 32 3 2" xfId="24165" xr:uid="{1B9AF54C-60F0-41F0-AF05-2CB3559A3A83}"/>
    <cellStyle name="常规 32 4" xfId="24162" xr:uid="{1F0C7D76-6147-4E49-967B-38791D4816DB}"/>
    <cellStyle name="常规 32 5" xfId="27505" xr:uid="{7C9F6A68-3ADC-473E-B4B5-BEA806609F29}"/>
    <cellStyle name="常规 33" xfId="6794" xr:uid="{142C1A4D-F116-4F27-B996-8EFA05608EE2}"/>
    <cellStyle name="常规 33 2" xfId="6796" xr:uid="{81E42326-E6CF-4C9C-8F02-57E5F9697ED3}"/>
    <cellStyle name="常规 33 2 2" xfId="24168" xr:uid="{80C146EA-8D07-42F6-A57C-D5CB160600C5}"/>
    <cellStyle name="常规 33 2 3" xfId="24167" xr:uid="{2649A100-ACE4-4DAD-9FAE-CC50B29A11C7}"/>
    <cellStyle name="常规 33 3" xfId="13522" xr:uid="{050CE02B-985B-4FC3-8246-57F88FD13DED}"/>
    <cellStyle name="常规 33 3 2" xfId="24169" xr:uid="{E32CC626-E9A9-48FF-AC1B-1A17C41D7381}"/>
    <cellStyle name="常规 33 4" xfId="24166" xr:uid="{473A7D20-96D0-4786-B90A-B177A24EC1BC}"/>
    <cellStyle name="常规 33 5" xfId="27506" xr:uid="{97F60A0B-D4E3-4F68-962A-BDC9BFBCE62D}"/>
    <cellStyle name="常规 34" xfId="6798" xr:uid="{FF87C184-BD91-4122-BE3C-FE6560D07860}"/>
    <cellStyle name="常规 34 2" xfId="6800" xr:uid="{8AE33A62-2A77-4545-B27B-BB53D1C13A1A}"/>
    <cellStyle name="常规 34 2 2" xfId="24172" xr:uid="{F52D5B61-4617-42A5-A62A-430CB92B8F3B}"/>
    <cellStyle name="常规 34 2 3" xfId="24171" xr:uid="{2C28B19A-E329-477D-B8A8-712A51208D0F}"/>
    <cellStyle name="常规 34 3" xfId="13523" xr:uid="{AC5B2376-84AA-4035-9A87-16577AA34689}"/>
    <cellStyle name="常规 34 3 2" xfId="24173" xr:uid="{EE8822BB-EC1A-406F-ACD4-BCB9B582EBBE}"/>
    <cellStyle name="常规 34 4" xfId="24170" xr:uid="{7DAE925F-54A8-47C8-B8F8-0C0312EB731B}"/>
    <cellStyle name="常规 34 5" xfId="27507" xr:uid="{DF10A80F-3109-422C-940B-D04E154D85FD}"/>
    <cellStyle name="常规 35" xfId="6827" xr:uid="{CDCE8DA5-9F60-40F7-A500-B29D01B181AE}"/>
    <cellStyle name="常规 35 2" xfId="1685" xr:uid="{A4C6FD92-9346-479C-8E30-E2A662AB9568}"/>
    <cellStyle name="常规 35 2 2" xfId="24176" xr:uid="{A4F5A8BD-CDD6-4DF2-BC36-88A7E634117E}"/>
    <cellStyle name="常规 35 2 3" xfId="24175" xr:uid="{C9F2EC77-042C-44D1-98C4-32AC045B9F9B}"/>
    <cellStyle name="常规 35 3" xfId="13524" xr:uid="{E7379C30-94FD-41A1-A046-5C7F922507F3}"/>
    <cellStyle name="常规 35 3 2" xfId="24177" xr:uid="{3AA4DDA2-D4BD-4053-9226-0F7FDD35A2A6}"/>
    <cellStyle name="常规 35 4" xfId="24174" xr:uid="{DB5504ED-5AB1-472F-908D-ECC89696EA90}"/>
    <cellStyle name="常规 35 5" xfId="27508" xr:uid="{B55F998F-1605-4CD3-BFD4-2D34C204B4E1}"/>
    <cellStyle name="常规 357" xfId="27867" xr:uid="{3C0952D9-3BB7-418A-B6A5-241F0E346086}"/>
    <cellStyle name="常规 359" xfId="27868" xr:uid="{21A2CED7-AE89-4FB2-9072-F0E409F33B90}"/>
    <cellStyle name="常规 36" xfId="6829" xr:uid="{DD6F6D3A-D74B-44F4-B547-495A84C0E319}"/>
    <cellStyle name="常规 36 2" xfId="6832" xr:uid="{1E147C35-BF50-4F38-9D9A-B33FC24260D2}"/>
    <cellStyle name="常规 36 2 2" xfId="24180" xr:uid="{1FD7F08B-02A6-4912-A56A-12EC16CFB846}"/>
    <cellStyle name="常规 36 2 3" xfId="24179" xr:uid="{2FF9AB53-A62F-49E3-815F-C3DAA1F62E76}"/>
    <cellStyle name="常规 36 3" xfId="13525" xr:uid="{B270825F-9028-4AD4-AA40-148BF3B444EC}"/>
    <cellStyle name="常规 36 3 2" xfId="24181" xr:uid="{DAA4785B-2A2C-454D-B51D-9242AC3F499C}"/>
    <cellStyle name="常规 36 4" xfId="24178" xr:uid="{B480D095-288F-4AF1-ACC8-EFF2360670E1}"/>
    <cellStyle name="常规 36 5" xfId="27509" xr:uid="{C94DDADA-C781-4B30-906E-CAB3E9F06501}"/>
    <cellStyle name="常规 37" xfId="6834" xr:uid="{34EC0245-E949-48EA-87FB-0C6A62FA9010}"/>
    <cellStyle name="常规 37 2" xfId="6836" xr:uid="{0EBD26F8-4FEA-41B8-A0CC-571E2E709028}"/>
    <cellStyle name="常规 37 2 2" xfId="24184" xr:uid="{66CA7181-9A0C-4DF8-9AE1-FC46996669C5}"/>
    <cellStyle name="常规 37 2 3" xfId="24183" xr:uid="{453981B4-0587-405E-9847-2547ECAA3324}"/>
    <cellStyle name="常规 37 3" xfId="6838" xr:uid="{FAA39A28-924E-46E9-816B-6A3FE3A0A0A2}"/>
    <cellStyle name="常规 37 3 2" xfId="24185" xr:uid="{0D2295CF-5B52-46A0-AFD7-E0EE0A0A29CA}"/>
    <cellStyle name="常规 37 4" xfId="13526" xr:uid="{860275DE-3DDD-48DF-A036-D7DDB3D9E5A6}"/>
    <cellStyle name="常规 37 5" xfId="24182" xr:uid="{EA4931D6-CAFC-4506-A71F-35AAD0E96137}"/>
    <cellStyle name="常规 37 6" xfId="27510" xr:uid="{5050A786-BF05-4350-81D2-0F4C03E11BEB}"/>
    <cellStyle name="常规 38" xfId="6839" xr:uid="{E54EB27C-261C-4223-998C-B05D5F280BB3}"/>
    <cellStyle name="常规 38 2" xfId="6841" xr:uid="{2A02E1BD-A946-423A-B859-44AB5F82DBDD}"/>
    <cellStyle name="常规 38 2 2" xfId="24188" xr:uid="{A3AC2578-4230-4790-9C14-034008A47368}"/>
    <cellStyle name="常规 38 2 3" xfId="24187" xr:uid="{DC260796-3D10-4CDD-9C8A-EB0C42E63CAC}"/>
    <cellStyle name="常规 38 3" xfId="10989" xr:uid="{571F19BC-C375-4538-97F8-44E0E9D71BA4}"/>
    <cellStyle name="常规 38 3 2" xfId="24189" xr:uid="{677BB9B7-ABFC-4A0E-AD43-22E681B30B67}"/>
    <cellStyle name="常规 38 4" xfId="13527" xr:uid="{DA527F5C-BC51-4D3F-90F2-5EBC78C5ADAA}"/>
    <cellStyle name="常规 38 5" xfId="24186" xr:uid="{8537E249-0270-4C02-BB98-30469F321E9E}"/>
    <cellStyle name="常规 38 6" xfId="27511" xr:uid="{3A2BD7D3-BB46-4462-9565-99541C6FFECA}"/>
    <cellStyle name="常规 39" xfId="6842" xr:uid="{0D826F36-1293-4EA1-A905-DB956C2BB50C}"/>
    <cellStyle name="常规 39 2" xfId="6844" xr:uid="{50F5FE78-B4D0-495E-A592-447C5D58BDAB}"/>
    <cellStyle name="常规 39 2 2" xfId="24192" xr:uid="{33C042AE-CD08-4FCC-8903-7608A887ACFD}"/>
    <cellStyle name="常规 39 2 3" xfId="24191" xr:uid="{E4A0199E-5A6B-4F22-A288-4940FEF8E2D3}"/>
    <cellStyle name="常规 39 3" xfId="10990" xr:uid="{BC5780A1-6101-49B0-8001-AFD96249A3E8}"/>
    <cellStyle name="常规 39 3 2" xfId="24193" xr:uid="{C8B54B9A-142D-49B7-BC99-A15FC38DEC8B}"/>
    <cellStyle name="常规 39 4" xfId="13528" xr:uid="{3AD12A5C-1FB0-4694-9266-0404522BC364}"/>
    <cellStyle name="常规 39 5" xfId="24190" xr:uid="{FCD247C0-5B2D-4BDF-BF4C-CB98785C60F8}"/>
    <cellStyle name="常规 39 6" xfId="27512" xr:uid="{BB4B8CA9-DFD7-4CA5-9311-97E429D96989}"/>
    <cellStyle name="常规 4" xfId="6845" xr:uid="{034233EF-90DF-4117-A774-52B550408A52}"/>
    <cellStyle name="常规 4 10" xfId="6846" xr:uid="{C55EC06B-70DF-47F3-819B-D715A81792D2}"/>
    <cellStyle name="常规 4 10 2" xfId="10992" xr:uid="{072217D6-515B-43A7-86CC-4E652109547C}"/>
    <cellStyle name="常规 4 11" xfId="6847" xr:uid="{477002E9-B3D1-49D5-ADF3-1225897CAD95}"/>
    <cellStyle name="常规 4 11 2" xfId="10993" xr:uid="{A666E5A7-A7F5-48CC-82AB-813E0412D223}"/>
    <cellStyle name="常规 4 12" xfId="6848" xr:uid="{60D8DB41-24A6-401A-93CC-6E4BB71B22F6}"/>
    <cellStyle name="常规 4 12 2" xfId="10994" xr:uid="{04917D39-3D74-405A-AF17-025DACC5E4C2}"/>
    <cellStyle name="常规 4 13" xfId="6633" xr:uid="{B94AA63D-7B0D-4F19-A679-B007F7E63039}"/>
    <cellStyle name="常规 4 13 2" xfId="10995" xr:uid="{7A6DFC71-6F2E-40B0-89EB-3349484D9450}"/>
    <cellStyle name="常规 4 14" xfId="6849" xr:uid="{7B77AFB1-3B94-444F-9979-38E790F09B5C}"/>
    <cellStyle name="常规 4 14 2" xfId="10996" xr:uid="{0D6F88DD-6297-43DD-81A5-AB454BB4B048}"/>
    <cellStyle name="常规 4 15" xfId="6075" xr:uid="{F0C8E2AA-4641-4D2D-9CE5-4175126599E0}"/>
    <cellStyle name="常规 4 15 2" xfId="10997" xr:uid="{1F108270-89B2-4767-9418-B24456C34700}"/>
    <cellStyle name="常规 4 16" xfId="6850" xr:uid="{547D0703-0D83-4F38-B644-89C0A3376F38}"/>
    <cellStyle name="常规 4 16 2" xfId="10998" xr:uid="{3D4A7A08-A745-4086-8625-5A5867F50F12}"/>
    <cellStyle name="常规 4 17" xfId="6852" xr:uid="{8B22222E-03FF-4970-89B1-48DFBC203399}"/>
    <cellStyle name="常规 4 17 2" xfId="10999" xr:uid="{64C07896-86A7-4799-B903-BE67BE5C7D7D}"/>
    <cellStyle name="常规 4 18" xfId="6854" xr:uid="{D34F9F49-EC51-458C-9ECB-6ACF99374E44}"/>
    <cellStyle name="常规 4 18 2" xfId="11000" xr:uid="{2019FA32-133A-47D5-A0EE-0A8AC66A2E18}"/>
    <cellStyle name="常规 4 19" xfId="6855" xr:uid="{A02B2E8F-0FF7-48FB-A2CA-AB01A78F40B9}"/>
    <cellStyle name="常规 4 19 2" xfId="11001" xr:uid="{E8041D47-F2A8-459B-BA26-68F4E111B122}"/>
    <cellStyle name="常规 4 2" xfId="6856" xr:uid="{855C3E6A-697D-44A7-94AC-26421D8948F6}"/>
    <cellStyle name="常规 4 2 2" xfId="11003" xr:uid="{927D8E46-9982-4054-B8C6-7F70E1F0E539}"/>
    <cellStyle name="常规 4 2 2 2" xfId="27774" xr:uid="{8C45486B-0740-48BD-A7E7-1BC628D17604}"/>
    <cellStyle name="常规 4 2 3" xfId="11004" xr:uid="{5755C41C-E210-4910-B3B0-B3325F85AB95}"/>
    <cellStyle name="常规 4 2 4" xfId="11002" xr:uid="{0A9E2132-662D-4292-A7BC-490366E856F1}"/>
    <cellStyle name="常规 4 2 5" xfId="27514" xr:uid="{530B659B-62BA-4EDA-81A3-268F627920D2}"/>
    <cellStyle name="常规 4 2 6" xfId="27773" xr:uid="{74EF323C-76A8-4112-91AA-16006D455F23}"/>
    <cellStyle name="常规 4 2_动力部" xfId="24194" xr:uid="{DABE241E-7F32-43C2-967A-B35A003FE4E6}"/>
    <cellStyle name="常规 4 20" xfId="6076" xr:uid="{B01B4FD1-FFB4-4274-83BD-C37A530C8D10}"/>
    <cellStyle name="常规 4 20 2" xfId="11005" xr:uid="{C4B4430E-61A8-4F4A-A6F9-7915BC9F1ED0}"/>
    <cellStyle name="常规 4 21" xfId="6851" xr:uid="{AEDB1BEB-C774-4A11-9C83-BD82BA703DD7}"/>
    <cellStyle name="常规 4 21 2" xfId="11006" xr:uid="{B0728F9E-7F83-4E7B-ADAF-7952A7EAF22D}"/>
    <cellStyle name="常规 4 22" xfId="6853" xr:uid="{BFB216CC-369A-4683-9B96-176649549216}"/>
    <cellStyle name="常规 4 22 2" xfId="11007" xr:uid="{69572040-C62B-4A41-B364-E3150200C19C}"/>
    <cellStyle name="常规 4 23" xfId="10991" xr:uid="{2B35C18B-2F96-42F1-AB75-E1B3E05591E8}"/>
    <cellStyle name="常规 4 24" xfId="12266" xr:uid="{ABE7BBBB-02E7-4ED2-9B6B-54106F79CA61}"/>
    <cellStyle name="常规 4 25" xfId="27251" xr:uid="{F84799C4-9571-4325-B779-D605777953CB}"/>
    <cellStyle name="常规 4 26" xfId="27513" xr:uid="{F111642D-F298-49C6-B5CB-867397FE7234}"/>
    <cellStyle name="常规 4 3" xfId="6857" xr:uid="{EDBCF0B6-31E2-4B7B-8C8B-3A073601599D}"/>
    <cellStyle name="常规 4 3 2" xfId="11008" xr:uid="{8E29F4CE-904D-4A95-A2C9-4CDE6D34BD65}"/>
    <cellStyle name="常规 4 3 2 2" xfId="24196" xr:uid="{2FA27341-0BA7-4F59-B303-4467F13BD8B2}"/>
    <cellStyle name="常规 4 3 3" xfId="24195" xr:uid="{BAC855C9-F684-4611-B7CD-0B5D0BBA661B}"/>
    <cellStyle name="常规 4 3 4" xfId="27515" xr:uid="{8C2468F1-3473-4D2F-8A9C-8931B0F5E3DA}"/>
    <cellStyle name="常规 4 4" xfId="6858" xr:uid="{B71FCC16-8B39-448E-A920-1B9EBD8B2FBC}"/>
    <cellStyle name="常规 4 4 2" xfId="24198" xr:uid="{B5DCC69C-388F-4A40-B902-2F07F8813DED}"/>
    <cellStyle name="常规 4 4 3" xfId="24197" xr:uid="{CA2E31E1-448F-480C-9010-BCF4DD80582F}"/>
    <cellStyle name="常规 4 4 4" xfId="27516" xr:uid="{6CB2D949-CAE0-438C-A806-F068DA0828DD}"/>
    <cellStyle name="常规 4 5" xfId="6639" xr:uid="{3CD61061-FF36-44B6-97A7-AA418F9D39BD}"/>
    <cellStyle name="常规 4 5 2" xfId="24200" xr:uid="{3C76141D-33CF-43A7-AE20-67F16B81EFD3}"/>
    <cellStyle name="常规 4 5 3" xfId="24199" xr:uid="{16C3C052-CBAB-444E-97DE-DCC155871C83}"/>
    <cellStyle name="常规 4 5 4" xfId="27517" xr:uid="{6C8D353A-381D-4728-9E94-09EF7080C111}"/>
    <cellStyle name="常规 4 6" xfId="6641" xr:uid="{1D02E4A2-BE18-40A4-A713-CFFCFA95C7B8}"/>
    <cellStyle name="常规 4 6 2" xfId="27518" xr:uid="{0269CD2B-F113-490A-9D14-E8FC410DF280}"/>
    <cellStyle name="常规 4 7" xfId="6643" xr:uid="{0D8A8C18-8CD6-45CD-BD40-D041785B9320}"/>
    <cellStyle name="常规 4 7 2" xfId="27519" xr:uid="{48B728E0-146C-4708-9B9C-4517DF360D84}"/>
    <cellStyle name="常规 4 8" xfId="6645" xr:uid="{D42A33E9-33F5-488E-846E-8EB557401024}"/>
    <cellStyle name="常规 4 8 2" xfId="27520" xr:uid="{ADF80C23-D8AA-40D2-8E91-38ADAC1700DB}"/>
    <cellStyle name="常规 4 9" xfId="6647" xr:uid="{C8919C45-D5BB-4376-8FE5-1CC9F7B42FAA}"/>
    <cellStyle name="常规 4 9 2" xfId="11009" xr:uid="{29CC12CE-4DA7-425F-96F9-4068905F8787}"/>
    <cellStyle name="常规 4_111" xfId="24201" xr:uid="{33CE9A30-89E9-42C1-A0C7-37ACC8C64905}"/>
    <cellStyle name="常规 40" xfId="6828" xr:uid="{477E40AA-0172-4DC1-A8E5-C880952FCD36}"/>
    <cellStyle name="常规 40 2" xfId="1684" xr:uid="{6821418F-4D1B-42BC-8C6F-72724C1B5ABB}"/>
    <cellStyle name="常规 40 2 2" xfId="24204" xr:uid="{584EBB45-C789-4F94-83D4-9320DE8DC24D}"/>
    <cellStyle name="常规 40 2 3" xfId="24203" xr:uid="{4A618CA9-630C-4E55-B3A3-74BE6C00E627}"/>
    <cellStyle name="常规 40 3" xfId="24205" xr:uid="{5AAAF629-049E-41EF-85EC-8165065A532D}"/>
    <cellStyle name="常规 40 4" xfId="24202" xr:uid="{CD772D88-F1DE-448D-B4C7-5ABA3DDC9302}"/>
    <cellStyle name="常规 40 5" xfId="27521" xr:uid="{949EDBA9-FC57-4875-9EF4-C2BF883C6482}"/>
    <cellStyle name="常规 41" xfId="6830" xr:uid="{F5C83D8D-29A9-4BA8-85E3-AFDF57D5AF2F}"/>
    <cellStyle name="常规 41 2" xfId="6833" xr:uid="{594A633C-7020-4F90-8E67-262178F4EE77}"/>
    <cellStyle name="常规 41 2 2" xfId="24208" xr:uid="{F4B326D6-C1CA-405A-8780-7DE66661256F}"/>
    <cellStyle name="常规 41 2 3" xfId="24207" xr:uid="{E281A025-3393-4D22-93DF-0E70D97DB974}"/>
    <cellStyle name="常规 41 3" xfId="6860" xr:uid="{671105F1-746E-44FC-8C1B-4E6644945EDD}"/>
    <cellStyle name="常规 41 3 2" xfId="24209" xr:uid="{1AA61A6A-E2BA-458B-8A8F-FBD07168841A}"/>
    <cellStyle name="常规 41 4" xfId="24210" xr:uid="{E6F94D45-E964-49AF-894F-B811719C6971}"/>
    <cellStyle name="常规 41 5" xfId="24206" xr:uid="{07C20E7E-1FD9-40BD-9835-0BE63DA5FD55}"/>
    <cellStyle name="常规 42" xfId="6835" xr:uid="{B1F9055A-CA7F-43DE-9F01-E3435E987B87}"/>
    <cellStyle name="常规 42 2" xfId="6837" xr:uid="{E3F0638C-749A-413D-B1A2-0F595ED7D30A}"/>
    <cellStyle name="常规 42 2 2" xfId="24213" xr:uid="{2EB34FDF-0A7F-406B-8D30-C431583323DB}"/>
    <cellStyle name="常规 42 2 3" xfId="24212" xr:uid="{2E4D34F7-B676-41FB-9164-1CD63C81A0C3}"/>
    <cellStyle name="常规 42 3" xfId="24214" xr:uid="{10E38B8E-BDE2-417B-B728-18C0B0DF335F}"/>
    <cellStyle name="常规 42 4" xfId="24215" xr:uid="{1F36FC5C-773D-4656-A364-2D8D71D5C9C1}"/>
    <cellStyle name="常规 42 5" xfId="24211" xr:uid="{98F37B93-1CA7-40CE-B2C9-A391930BFDB6}"/>
    <cellStyle name="常规 42 6" xfId="27522" xr:uid="{89F3E3E7-6AD6-4B85-8209-7A8DD17B502C}"/>
    <cellStyle name="常规 43" xfId="6840" xr:uid="{37F321CA-B6B7-4995-B1F0-282EF5442C74}"/>
    <cellStyle name="常规 43 2" xfId="11010" xr:uid="{DD6FABC0-E6F3-41BE-A3E1-00265B7613F7}"/>
    <cellStyle name="常规 43 2 2" xfId="24218" xr:uid="{9EA09684-A6FA-4A33-BE1F-6854B8B2C883}"/>
    <cellStyle name="常规 43 2 3" xfId="24217" xr:uid="{1016B3BC-F6C7-4AAC-BBEA-A859CF861C7E}"/>
    <cellStyle name="常规 43 3" xfId="13529" xr:uid="{2409F3EE-7969-41F9-8967-906A654F7F35}"/>
    <cellStyle name="常规 43 3 2" xfId="24219" xr:uid="{63175ABC-F102-42E1-91C0-589233EE59D3}"/>
    <cellStyle name="常规 43 4" xfId="24220" xr:uid="{615F9EF3-1E5F-48BD-9594-60FDFEE567D0}"/>
    <cellStyle name="常规 43 5" xfId="24216" xr:uid="{C0BACFBE-657B-4F6A-AC15-E34A8C64F175}"/>
    <cellStyle name="常规 43 6" xfId="27523" xr:uid="{000F5C64-FE5A-4D70-BDE8-9D612987E886}"/>
    <cellStyle name="常规 44" xfId="6843" xr:uid="{FB6EAEC1-9F0F-47E0-849A-BC3B69C59154}"/>
    <cellStyle name="常规 44 2" xfId="24222" xr:uid="{746D36AB-050B-4136-B566-C7775A90E795}"/>
    <cellStyle name="常规 44 2 2" xfId="24223" xr:uid="{22A2C5D9-6D44-4F22-BC93-1D61B7304CDF}"/>
    <cellStyle name="常规 44 3" xfId="24224" xr:uid="{2EE5C1F9-2213-4ECB-9E9A-C9071D122E13}"/>
    <cellStyle name="常规 44 4" xfId="24225" xr:uid="{703E9EF6-C1F6-49BD-ADF6-C3F1BEB25332}"/>
    <cellStyle name="常规 44 5" xfId="24221" xr:uid="{2D66B24C-6B32-4149-B855-484E35EAD8D9}"/>
    <cellStyle name="常规 44 6" xfId="27524" xr:uid="{A408E4B9-BF18-40C9-825F-7B3EDC39A656}"/>
    <cellStyle name="常规 45" xfId="6861" xr:uid="{0614388C-B185-495A-86FB-19AE339C2E07}"/>
    <cellStyle name="常规 45 2" xfId="24227" xr:uid="{3E157636-C3CB-40D4-B919-64C928839E26}"/>
    <cellStyle name="常规 45 2 2" xfId="24228" xr:uid="{288361BC-8755-4FDF-BDC0-32C406750B3F}"/>
    <cellStyle name="常规 45 3" xfId="24229" xr:uid="{BD20AB94-8D2A-4A4D-A1FA-0B61C9D76FF6}"/>
    <cellStyle name="常规 45 4" xfId="24230" xr:uid="{2ED6D41D-1599-466C-8B5C-396AC5E4D9E7}"/>
    <cellStyle name="常规 45 5" xfId="24226" xr:uid="{F1619781-C770-4685-A900-17197F1D8DEB}"/>
    <cellStyle name="常规 45 6" xfId="27525" xr:uid="{8924206C-E282-4890-962E-2E1ADB63D55E}"/>
    <cellStyle name="常规 46" xfId="6863" xr:uid="{42D67CDE-FD14-4265-AC02-4788D2439AFA}"/>
    <cellStyle name="常规 46 10" xfId="24232" xr:uid="{704C2E8D-4D55-4394-B3A7-1622133E52A6}"/>
    <cellStyle name="常规 46 11" xfId="24231" xr:uid="{288D6C30-4207-4468-A9D5-E36237AC1A1B}"/>
    <cellStyle name="常规 46 2" xfId="11011" xr:uid="{1DE8B46F-6F04-4119-80C4-2D3CA4F3B0AB}"/>
    <cellStyle name="常规 46 2 10" xfId="24233" xr:uid="{A6AE25BA-DDC8-4A42-A970-F6898C01FD0A}"/>
    <cellStyle name="常规 46 2 2" xfId="24234" xr:uid="{FEDC7C18-ECF6-4CA7-937E-48EFBD1506FE}"/>
    <cellStyle name="常规 46 2 2 2" xfId="24235" xr:uid="{064DFC15-D214-43F6-8519-6EDFA1FDBBEE}"/>
    <cellStyle name="常规 46 2 2 3" xfId="24236" xr:uid="{990F87FE-0E11-4BE3-B9AF-6DF0FFEDE0A7}"/>
    <cellStyle name="常规 46 2 2 4" xfId="24237" xr:uid="{6E069D76-2997-4D5A-9CAD-00A9E3B4DB89}"/>
    <cellStyle name="常规 46 2 2 5" xfId="24238" xr:uid="{AF7A8BF9-8E25-47AD-8D54-41054BDD2D3C}"/>
    <cellStyle name="常规 46 2 2 6" xfId="24239" xr:uid="{E3697DB5-5BF4-4FDF-9F4E-EA5EB33A3450}"/>
    <cellStyle name="常规 46 2 2 7" xfId="24240" xr:uid="{F1AF341F-D6E1-4E95-AAF7-63F30805A6E5}"/>
    <cellStyle name="常规 46 2 2 8" xfId="24241" xr:uid="{EF4DB14F-B846-4B13-9EE7-94622AC81B09}"/>
    <cellStyle name="常规 46 2 2_动力部" xfId="24242" xr:uid="{B0697768-E6B4-4AD9-9B23-4D4D6B7B253F}"/>
    <cellStyle name="常规 46 2 3" xfId="24243" xr:uid="{13972F4C-85FF-4E38-9CC8-73DA4D14A49D}"/>
    <cellStyle name="常规 46 2 4" xfId="24244" xr:uid="{B86B0388-42D1-4401-BACC-6D51CBA545AC}"/>
    <cellStyle name="常规 46 2 5" xfId="24245" xr:uid="{B9A61F11-B48B-4236-817A-A16644C4CFA3}"/>
    <cellStyle name="常规 46 2 6" xfId="24246" xr:uid="{B1A4696D-8B46-42A6-997D-D8971309DAF0}"/>
    <cellStyle name="常规 46 2 7" xfId="24247" xr:uid="{DB8396A4-546B-49ED-8825-D2A6766BA301}"/>
    <cellStyle name="常规 46 2 8" xfId="24248" xr:uid="{21FA6725-9542-4CF3-95D7-393B9494082C}"/>
    <cellStyle name="常规 46 2 9" xfId="24249" xr:uid="{5BA52B92-0765-4DF9-8BC7-FF556A42764B}"/>
    <cellStyle name="常规 46 2_动力部" xfId="24250" xr:uid="{A9950B9B-D91E-42CD-8122-43F37CE43FB3}"/>
    <cellStyle name="常规 46 3" xfId="13530" xr:uid="{205BA620-EC21-4D42-9F7B-48BAC6520C45}"/>
    <cellStyle name="常规 46 3 2" xfId="24251" xr:uid="{78A924F7-E8FB-4FAC-96F6-31A936131D8C}"/>
    <cellStyle name="常规 46 4" xfId="24252" xr:uid="{86248B2F-24FB-41F1-8124-7ACC761AF1C0}"/>
    <cellStyle name="常规 46 5" xfId="24253" xr:uid="{A1E362E0-A85C-43E5-9EB1-D2E08A6E4DB7}"/>
    <cellStyle name="常规 46 6" xfId="24254" xr:uid="{8BC3BA54-B16E-4F59-8FAF-D27379E82B3E}"/>
    <cellStyle name="常规 46 7" xfId="24255" xr:uid="{C5B0FDFE-3525-42DF-88AB-90C11A735F70}"/>
    <cellStyle name="常规 46 8" xfId="24256" xr:uid="{6470CA90-67B6-45DB-B655-F720BAE6F589}"/>
    <cellStyle name="常规 46 9" xfId="24257" xr:uid="{3758BC8F-613F-46AE-967C-AA1779931840}"/>
    <cellStyle name="常规 46_动力部" xfId="24258" xr:uid="{C48792BC-2BE1-47BE-B04C-6CBA5213CCA8}"/>
    <cellStyle name="常规 47" xfId="6865" xr:uid="{61532C26-32AF-4041-9BB9-085CD809BE1C}"/>
    <cellStyle name="常规 47 2" xfId="11012" xr:uid="{3515938D-CD42-4EE8-8A6A-79EFAB5892CD}"/>
    <cellStyle name="常规 47 2 2" xfId="24260" xr:uid="{B0FF538C-9C4D-426A-8C0C-04FE30DB5FEC}"/>
    <cellStyle name="常规 47 3" xfId="13531" xr:uid="{3611E16E-4244-4776-A84C-2D7E7EF68F42}"/>
    <cellStyle name="常规 47 3 2" xfId="24261" xr:uid="{C09E8D2F-769F-4DFA-86A9-5C29DB386944}"/>
    <cellStyle name="常规 47 4" xfId="24262" xr:uid="{D8375D77-23D4-418D-8D76-B27D01A0A2F1}"/>
    <cellStyle name="常规 47 5" xfId="24263" xr:uid="{6B6A5487-8F9F-47ED-82CB-440D640D5955}"/>
    <cellStyle name="常规 47 6" xfId="24259" xr:uid="{9CF7639A-59FC-4BEB-B037-7357BC66476F}"/>
    <cellStyle name="常规 47 7" xfId="27526" xr:uid="{D51B22B9-6345-4B66-8E6F-6FFE5BE6CE4C}"/>
    <cellStyle name="常规 48" xfId="6867" xr:uid="{6D594F1D-9507-483B-A131-40C023266D9F}"/>
    <cellStyle name="常规 48 2" xfId="11013" xr:uid="{68C4129F-AD8F-44D6-BD87-2A191DF9C263}"/>
    <cellStyle name="常规 48 2 2" xfId="24265" xr:uid="{88901768-74D8-43D1-B516-AB0C73AAAE60}"/>
    <cellStyle name="常规 48 3" xfId="13532" xr:uid="{4EEF0F2E-C0F8-478D-942F-891D88A4C46D}"/>
    <cellStyle name="常规 48 3 2" xfId="24267" xr:uid="{670A78E9-9521-48EB-AE08-8E480A016828}"/>
    <cellStyle name="常规 48 3 3" xfId="24266" xr:uid="{9A5AE882-5349-4754-89CF-1064D0B0859B}"/>
    <cellStyle name="常规 48 4" xfId="24268" xr:uid="{F9740D9E-7899-4C6A-BF6D-B19342D692BC}"/>
    <cellStyle name="常规 48 5" xfId="24264" xr:uid="{2A156536-9F4E-4AA0-8B08-035FF51EABE1}"/>
    <cellStyle name="常规 49" xfId="6869" xr:uid="{409C73AF-AA27-487C-8BBD-DBA4D432BD1B}"/>
    <cellStyle name="常规 49 2" xfId="11014" xr:uid="{5E209B8C-F410-4381-B24F-04433FB85F31}"/>
    <cellStyle name="常规 49 2 2" xfId="24271" xr:uid="{9A8E408D-69E6-4723-AA36-25EEB8B2E676}"/>
    <cellStyle name="常规 49 2 3" xfId="24270" xr:uid="{49588234-F91A-4590-8DC2-A0ED1A0D5D4B}"/>
    <cellStyle name="常规 49 3" xfId="13533" xr:uid="{EA0AA054-A8B6-405C-9B51-E51EF84F1209}"/>
    <cellStyle name="常规 49 3 2" xfId="24273" xr:uid="{E74076A1-B4D2-4DAD-AA06-AD4618E80DD7}"/>
    <cellStyle name="常规 49 3 3" xfId="24272" xr:uid="{17DD5A9B-0BE1-48C1-A5FD-C0357EC96C80}"/>
    <cellStyle name="常规 49 4" xfId="24274" xr:uid="{1E4FBD3F-9D8F-47B9-B5E3-7FD24C43B4C1}"/>
    <cellStyle name="常规 49 5" xfId="24275" xr:uid="{D34B9723-1724-4F5B-B9B2-A086A30A009C}"/>
    <cellStyle name="常规 49 6" xfId="24269" xr:uid="{4436C7A8-91C1-4E41-AB21-7F7B62E2C3A8}"/>
    <cellStyle name="常规 49 7" xfId="27527" xr:uid="{BF05B1C3-75CC-419E-8C30-5C029D7CC322}"/>
    <cellStyle name="常规 49_动力部" xfId="24276" xr:uid="{585301A6-4500-4772-91D6-594044C96D1F}"/>
    <cellStyle name="常规 5" xfId="6871" xr:uid="{3CE6F33F-80B2-487B-A183-52A80A37F663}"/>
    <cellStyle name="常规 5 10" xfId="6872" xr:uid="{35EFA597-94D5-4448-A709-0A6743AC765C}"/>
    <cellStyle name="常规 5 11" xfId="6873" xr:uid="{3D5846CB-2299-4093-8C8E-5E4432775C95}"/>
    <cellStyle name="常规 5 12" xfId="6874" xr:uid="{43DEE876-5E5C-42B4-A044-8878A190F5C3}"/>
    <cellStyle name="常规 5 13" xfId="6875" xr:uid="{2C44A353-4805-43FE-BF7E-4AE09993C066}"/>
    <cellStyle name="常规 5 14" xfId="6876" xr:uid="{BFAA00D6-7C12-4FDC-9612-91A3A82DC5FF}"/>
    <cellStyle name="常规 5 15" xfId="6877" xr:uid="{3A51DB0B-5415-4EE9-AFBF-D0D58E2DA2FE}"/>
    <cellStyle name="常规 5 16" xfId="6879" xr:uid="{84B962BC-2135-4A4B-B3EA-61CB1CB42160}"/>
    <cellStyle name="常规 5 17" xfId="6881" xr:uid="{C5B53AA6-85AB-4819-BD0A-4F7290D25472}"/>
    <cellStyle name="常规 5 18" xfId="6883" xr:uid="{9CF3AFDB-FA27-4E7D-BB37-067A20E2EFA5}"/>
    <cellStyle name="常规 5 19" xfId="6884" xr:uid="{B75EFA8E-DDDB-426A-94E4-DB4423EB59A0}"/>
    <cellStyle name="常规 5 2" xfId="6885" xr:uid="{91CA8EF8-A354-4269-986C-7781F823E944}"/>
    <cellStyle name="常规 5 2 2" xfId="11015" xr:uid="{85645D23-8870-4C80-835C-60A04E93CC5E}"/>
    <cellStyle name="常规 5 2 2 2" xfId="24277" xr:uid="{13069350-1FDE-4748-892E-8E195E25D34E}"/>
    <cellStyle name="常规 5 2 3" xfId="24278" xr:uid="{9CE456ED-3FAF-4AF8-B883-B7527B7E4225}"/>
    <cellStyle name="常规 5 2 3 2" xfId="24279" xr:uid="{66BF9A37-1967-458F-A0D4-CC6ED5484381}"/>
    <cellStyle name="常规 5 2 4" xfId="24280" xr:uid="{0348D7B6-358C-47DF-BC86-2B880F4EE66C}"/>
    <cellStyle name="常规 5 2 5" xfId="24281" xr:uid="{E17C9DB5-EFC3-4A11-8C45-F06AB2C899E7}"/>
    <cellStyle name="常规 5 2 6" xfId="24282" xr:uid="{F278FF71-FC12-4A80-83C5-44044D3F9A73}"/>
    <cellStyle name="常规 5 2 7" xfId="24283" xr:uid="{895EE5E9-C288-4DBB-9CD8-A777747BCA18}"/>
    <cellStyle name="常规 5 2 8" xfId="24284" xr:uid="{F04B68B3-4964-40D5-A864-97E54447B55A}"/>
    <cellStyle name="常规 5 2_动力部" xfId="24285" xr:uid="{A08C4616-052F-4A5D-953F-0A0A7FD40A66}"/>
    <cellStyle name="常规 5 20" xfId="6878" xr:uid="{A7E5B160-F7CF-4EF2-9141-2CD98FB68FA6}"/>
    <cellStyle name="常规 5 21" xfId="6880" xr:uid="{EAE9A186-253A-4198-AB55-1472DAB00C37}"/>
    <cellStyle name="常规 5 22" xfId="6882" xr:uid="{966AC3ED-08F9-4A8C-8A8E-9A31F316E484}"/>
    <cellStyle name="常规 5 23" xfId="13534" xr:uid="{A1C7FF0A-4DE0-43C1-B448-5C7E1B29B459}"/>
    <cellStyle name="常规 5 24" xfId="13450" xr:uid="{3AA77F4C-9C6F-49AF-9355-2A84B42F51FB}"/>
    <cellStyle name="常规 5 25" xfId="27252" xr:uid="{FED10DDB-9192-41CC-A192-4453E064505D}"/>
    <cellStyle name="常规 5 26" xfId="27528" xr:uid="{2B2D01BB-347D-4124-9C01-7C2BFC48823D}"/>
    <cellStyle name="常规 5 3" xfId="6886" xr:uid="{DE6677D2-73B2-439F-AC8A-939B5AB8F97B}"/>
    <cellStyle name="常规 5 3 2" xfId="11016" xr:uid="{AACFCD49-BC7B-4713-A914-9771F4174A25}"/>
    <cellStyle name="常规 5 3 2 2" xfId="24287" xr:uid="{4D5A5ADA-EB87-4FB8-AAAD-D294DB56E0A9}"/>
    <cellStyle name="常规 5 3 3" xfId="24286" xr:uid="{080F8660-8DD7-454C-90D5-FF612FCAC80F}"/>
    <cellStyle name="常规 5 4" xfId="6887" xr:uid="{35707FB5-17E3-4D23-8063-CB7E8F416473}"/>
    <cellStyle name="常规 5 4 2" xfId="24289" xr:uid="{53C2820C-089D-4D11-AB24-13604925DF58}"/>
    <cellStyle name="常规 5 4 3" xfId="24288" xr:uid="{121AD011-C065-4A2E-9273-7BAF55A0B6DD}"/>
    <cellStyle name="常规 5 4 4" xfId="27775" xr:uid="{60F22014-6B95-457B-BBA4-47A81BE4ABED}"/>
    <cellStyle name="常规 5 5" xfId="6888" xr:uid="{63825CFD-E02A-4F0F-9062-1611AB065D46}"/>
    <cellStyle name="常规 5 5 2" xfId="11017" xr:uid="{5989468E-31E3-4863-8830-A70438B30E2E}"/>
    <cellStyle name="常规 5 5 3" xfId="27776" xr:uid="{90B0C0E4-0D4B-42E0-AB6A-ACBEE7E302EC}"/>
    <cellStyle name="常规 5 6" xfId="6889" xr:uid="{8DBBF568-62EA-47D8-B804-014826AF39F5}"/>
    <cellStyle name="常规 5 7" xfId="6890" xr:uid="{30ACA48F-B5AB-4DAF-93F5-73BD6889E3FA}"/>
    <cellStyle name="常规 5 8" xfId="6891" xr:uid="{945BCCDE-BFF1-428A-B03A-19EF0DDA9711}"/>
    <cellStyle name="常规 5 8 2" xfId="6892" xr:uid="{CCFE1047-C2E3-497B-BF05-517E30B78567}"/>
    <cellStyle name="常规 5 8 3" xfId="6893" xr:uid="{38CD899B-2410-4B2A-AA58-077F84FF8805}"/>
    <cellStyle name="常规 5 8 4" xfId="4670" xr:uid="{984F00BA-442C-468E-BE0F-D8052003DFB7}"/>
    <cellStyle name="常规 5 9" xfId="6894" xr:uid="{8A11F5EE-57AD-48AE-B9D7-E15107FB21EF}"/>
    <cellStyle name="常规 5_2015年利润预算汇总表" xfId="24290" xr:uid="{AE0428F4-E10C-42FE-8599-04A646DD1F44}"/>
    <cellStyle name="常规 50" xfId="6862" xr:uid="{490E57B0-92E4-479D-8388-81810075D600}"/>
    <cellStyle name="常规 50 2" xfId="11018" xr:uid="{8EA9F8EB-E82A-4CB8-AFBE-DAD00CD1E391}"/>
    <cellStyle name="常规 50 2 2" xfId="24293" xr:uid="{781D56E3-290E-4D36-9936-0E572D93A9FF}"/>
    <cellStyle name="常规 50 2 3" xfId="24292" xr:uid="{3EE846D6-21F3-46E2-82CD-693B087DB1E2}"/>
    <cellStyle name="常规 50 3" xfId="24294" xr:uid="{61C5902A-76F7-4A53-A141-4C114C8BA089}"/>
    <cellStyle name="常规 50 4" xfId="24295" xr:uid="{3C9082F5-6326-4C0E-B7C9-53CBE064A9DB}"/>
    <cellStyle name="常规 50 4 2" xfId="24296" xr:uid="{B336863D-D174-45AC-A845-BF359072CD04}"/>
    <cellStyle name="常规 50 5" xfId="24297" xr:uid="{7E8718CF-FF5A-4C19-ACE3-68ABA5AFDA0E}"/>
    <cellStyle name="常规 50 6" xfId="24298" xr:uid="{B355DA5F-237E-4C8A-BBA4-44E0FF70AE29}"/>
    <cellStyle name="常规 50 7" xfId="24299" xr:uid="{418646DC-4BB3-45A1-A770-F09EE9B7F90F}"/>
    <cellStyle name="常规 50 8" xfId="24291" xr:uid="{477D650C-100F-440B-ABB0-E9F036E62498}"/>
    <cellStyle name="常规 50_动力部" xfId="24300" xr:uid="{801E52C7-17E4-4886-B328-24FE88D498F8}"/>
    <cellStyle name="常规 51" xfId="6864" xr:uid="{B75735F8-D103-42C7-B1E0-59EDF8623F3A}"/>
    <cellStyle name="常规 51 2" xfId="11019" xr:uid="{DDDA4C51-7959-4F52-9744-457672650B07}"/>
    <cellStyle name="常规 51 2 2" xfId="24303" xr:uid="{B85D72ED-820B-441D-ACD4-471932FE39C6}"/>
    <cellStyle name="常规 51 2 3" xfId="24302" xr:uid="{50666651-1A9D-433E-990C-A984C5517FF7}"/>
    <cellStyle name="常规 51 3" xfId="13535" xr:uid="{C71DA8AB-F479-4042-A209-0BDE4E02BA49}"/>
    <cellStyle name="常规 51 3 2" xfId="24304" xr:uid="{EADC73E9-4280-40C3-BC1B-A73347EDAED4}"/>
    <cellStyle name="常规 51 4" xfId="24305" xr:uid="{457CD9F5-E924-4D88-8A85-50B7DAFB5A96}"/>
    <cellStyle name="常规 51 5" xfId="24306" xr:uid="{F35487BD-C9B0-488F-970F-812DA1284804}"/>
    <cellStyle name="常规 51 6" xfId="24301" xr:uid="{E7795C63-AF91-4A3E-8000-724E822AF34B}"/>
    <cellStyle name="常规 52" xfId="6866" xr:uid="{3857EF49-6E00-4CA3-87DF-D615613147B9}"/>
    <cellStyle name="常规 52 2" xfId="11020" xr:uid="{49171411-D0B1-4157-97B6-32BE51BC8A39}"/>
    <cellStyle name="常规 52 2 2" xfId="24308" xr:uid="{777D615A-4819-4B16-BABB-AF6EFC3F3CD2}"/>
    <cellStyle name="常规 52 3" xfId="13536" xr:uid="{58DD1679-5A89-4F0B-A747-D73C55697A20}"/>
    <cellStyle name="常规 52 3 2" xfId="24309" xr:uid="{AAB6251B-E4E8-4473-9D2C-5A203A94766E}"/>
    <cellStyle name="常规 52 4" xfId="24307" xr:uid="{3765692E-017A-4411-85A0-65E87A3A724C}"/>
    <cellStyle name="常规 53" xfId="6868" xr:uid="{768A3FCF-7FB5-4BED-9087-FCFC2557B8E6}"/>
    <cellStyle name="常规 53 2" xfId="11021" xr:uid="{33F9D055-EFCC-4277-82DA-9CC948C35CA9}"/>
    <cellStyle name="常规 53 2 2" xfId="24310" xr:uid="{452978CE-0D16-4740-8AF5-130226C2ADA3}"/>
    <cellStyle name="常规 53 3" xfId="24311" xr:uid="{0C31FA2F-7141-4565-B481-0D038624C1E5}"/>
    <cellStyle name="常规 53 4" xfId="24312" xr:uid="{C30F4255-BEC9-49E6-9E41-CEF63FD05C2F}"/>
    <cellStyle name="常规 54" xfId="6870" xr:uid="{5D7A64D7-126E-4E16-9447-E37D54FC01BF}"/>
    <cellStyle name="常规 54 2" xfId="11022" xr:uid="{618EC658-877D-4214-BB35-5DBC1475B3D8}"/>
    <cellStyle name="常规 54 2 2" xfId="24313" xr:uid="{A06477EA-78F5-41C0-B9EC-5E3E8935035C}"/>
    <cellStyle name="常规 54 3" xfId="24314" xr:uid="{C7C92AF8-7A97-4C22-BF0D-E7A90C3B7947}"/>
    <cellStyle name="常规 54 4" xfId="24315" xr:uid="{E8467502-C052-4135-88B3-61CEEF54C4D8}"/>
    <cellStyle name="常规 54 5" xfId="24316" xr:uid="{ED2FA6E5-F3E1-4F22-9C55-37BEE0AFAE87}"/>
    <cellStyle name="常规 55" xfId="6895" xr:uid="{E1C0616C-4A14-4502-B543-87C3812A0700}"/>
    <cellStyle name="常规 55 2" xfId="11023" xr:uid="{DA754A04-DCC9-460D-B429-4182108C194A}"/>
    <cellStyle name="常规 55 2 2" xfId="24318" xr:uid="{DBA2A36B-B562-4D0C-B7CD-2E27F42CB79A}"/>
    <cellStyle name="常规 55 3" xfId="13538" xr:uid="{49373D78-4B07-4B0F-B660-778C6F348F70}"/>
    <cellStyle name="常规 55 3 2" xfId="24319" xr:uid="{CD6247A1-3824-4877-9775-4F69ED916127}"/>
    <cellStyle name="常规 55 4" xfId="24317" xr:uid="{94F12934-0E65-4A78-B5C4-BCB6A84A363D}"/>
    <cellStyle name="常规 56" xfId="6897" xr:uid="{561A647C-1753-45C1-870C-B36AAC9D8A46}"/>
    <cellStyle name="常规 56 2" xfId="11024" xr:uid="{02A55BA8-B142-4490-B739-40B764AECFA6}"/>
    <cellStyle name="常规 56 2 2" xfId="24321" xr:uid="{8026032C-FEAC-476B-B27D-B45A013CBE35}"/>
    <cellStyle name="常规 56 3" xfId="13539" xr:uid="{436373C6-6DC7-4D2E-9861-DA77A3200E65}"/>
    <cellStyle name="常规 56 3 2" xfId="24322" xr:uid="{18A7F60C-165A-4F1B-BEF2-6D3DEB2D998E}"/>
    <cellStyle name="常规 56 4" xfId="24320" xr:uid="{083727E6-F866-4343-B1C7-3F841B0B04AC}"/>
    <cellStyle name="常规 57" xfId="6899" xr:uid="{2A962D3F-6DBC-4560-9CAC-4CE27FECD659}"/>
    <cellStyle name="常规 57 2" xfId="11025" xr:uid="{BCB35F78-6F39-4718-B90D-397AA15C54F2}"/>
    <cellStyle name="常规 57 2 2" xfId="24324" xr:uid="{5837482C-A9D5-4CBB-BDC6-E4BAF2A62740}"/>
    <cellStyle name="常规 57 3" xfId="13540" xr:uid="{854C6F0F-B9B3-45AE-AF07-51022A91E9FA}"/>
    <cellStyle name="常规 57 3 2" xfId="24325" xr:uid="{886F525E-FEC2-4D43-85BB-C4B92E000A0D}"/>
    <cellStyle name="常规 57 4" xfId="24323" xr:uid="{6F400750-E890-436F-AAED-CAFB6A666E49}"/>
    <cellStyle name="常规 58" xfId="6901" xr:uid="{47A10141-7D14-4101-80CF-FB8C40F3203D}"/>
    <cellStyle name="常规 58 2" xfId="11026" xr:uid="{5EC9BCF6-44BD-4DC7-A13A-2E053048941C}"/>
    <cellStyle name="常规 58 2 2" xfId="24327" xr:uid="{79ECEC41-D171-466E-8F45-6F4B122C84CA}"/>
    <cellStyle name="常规 58 3" xfId="13541" xr:uid="{2620F838-B253-46D3-8B9E-59BC02FAEC50}"/>
    <cellStyle name="常规 58 3 2" xfId="24328" xr:uid="{510D23AC-22DB-44D5-971E-88355E9A5789}"/>
    <cellStyle name="常规 58 4" xfId="24326" xr:uid="{E1536DCA-33C4-4742-AAD1-87CFF89E2471}"/>
    <cellStyle name="常规 59" xfId="6903" xr:uid="{203C9EE3-EDDD-437E-8196-0F7778A69091}"/>
    <cellStyle name="常规 59 2" xfId="11027" xr:uid="{93D7CDD9-5EF7-4693-BAAC-40A218CA9A2B}"/>
    <cellStyle name="常规 59 2 2" xfId="24330" xr:uid="{C937C195-D493-43C4-B7AB-7FD34DB0216E}"/>
    <cellStyle name="常规 59 3" xfId="13542" xr:uid="{C7E3F66F-EC8A-4690-8B8C-9BE4D8DD95D1}"/>
    <cellStyle name="常规 59 3 2" xfId="24331" xr:uid="{BF744CDE-4D33-48E8-B4B9-CE273C0A4632}"/>
    <cellStyle name="常规 59 4" xfId="24329" xr:uid="{7FF18EC2-0A0A-465A-993F-607185AD4435}"/>
    <cellStyle name="常规 6" xfId="6905" xr:uid="{16BA0C8F-35F1-444A-8C88-41F7ED1AC514}"/>
    <cellStyle name="常规 6 10" xfId="11029" xr:uid="{3BC39F94-3111-4DF8-9DB5-0EE1855FD716}"/>
    <cellStyle name="常规 6 11" xfId="11030" xr:uid="{9FE5C5C1-4C9D-47FB-8551-0E616FF273C7}"/>
    <cellStyle name="常规 6 12" xfId="11031" xr:uid="{C535C625-2745-4652-9191-2F1F0B12F3EC}"/>
    <cellStyle name="常规 6 13" xfId="11032" xr:uid="{938F7970-6603-46D6-8F1B-997144D66A49}"/>
    <cellStyle name="常规 6 14" xfId="11033" xr:uid="{703EEDF4-F6E4-4F9C-880E-EB3690064B30}"/>
    <cellStyle name="常规 6 15" xfId="11034" xr:uid="{1494CE4C-88A3-4589-B0E7-B9F7A3986AF9}"/>
    <cellStyle name="常规 6 16" xfId="11035" xr:uid="{F1E68646-0AA2-4E2F-A290-BDDFE9E11636}"/>
    <cellStyle name="常规 6 17" xfId="11036" xr:uid="{652A2364-0C66-4116-BB95-DF4802574C0B}"/>
    <cellStyle name="常规 6 18" xfId="11037" xr:uid="{52929C5C-BCCD-4591-9BAC-480B53D21012}"/>
    <cellStyle name="常规 6 19" xfId="11038" xr:uid="{95FB5A3E-0900-475E-BDE4-78973C4F2CF6}"/>
    <cellStyle name="常规 6 2" xfId="6906" xr:uid="{6CC5C0D5-3326-4521-8D6C-2DAFBF8760A2}"/>
    <cellStyle name="常规 6 2 2" xfId="11039" xr:uid="{1C90C12E-2D27-4978-81EF-7FA6A233A718}"/>
    <cellStyle name="常规 6 2 2 2" xfId="24332" xr:uid="{28624C41-BC76-4732-9FAB-4FE883023EF3}"/>
    <cellStyle name="常规 6 2 3" xfId="24333" xr:uid="{4FD47821-464B-40BD-AC11-327D6A049906}"/>
    <cellStyle name="常规 6 2 4" xfId="24334" xr:uid="{E5181EA4-D5E5-49C7-9BC7-9EDF6920C568}"/>
    <cellStyle name="常规 6 2 5" xfId="24335" xr:uid="{C3F771CC-0C64-4C18-8EAA-E63F9CA6B345}"/>
    <cellStyle name="常规 6 2 6" xfId="24336" xr:uid="{F527D381-D91C-4508-A40D-C428BF573D58}"/>
    <cellStyle name="常规 6 2 7" xfId="24337" xr:uid="{D9846A54-C816-4454-9D1F-D479B4AA905C}"/>
    <cellStyle name="常规 6 2_球团工序" xfId="24338" xr:uid="{31EAACAF-AE0B-4B17-9842-06AB98CD75F6}"/>
    <cellStyle name="常规 6 20" xfId="11040" xr:uid="{D960C5B0-1FA6-4DC7-B1B1-E7B7BFFAFE3A}"/>
    <cellStyle name="常规 6 21" xfId="11041" xr:uid="{DEBB5511-EC56-4D4F-99C1-75386F80C25A}"/>
    <cellStyle name="常规 6 22" xfId="11042" xr:uid="{0FD3ACFB-7C2D-4478-AF8D-4FEA72ACEA7F}"/>
    <cellStyle name="常规 6 23" xfId="11043" xr:uid="{338FF810-014F-489D-8929-D7373893B9EE}"/>
    <cellStyle name="常规 6 24" xfId="11028" xr:uid="{70473402-5F2E-4B10-9087-A20357192DB0}"/>
    <cellStyle name="常规 6 25" xfId="12331" xr:uid="{FD02CCD8-32E0-4969-8D63-742BF08BE7B6}"/>
    <cellStyle name="常规 6 26" xfId="27253" xr:uid="{22B92F55-B4C5-46AA-B2B9-928611ED4EE1}"/>
    <cellStyle name="常规 6 27" xfId="27777" xr:uid="{68A8A7B6-EA52-4E1C-9F22-679504E9F8B6}"/>
    <cellStyle name="常规 6 3" xfId="6907" xr:uid="{DA316379-A6AA-4F71-A1ED-953C377F9167}"/>
    <cellStyle name="常规 6 3 2" xfId="11044" xr:uid="{A930630D-F187-492A-AFB6-430EFAC2D308}"/>
    <cellStyle name="常规 6 4" xfId="6908" xr:uid="{4F412FA2-ACC8-4B54-872D-27AD66B39C10}"/>
    <cellStyle name="常规 6 4 2" xfId="11045" xr:uid="{3DAF3C67-1C39-4B61-9E18-C654DD13056E}"/>
    <cellStyle name="常规 6 5" xfId="6910" xr:uid="{8BFFA727-3893-4BA9-B252-58DE0C9B828C}"/>
    <cellStyle name="常规 6 6" xfId="6911" xr:uid="{73238C92-71C3-4DD4-B4F1-1DC240F7F213}"/>
    <cellStyle name="常规 6 6 2" xfId="11046" xr:uid="{3B3CFC02-5AD4-43C2-9FEA-9321E56D6F7D}"/>
    <cellStyle name="常规 6 7" xfId="11047" xr:uid="{9D1A1AF1-E414-47FF-8636-DC23CE858EE0}"/>
    <cellStyle name="常规 6 8" xfId="11048" xr:uid="{11A2182D-5815-47AB-A97E-443CA8440446}"/>
    <cellStyle name="常规 6 9" xfId="11049" xr:uid="{FF4C1989-6D1F-4137-80DC-5488B39D5844}"/>
    <cellStyle name="常规 6_2015年工艺质量科全面预算" xfId="24339" xr:uid="{81202296-166A-47FD-BFD1-6930B6069B1C}"/>
    <cellStyle name="常规 60" xfId="6896" xr:uid="{18C7B80D-FF55-494E-A927-1A7BD63D833E}"/>
    <cellStyle name="常规 60 10" xfId="24341" xr:uid="{F5786F8F-0A5D-4F26-A2E4-F7D5DB55C4F0}"/>
    <cellStyle name="常规 60 11" xfId="24342" xr:uid="{6083CA29-4807-4FB2-9296-E2EB83996EFB}"/>
    <cellStyle name="常规 60 12" xfId="24343" xr:uid="{DF67253E-CC33-4AEF-B418-6E00CA974C94}"/>
    <cellStyle name="常规 60 13" xfId="24344" xr:uid="{1F72E12E-E9DB-45C9-B97B-9F902A6B0A32}"/>
    <cellStyle name="常规 60 14" xfId="24345" xr:uid="{E1164454-9249-4E74-9462-7D97399721D1}"/>
    <cellStyle name="常规 60 15" xfId="24340" xr:uid="{B0968FD7-42EB-41DA-982D-4DB75688E3D1}"/>
    <cellStyle name="常规 60 2" xfId="11050" xr:uid="{8575C668-F6F3-4008-999A-A2120B68B70B}"/>
    <cellStyle name="常规 60 2 10" xfId="24347" xr:uid="{FA0CE1C8-4DAB-4632-99FF-E0F32B635CCB}"/>
    <cellStyle name="常规 60 2 11" xfId="24348" xr:uid="{BBDB7886-7BC5-4703-B583-A6663AAE7576}"/>
    <cellStyle name="常规 60 2 12" xfId="24349" xr:uid="{4781190B-B17D-4564-94B0-E73F92028886}"/>
    <cellStyle name="常规 60 2 13" xfId="24350" xr:uid="{5E7B8694-DE64-4B57-9780-B4A1B5999DB4}"/>
    <cellStyle name="常规 60 2 14" xfId="24346" xr:uid="{8DA6A1FE-E656-4DF1-BD87-98CF8EC4620F}"/>
    <cellStyle name="常规 60 2 2" xfId="24351" xr:uid="{891F91D5-3085-480B-A649-A394BEDA4D0D}"/>
    <cellStyle name="常规 60 2 3" xfId="24352" xr:uid="{E064DDF7-0B68-4293-A555-37251E9D15A6}"/>
    <cellStyle name="常规 60 2 4" xfId="24353" xr:uid="{577156F0-1BDB-4D26-87F2-6686B08B3D3B}"/>
    <cellStyle name="常规 60 2 5" xfId="24354" xr:uid="{FBCB43D5-461A-4F8A-889F-9520102B6619}"/>
    <cellStyle name="常规 60 2 6" xfId="24355" xr:uid="{3461590A-7F03-4B17-9DE5-651CFB33F997}"/>
    <cellStyle name="常规 60 2 7" xfId="24356" xr:uid="{EDA95DEB-7583-402A-978B-8AC424C81705}"/>
    <cellStyle name="常规 60 2 8" xfId="24357" xr:uid="{9B1324EC-CA18-47B9-98DB-0A3DA230B037}"/>
    <cellStyle name="常规 60 2 9" xfId="24358" xr:uid="{48FFD33B-21BA-4BFD-855C-C5D03C78DC9F}"/>
    <cellStyle name="常规 60 3" xfId="13544" xr:uid="{2D01AF30-C71F-454D-8AFC-0A6FDCFFEE28}"/>
    <cellStyle name="常规 60 3 2" xfId="24360" xr:uid="{B688A0C9-D457-40FE-BB90-04AB95048725}"/>
    <cellStyle name="常规 60 3 3" xfId="24359" xr:uid="{99A72512-5555-4A60-9FEB-13A7FD783998}"/>
    <cellStyle name="常规 60 4" xfId="24361" xr:uid="{E230D8D7-EB93-4F38-AA6C-520A953CE989}"/>
    <cellStyle name="常规 60 5" xfId="24362" xr:uid="{7BA0012B-B1EA-473C-9C5F-1C3A52F19810}"/>
    <cellStyle name="常规 60 6" xfId="24363" xr:uid="{72A6AE74-FC2F-4854-BF09-E7C82AD356F2}"/>
    <cellStyle name="常规 60 7" xfId="24364" xr:uid="{878AF4F8-B1A0-4316-892F-76DB44361F54}"/>
    <cellStyle name="常规 60 8" xfId="24365" xr:uid="{8A8235A1-391D-46C9-B556-11BA99B58A23}"/>
    <cellStyle name="常规 60 9" xfId="24366" xr:uid="{AE7FA70A-1851-4CBE-8CB5-FA3DB41DE372}"/>
    <cellStyle name="常规 61" xfId="6898" xr:uid="{EACC59E2-EF24-4FD1-BF29-A4FC6A48824E}"/>
    <cellStyle name="常规 61 10" xfId="24368" xr:uid="{424D0A23-6AA1-4B5C-8F03-CA0649CF07BA}"/>
    <cellStyle name="常规 61 11" xfId="24369" xr:uid="{F6E35670-8B27-4629-8BD2-1C8434BBC498}"/>
    <cellStyle name="常规 61 12" xfId="24370" xr:uid="{0F9B05F2-4396-4591-B96D-7CE1A89F1464}"/>
    <cellStyle name="常规 61 13" xfId="24371" xr:uid="{17A7F75B-81D6-456B-9620-166537B1A7B1}"/>
    <cellStyle name="常规 61 14" xfId="24372" xr:uid="{74C46223-755B-4072-B1EB-AC25A4DF69C5}"/>
    <cellStyle name="常规 61 15" xfId="24367" xr:uid="{A90BF138-4508-4290-AC18-2B1E3437432D}"/>
    <cellStyle name="常规 61 2" xfId="13545" xr:uid="{C029852B-D0E5-4879-8D09-6A53ED4970D9}"/>
    <cellStyle name="常规 61 2 10" xfId="24374" xr:uid="{31823183-236C-44A4-B474-808A4A7D96D5}"/>
    <cellStyle name="常规 61 2 11" xfId="24375" xr:uid="{8732DCF1-1EDD-4422-9D83-F58BA82BB468}"/>
    <cellStyle name="常规 61 2 12" xfId="24376" xr:uid="{9050BD3F-0FD3-4F40-A288-BC2E575722A3}"/>
    <cellStyle name="常规 61 2 13" xfId="24377" xr:uid="{7D008ADA-4B7D-41A9-B916-BDBA0FD8A80B}"/>
    <cellStyle name="常规 61 2 14" xfId="24373" xr:uid="{4813E468-B7C2-49D9-A2F4-79FEF14234AC}"/>
    <cellStyle name="常规 61 2 2" xfId="24378" xr:uid="{8D8F970D-7305-4666-971C-E65F19BD28F0}"/>
    <cellStyle name="常规 61 2 3" xfId="24379" xr:uid="{CEA07CF3-FF6B-47FA-B953-80BB21D61F46}"/>
    <cellStyle name="常规 61 2 4" xfId="24380" xr:uid="{4D4BEBD6-43C1-43B3-AE71-748F94D2D315}"/>
    <cellStyle name="常规 61 2 5" xfId="24381" xr:uid="{7FD5299D-691B-4EB2-B187-033EC248426F}"/>
    <cellStyle name="常规 61 2 6" xfId="24382" xr:uid="{3E2A5716-AB8E-4923-93F9-1E3FD260B266}"/>
    <cellStyle name="常规 61 2 7" xfId="24383" xr:uid="{05FAA0C6-368D-4297-AB19-6262F066E135}"/>
    <cellStyle name="常规 61 2 8" xfId="24384" xr:uid="{680899CC-75A7-4CF0-A957-AFD78E7E8C67}"/>
    <cellStyle name="常规 61 2 9" xfId="24385" xr:uid="{00914AD4-6F0D-4D88-8E27-04115D2C79F0}"/>
    <cellStyle name="常规 61 3" xfId="24386" xr:uid="{5059299F-B172-48E5-8E09-BBA39603C834}"/>
    <cellStyle name="常规 61 3 2" xfId="24387" xr:uid="{D6C6CE9E-7E22-4575-962C-3625097612FF}"/>
    <cellStyle name="常规 61 4" xfId="24388" xr:uid="{0791501D-78DE-402A-8AE7-0FAEFA92AF3F}"/>
    <cellStyle name="常规 61 5" xfId="24389" xr:uid="{DA84C428-A70A-4682-A272-80DD23434B7A}"/>
    <cellStyle name="常规 61 6" xfId="24390" xr:uid="{4ED149A5-B4CF-4958-8560-BA552C83952D}"/>
    <cellStyle name="常规 61 7" xfId="24391" xr:uid="{0D672BC9-C4F0-4899-87DD-2B407416D98E}"/>
    <cellStyle name="常规 61 8" xfId="24392" xr:uid="{73B56405-F194-4CB2-8279-33C71FB06549}"/>
    <cellStyle name="常规 61 9" xfId="24393" xr:uid="{2AD268D9-8C24-4CA1-88A7-7A64FA9959D3}"/>
    <cellStyle name="常规 62" xfId="6900" xr:uid="{52253F2E-6A01-4D83-83F8-12496A586B49}"/>
    <cellStyle name="常规 62 2" xfId="13546" xr:uid="{6CDAD6FC-DBDC-4515-A828-D459D373CE4A}"/>
    <cellStyle name="常规 62 2 2" xfId="24396" xr:uid="{BF0AA99C-371E-440F-AD2E-6934FB3CF670}"/>
    <cellStyle name="常规 62 2 3" xfId="24395" xr:uid="{2D953459-C926-4FBE-81CA-D16A3DC8B4BA}"/>
    <cellStyle name="常规 62 3" xfId="24394" xr:uid="{7694CB3F-AE8E-4681-9067-95F51217BA41}"/>
    <cellStyle name="常规 63" xfId="6902" xr:uid="{F3E654FE-30BC-4C6B-9AAE-85D64B894F27}"/>
    <cellStyle name="常规 63 2" xfId="13547" xr:uid="{D7A3A68F-4069-412C-8EF3-D02F8D94D3A5}"/>
    <cellStyle name="常规 63 2 2" xfId="24398" xr:uid="{D47A4A22-36EF-44AF-89B7-FAE7EB7B3E78}"/>
    <cellStyle name="常规 63 3" xfId="24397" xr:uid="{D630CA9E-886F-4CAA-9223-ABE710A39597}"/>
    <cellStyle name="常规 64" xfId="6904" xr:uid="{918F75B0-FA5A-41C0-B5CB-BD80FA6BBE08}"/>
    <cellStyle name="常规 64 2" xfId="13548" xr:uid="{63D9D4DF-F793-48CD-88AD-53B1663D3D8E}"/>
    <cellStyle name="常规 64 2 2" xfId="24400" xr:uid="{E67DA588-1BFE-47CC-8166-4CA87A37FA33}"/>
    <cellStyle name="常规 64 3" xfId="24399" xr:uid="{8F084C26-B833-4C9D-B876-5AEE2956A7AD}"/>
    <cellStyle name="常规 65" xfId="6912" xr:uid="{1E4190D0-F0F9-45AB-BA32-D630918325DA}"/>
    <cellStyle name="常规 65 2" xfId="13549" xr:uid="{F5D6BDB3-D2FF-4103-B569-123E5A320BAF}"/>
    <cellStyle name="常规 65 2 2" xfId="24402" xr:uid="{F6454004-F148-4443-B91A-30D683402BB0}"/>
    <cellStyle name="常规 65 3" xfId="24401" xr:uid="{1D9E7882-9682-42C1-850E-D6ABCE1266CB}"/>
    <cellStyle name="常规 66" xfId="6914" xr:uid="{1A240332-0994-41E3-B26F-6E0570F36479}"/>
    <cellStyle name="常规 66 2" xfId="13550" xr:uid="{53862483-678E-4BE0-9F68-F55722E46820}"/>
    <cellStyle name="常规 66 2 2" xfId="24404" xr:uid="{00F5DF25-18D8-47A8-9142-00AA21D44BD2}"/>
    <cellStyle name="常规 66 3" xfId="24403" xr:uid="{D045BC6C-F0B2-495E-A05D-C2A46FB6EB8D}"/>
    <cellStyle name="常规 67" xfId="6916" xr:uid="{461A1544-0962-423E-95FC-8019CCD1F377}"/>
    <cellStyle name="常规 67 2" xfId="13551" xr:uid="{074F977B-67C4-41AB-AFF8-86E9B70C69F0}"/>
    <cellStyle name="常规 67 2 2" xfId="24406" xr:uid="{F27EB0D6-F008-4E64-8AB9-5F9DF5A2DA57}"/>
    <cellStyle name="常规 67 3" xfId="24405" xr:uid="{27613FC7-576D-4A11-9974-521C0DE8C461}"/>
    <cellStyle name="常规 68" xfId="6918" xr:uid="{7521EBAF-A87C-44AF-BDCE-BFDAE1F87F9D}"/>
    <cellStyle name="常规 68 2" xfId="13552" xr:uid="{C9E96A7B-E8A1-4C8F-880C-0D10D388D7E3}"/>
    <cellStyle name="常规 68 2 2" xfId="24408" xr:uid="{80100D6D-ED2C-4358-991A-AE07710A7C2A}"/>
    <cellStyle name="常规 68 3" xfId="24407" xr:uid="{D126D8A7-1064-44D6-A175-ABFCED7D1593}"/>
    <cellStyle name="常规 69" xfId="6920" xr:uid="{919A5B48-1CB8-4DA7-AAF2-897DA263F9EF}"/>
    <cellStyle name="常规 69 2" xfId="13553" xr:uid="{62110595-C14A-4D6C-BA4B-B027E2710038}"/>
    <cellStyle name="常规 69 2 2" xfId="24410" xr:uid="{00038EB7-1FD2-4553-8ACB-12D9F7613DAE}"/>
    <cellStyle name="常规 69 3" xfId="24409" xr:uid="{3E9F0F53-FC23-466C-AF82-1A53116B8E29}"/>
    <cellStyle name="常规 7" xfId="6922" xr:uid="{7CE77B0B-5FD6-487C-8C0C-B74DDAED0CC3}"/>
    <cellStyle name="常规 7 10" xfId="11052" xr:uid="{D6BFECE0-0BAC-4FF5-9AC0-73B9A0AF2658}"/>
    <cellStyle name="常规 7 11" xfId="11053" xr:uid="{13839D7B-534F-4D62-ADAD-1A366E04419C}"/>
    <cellStyle name="常规 7 12" xfId="11054" xr:uid="{A8AD88B8-D8B7-404E-B12B-5F54689CF238}"/>
    <cellStyle name="常规 7 13" xfId="11055" xr:uid="{01214762-6737-4A73-837E-08AAF81C8097}"/>
    <cellStyle name="常规 7 14" xfId="11056" xr:uid="{F79911A7-3814-4FEC-A87B-E72D13372FC0}"/>
    <cellStyle name="常规 7 15" xfId="11057" xr:uid="{94613EB2-207B-4297-A314-A01D3F688B68}"/>
    <cellStyle name="常规 7 16" xfId="11058" xr:uid="{1CA4EB3D-291F-4AC4-8137-6FEA354D9456}"/>
    <cellStyle name="常规 7 17" xfId="11059" xr:uid="{002F82CE-B512-4443-8DF8-CFAA45E83608}"/>
    <cellStyle name="常规 7 18" xfId="11060" xr:uid="{B8BF6EE1-0001-40CF-B7F6-B1873ADE74F7}"/>
    <cellStyle name="常规 7 19" xfId="11061" xr:uid="{32FD42ED-CA48-4FFE-9E4D-4C21A4807055}"/>
    <cellStyle name="常规 7 2" xfId="6923" xr:uid="{AC49F708-0871-465D-A01E-5440C91481BD}"/>
    <cellStyle name="常规 7 2 2" xfId="11063" xr:uid="{0593EB7C-7E8E-4287-AC9D-5A934ADDB2C0}"/>
    <cellStyle name="常规 7 2 2 2" xfId="24411" xr:uid="{8C97B3D1-151D-4EFB-AB3A-3A7B0943506A}"/>
    <cellStyle name="常规 7 2 3" xfId="11064" xr:uid="{A6F808B3-EC80-4A6E-B659-BC3C26D37F21}"/>
    <cellStyle name="常规 7 2 3 2" xfId="24412" xr:uid="{4786AF44-E6BF-4585-9F72-39F8B705104E}"/>
    <cellStyle name="常规 7 2 4" xfId="11062" xr:uid="{D92A6D09-C10F-4E99-9A10-6F4D82EDCCAF}"/>
    <cellStyle name="常规 7 2 4 2" xfId="24413" xr:uid="{B2D241BD-0D8A-4FE5-8338-9DD3D840C839}"/>
    <cellStyle name="常规 7 2 5" xfId="24414" xr:uid="{D1F1F7E0-8370-4C12-99D6-AED259006FC8}"/>
    <cellStyle name="常规 7 2 6" xfId="24415" xr:uid="{44C72074-9B7F-4B10-B4F5-BB8483D6A771}"/>
    <cellStyle name="常规 7 2 7" xfId="24416" xr:uid="{834ADAD1-8B18-440E-98C6-E0F95DC91C4B}"/>
    <cellStyle name="常规 7 2 8" xfId="27530" xr:uid="{0338D232-5BBA-4F33-8848-EEE9F3F8483A}"/>
    <cellStyle name="常规 7 2_球团工序" xfId="24417" xr:uid="{D3E48BF6-F0EF-4C46-8417-206C87531428}"/>
    <cellStyle name="常规 7 20" xfId="11065" xr:uid="{FFE3E517-D542-4088-B5E3-F76335696671}"/>
    <cellStyle name="常规 7 21" xfId="11066" xr:uid="{322FC459-958A-4974-ADA7-84FE2487EBA6}"/>
    <cellStyle name="常规 7 22" xfId="11067" xr:uid="{5EB7FB6D-1F86-4334-BEE3-1B78CC9601C9}"/>
    <cellStyle name="常规 7 23" xfId="11051" xr:uid="{0371EF45-DBFE-4DE3-8EA4-C4220F863D46}"/>
    <cellStyle name="常规 7 24" xfId="27254" xr:uid="{7304673F-CEA3-46ED-A096-2568C5DD2A2A}"/>
    <cellStyle name="常规 7 25" xfId="27529" xr:uid="{B23867DE-4726-4DE0-A7E6-FB6F99228EA6}"/>
    <cellStyle name="常规 7 3" xfId="6924" xr:uid="{574CC590-A22C-4751-B754-E2CDB0041426}"/>
    <cellStyle name="常规 7 3 2" xfId="11069" xr:uid="{5B499CA9-4322-4042-978C-B30AFEFE8333}"/>
    <cellStyle name="常规 7 3 2 2 3" xfId="26" xr:uid="{46D271DD-549F-47F3-835D-BEBE3C69AAC1}"/>
    <cellStyle name="常规 7 3 3" xfId="11068" xr:uid="{B31B82CC-EF3F-4EE6-8FC3-858D38842DB0}"/>
    <cellStyle name="常规 7 4" xfId="11070" xr:uid="{73C4274E-4941-4AA2-B62E-294FD96EFCDB}"/>
    <cellStyle name="常规 7 4 2" xfId="24418" xr:uid="{6504B8AA-3759-49D7-A185-530C960F2717}"/>
    <cellStyle name="常规 7 4 2 2" xfId="27532" xr:uid="{2FC3A583-13DE-4508-9959-91165BD5F35F}"/>
    <cellStyle name="常规 7 4 3" xfId="27531" xr:uid="{79EF4A36-522F-43EE-8DF9-9F82D22546A0}"/>
    <cellStyle name="常规 7 5" xfId="11071" xr:uid="{95D81C17-AFBD-4ACC-9360-8F4B7C150091}"/>
    <cellStyle name="常规 7 6" xfId="11072" xr:uid="{3CB8C15B-2FCE-4483-B8D2-D445FD8DE108}"/>
    <cellStyle name="常规 7 7" xfId="11073" xr:uid="{11C703D5-6A15-4217-95F0-F135F3CD52DD}"/>
    <cellStyle name="常规 7 8" xfId="11074" xr:uid="{808A72B5-96C0-46B6-8105-B50392B33B6F}"/>
    <cellStyle name="常规 7 9" xfId="11075" xr:uid="{7F067673-323C-4E5C-8E58-0EBA4C251891}"/>
    <cellStyle name="常规 7_2015年工艺质量科全面预算" xfId="24419" xr:uid="{766283B4-945E-43D5-B280-F0ECAC33BBE3}"/>
    <cellStyle name="常规 70" xfId="6913" xr:uid="{E60C8268-FBE6-492E-979F-C8AB6E225338}"/>
    <cellStyle name="常规 70 2" xfId="13555" xr:uid="{48FD7D0D-98E9-4095-8011-87056221ED98}"/>
    <cellStyle name="常规 70 2 2" xfId="24421" xr:uid="{7359C718-ABD6-4C64-B1C5-7BEC2B7E1FC8}"/>
    <cellStyle name="常规 70 3" xfId="24420" xr:uid="{F8922275-798E-4206-9DC7-96AA59A93815}"/>
    <cellStyle name="常规 71" xfId="6915" xr:uid="{900FCE54-DE6B-4804-86EC-1A301295A0C4}"/>
    <cellStyle name="常规 71 2" xfId="24423" xr:uid="{DC65B169-AC6D-4B64-AE90-17EA8F88C783}"/>
    <cellStyle name="常规 71 3" xfId="24422" xr:uid="{7EBAE594-BBC0-4B56-936E-F1552C6A6535}"/>
    <cellStyle name="常规 72" xfId="6917" xr:uid="{8936A9C0-F537-439B-8658-8E07E47D6F48}"/>
    <cellStyle name="常规 72 2" xfId="24425" xr:uid="{A4E1C173-6E89-4469-81B9-2B1A622170DA}"/>
    <cellStyle name="常规 72 3" xfId="24424" xr:uid="{590CEAF0-3E2B-4683-A0D4-7E92718CECB3}"/>
    <cellStyle name="常规 73" xfId="6919" xr:uid="{9A5EBD33-34A1-43A2-8EB0-48D57F248C36}"/>
    <cellStyle name="常规 73 2" xfId="13558" xr:uid="{CA9DEC92-3FDC-4ED3-937F-D06C0F0B20C1}"/>
    <cellStyle name="常规 73 2 2" xfId="24427" xr:uid="{96D2719D-49C3-4120-B5DE-39A065695FC3}"/>
    <cellStyle name="常规 73 3" xfId="24426" xr:uid="{46FA82B2-BAA4-4763-9ED4-89F541696E62}"/>
    <cellStyle name="常规 74" xfId="6921" xr:uid="{65F39F7B-B12D-4681-B3F1-DA15FF799C0B}"/>
    <cellStyle name="常规 74 2" xfId="13559" xr:uid="{38556CB2-FC8C-4B78-BE4F-2D49DE25CA07}"/>
    <cellStyle name="常规 74 2 2" xfId="24429" xr:uid="{24FE8A49-45BA-438A-A6C8-500394CACAA7}"/>
    <cellStyle name="常规 74 3" xfId="24428" xr:uid="{F4B7A3F6-B0F3-4E13-9669-E21AEC7242EA}"/>
    <cellStyle name="常规 75" xfId="6925" xr:uid="{EA836D8C-4C42-42FE-83CB-2E1FD08FF004}"/>
    <cellStyle name="常规 75 2" xfId="13560" xr:uid="{99EBE5B7-644B-4CE8-A061-54360BCC4B16}"/>
    <cellStyle name="常规 75 2 2" xfId="24431" xr:uid="{6F8211C4-1E20-415E-82CF-4499A6B9DD09}"/>
    <cellStyle name="常规 75 3" xfId="24430" xr:uid="{F6C2FE8A-15EF-48D7-BD30-C48FE9D2833F}"/>
    <cellStyle name="常规 76" xfId="6927" xr:uid="{088E5C68-0D1B-4EEA-B84C-FEAB8AF891D1}"/>
    <cellStyle name="常规 76 2" xfId="13561" xr:uid="{A691D685-8A24-42AC-A5E9-A6200EDA9340}"/>
    <cellStyle name="常规 76 2 2" xfId="24433" xr:uid="{C5249932-BF21-4B88-8671-C72959257A8F}"/>
    <cellStyle name="常规 76 3" xfId="24432" xr:uid="{71DDD6B1-A50F-4B9A-A3BD-BFC8DF4771DC}"/>
    <cellStyle name="常规 77" xfId="6929" xr:uid="{AC75FE97-2D02-4F4D-8C4E-8638F6958D0D}"/>
    <cellStyle name="常规 77 2" xfId="24435" xr:uid="{F089B5C8-BC26-44DD-B23D-1079679863EF}"/>
    <cellStyle name="常规 77 3" xfId="24434" xr:uid="{781D5098-43A6-4C15-B3DA-CB6E6EBD416F}"/>
    <cellStyle name="常规 77 4" xfId="27778" xr:uid="{027550AA-F851-4B30-B5B4-8C535D1114AF}"/>
    <cellStyle name="常规 78" xfId="6931" xr:uid="{6913CB81-053D-4717-ABB0-2B494A300AE9}"/>
    <cellStyle name="常规 78 2" xfId="13563" xr:uid="{43A45359-539A-41FC-8555-8B8AE8516CA4}"/>
    <cellStyle name="常规 78 3" xfId="24436" xr:uid="{1B92F140-CA05-4E3F-8D64-90EA6C15FD30}"/>
    <cellStyle name="常规 79" xfId="6933" xr:uid="{45909DB1-CCCD-44F1-A9B3-49B8B0E57213}"/>
    <cellStyle name="常规 79 2" xfId="13564" xr:uid="{EAC9C6B1-3ECB-4196-BCA6-2F5DFE95D65E}"/>
    <cellStyle name="常规 79 3" xfId="24437" xr:uid="{8C41287D-13FC-4C43-93E2-0C8D5EEE0EA3}"/>
    <cellStyle name="常规 8" xfId="5" xr:uid="{00000000-0005-0000-0000-00000B000000}"/>
    <cellStyle name="常规 8 2" xfId="6936" xr:uid="{E29F3D2F-B063-461A-976E-A760F16FEFE0}"/>
    <cellStyle name="常规 8 2 2" xfId="11077" xr:uid="{94D23D4E-76E9-4023-BF4D-A4FB955BD749}"/>
    <cellStyle name="常规 8 2 3" xfId="27779" xr:uid="{5A31DB36-BBF5-46F9-B47F-1F32A846CCF4}"/>
    <cellStyle name="常规 8 3" xfId="11078" xr:uid="{2482FD25-BD72-443A-A88D-976188944C97}"/>
    <cellStyle name="常规 8 3 2" xfId="24438" xr:uid="{52737C3B-3040-42EA-800C-732B452EFD48}"/>
    <cellStyle name="常规 8 4" xfId="8" xr:uid="{00000000-0005-0000-0000-00000C000000}"/>
    <cellStyle name="常规 8 4 2" xfId="24439" xr:uid="{20CAD0CA-4FF2-479E-AC31-4BAF7395B945}"/>
    <cellStyle name="常规 8 4 3" xfId="11079" xr:uid="{6934366D-DBE9-45C7-BFFE-148A55EBA93F}"/>
    <cellStyle name="常规 8 5" xfId="11080" xr:uid="{1297F93A-38C1-4683-921D-ECA90091B70B}"/>
    <cellStyle name="常规 8 6" xfId="11076" xr:uid="{45B5C07E-BBA3-4654-AE17-A9400E2DB1B3}"/>
    <cellStyle name="常规 8 7" xfId="6935" xr:uid="{D869EC64-1C84-45DD-8E9A-ACB297B6BCB6}"/>
    <cellStyle name="常规 8 8" xfId="27255" xr:uid="{339EA631-C7B2-4C9C-8850-8F658C2F4672}"/>
    <cellStyle name="常规 8_动力部" xfId="24440" xr:uid="{7B0323BD-B49F-4E3D-A0C2-13DE743B89F2}"/>
    <cellStyle name="常规 80" xfId="6926" xr:uid="{B1BF5B73-A0E2-49E0-A6C4-04288640D606}"/>
    <cellStyle name="常规 80 2" xfId="13566" xr:uid="{F9DC4094-C1CA-4BB4-AC7B-5A3161142001}"/>
    <cellStyle name="常规 80 3" xfId="24441" xr:uid="{3B30D32B-735A-4315-8F1C-9543E6EE2E95}"/>
    <cellStyle name="常规 81" xfId="6928" xr:uid="{B455D534-27E4-48A1-A788-7E7EC29C59C6}"/>
    <cellStyle name="常规 81 2" xfId="13567" xr:uid="{8D19D940-A3DD-43E8-A402-047AF7C4D9C0}"/>
    <cellStyle name="常规 81 3" xfId="24442" xr:uid="{6941D7CE-DE8A-4B92-A09C-8F347EEABBBD}"/>
    <cellStyle name="常规 82" xfId="6930" xr:uid="{2B6EFA87-7869-4DF5-BCBF-50C679E1C507}"/>
    <cellStyle name="常规 82 2" xfId="24443" xr:uid="{B87D1BE4-AED0-4C03-A13D-91E4CBBB7F2A}"/>
    <cellStyle name="常规 83" xfId="6932" xr:uid="{E84BF5F1-688F-4237-A3BC-48478EB5E344}"/>
    <cellStyle name="常规 83 2" xfId="24444" xr:uid="{B3257719-706F-46F6-9AE5-A212F61243AD}"/>
    <cellStyle name="常规 84" xfId="6934" xr:uid="{CB16E60F-D0AC-4468-9D5F-18483D2D2C5B}"/>
    <cellStyle name="常规 84 2" xfId="13570" xr:uid="{D0165EC5-8B59-4E2D-862A-46199E3FAAF8}"/>
    <cellStyle name="常规 84 2 2" xfId="24446" xr:uid="{0B3C1073-A54D-48B3-BCE5-5ADCCA31156A}"/>
    <cellStyle name="常规 84 3" xfId="24445" xr:uid="{66EED2A2-2327-4B4F-863E-722E081BA738}"/>
    <cellStyle name="常规 85" xfId="6937" xr:uid="{6577F6C0-827E-4CFE-8DB6-8B131F6C0E1E}"/>
    <cellStyle name="常规 85 2" xfId="13571" xr:uid="{AA9728D0-A1AC-440E-9962-95CF82439C19}"/>
    <cellStyle name="常规 85 2 2" xfId="24448" xr:uid="{3E8E9BA9-1074-4065-9A5D-BD513D3121CF}"/>
    <cellStyle name="常规 85 2 3" xfId="27533" xr:uid="{549905FB-AC81-4ECC-BBA9-36CE9AB79720}"/>
    <cellStyle name="常规 85 3" xfId="24447" xr:uid="{A6EF91F1-B3EC-4FCF-ABCA-E261703DCCC1}"/>
    <cellStyle name="常规 85 4" xfId="27534" xr:uid="{2AD60FFA-058D-48E8-AFB2-40AE46B0CB20}"/>
    <cellStyle name="常规 85 5" xfId="27535" xr:uid="{B2A3E4F1-28DB-46FD-ACA2-1355972E1D08}"/>
    <cellStyle name="常规 85 6" xfId="27536" xr:uid="{652D930E-3CCA-4467-959E-1360242384CF}"/>
    <cellStyle name="常规 85 7" xfId="27537" xr:uid="{C83529CA-5602-4306-A69A-9A701C512553}"/>
    <cellStyle name="常规 85 8" xfId="27538" xr:uid="{6BA4289F-1D84-4F17-8A48-CC66CB791C46}"/>
    <cellStyle name="常规 86" xfId="6939" xr:uid="{C05E1DF7-9A54-495F-A7D8-A1954F0DEAB2}"/>
    <cellStyle name="常规 86 2" xfId="13572" xr:uid="{092AF1C7-D944-4E13-B9DB-052C493736DF}"/>
    <cellStyle name="常规 86 2 2" xfId="24450" xr:uid="{3AF7E440-B719-4CBB-A045-64C77DF349AE}"/>
    <cellStyle name="常规 86 3" xfId="24449" xr:uid="{60290650-8F10-40C0-AA1A-908A500D808A}"/>
    <cellStyle name="常规 87" xfId="6941" xr:uid="{1D0B8B3A-DC83-4BA5-AD37-DC743B22D6E7}"/>
    <cellStyle name="常规 87 2" xfId="13573" xr:uid="{7E9A1787-772F-4946-BF5E-16289B594F2E}"/>
    <cellStyle name="常规 87 2 2" xfId="24452" xr:uid="{75F2F500-FB05-418E-97EC-D1C328EB4398}"/>
    <cellStyle name="常规 87 2 3" xfId="27539" xr:uid="{B9279525-A1D3-4636-9026-13B3879EFC22}"/>
    <cellStyle name="常规 87 3" xfId="24451" xr:uid="{A788CD12-D137-459B-9C19-6E799F75B382}"/>
    <cellStyle name="常规 87 4" xfId="27540" xr:uid="{647EA16B-309B-45AC-A1C0-FF7AC516C4C5}"/>
    <cellStyle name="常规 87 5" xfId="27541" xr:uid="{E16F5270-9D73-45A5-8A11-864634FB7C56}"/>
    <cellStyle name="常规 87 6" xfId="27542" xr:uid="{DDE54016-7CAC-41DF-925E-D7A6F6B1C624}"/>
    <cellStyle name="常规 87 7" xfId="27543" xr:uid="{30E9B98A-60D7-4367-8A2D-DB1C395CBF45}"/>
    <cellStyle name="常规 87 8" xfId="27544" xr:uid="{D93B22C1-01BB-4D05-94D8-07BE52E7EC60}"/>
    <cellStyle name="常规 88" xfId="6943" xr:uid="{595A650C-6831-4B18-9803-F82FE367CAE5}"/>
    <cellStyle name="常规 88 2" xfId="13574" xr:uid="{D1F8835B-58CB-487B-99BF-16D9E003E5F3}"/>
    <cellStyle name="常规 88 2 2" xfId="24454" xr:uid="{D900FC2B-18A2-4F28-A69E-6A27F17BD4E5}"/>
    <cellStyle name="常规 88 3" xfId="24453" xr:uid="{EE494EAE-6178-42FE-8478-A7CCD6A790A1}"/>
    <cellStyle name="常规 89" xfId="6945" xr:uid="{7EA64572-C49F-41D8-9CA3-6746A833CEAF}"/>
    <cellStyle name="常规 89 2" xfId="13575" xr:uid="{FC52C1BA-F913-4F54-8D7A-E9E2A3FD98FD}"/>
    <cellStyle name="常规 89 2 2" xfId="24456" xr:uid="{B55988E2-3EEC-4096-8D1C-02DFF10AB6F4}"/>
    <cellStyle name="常规 89 3" xfId="24455" xr:uid="{4F978EC0-A46B-4E95-877E-8E8E0ED430D5}"/>
    <cellStyle name="常规 9" xfId="6947" xr:uid="{AEA172A9-227A-4460-ADD2-9959A30B925E}"/>
    <cellStyle name="常规 9 2" xfId="6948" xr:uid="{3CBC17E0-1958-4773-8CAF-134628E7914B}"/>
    <cellStyle name="常规 9 2 2" xfId="11082" xr:uid="{D1D3DB64-A881-48EF-9EEB-B8A60211724A}"/>
    <cellStyle name="常规 9 2 2 2" xfId="24457" xr:uid="{546460B6-B001-43E2-8E23-7FA96A5DE749}"/>
    <cellStyle name="常规 9 2 3" xfId="27546" xr:uid="{A06C9AF2-6EAB-4721-8C15-4C267A112828}"/>
    <cellStyle name="常规 9 2 4" xfId="27780" xr:uid="{734763A7-82FF-40C5-9C5E-999FDEE5E7B9}"/>
    <cellStyle name="常规 9 3" xfId="11083" xr:uid="{DEF249E4-39EB-4355-A0C4-165B8FE7A8A1}"/>
    <cellStyle name="常规 9 3 2" xfId="24458" xr:uid="{11598DB4-38D1-4021-B4CB-C41C9F6690B3}"/>
    <cellStyle name="常规 9 3 3" xfId="27547" xr:uid="{A78AA70F-79DD-4FD3-9EAC-5BDAA0D2DA14}"/>
    <cellStyle name="常规 9 4" xfId="11084" xr:uid="{6D68B3F9-DBC3-4274-9B6E-E630F04AC47A}"/>
    <cellStyle name="常规 9 4 2" xfId="24459" xr:uid="{3B4BE169-8D65-4806-AE43-4CC417848790}"/>
    <cellStyle name="常规 9 4 3" xfId="27548" xr:uid="{57F028B0-1098-49BE-BC78-2634E4AA7992}"/>
    <cellStyle name="常规 9 5" xfId="11085" xr:uid="{883E7F38-98CB-4F0D-A01B-71DDD2B3FD86}"/>
    <cellStyle name="常规 9 5 2" xfId="24460" xr:uid="{1E77D89A-9DB2-483D-9C54-6F6717F000E6}"/>
    <cellStyle name="常规 9 5 3" xfId="27549" xr:uid="{5A1327AD-3F6F-4CB2-9EB0-6AA6059A89BA}"/>
    <cellStyle name="常规 9 6" xfId="11081" xr:uid="{416D29E3-687F-4EA4-9097-E13F8623D734}"/>
    <cellStyle name="常规 9 6 2" xfId="27550" xr:uid="{376DDF3F-A435-4D2D-BC7C-625AA0B92D5E}"/>
    <cellStyle name="常规 9 7" xfId="27551" xr:uid="{9A27D252-9F8D-474D-82B2-7C02DC9C8761}"/>
    <cellStyle name="常规 9 8" xfId="27552" xr:uid="{5FDA051B-EEA6-418B-B517-D0CBE6BE97A0}"/>
    <cellStyle name="常规 9 9" xfId="27545" xr:uid="{79C14131-C7CB-4E45-84D9-28006AA687D7}"/>
    <cellStyle name="常规 9_动力部" xfId="24461" xr:uid="{4A7192B6-A223-449C-86A7-75A029FF73AB}"/>
    <cellStyle name="常规 90" xfId="6938" xr:uid="{AF830BA3-0C89-4DFF-880B-EE966571A41E}"/>
    <cellStyle name="常规 90 2" xfId="13577" xr:uid="{0A63BF90-2E84-4123-86B7-AA1CD1F0A122}"/>
    <cellStyle name="常规 90 2 2" xfId="24463" xr:uid="{5250ADE5-CCD0-4F3A-B907-3C761FDC2F51}"/>
    <cellStyle name="常规 90 3" xfId="24462" xr:uid="{E3B4B6E6-E7AE-494A-A0C1-BD0107A41027}"/>
    <cellStyle name="常规 91" xfId="6940" xr:uid="{986676BB-F77A-4901-A248-3139BAEAFD63}"/>
    <cellStyle name="常规 91 2" xfId="13578" xr:uid="{C21A0033-4055-42B2-A34F-F1ABE2A31B2B}"/>
    <cellStyle name="常规 91 2 2" xfId="24465" xr:uid="{353141FB-0D0A-4268-8923-B0E36284F8B5}"/>
    <cellStyle name="常规 91 3" xfId="24464" xr:uid="{E80436DA-14A6-4567-BF21-13C8C698540C}"/>
    <cellStyle name="常规 92" xfId="6942" xr:uid="{8A67BAFF-E541-4D80-9B49-49C45A80163A}"/>
    <cellStyle name="常规 92 2" xfId="13579" xr:uid="{8E198D50-2211-4E9B-A6C3-EC258CD97382}"/>
    <cellStyle name="常规 92 2 2" xfId="24467" xr:uid="{B4FA6BBF-DF81-4E63-A038-51D683481136}"/>
    <cellStyle name="常规 92 3" xfId="24466" xr:uid="{6D0891F2-D629-4CB0-8191-862E5E79F1B3}"/>
    <cellStyle name="常规 93" xfId="6944" xr:uid="{C045C3A0-DBD2-4D9E-8A29-381A4E456869}"/>
    <cellStyle name="常规 93 2" xfId="13580" xr:uid="{FCA8D820-9D03-4EBF-B625-5C52F90D7685}"/>
    <cellStyle name="常规 93 2 2" xfId="24469" xr:uid="{CDF4F8FD-5F7F-4A92-8884-DFDA998B9BE8}"/>
    <cellStyle name="常规 93 3" xfId="24468" xr:uid="{B3FA69AA-53E1-4C64-92D4-6EC8302555E8}"/>
    <cellStyle name="常规 94" xfId="6946" xr:uid="{5E8443C7-9DF5-49A6-AD5C-BDFD46F4455E}"/>
    <cellStyle name="常规 94 2" xfId="13581" xr:uid="{36B08A6A-8463-469D-ADCA-77CBCABCC713}"/>
    <cellStyle name="常规 94 2 2" xfId="24471" xr:uid="{CF81817F-51EF-4DFA-AF65-C70E8382B681}"/>
    <cellStyle name="常规 94 3" xfId="24470" xr:uid="{783462E9-E9AE-407B-BF40-943004260EDE}"/>
    <cellStyle name="常规 95" xfId="6949" xr:uid="{9AFDBDDA-DF8E-4D93-A17B-BF33FA6CD32B}"/>
    <cellStyle name="常规 95 2" xfId="13582" xr:uid="{6364A533-835F-48C4-8D67-27289E209393}"/>
    <cellStyle name="常规 95 2 2" xfId="24473" xr:uid="{28C5FADB-21FB-48E8-BFCF-D8471BE71C38}"/>
    <cellStyle name="常规 95 3" xfId="24472" xr:uid="{7FF40449-FB4A-48CA-B48D-74E916759076}"/>
    <cellStyle name="常规 96" xfId="6950" xr:uid="{95768761-3526-4DC8-AB40-C9F2B1493A72}"/>
    <cellStyle name="常规 96 2" xfId="24474" xr:uid="{B1F4E406-FB23-4452-ADED-2941EB3D5DEC}"/>
    <cellStyle name="常规 97" xfId="6951" xr:uid="{E8DAB9F8-422A-4BFF-A2FC-F657365D1623}"/>
    <cellStyle name="常规 97 2" xfId="13584" xr:uid="{8F32D1C7-C02E-4A9C-9FD0-BE0C35C32DCE}"/>
    <cellStyle name="常规 97 3" xfId="24475" xr:uid="{C3F2FDBB-331C-4244-96C9-1A42368966F4}"/>
    <cellStyle name="常规 98" xfId="6952" xr:uid="{6AE28648-F607-4A0C-B516-E41DABFE304E}"/>
    <cellStyle name="常规 98 2" xfId="13585" xr:uid="{0B35FC40-5165-44F2-B48B-29CE5816E68A}"/>
    <cellStyle name="常规 98 3" xfId="24476" xr:uid="{E456EBBF-0CA1-4A2F-991D-AF599E7C85A1}"/>
    <cellStyle name="常规 99" xfId="6953" xr:uid="{FFD639FD-B247-4FA6-A56B-FF7A8BA4154B}"/>
    <cellStyle name="常规 99 2" xfId="13586" xr:uid="{BAA3D132-2FA0-4303-927F-60B31FECC2E5}"/>
    <cellStyle name="常规 99 3" xfId="24477" xr:uid="{B348AB5A-CA72-4B2E-9055-301E60E83341}"/>
    <cellStyle name="常规_2011年1月营销部销售收入统计表" xfId="7" xr:uid="{00000000-0005-0000-0000-00000D000000}"/>
    <cellStyle name="常规_2011年逐月销售情况(集团）-12" xfId="1" xr:uid="{00000000-0005-0000-0000-00000E000000}"/>
    <cellStyle name="常规_预算分析底稿9月" xfId="6" xr:uid="{00000000-0005-0000-0000-00000F000000}"/>
    <cellStyle name="常规_主要原料及产品价格变动情况" xfId="16" xr:uid="{00000000-0005-0000-0000-000010000000}"/>
    <cellStyle name="超级链接" xfId="24478" xr:uid="{E14EBE80-0BDF-43EA-8010-1885A6573BF2}"/>
    <cellStyle name="超级链接 2" xfId="24479" xr:uid="{04DBFF4F-046D-409A-AFC8-62104CDEDCD2}"/>
    <cellStyle name="超级链接 2 2" xfId="24480" xr:uid="{C1FD5330-7156-4B7E-8F02-CAD593D27C31}"/>
    <cellStyle name="超级链接 2 3" xfId="24481" xr:uid="{383C87F9-99D3-4335-BAA8-78A8E565366A}"/>
    <cellStyle name="超级链接 2_动力部" xfId="24482" xr:uid="{98C0709C-A955-4FE9-9B17-11064EDD105B}"/>
    <cellStyle name="超级链接 3" xfId="24483" xr:uid="{C55596C3-AA95-47B9-AE58-CFE834A935DE}"/>
    <cellStyle name="超级链接_动力部" xfId="24484" xr:uid="{D09455CA-AAB8-4E22-8FDB-0CD93F0CE17D}"/>
    <cellStyle name="超链接 2" xfId="24485" xr:uid="{59BE69F4-2A25-40F2-8FF3-F8EDA5248CE7}"/>
    <cellStyle name="超链接 2 2" xfId="11086" xr:uid="{5FE74E8F-0FBC-43CD-8A12-7DAF378BCB49}"/>
    <cellStyle name="超链接 2 2 2" xfId="24486" xr:uid="{CAA3C479-4A32-4833-9015-AD3299305D99}"/>
    <cellStyle name="超链接 2 3" xfId="27553" xr:uid="{AF23C07C-326D-491B-8F3C-229D9633D93A}"/>
    <cellStyle name="超链接 2 4" xfId="27781" xr:uid="{FBA6F64A-F1C3-4FC9-8C3F-077B14D53164}"/>
    <cellStyle name="超链接 3" xfId="24487" xr:uid="{1BC5676C-6BD4-45DF-A988-B305767A9703}"/>
    <cellStyle name="超链接 3 2" xfId="27256" xr:uid="{11DAB490-6CA5-4234-A7B4-A709871F9A00}"/>
    <cellStyle name="超链接 4" xfId="27257" xr:uid="{7652CC0E-448C-4C08-86DB-B5C1597AEF96}"/>
    <cellStyle name="超链接 5" xfId="27258" xr:uid="{6B0284D5-FDFF-46A3-8C60-EFD21D3C057E}"/>
    <cellStyle name="超链接 6" xfId="27259" xr:uid="{8644C19E-E9DF-4952-9EA7-F2368E0AB376}"/>
    <cellStyle name="超链接 7" xfId="27260" xr:uid="{F503A485-92F2-46A6-BCC8-8AF642CA70BD}"/>
    <cellStyle name="都寞_laroux" xfId="4077" xr:uid="{85AA004E-1F10-4D2D-81C8-0F85F488B002}"/>
    <cellStyle name="分级显示列_1_Book1" xfId="24489" xr:uid="{54C5CA14-AEBA-4195-858A-385D13001F35}"/>
    <cellStyle name="分级显示行_1_Book1" xfId="24488" xr:uid="{C111FA8D-5C3D-4855-A8D8-DE85FB1DB400}"/>
    <cellStyle name="好" xfId="27811" builtinId="26" customBuiltin="1"/>
    <cellStyle name="好 10" xfId="6954" xr:uid="{6C33765A-1F34-48AB-AF6C-507D02536493}"/>
    <cellStyle name="好 10 2" xfId="11089" xr:uid="{8B078DFC-AD21-41D3-BCC9-AD76E0C08A36}"/>
    <cellStyle name="好 10 2 2" xfId="24492" xr:uid="{4F4B6664-A712-4A1A-8AB4-E1163BEFFBC9}"/>
    <cellStyle name="好 10 2 3" xfId="24491" xr:uid="{7BA212D2-950F-472A-A644-768B19BDBE67}"/>
    <cellStyle name="好 10 3" xfId="11090" xr:uid="{860D0FF5-9ACD-49F1-A06D-6143232D85FD}"/>
    <cellStyle name="好 10 3 2" xfId="24493" xr:uid="{A755E459-BFD3-4024-8B89-8C2633F7C917}"/>
    <cellStyle name="好 10 4" xfId="11088" xr:uid="{43B3C903-5CEC-48FC-AA1C-30130BA5B615}"/>
    <cellStyle name="好 10 4 2" xfId="24494" xr:uid="{96D7E76A-B3BA-43A2-A6E5-CC26EE1A91C8}"/>
    <cellStyle name="好 10 5" xfId="24490" xr:uid="{420DB934-BA10-4CD1-AF4D-982123CA7C0B}"/>
    <cellStyle name="好 11" xfId="6955" xr:uid="{8862B12C-4B76-49B9-A309-60DD7F0B03A5}"/>
    <cellStyle name="好 11 2" xfId="11092" xr:uid="{D7C8B475-4783-4675-8921-D13E43B37EB8}"/>
    <cellStyle name="好 11 2 2" xfId="24497" xr:uid="{A813609E-26C9-4A00-AFC0-7BAD137403D3}"/>
    <cellStyle name="好 11 2 3" xfId="24496" xr:uid="{8C6EB0EA-6766-4724-BE42-7C7925AAFFEC}"/>
    <cellStyle name="好 11 3" xfId="11093" xr:uid="{6BD64674-40CE-456F-AC7D-9C73689A8BFB}"/>
    <cellStyle name="好 11 3 2" xfId="24498" xr:uid="{36E30695-CC67-4121-96B2-F6D48E43AA22}"/>
    <cellStyle name="好 11 4" xfId="11091" xr:uid="{BCD6A9C5-3DED-4A36-9B6F-903254628BDB}"/>
    <cellStyle name="好 11 4 2" xfId="24499" xr:uid="{1E5C52A6-F18D-48A9-ABD8-C283CD04A3A5}"/>
    <cellStyle name="好 11 5" xfId="24495" xr:uid="{3561B771-9AF3-4D6B-A85F-999AE956EB00}"/>
    <cellStyle name="好 12" xfId="6956" xr:uid="{174C6D44-A6F4-4999-AE48-75445B51E54E}"/>
    <cellStyle name="好 12 2" xfId="11095" xr:uid="{406415C9-A7A3-4588-84B5-585007EB33DF}"/>
    <cellStyle name="好 12 2 2" xfId="24502" xr:uid="{EEB9EC15-478A-4A2C-89AB-B51D3B65FA04}"/>
    <cellStyle name="好 12 2 3" xfId="24501" xr:uid="{029EF022-3E7F-4434-A037-03F2E6C57CEE}"/>
    <cellStyle name="好 12 3" xfId="11096" xr:uid="{7CC6E83A-11A9-4076-8457-AC87976B22FA}"/>
    <cellStyle name="好 12 3 2" xfId="24503" xr:uid="{3479DCB4-3E1A-4201-848D-4E4DCA1711A8}"/>
    <cellStyle name="好 12 4" xfId="11094" xr:uid="{6AED7F00-1E8F-4799-8177-CD8FEE3C5D59}"/>
    <cellStyle name="好 12 4 2" xfId="24504" xr:uid="{9620F347-4AB8-49B3-9887-91298971C28E}"/>
    <cellStyle name="好 12 5" xfId="24500" xr:uid="{CBFF6EC9-6DCE-4AAD-9E96-EFD276615D34}"/>
    <cellStyle name="好 13" xfId="6957" xr:uid="{813E0C0A-9FAE-42D0-90EB-C6073C36D8BD}"/>
    <cellStyle name="好 13 2" xfId="11098" xr:uid="{479FFBB3-8A83-4A04-84C3-736FB5083C38}"/>
    <cellStyle name="好 13 2 2" xfId="24507" xr:uid="{592B79D7-5734-495F-830D-12E3FA9F54A1}"/>
    <cellStyle name="好 13 2 3" xfId="24506" xr:uid="{507E866C-3DC0-40F2-89D4-1D82623DD523}"/>
    <cellStyle name="好 13 3" xfId="11099" xr:uid="{CA577176-8594-4C26-A0EE-0147F673403D}"/>
    <cellStyle name="好 13 3 2" xfId="24508" xr:uid="{A1FB720D-36C0-4B58-96BD-8FF12E3B850C}"/>
    <cellStyle name="好 13 4" xfId="11097" xr:uid="{D533A0A5-9DE9-4E45-A6E3-3B3085AACB9D}"/>
    <cellStyle name="好 13 4 2" xfId="24509" xr:uid="{1D7F057D-C27D-4958-8D2A-79A504841DAC}"/>
    <cellStyle name="好 13 5" xfId="24505" xr:uid="{1CA8C993-A129-4335-9B81-0DE86F0469A9}"/>
    <cellStyle name="好 14" xfId="6958" xr:uid="{0A0DDB56-13F7-4505-BB1B-D1665F6179BF}"/>
    <cellStyle name="好 14 2" xfId="11101" xr:uid="{01C8868E-762E-4188-B35E-66FA484E84F7}"/>
    <cellStyle name="好 14 2 2" xfId="24512" xr:uid="{E9A910B1-8AEC-440D-B0E5-BF8226CCAA83}"/>
    <cellStyle name="好 14 2 3" xfId="24511" xr:uid="{744286F1-EE16-4BD6-AEE3-1ECC3BDC1154}"/>
    <cellStyle name="好 14 3" xfId="11102" xr:uid="{90886246-444F-4529-B716-659EDFF90053}"/>
    <cellStyle name="好 14 3 2" xfId="24513" xr:uid="{33FDADAC-AE05-4248-8787-F7CC3F48F3FF}"/>
    <cellStyle name="好 14 4" xfId="11100" xr:uid="{E61EA6FE-FA33-4297-AF92-A39CFE795B66}"/>
    <cellStyle name="好 14 4 2" xfId="24514" xr:uid="{28F4EBA0-7512-483B-9E3E-58159F9CCC59}"/>
    <cellStyle name="好 14 5" xfId="24510" xr:uid="{567E02C0-FC18-49D9-968C-0542189429E0}"/>
    <cellStyle name="好 15" xfId="6959" xr:uid="{BE332A7D-DDEE-4F90-B17D-2A4C786A0311}"/>
    <cellStyle name="好 15 2" xfId="11104" xr:uid="{352AA9EF-F0AB-4AD7-A2F9-DB3D0905FCD0}"/>
    <cellStyle name="好 15 2 2" xfId="24517" xr:uid="{A793AE94-AC2A-406D-85A5-C880E9BE6FFC}"/>
    <cellStyle name="好 15 2 3" xfId="24516" xr:uid="{32B21E7C-F0C6-4FF6-BD26-69DD7E7C91C5}"/>
    <cellStyle name="好 15 3" xfId="11105" xr:uid="{83B1791F-FD58-4FEF-AF66-53FA160B4A16}"/>
    <cellStyle name="好 15 3 2" xfId="24518" xr:uid="{3CE7EECE-7791-4916-9CF6-AD2CF1F9D5F6}"/>
    <cellStyle name="好 15 4" xfId="11103" xr:uid="{8C404645-34F1-4825-92A9-12A4D52EB619}"/>
    <cellStyle name="好 15 4 2" xfId="24519" xr:uid="{0D19E9D0-2E74-4100-8523-89F28F0B97AD}"/>
    <cellStyle name="好 15 5" xfId="24515" xr:uid="{831BDF7C-6AB1-4B95-9EC4-365862D3206C}"/>
    <cellStyle name="好 16" xfId="6961" xr:uid="{97E6D380-1668-4D4A-9791-C2B9738CCA4D}"/>
    <cellStyle name="好 16 2" xfId="11107" xr:uid="{C13F243B-A72E-4603-8CB0-F3DAC6EF3930}"/>
    <cellStyle name="好 16 2 2" xfId="24522" xr:uid="{9122164F-313D-421F-9933-0FB4758AD0FF}"/>
    <cellStyle name="好 16 2 3" xfId="24521" xr:uid="{7656F112-426B-44E5-9955-7F00A43D7022}"/>
    <cellStyle name="好 16 3" xfId="11108" xr:uid="{6312AD39-5535-42AE-B5AC-8C67CCE55412}"/>
    <cellStyle name="好 16 3 2" xfId="24523" xr:uid="{7D39A776-09A9-489F-BBCA-45FC58667C69}"/>
    <cellStyle name="好 16 4" xfId="11106" xr:uid="{A0E6AA89-A73B-4CD9-92E7-A4A58982E98E}"/>
    <cellStyle name="好 16 4 2" xfId="24524" xr:uid="{39191595-53B8-431A-B55F-0382F5B0FE66}"/>
    <cellStyle name="好 16 5" xfId="24520" xr:uid="{0E1A2EA5-2D56-44F9-8C5A-2533C012FE5B}"/>
    <cellStyle name="好 17" xfId="6963" xr:uid="{750F5091-7C11-468A-ABE7-0774A4ED92B9}"/>
    <cellStyle name="好 17 2" xfId="11110" xr:uid="{A475C22B-C142-41C3-B86A-BE3814D3E426}"/>
    <cellStyle name="好 17 2 2" xfId="24527" xr:uid="{CFF53870-BE6E-449A-A3BE-7B40BCF105CE}"/>
    <cellStyle name="好 17 2 3" xfId="24526" xr:uid="{E8921F7B-0536-4F20-8B23-BFF99D71EC0C}"/>
    <cellStyle name="好 17 3" xfId="11111" xr:uid="{9DF78E83-498D-4D1F-88A0-DB30BBD40820}"/>
    <cellStyle name="好 17 3 2" xfId="24528" xr:uid="{56D54CE2-371A-44E5-907D-32EA404F4701}"/>
    <cellStyle name="好 17 4" xfId="11109" xr:uid="{EF0744F6-4794-4293-93AE-0AB3E518B19D}"/>
    <cellStyle name="好 17 4 2" xfId="24529" xr:uid="{F68B932A-71B5-4A46-8CE5-7B0A3258CA99}"/>
    <cellStyle name="好 17 5" xfId="24525" xr:uid="{0F86F624-5179-4FE0-A439-25FE8C53F97D}"/>
    <cellStyle name="好 18" xfId="6965" xr:uid="{BF6E2C8B-AD64-4171-8F8A-6D424BF34907}"/>
    <cellStyle name="好 18 2" xfId="11112" xr:uid="{A5ED63CE-85DE-4B03-88FC-6E85E2E8AC8D}"/>
    <cellStyle name="好 18 2 2" xfId="24532" xr:uid="{DACB183F-778E-4BFA-BCAB-FA8A892CA91D}"/>
    <cellStyle name="好 18 2 3" xfId="24531" xr:uid="{1C9D8C1D-2971-4BE5-A16C-DA3008639E0C}"/>
    <cellStyle name="好 18 3" xfId="24533" xr:uid="{D28A7598-E5BC-4C13-B1FC-BFD98CCD6B08}"/>
    <cellStyle name="好 18 4" xfId="24534" xr:uid="{390A2D3B-9B15-498D-ABEF-0CF5943BF6B7}"/>
    <cellStyle name="好 18 5" xfId="24530" xr:uid="{73CCCEDC-8BCC-4DF9-8DF9-7CF5B4A1BE43}"/>
    <cellStyle name="好 19" xfId="6967" xr:uid="{964DCAF4-0F92-4B42-857E-E4191545D7F8}"/>
    <cellStyle name="好 19 2" xfId="11113" xr:uid="{FAF4E5B0-E48B-4653-AD6C-2EFAB90184D3}"/>
    <cellStyle name="好 19 2 2" xfId="24537" xr:uid="{90844D3E-C399-4F3A-8B36-1C0706BE7A44}"/>
    <cellStyle name="好 19 2 3" xfId="24536" xr:uid="{5BBDC827-02DA-4FDB-A02C-AB2F6CEF62F4}"/>
    <cellStyle name="好 19 3" xfId="24538" xr:uid="{AF191D39-58E4-4119-AFC9-5B141E7B2629}"/>
    <cellStyle name="好 19 4" xfId="24539" xr:uid="{19874D8F-FFFB-4733-A945-12F841F7CCC3}"/>
    <cellStyle name="好 19 5" xfId="24535" xr:uid="{88207FFB-BA43-4404-9D32-DDB447A34AEA}"/>
    <cellStyle name="好 2" xfId="6969" xr:uid="{E59713FC-76B4-4B90-BA0D-618FC5D72BF4}"/>
    <cellStyle name="好 2 10" xfId="6970" xr:uid="{B23184EF-063C-4C10-ACE0-B6040EEB556E}"/>
    <cellStyle name="好 2 11" xfId="6971" xr:uid="{70124EFE-0A65-433E-B59F-31441D188405}"/>
    <cellStyle name="好 2 12" xfId="6972" xr:uid="{B726B185-32C5-426D-B25F-40D183E295A9}"/>
    <cellStyle name="好 2 13" xfId="6973" xr:uid="{7B5881D6-1CB0-4448-8359-1CFB3F9C4178}"/>
    <cellStyle name="好 2 14" xfId="6974" xr:uid="{5772D02D-7838-4CEA-BB72-F60B51AD8BE9}"/>
    <cellStyle name="好 2 15" xfId="11114" xr:uid="{7E9C81EB-356E-479C-968B-849E0C863F4C}"/>
    <cellStyle name="好 2 16" xfId="12803" xr:uid="{997D5DE5-6676-4C02-941B-4F4C173F62D5}"/>
    <cellStyle name="好 2 2" xfId="6975" xr:uid="{5D019175-2D61-44B3-AD9E-F68D7D38E924}"/>
    <cellStyle name="好 2 2 2" xfId="11115" xr:uid="{92657C9E-CC4E-4682-BC65-C6E058A9FE04}"/>
    <cellStyle name="好 2 2 2 2" xfId="24541" xr:uid="{6C0C9456-D05A-4639-BF5D-77D54DF8C2B1}"/>
    <cellStyle name="好 2 2 3" xfId="24540" xr:uid="{566A4420-7F53-498C-9A9E-F50C055AD630}"/>
    <cellStyle name="好 2 2 4" xfId="27554" xr:uid="{09706D24-654B-463F-995D-3868C85CDB0B}"/>
    <cellStyle name="好 2 3" xfId="6976" xr:uid="{3CF6F545-6930-4AB9-9291-528D3E43CF86}"/>
    <cellStyle name="好 2 3 2" xfId="11116" xr:uid="{19AD24D8-2398-4B05-AD0A-D5047DF6E3FB}"/>
    <cellStyle name="好 2 3 2 2" xfId="24543" xr:uid="{3E2D2622-3D2B-41BC-B609-400C97B9B07D}"/>
    <cellStyle name="好 2 3 3" xfId="24542" xr:uid="{3B59C1E1-5F61-4001-A54F-0FDFED1EA54D}"/>
    <cellStyle name="好 2 3 4" xfId="27555" xr:uid="{F88C9F08-25B4-47FF-9972-34C2420A6ECB}"/>
    <cellStyle name="好 2 4" xfId="6977" xr:uid="{9E00DF2E-D3B9-4D5A-8FD5-B58AB971A5BE}"/>
    <cellStyle name="好 2 4 2" xfId="24544" xr:uid="{932F62BD-7DDA-4591-A9EE-92F5239B2BC0}"/>
    <cellStyle name="好 2 4 3" xfId="27782" xr:uid="{431B9C8D-53A3-4CCC-9AEA-13D5DD924B96}"/>
    <cellStyle name="好 2 5" xfId="6978" xr:uid="{410489BB-7778-4692-976F-E376F56BA4AE}"/>
    <cellStyle name="好 2 5 2" xfId="24546" xr:uid="{843DA412-E766-4C29-B3C3-AB74CE626923}"/>
    <cellStyle name="好 2 5 3" xfId="24545" xr:uid="{991A154E-44FA-4A7A-AE0F-144A8E9801B7}"/>
    <cellStyle name="好 2 6" xfId="6979" xr:uid="{F7894C9D-D7B0-44A4-81AF-C9CBAF77BE97}"/>
    <cellStyle name="好 2 6 2" xfId="24547" xr:uid="{E9692F04-C379-4E57-8A3E-3A5C552CED96}"/>
    <cellStyle name="好 2 7" xfId="6980" xr:uid="{C0CD6736-013E-438B-9A4A-445CA0D557DE}"/>
    <cellStyle name="好 2 7 2" xfId="24548" xr:uid="{3B863CF9-5ABA-4306-AA06-F86F73B39371}"/>
    <cellStyle name="好 2 8" xfId="3204" xr:uid="{37408C8D-5464-4A7B-A0B1-90CE03225AA2}"/>
    <cellStyle name="好 2 9" xfId="6981" xr:uid="{2315C8B7-7669-4814-8016-997BA261B12A}"/>
    <cellStyle name="好 2_动力部" xfId="24549" xr:uid="{0ADD4310-9F6E-4B80-9AA4-CAC622AE4732}"/>
    <cellStyle name="好 20" xfId="6960" xr:uid="{D5B34D48-13A0-4111-8ABB-391A6EFD1CAC}"/>
    <cellStyle name="好 20 2" xfId="11117" xr:uid="{E44BF74F-CEEC-4DC0-B6F1-F55B2782BA7B}"/>
    <cellStyle name="好 20 2 2" xfId="24552" xr:uid="{15DB55F6-A27C-43A9-9F24-CDC981927C65}"/>
    <cellStyle name="好 20 2 3" xfId="24551" xr:uid="{88FCFE1B-2942-432E-BDB4-A2A7CD848455}"/>
    <cellStyle name="好 20 3" xfId="24553" xr:uid="{D289184D-29F8-497B-9E3A-6AEA5CA15621}"/>
    <cellStyle name="好 20 4" xfId="24554" xr:uid="{71332C0D-3A2E-4AF1-840C-BBF71FF5F52D}"/>
    <cellStyle name="好 20 5" xfId="24550" xr:uid="{8BDD7837-33C3-4CF5-8B89-27FDF99E771F}"/>
    <cellStyle name="好 21" xfId="6962" xr:uid="{5F494917-D011-44AB-991F-50E6D8DAFB23}"/>
    <cellStyle name="好 21 2" xfId="11118" xr:uid="{FA74CC62-0BF7-4F40-A836-1E7EC62D732E}"/>
    <cellStyle name="好 21 2 2" xfId="24557" xr:uid="{844C1CB7-1225-4854-B2A6-B4320F5DF230}"/>
    <cellStyle name="好 21 2 3" xfId="24556" xr:uid="{BD34DDB4-B7D7-499B-9938-2DC5212894EC}"/>
    <cellStyle name="好 21 3" xfId="24558" xr:uid="{80988DE8-F40C-4C39-8031-B7329F4ECBDF}"/>
    <cellStyle name="好 21 4" xfId="24559" xr:uid="{0BB557C7-0924-4BB1-90BD-03041959A591}"/>
    <cellStyle name="好 21 5" xfId="24555" xr:uid="{672CB22C-9DE4-40CD-AEC4-DE7996662C7A}"/>
    <cellStyle name="好 22" xfId="6964" xr:uid="{7F39B033-C295-4D24-8F08-249B3C0FEF27}"/>
    <cellStyle name="好 22 2" xfId="11119" xr:uid="{7F968D3E-39EC-4185-8D32-07328AB10267}"/>
    <cellStyle name="好 22 2 2" xfId="24562" xr:uid="{2D78D121-1EC8-4A33-B13A-8AE1D73FBF74}"/>
    <cellStyle name="好 22 2 3" xfId="24561" xr:uid="{3ADAC202-DD23-4BE1-96D7-3B587158700A}"/>
    <cellStyle name="好 22 3" xfId="24563" xr:uid="{04C5175A-1A47-41B8-864F-FAB4828E75FD}"/>
    <cellStyle name="好 22 4" xfId="24564" xr:uid="{AF3E81F6-655C-486A-BA31-A70925B09B9E}"/>
    <cellStyle name="好 22 5" xfId="24560" xr:uid="{BD9F803C-774F-4682-A487-B0CB6E3D3185}"/>
    <cellStyle name="好 23" xfId="6966" xr:uid="{9ABC78BE-CC02-4192-9104-274CB48B09D3}"/>
    <cellStyle name="好 23 2" xfId="24566" xr:uid="{F6763601-797E-40C2-A2EB-E91030A99FCB}"/>
    <cellStyle name="好 23 2 2" xfId="24567" xr:uid="{1BF66D7B-0B59-467E-952B-6733D0AA00F5}"/>
    <cellStyle name="好 23 3" xfId="24568" xr:uid="{F27D41CD-D365-4887-910D-35A74A66C1BB}"/>
    <cellStyle name="好 23 4" xfId="24569" xr:uid="{7DD400A9-9D14-4EF2-AB27-C78270B17BDA}"/>
    <cellStyle name="好 23 5" xfId="24565" xr:uid="{D44A4DFB-8C36-41AB-9AC3-F74D483F19AD}"/>
    <cellStyle name="好 24" xfId="6968" xr:uid="{163D7067-A8C4-4DE7-A721-02B5CF741604}"/>
    <cellStyle name="好 24 2" xfId="24571" xr:uid="{A08496B2-6A08-40BE-86C8-6D452AF043D0}"/>
    <cellStyle name="好 24 2 2" xfId="24572" xr:uid="{E6F52D95-0528-4454-9719-BC6F7546DE9B}"/>
    <cellStyle name="好 24 3" xfId="24573" xr:uid="{004C07EA-15B7-489B-813A-E595704B5957}"/>
    <cellStyle name="好 24 4" xfId="24574" xr:uid="{01112B34-86AA-4967-9634-229290A26D0F}"/>
    <cellStyle name="好 24 5" xfId="24570" xr:uid="{CA205E23-A8BE-40C5-BEB2-97842DB791F7}"/>
    <cellStyle name="好 25" xfId="6982" xr:uid="{57B644D0-DF81-4702-ADCF-E865BAB92467}"/>
    <cellStyle name="好 25 2" xfId="24576" xr:uid="{F73742FE-2294-4FA5-8E2B-7FD0B76CE1CB}"/>
    <cellStyle name="好 25 2 2" xfId="24577" xr:uid="{3113740B-0241-4FE3-8926-B9A8FE477480}"/>
    <cellStyle name="好 25 3" xfId="24578" xr:uid="{0C12FD28-F739-4CCF-B411-B2E7506095AC}"/>
    <cellStyle name="好 25 4" xfId="24579" xr:uid="{4720CA13-8578-4831-9FBA-52857F78DFD1}"/>
    <cellStyle name="好 25 5" xfId="24575" xr:uid="{14ED0B78-88FA-4ADF-96DB-7F5A7ED6748F}"/>
    <cellStyle name="好 26" xfId="6984" xr:uid="{F7B3A9AA-90C9-4891-BD56-9F7A181D6F11}"/>
    <cellStyle name="好 26 2" xfId="24581" xr:uid="{0A4BCC26-3FF4-455A-B44F-34B7389A454F}"/>
    <cellStyle name="好 26 2 2" xfId="24582" xr:uid="{5F737382-81D0-49A3-910A-EB3F72D24206}"/>
    <cellStyle name="好 26 3" xfId="24583" xr:uid="{C3476450-F5BC-4E56-A71B-0E771E93BF07}"/>
    <cellStyle name="好 26 4" xfId="24584" xr:uid="{1B3507D2-F97F-450B-A0A3-B8D6183474BB}"/>
    <cellStyle name="好 26 5" xfId="24580" xr:uid="{8B369C69-598F-4DE4-8755-6BB6BCD476DC}"/>
    <cellStyle name="好 27" xfId="6986" xr:uid="{52CE0DF2-5F3B-4E50-BEF9-D00FC428771F}"/>
    <cellStyle name="好 27 2" xfId="24586" xr:uid="{EC5EF58D-0DF9-4327-9160-F324821E045D}"/>
    <cellStyle name="好 27 2 2" xfId="24587" xr:uid="{BAE4645D-F7C7-4A64-AD38-E57931D28A11}"/>
    <cellStyle name="好 27 3" xfId="24588" xr:uid="{C98522BD-F50E-45A7-9F2C-AEF4046F52AC}"/>
    <cellStyle name="好 27 4" xfId="24589" xr:uid="{17B4E310-38F2-4C41-ABAA-01EF8628CBFB}"/>
    <cellStyle name="好 27 5" xfId="24585" xr:uid="{65634D9F-3E0C-4EDD-839B-45F6065BCEB4}"/>
    <cellStyle name="好 28" xfId="6988" xr:uid="{9A69EA89-AAFE-4A86-9B1A-78A13C6C0DCA}"/>
    <cellStyle name="好 28 2" xfId="24591" xr:uid="{7895EB40-7B7E-4C27-ACEB-51CE776B5C20}"/>
    <cellStyle name="好 28 3" xfId="24592" xr:uid="{38F53645-0156-4494-A63E-B9A5916E20AB}"/>
    <cellStyle name="好 28 4" xfId="24593" xr:uid="{BEBBB290-3268-437C-A06F-2B638BC25F1C}"/>
    <cellStyle name="好 28 5" xfId="24590" xr:uid="{DED0C25A-89B8-4355-9DD8-0AB03F2490F7}"/>
    <cellStyle name="好 29" xfId="6990" xr:uid="{E25361AC-65EA-4C5F-8BB1-809FC778CC82}"/>
    <cellStyle name="好 29 2" xfId="24595" xr:uid="{249C3255-A025-414E-BC57-694632BEA4BD}"/>
    <cellStyle name="好 29 3" xfId="24596" xr:uid="{0E041022-64A4-4521-8934-A01F1EEE7FA5}"/>
    <cellStyle name="好 29 4" xfId="24597" xr:uid="{3FD3F3D7-D50A-4DBF-88B1-A650D1F2543F}"/>
    <cellStyle name="好 29 5" xfId="24594" xr:uid="{C32F0A82-3763-4DD7-AE5C-A41A84A56D60}"/>
    <cellStyle name="好 3" xfId="6992" xr:uid="{1D60E9CD-5867-482C-AF6E-6F442C3D534B}"/>
    <cellStyle name="好 3 2" xfId="11121" xr:uid="{2274BBEF-5ED2-4F85-AC01-536759B37C2D}"/>
    <cellStyle name="好 3 2 2" xfId="24599" xr:uid="{F94E5022-6BF7-4B87-9723-5D8C2A43C6E8}"/>
    <cellStyle name="好 3 2 3" xfId="27556" xr:uid="{C59F413D-36C2-4CCA-AD84-9129833BE156}"/>
    <cellStyle name="好 3 3" xfId="11122" xr:uid="{69402EF5-AF87-4C1A-AAF4-FFB6BDE309D2}"/>
    <cellStyle name="好 3 3 2" xfId="24601" xr:uid="{37C1B03A-43EC-41FA-9413-747CE62DF0A9}"/>
    <cellStyle name="好 3 3 3" xfId="24600" xr:uid="{204DF092-E88D-4324-B649-70CF8AD2E8D5}"/>
    <cellStyle name="好 3 3 4" xfId="27557" xr:uid="{5F8C9EEA-8D57-4DD9-ACA8-6191D13CE859}"/>
    <cellStyle name="好 3 4" xfId="11120" xr:uid="{7887FB00-DEEF-4A35-B675-3F873C747ED4}"/>
    <cellStyle name="好 3 4 2" xfId="24602" xr:uid="{850509E7-464D-47F5-B285-3474F7920B40}"/>
    <cellStyle name="好 3 4 3" xfId="27783" xr:uid="{D30216E9-B936-4870-8738-E933BC38B1A6}"/>
    <cellStyle name="好 3 5" xfId="24603" xr:uid="{51F8B6AC-9CF9-4BD7-9B14-631C3363E441}"/>
    <cellStyle name="好 3 5 2" xfId="24604" xr:uid="{4BA1FEA3-6085-4ECB-8716-6F57CE3D4A77}"/>
    <cellStyle name="好 3 6" xfId="24598" xr:uid="{18C0B799-D890-4D11-9D1F-835D10CD21E5}"/>
    <cellStyle name="好 30" xfId="6983" xr:uid="{54A7EBD6-DDC6-413F-BD1A-C4EFB0646429}"/>
    <cellStyle name="好 30 2" xfId="24606" xr:uid="{24960E1D-4877-4EDF-8D93-97D8F473EFA8}"/>
    <cellStyle name="好 30 3" xfId="24607" xr:uid="{4CA6E0DC-5F19-4826-833C-6F8D321F8F54}"/>
    <cellStyle name="好 30 4" xfId="24608" xr:uid="{79E56332-1CCC-4454-9D3F-68B623E6BF58}"/>
    <cellStyle name="好 30 5" xfId="24605" xr:uid="{469A4627-F185-4914-836A-E92EAE55FC58}"/>
    <cellStyle name="好 31" xfId="6985" xr:uid="{587251E1-9345-4B73-B27D-AB705219BB68}"/>
    <cellStyle name="好 31 2" xfId="24610" xr:uid="{F0228D7B-81FF-408B-A81F-ADF9430CC37C}"/>
    <cellStyle name="好 31 3" xfId="24611" xr:uid="{82184885-B98D-4ADC-8EE3-15B0FB5C7E1F}"/>
    <cellStyle name="好 31 4" xfId="24612" xr:uid="{A0379078-C90F-4C7D-A425-FC9180DECB80}"/>
    <cellStyle name="好 31 5" xfId="24609" xr:uid="{C854C64E-DD5A-4AEE-ADB3-A16E69489133}"/>
    <cellStyle name="好 32" xfId="6987" xr:uid="{434023F8-AC44-435F-AE5E-88D54C68966C}"/>
    <cellStyle name="好 32 2" xfId="24614" xr:uid="{A171E072-4CE3-49A6-A453-2F1A6D82E2BD}"/>
    <cellStyle name="好 32 3" xfId="24615" xr:uid="{2832A3A3-8AD7-40FA-9D95-567A360DF560}"/>
    <cellStyle name="好 32 4" xfId="24616" xr:uid="{70EB4E8C-20ED-42E0-898D-69118930D0AC}"/>
    <cellStyle name="好 32 5" xfId="24613" xr:uid="{E415E66C-1C6B-40F8-968D-97CB2B1B85F8}"/>
    <cellStyle name="好 33" xfId="6989" xr:uid="{AA0E5BEB-038D-4D7D-AC6C-05650889E5FF}"/>
    <cellStyle name="好 33 2" xfId="24618" xr:uid="{9932773A-99AD-4557-A274-F82CF48B214E}"/>
    <cellStyle name="好 33 3" xfId="24619" xr:uid="{5E14D450-4901-48A2-AC01-623E6101807D}"/>
    <cellStyle name="好 33 4" xfId="24620" xr:uid="{94A47824-B2A5-454B-A5BF-9CCB1BF8089D}"/>
    <cellStyle name="好 33 5" xfId="24617" xr:uid="{77945578-8FF7-4001-B345-49217227AB38}"/>
    <cellStyle name="好 34" xfId="6991" xr:uid="{46A81D91-AE86-4D71-B4A9-2911587DC96C}"/>
    <cellStyle name="好 34 2" xfId="13614" xr:uid="{0CA47E1C-C58C-4FD8-B3F6-B35943B5794E}"/>
    <cellStyle name="好 34 2 2" xfId="24622" xr:uid="{CEBB53EC-ED75-411E-B059-988FB0225DAC}"/>
    <cellStyle name="好 34 3" xfId="24623" xr:uid="{CCDD366D-9452-4272-81AD-AA7ACD7FF427}"/>
    <cellStyle name="好 34 4" xfId="24624" xr:uid="{EEEB937C-9FD5-4CCD-AA04-FE8707098DE0}"/>
    <cellStyle name="好 34 5" xfId="24621" xr:uid="{454B88F3-0B07-43FB-BF47-28C34C9C341F}"/>
    <cellStyle name="好 35" xfId="6993" xr:uid="{9DC4B1D1-0152-4502-9E55-477FF479D9BA}"/>
    <cellStyle name="好 35 2" xfId="13615" xr:uid="{2838FF74-23DD-4DA6-94B0-0455FD6DF080}"/>
    <cellStyle name="好 35 2 2" xfId="24626" xr:uid="{BFF2E373-92F7-4E94-A27F-9BF2D9D438F7}"/>
    <cellStyle name="好 35 3" xfId="24625" xr:uid="{16029989-8CFC-40EA-91F7-89367991C4E0}"/>
    <cellStyle name="好 36" xfId="6995" xr:uid="{B9C7AA1C-56A4-40CE-868B-BEAA32374493}"/>
    <cellStyle name="好 36 2" xfId="13616" xr:uid="{3BFAA0E4-79FC-452C-941B-195C785E25B4}"/>
    <cellStyle name="好 36 2 2" xfId="24628" xr:uid="{36100838-BC49-4422-8790-9AE9172D646A}"/>
    <cellStyle name="好 36 3" xfId="24627" xr:uid="{102D501A-B9BB-4F8A-928F-596B890DD61F}"/>
    <cellStyle name="好 37" xfId="6997" xr:uid="{E212388B-80AF-41CF-9A42-515F0653A343}"/>
    <cellStyle name="好 37 2" xfId="13617" xr:uid="{03F6AF0D-3A2E-44D0-9F7C-02C4932DCC52}"/>
    <cellStyle name="好 37 2 2" xfId="24630" xr:uid="{925196D1-C44B-4789-831D-4FD2E01FE7D4}"/>
    <cellStyle name="好 37 3" xfId="24629" xr:uid="{937E4889-707F-4968-AD54-3B9C921C568E}"/>
    <cellStyle name="好 38" xfId="6999" xr:uid="{D78BE0B6-5DB2-4074-B581-7B43E53B3396}"/>
    <cellStyle name="好 38 2" xfId="13618" xr:uid="{8CC7FFCA-32EC-40CC-80D7-5647BAB6B389}"/>
    <cellStyle name="好 38 2 2" xfId="24632" xr:uid="{11DFC5B9-D28D-4C12-9891-920940E7F3A5}"/>
    <cellStyle name="好 38 3" xfId="24631" xr:uid="{C5CC72C1-9086-4468-81FF-7636AFEB8623}"/>
    <cellStyle name="好 39" xfId="7001" xr:uid="{464EF8E4-09EF-44AB-AFFF-4325FA0C0732}"/>
    <cellStyle name="好 39 2" xfId="13619" xr:uid="{CEC43AB0-E98A-4E1E-97F1-A9ECF2B17352}"/>
    <cellStyle name="好 39 2 2" xfId="24634" xr:uid="{B6A3FBA9-AB9B-47E5-ADEE-80FC5F905C16}"/>
    <cellStyle name="好 39 3" xfId="24633" xr:uid="{E3C5866D-DB73-4B0A-8FC2-BFA600160ECE}"/>
    <cellStyle name="好 4" xfId="7003" xr:uid="{9CF0D6C2-3225-47A2-AA7D-9A30B254ADA8}"/>
    <cellStyle name="好 4 2" xfId="11124" xr:uid="{C545FBD5-0F70-4839-8990-1229522DC1CC}"/>
    <cellStyle name="好 4 2 2" xfId="24637" xr:uid="{0692A982-DF74-404D-8DB2-C71BB3A4B9E9}"/>
    <cellStyle name="好 4 2 3" xfId="24636" xr:uid="{C800A3EF-AF72-454C-B2BA-6F486882648A}"/>
    <cellStyle name="好 4 3" xfId="11125" xr:uid="{C834E4A7-BF84-461D-9477-038498B173BF}"/>
    <cellStyle name="好 4 3 2" xfId="24638" xr:uid="{8E0CCE0B-D525-4AB3-B99A-FE2CB940E089}"/>
    <cellStyle name="好 4 4" xfId="11123" xr:uid="{0F5E539E-55A4-4E25-A127-B1EB61C6D64E}"/>
    <cellStyle name="好 4 4 2" xfId="24640" xr:uid="{900805C1-1876-4810-905F-1FA8CA6B2433}"/>
    <cellStyle name="好 4 4 3" xfId="24639" xr:uid="{44500EF5-8181-4170-82D7-36DD19D10023}"/>
    <cellStyle name="好 4 5" xfId="24635" xr:uid="{FD9D22CD-3368-44B3-A365-043FAC19BCA9}"/>
    <cellStyle name="好 40" xfId="6994" xr:uid="{8DAA1DAB-AD6C-4FDE-B1D9-9E2C4B963F50}"/>
    <cellStyle name="好 40 2" xfId="13621" xr:uid="{28971A7C-7B36-45C4-86C1-B8920E634CDA}"/>
    <cellStyle name="好 40 2 2" xfId="24642" xr:uid="{7ACF347B-FE3C-472F-AFA2-25877D1D73BA}"/>
    <cellStyle name="好 40 3" xfId="24641" xr:uid="{202C0EB6-CA83-4A68-9313-0758314457AF}"/>
    <cellStyle name="好 41" xfId="6996" xr:uid="{34AB83DD-89FD-4E7B-8CCB-EDE7BAD7641F}"/>
    <cellStyle name="好 41 2" xfId="13622" xr:uid="{CA767267-5767-4218-922E-108C97A29864}"/>
    <cellStyle name="好 41 2 2" xfId="24644" xr:uid="{2DC1F2E7-5571-4A60-812E-CEAEB616456D}"/>
    <cellStyle name="好 41 3" xfId="24643" xr:uid="{8EA7107F-D037-43B2-8F75-534D68FCA12C}"/>
    <cellStyle name="好 42" xfId="6998" xr:uid="{ABA41635-77ED-4D95-B4F5-987A475228F6}"/>
    <cellStyle name="好 42 2" xfId="13623" xr:uid="{EA207650-C67B-4B0C-8AD5-5AEB7FC829E3}"/>
    <cellStyle name="好 42 2 2" xfId="24646" xr:uid="{5580AAE9-AB61-4848-ADA6-74C2D3582975}"/>
    <cellStyle name="好 42 3" xfId="24645" xr:uid="{28EFF239-7636-4715-B679-F64AA07D0815}"/>
    <cellStyle name="好 43" xfId="7000" xr:uid="{1E8C1C97-CBA6-4D40-BDDE-246154F3D21D}"/>
    <cellStyle name="好 43 2" xfId="13624" xr:uid="{B2DDFE96-051B-42DA-80E3-B33B408D0FCD}"/>
    <cellStyle name="好 43 2 2" xfId="24648" xr:uid="{0B1C9905-614D-4FF5-AA0B-07E28EA51A20}"/>
    <cellStyle name="好 43 3" xfId="24647" xr:uid="{35871F1A-FD31-4CBE-99CF-FB77E03893AD}"/>
    <cellStyle name="好 44" xfId="7002" xr:uid="{947B970B-8209-4A10-B025-3D7EBCF395B0}"/>
    <cellStyle name="好 44 2" xfId="13625" xr:uid="{7E3F9B65-9006-4A62-A8F4-96B8F362163D}"/>
    <cellStyle name="好 44 2 2" xfId="24650" xr:uid="{351C9F62-90FA-485D-AC3E-56F2992B715C}"/>
    <cellStyle name="好 44 3" xfId="24649" xr:uid="{096A290B-BDC4-4276-BF4E-FAFF70E5811D}"/>
    <cellStyle name="好 45" xfId="7004" xr:uid="{799F8125-1B14-4FD9-8EC6-B158BA3ACC2B}"/>
    <cellStyle name="好 45 2" xfId="13626" xr:uid="{05DB32A3-FDC6-4D19-86FB-E75E71EDDEBF}"/>
    <cellStyle name="好 45 2 2" xfId="24652" xr:uid="{3E2F127D-B091-4E79-B5E4-14E01E559CCD}"/>
    <cellStyle name="好 45 3" xfId="24651" xr:uid="{1E15E197-D81A-400E-841A-892C6B91B932}"/>
    <cellStyle name="好 46" xfId="7006" xr:uid="{CBF2F6FA-6755-4A52-8242-C7BCB9623C0F}"/>
    <cellStyle name="好 46 2" xfId="13627" xr:uid="{E1FBFC11-66E1-4653-A4C3-B6914A17AFFA}"/>
    <cellStyle name="好 46 2 2" xfId="24654" xr:uid="{9EEE34A9-5A2A-4994-8B4F-D3F721148FE8}"/>
    <cellStyle name="好 46 3" xfId="24653" xr:uid="{EB4C690E-8651-4594-AEF2-C8C6DBFD10D3}"/>
    <cellStyle name="好 47" xfId="7008" xr:uid="{4CFBC5AE-F9D4-4671-88D5-371F0B21B04C}"/>
    <cellStyle name="好 47 2" xfId="13628" xr:uid="{4F5D5029-1721-4767-899D-D21A1CF4676A}"/>
    <cellStyle name="好 47 3" xfId="24655" xr:uid="{154219FA-2B69-4091-AE77-64E36594B529}"/>
    <cellStyle name="好 48" xfId="7010" xr:uid="{579A1AFC-E102-447C-915B-A494E6C4221B}"/>
    <cellStyle name="好 48 2" xfId="13629" xr:uid="{14AB0C6C-CDDA-4533-9DD5-83845A1BC57A}"/>
    <cellStyle name="好 48 3" xfId="24656" xr:uid="{F5263B6C-1479-47BF-B8C7-10919FDDC875}"/>
    <cellStyle name="好 49" xfId="7012" xr:uid="{E0A54417-CAAA-4B26-A593-FEC206FF967A}"/>
    <cellStyle name="好 49 2" xfId="13630" xr:uid="{2B792B0C-4AAB-4B77-BF4C-876EF0FFAAC6}"/>
    <cellStyle name="好 49 3" xfId="24657" xr:uid="{253A7775-0695-4D27-AFE8-7ED8EBF8C3CD}"/>
    <cellStyle name="好 5" xfId="7014" xr:uid="{FA02F10C-8808-4092-B9D8-3FE725A61CD7}"/>
    <cellStyle name="好 5 2" xfId="11127" xr:uid="{C6C3CBD4-09D9-4AA3-AE69-386732F456D2}"/>
    <cellStyle name="好 5 2 2" xfId="24660" xr:uid="{9A58BE9D-54E0-4DA6-8904-041A7768D588}"/>
    <cellStyle name="好 5 2 3" xfId="24659" xr:uid="{7308F4F7-910B-4F30-9676-1EE9CFB1FEF0}"/>
    <cellStyle name="好 5 3" xfId="11128" xr:uid="{B990FB21-681C-45DE-98E8-9A6804EE4DF3}"/>
    <cellStyle name="好 5 3 2" xfId="24661" xr:uid="{F710E7FF-1AB1-4AD3-A271-6D6120BDE77A}"/>
    <cellStyle name="好 5 4" xfId="11126" xr:uid="{4BD218DD-641C-46CA-9F41-58150F55BB6F}"/>
    <cellStyle name="好 5 4 2" xfId="24662" xr:uid="{A0473EFA-8EAC-4F34-A9FE-82B7BD743805}"/>
    <cellStyle name="好 5 5" xfId="24658" xr:uid="{1B4A8E57-7A52-4D68-B09C-4F14E53A8CE1}"/>
    <cellStyle name="好 50" xfId="7005" xr:uid="{C2E4D5F6-E0C6-4146-862D-115B78770C54}"/>
    <cellStyle name="好 50 2" xfId="13632" xr:uid="{4430F255-F155-4E62-BB96-08667999F1FF}"/>
    <cellStyle name="好 50 3" xfId="24663" xr:uid="{5B1AA3D2-440A-4DDB-99D0-3CA23081D4C0}"/>
    <cellStyle name="好 51" xfId="7007" xr:uid="{BA746A70-8472-47B0-9316-51C7F0FF634E}"/>
    <cellStyle name="好 51 2" xfId="13633" xr:uid="{2B3DF5B6-7C2F-4399-A32C-50E40421C822}"/>
    <cellStyle name="好 51 3" xfId="24664" xr:uid="{D627166A-8E18-4A64-846D-8477BE47F1F9}"/>
    <cellStyle name="好 52" xfId="7009" xr:uid="{833AE973-FC97-45D4-82D4-730790017384}"/>
    <cellStyle name="好 52 2" xfId="13634" xr:uid="{9E39B6CF-9E72-48F0-92AC-7494D542A591}"/>
    <cellStyle name="好 52 3" xfId="24665" xr:uid="{824B62A9-5C51-419A-B83A-EBA51ACD4F23}"/>
    <cellStyle name="好 53" xfId="7011" xr:uid="{DE3F8E9A-0033-4D1A-BA79-1C09BECEBD19}"/>
    <cellStyle name="好 53 2" xfId="13635" xr:uid="{4E7D3496-A59C-4586-A94A-BDF9D0757D56}"/>
    <cellStyle name="好 53 3" xfId="24666" xr:uid="{3ACB46AE-5F99-404B-B187-C581465BD577}"/>
    <cellStyle name="好 54" xfId="7013" xr:uid="{ABD84C7E-CBCE-4940-AA84-FC3E96F4126C}"/>
    <cellStyle name="好 54 2" xfId="13636" xr:uid="{9ED7F7F3-CA66-4921-91D6-73C9C9D28DE8}"/>
    <cellStyle name="好 54 3" xfId="24667" xr:uid="{806EEA1E-6311-4F13-9603-8D2DE882B6D8}"/>
    <cellStyle name="好 55" xfId="7015" xr:uid="{14D519F8-22A3-4771-9F54-2984A8E3EDC4}"/>
    <cellStyle name="好 55 2" xfId="13637" xr:uid="{FA803F13-6B9F-4682-817D-7DD13BAE9F77}"/>
    <cellStyle name="好 55 3" xfId="24668" xr:uid="{05FAB329-7CCD-4FB5-9255-1436151BC661}"/>
    <cellStyle name="好 56" xfId="7017" xr:uid="{93D2152E-27BA-4252-B0F3-939645819F65}"/>
    <cellStyle name="好 56 2" xfId="13638" xr:uid="{6E4F51D3-5682-47CC-95DC-DEFF2DAABE80}"/>
    <cellStyle name="好 56 3" xfId="24669" xr:uid="{FBB70628-6570-4E30-9FE2-B4FCD01FFCD2}"/>
    <cellStyle name="好 57" xfId="7019" xr:uid="{DFD68FAA-2831-4DCE-9400-C90B2932B4CE}"/>
    <cellStyle name="好 57 2" xfId="13639" xr:uid="{DC06A0F7-62BF-4695-A1AF-21A0A5EBBB62}"/>
    <cellStyle name="好 58" xfId="7021" xr:uid="{89AB7F4C-3C4B-4298-8923-F12E384B6416}"/>
    <cellStyle name="好 58 2" xfId="13640" xr:uid="{984BE5B3-A85B-41BE-B6B9-023C4022A775}"/>
    <cellStyle name="好 59" xfId="7023" xr:uid="{D5E71470-CDA6-4F07-B035-590A49812626}"/>
    <cellStyle name="好 59 2" xfId="13641" xr:uid="{35BB9159-B8AA-4F1E-82E5-2EF8C734FD17}"/>
    <cellStyle name="好 6" xfId="7025" xr:uid="{5F2E12DB-B91D-48E2-A2A5-890E4B63D287}"/>
    <cellStyle name="好 6 2" xfId="7026" xr:uid="{E0651F46-8EDB-469C-8123-BA1C522B1875}"/>
    <cellStyle name="好 6 2 2" xfId="11130" xr:uid="{9B18B0F5-7F11-47C9-BFAD-F4555BBE65F6}"/>
    <cellStyle name="好 6 2 2 2" xfId="24672" xr:uid="{9120D745-CBD9-4DB4-9147-03CFB1A8CD16}"/>
    <cellStyle name="好 6 2 3" xfId="24671" xr:uid="{63EB86E8-F033-4DF8-A5C7-CDB01401DDCA}"/>
    <cellStyle name="好 6 3" xfId="11131" xr:uid="{BFC740AD-2E8D-4006-A30B-D909FA8EB163}"/>
    <cellStyle name="好 6 3 2" xfId="24673" xr:uid="{E5040388-D5E8-4301-80CE-17B2C0799A44}"/>
    <cellStyle name="好 6 4" xfId="11129" xr:uid="{DD438793-F0BE-46D9-98E7-B683339A1327}"/>
    <cellStyle name="好 6 4 2" xfId="24674" xr:uid="{EA39E657-4DC0-42E4-A984-EE6B8AB903BC}"/>
    <cellStyle name="好 6 5" xfId="24670" xr:uid="{DF099A6C-0FBC-4178-BAC3-4BE2CE321ED5}"/>
    <cellStyle name="好 60" xfId="7016" xr:uid="{5E402B3B-A0D7-461F-B1C0-C8A2234DBFD2}"/>
    <cellStyle name="好 60 2" xfId="13643" xr:uid="{E51DA357-5801-4969-9900-B47BBA5FDD52}"/>
    <cellStyle name="好 61" xfId="7018" xr:uid="{27CC5533-9B16-43C7-A317-8B4612272984}"/>
    <cellStyle name="好 61 2" xfId="13644" xr:uid="{1EDBA0D0-D18F-4FA0-89CF-8266C945A533}"/>
    <cellStyle name="好 62" xfId="7020" xr:uid="{254BD904-D9CD-43C6-A2DC-65F9F57518FD}"/>
    <cellStyle name="好 62 2" xfId="13645" xr:uid="{B8B7E818-6FE9-4858-9863-FA671AEEE42C}"/>
    <cellStyle name="好 63" xfId="7022" xr:uid="{24BBC81E-0ABD-4A2F-8976-E8A429907D2D}"/>
    <cellStyle name="好 63 2" xfId="13646" xr:uid="{9A9A5991-5861-4ECC-94A4-140B6AE7E159}"/>
    <cellStyle name="好 64" xfId="7024" xr:uid="{CBBAEA09-9D3E-4F4F-8A09-E467037C749F}"/>
    <cellStyle name="好 64 2" xfId="13647" xr:uid="{E34F7F2F-93C2-4D0E-9F3C-BF33F66A139D}"/>
    <cellStyle name="好 65" xfId="7027" xr:uid="{955F96A6-6564-45A1-83F4-E745DC0F2DD3}"/>
    <cellStyle name="好 65 2" xfId="13648" xr:uid="{72F57104-2A0E-4F4D-A752-AEEDFC494420}"/>
    <cellStyle name="好 66" xfId="7029" xr:uid="{3EFC7D3E-0B03-440B-89B0-1E3936182564}"/>
    <cellStyle name="好 66 2" xfId="13649" xr:uid="{DCC4B89D-DE29-401B-9BCE-FCE84279E903}"/>
    <cellStyle name="好 67" xfId="7031" xr:uid="{2958FF35-6FA5-478B-A8D3-D9892C2F8AED}"/>
    <cellStyle name="好 67 2" xfId="13650" xr:uid="{CBB3F459-B70A-43CD-9C66-5C144AFBD3D5}"/>
    <cellStyle name="好 68" xfId="7033" xr:uid="{D85E5EA9-7A2C-423A-9234-C69E6AD3887A}"/>
    <cellStyle name="好 68 2" xfId="13651" xr:uid="{C3CEF02D-1324-46B3-B41F-B2939DBC6B17}"/>
    <cellStyle name="好 69" xfId="7035" xr:uid="{4BAD794C-AFA4-42FA-8FD1-24FBA0EAB8FA}"/>
    <cellStyle name="好 69 2" xfId="13652" xr:uid="{B09239B7-16F4-42DC-8E0A-0DAA3CCFAD2B}"/>
    <cellStyle name="好 7" xfId="7037" xr:uid="{C20C3FE7-4708-4F4D-B594-5AB897634422}"/>
    <cellStyle name="好 7 2" xfId="7038" xr:uid="{0D7311F2-DC54-454C-977A-931815D75F51}"/>
    <cellStyle name="好 7 2 2" xfId="11133" xr:uid="{B4BF6EEA-4A95-42E6-8C04-B195D72A64CB}"/>
    <cellStyle name="好 7 2 2 2" xfId="24677" xr:uid="{544887CB-DC84-4545-B863-1614E250E015}"/>
    <cellStyle name="好 7 2 3" xfId="24676" xr:uid="{B6272F9C-4D73-46DD-B8CA-020B129D5A59}"/>
    <cellStyle name="好 7 3" xfId="11134" xr:uid="{D4815B03-80A7-4BE4-A863-3B0FF0221D54}"/>
    <cellStyle name="好 7 3 2" xfId="24678" xr:uid="{A8587ACA-A8F5-4E17-9920-7F6A7CA9E077}"/>
    <cellStyle name="好 7 4" xfId="11132" xr:uid="{456A5D10-ABDF-4212-B255-962F1FC91249}"/>
    <cellStyle name="好 7 4 2" xfId="24679" xr:uid="{9CC65918-DAF9-4846-8CE8-C24D213FC1FD}"/>
    <cellStyle name="好 7 5" xfId="24675" xr:uid="{EB078797-ADAC-46CB-B41E-56826E79DCE4}"/>
    <cellStyle name="好 70" xfId="7028" xr:uid="{EC198AB5-40E7-4013-8A97-4B6173BDBBAB}"/>
    <cellStyle name="好 70 2" xfId="13654" xr:uid="{E676C3CF-7C3F-4FC6-BD33-728DF8959F78}"/>
    <cellStyle name="好 71" xfId="7030" xr:uid="{81837F56-DCD1-4344-9ECF-184F185F45D0}"/>
    <cellStyle name="好 71 2" xfId="13655" xr:uid="{FCFDC3F6-1EF6-45D0-BB07-FA6B8BD6E7F9}"/>
    <cellStyle name="好 72" xfId="7032" xr:uid="{F3209159-0934-48CC-97B6-9B3F4B4CFA6C}"/>
    <cellStyle name="好 72 2" xfId="13656" xr:uid="{E1AB4604-1266-486B-962B-0F1CE3160BB6}"/>
    <cellStyle name="好 73" xfId="7034" xr:uid="{4A0F0EAC-9D87-4208-BDAE-E271A08BA3A4}"/>
    <cellStyle name="好 73 2" xfId="13657" xr:uid="{4804F941-692A-4F73-B1A1-6818E8D22BE3}"/>
    <cellStyle name="好 74" xfId="7036" xr:uid="{70DBC577-893A-4BB0-8ABC-31FEB76C33D6}"/>
    <cellStyle name="好 74 2" xfId="13658" xr:uid="{2026941B-593D-4461-B241-A0695E4AA011}"/>
    <cellStyle name="好 75" xfId="7039" xr:uid="{A99FDB9F-8695-4AEE-AE61-59ED26565A5C}"/>
    <cellStyle name="好 75 2" xfId="13659" xr:uid="{9DAF24E1-D36D-4CF4-AE7A-D0F7AB998C8E}"/>
    <cellStyle name="好 76" xfId="7041" xr:uid="{AC8C2CB0-4D4A-4437-A8C7-345507BC03F3}"/>
    <cellStyle name="好 76 2" xfId="13660" xr:uid="{EB13FACA-D336-4DA7-9271-12A8F85720FF}"/>
    <cellStyle name="好 77" xfId="7043" xr:uid="{D53391CC-CBD6-4C77-9C6C-955DBAA9723B}"/>
    <cellStyle name="好 77 2" xfId="13661" xr:uid="{47CC390E-5CF7-4B1A-8CEF-02029F748D31}"/>
    <cellStyle name="好 78" xfId="7045" xr:uid="{BD17CE80-F9CC-486D-B73A-5B8014401783}"/>
    <cellStyle name="好 78 2" xfId="13662" xr:uid="{783DCAFD-6E34-4A78-B24E-3044859F17EF}"/>
    <cellStyle name="好 79" xfId="7047" xr:uid="{51A9BBB9-23BF-45B4-B0F5-77EF3AE3F5DE}"/>
    <cellStyle name="好 79 2" xfId="13663" xr:uid="{D6BBE03A-BCEC-4B90-BFDF-17C2B8B79BFD}"/>
    <cellStyle name="好 8" xfId="7049" xr:uid="{94A8932A-AC06-420C-9364-9C0C8B59E483}"/>
    <cellStyle name="好 8 2" xfId="7050" xr:uid="{F4DE5B1F-8E5D-47DB-94CE-A92479BD785C}"/>
    <cellStyle name="好 8 2 2" xfId="11136" xr:uid="{F60A2D7B-AF56-4529-8F15-EE255229540C}"/>
    <cellStyle name="好 8 2 2 2" xfId="24682" xr:uid="{D3D04E5F-4632-4AD7-982C-1BBF1BE2C409}"/>
    <cellStyle name="好 8 2 3" xfId="24681" xr:uid="{93426DA9-EA50-4D25-9C36-30F042635554}"/>
    <cellStyle name="好 8 3" xfId="11137" xr:uid="{FA623D77-1D91-47A9-AAE1-9E33487C5177}"/>
    <cellStyle name="好 8 3 2" xfId="24683" xr:uid="{FD2938A2-B403-45E9-94D9-2CB7215D50DC}"/>
    <cellStyle name="好 8 4" xfId="11135" xr:uid="{B14BEF4F-42AC-4BA7-A98B-EE1D86BBBBA7}"/>
    <cellStyle name="好 8 4 2" xfId="24684" xr:uid="{0E9E85C2-12EE-413C-B379-D599BEAAFD25}"/>
    <cellStyle name="好 8 5" xfId="24680" xr:uid="{C8302FC0-FBE8-4E21-AFEE-071F095DB655}"/>
    <cellStyle name="好 80" xfId="7040" xr:uid="{3E6717D2-7283-4A92-A7E0-08C03D509914}"/>
    <cellStyle name="好 80 2" xfId="13665" xr:uid="{E3B7468D-967C-4C4B-A65A-1CF3E6BC7441}"/>
    <cellStyle name="好 81" xfId="7042" xr:uid="{EEADD4E1-B112-4275-ADFD-5449E6A19EB7}"/>
    <cellStyle name="好 81 2" xfId="13666" xr:uid="{FCFAB482-8DB5-4C8E-8B46-48A1FB168801}"/>
    <cellStyle name="好 82" xfId="7044" xr:uid="{0CD355FD-C7EF-4834-AAA7-07C8FEAC949F}"/>
    <cellStyle name="好 82 2" xfId="13667" xr:uid="{C6FB702C-3576-4FFC-B085-966242854478}"/>
    <cellStyle name="好 83" xfId="7046" xr:uid="{4A9E23F2-475C-4FDD-A010-40A3BC97F24E}"/>
    <cellStyle name="好 83 2" xfId="13668" xr:uid="{B3F18981-1BFB-4DB2-8B0E-69290132BBC2}"/>
    <cellStyle name="好 84" xfId="7048" xr:uid="{F19D2227-AB21-43BA-8A01-63B9B679571C}"/>
    <cellStyle name="好 84 2" xfId="13669" xr:uid="{C6BF10E7-717E-4A73-A414-3F4276352661}"/>
    <cellStyle name="好 85" xfId="9324" xr:uid="{35218374-AD16-41A3-9C72-185DE7C2F8FB}"/>
    <cellStyle name="好 86" xfId="11087" xr:uid="{845CE8C1-8296-4DA6-A876-956EC66BA694}"/>
    <cellStyle name="好 87" xfId="13593" xr:uid="{E3EE2091-1E81-4DD9-86B3-1C6785CE7704}"/>
    <cellStyle name="好 88" xfId="27136" xr:uid="{2C26370C-30AE-478C-9764-6B24CAEF2134}"/>
    <cellStyle name="好 89" xfId="27180" xr:uid="{5C67CA1C-1E27-4233-A702-12961467064D}"/>
    <cellStyle name="好 9" xfId="7051" xr:uid="{5005B0EA-480D-43AC-96EF-0D6AF972C2D7}"/>
    <cellStyle name="好 9 2" xfId="11139" xr:uid="{1AA370C2-5DEB-40F3-845F-8BF0C25BDB36}"/>
    <cellStyle name="好 9 2 2" xfId="24686" xr:uid="{F301A50C-3853-42BF-8DBA-900423F24CE3}"/>
    <cellStyle name="好 9 3" xfId="11140" xr:uid="{BF16DA5B-3866-48A4-AFAB-901C0AE0353C}"/>
    <cellStyle name="好 9 4" xfId="11138" xr:uid="{02523E11-156C-47B6-B56E-76C5F59DC99C}"/>
    <cellStyle name="好 9 5" xfId="24685" xr:uid="{C82FF784-B8BA-4556-A120-D0F21F1D29C6}"/>
    <cellStyle name="好 90" xfId="27168" xr:uid="{49E38224-3FF2-4163-BCC8-AA0519965907}"/>
    <cellStyle name="好 91" xfId="3349" xr:uid="{6FEAF0BF-9300-4A48-9827-71BBBEE5D70B}"/>
    <cellStyle name="好_1月外协费用报表" xfId="24687" xr:uid="{00C0AED8-05DC-421C-98CD-A749EDC896ED}"/>
    <cellStyle name="好_1月外协费用报表 2" xfId="24688" xr:uid="{9F7F0D15-E49A-4BA8-8E82-365C258207AE}"/>
    <cellStyle name="好_1月外协费用报表 3" xfId="24689" xr:uid="{B2A1DEF8-7533-4D43-B3A7-B4503CC4B185}"/>
    <cellStyle name="好_2013年东山矿预算12.12" xfId="24690" xr:uid="{2B661E12-98E9-4B0A-88B2-D59A0B349DD8}"/>
    <cellStyle name="好_2013年东山矿预算12.12_动力部" xfId="24691" xr:uid="{C8F2CE5E-23E0-4C0A-A4B4-D9AF9DDF5B98}"/>
    <cellStyle name="好_2014.01集团重点工程信息" xfId="7052" xr:uid="{1BC9B044-D165-455C-9DFC-787A9DCF6F04}"/>
    <cellStyle name="好_2014.01集团重点工程信息 2" xfId="11141" xr:uid="{32DB1FB3-E6A1-4C65-A4DB-BA1B1F3A5725}"/>
    <cellStyle name="好_2014.01集团重点工程信息_2014年4月集团计财信息" xfId="7053" xr:uid="{29C1FE5D-E04C-4191-BCB6-F284D2E7E45A}"/>
    <cellStyle name="好_2014.01集团重点工程信息_阿克斯" xfId="7054" xr:uid="{13E70D80-99DD-4E75-8D09-2F7DC6D0F753}"/>
    <cellStyle name="好_2014.01集团重点工程信息_钢科月度信息" xfId="7055" xr:uid="{59671719-FE42-4910-BB51-A8E0FB8CC0D1}"/>
    <cellStyle name="好_2014.01集团重点工程信息_工业园月度信息" xfId="7056" xr:uid="{C91DCB48-36CE-4943-A81E-FE051FC3F012}"/>
    <cellStyle name="好_2014.01集团重点工程信息_晋煤太钢4月份信息" xfId="7057" xr:uid="{72958DEA-0120-4780-9D87-0B09840495FC}"/>
    <cellStyle name="好_2014.01集团重点工程信息_耐火公司4月信息" xfId="7058" xr:uid="{B61AE4FB-29F5-41CB-9A85-7223EDE0F1DA}"/>
    <cellStyle name="好_2014.01集团重点工程信息_泥屯月度信息" xfId="7059" xr:uid="{F42AFA42-8A3D-4EBA-8EE3-C86716831FF3}"/>
    <cellStyle name="好_2014.01集团重点工程信息_世茂信息模板1" xfId="7060" xr:uid="{B7335E37-72A6-49E8-994D-B2A177F631B0}"/>
    <cellStyle name="好_2014.01集团重点工程信息_太钢哈斯科2014年4月财务报表20140527" xfId="7061" xr:uid="{E9E51D61-F754-4C92-86BA-C55131F3F677}"/>
    <cellStyle name="好_2014.01集团重点工程信息_信息（财务四室-福利厂）改" xfId="4836" xr:uid="{58217621-1D16-4FDB-A626-A35D4420805A}"/>
    <cellStyle name="好_2014.01集团重点工程信息_信息模板_矿业" xfId="7062" xr:uid="{B2765542-EB7C-44FA-BAE9-E1064658CAA1}"/>
    <cellStyle name="好_2014.01集团重点工程信息_信息模板工程技术" xfId="7063" xr:uid="{FDEAD88C-99E2-4B46-9F9E-A0A4E2F25A55}"/>
    <cellStyle name="好_2014.01集团重点工程信息_信息模板-晋非公司" xfId="7064" xr:uid="{E1DAF931-DEEC-422C-8D91-F785C30B3120}"/>
    <cellStyle name="好_2014.01集团重点工程信息_信息模板-太原太钢大明" xfId="7065" xr:uid="{9AF77F72-3221-43D6-82E7-F1C78DE354D8}"/>
    <cellStyle name="好_2014.01集团重点工程信息_信息模板-信自" xfId="7066" xr:uid="{2A10BC7D-722F-4FAE-A323-5D603A3E6FA4}"/>
    <cellStyle name="好_2014年尖山成本预算2014113" xfId="24692" xr:uid="{6D62AC68-0080-428F-B57C-CB526567EBF6}"/>
    <cellStyle name="好_2014年尖山成本预算2014113 2" xfId="24693" xr:uid="{F5E4C802-7057-42FC-8ED5-5CE96C6B7C5D}"/>
    <cellStyle name="好_2014年尖山成本预算2014113 2_动力部" xfId="24694" xr:uid="{EA46470B-FFFC-4FF7-88A6-454483402FC9}"/>
    <cellStyle name="好_2014年尖山成本预算2014113_动力部" xfId="24695" xr:uid="{E3BEFAFC-37A6-4853-BBD9-26EF58B5CA84}"/>
    <cellStyle name="好_2014年尖山成本预算2014113_副本峨矿2016年预算格式" xfId="24696" xr:uid="{612D2BF0-CC32-4D2E-A4F0-49B31AE43DD0}"/>
    <cellStyle name="好_2014年尖山成本预算2014113_副本峨矿2016年预算格式 2" xfId="24697" xr:uid="{AE772F63-15F1-4473-BF6F-E4D1879ADD6B}"/>
    <cellStyle name="好_2014年尖山成本预算2014113_副本峨矿2016年预算格式_动力部" xfId="24698" xr:uid="{51A29BEF-A1B8-4E07-A45C-DCE00BC2D535}"/>
    <cellStyle name="好_2014年外协费用指标分解12.15" xfId="24699" xr:uid="{6B2E3498-A94A-4E1B-B548-1AC636A6C762}"/>
    <cellStyle name="好_2014年外协费用指标分解12.15_工艺科2017年全面预算20161010" xfId="24700" xr:uid="{6FC56853-730A-4C60-B5B5-B86F0D412C2D}"/>
    <cellStyle name="好_2015年尖山成本预算（334万-425元)" xfId="24701" xr:uid="{83A1AC5F-A14E-46E5-A783-BA9A0987B70A}"/>
    <cellStyle name="好_2015年尖山成本预算（334万-425元) 2" xfId="24702" xr:uid="{7E045F48-AAFE-4A9E-BB38-E109C1A3B1E5}"/>
    <cellStyle name="好_2015年尖山成本预算（334万-425元) 2_动力部" xfId="24703" xr:uid="{20033751-EC8A-43CB-9BB8-0AF0ECA0738C}"/>
    <cellStyle name="好_2015年尖山成本预算（334万-425元)_动力部" xfId="24704" xr:uid="{FADAD81C-3E3E-4034-9B57-3572B8A6DB8F}"/>
    <cellStyle name="好_2015年尖山成本预算（360万-408元)" xfId="24705" xr:uid="{784F0822-F272-4696-8D96-FF05CE1523B7}"/>
    <cellStyle name="好_2015年尖山成本预算（360万-408元) 2" xfId="24706" xr:uid="{21B55257-1F06-4D9D-B502-B813910752E7}"/>
    <cellStyle name="好_2015年尖山成本预算（360万-408元) 2_动力部" xfId="24707" xr:uid="{4749C304-206D-4D11-B6D2-A15F255D14C2}"/>
    <cellStyle name="好_2015年尖山成本预算（360万-408元)_动力部" xfId="24708" xr:uid="{38243F87-49F0-4BAA-A2AD-DF27CA8F5991}"/>
    <cellStyle name="好_2015年矿业公司工资预算" xfId="24709" xr:uid="{2886A048-660F-442F-81FA-FD960F7760E1}"/>
    <cellStyle name="好_2015年矿业公司工资预算 2" xfId="24710" xr:uid="{C13CBA94-4528-4398-8C7B-596555B92449}"/>
    <cellStyle name="好_2015年矿业公司工资预算 2_动力部" xfId="24711" xr:uid="{BB77ABBD-61BF-4908-875B-498E8D2CF8B9}"/>
    <cellStyle name="好_2015年矿业公司工资预算_动力部" xfId="24712" xr:uid="{9FED7147-65EB-4E47-9AB5-B4AD397B58E7}"/>
    <cellStyle name="好_2015折旧预算（交付资产折旧）" xfId="24713" xr:uid="{A51B459D-0E80-46DD-8217-F6F812CAE445}"/>
    <cellStyle name="好_2015折旧预算（交付资产折旧） 2" xfId="24714" xr:uid="{37AA54FA-93EF-4A64-8F9A-8FA149E53417}"/>
    <cellStyle name="好_2015折旧预算（交付资产折旧） 2_动力部" xfId="24715" xr:uid="{68920521-1D99-4601-90A2-59732440EC8E}"/>
    <cellStyle name="好_2015折旧预算（交付资产折旧）_2016年9月成本报表" xfId="24716" xr:uid="{BE82DC09-A4E1-4481-845F-DFE9AFA084FE}"/>
    <cellStyle name="好_2015折旧预算（交付资产折旧）_2016年9月成本报表 2" xfId="24717" xr:uid="{8F4BA12A-01A7-47B3-AFCA-02280CE29D3E}"/>
    <cellStyle name="好_2015折旧预算（交付资产折旧）_2016年9月成本报表 2_动力部" xfId="24718" xr:uid="{407F2487-D190-4300-B32D-C94161CEACAA}"/>
    <cellStyle name="好_2015折旧预算（交付资产折旧）_2016年9月成本报表_动力部" xfId="24719" xr:uid="{B28265EC-5F00-4677-8D8B-C63BE0590991}"/>
    <cellStyle name="好_2015折旧预算（交付资产折旧）_动力部" xfId="24720" xr:uid="{02AEAFE2-E1C7-4407-B04E-1EE127955CCB}"/>
    <cellStyle name="好_2015折旧预算（交付资产折旧）_加不利2016年预算3稿（内）1106" xfId="24721" xr:uid="{CF71B062-CC7E-444C-98D4-B2A161881449}"/>
    <cellStyle name="好_2015折旧预算（交付资产折旧）_加不利2016年预算3稿（内）1106 2" xfId="24722" xr:uid="{2DC92469-DCD1-488A-8408-2279B233ABBE}"/>
    <cellStyle name="好_2015折旧预算（交付资产折旧）_加不利2016年预算3稿（内）1106 2_动力部" xfId="24723" xr:uid="{3A227A7F-89EA-4B9C-BBB0-3B00F0551346}"/>
    <cellStyle name="好_2015折旧预算（交付资产折旧）_加不利2016年预算3稿（内）1106_动力部" xfId="24724" xr:uid="{FE27729D-DBA6-4C40-9977-65581635375B}"/>
    <cellStyle name="好_2015折旧预算（交付资产折旧）_尖山铁矿2016年预算内部全面预算(129)" xfId="24725" xr:uid="{AC29B650-18CE-44E2-8C98-3E52DE890295}"/>
    <cellStyle name="好_2015折旧预算（交付资产折旧）_尖山铁矿2016年预算内部全面预算(129) 2" xfId="24726" xr:uid="{7018275F-4338-4DA7-B66C-EC64C65A8E84}"/>
    <cellStyle name="好_2015折旧预算（交付资产折旧）_尖山铁矿2016年预算内部全面预算(129) 2_动力部" xfId="24727" xr:uid="{608F47D2-4890-4575-A418-506098D914F2}"/>
    <cellStyle name="好_2015折旧预算（交付资产折旧）_尖山铁矿2016年预算内部全面预算(129)_动力部" xfId="24728" xr:uid="{18314A26-092C-49F7-8BAE-E9B3A6E89CD1}"/>
    <cellStyle name="好_2015折旧预算（交付资产折旧）_尖山铁矿2017年全面预算1.26" xfId="24729" xr:uid="{273A5AC4-DE00-4C02-909E-A34B622D6AF3}"/>
    <cellStyle name="好_2016年9月成本报表" xfId="24730" xr:uid="{11FB6F9B-3B2A-4629-9A52-CFC8AAEC4D3B}"/>
    <cellStyle name="好_2016年9月成本报表 2" xfId="24731" xr:uid="{032EAFAE-EA95-4C84-B72F-F557F420CB39}"/>
    <cellStyle name="好_2016年9月成本报表 2_动力部" xfId="24732" xr:uid="{552A3A79-CB2D-4F66-A7A1-F8DC3D59818F}"/>
    <cellStyle name="好_2016年9月成本报表_动力部" xfId="24733" xr:uid="{67AC6412-E84E-4BB8-927C-E46A77193C3E}"/>
    <cellStyle name="好_2017年12月财务报表（山西太钢鑫磊资源有限公司）12" xfId="24734" xr:uid="{A3DA8336-0ACC-464F-8965-CD71FBA28D6C}"/>
    <cellStyle name="好_2017年12月成本报表-峨口" xfId="24735" xr:uid="{BC3DE658-0C72-490F-9ABA-33153867DF12}"/>
    <cellStyle name="好_2017年1月矿业公司（鑫磊）外协费用报表." xfId="24736" xr:uid="{EEDE7DEC-3097-4DCF-8E9C-E1DC5F37271D}"/>
    <cellStyle name="好_2017年4月财务报表（山西太钢鑫磊资源有限公司）" xfId="24737" xr:uid="{8F4503E3-2CFF-4376-9732-8EFA57D2796B}"/>
    <cellStyle name="好_2017年矿业公司福利费用明细表汇总" xfId="24738" xr:uid="{C8612AB6-D3D2-4219-87C0-B119AA175374}"/>
    <cellStyle name="好_2017年全面预算新增表样" xfId="24739" xr:uid="{163C23D5-6BA3-4C1B-9093-B8D02884E168}"/>
    <cellStyle name="好_2017年全面预算新增表样 2" xfId="24740" xr:uid="{CB44238C-B255-4AFB-8E58-B61180582344}"/>
    <cellStyle name="好_2017年全面预算新增表样 2_动力部" xfId="24741" xr:uid="{3512FE22-F71E-41FC-9F19-A469248AA4D0}"/>
    <cellStyle name="好_2017年全面预算新增表样_动力部" xfId="24742" xr:uid="{2DEF0FE6-5D9D-4F24-9D1B-DF819E1BF712}"/>
    <cellStyle name="好_2017年全面预算新增指标" xfId="24743" xr:uid="{41E14828-A6B1-4413-8601-47CEF5451166}"/>
    <cellStyle name="好_2017年全面预算新增指标 2" xfId="24744" xr:uid="{01936EB5-DC91-41D5-913D-454E460F7FA0}"/>
    <cellStyle name="好_2017年全面预算新增指标 2_动力部" xfId="24745" xr:uid="{E3AD6BAF-18BB-4876-8EDA-14A7A72D1C1E}"/>
    <cellStyle name="好_2017年全面预算新增指标_动力部" xfId="24746" xr:uid="{DC259BC5-0ADD-43D4-AF5D-1BDA38458CDC}"/>
    <cellStyle name="好_Book1" xfId="7067" xr:uid="{A9C7C189-1FD1-4310-AE18-3C9272528F29}"/>
    <cellStyle name="好_Book1 2" xfId="7068" xr:uid="{6BBD05DA-3750-4E39-8C82-64813DA71790}"/>
    <cellStyle name="好_Book1 2 10" xfId="24748" xr:uid="{525EF78D-90AE-4253-AD8E-8F4B0921DC4C}"/>
    <cellStyle name="好_Book1 2 2" xfId="24749" xr:uid="{757C592D-0AAA-4E62-9CE9-C82FF16A352D}"/>
    <cellStyle name="好_Book1 2 2_动力部" xfId="24750" xr:uid="{26B04BC6-1E2A-4559-B9F3-A67EDD8C22C5}"/>
    <cellStyle name="好_Book1 2 3" xfId="24751" xr:uid="{35D13904-4A2E-4089-95A5-9428EC62E1BF}"/>
    <cellStyle name="好_Book1 2 3_动力部" xfId="24752" xr:uid="{5AD6BFDF-2D07-4BE5-9114-5D1DE64FCE11}"/>
    <cellStyle name="好_Book1 2 4" xfId="24753" xr:uid="{6FA063F6-0522-4F3A-A39D-BD548B6A9032}"/>
    <cellStyle name="好_Book1 2 5" xfId="24754" xr:uid="{C6DD90E6-1DB1-4DD5-A891-B9E1CDCF2B7B}"/>
    <cellStyle name="好_Book1 2 6" xfId="24755" xr:uid="{23E08219-764A-4C29-B77B-CE7A3906C345}"/>
    <cellStyle name="好_Book1 2 7" xfId="24756" xr:uid="{B3736EB9-6601-4460-BEFC-04F8344D3DFE}"/>
    <cellStyle name="好_Book1 2 8" xfId="24757" xr:uid="{DD352822-F7B9-4C92-96D4-877563F21871}"/>
    <cellStyle name="好_Book1 2 9" xfId="24758" xr:uid="{94E4BB32-CB77-4555-98C3-B73D6A874B95}"/>
    <cellStyle name="好_Book1 2_2017年全面预算新增表样" xfId="24759" xr:uid="{4105631F-394C-4B10-B312-D44FD81B3910}"/>
    <cellStyle name="好_Book1 2_2017年全面预算新增表样 2" xfId="24760" xr:uid="{22A866A9-F3C2-4EC3-B925-C140631C5E15}"/>
    <cellStyle name="好_Book1 2_2017年全面预算新增表样 2_动力部" xfId="24761" xr:uid="{1B12AE27-6443-4E42-8315-DBC6FCFB669D}"/>
    <cellStyle name="好_Book1 2_2017年全面预算新增表样_动力部" xfId="24762" xr:uid="{D741C2E2-F6F7-4C81-85DB-DE8DE4149E68}"/>
    <cellStyle name="好_Book1 2_2017年全面预算新增指标" xfId="24763" xr:uid="{EAEEBE52-70D8-4C61-90CA-412C23E29660}"/>
    <cellStyle name="好_Book1 2_2017年全面预算新增指标 2" xfId="24764" xr:uid="{B7E94EE1-E32A-47BD-AE29-CC8E224FDFDF}"/>
    <cellStyle name="好_Book1 2_2017年全面预算新增指标 2_动力部" xfId="24765" xr:uid="{DAFF488D-1297-4C92-80E8-F209B1F4F6B4}"/>
    <cellStyle name="好_Book1 2_2017年全面预算新增指标_动力部" xfId="24766" xr:uid="{2C24FEFD-A081-466D-A4A0-FC057B47F918}"/>
    <cellStyle name="好_Book1 2_动力部" xfId="24767" xr:uid="{82376752-ED5D-497C-B49D-B0887FF1A261}"/>
    <cellStyle name="好_Book1 2_工艺科2017年全面预算20161010" xfId="24768" xr:uid="{AF8E9E53-885E-496A-8D37-4D9199784E09}"/>
    <cellStyle name="好_Book1 2_工艺科2017年全面预算20161010 2" xfId="24769" xr:uid="{7E9FC8DF-6813-4AF6-87A0-F730586152D1}"/>
    <cellStyle name="好_Book1 2_工艺科2017年全面预算20161010 2_动力部" xfId="24770" xr:uid="{B04AF5CE-580D-4DA4-943D-3C75D7E59161}"/>
    <cellStyle name="好_Book1 2_工艺科2017年全面预算20161010_动力部" xfId="24771" xr:uid="{C9BA0676-4DB7-4312-964B-4D4B04150815}"/>
    <cellStyle name="好_Book1 2_尖山矿2017年产量预算及不利因素影响报" xfId="24772" xr:uid="{8FDC691A-D204-4D7D-BC35-145C43242F00}"/>
    <cellStyle name="好_Book1 2_尖山矿2017年产量预算及不利因素影响报 2" xfId="24773" xr:uid="{AE0A8375-7390-4EDA-9EBD-5D1BB9A11AFE}"/>
    <cellStyle name="好_Book1 2_尖山矿2017年产量预算及不利因素影响报 2_动力部" xfId="24774" xr:uid="{7DAC3EFA-3B0E-4BDF-ADF2-FF2B13788530}"/>
    <cellStyle name="好_Book1 2_尖山矿2017年产量预算及不利因素影响报_动力部" xfId="24775" xr:uid="{F629BC15-5DE2-415E-83D0-293ECC479FD4}"/>
    <cellStyle name="好_Book1 2_球团工序" xfId="24776" xr:uid="{656E06A4-DAAC-4957-BE58-D7861D621D01}"/>
    <cellStyle name="好_Book1 3" xfId="12401" xr:uid="{2240E92E-2A3C-4692-A021-A0D42717BEC1}"/>
    <cellStyle name="好_Book1 3 2" xfId="24777" xr:uid="{7043BC7B-CF1D-40AA-930F-E194BB5DD5AC}"/>
    <cellStyle name="好_Book1 3_动力部" xfId="24778" xr:uid="{23C855BB-E392-4B6D-81B9-FE3F4C6572B9}"/>
    <cellStyle name="好_Book1 4" xfId="24747" xr:uid="{44BEADE2-87F5-47E2-B105-37C5853E8AA5}"/>
    <cellStyle name="好_Book1_07月球团产品成本表" xfId="24779" xr:uid="{AD6E5506-47C1-4747-A9E4-6D1BA4543018}"/>
    <cellStyle name="好_Book1_09月球团产品成本表 " xfId="24780" xr:uid="{F3DC1F81-A53C-4EC6-B2B4-62796B1C339E}"/>
    <cellStyle name="好_Book1_1" xfId="7069" xr:uid="{77B7FEF3-B011-4450-A407-123F801DC9EE}"/>
    <cellStyle name="好_Book1_1 2" xfId="5097" xr:uid="{42F311BA-B666-40A3-BC60-DD92013FE43A}"/>
    <cellStyle name="好_Book1_1 2 2" xfId="24783" xr:uid="{6F78F957-0A46-4964-93E8-5BEECAF21BF3}"/>
    <cellStyle name="好_Book1_1 2 3" xfId="24782" xr:uid="{853E9701-B036-4F43-9D35-CA064651D6C8}"/>
    <cellStyle name="好_Book1_1 3" xfId="12659" xr:uid="{72C25232-0799-4F36-8458-1A8F3438FB95}"/>
    <cellStyle name="好_Book1_1 3 2" xfId="24784" xr:uid="{7120FB50-8F72-48B3-A24C-AF884D1BF61C}"/>
    <cellStyle name="好_Book1_1 4" xfId="24785" xr:uid="{90CA8F36-43B2-49BD-AA14-C5685C90C402}"/>
    <cellStyle name="好_Book1_1 5" xfId="24786" xr:uid="{A9F10C60-D9F6-43F9-A58A-9FBC77EE3A9E}"/>
    <cellStyle name="好_Book1_1 6" xfId="24787" xr:uid="{1BE749AC-97F2-4259-B4DD-0E34CEA4EBEE}"/>
    <cellStyle name="好_Book1_1 7" xfId="24788" xr:uid="{BEB5E082-FD27-4C77-8132-14F0144C4D15}"/>
    <cellStyle name="好_Book1_1 8" xfId="24789" xr:uid="{1DE4F85A-F8D5-41FD-BC27-123098F00795}"/>
    <cellStyle name="好_Book1_1 9" xfId="24781" xr:uid="{110EADC1-9D5D-4D8A-810D-9117E83EAE68}"/>
    <cellStyle name="好_Book1_1_Book1" xfId="24790" xr:uid="{D035F6A0-136E-4EE2-839C-2A8FA1B3ECE9}"/>
    <cellStyle name="好_Book1_1_Book1_动力部" xfId="24791" xr:uid="{FB40AA16-40CC-4DA7-857D-CE3342F01D4C}"/>
    <cellStyle name="好_Book1_1_动力部" xfId="24792" xr:uid="{BC122EF0-2D99-4A28-8711-95E49F2EB0E9}"/>
    <cellStyle name="好_Book1_1_动力预提" xfId="24793" xr:uid="{2558DFA2-3838-4472-87EC-0917734A7308}"/>
    <cellStyle name="好_Book1_1_副本峨矿2016年预算格式" xfId="24794" xr:uid="{7DAD5237-09A8-4B20-98A2-678629D14CAF}"/>
    <cellStyle name="好_Book1_1_副本峨矿2016年预算格式 2" xfId="24795" xr:uid="{58FF2151-98DC-4B1C-8C72-6FCDCFEA52E4}"/>
    <cellStyle name="好_Book1_1_副本峨矿2016年预算格式_动力部" xfId="24796" xr:uid="{40E3954D-6492-40A1-AF33-706E499B4B76}"/>
    <cellStyle name="好_Book1_1_球团工序" xfId="24797" xr:uid="{9C92D8AC-12ED-4BAA-AECE-C7824527156D}"/>
    <cellStyle name="好_Book1_1_球团工序_1" xfId="24798" xr:uid="{ABE8F962-339C-49D8-A84A-64F0741709B0}"/>
    <cellStyle name="好_Book1_10月球团产品成本表" xfId="24799" xr:uid="{2068A843-31C1-4F56-812E-126305C701D4}"/>
    <cellStyle name="好_Book1_11月球团产品成本表" xfId="24800" xr:uid="{96187B35-FEBD-4566-B340-6EF4C3256F4A}"/>
    <cellStyle name="好_Book1_2" xfId="7070" xr:uid="{16B2EB5B-A227-4B84-A514-7F9EFDF75BCF}"/>
    <cellStyle name="好_Book1_2 2" xfId="7071" xr:uid="{14FE0CA4-5A1B-4188-B92D-235A9C053F01}"/>
    <cellStyle name="好_Book1_2 3" xfId="12766" xr:uid="{C355149E-A39F-4562-883C-F3BE1E0EDF75}"/>
    <cellStyle name="好_Book1_2014年降本增效指标完成情况" xfId="24801" xr:uid="{DE7DF4F7-2991-4AA4-8E60-DD74DD77AB4D}"/>
    <cellStyle name="好_Book1_2014年降本增效指标完成情况 2" xfId="24802" xr:uid="{BC261878-0E0F-4F05-B8EA-8730A122C2D9}"/>
    <cellStyle name="好_Book1_2016年9月成本报表" xfId="24803" xr:uid="{19F1AEB4-B6CC-487B-B392-9D6AE1CD8965}"/>
    <cellStyle name="好_Book1_2016年9月成本报表 2" xfId="24804" xr:uid="{77254301-F43C-4284-948C-970946E792DB}"/>
    <cellStyle name="好_Book1_2016年9月成本报表 2_动力部" xfId="24805" xr:uid="{65DB4225-E3FE-44E5-BD17-DEA087480032}"/>
    <cellStyle name="好_Book1_2016年9月成本报表_动力部" xfId="24806" xr:uid="{FFDDE6C3-CD7C-48FF-B825-793C275FF6D3}"/>
    <cellStyle name="好_Book1_2017年全面预算新增表样" xfId="24807" xr:uid="{54609F9E-8D2D-474A-815B-85F96A7AF1FD}"/>
    <cellStyle name="好_Book1_2017年全面预算新增表样 2" xfId="24808" xr:uid="{B3FAC9A4-C66C-449D-A65E-F8A6D632B20E}"/>
    <cellStyle name="好_Book1_2017年全面预算新增表样 2_动力部" xfId="24809" xr:uid="{45BB153C-9766-4354-A697-77145A101320}"/>
    <cellStyle name="好_Book1_2017年全面预算新增表样_动力部" xfId="24810" xr:uid="{BC36203E-7B7A-43F7-972B-7ED1464C4CCE}"/>
    <cellStyle name="好_Book1_2017年全面预算新增指标" xfId="24811" xr:uid="{5ABFB6CF-3903-4B01-888B-35BE3490707C}"/>
    <cellStyle name="好_Book1_2017年全面预算新增指标 2" xfId="24812" xr:uid="{FE79BEE8-63BF-4822-B205-52EF801628B9}"/>
    <cellStyle name="好_Book1_2017年全面预算新增指标 2_动力部" xfId="24813" xr:uid="{64F3D906-6880-408B-A95E-91F9827F5570}"/>
    <cellStyle name="好_Book1_2017年全面预算新增指标_动力部" xfId="24814" xr:uid="{7E771AF2-9089-4495-8AD6-AC9868C1F5FD}"/>
    <cellStyle name="好_Book1_Book1" xfId="24815" xr:uid="{34A3901C-5918-4145-9F40-CB3D36BD4435}"/>
    <cellStyle name="好_Book1_Book1_动力部" xfId="24816" xr:uid="{1FA7470C-F04F-46ED-A28B-C46C502D0C87}"/>
    <cellStyle name="好_Book1_Sheet5" xfId="24817" xr:uid="{24E2994D-A916-43D6-AE36-DE6B59D63959}"/>
    <cellStyle name="好_Book1_待摊 (自产)" xfId="24818" xr:uid="{3864C7AF-5313-4FA7-AF41-079E3CAD653F}"/>
    <cellStyle name="好_Book1_动力部" xfId="24819" xr:uid="{62EE898C-6DD0-41FE-B777-9119A047C7B5}"/>
    <cellStyle name="好_Book1_动力预提" xfId="24820" xr:uid="{7DF87476-2CA7-4E2E-A13E-9B33A4B08899}"/>
    <cellStyle name="好_Book1_峨口分析台帐" xfId="24821" xr:uid="{A74ED123-4AB3-4451-931A-E89D6DA88CCB}"/>
    <cellStyle name="好_Book1_峨口分析台帐 2" xfId="24822" xr:uid="{1B36E4EA-35C5-4E4A-9055-B6A3B57385B8}"/>
    <cellStyle name="好_Book1_峨矿1月份成本报表(管理)" xfId="24823" xr:uid="{4BD2B6D3-865E-423A-AEAF-E6116483C372}"/>
    <cellStyle name="好_Book1_副本峨矿2014年经营Ⅱ档预算全稿qt(2013.12.25发送矿业公司)" xfId="24824" xr:uid="{784EA306-860E-42C7-8EC0-759F0435348F}"/>
    <cellStyle name="好_Book1_工艺科2017年全面预算20161010" xfId="24825" xr:uid="{9EB421E3-4E34-4028-965D-34E7B0FDFC9C}"/>
    <cellStyle name="好_Book1_工艺科2017年全面预算20161010 2" xfId="24826" xr:uid="{F5D6BCC5-23BE-493E-947A-516EC4B7A600}"/>
    <cellStyle name="好_Book1_工艺科2017年全面预算20161010 2_动力部" xfId="24827" xr:uid="{B64C06A4-EA9B-4A8B-8095-E707E21255C1}"/>
    <cellStyle name="好_Book1_工艺科2017年全面预算20161010_动力部" xfId="24828" xr:uid="{1D87FC84-24E8-41BF-ADC1-2FC174379E97}"/>
    <cellStyle name="好_Book1_加不利2016年预算3稿（内）1106" xfId="24829" xr:uid="{54F6DE2C-925F-478D-9FDE-C38E3A24B921}"/>
    <cellStyle name="好_Book1_加不利2016年预算3稿（内）1106 2" xfId="24830" xr:uid="{5620552F-AB2F-43F9-A471-13007F5ED10D}"/>
    <cellStyle name="好_Book1_加不利2016年预算3稿（内）1106 2_动力部" xfId="24831" xr:uid="{6C89216F-2234-4521-AFAE-6373818EC88D}"/>
    <cellStyle name="好_Book1_加不利2016年预算3稿（内）1106_动力部" xfId="24832" xr:uid="{820FBE89-93DC-4B6D-B4F7-CEF06049E470}"/>
    <cellStyle name="好_Book1_尖山矿2017年产量预算及不利因素影响报" xfId="24833" xr:uid="{2AFEA1FF-C07F-4233-9599-144AF0A91E9B}"/>
    <cellStyle name="好_Book1_尖山矿2017年产量预算及不利因素影响报 2" xfId="24834" xr:uid="{34775DD5-67DD-4F89-98DD-F47D9420BECC}"/>
    <cellStyle name="好_Book1_尖山矿2017年产量预算及不利因素影响报 2_动力部" xfId="24835" xr:uid="{87E85C48-52A9-43DB-8139-737F7747708D}"/>
    <cellStyle name="好_Book1_尖山矿2017年产量预算及不利因素影响报_动力部" xfId="24836" xr:uid="{DE347989-D7A8-480C-832E-C6AB72A43A69}"/>
    <cellStyle name="好_Book1_尖山铁矿2016年预算内部全面预算(129)" xfId="24837" xr:uid="{0CE51432-F0BC-4253-88DF-7772472758C8}"/>
    <cellStyle name="好_Book1_尖山铁矿2016年预算内部全面预算(129) 2" xfId="24838" xr:uid="{F0379E45-576F-425E-A0B4-0F5D82691BFD}"/>
    <cellStyle name="好_Book1_尖山铁矿2016年预算内部全面预算(129) 2_动力部" xfId="24839" xr:uid="{DD59AE9B-BEC0-4B74-8EFD-591FCDC18AB8}"/>
    <cellStyle name="好_Book1_尖山铁矿2016年预算内部全面预算(129)_动力部" xfId="24840" xr:uid="{48F9B954-BEE7-480A-A656-26AAFA4A534F}"/>
    <cellStyle name="好_Book1_尖山铁矿2017年全面预算1.26" xfId="24841" xr:uid="{E797CE79-BE43-4D7F-83BD-5DC29046A692}"/>
    <cellStyle name="好_Book1_降本增效简报底表(杜占杰9.1)" xfId="24842" xr:uid="{6185062E-FCAC-4F35-8A4D-1283B83D269F}"/>
    <cellStyle name="好_Book1_降本增效简报底表(杜占杰9.1) 2" xfId="24843" xr:uid="{A8582AFA-CEC4-4096-95BA-179F208AA9E1}"/>
    <cellStyle name="好_Book1_矿业公司2014年全面预算稿（机关费用）" xfId="24844" xr:uid="{D2B03740-46D5-461D-A83A-BCD69E5C1996}"/>
    <cellStyle name="好_Book1_矿业公司2014年全面预算稿（机关费用） 2" xfId="24845" xr:uid="{29A993F3-54AE-435F-9B24-9FE3A769648D}"/>
    <cellStyle name="好_Book1_矿业公司2014年全面预算稿（机关费用） 2_动力部" xfId="24846" xr:uid="{17C16D5F-E90A-49B6-A04B-7CA6FEBBC143}"/>
    <cellStyle name="好_Book1_矿业公司2014年全面预算稿（机关费用）_动力部" xfId="24847" xr:uid="{6CC394BD-E609-4AE9-B513-784DDEBFE301}"/>
    <cellStyle name="好_Book1_利润表(4)" xfId="24848" xr:uid="{AFC786DD-F6AE-4925-AB8F-656EF894CBBC}"/>
    <cellStyle name="好_Book1_收入利润18" xfId="24849" xr:uid="{D406F9D4-113D-44AE-965A-2CEB0858D604}"/>
    <cellStyle name="好_Book1_收入利润18_动力部" xfId="24850" xr:uid="{AB7C239D-FF08-471D-9201-37288D59C57F}"/>
    <cellStyle name="好_Book1_预提 (自产)" xfId="24851" xr:uid="{19D64921-E9BC-4B2E-BDA5-194423C4C6E6}"/>
    <cellStyle name="好_安全生产费" xfId="24852" xr:uid="{9AB4A6C2-D39E-4CAF-832C-954B8D2AC6E4}"/>
    <cellStyle name="好_安全生产费_1" xfId="24853" xr:uid="{EDCF122E-423F-4690-95FE-35AA387121A6}"/>
    <cellStyle name="好_财务快报信息格式5.25" xfId="7072" xr:uid="{F3965424-7F78-4069-9F3B-2505DCE05BF6}"/>
    <cellStyle name="好_待摊费用" xfId="24854" xr:uid="{0EFFC14D-E875-4C1C-84E0-8B5EBF3EB0EA}"/>
    <cellStyle name="好_待摊费用_1" xfId="24855" xr:uid="{81572A6B-8EDA-44FE-A085-DEB0ABC484B5}"/>
    <cellStyle name="好_动力部" xfId="24856" xr:uid="{04A34F75-11E2-4090-8472-C1A87446A768}"/>
    <cellStyle name="好_动力部_1" xfId="24857" xr:uid="{76F4D3E9-578A-41FA-BC82-E4A04F8654E8}"/>
    <cellStyle name="好_动力部_2" xfId="24858" xr:uid="{72AC9C47-FE77-4874-A641-F468071B2A4A}"/>
    <cellStyle name="好_动力预提" xfId="24859" xr:uid="{0D9C5308-7858-4ADC-8FD1-9C341DF5A17B}"/>
    <cellStyle name="好_对标指标8" xfId="24860" xr:uid="{BA9E9333-261D-4F3A-9CF6-DBDBCD9A3B1C}"/>
    <cellStyle name="好_对标指标8_动力部" xfId="24861" xr:uid="{C3EE3DA7-404A-407F-BAE5-80F4E445E3ED}"/>
    <cellStyle name="好_峨口铁矿工程科在建工程" xfId="24862" xr:uid="{9D060206-125B-4A26-A0BB-752B3F765E23}"/>
    <cellStyle name="好_峨口铁矿工程科在建工程 2" xfId="24863" xr:uid="{B8A053FF-C96E-4454-A795-8241C224166F}"/>
    <cellStyle name="好_峨口铁矿工程科在建工程 3" xfId="24864" xr:uid="{59C046AE-F5F3-4BAE-A62A-B51559E06EC1}"/>
    <cellStyle name="好_峨口铁矿工程科在建工程_球团工序" xfId="24865" xr:uid="{734696FB-A50F-4DAE-8598-EA4C7DDEC59D}"/>
    <cellStyle name="好_复合厂2012年全面预算第3稿(产量及其它10.28)报" xfId="24866" xr:uid="{30DADD80-5909-4637-A78F-97673FA10196}"/>
    <cellStyle name="好_复合厂2012年全面预算第3稿(产量及其它10.28)报 10" xfId="24867" xr:uid="{37440C5F-79B4-414F-B1D0-335E4E71233B}"/>
    <cellStyle name="好_复合厂2012年全面预算第3稿(产量及其它10.28)报 11" xfId="24868" xr:uid="{8B8D68B9-E9CC-4436-844F-507A95FD7729}"/>
    <cellStyle name="好_复合厂2012年全面预算第3稿(产量及其它10.28)报 2" xfId="24869" xr:uid="{76582E67-8BE1-48DC-9A6A-3F3CAC924EAE}"/>
    <cellStyle name="好_复合厂2012年全面预算第3稿(产量及其它10.28)报 2 2" xfId="24870" xr:uid="{5829F7DC-9F9C-4EC0-98E7-C763EA3D45E0}"/>
    <cellStyle name="好_复合厂2012年全面预算第3稿(产量及其它10.28)报 2 3" xfId="24871" xr:uid="{0E8D6957-8BE8-4450-AE7A-07621F231B29}"/>
    <cellStyle name="好_复合厂2012年全面预算第3稿(产量及其它10.28)报 2_动力部" xfId="24872" xr:uid="{75484FF1-AD8F-42DF-BFFA-FDAAC441146F}"/>
    <cellStyle name="好_复合厂2012年全面预算第3稿(产量及其它10.28)报 3" xfId="24873" xr:uid="{84F04304-E779-4835-A1D9-B16569A63508}"/>
    <cellStyle name="好_复合厂2012年全面预算第3稿(产量及其它10.28)报 3 2" xfId="24874" xr:uid="{2C0EC6CC-2ABE-4E5E-9C89-590C099C66F1}"/>
    <cellStyle name="好_复合厂2012年全面预算第3稿(产量及其它10.28)报 3_动力部" xfId="24875" xr:uid="{16C5277E-8774-4A89-BE1F-8FA78A0C2002}"/>
    <cellStyle name="好_复合厂2012年全面预算第3稿(产量及其它10.28)报 4" xfId="24876" xr:uid="{4E23958B-1127-47E7-BDA4-93F6CAAC9E36}"/>
    <cellStyle name="好_复合厂2012年全面预算第3稿(产量及其它10.28)报 4_动力部" xfId="24877" xr:uid="{26EA40FC-8E4D-487F-96A1-E344C8E25945}"/>
    <cellStyle name="好_复合厂2012年全面预算第3稿(产量及其它10.28)报 5" xfId="24878" xr:uid="{7C82D355-3AA1-4FD1-9633-F1BC653895D0}"/>
    <cellStyle name="好_复合厂2012年全面预算第3稿(产量及其它10.28)报 6" xfId="24879" xr:uid="{C23BDEF9-16E5-44F4-9203-08D772685F68}"/>
    <cellStyle name="好_复合厂2012年全面预算第3稿(产量及其它10.28)报 7" xfId="24880" xr:uid="{D26AA669-42BA-4B49-B717-985316C0BA09}"/>
    <cellStyle name="好_复合厂2012年全面预算第3稿(产量及其它10.28)报 8" xfId="24881" xr:uid="{608B382F-2BE0-4727-BEB5-4795968FF4CB}"/>
    <cellStyle name="好_复合厂2012年全面预算第3稿(产量及其它10.28)报 9" xfId="24882" xr:uid="{F6C33D58-3789-4616-B661-BC70080268C6}"/>
    <cellStyle name="好_复合厂2012年全面预算第3稿(产量及其它10.28)报_2016年9月成本报表" xfId="24883" xr:uid="{1154DC85-EAE6-4F57-B6E5-38E97E27308B}"/>
    <cellStyle name="好_复合厂2012年全面预算第3稿(产量及其它10.28)报_2016年9月成本报表 2" xfId="24884" xr:uid="{CBA095E7-AC03-4868-9C62-9C45A194E443}"/>
    <cellStyle name="好_复合厂2012年全面预算第3稿(产量及其它10.28)报_2016年9月成本报表 2_动力部" xfId="24885" xr:uid="{F89CCD15-DFFF-437D-B0F5-7A0E6C210B88}"/>
    <cellStyle name="好_复合厂2012年全面预算第3稿(产量及其它10.28)报_2016年9月成本报表_动力部" xfId="24886" xr:uid="{9F2409BE-C9F3-453A-A7B7-4D8F4551A247}"/>
    <cellStyle name="好_复合厂2012年全面预算第3稿(产量及其它10.28)报_2016年采矿工序预算" xfId="24887" xr:uid="{A5D8E028-0977-4E76-AD9C-A5B18575D426}"/>
    <cellStyle name="好_复合厂2012年全面预算第3稿(产量及其它10.28)报_2017年全面预算新增表样" xfId="24888" xr:uid="{C694F646-EAAB-465A-8183-B839617E16CB}"/>
    <cellStyle name="好_复合厂2012年全面预算第3稿(产量及其它10.28)报_2017年全面预算新增表样 2" xfId="24889" xr:uid="{4CA925DA-DFCB-4D86-B71B-0B02E4130A8C}"/>
    <cellStyle name="好_复合厂2012年全面预算第3稿(产量及其它10.28)报_2017年全面预算新增表样 2_动力部" xfId="24890" xr:uid="{73DBFA4E-7AE7-497C-963D-C4E7B0B3932E}"/>
    <cellStyle name="好_复合厂2012年全面预算第3稿(产量及其它10.28)报_2017年全面预算新增表样_动力部" xfId="24891" xr:uid="{C57D110D-41A9-4AF3-9763-A6C9E91DB967}"/>
    <cellStyle name="好_复合厂2012年全面预算第3稿(产量及其它10.28)报_2017年全面预算新增指标" xfId="24892" xr:uid="{473286E2-82FC-47A7-98E5-64BBDF9E53C8}"/>
    <cellStyle name="好_复合厂2012年全面预算第3稿(产量及其它10.28)报_2017年全面预算新增指标 2" xfId="24893" xr:uid="{E9481A96-26C8-4879-90C6-4AF10B4E83B1}"/>
    <cellStyle name="好_复合厂2012年全面预算第3稿(产量及其它10.28)报_2017年全面预算新增指标 2_动力部" xfId="24894" xr:uid="{3CE5451A-E7FC-46B3-B1DD-AC6298D91C1B}"/>
    <cellStyle name="好_复合厂2012年全面预算第3稿(产量及其它10.28)报_2017年全面预算新增指标_动力部" xfId="24895" xr:uid="{0997602A-0015-46C5-AE6E-E9824C05BBB5}"/>
    <cellStyle name="好_复合厂2012年全面预算第3稿(产量及其它10.28)报_动力部" xfId="24896" xr:uid="{D7762702-FAA4-4D6E-8834-4F04CEC5E008}"/>
    <cellStyle name="好_复合厂2012年全面预算第3稿(产量及其它10.28)报_动力预提" xfId="24897" xr:uid="{50AC3AC7-B082-439D-B702-5FED547BF214}"/>
    <cellStyle name="好_复合厂2012年全面预算第3稿(产量及其它10.28)报_副本峨矿2014年经营Ⅱ档预算全稿qt(2013.12.25发送矿业公司)" xfId="24898" xr:uid="{65899D3D-EED3-42D5-9B08-1283CCD58307}"/>
    <cellStyle name="好_复合厂2012年全面预算第3稿(产量及其它10.28)报_副本峨矿2016年预算格式" xfId="24899" xr:uid="{8152AC0B-884E-4A59-8CC4-E676AA2C62FF}"/>
    <cellStyle name="好_复合厂2012年全面预算第3稿(产量及其它10.28)报_副本峨矿2016年预算格式 2" xfId="24900" xr:uid="{EAD5BAC1-D1A2-4D3C-A158-D1120BD7696D}"/>
    <cellStyle name="好_复合厂2012年全面预算第3稿(产量及其它10.28)报_副本峨矿2016年预算格式_动力部" xfId="24901" xr:uid="{AF97CD3D-5AFC-47B3-8007-08DCD165EC4F}"/>
    <cellStyle name="好_复合厂2012年全面预算第3稿(产量及其它10.28)报_工艺科2017年全面预算20161010" xfId="24902" xr:uid="{5C301103-86CD-4788-B87E-ADFC14DFF560}"/>
    <cellStyle name="好_复合厂2012年全面预算第3稿(产量及其它10.28)报_工艺科2017年全面预算20161010 2" xfId="24903" xr:uid="{00CF66F2-9622-4F2F-B7F0-8A3977BF79F1}"/>
    <cellStyle name="好_复合厂2012年全面预算第3稿(产量及其它10.28)报_工艺科2017年全面预算20161010 2_动力部" xfId="24904" xr:uid="{70ADF81B-0173-4119-BC7E-086FD3AA0E6A}"/>
    <cellStyle name="好_复合厂2012年全面预算第3稿(产量及其它10.28)报_工艺科2017年全面预算20161010_动力部" xfId="24905" xr:uid="{C867E3C1-DB62-401B-82A2-D861D44900B2}"/>
    <cellStyle name="好_复合厂2012年全面预算第3稿(产量及其它10.28)报_加不利2016年预算3稿（内）1106" xfId="24906" xr:uid="{A8A7BF45-4ACA-4F93-A0FD-22A19AAF833B}"/>
    <cellStyle name="好_复合厂2012年全面预算第3稿(产量及其它10.28)报_加不利2016年预算3稿（内）1106 2" xfId="24907" xr:uid="{858C4A10-99A1-459C-8D7A-70ED0CC0A0B2}"/>
    <cellStyle name="好_复合厂2012年全面预算第3稿(产量及其它10.28)报_加不利2016年预算3稿（内）1106 2_动力部" xfId="24908" xr:uid="{27017588-A6DD-4177-873C-86413C9B2075}"/>
    <cellStyle name="好_复合厂2012年全面预算第3稿(产量及其它10.28)报_加不利2016年预算3稿（内）1106_动力部" xfId="24909" xr:uid="{0C34B4BA-0F03-49BA-ADD7-8CC9DFA17572}"/>
    <cellStyle name="好_复合厂2012年全面预算第3稿(产量及其它10.28)报_尖山矿2017年产量预算及不利因素影响报" xfId="24910" xr:uid="{EFF6B122-C61F-45FF-9140-A569D1A0B0B6}"/>
    <cellStyle name="好_复合厂2012年全面预算第3稿(产量及其它10.28)报_尖山矿2017年产量预算及不利因素影响报 2" xfId="24911" xr:uid="{1CAB58C4-D918-4724-B417-B2F1E91953D9}"/>
    <cellStyle name="好_复合厂2012年全面预算第3稿(产量及其它10.28)报_尖山矿2017年产量预算及不利因素影响报 2_动力部" xfId="24912" xr:uid="{ADCFFFB1-E413-4A79-A500-E6F259968387}"/>
    <cellStyle name="好_复合厂2012年全面预算第3稿(产量及其它10.28)报_尖山矿2017年产量预算及不利因素影响报_动力部" xfId="24913" xr:uid="{B81EBB16-ABE1-47EA-92B3-DD43EE8D5662}"/>
    <cellStyle name="好_复合厂2012年全面预算第3稿(产量及其它10.28)报_尖山铁矿2016年预算内部全面预算(129)" xfId="24914" xr:uid="{C262B27D-4A6A-4609-AD78-41FAF082BF5D}"/>
    <cellStyle name="好_复合厂2012年全面预算第3稿(产量及其它10.28)报_尖山铁矿2016年预算内部全面预算(129) 2" xfId="24915" xr:uid="{CF926BB6-8173-4A41-B6CA-4067525B6079}"/>
    <cellStyle name="好_复合厂2012年全面预算第3稿(产量及其它10.28)报_尖山铁矿2016年预算内部全面预算(129) 2_动力部" xfId="24916" xr:uid="{B56E1541-8260-4277-A993-3DD18D831DDF}"/>
    <cellStyle name="好_复合厂2012年全面预算第3稿(产量及其它10.28)报_尖山铁矿2016年预算内部全面预算(129)_动力部" xfId="24917" xr:uid="{B2945E05-B961-439E-BFF5-DF97FDB42119}"/>
    <cellStyle name="好_复合厂2012年全面预算第3稿(产量及其它10.28)报_尖山铁矿2017年全面预算1.26" xfId="24918" xr:uid="{3730AF26-1BE7-4ABB-AEFD-4602319C1A30}"/>
    <cellStyle name="好_复合厂2012年全面预算第3稿(产量及其它10.28)报_球团工序" xfId="24919" xr:uid="{F81E6D1E-1036-4FF1-B63A-1B4528DDB70B}"/>
    <cellStyle name="好_复合厂2012年全面预算第3稿(产量及其它10.28)报_太钢鑫磊2017年1月非生产、安全、修理费统计报表" xfId="24920" xr:uid="{DC9FF54C-7522-4637-88C4-4A31AFD02945}"/>
    <cellStyle name="好_复件 复合材料厂2012年预算11.23" xfId="24921" xr:uid="{9F6AB084-97BC-4193-BA79-132A18231B41}"/>
    <cellStyle name="好_复件 复合材料厂2012年预算11.23 10" xfId="24922" xr:uid="{0EB388C4-FAE3-4284-B935-B273104B6616}"/>
    <cellStyle name="好_复件 复合材料厂2012年预算11.23 2" xfId="24923" xr:uid="{5136CBB7-4628-4C1F-911D-2CE8893B0041}"/>
    <cellStyle name="好_复件 复合材料厂2012年预算11.23 2 2" xfId="24924" xr:uid="{37AB4B1A-D672-4869-BA03-FECFAAC6B440}"/>
    <cellStyle name="好_复件 复合材料厂2012年预算11.23 3" xfId="24925" xr:uid="{0C01747B-1A9A-40E6-93CF-DC866EBFAB8B}"/>
    <cellStyle name="好_复件 复合材料厂2012年预算11.23 3 2" xfId="24926" xr:uid="{051838D4-E634-4B37-B77D-A2D690B7C3B5}"/>
    <cellStyle name="好_复件 复合材料厂2012年预算11.23 4" xfId="24927" xr:uid="{30208FE0-1CCC-464E-B23E-C5E2DB9601FD}"/>
    <cellStyle name="好_复件 复合材料厂2012年预算11.23 5" xfId="24928" xr:uid="{61D1AD0B-C5DD-47F6-A2DA-75728EEA343F}"/>
    <cellStyle name="好_复件 复合材料厂2012年预算11.23 6" xfId="24929" xr:uid="{E163BDFE-D74D-4F99-9919-49D03E9059A6}"/>
    <cellStyle name="好_复件 复合材料厂2012年预算11.23 7" xfId="24930" xr:uid="{C64D9C2E-523E-42AE-A3AE-B112AC4CE2AB}"/>
    <cellStyle name="好_复件 复合材料厂2012年预算11.23 8" xfId="24931" xr:uid="{E7C76A07-4203-4E61-BB1D-2C01A4284C4F}"/>
    <cellStyle name="好_复件 复合材料厂2012年预算11.23 9" xfId="24932" xr:uid="{476C44AA-AFAF-4EF1-B150-3473C93B2FB2}"/>
    <cellStyle name="好_复件 复合材料厂2012年预算11.23_2016年9月成本报表" xfId="24933" xr:uid="{3E71982F-5232-4859-97F3-D277F95298FF}"/>
    <cellStyle name="好_复件 复合材料厂2012年预算11.23_2016年采矿工序预算" xfId="24934" xr:uid="{C4BB7D70-B2B9-4143-8F6E-4FCD2E73F4F6}"/>
    <cellStyle name="好_复件 复合材料厂2012年预算11.23_2017年全面预算新增表样" xfId="24935" xr:uid="{DCF13D28-8F34-4141-BFEF-5DAE1DE7B255}"/>
    <cellStyle name="好_复件 复合材料厂2012年预算11.23_2017年全面预算新增指标" xfId="24936" xr:uid="{616F2A94-98AC-41DD-B827-EF500087B8AC}"/>
    <cellStyle name="好_复件 复合材料厂2012年预算11.23_动力预提" xfId="24937" xr:uid="{04EC61F8-51F9-4325-93E3-6AFD46BEFD90}"/>
    <cellStyle name="好_复件 复合材料厂2012年预算11.23_副本峨矿2014年经营Ⅱ档预算全稿qt(2013.12.25发送矿业公司)" xfId="24938" xr:uid="{67A1F1C0-125C-428F-B6F4-19BEF0A984C5}"/>
    <cellStyle name="好_复件 复合材料厂2012年预算11.23_工艺科2017年全面预算20161010" xfId="24939" xr:uid="{0AE099B7-3C0D-44F3-89D5-B8A9996CE9CB}"/>
    <cellStyle name="好_复件 复合材料厂2012年预算11.23_加不利2016年预算3稿（内）1106" xfId="24940" xr:uid="{7DB642C0-AC70-469F-BC74-8BAB169606F7}"/>
    <cellStyle name="好_复件 复合材料厂2012年预算11.23_加不利2016年预算3稿（内）1106_2016年预算3稿11.30(300万吨3900万采总工资降内）" xfId="24941" xr:uid="{65992694-B42A-4A0D-84DA-078C1D7F3304}"/>
    <cellStyle name="好_复件 复合材料厂2012年预算11.23_尖山矿2017年产量预算及不利因素影响报" xfId="24942" xr:uid="{6F699FCC-2406-4350-B152-20A7470C4C28}"/>
    <cellStyle name="好_复件 复合材料厂2012年预算11.23_尖山铁矿2016年预算内部全面预算(129)" xfId="24943" xr:uid="{543C65A4-3391-43F4-81D9-B11876F75946}"/>
    <cellStyle name="好_复件 复合材料厂2012年预算11.23_尖山铁矿2017年全面预算1.26" xfId="24944" xr:uid="{AA624973-4CB3-4F6A-B139-F75C94B82E54}"/>
    <cellStyle name="好_复件 复合材料厂2012年预算11.23_球团工序" xfId="24945" xr:uid="{D2A6A3A9-2F91-432A-9486-6737FD643E65}"/>
    <cellStyle name="好_复件 复合材料厂2012年预算11.23_球团工序_1" xfId="24946" xr:uid="{7AE3B4A7-00A0-4588-AE2A-CEAF61F3229C}"/>
    <cellStyle name="好_复件 复合材料厂2012年预算11.23_太钢鑫磊2017年1月非生产、安全、修理费统计报表" xfId="24947" xr:uid="{2D797B1F-F300-4C9F-BB44-75F17DB786B9}"/>
    <cellStyle name="好_复件 矿业公司工资预算(1)" xfId="24948" xr:uid="{C7AC6112-9AFA-49EE-A10C-D085EDF70284}"/>
    <cellStyle name="好_复件 矿业公司工资预算(1) 2" xfId="24949" xr:uid="{88699B48-F763-49BD-B706-025C89A94B68}"/>
    <cellStyle name="好_复件 矿业公司工资预算(1) 2_动力部" xfId="24950" xr:uid="{A752D3FA-5BF7-4558-8610-9689DD00FCFF}"/>
    <cellStyle name="好_复件 矿业公司工资预算(1)_动力部" xfId="24951" xr:uid="{E7033CC4-87EB-405F-BAC2-CA613422CDB5}"/>
    <cellStyle name="好_副本峨矿2014年经营Ⅱ档预算全稿qt(2013.12.25发送矿业公司)" xfId="24952" xr:uid="{50D0E6EC-668A-446D-A1EF-B1484031E0F8}"/>
    <cellStyle name="好_工艺科2017年全面预算20161010" xfId="24953" xr:uid="{F73005E0-0B42-481C-B5F2-D59CC96D1D69}"/>
    <cellStyle name="好_工艺科2017年全面预算20161010 2" xfId="24954" xr:uid="{FB4F74AF-9496-4802-8C2A-D98D039EF4FB}"/>
    <cellStyle name="好_工艺科2017年全面预算20161010 2_动力部" xfId="24955" xr:uid="{42B48D43-C25D-4E20-8597-BCF315441A3F}"/>
    <cellStyle name="好_工艺科2017年全面预算20161010_动力部" xfId="24956" xr:uid="{880EF4A1-801C-43A0-BEA5-CE4B390671E1}"/>
    <cellStyle name="好_管理费用" xfId="446" xr:uid="{5228FDC3-A4DA-40B8-ADE7-507B7EF4A111}"/>
    <cellStyle name="好_管理费用 2" xfId="13670" xr:uid="{0A5FC70D-27BC-495B-A34D-8CC4F929540A}"/>
    <cellStyle name="好_计量室" xfId="24957" xr:uid="{3441A869-E0E4-46D0-A4EF-9A0C8910C33E}"/>
    <cellStyle name="好_加不利2016年预算3稿（内）1106" xfId="24958" xr:uid="{5B78CDA1-03CB-4ED3-98E1-0EBA5D7BFF25}"/>
    <cellStyle name="好_加不利2016年预算3稿（内）1106 2" xfId="24959" xr:uid="{93AFE2A8-AB96-4CC6-97F2-B13E26C56719}"/>
    <cellStyle name="好_加不利2016年预算3稿（内）1106 2_动力部" xfId="24960" xr:uid="{B68DD2F2-6FCB-48C5-A498-944A9235976C}"/>
    <cellStyle name="好_加不利2016年预算3稿（内）1106_动力部" xfId="24961" xr:uid="{A86190F5-62CE-4458-945E-3A51788F4A5B}"/>
    <cellStyle name="好_尖山2014年全面预算稿" xfId="24962" xr:uid="{53157CD2-BAF7-49DC-B967-C2C802E33BB4}"/>
    <cellStyle name="好_尖山2014年全面预算稿 2" xfId="24963" xr:uid="{0E0A33DE-4F3B-45E5-8A15-1CC67ECF409B}"/>
    <cellStyle name="好_尖山2014年全面预算稿 2_动力部" xfId="24964" xr:uid="{10B6E998-7547-44B7-9419-E24389FAF715}"/>
    <cellStyle name="好_尖山2014年全面预算稿_2016年9月成本报表" xfId="24965" xr:uid="{6AD0440B-E693-416D-807B-4976CEA87911}"/>
    <cellStyle name="好_尖山2014年全面预算稿_2016年9月成本报表 2" xfId="24966" xr:uid="{6BEA50D2-6CA2-40BE-B58B-3C9F761FD0BC}"/>
    <cellStyle name="好_尖山2014年全面预算稿_2016年9月成本报表 2_动力部" xfId="24967" xr:uid="{FE90A03A-A7C7-489A-BA2B-6C7DE307DDE0}"/>
    <cellStyle name="好_尖山2014年全面预算稿_2016年9月成本报表_动力部" xfId="24968" xr:uid="{45EAB9FF-A5E4-4916-91E8-B5832B4693D1}"/>
    <cellStyle name="好_尖山2014年全面预算稿_动力部" xfId="24969" xr:uid="{F865E045-A865-4C34-AE58-6FD3E83DCFEF}"/>
    <cellStyle name="好_尖山2014年全面预算稿_加不利2016年预算3稿（内）1106" xfId="24970" xr:uid="{792DC906-3CF7-4E42-AFFE-9F60AC5A1A1F}"/>
    <cellStyle name="好_尖山2014年全面预算稿_加不利2016年预算3稿（内）1106 2" xfId="24971" xr:uid="{EED5DF07-9EFE-4CAA-9664-0531FA88A1C1}"/>
    <cellStyle name="好_尖山2014年全面预算稿_加不利2016年预算3稿（内）1106 2_动力部" xfId="24972" xr:uid="{4D70FB2D-7497-493C-AD61-3888F081B6AA}"/>
    <cellStyle name="好_尖山2014年全面预算稿_加不利2016年预算3稿（内）1106_动力部" xfId="24973" xr:uid="{42338031-2B01-4FDA-8CF1-E809808A1201}"/>
    <cellStyle name="好_尖山2014年全面预算稿_尖山铁矿2016年预算内部全面预算(129)" xfId="24974" xr:uid="{FB74445C-E3C8-459D-AD2B-68EAC6937D2B}"/>
    <cellStyle name="好_尖山2014年全面预算稿_尖山铁矿2016年预算内部全面预算(129) 2" xfId="24975" xr:uid="{EC7F8EB1-B504-4086-A302-79054061A941}"/>
    <cellStyle name="好_尖山2014年全面预算稿_尖山铁矿2016年预算内部全面预算(129) 2_动力部" xfId="24976" xr:uid="{E68FE4DF-16FA-4160-935B-6F2D114DF244}"/>
    <cellStyle name="好_尖山2014年全面预算稿_尖山铁矿2016年预算内部全面预算(129)_动力部" xfId="24977" xr:uid="{C206A511-43DE-4332-9E80-B1556450B4BD}"/>
    <cellStyle name="好_尖山2014年全面预算稿_尖山铁矿2017年全面预算1.26" xfId="24978" xr:uid="{413C65F2-EA2C-49A6-A8A2-90133D361966}"/>
    <cellStyle name="好_尖山2015年全面预算稿10.20" xfId="24979" xr:uid="{38AA0AFF-4C1A-4A51-AA89-607EBD073ADD}"/>
    <cellStyle name="好_尖山2015年全面预算稿10.20 2" xfId="24980" xr:uid="{46EA9524-43AA-4AE7-90C3-E99CE6ACCDC2}"/>
    <cellStyle name="好_尖山2015年全面预算稿10.20 2_动力部" xfId="24981" xr:uid="{343F72D1-422E-49F8-B7E8-517FCA0A2974}"/>
    <cellStyle name="好_尖山2015年全面预算稿10.20_2016年9月成本报表" xfId="24982" xr:uid="{25BE28AA-3BF0-4FE4-9A91-3EBE349F8EE4}"/>
    <cellStyle name="好_尖山2015年全面预算稿10.20_2016年9月成本报表 2" xfId="24983" xr:uid="{CF171107-30CF-4C37-AB46-E26566DB337A}"/>
    <cellStyle name="好_尖山2015年全面预算稿10.20_2016年9月成本报表 2_动力部" xfId="24984" xr:uid="{06CDE2DA-FBE4-46A7-8187-50AE3EBDCFAE}"/>
    <cellStyle name="好_尖山2015年全面预算稿10.20_2016年9月成本报表_动力部" xfId="24985" xr:uid="{625BE745-99FF-4AA5-8073-B3E7CE05A683}"/>
    <cellStyle name="好_尖山2015年全面预算稿10.20_动力部" xfId="24986" xr:uid="{EC56CAA8-B17D-48CB-BD66-F0E01E00545E}"/>
    <cellStyle name="好_尖山2015年全面预算稿10.20_加不利2016年预算3稿（内）1106" xfId="24987" xr:uid="{6E6AA80E-09A7-4A0E-8A5E-B1F6322C8AA8}"/>
    <cellStyle name="好_尖山2015年全面预算稿10.20_加不利2016年预算3稿（内）1106 2" xfId="24988" xr:uid="{B68BFF84-03C9-42ED-910B-75D4CA6522E3}"/>
    <cellStyle name="好_尖山2015年全面预算稿10.20_加不利2016年预算3稿（内）1106 2_动力部" xfId="24989" xr:uid="{0797F8C0-6173-4E56-A38A-6A8DA2A5CB2A}"/>
    <cellStyle name="好_尖山2015年全面预算稿10.20_加不利2016年预算3稿（内）1106_动力部" xfId="24990" xr:uid="{C908CDD5-B965-4682-8854-4AA32D2566CD}"/>
    <cellStyle name="好_尖山2015年全面预算稿10.20_尖山铁矿2016年预算内部全面预算(129)" xfId="24991" xr:uid="{6F7A773E-8497-4489-A96F-1EB58B733666}"/>
    <cellStyle name="好_尖山2015年全面预算稿10.20_尖山铁矿2016年预算内部全面预算(129) 2" xfId="24992" xr:uid="{D85155B1-1B1B-4F02-A2FB-1F780BA4A08C}"/>
    <cellStyle name="好_尖山2015年全面预算稿10.20_尖山铁矿2016年预算内部全面预算(129) 2_动力部" xfId="24993" xr:uid="{659BC230-D75F-4953-ADC2-4E3E364C9B94}"/>
    <cellStyle name="好_尖山2015年全面预算稿10.20_尖山铁矿2016年预算内部全面预算(129)_动力部" xfId="24994" xr:uid="{4EB967E8-38E1-45D7-9C3A-4EEA8922F2EC}"/>
    <cellStyle name="好_尖山2015年全面预算稿10.20_尖山铁矿2017年全面预算1.26" xfId="24995" xr:uid="{38B65AE6-3322-4B25-B61C-6B5736EF580F}"/>
    <cellStyle name="好_尖山矿2017年产量预算及不利因素影响报" xfId="24996" xr:uid="{5186E3EA-2C17-4972-91B1-2167E20D8215}"/>
    <cellStyle name="好_尖山矿2017年产量预算及不利因素影响报 2" xfId="24997" xr:uid="{EC0CD024-7620-4891-90A5-3542C86FD843}"/>
    <cellStyle name="好_尖山矿2017年产量预算及不利因素影响报 2_动力部" xfId="24998" xr:uid="{2E126A41-D838-49CE-BD14-3C9354265612}"/>
    <cellStyle name="好_尖山矿2017年产量预算及不利因素影响报_动力部" xfId="24999" xr:uid="{749B92AD-F45B-4220-AEA8-02CE90880AB2}"/>
    <cellStyle name="好_尖山铁矿2016年预算内部全面预算(129)" xfId="25000" xr:uid="{96988706-619D-40DF-955C-60750E6DD747}"/>
    <cellStyle name="好_尖山铁矿2016年预算内部全面预算(129) 2" xfId="25001" xr:uid="{8ED0F84C-A791-476B-BA84-5B2174CC82CB}"/>
    <cellStyle name="好_尖山铁矿2016年预算内部全面预算(129) 2_动力部" xfId="25002" xr:uid="{83D227AF-5B42-4E8E-93B0-A25CB53FBE53}"/>
    <cellStyle name="好_尖山铁矿2016年预算内部全面预算(129)_动力部" xfId="25003" xr:uid="{B0CD787E-D930-4E6D-B5E3-C98071D4B921}"/>
    <cellStyle name="好_尖山铁矿2017年全面预算1.26" xfId="25004" xr:uid="{069B3C6A-CC6F-4EAA-B564-FC803E08283F}"/>
    <cellStyle name="好_尖山铁矿工艺科2017年投资计划及收益项目20161026" xfId="25005" xr:uid="{59267B1E-4EFE-41DE-889E-4CA6A35D64BF}"/>
    <cellStyle name="好_尖山铁矿工艺科2017年投资计划及收益项目20161026 2" xfId="25006" xr:uid="{ECC8E553-B043-4C9F-889F-2251F21FFE4D}"/>
    <cellStyle name="好_尖山铁矿工艺科2017年投资计划及收益项目20161026 2_动力部" xfId="25007" xr:uid="{BD46EC04-6E44-44BC-9BC6-5883FB77CCAC}"/>
    <cellStyle name="好_尖山铁矿工艺科2017年投资计划及收益项目20161026_动力部" xfId="25008" xr:uid="{54342FF4-7D88-4C37-A7F8-E0C0E071099F}"/>
    <cellStyle name="好_精选成本(外购) (40)" xfId="25009" xr:uid="{F7B8349D-9439-4C92-A02F-1BA5CFA52743}"/>
    <cellStyle name="好_矿业公司2014年全面预算稿（机关费用）" xfId="25010" xr:uid="{973B86AE-FB11-4AE8-92C0-4409F2DFCC4B}"/>
    <cellStyle name="好_矿业公司2014年全面预算稿（机关费用） 2" xfId="25011" xr:uid="{C2D40E03-3E3D-4925-B1E1-C868AECBC4BD}"/>
    <cellStyle name="好_矿业公司2014年全面预算稿（机关费用） 2_动力部" xfId="25012" xr:uid="{EF3ED7E4-6E69-4CAA-BB2D-29AD57077E25}"/>
    <cellStyle name="好_矿业公司2014年全面预算稿（机关费用） 3" xfId="25013" xr:uid="{6DE44EB3-A816-4422-A094-278F422878D1}"/>
    <cellStyle name="好_矿业公司2014年全面预算稿（机关费用） 3_动力部" xfId="25014" xr:uid="{86D4D402-BA25-4C99-A1E7-3B8DC94E38B3}"/>
    <cellStyle name="好_矿业公司2014年全面预算稿（机关费用）_动力部" xfId="25015" xr:uid="{2DCEB915-2FA2-404C-880D-20D33FC68726}"/>
    <cellStyle name="好_矿业公司2015年外协预算" xfId="25016" xr:uid="{6C5B5C01-2E53-45C9-9DFF-247F1144EC49}"/>
    <cellStyle name="好_矿业公司2015年外协预算 2" xfId="25017" xr:uid="{9D4E7A0C-0056-416E-89D0-8F6233504685}"/>
    <cellStyle name="好_矿业公司2015年外协预算 2_动力部" xfId="25018" xr:uid="{AA63A8B1-6B8E-4002-90D8-A3F5638E46E0}"/>
    <cellStyle name="好_矿业公司2015年外协预算_动力部" xfId="25019" xr:uid="{EE291F33-F376-494C-B597-04CC282BAB7D}"/>
    <cellStyle name="好_矿业公司产量、成本利润分析机关本部(1)" xfId="25020" xr:uid="{B08AF11A-6892-479D-A655-D947A404849D}"/>
    <cellStyle name="好_矿业公司产量、成本利润分析机关本部(1) 2" xfId="25021" xr:uid="{9213E353-EA32-405D-B89D-96A92EF03239}"/>
    <cellStyle name="好_矿业公司产量、成本利润分析机关本部(1) 3" xfId="25022" xr:uid="{6A02FF3D-3279-4ECA-9A4E-4711C7F7C897}"/>
    <cellStyle name="好_其他业务收支预算表(峨矿)" xfId="25023" xr:uid="{9F1CB3E5-E34D-4ACE-A3CB-DCAD07980EA9}"/>
    <cellStyle name="好_其他业务收支预算表(峨矿)_动力部" xfId="25024" xr:uid="{344988F9-4E04-42EE-82C1-1FD508B099A8}"/>
    <cellStyle name="好_球团工序" xfId="25025" xr:uid="{0CF8D046-7A89-4A32-877D-C6381D745345}"/>
    <cellStyle name="好_球团工序 (2018)" xfId="25026" xr:uid="{34EA3175-5B17-4DA9-926B-83975D848EB6}"/>
    <cellStyle name="好_球团工序 (2018)_1" xfId="25027" xr:uid="{6FC3AC95-A7DF-42CB-A6C6-B779386D9532}"/>
    <cellStyle name="好_球团工序 (2018)_2" xfId="25028" xr:uid="{23F95ED9-09FE-48EA-B33A-36B7B0410329}"/>
    <cellStyle name="好_球团工序_1" xfId="25029" xr:uid="{BDEB3B34-51FB-4DB7-9135-13084BA461AD}"/>
    <cellStyle name="好_全面预算-产量技经预算310-2.64-3.34" xfId="25030" xr:uid="{9395899C-D03A-4747-8826-28DDE0682AB6}"/>
    <cellStyle name="好_收入利润18" xfId="25031" xr:uid="{8897E693-0E2A-43EB-B739-F3C14E726D40}"/>
    <cellStyle name="好_收入利润18_动力部" xfId="25032" xr:uid="{7CD14E70-4560-43B4-B091-D783EC417072}"/>
    <cellStyle name="好_太钢鑫磊2016年3月报表" xfId="25033" xr:uid="{6AA05F55-1ADF-447E-A941-8BEAFB369B92}"/>
    <cellStyle name="好_卫生部财务分析模板" xfId="7073" xr:uid="{8F52532C-11F4-49BD-A8FC-62596E197A5A}"/>
    <cellStyle name="好_现金流量表12" xfId="25034" xr:uid="{DE5E6511-F35D-4A2D-9FB4-8FC816420C5D}"/>
    <cellStyle name="好_小册子工程4月" xfId="7074" xr:uid="{68B82FB8-A841-4D63-BA7B-988BAD98304D}"/>
    <cellStyle name="好_信息_矿业_2" xfId="7077" xr:uid="{57955449-06EF-4221-80C4-09DE8FE3B626}"/>
    <cellStyle name="好_应上交款项情况表" xfId="3789" xr:uid="{5CC6C80B-C96B-4A80-95E9-D8E7F36C8A48}"/>
    <cellStyle name="好_应上交款项情况表 2" xfId="13671" xr:uid="{9B17E514-A04D-4720-9A2E-5D6A3D52DE53}"/>
    <cellStyle name="好_营业税金及附加" xfId="25035" xr:uid="{74D7B8AF-8003-4BC8-AFF5-043DF4698A6B}"/>
    <cellStyle name="好_营业税金及附加_1" xfId="25036" xr:uid="{3756EC7A-E226-4B31-AAE1-4F4F81FC3EAD}"/>
    <cellStyle name="好_营业外支出" xfId="25037" xr:uid="{74B34996-F68F-4DD0-8594-8334381D6F95}"/>
    <cellStyle name="好_营业外支出_1" xfId="25038" xr:uid="{0CFD7D37-2B6C-40A6-B70B-7742AA5CD56A}"/>
    <cellStyle name="好_预算汇总" xfId="25039" xr:uid="{5905C44F-2B69-406E-9FAE-DBDFFAD25049}"/>
    <cellStyle name="好_预算汇总 2" xfId="25040" xr:uid="{DE10ACEC-C726-478F-9A99-6DB115C35F29}"/>
    <cellStyle name="好_预算汇总 3" xfId="25041" xr:uid="{43D9A8E0-1740-44FB-B60C-9A7FA9431CFB}"/>
    <cellStyle name="好_预算汇总表" xfId="25042" xr:uid="{7E11FF07-F73E-442A-8A5C-50F3F15C4B95}"/>
    <cellStyle name="好_预算汇总表_动力部" xfId="25043" xr:uid="{BB18D112-3F0D-4BB9-94B7-8372325A9D74}"/>
    <cellStyle name="好_预提费用" xfId="25044" xr:uid="{9A93943B-5D7A-4DE1-B22A-3ED9EEA1B24C}"/>
    <cellStyle name="好_预提费用_1" xfId="25045" xr:uid="{C39414EC-62FD-42E0-A9A4-545C48BF51C9}"/>
    <cellStyle name="好_月度信息模板-资金管理室" xfId="7078" xr:uid="{66CB8B82-C593-4C8F-A42C-51F0D61AFB1D}"/>
    <cellStyle name="好_自动化室" xfId="25046" xr:uid="{7496ECEB-D7E2-4510-BA12-6EA52D7521B3}"/>
    <cellStyle name="后继超级链接" xfId="25047" xr:uid="{BE4258AA-445B-4776-B31A-A66B44056762}"/>
    <cellStyle name="后继超级链接 2" xfId="25048" xr:uid="{12DE0AD1-BAA2-4DDA-8971-57B9580DB8E4}"/>
    <cellStyle name="后继超级链接 2 2" xfId="25049" xr:uid="{94237E58-43A6-4A99-8AAC-A910EA27DC3B}"/>
    <cellStyle name="后继超级链接 2 3" xfId="25050" xr:uid="{E429F48E-0B85-4A81-B089-769939A4F511}"/>
    <cellStyle name="后继超级链接 2_动力部" xfId="25051" xr:uid="{51290F33-D30E-4768-A914-2B75C864DB7B}"/>
    <cellStyle name="后继超级链接 3" xfId="25052" xr:uid="{3126E495-4770-444D-A41D-7172CC0DA049}"/>
    <cellStyle name="后继超级链接_动力部" xfId="25053" xr:uid="{E4830B97-E6B8-4F9C-B851-F615BEB59DE1}"/>
    <cellStyle name="汇总" xfId="27821" builtinId="25" customBuiltin="1"/>
    <cellStyle name="汇总 10" xfId="7080" xr:uid="{6AC5EC99-BF6F-43D0-AA59-170EFBE95B4B}"/>
    <cellStyle name="汇总 10 2" xfId="11143" xr:uid="{903CA4C4-364E-45F2-8048-6346A280011B}"/>
    <cellStyle name="汇总 10 2 2" xfId="25055" xr:uid="{00377B2E-A766-4224-8006-7AB7C6A7A89E}"/>
    <cellStyle name="汇总 10 3" xfId="11144" xr:uid="{1CB16FF4-AF1C-42D4-BBDD-667E6D7551ED}"/>
    <cellStyle name="汇总 10 4" xfId="11142" xr:uid="{AA9C0802-A185-461B-9102-04B729FFB406}"/>
    <cellStyle name="汇总 10 5" xfId="25054" xr:uid="{7145E6FF-623F-4A35-9E70-BE9087ADA64D}"/>
    <cellStyle name="汇总 11" xfId="7081" xr:uid="{8EBFB58C-259E-4E70-AC3E-10C5176CBB3D}"/>
    <cellStyle name="汇总 11 2" xfId="11146" xr:uid="{C9822C88-FD1F-4586-8720-C52F00799C6D}"/>
    <cellStyle name="汇总 11 2 2" xfId="25057" xr:uid="{409D9DC6-94E9-425E-898A-B5403226A14A}"/>
    <cellStyle name="汇总 11 3" xfId="11147" xr:uid="{D3AE0C3B-1B9F-4A59-AD83-9302DC919D32}"/>
    <cellStyle name="汇总 11 4" xfId="11145" xr:uid="{01C8C95F-BE58-44B9-85A4-35D441BFB993}"/>
    <cellStyle name="汇总 11 5" xfId="25056" xr:uid="{E87F743B-D598-4EBE-8074-10E5EB2E5D8A}"/>
    <cellStyle name="汇总 12" xfId="7082" xr:uid="{5AB3D8A6-64D9-4321-BFE0-47B6FC9C006A}"/>
    <cellStyle name="汇总 12 2" xfId="11149" xr:uid="{A6DA2617-2B3D-4B9D-8A7F-678C5381757D}"/>
    <cellStyle name="汇总 12 2 2" xfId="25059" xr:uid="{88752962-7A33-4B74-AF4D-2AB4D8277929}"/>
    <cellStyle name="汇总 12 3" xfId="11150" xr:uid="{45860410-6AEB-4F75-AF67-0EFF6C8F127A}"/>
    <cellStyle name="汇总 12 4" xfId="11148" xr:uid="{766B7499-0FF6-4A84-A749-600B426D962B}"/>
    <cellStyle name="汇总 12 5" xfId="25058" xr:uid="{18E5866D-EA1F-4ADF-8972-E909347094FC}"/>
    <cellStyle name="汇总 13" xfId="7083" xr:uid="{0A11F29B-C6A6-469E-A0DE-2CF717EBE501}"/>
    <cellStyle name="汇总 13 2" xfId="11152" xr:uid="{F7688C1F-28ED-4D56-AB7F-F77B910EFAC6}"/>
    <cellStyle name="汇总 13 2 2" xfId="25061" xr:uid="{E83F6B60-4D70-46EF-9757-AE2FA7093CDC}"/>
    <cellStyle name="汇总 13 3" xfId="11153" xr:uid="{62F4706B-BF2C-4348-9689-FB165FAC5CCB}"/>
    <cellStyle name="汇总 13 4" xfId="11151" xr:uid="{7EF5E309-E1CC-4271-BB8A-1E745A0F3C41}"/>
    <cellStyle name="汇总 13 5" xfId="25060" xr:uid="{7A4B49D1-7BD4-4916-924F-15B7A5C13AC6}"/>
    <cellStyle name="汇总 14" xfId="7085" xr:uid="{3833D70B-14B4-4DDF-83E0-EDAD0EE09006}"/>
    <cellStyle name="汇总 14 2" xfId="11155" xr:uid="{2F76AC1D-9696-407E-B8BA-965DBE4F06A0}"/>
    <cellStyle name="汇总 14 2 2" xfId="25063" xr:uid="{42BC10CD-78D0-49CE-B5E7-0045595DDF6C}"/>
    <cellStyle name="汇总 14 3" xfId="11156" xr:uid="{5CD8F4CA-3861-41EE-B17E-28430CA50BA1}"/>
    <cellStyle name="汇总 14 4" xfId="11154" xr:uid="{58DEB54E-7440-42E9-AA23-BD701FAC3563}"/>
    <cellStyle name="汇总 14 5" xfId="25062" xr:uid="{11031B62-5E25-4CE6-BC51-A9C75C893D03}"/>
    <cellStyle name="汇总 15" xfId="7087" xr:uid="{41F5855D-83F3-42AC-8903-7E113CA4BC58}"/>
    <cellStyle name="汇总 15 2" xfId="11158" xr:uid="{064E3A03-ADAB-42A9-A2E1-89166E15FFE5}"/>
    <cellStyle name="汇总 15 2 2" xfId="25065" xr:uid="{AEEFF912-A557-4152-83D0-EAE8A3175E6D}"/>
    <cellStyle name="汇总 15 3" xfId="11159" xr:uid="{36AA63F9-1027-4E0B-8D2D-14FDD54538CD}"/>
    <cellStyle name="汇总 15 4" xfId="11157" xr:uid="{F94191E2-C619-44EE-9288-E6A00BAECA8E}"/>
    <cellStyle name="汇总 15 5" xfId="25064" xr:uid="{A850537B-20C0-4A4A-AE75-4DD1BA70DCB3}"/>
    <cellStyle name="汇总 16" xfId="7090" xr:uid="{9AE01B03-72F7-48EB-91A3-2609CCDF64A3}"/>
    <cellStyle name="汇总 16 2" xfId="11161" xr:uid="{68E8A37F-C747-458A-83C2-A40AFF8D271C}"/>
    <cellStyle name="汇总 16 2 2" xfId="25067" xr:uid="{CB518B13-CDB6-4C24-9A99-B96720CF14EB}"/>
    <cellStyle name="汇总 16 3" xfId="11162" xr:uid="{06A04C64-6AF5-4CCD-9C51-0DFAA796755C}"/>
    <cellStyle name="汇总 16 4" xfId="11160" xr:uid="{CB763D1A-724C-4242-B4E9-741BC3104163}"/>
    <cellStyle name="汇总 16 5" xfId="25066" xr:uid="{60AD83D0-755E-4B3D-979D-28F4FA22D067}"/>
    <cellStyle name="汇总 17" xfId="7092" xr:uid="{F094FB50-FEFF-43B9-811D-A26A45ECC8E7}"/>
    <cellStyle name="汇总 17 2" xfId="11164" xr:uid="{AB5568E0-D56B-4AC3-B37D-9774F6B51D43}"/>
    <cellStyle name="汇总 17 2 2" xfId="25069" xr:uid="{76477FDB-F46C-435F-9D08-BA39D59ABB99}"/>
    <cellStyle name="汇总 17 3" xfId="11165" xr:uid="{9893F07D-DBA7-479B-829C-4C4C94617A06}"/>
    <cellStyle name="汇总 17 4" xfId="11163" xr:uid="{C2100A9E-C7FA-4673-88A6-3697501C1384}"/>
    <cellStyle name="汇总 17 5" xfId="25068" xr:uid="{47FBAB56-89AE-40F0-9D3F-FDF3F3A07CE1}"/>
    <cellStyle name="汇总 18" xfId="7094" xr:uid="{6ABF1BFD-C789-4090-87A2-10599404AA73}"/>
    <cellStyle name="汇总 18 2" xfId="11166" xr:uid="{3FFFE477-56EE-4904-AA51-3E954EFC4B50}"/>
    <cellStyle name="汇总 18 2 2" xfId="25071" xr:uid="{F5F41733-5FA5-47A3-9895-4B3D212D6224}"/>
    <cellStyle name="汇总 18 3" xfId="25070" xr:uid="{0DBA90D4-1F57-4AA4-ACC6-DDB269E29E68}"/>
    <cellStyle name="汇总 19" xfId="7096" xr:uid="{3AB7A3FE-58AF-4E4B-A637-BB3FBE3A6DEB}"/>
    <cellStyle name="汇总 19 2" xfId="11167" xr:uid="{6CE692D3-B9D3-4336-B267-D5B9109F18A8}"/>
    <cellStyle name="汇总 19 2 2" xfId="25073" xr:uid="{F4D4CA72-72A3-4619-A121-953B68689A8D}"/>
    <cellStyle name="汇总 19 3" xfId="25072" xr:uid="{0C68A4F3-F1FD-444B-B0C6-6C602681E9C2}"/>
    <cellStyle name="汇总 2" xfId="7098" xr:uid="{535FD070-15E0-4F7A-AA95-F9011210DBD5}"/>
    <cellStyle name="汇总 2 10" xfId="7101" xr:uid="{252D848F-F73D-4A90-A4DE-2D95543F706B}"/>
    <cellStyle name="汇总 2 10 2" xfId="7102" xr:uid="{FD9343BF-7653-4B67-9DFC-467A5324D3D2}"/>
    <cellStyle name="汇总 2 11" xfId="7103" xr:uid="{5B36B942-1C34-4A38-962D-C5EA585D9D5B}"/>
    <cellStyle name="汇总 2 11 2" xfId="7104" xr:uid="{B54750B0-011F-42F3-8BF0-33A6BF733650}"/>
    <cellStyle name="汇总 2 12" xfId="7105" xr:uid="{906B9B13-712C-4F98-ADFE-30ED1334A273}"/>
    <cellStyle name="汇总 2 12 2" xfId="7106" xr:uid="{14FAA51D-DEC8-49A9-AD80-922F08F142DA}"/>
    <cellStyle name="汇总 2 13" xfId="7107" xr:uid="{63AE867B-0E44-4D6B-ACC8-F8C1CB1E155B}"/>
    <cellStyle name="汇总 2 13 2" xfId="2263" xr:uid="{91445781-9893-4FBB-8F1C-FA33AA515205}"/>
    <cellStyle name="汇总 2 14" xfId="7108" xr:uid="{F1CB63A3-4187-4AA4-9C52-BF865ABDF0BA}"/>
    <cellStyle name="汇总 2 15" xfId="12664" xr:uid="{D1F94D29-39FE-45CD-A6E9-2AE85A96B48C}"/>
    <cellStyle name="汇总 2 2" xfId="7109" xr:uid="{33C12308-CE9F-48BE-9E92-8174434BFF2E}"/>
    <cellStyle name="汇总 2 2 10" xfId="27558" xr:uid="{CEB028A0-F2F2-4B18-A778-928DA46AB13A}"/>
    <cellStyle name="汇总 2 2 2" xfId="7110" xr:uid="{B7C40624-8101-44A3-877D-93714F26BFC1}"/>
    <cellStyle name="汇总 2 2 2 2" xfId="7111" xr:uid="{AFE99E76-1FEB-4351-9420-958806BDEF06}"/>
    <cellStyle name="汇总 2 2 3" xfId="7115" xr:uid="{52F87A0B-4479-469B-A37E-D56ABDD077DC}"/>
    <cellStyle name="汇总 2 2 3 2" xfId="7116" xr:uid="{30ED977E-ED6F-46BA-918C-C96EFFF3024B}"/>
    <cellStyle name="汇总 2 2 3 3" xfId="25075" xr:uid="{C42C58EB-C174-407C-88F2-C6CE4C46B4DB}"/>
    <cellStyle name="汇总 2 2 4" xfId="7117" xr:uid="{C07098FB-8D4E-4EDB-9377-1C346106AF56}"/>
    <cellStyle name="汇总 2 2 4 2" xfId="7118" xr:uid="{6F7A0A11-233C-42E5-BBBC-246D37CA7EE9}"/>
    <cellStyle name="汇总 2 2 5" xfId="7119" xr:uid="{016FD2AD-EDC1-4B7D-BE8D-331A02A1BFBB}"/>
    <cellStyle name="汇总 2 2 5 2" xfId="7120" xr:uid="{3FE28E43-23C0-459E-B8B9-451FF6AD1F80}"/>
    <cellStyle name="汇总 2 2 6" xfId="7121" xr:uid="{1F88C4BE-4DDA-4248-9F11-B6A147CF9719}"/>
    <cellStyle name="汇总 2 2 6 2" xfId="7122" xr:uid="{00691B06-344F-4161-85E5-14D52CF584AC}"/>
    <cellStyle name="汇总 2 2 7" xfId="7123" xr:uid="{EFD0CE6D-556C-4635-97F8-B2EEB958D500}"/>
    <cellStyle name="汇总 2 2 7 2" xfId="7124" xr:uid="{B8DF620D-B97B-4B7C-A2AD-37B3FD400384}"/>
    <cellStyle name="汇总 2 2 8" xfId="7125" xr:uid="{8D0D4F4D-6EBD-4E9C-8584-1B745672087E}"/>
    <cellStyle name="汇总 2 2 9" xfId="25074" xr:uid="{1E99B040-CB26-455A-9A27-98021CCCE4FE}"/>
    <cellStyle name="汇总 2 2_动力部" xfId="25076" xr:uid="{9D699F1E-3FD6-4438-B8E5-512D8792287D}"/>
    <cellStyle name="汇总 2 3" xfId="7126" xr:uid="{5DD40E44-588B-4D21-A9AC-2293A0F7B543}"/>
    <cellStyle name="汇总 2 3 2" xfId="3756" xr:uid="{57F0C847-18A5-4E38-9FED-33A953535CBC}"/>
    <cellStyle name="汇总 2 3 2 2" xfId="3759" xr:uid="{5659B7D8-CCEF-401D-9EA6-95E99E43086F}"/>
    <cellStyle name="汇总 2 3 3" xfId="3590" xr:uid="{34398341-3E6B-4387-BF97-04FBC637C598}"/>
    <cellStyle name="汇总 2 3 3 2" xfId="3761" xr:uid="{9F81D2D8-D5A7-4AC6-8F1A-371273A7BB8B}"/>
    <cellStyle name="汇总 2 3 4" xfId="3763" xr:uid="{0AE11456-0D52-4EDE-89EA-06A7DEECE5F2}"/>
    <cellStyle name="汇总 2 3 5" xfId="25077" xr:uid="{6335EA07-4901-451B-9029-B97CE1C700F2}"/>
    <cellStyle name="汇总 2 3 6" xfId="27559" xr:uid="{692FD5AD-72EF-44E8-86E0-799E61633184}"/>
    <cellStyle name="汇总 2 4" xfId="7127" xr:uid="{21DA05E2-055B-4600-864B-872E805AEEB3}"/>
    <cellStyle name="汇总 2 4 2" xfId="3775" xr:uid="{6E21B670-FCAB-42B8-BA77-736C39A0BDBA}"/>
    <cellStyle name="汇总 2 4 2 2" xfId="3779" xr:uid="{4F12AC2E-BF7A-474F-8E9E-EA63AE6A769A}"/>
    <cellStyle name="汇总 2 4 2 3" xfId="25079" xr:uid="{004EF35E-C833-4F2C-B917-06FB64F68027}"/>
    <cellStyle name="汇总 2 4 3" xfId="1935" xr:uid="{E781C219-41DE-45CB-A5CA-63107579E4D9}"/>
    <cellStyle name="汇总 2 4 3 2" xfId="3783" xr:uid="{30F1B7A7-37A3-4FA4-836C-0A1F365822F9}"/>
    <cellStyle name="汇总 2 4 4" xfId="3786" xr:uid="{793A7E70-E659-464F-8959-6274D239D144}"/>
    <cellStyle name="汇总 2 4 5" xfId="25078" xr:uid="{4A27F9FD-526F-4FB0-8CDC-72A49ED10E7A}"/>
    <cellStyle name="汇总 2 5" xfId="7128" xr:uid="{0183F21D-4642-4C94-AB93-B45FA6E06AE9}"/>
    <cellStyle name="汇总 2 5 2" xfId="2687" xr:uid="{F5CDF0E3-EFBF-4124-AAAF-3717E8D039C1}"/>
    <cellStyle name="汇总 2 5 2 2" xfId="2691" xr:uid="{D21DC94A-E8DF-4335-B13F-5624C3A09E0E}"/>
    <cellStyle name="汇总 2 5 3" xfId="2695" xr:uid="{6BCEF688-7C54-44EA-B391-CBE26E10F668}"/>
    <cellStyle name="汇总 2 5 3 2" xfId="2698" xr:uid="{6ABB167B-C380-422E-BBEC-4052CB1952ED}"/>
    <cellStyle name="汇总 2 5 4" xfId="2701" xr:uid="{1B144B3B-EFF3-48CF-8DE5-179C9FD921FC}"/>
    <cellStyle name="汇总 2 5 5" xfId="25080" xr:uid="{99774D7D-7BFE-461D-AEAF-D72960C6A876}"/>
    <cellStyle name="汇总 2 6" xfId="7129" xr:uid="{77DE34C7-8484-4427-AFBB-521CC3D81572}"/>
    <cellStyle name="汇总 2 6 2" xfId="3794" xr:uid="{7CA95661-311B-4AD1-AD07-76200174F28C}"/>
    <cellStyle name="汇总 2 6 2 2" xfId="3796" xr:uid="{71098317-F8BA-465C-AFE6-3B6346BA15D6}"/>
    <cellStyle name="汇总 2 6 3" xfId="1948" xr:uid="{BB3BDE8B-359C-400F-93BB-5CFB1BE8438F}"/>
    <cellStyle name="汇总 2 6 3 2" xfId="3798" xr:uid="{381B77D7-6EE9-4D0F-B84D-21073C851DDB}"/>
    <cellStyle name="汇总 2 6 4" xfId="1354" xr:uid="{4060818A-5565-49F8-B54F-6E2E847B96FE}"/>
    <cellStyle name="汇总 2 7" xfId="7130" xr:uid="{660749B0-5910-47CF-BCDA-6CFDEFD90E5F}"/>
    <cellStyle name="汇总 2 7 2" xfId="3805" xr:uid="{08CD0ABF-1364-4468-B16D-45E9D445BF7A}"/>
    <cellStyle name="汇总 2 7 2 2" xfId="3807" xr:uid="{F675771F-663B-44CB-8EA1-B427CED26D1A}"/>
    <cellStyle name="汇总 2 7 3" xfId="1957" xr:uid="{5C3F6A67-D9F7-4288-8494-E32C77937A06}"/>
    <cellStyle name="汇总 2 7 3 2" xfId="3809" xr:uid="{BC2B298F-B897-4D83-9AE8-F6A9DEAD9BF5}"/>
    <cellStyle name="汇总 2 7 4" xfId="815" xr:uid="{CDA36E4A-18F9-4C28-9687-6AA77A74D4DE}"/>
    <cellStyle name="汇总 2 8" xfId="7131" xr:uid="{2F087617-9B13-4D23-A1A8-26BFF252FBE3}"/>
    <cellStyle name="汇总 2 8 2" xfId="3087" xr:uid="{BB02AA79-D21B-454B-B3BC-F3D13ABF1AEE}"/>
    <cellStyle name="汇总 2 8 2 2" xfId="3816" xr:uid="{8BC3A002-4136-4661-A900-26603A26EE04}"/>
    <cellStyle name="汇总 2 8 3" xfId="3736" xr:uid="{277ACB8D-06FB-4E8F-A81A-B74DC5BC13EF}"/>
    <cellStyle name="汇总 2 8 3 2" xfId="7132" xr:uid="{FB0ED18F-483B-40D3-ABFA-EEB7004D9B79}"/>
    <cellStyle name="汇总 2 8 4" xfId="7133" xr:uid="{A15B134E-6291-4211-A7B3-0E98F8FE6792}"/>
    <cellStyle name="汇总 2 9" xfId="7134" xr:uid="{1455E5A7-CD1D-4727-AD61-9E4FF7123035}"/>
    <cellStyle name="汇总 2 9 2" xfId="3820" xr:uid="{3336E1DB-97D0-47DF-964D-7C6C157027BA}"/>
    <cellStyle name="汇总 2 9 2 2" xfId="3822" xr:uid="{338DBC91-716F-4C4C-8D40-13B310F6FCBF}"/>
    <cellStyle name="汇总 2 9 3" xfId="3824" xr:uid="{2A451F20-8B9E-42D9-980D-3EEE85D04F28}"/>
    <cellStyle name="汇总 2 9 3 2" xfId="7135" xr:uid="{0E6F925B-D80E-4B13-B73B-98E3051DFA7C}"/>
    <cellStyle name="汇总 2 9 4" xfId="7136" xr:uid="{5ABF283F-A87F-42DC-AB36-25B4F9BDA5E6}"/>
    <cellStyle name="汇总 2_动力部" xfId="25081" xr:uid="{B1C56DF1-88A0-428F-88F1-B36CEC0ABB73}"/>
    <cellStyle name="汇总 20" xfId="7088" xr:uid="{65B345AB-5997-424D-A7AE-362AFFFB22AA}"/>
    <cellStyle name="汇总 20 2" xfId="11168" xr:uid="{F16314E8-659D-4518-BB5D-B9E62023FE46}"/>
    <cellStyle name="汇总 20 2 2" xfId="25083" xr:uid="{006587FE-998A-428E-94A3-106DC2E1F39C}"/>
    <cellStyle name="汇总 20 3" xfId="25082" xr:uid="{E269B08E-3F9E-4523-B3BC-E164ACD34578}"/>
    <cellStyle name="汇总 21" xfId="7091" xr:uid="{2F9BB716-B7F1-4341-9892-F4AFF4E0C80C}"/>
    <cellStyle name="汇总 21 2" xfId="11169" xr:uid="{96246492-66A9-42BA-997B-F0130916D900}"/>
    <cellStyle name="汇总 21 2 2" xfId="25085" xr:uid="{4F0579FF-228A-42A3-B290-8B86BC3A144B}"/>
    <cellStyle name="汇总 21 3" xfId="25084" xr:uid="{ACC56595-CF5C-47AF-895F-D7137585F68B}"/>
    <cellStyle name="汇总 22" xfId="7093" xr:uid="{AC6A495B-2601-49B0-A0B8-E3DDC875DD55}"/>
    <cellStyle name="汇总 22 2" xfId="11170" xr:uid="{FC9A3374-E780-440C-B8BE-CE0204FBA469}"/>
    <cellStyle name="汇总 22 2 2" xfId="25087" xr:uid="{08981307-904B-4D6B-A640-B4B9B57DD711}"/>
    <cellStyle name="汇总 22 3" xfId="25086" xr:uid="{B904775A-5A23-48F3-A9B6-90ECE7AE404C}"/>
    <cellStyle name="汇总 23" xfId="7095" xr:uid="{C80676B4-77D4-45A2-96C5-95DFDE3339C8}"/>
    <cellStyle name="汇总 23 2" xfId="25089" xr:uid="{1EC28161-3C87-4A43-B502-B5A356942BF7}"/>
    <cellStyle name="汇总 23 3" xfId="25088" xr:uid="{6AC18E6C-5C46-4001-A943-496D5AE7F80A}"/>
    <cellStyle name="汇总 24" xfId="7097" xr:uid="{7C6E7BE7-7905-43E2-843F-EA7FFB292F41}"/>
    <cellStyle name="汇总 24 2" xfId="25091" xr:uid="{DE14DF55-0420-4148-8462-F211FF38F19E}"/>
    <cellStyle name="汇总 24 3" xfId="25090" xr:uid="{03D1F7C7-F533-46D2-BC34-5B8AE05B1BAC}"/>
    <cellStyle name="汇总 25" xfId="7137" xr:uid="{8A6A0D3C-BDBF-41E4-974B-65DA2A8ACF90}"/>
    <cellStyle name="汇总 25 2" xfId="25093" xr:uid="{450FB0F4-EF8C-40DC-8F25-AFD431A5B002}"/>
    <cellStyle name="汇总 25 3" xfId="25092" xr:uid="{5BD402BA-514D-45E4-9656-A978D50AFDBA}"/>
    <cellStyle name="汇总 26" xfId="7139" xr:uid="{1786EB43-3A78-45DF-9781-44FE58B98710}"/>
    <cellStyle name="汇总 26 2" xfId="25095" xr:uid="{E166C245-71D5-4AD3-B219-85AEC76C41A8}"/>
    <cellStyle name="汇总 26 3" xfId="25094" xr:uid="{AF592417-0A3A-4AFF-A11D-8F5FAD3ABE1E}"/>
    <cellStyle name="汇总 27" xfId="7141" xr:uid="{37E90E85-330D-4E3B-B842-57A16A88A5C7}"/>
    <cellStyle name="汇总 27 2" xfId="25097" xr:uid="{FF3EAD64-6E7C-4003-B6AA-DC9722DA4317}"/>
    <cellStyle name="汇总 27 3" xfId="25096" xr:uid="{8979FFEE-780C-4F0E-BDB3-40D8091525FD}"/>
    <cellStyle name="汇总 28" xfId="7143" xr:uid="{AF66FCCF-9165-4201-AFCE-02070DDA4BD7}"/>
    <cellStyle name="汇总 28 2" xfId="25099" xr:uid="{BF14AA87-10F1-4380-A085-E919CF3A44FD}"/>
    <cellStyle name="汇总 28 3" xfId="25098" xr:uid="{42DC251A-A344-4FCC-BBFB-EE8A2309A77B}"/>
    <cellStyle name="汇总 29" xfId="7145" xr:uid="{84EE3B61-20D3-4C14-B882-08233C83F371}"/>
    <cellStyle name="汇总 29 2" xfId="25101" xr:uid="{7B7F0876-E72D-4111-BDC1-72C4A35417B1}"/>
    <cellStyle name="汇总 29 3" xfId="25100" xr:uid="{98C7C943-146C-4417-A0A0-B675AD0E691C}"/>
    <cellStyle name="汇总 3" xfId="7147" xr:uid="{AB334FCB-276B-4BE2-B2BD-FFD3EAC0BCA3}"/>
    <cellStyle name="汇总 3 10" xfId="7150" xr:uid="{A9AD91B1-E6A3-4AB2-8E21-FF6C6BADA891}"/>
    <cellStyle name="汇总 3 11" xfId="25102" xr:uid="{A10B800E-C222-4BAB-9F66-C4B97CF8BBD7}"/>
    <cellStyle name="汇总 3 2" xfId="7151" xr:uid="{011A31A9-0FD6-4756-9FF2-9785BEE141F5}"/>
    <cellStyle name="汇总 3 2 2" xfId="7152" xr:uid="{E4652B58-D5DA-4B82-9518-CACD29742EA7}"/>
    <cellStyle name="汇总 3 2 2 2" xfId="7155" xr:uid="{6572F0B8-7E70-4743-9B0F-E46878101D16}"/>
    <cellStyle name="汇总 3 2 2 2 2" xfId="7156" xr:uid="{CCBD5028-5C3E-4E70-9D35-5CBC4C1D6D34}"/>
    <cellStyle name="汇总 3 2 2 3" xfId="7157" xr:uid="{A08EFB8A-23E2-4BF2-9AB5-C880254EA626}"/>
    <cellStyle name="汇总 3 2 2 3 2" xfId="7158" xr:uid="{E3DCB041-A75B-4C00-A119-72F8FEBD1071}"/>
    <cellStyle name="汇总 3 2 2 4" xfId="7159" xr:uid="{F8F8C7AA-6A79-4A04-8998-E4108637A7EC}"/>
    <cellStyle name="汇总 3 2 2 4 2" xfId="7160" xr:uid="{A6ACBB54-8410-4C12-8F18-8026A22BF6FA}"/>
    <cellStyle name="汇总 3 2 2 5" xfId="4167" xr:uid="{CD6BD2F1-6889-414F-ACEC-A3EBEB8B51C7}"/>
    <cellStyle name="汇总 3 2 3" xfId="7161" xr:uid="{058C918B-339D-41BD-B95D-2166CB41D501}"/>
    <cellStyle name="汇总 3 2 3 2" xfId="7164" xr:uid="{42AF17B9-5D46-4E54-9FD9-03EF83245034}"/>
    <cellStyle name="汇总 3 2 4" xfId="7165" xr:uid="{05DCA574-4CE2-41A2-ABD2-23AC33181350}"/>
    <cellStyle name="汇总 3 2 4 2" xfId="7168" xr:uid="{65E607F6-C8C3-4364-8121-F6939246A182}"/>
    <cellStyle name="汇总 3 2 5" xfId="7169" xr:uid="{F5320A2F-6422-422E-9BE2-FB1E8EDC9C91}"/>
    <cellStyle name="汇总 3 2 5 2" xfId="7172" xr:uid="{712F3FE0-8296-40CA-910D-6AC1CC301074}"/>
    <cellStyle name="汇总 3 2 6" xfId="7173" xr:uid="{2732B816-969D-4452-B310-6D20640D9364}"/>
    <cellStyle name="汇总 3 2 7" xfId="25103" xr:uid="{39590C91-C8A1-4D44-BA69-A4538AEDEA45}"/>
    <cellStyle name="汇总 3 2 8" xfId="27560" xr:uid="{C145E752-89F4-49EC-A789-EB758A8445BD}"/>
    <cellStyle name="汇总 3 3" xfId="7176" xr:uid="{7133646F-9D0E-4C9D-B233-8F7E2BA66330}"/>
    <cellStyle name="汇总 3 3 2" xfId="7177" xr:uid="{47470CF8-3F47-4943-994D-6929D85371C3}"/>
    <cellStyle name="汇总 3 3 2 2" xfId="7178" xr:uid="{B69D88A9-3112-4B87-832E-0360F6FF4794}"/>
    <cellStyle name="汇总 3 3 2 2 2" xfId="7180" xr:uid="{2A8CA2CC-710E-40C3-9C99-0A41B44A17D2}"/>
    <cellStyle name="汇总 3 3 2 3" xfId="7181" xr:uid="{E35B3106-306F-4C78-9BE3-DF0EB966DC43}"/>
    <cellStyle name="汇总 3 3 2 3 2" xfId="7183" xr:uid="{A1AEC789-9FB7-48C8-807B-25B064626403}"/>
    <cellStyle name="汇总 3 3 2 4" xfId="7184" xr:uid="{A816AC1C-2E65-4902-9195-A906908BB624}"/>
    <cellStyle name="汇总 3 3 2 4 2" xfId="7185" xr:uid="{500474B2-7BF3-49ED-834E-323B023B67E9}"/>
    <cellStyle name="汇总 3 3 2 5" xfId="3887" xr:uid="{74A29068-C259-4DE9-82BE-2C213F9F1B33}"/>
    <cellStyle name="汇总 3 3 2 6" xfId="25105" xr:uid="{BA46CDBF-21E4-46C4-A7F8-E7D88355C791}"/>
    <cellStyle name="汇总 3 3 3" xfId="7186" xr:uid="{FE64E2E3-0904-487B-9C34-F9ABDF7E265F}"/>
    <cellStyle name="汇总 3 3 3 2" xfId="7187" xr:uid="{C3975796-80F0-4AD9-8DFF-866D57627E88}"/>
    <cellStyle name="汇总 3 3 4" xfId="7188" xr:uid="{E1234616-7B0A-450D-B11D-2CD4CFEBE5DF}"/>
    <cellStyle name="汇总 3 3 4 2" xfId="7189" xr:uid="{A6669E6C-4711-4B21-8B0E-A468EB839297}"/>
    <cellStyle name="汇总 3 3 5" xfId="7190" xr:uid="{DD1F09C6-8BBE-4EB7-95DC-C010B3B31BD5}"/>
    <cellStyle name="汇总 3 3 5 2" xfId="7191" xr:uid="{B726C2C8-C775-4256-B80F-D331511EC782}"/>
    <cellStyle name="汇总 3 3 6" xfId="7192" xr:uid="{8FBD9FF8-6B97-4823-B6BA-E345279F5258}"/>
    <cellStyle name="汇总 3 3 7" xfId="25104" xr:uid="{15195C91-3112-472E-8D20-6AEE8DBBD7B6}"/>
    <cellStyle name="汇总 3 3 8" xfId="27561" xr:uid="{835CA5EC-07AF-4A88-9023-7957AEA3D987}"/>
    <cellStyle name="汇总 3 4" xfId="7193" xr:uid="{AF0254AA-E829-4697-BD8D-9649D85B5E47}"/>
    <cellStyle name="汇总 3 4 2" xfId="7194" xr:uid="{0270785D-2FA2-47B1-98B2-331B4C326A34}"/>
    <cellStyle name="汇总 3 4 2 2" xfId="7195" xr:uid="{3AF097C7-1E71-423D-BC2F-2B541FF520A1}"/>
    <cellStyle name="汇总 3 4 2 2 2" xfId="7197" xr:uid="{4471FA6A-474C-403D-BE43-803D594FB0EC}"/>
    <cellStyle name="汇总 3 4 2 3" xfId="7198" xr:uid="{F66906AD-E2D8-4C99-B3C3-8CA279592C4A}"/>
    <cellStyle name="汇总 3 4 2 3 2" xfId="7200" xr:uid="{83D4C08A-6482-474D-9159-0C6ADBABEDFF}"/>
    <cellStyle name="汇总 3 4 2 4" xfId="7201" xr:uid="{5A26B63F-43DF-4BE5-96D9-14E0FA092C86}"/>
    <cellStyle name="汇总 3 4 2 4 2" xfId="7202" xr:uid="{7304C616-0CEC-4FDD-A3C5-FC70E5208681}"/>
    <cellStyle name="汇总 3 4 2 5" xfId="4180" xr:uid="{53CF829F-D724-4234-9199-E328EBDC38DC}"/>
    <cellStyle name="汇总 3 4 3" xfId="7203" xr:uid="{4C262953-4F10-4F21-814A-E3635A00EDD6}"/>
    <cellStyle name="汇总 3 4 3 2" xfId="7204" xr:uid="{7108C22E-596C-45E9-808E-018913ED2288}"/>
    <cellStyle name="汇总 3 4 4" xfId="7205" xr:uid="{938B23F4-670E-4D6E-AEE6-7D252DA926A9}"/>
    <cellStyle name="汇总 3 4 4 2" xfId="7206" xr:uid="{63FF6D20-0CF0-4344-A5EA-279DA7FF8EB8}"/>
    <cellStyle name="汇总 3 4 5" xfId="7207" xr:uid="{63BF844F-6893-4B00-A8A6-A337F3A5EB21}"/>
    <cellStyle name="汇总 3 4 5 2" xfId="7208" xr:uid="{BB1B009A-805F-4DA9-8C75-6671FE0D9E4D}"/>
    <cellStyle name="汇总 3 4 6" xfId="7209" xr:uid="{09B244BE-8EEE-4FD6-9615-7378014600B7}"/>
    <cellStyle name="汇总 3 4 7" xfId="27784" xr:uid="{B5FA9FA5-8AE5-42AF-9D30-103A9AE56E11}"/>
    <cellStyle name="汇总 3 5" xfId="7210" xr:uid="{DFD3E7D8-0D61-4AC1-B904-7419D2AF40D6}"/>
    <cellStyle name="汇总 3 5 2" xfId="7211" xr:uid="{F1C8C064-72E0-4CF1-A4B1-7A80EF1C6461}"/>
    <cellStyle name="汇总 3 5 2 2" xfId="7212" xr:uid="{086BFB1A-1129-4843-8A46-19BE06D388DB}"/>
    <cellStyle name="汇总 3 5 3" xfId="6626" xr:uid="{AB844F24-119F-45F2-8B82-030B0E522625}"/>
    <cellStyle name="汇总 3 5 3 2" xfId="7214" xr:uid="{2EBA7B07-D7AA-4D38-A6ED-25E5CB0D6B39}"/>
    <cellStyle name="汇总 3 5 4" xfId="7215" xr:uid="{1FD29A73-5F98-4A4D-8E90-7717EEEF0EB1}"/>
    <cellStyle name="汇总 3 5 4 2" xfId="7216" xr:uid="{567D91C2-0E59-432A-8E6E-7BE69F12E50F}"/>
    <cellStyle name="汇总 3 5 5" xfId="7217" xr:uid="{6C40574E-4218-4184-8B4E-0DFBE152A562}"/>
    <cellStyle name="汇总 3 6" xfId="7218" xr:uid="{0865BB81-B1E7-4640-9757-6E0F96C4FC19}"/>
    <cellStyle name="汇总 3 6 2" xfId="7219" xr:uid="{87782412-C8DF-4A12-A999-194480554CE7}"/>
    <cellStyle name="汇总 3 7" xfId="7220" xr:uid="{CA5339AB-0D83-4EBC-9729-81D51A8CB39D}"/>
    <cellStyle name="汇总 3 7 2" xfId="7221" xr:uid="{5E4EDE85-10AA-42DD-A201-9E6C738A2911}"/>
    <cellStyle name="汇总 3 8" xfId="7224" xr:uid="{CF18A732-D924-4E70-95A6-BE8BB634C28F}"/>
    <cellStyle name="汇总 3 8 2" xfId="7225" xr:uid="{8246F06A-E59F-467A-B774-0B18F5F78ADE}"/>
    <cellStyle name="汇总 3 9" xfId="7226" xr:uid="{41D21946-EB6B-4EFA-B7DF-DB9D1167C311}"/>
    <cellStyle name="汇总 3_动力部" xfId="25106" xr:uid="{8EB726C4-0A10-4DC3-9387-E8C410A78DBE}"/>
    <cellStyle name="汇总 30" xfId="7138" xr:uid="{33048D42-C125-4FFF-AAD7-A1E8BBE8F45E}"/>
    <cellStyle name="汇总 30 2" xfId="25108" xr:uid="{F5D7D57F-87C9-467B-B238-F835AC96A163}"/>
    <cellStyle name="汇总 30 3" xfId="25107" xr:uid="{3CE419C2-8486-4FBE-993B-BF1ADF72E703}"/>
    <cellStyle name="汇总 31" xfId="7140" xr:uid="{FAE80222-0010-4571-8A26-B84273E12785}"/>
    <cellStyle name="汇总 31 2" xfId="25110" xr:uid="{BEB6DF18-8D8A-43EF-A4B9-FC625FA48588}"/>
    <cellStyle name="汇总 31 3" xfId="25109" xr:uid="{8A31D87E-8B95-4D93-82FA-FBA3F7DDDF35}"/>
    <cellStyle name="汇总 32" xfId="7142" xr:uid="{85A32B94-48AB-487D-803D-AE408E1CC2D7}"/>
    <cellStyle name="汇总 32 2" xfId="25112" xr:uid="{0388B364-CAA1-4F03-B05A-DDC6916CAA35}"/>
    <cellStyle name="汇总 32 3" xfId="25111" xr:uid="{5059F243-A530-4E1C-9865-612657685EC1}"/>
    <cellStyle name="汇总 33" xfId="7144" xr:uid="{097A9A2C-874D-4A8A-B9B1-9C33B3E66B3E}"/>
    <cellStyle name="汇总 33 2" xfId="25114" xr:uid="{8622F64F-9F6A-42EA-AC44-ED3E4AE80EAC}"/>
    <cellStyle name="汇总 33 3" xfId="25113" xr:uid="{CF3507D0-5BDC-4CC2-97ED-6D7C7CDB54C7}"/>
    <cellStyle name="汇总 34" xfId="7146" xr:uid="{32B81417-CA06-475D-AACD-46404910A898}"/>
    <cellStyle name="汇总 34 2" xfId="25116" xr:uid="{EE62CA4D-BAD7-4679-A103-B32076433666}"/>
    <cellStyle name="汇总 34 3" xfId="25115" xr:uid="{2A9CEF19-FEDC-4F71-A17A-C25F919C8947}"/>
    <cellStyle name="汇总 35" xfId="7227" xr:uid="{AA824ADB-1D23-40D8-B985-8944EB4AAB0C}"/>
    <cellStyle name="汇总 35 2" xfId="25118" xr:uid="{6DDB2B4D-939E-4E27-BEE8-535312112281}"/>
    <cellStyle name="汇总 35 3" xfId="25117" xr:uid="{76528F0F-2769-49B3-90CD-D043C07816D8}"/>
    <cellStyle name="汇总 36" xfId="7229" xr:uid="{0326D52A-5444-48C9-A5F5-2084C93AE16E}"/>
    <cellStyle name="汇总 36 2" xfId="25120" xr:uid="{AEEB1137-37AA-498A-AB74-4E142C1E6D94}"/>
    <cellStyle name="汇总 36 3" xfId="25119" xr:uid="{70859952-96C1-4C7F-9A09-ADFF6F36B6ED}"/>
    <cellStyle name="汇总 37" xfId="7231" xr:uid="{8AA9A833-77D4-419A-B1AC-5BEE0BD2EA1E}"/>
    <cellStyle name="汇总 37 2" xfId="25122" xr:uid="{29862049-7FA1-4E5B-A3BC-7BA79D5100CF}"/>
    <cellStyle name="汇总 37 3" xfId="25121" xr:uid="{FB27B712-9395-4F7F-AF96-8857A9AC41EC}"/>
    <cellStyle name="汇总 38" xfId="7233" xr:uid="{3DC300FD-B1C5-482E-910C-6D3A640E99CA}"/>
    <cellStyle name="汇总 38 2" xfId="25124" xr:uid="{ACE4AF88-0094-4CA0-9752-436317021137}"/>
    <cellStyle name="汇总 38 3" xfId="25123" xr:uid="{DAAA498A-D921-4073-94A4-61D802F2A8B1}"/>
    <cellStyle name="汇总 39" xfId="7235" xr:uid="{3F84CC70-5E25-4C2F-BCA4-F3D902339DF6}"/>
    <cellStyle name="汇总 39 2" xfId="25126" xr:uid="{6DF5FDCE-526D-4E05-87C4-BAC8A81629F5}"/>
    <cellStyle name="汇总 39 3" xfId="25125" xr:uid="{5483458C-8C5D-46E8-BCB9-CC9DDE0A9C10}"/>
    <cellStyle name="汇总 4" xfId="7237" xr:uid="{52C1C758-A751-4935-8815-8BBDEC705345}"/>
    <cellStyle name="汇总 4 10" xfId="7240" xr:uid="{4342C347-1C84-416A-92E4-9EFAE36DF703}"/>
    <cellStyle name="汇总 4 11" xfId="25127" xr:uid="{D254CE34-5013-4A3D-ACFA-568C23A8FFBF}"/>
    <cellStyle name="汇总 4 2" xfId="7241" xr:uid="{F5B4A28E-753E-4C0A-9EA6-D533A77A6F88}"/>
    <cellStyle name="汇总 4 2 2" xfId="7242" xr:uid="{C3936658-9EBF-4810-ABD6-D6019C15100B}"/>
    <cellStyle name="汇总 4 2 2 2" xfId="7245" xr:uid="{EE151C17-76C5-4032-AB94-EED09A4F63F1}"/>
    <cellStyle name="汇总 4 2 2 2 2" xfId="7246" xr:uid="{A67C0913-E3FC-49BC-A399-C964495EBEAB}"/>
    <cellStyle name="汇总 4 2 2 3" xfId="7247" xr:uid="{3CCAF6E1-71A1-44F0-BB46-272E7C71F879}"/>
    <cellStyle name="汇总 4 2 2 3 2" xfId="7248" xr:uid="{A8E6E048-765E-4948-9883-7C8C3A9B2297}"/>
    <cellStyle name="汇总 4 2 2 4" xfId="7249" xr:uid="{02143D5A-3980-46E7-9366-A49E363CEDB1}"/>
    <cellStyle name="汇总 4 2 2 4 2" xfId="7250" xr:uid="{4ABD72A1-4B48-4F64-BDA8-D5262677DBAC}"/>
    <cellStyle name="汇总 4 2 2 5" xfId="3711" xr:uid="{C37C58A6-BD7F-439E-BE08-BFED4F75F509}"/>
    <cellStyle name="汇总 4 2 2 6" xfId="25129" xr:uid="{581A8465-CE33-434C-B57F-4085449E2B9D}"/>
    <cellStyle name="汇总 4 2 3" xfId="7251" xr:uid="{198279A7-F5AC-4F3D-96F3-7C6B8AB77782}"/>
    <cellStyle name="汇总 4 2 3 2" xfId="7254" xr:uid="{DBCAEEB9-20D4-4748-8224-B23DFE611E48}"/>
    <cellStyle name="汇总 4 2 4" xfId="7255" xr:uid="{51F04E3D-643B-4709-B28C-2143DE7B08CF}"/>
    <cellStyle name="汇总 4 2 4 2" xfId="7258" xr:uid="{26E2D2C9-27BA-4232-8A1C-328142E21C26}"/>
    <cellStyle name="汇总 4 2 5" xfId="7259" xr:uid="{A6FCD2E4-B274-44E4-8FB8-0E2A5F3EBB89}"/>
    <cellStyle name="汇总 4 2 5 2" xfId="4235" xr:uid="{C10D129F-B0E0-4AF5-91E8-5510931DC21A}"/>
    <cellStyle name="汇总 4 2 6" xfId="7262" xr:uid="{B9C34220-139F-4074-AE14-39E839709C59}"/>
    <cellStyle name="汇总 4 2 7" xfId="25128" xr:uid="{A7941222-E497-4DB9-82A6-BCD1A1F70DBC}"/>
    <cellStyle name="汇总 4 3" xfId="7265" xr:uid="{A1A48F84-F5A8-4D1D-A885-4B1FA2C16739}"/>
    <cellStyle name="汇总 4 3 2" xfId="7266" xr:uid="{8C76CF77-EB8A-4698-AFCC-A081FD655E61}"/>
    <cellStyle name="汇总 4 3 2 2" xfId="7267" xr:uid="{0192F5B6-CE65-405E-8ECD-7F0C06FDB767}"/>
    <cellStyle name="汇总 4 3 2 2 2" xfId="7268" xr:uid="{CBC174BC-326D-4D3B-A45B-54BE8DAE5EC4}"/>
    <cellStyle name="汇总 4 3 2 3" xfId="7269" xr:uid="{66E280DE-716F-41DC-8593-84DABCF4C626}"/>
    <cellStyle name="汇总 4 3 2 3 2" xfId="7270" xr:uid="{47050C5C-E245-4039-8374-243EEEAE4DEC}"/>
    <cellStyle name="汇总 4 3 2 4" xfId="7271" xr:uid="{1665B33A-23A0-4641-868B-F53D3981575E}"/>
    <cellStyle name="汇总 4 3 2 4 2" xfId="7272" xr:uid="{8F2D8967-2AA2-4E1D-8A63-C1FAD631F920}"/>
    <cellStyle name="汇总 4 3 2 5" xfId="3715" xr:uid="{9265EDC7-3D6C-44FC-B8A0-0A7D84E1BB9C}"/>
    <cellStyle name="汇总 4 3 3" xfId="7273" xr:uid="{A525F996-9857-4F73-8AE3-E7ABC5CF32D7}"/>
    <cellStyle name="汇总 4 3 3 2" xfId="7274" xr:uid="{62B9E2E5-EBA3-4F6C-9DB8-4F4929714B72}"/>
    <cellStyle name="汇总 4 3 4" xfId="7275" xr:uid="{0AC33E82-8031-47B1-A1CC-454DBC1D3016}"/>
    <cellStyle name="汇总 4 3 4 2" xfId="7276" xr:uid="{A3694CA3-C211-401C-B20C-F0C5497E9CBC}"/>
    <cellStyle name="汇总 4 3 5" xfId="7277" xr:uid="{BC74AE29-4FB9-4390-8170-4E2F87986700}"/>
    <cellStyle name="汇总 4 3 5 2" xfId="4335" xr:uid="{A71244C2-4C71-4C4D-9561-455CC49B93E0}"/>
    <cellStyle name="汇总 4 3 6" xfId="7278" xr:uid="{C62BDAED-FE93-4B29-A8BD-22E623790074}"/>
    <cellStyle name="汇总 4 4" xfId="7279" xr:uid="{874CA5DA-EAC3-4E99-ADB9-622A0767E829}"/>
    <cellStyle name="汇总 4 4 2" xfId="7280" xr:uid="{FC2A33C3-159B-48E6-9B3F-1DA6F3785607}"/>
    <cellStyle name="汇总 4 4 2 2" xfId="7281" xr:uid="{448D49A1-C15E-4DCD-8257-1B1F9EAA82A0}"/>
    <cellStyle name="汇总 4 4 2 2 2" xfId="7282" xr:uid="{60AD3150-959F-4C01-934A-EA50376E9824}"/>
    <cellStyle name="汇总 4 4 2 3" xfId="7285" xr:uid="{5FA21DE3-BD9D-4D42-943A-DD004BEF3FF9}"/>
    <cellStyle name="汇总 4 4 2 3 2" xfId="7286" xr:uid="{F278FF24-C2A6-45F7-815B-CC9D95D83B1B}"/>
    <cellStyle name="汇总 4 4 2 4" xfId="7287" xr:uid="{F21EFDBB-59F8-4830-82BB-4D42A809B534}"/>
    <cellStyle name="汇总 4 4 2 4 2" xfId="7288" xr:uid="{91019201-A643-40C8-A4B6-FE2A6C15472E}"/>
    <cellStyle name="汇总 4 4 2 5" xfId="3726" xr:uid="{CC3E1BD5-125E-4343-85DE-D00A6F0A48EA}"/>
    <cellStyle name="汇总 4 4 3" xfId="7289" xr:uid="{E8942C15-D902-4B0D-BD94-B26E844AFD7D}"/>
    <cellStyle name="汇总 4 4 3 2" xfId="7290" xr:uid="{EC3F0D21-75A8-4035-9DE1-E1ADA3A3D550}"/>
    <cellStyle name="汇总 4 4 4" xfId="7291" xr:uid="{5FD84F38-7D79-48F8-A274-74FC3CA801B9}"/>
    <cellStyle name="汇总 4 4 4 2" xfId="7292" xr:uid="{0D56454D-A081-4901-A495-1AB9641524FB}"/>
    <cellStyle name="汇总 4 4 5" xfId="7293" xr:uid="{BBFF2A35-5F9F-4892-B232-F46E07D7664C}"/>
    <cellStyle name="汇总 4 4 5 2" xfId="3299" xr:uid="{37D00FF2-24DA-466F-A99A-50ABC834A345}"/>
    <cellStyle name="汇总 4 4 6" xfId="7294" xr:uid="{10CB7FB4-B6F0-45C2-A639-FAE06A2DA5DE}"/>
    <cellStyle name="汇总 4 5" xfId="7295" xr:uid="{81B14EC2-DEBF-4964-9E9F-0399EA2B9311}"/>
    <cellStyle name="汇总 4 5 2" xfId="7296" xr:uid="{EABC68D2-EC95-4318-A5D9-DC747BFB578D}"/>
    <cellStyle name="汇总 4 5 2 2" xfId="7297" xr:uid="{6E785978-B473-4E19-B03B-2E7289FA33F9}"/>
    <cellStyle name="汇总 4 5 3" xfId="7298" xr:uid="{595851D0-D289-4BCD-9328-8BE83CC0F7CC}"/>
    <cellStyle name="汇总 4 5 3 2" xfId="7299" xr:uid="{7699DDF8-CA25-41E2-AC08-682B573A3BFB}"/>
    <cellStyle name="汇总 4 5 4" xfId="7300" xr:uid="{878C3950-B1CA-4B06-B9D1-71865385BDD2}"/>
    <cellStyle name="汇总 4 5 4 2" xfId="7301" xr:uid="{79142298-19ED-4EBF-A9A7-CF93DE97D969}"/>
    <cellStyle name="汇总 4 5 5" xfId="7302" xr:uid="{C3CDC39A-4AD9-47DE-9D19-3432191E100F}"/>
    <cellStyle name="汇总 4 6" xfId="7303" xr:uid="{562A4C47-7A61-4BCC-B364-DF73CC73B572}"/>
    <cellStyle name="汇总 4 6 2" xfId="7304" xr:uid="{36BFD805-D764-4C0A-AB03-C305E5C58165}"/>
    <cellStyle name="汇总 4 7" xfId="7305" xr:uid="{D06585AA-82BD-4AFF-A68B-01E353D17520}"/>
    <cellStyle name="汇总 4 7 2" xfId="7306" xr:uid="{3F783B4D-C971-4519-8389-30BF42B02DF3}"/>
    <cellStyle name="汇总 4 8" xfId="7307" xr:uid="{325EACE0-7260-4354-BA5C-4725E3DECEA0}"/>
    <cellStyle name="汇总 4 8 2" xfId="7308" xr:uid="{8EC18595-7E11-48BE-91DC-B195D6FC14B2}"/>
    <cellStyle name="汇总 4 9" xfId="7309" xr:uid="{3C4B7F5D-FED7-4A4F-B695-52533D7AA5AD}"/>
    <cellStyle name="汇总 40" xfId="7228" xr:uid="{8C63345C-9FB9-4F4D-8B18-2AC39348094F}"/>
    <cellStyle name="汇总 40 2" xfId="25131" xr:uid="{D803F9B3-9BF8-42C7-A97D-77A5EA2297B0}"/>
    <cellStyle name="汇总 40 3" xfId="25130" xr:uid="{755BC9F9-7BAB-49EA-933F-5FDFEE05A8D0}"/>
    <cellStyle name="汇总 41" xfId="7230" xr:uid="{7798E79D-5BE8-44F9-8516-50737E0DB98B}"/>
    <cellStyle name="汇总 41 2" xfId="25133" xr:uid="{A2EBF194-1F36-4B00-A5F3-576014BC9C8C}"/>
    <cellStyle name="汇总 41 3" xfId="25132" xr:uid="{62D1D3A7-00A5-4608-8F61-74445BA91C75}"/>
    <cellStyle name="汇总 42" xfId="7232" xr:uid="{83FBD5A5-652D-4DA8-B1F2-A55A416CD10E}"/>
    <cellStyle name="汇总 42 2" xfId="25135" xr:uid="{71D7C06E-F1B5-4367-A654-5BAE26F2EB43}"/>
    <cellStyle name="汇总 42 3" xfId="25134" xr:uid="{246417C4-3362-4F96-80F6-E162BC735B29}"/>
    <cellStyle name="汇总 43" xfId="7234" xr:uid="{0D20A015-8B2E-4F2A-BE57-60079E2D466A}"/>
    <cellStyle name="汇总 43 2" xfId="25137" xr:uid="{2D193B97-3E68-45F6-A669-06299E109B98}"/>
    <cellStyle name="汇总 43 3" xfId="25136" xr:uid="{C2C365FD-6B12-45CD-8D0F-A80084C0C5C6}"/>
    <cellStyle name="汇总 44" xfId="7236" xr:uid="{D5DDFA0B-D46C-4992-8599-3B617851AFA7}"/>
    <cellStyle name="汇总 44 2" xfId="25139" xr:uid="{44037723-1783-49B0-88F9-C99A702BE863}"/>
    <cellStyle name="汇总 44 3" xfId="25138" xr:uid="{FFD9D069-E628-4D33-A3CC-CAA0BC0804EF}"/>
    <cellStyle name="汇总 45" xfId="7310" xr:uid="{36952DD9-25BE-47E9-B583-4631C413DDBF}"/>
    <cellStyle name="汇总 45 2" xfId="25141" xr:uid="{A33A380E-2E6D-4B27-9002-73C6A1DB2A96}"/>
    <cellStyle name="汇总 45 3" xfId="25140" xr:uid="{2B06B85E-F2F8-45F8-B107-25FB5EDDCF4A}"/>
    <cellStyle name="汇总 46" xfId="7312" xr:uid="{16E2C84F-F25F-4863-81D4-4C37FF66CC45}"/>
    <cellStyle name="汇总 46 2" xfId="25143" xr:uid="{8AAFCEAD-45AA-4626-BC97-FC938E382A78}"/>
    <cellStyle name="汇总 46 3" xfId="25142" xr:uid="{DD0DF7BA-149F-4284-8ECA-4EC0EDA7CB94}"/>
    <cellStyle name="汇总 47" xfId="7314" xr:uid="{7C009FCF-78D2-459A-B01C-A7499044A328}"/>
    <cellStyle name="汇总 47 2" xfId="25144" xr:uid="{FA5B4B84-86EC-45E0-A9CC-ABEAEF3C9350}"/>
    <cellStyle name="汇总 48" xfId="7316" xr:uid="{754ACAE7-090C-4DF8-8F23-DE07644FBAED}"/>
    <cellStyle name="汇总 48 2" xfId="25145" xr:uid="{0ED4B30F-EC55-4411-92E1-CE2891B26466}"/>
    <cellStyle name="汇总 49" xfId="7319" xr:uid="{65F7AB74-CD0D-4C15-A10B-73B1DD8AA31A}"/>
    <cellStyle name="汇总 49 2" xfId="25146" xr:uid="{632A3DE9-588E-48E1-B64B-B6242D1585C1}"/>
    <cellStyle name="汇总 5" xfId="7321" xr:uid="{2EE311C8-72FF-4F60-8FEB-13515E20401B}"/>
    <cellStyle name="汇总 5 10" xfId="7324" xr:uid="{82826021-A4D7-49FB-BCBC-727BF7E595DB}"/>
    <cellStyle name="汇总 5 11" xfId="25147" xr:uid="{89EA5C07-205A-464A-9F6B-7A53396D5641}"/>
    <cellStyle name="汇总 5 2" xfId="7325" xr:uid="{58CEE743-E601-4D2E-A0B7-65503380188D}"/>
    <cellStyle name="汇总 5 2 2" xfId="48" xr:uid="{7CD39EF5-B085-4419-91BD-AD039EB98127}"/>
    <cellStyle name="汇总 5 2 2 2" xfId="7326" xr:uid="{8B9EEE1B-85FB-4F08-9EF7-BBF5690E442D}"/>
    <cellStyle name="汇总 5 2 2 2 2" xfId="473" xr:uid="{9CB8BC76-2C44-40AA-9DF8-E38D8AA2CAF1}"/>
    <cellStyle name="汇总 5 2 2 3" xfId="7327" xr:uid="{8B0051FA-DC37-436C-ABC5-A801F41B83F2}"/>
    <cellStyle name="汇总 5 2 2 3 2" xfId="7328" xr:uid="{27EB95CC-F5C7-458E-B169-060E80DE85D4}"/>
    <cellStyle name="汇总 5 2 2 4" xfId="7329" xr:uid="{5265741A-76A2-426B-AEE6-8390F7E9EDAF}"/>
    <cellStyle name="汇总 5 2 2 4 2" xfId="7330" xr:uid="{F44BBB29-1F99-4232-84B9-126BEED1B166}"/>
    <cellStyle name="汇总 5 2 2 5" xfId="1297" xr:uid="{F8493250-0E59-4825-A7F1-6612F914027A}"/>
    <cellStyle name="汇总 5 2 3" xfId="7331" xr:uid="{9010E2C3-40A1-4C56-B935-8A1387EEBB88}"/>
    <cellStyle name="汇总 5 2 3 2" xfId="7332" xr:uid="{4CCE906E-0799-4DD1-970A-58FF88AC494B}"/>
    <cellStyle name="汇总 5 2 4" xfId="7333" xr:uid="{C1E5DF43-9DB7-4F8C-9581-779AC62C4457}"/>
    <cellStyle name="汇总 5 2 4 2" xfId="7334" xr:uid="{4CD5197F-C40B-4B4A-A0A3-71B33835735E}"/>
    <cellStyle name="汇总 5 2 5" xfId="7335" xr:uid="{9D0CAB41-7B0F-4FF6-BC58-F7ECDD716F8C}"/>
    <cellStyle name="汇总 5 2 5 2" xfId="7336" xr:uid="{D8C1BD1E-DC1C-4DA5-AF11-A3E1608984B7}"/>
    <cellStyle name="汇总 5 2 6" xfId="7337" xr:uid="{00FF5B80-148B-4E5E-969A-7F74683579BA}"/>
    <cellStyle name="汇总 5 2 7" xfId="25148" xr:uid="{8CDE4646-2524-44A7-95E3-BAFCF7F1CF70}"/>
    <cellStyle name="汇总 5 3" xfId="7338" xr:uid="{E4E31C65-99C5-43C2-8825-4D3C0EA0D640}"/>
    <cellStyle name="汇总 5 3 2" xfId="7339" xr:uid="{1BE8EFF6-27B1-47E2-A585-35C59580EBB3}"/>
    <cellStyle name="汇总 5 3 2 2" xfId="7340" xr:uid="{6D1A479D-D06D-4D05-BA29-DC9F01EE3475}"/>
    <cellStyle name="汇总 5 3 2 2 2" xfId="7341" xr:uid="{3C435392-242F-42EE-AED2-AC6C21077470}"/>
    <cellStyle name="汇总 5 3 2 3" xfId="7344" xr:uid="{EECDB8F3-E7F3-4ECF-8027-1FF5F6928281}"/>
    <cellStyle name="汇总 5 3 2 3 2" xfId="7345" xr:uid="{AB30A5F9-655B-4B44-A9C7-A6599E90976D}"/>
    <cellStyle name="汇总 5 3 2 4" xfId="7347" xr:uid="{BF511E48-DD83-4226-821E-509C2A712134}"/>
    <cellStyle name="汇总 5 3 2 4 2" xfId="7348" xr:uid="{77CE12DE-7F0B-41ED-9E7A-F01F209E6D4C}"/>
    <cellStyle name="汇总 5 3 2 5" xfId="3681" xr:uid="{CAA3E973-68EB-4CF7-8E7E-F4D964F96F6F}"/>
    <cellStyle name="汇总 5 3 3" xfId="7349" xr:uid="{BDBA4E1A-9B49-44C0-B556-C8F928F5B604}"/>
    <cellStyle name="汇总 5 3 3 2" xfId="7350" xr:uid="{00A2A546-8D93-479E-93C4-CE3F7EF64B9F}"/>
    <cellStyle name="汇总 5 3 4" xfId="7351" xr:uid="{D97A404E-21B4-4353-8CB7-570C8A865D9D}"/>
    <cellStyle name="汇总 5 3 4 2" xfId="7352" xr:uid="{9463AE49-5073-455D-9269-09A0DBBBB89B}"/>
    <cellStyle name="汇总 5 3 5" xfId="7353" xr:uid="{5DC0F995-69BA-4788-836D-D9F538F49A0D}"/>
    <cellStyle name="汇总 5 3 5 2" xfId="7354" xr:uid="{D68C6AAA-5D84-43E4-8217-390E55BCA680}"/>
    <cellStyle name="汇总 5 3 6" xfId="7355" xr:uid="{B720722B-58D7-40EF-BAD8-5128A5548756}"/>
    <cellStyle name="汇总 5 4" xfId="7356" xr:uid="{55E285AA-54E8-4CF4-8E76-B9E3F004E8AA}"/>
    <cellStyle name="汇总 5 4 2" xfId="7357" xr:uid="{115CE763-FAFB-4D77-83F2-8E3D101BDC80}"/>
    <cellStyle name="汇总 5 4 2 2" xfId="7358" xr:uid="{3101BE8C-2869-404E-B645-8ED3B132798A}"/>
    <cellStyle name="汇总 5 4 2 2 2" xfId="7359" xr:uid="{2C330562-AC75-49B0-8BE7-86BD16DD32DC}"/>
    <cellStyle name="汇总 5 4 2 3" xfId="7360" xr:uid="{E5D5EFD1-ACC3-4B8F-9225-AD1B48401725}"/>
    <cellStyle name="汇总 5 4 2 3 2" xfId="7361" xr:uid="{BD3D49DC-1079-4E8E-922B-5F674C71D79A}"/>
    <cellStyle name="汇总 5 4 2 4" xfId="7362" xr:uid="{A95FC73A-0797-45AE-952C-60A436B312B8}"/>
    <cellStyle name="汇总 5 4 2 4 2" xfId="7363" xr:uid="{1004F0AA-814B-4817-AAD6-C2C64C0302B9}"/>
    <cellStyle name="汇总 5 4 2 5" xfId="4399" xr:uid="{685A4567-D38E-4A43-BC05-FB356778BCCB}"/>
    <cellStyle name="汇总 5 4 3" xfId="7364" xr:uid="{AFCA368E-64DF-46EF-83BC-DB6F9813FEE3}"/>
    <cellStyle name="汇总 5 4 3 2" xfId="7365" xr:uid="{2F9AB769-C981-48A5-AC4D-8639C845324C}"/>
    <cellStyle name="汇总 5 4 4" xfId="7366" xr:uid="{1DA139A5-DF5E-488C-840A-135EB0073F46}"/>
    <cellStyle name="汇总 5 4 4 2" xfId="7367" xr:uid="{B0D18A55-61AB-411D-8F42-3F0C007F0847}"/>
    <cellStyle name="汇总 5 4 5" xfId="7368" xr:uid="{2879C0DD-850C-4D3F-BD67-5EFA50EFC9FB}"/>
    <cellStyle name="汇总 5 4 5 2" xfId="7369" xr:uid="{4A22B0F4-8927-458D-8ED5-CA35DE971DB5}"/>
    <cellStyle name="汇总 5 4 6" xfId="7370" xr:uid="{022E7EBF-4F6B-4B6E-AE13-D7D3371E8816}"/>
    <cellStyle name="汇总 5 5" xfId="7371" xr:uid="{E6A370E1-57F1-422E-87D8-7F86F2F8D2A0}"/>
    <cellStyle name="汇总 5 5 2" xfId="7372" xr:uid="{B97303D5-7531-4262-BFD1-3CB7D4574075}"/>
    <cellStyle name="汇总 5 5 2 2" xfId="7373" xr:uid="{FD098E66-512C-4480-8CB5-EEFBD1B46C37}"/>
    <cellStyle name="汇总 5 5 3" xfId="3002" xr:uid="{B007652A-7158-4E0C-8497-3B711D7FCC85}"/>
    <cellStyle name="汇总 5 5 3 2" xfId="3005" xr:uid="{5D26297A-CB7F-4930-BAC4-2A9C52C102AA}"/>
    <cellStyle name="汇总 5 5 4" xfId="3033" xr:uid="{8FD06689-1752-447C-8045-5D8DAED95FB0}"/>
    <cellStyle name="汇总 5 5 4 2" xfId="3036" xr:uid="{767B843F-6DFD-4E5E-8842-9B35E241D0A4}"/>
    <cellStyle name="汇总 5 5 5" xfId="3058" xr:uid="{1937F915-E035-486F-894A-7F93FEFD16E1}"/>
    <cellStyle name="汇总 5 6" xfId="7374" xr:uid="{522C0190-C580-4ED9-9E66-EF685B31E45A}"/>
    <cellStyle name="汇总 5 6 2" xfId="3291" xr:uid="{9B98830B-C16C-4BAC-895D-59547C8D49EC}"/>
    <cellStyle name="汇总 5 7" xfId="7375" xr:uid="{F1E1C718-89CF-4C5B-9145-D5686B62A9B8}"/>
    <cellStyle name="汇总 5 7 2" xfId="7376" xr:uid="{94E9B544-8846-4ACA-B82D-87D178F8D169}"/>
    <cellStyle name="汇总 5 8" xfId="7377" xr:uid="{6E1D5E2A-D0F1-4091-BB21-26CA7D9E1D68}"/>
    <cellStyle name="汇总 5 8 2" xfId="7378" xr:uid="{EF39F30A-1823-4604-A55F-4364928E8861}"/>
    <cellStyle name="汇总 5 9" xfId="7379" xr:uid="{3FB02AC2-2FC4-4A15-9A42-7895F65A98CD}"/>
    <cellStyle name="汇总 50" xfId="7311" xr:uid="{1B8AA0EA-F0AE-457E-9492-0297540BCAB9}"/>
    <cellStyle name="汇总 50 2" xfId="25149" xr:uid="{9DD4A971-C339-4C55-8428-92344B8A8464}"/>
    <cellStyle name="汇总 51" xfId="7313" xr:uid="{468F5CF5-360E-4C89-97A8-5E4CAFECBF12}"/>
    <cellStyle name="汇总 51 2" xfId="25150" xr:uid="{C07BAC7E-9C77-4595-8C07-0B5E9CCB2AAF}"/>
    <cellStyle name="汇总 52" xfId="7315" xr:uid="{A86DDEBC-3225-4668-B8E9-E4DFA00235E8}"/>
    <cellStyle name="汇总 52 2" xfId="25151" xr:uid="{90E40BA2-5631-4C22-808B-8A5DA71B0D46}"/>
    <cellStyle name="汇总 53" xfId="7317" xr:uid="{3883BA1C-6F76-40FE-8AAE-994A5EA7D829}"/>
    <cellStyle name="汇总 53 2" xfId="25152" xr:uid="{992805A1-A43E-4197-BE9B-393C12B4EBDE}"/>
    <cellStyle name="汇总 54" xfId="7320" xr:uid="{6D30BA77-84A9-4A3E-9687-EE50035DB63E}"/>
    <cellStyle name="汇总 54 2" xfId="25153" xr:uid="{EA975EE1-21A4-42F8-8947-AD22FD23480A}"/>
    <cellStyle name="汇总 55" xfId="7380" xr:uid="{029647DD-8509-46F2-84A5-DC3758CEC444}"/>
    <cellStyle name="汇总 55 2" xfId="25154" xr:uid="{F2726D5B-D54E-4D99-B982-2462B51CAF68}"/>
    <cellStyle name="汇总 56" xfId="7382" xr:uid="{48B562EB-142F-4C75-85A1-85A480F395F9}"/>
    <cellStyle name="汇总 56 2" xfId="25155" xr:uid="{3F93650C-073B-4305-A477-ADFA376A9D4E}"/>
    <cellStyle name="汇总 57" xfId="7384" xr:uid="{6E76CEEB-0121-4F21-A523-81BFD693E8B9}"/>
    <cellStyle name="汇总 58" xfId="2215" xr:uid="{4C64163D-BC97-48FA-BA18-C728C93047C2}"/>
    <cellStyle name="汇总 59" xfId="7386" xr:uid="{787D8A86-C479-48DD-96DC-4187D39F8A7D}"/>
    <cellStyle name="汇总 6" xfId="7388" xr:uid="{78E284E7-A627-4AAF-9C04-1B54FB387780}"/>
    <cellStyle name="汇总 6 2" xfId="7391" xr:uid="{7A405772-3BD5-475E-8E44-6ED7B297B9B6}"/>
    <cellStyle name="汇总 6 2 2" xfId="11172" xr:uid="{22EC0F93-3DAA-43CB-965C-A72BD8CD482A}"/>
    <cellStyle name="汇总 6 2 3" xfId="25157" xr:uid="{AAF2EC4D-DFAE-4ACB-9A0A-591FF8323561}"/>
    <cellStyle name="汇总 6 3" xfId="11173" xr:uid="{66E73AEC-A1A4-4F69-ABB5-5276DEACCA90}"/>
    <cellStyle name="汇总 6 4" xfId="11171" xr:uid="{A2DF3E63-24F4-42F8-BDF4-A26C7BD19BB2}"/>
    <cellStyle name="汇总 6 5" xfId="25156" xr:uid="{C564702B-9DC4-4080-B568-8231F94C5EE1}"/>
    <cellStyle name="汇总 60" xfId="7381" xr:uid="{6F6DEA2A-11E7-4691-873F-5EC584003657}"/>
    <cellStyle name="汇总 61" xfId="7383" xr:uid="{4B935C45-95C6-46FE-84F8-B4B0007DBB44}"/>
    <cellStyle name="汇总 62" xfId="7385" xr:uid="{B514ECE0-15EE-4186-806C-D430A86EFC9D}"/>
    <cellStyle name="汇总 63" xfId="2214" xr:uid="{A86EAA42-F10E-4B56-A9B5-AD340BC72C2B}"/>
    <cellStyle name="汇总 64" xfId="7387" xr:uid="{F7148D88-DB28-47D2-9D45-5DBFDE7B0098}"/>
    <cellStyle name="汇总 65" xfId="7392" xr:uid="{69374556-74D6-4F74-A4A5-0A9DB1C40393}"/>
    <cellStyle name="汇总 66" xfId="7394" xr:uid="{857934D2-7419-47B3-92FD-0378F8F8A708}"/>
    <cellStyle name="汇总 67" xfId="7396" xr:uid="{38C23095-EAD4-41D3-B6D7-E3B93635D43C}"/>
    <cellStyle name="汇总 68" xfId="7398" xr:uid="{24E302C0-B6E9-437D-9FC2-D6FB406C3F7C}"/>
    <cellStyle name="汇总 69" xfId="7400" xr:uid="{2BB874BE-619C-4A38-BBBF-8A2BE01925A8}"/>
    <cellStyle name="汇总 7" xfId="7402" xr:uid="{42ADB171-A1BD-4A66-9D2F-954A08CFBFE4}"/>
    <cellStyle name="汇总 7 2" xfId="7405" xr:uid="{CE6EB3A3-439A-494C-A583-2F99ACDE1864}"/>
    <cellStyle name="汇总 7 2 2" xfId="11175" xr:uid="{E28A341A-5280-4679-9577-ADD6ED6C81AB}"/>
    <cellStyle name="汇总 7 2 3" xfId="25159" xr:uid="{09CD0645-7510-4029-A8A7-20E23E1101EE}"/>
    <cellStyle name="汇总 7 3" xfId="11176" xr:uid="{749DD901-C791-4548-AD7A-1FB0FCE38E1B}"/>
    <cellStyle name="汇总 7 4" xfId="11174" xr:uid="{729E9D46-D977-4A71-9A97-72EE81573DBC}"/>
    <cellStyle name="汇总 7 5" xfId="25158" xr:uid="{A1EC8B84-74B9-43AA-BCE6-F8E0BA649F4B}"/>
    <cellStyle name="汇总 70" xfId="7393" xr:uid="{C27BC148-1549-4A00-AE2F-9E547D92AD84}"/>
    <cellStyle name="汇总 71" xfId="7395" xr:uid="{6E6EE057-A2D4-4913-BDD1-EA1EF7406CE3}"/>
    <cellStyle name="汇总 72" xfId="7397" xr:uid="{6F059BF6-622B-41E5-84D1-92BE59A6003B}"/>
    <cellStyle name="汇总 73" xfId="7399" xr:uid="{1F60776E-7D37-4FB5-A3AA-DF073E87E76C}"/>
    <cellStyle name="汇总 74" xfId="7401" xr:uid="{2ED0A6E7-F2EE-4CAD-8E22-3A6D52F8136E}"/>
    <cellStyle name="汇总 75" xfId="7406" xr:uid="{E84293D1-4394-487A-8654-7F6A777A81E1}"/>
    <cellStyle name="汇总 76" xfId="7408" xr:uid="{19575AA5-626F-4585-B208-6A7F027DE753}"/>
    <cellStyle name="汇总 77" xfId="7410" xr:uid="{C95E852C-76AC-4714-AA8F-2B2BADDB2B26}"/>
    <cellStyle name="汇总 78" xfId="7412" xr:uid="{E2301855-6C5F-43FC-A656-D2DFB4825730}"/>
    <cellStyle name="汇总 79" xfId="1680" xr:uid="{E0D55F01-67E2-45E5-9AD4-F06067661ACF}"/>
    <cellStyle name="汇总 8" xfId="7112" xr:uid="{6DA2DD1B-20E6-47A4-8F07-0054E7AD5A88}"/>
    <cellStyle name="汇总 8 2" xfId="7414" xr:uid="{D438CAD5-7860-4005-9B2E-630015D6C5A9}"/>
    <cellStyle name="汇总 8 2 2" xfId="11178" xr:uid="{FD0F50AA-6077-4656-BF91-E489B8EB3BC8}"/>
    <cellStyle name="汇总 8 2 3" xfId="25161" xr:uid="{66C17044-4A5F-4C0F-B4C6-A26BCC22AB7C}"/>
    <cellStyle name="汇总 8 3" xfId="11179" xr:uid="{940725FB-8F0D-4118-BE32-47C27359906F}"/>
    <cellStyle name="汇总 8 4" xfId="11177" xr:uid="{88F6272C-CC08-4561-8D38-08853E3F1C5B}"/>
    <cellStyle name="汇总 8 5" xfId="25160" xr:uid="{D320A062-5154-44EB-9419-1658310D217D}"/>
    <cellStyle name="汇总 80" xfId="7407" xr:uid="{ECD5D4BB-1FC5-4F2C-922C-9A04266196FD}"/>
    <cellStyle name="汇总 81" xfId="7409" xr:uid="{D35B0A66-63FE-4AD9-B4BB-A89CF785EE28}"/>
    <cellStyle name="汇总 82" xfId="7411" xr:uid="{DA75A49D-08B0-4AFC-9328-4FD00A00656B}"/>
    <cellStyle name="汇总 83" xfId="7413" xr:uid="{ABBEEDC9-E1E0-4CEB-B5C7-7809CFB13BD3}"/>
    <cellStyle name="汇总 84" xfId="1679" xr:uid="{157EFFF1-8C89-40F8-8F87-E759F7DE50B2}"/>
    <cellStyle name="汇总 85" xfId="7415" xr:uid="{2020AD25-07E9-4AF8-9B86-8B676F39C223}"/>
    <cellStyle name="汇总 86" xfId="9335" xr:uid="{8C3FDFF5-69AF-4A2D-ABD3-457ABD769F15}"/>
    <cellStyle name="汇总 87" xfId="13592" xr:uid="{C03EA10D-126F-4158-95EC-B7EAB29A7E57}"/>
    <cellStyle name="汇总 88" xfId="27166" xr:uid="{7E0E902B-A9E1-44BA-8478-05A8AFCCED67}"/>
    <cellStyle name="汇总 89" xfId="27241" xr:uid="{C9E8AB64-D877-4C0C-A231-BF566515A185}"/>
    <cellStyle name="汇总 9" xfId="7416" xr:uid="{BCDDE407-FAE2-4238-81F7-DAE5E2CEBA91}"/>
    <cellStyle name="汇总 9 2" xfId="11181" xr:uid="{8935061D-3006-4D09-8C24-B63BE8D8E318}"/>
    <cellStyle name="汇总 9 2 2" xfId="25163" xr:uid="{CFE5E700-E4D7-4674-9710-E26196C8B489}"/>
    <cellStyle name="汇总 9 3" xfId="11182" xr:uid="{621BC314-2D1C-4B1A-9B0D-D123F00653F9}"/>
    <cellStyle name="汇总 9 4" xfId="11180" xr:uid="{551FD8A5-957E-42A1-8F40-8D3F3AC79BFD}"/>
    <cellStyle name="汇总 9 5" xfId="25162" xr:uid="{9D710A08-F679-4098-A2E4-2B5E068527D5}"/>
    <cellStyle name="汇总 90" xfId="27141" xr:uid="{BC32307E-3202-408C-971C-1CF73F88CEFE}"/>
    <cellStyle name="汇总 91" xfId="7079" xr:uid="{95FD5120-02F6-48C3-8718-8E110D568CF2}"/>
    <cellStyle name="货币 2" xfId="7419" xr:uid="{5089CC32-3856-4E35-93FE-EA4D0AABB243}"/>
    <cellStyle name="货币 2 10" xfId="25164" xr:uid="{9E5E7EFC-5576-43E8-AF33-60529B5E1EEF}"/>
    <cellStyle name="货币 2 11" xfId="27563" xr:uid="{13163D7E-4E68-4052-BB09-877D12D9EA34}"/>
    <cellStyle name="货币 2 12" xfId="27785" xr:uid="{8AE624FC-A78B-4993-AE6C-3D63BCB51A68}"/>
    <cellStyle name="货币 2 2" xfId="7420" xr:uid="{6D1E58AB-32F2-4C68-88A8-35DDE6BCF19C}"/>
    <cellStyle name="货币 2 2 2" xfId="11185" xr:uid="{2F7E29FF-B476-4323-814B-202A8BC536F6}"/>
    <cellStyle name="货币 2 2 3" xfId="11184" xr:uid="{46374D0F-CDAA-4670-B6E7-AE6863B7EADD}"/>
    <cellStyle name="货币 2 2 4" xfId="27564" xr:uid="{CD94EBB2-4FDD-4B39-A451-F97F3CF7C552}"/>
    <cellStyle name="货币 2 2 5" xfId="27786" xr:uid="{BA44DE9E-9398-4C68-949F-D16AA7C6BF47}"/>
    <cellStyle name="货币 2 3" xfId="11186" xr:uid="{C4ABDDE6-B73D-4D7C-8AD5-1887EC2C79DF}"/>
    <cellStyle name="货币 2 3 2" xfId="11187" xr:uid="{F7B86D36-6272-44E3-B0D3-D4EDC4867CFF}"/>
    <cellStyle name="货币 2 3 3" xfId="27565" xr:uid="{88DE8CDF-165C-4B4E-863F-AC26F812332D}"/>
    <cellStyle name="货币 2 4" xfId="11183" xr:uid="{FC22D86E-42A5-4E51-A6AC-C640514227A4}"/>
    <cellStyle name="货币 2 4 2" xfId="25166" xr:uid="{044A259D-3076-41FA-A055-93CD409A0B79}"/>
    <cellStyle name="货币 2 4 3" xfId="25165" xr:uid="{A201B7FD-BA23-4D35-8CEF-7CC42DE3A194}"/>
    <cellStyle name="货币 2 5" xfId="13672" xr:uid="{BB9A5759-CE6C-462F-A996-08827B517A7A}"/>
    <cellStyle name="货币 2 5 2" xfId="25168" xr:uid="{7E85BE08-9046-45CC-B082-91A56AC95519}"/>
    <cellStyle name="货币 2 5 3" xfId="25167" xr:uid="{59DD74B5-5BD7-4314-8D54-95E911E2AD4C}"/>
    <cellStyle name="货币 2 6" xfId="25169" xr:uid="{200D0B99-28F7-4B17-A411-A67656267ED8}"/>
    <cellStyle name="货币 2 6 2" xfId="25170" xr:uid="{6D891452-51CE-499C-A415-58F8BC2F8824}"/>
    <cellStyle name="货币 2 7" xfId="25171" xr:uid="{B55729A8-7471-4F5F-9BD1-96B84F1C7847}"/>
    <cellStyle name="货币 2 7 2" xfId="25172" xr:uid="{D3C88D65-A8B9-448A-B53D-DD852E44FE0B}"/>
    <cellStyle name="货币 2 7 2 2" xfId="25173" xr:uid="{54A7FA04-D01A-433F-8F0E-0D12F946882E}"/>
    <cellStyle name="货币 2 7 3" xfId="25174" xr:uid="{B5F90CA5-B541-440F-86E1-D162E51361BD}"/>
    <cellStyle name="货币 2 8" xfId="25175" xr:uid="{5674CC88-C607-40FD-AD1E-8AC31164D9B6}"/>
    <cellStyle name="货币 2 8 2" xfId="25176" xr:uid="{B4DD1A56-E40B-4255-86D1-4F4B9BAB818D}"/>
    <cellStyle name="货币 2 9" xfId="25177" xr:uid="{BC754776-E7E2-4F68-835D-736FBE7D357B}"/>
    <cellStyle name="货币 2 9 2" xfId="27567" xr:uid="{E07F835E-F797-41B7-9A19-9BAC92CBF7F7}"/>
    <cellStyle name="货币 2 9 3" xfId="27568" xr:uid="{61453583-0231-4A6B-8068-3B406B94385F}"/>
    <cellStyle name="货币 2 9 4" xfId="27566" xr:uid="{68BDC762-1CD4-4768-AADF-4614A2BB0A0B}"/>
    <cellStyle name="货币 3" xfId="7421" xr:uid="{38F56042-E84A-4D8F-90AD-81F036E4DC06}"/>
    <cellStyle name="货币 3 2" xfId="7422" xr:uid="{C14511F7-46F6-4874-AB9B-2BFC499E2CF2}"/>
    <cellStyle name="货币 3 2 2" xfId="11189" xr:uid="{7607E238-0C54-4FF6-A503-5DAA1236A9D1}"/>
    <cellStyle name="货币 3 2 3" xfId="27569" xr:uid="{591322BF-E5AE-40A9-96D1-01B8B0100910}"/>
    <cellStyle name="货币 3 3" xfId="7423" xr:uid="{43B80E17-9F15-43E7-A887-6DFB9D0F73D0}"/>
    <cellStyle name="货币 3 3 2" xfId="27570" xr:uid="{24754A54-E9EA-41A1-A027-A75EF4064AF4}"/>
    <cellStyle name="货币 3 4" xfId="11188" xr:uid="{E7ED5301-BB11-4B25-98D6-BC1BDA0BD121}"/>
    <cellStyle name="货币 3 5" xfId="13673" xr:uid="{5C55F423-E0E9-4EE1-8193-DE8DDB9126F6}"/>
    <cellStyle name="货币 3 6" xfId="25178" xr:uid="{9A02F5B2-0323-43E7-9CDA-2623EF25662C}"/>
    <cellStyle name="货币 4" xfId="2624" xr:uid="{2805F661-0081-4AE9-B816-59A64B2637BB}"/>
    <cellStyle name="货币 4 2" xfId="7424" xr:uid="{582DCCC9-E11F-473B-BA02-29C14317A63B}"/>
    <cellStyle name="货币 4 2 2" xfId="11191" xr:uid="{6082CF5F-B2E3-4352-AE46-CEDABC3F55F9}"/>
    <cellStyle name="货币 4 2 3" xfId="27571" xr:uid="{3E42C498-9FAB-4DD9-9674-DACF40216374}"/>
    <cellStyle name="货币 4 3" xfId="11190" xr:uid="{54FC8976-0CFB-488D-B864-1AB4B41C9A13}"/>
    <cellStyle name="货币 4 3 2" xfId="27572" xr:uid="{869BA3B7-CE8D-4138-AFB1-902CD73D8837}"/>
    <cellStyle name="货币 4 4" xfId="13674" xr:uid="{1214076B-6ADD-444C-8740-705D5770792B}"/>
    <cellStyle name="货币 5" xfId="7425" xr:uid="{1C844D9B-70F5-4216-BEC2-DDBD7D44C658}"/>
    <cellStyle name="货币 5 2" xfId="7426" xr:uid="{F2196D05-B180-4393-8071-2D4370AB1DBE}"/>
    <cellStyle name="货币 5 3" xfId="13675" xr:uid="{E9C3B783-354A-4DCF-908B-2029762A3122}"/>
    <cellStyle name="货币 6" xfId="3467" xr:uid="{0AF44662-6E51-450D-9E94-4644ECFFF1F1}"/>
    <cellStyle name="货币 6 2" xfId="25180" xr:uid="{B86AEB0C-6652-467A-B3D9-1E04AF74EEDC}"/>
    <cellStyle name="货币 6 3" xfId="25179" xr:uid="{0B31C56F-39D4-4DAC-B664-D489C18F9F3C}"/>
    <cellStyle name="货币 7" xfId="27562" xr:uid="{7CA75435-2F15-4D3C-A09B-5ABBFF5ED1F4}"/>
    <cellStyle name="货币[0] 2" xfId="11192" xr:uid="{86DF126B-5F28-420C-B8A8-52E43787009B}"/>
    <cellStyle name="货币[0] 3" xfId="63" xr:uid="{6763AE97-D1C3-4CD8-8CD5-81C83783384E}"/>
    <cellStyle name="貨幣 [0]_laroux" xfId="7427" xr:uid="{0CB35DA0-24FA-4AF0-90FD-991A22D53BB8}"/>
    <cellStyle name="貨幣_laroux" xfId="5888" xr:uid="{2B213067-56E5-4C90-86E5-A68CC2303E2E}"/>
    <cellStyle name="计算" xfId="27816" builtinId="22" customBuiltin="1"/>
    <cellStyle name="计算 10" xfId="7429" xr:uid="{5041418B-53F2-47AD-8BA7-9189EC3D4454}"/>
    <cellStyle name="计算 10 2" xfId="11195" xr:uid="{BD08B25B-2A49-4688-9CD0-425562553BDD}"/>
    <cellStyle name="计算 10 2 2" xfId="25182" xr:uid="{73DC9CAE-DA4A-447D-B4CA-D181715FAF6D}"/>
    <cellStyle name="计算 10 3" xfId="11196" xr:uid="{9916F7DE-9DE3-42C5-B03E-A108553CCB62}"/>
    <cellStyle name="计算 10 4" xfId="11194" xr:uid="{52EC140B-4D43-416C-A1B4-42B35664F29F}"/>
    <cellStyle name="计算 10 5" xfId="25181" xr:uid="{78753372-2FD6-49EC-B48D-5AD0005894BA}"/>
    <cellStyle name="计算 11" xfId="7430" xr:uid="{FA6036D9-2653-48D6-9789-494B3F49F214}"/>
    <cellStyle name="计算 11 2" xfId="11198" xr:uid="{D9C98B95-6897-498F-B6E2-F9BF66478069}"/>
    <cellStyle name="计算 11 2 2" xfId="25184" xr:uid="{CBD25CC2-3155-4558-9EFF-C9B21D1FBA3F}"/>
    <cellStyle name="计算 11 3" xfId="11199" xr:uid="{9C650D53-4E1C-46D2-8018-A809A4A973B7}"/>
    <cellStyle name="计算 11 4" xfId="11197" xr:uid="{F8F5A348-E6D0-49D7-BC98-94E34BE45CFF}"/>
    <cellStyle name="计算 11 5" xfId="25183" xr:uid="{FD8FA2D9-215A-4FAC-A008-4BAFAC1D7C51}"/>
    <cellStyle name="计算 12" xfId="3915" xr:uid="{7DB2610A-D4B7-4D13-AC39-1A1D62306A37}"/>
    <cellStyle name="计算 12 2" xfId="11201" xr:uid="{FEE65552-B486-4A5C-B839-E915E2AFA053}"/>
    <cellStyle name="计算 12 2 2" xfId="25186" xr:uid="{48CEF829-2C3C-4FC1-BC10-DDF22211430F}"/>
    <cellStyle name="计算 12 3" xfId="11202" xr:uid="{8F32D7EE-6754-415C-922D-F2F1F247C473}"/>
    <cellStyle name="计算 12 4" xfId="11200" xr:uid="{E862520C-9DD1-4D3D-AE12-99F5C31527BD}"/>
    <cellStyle name="计算 12 5" xfId="25185" xr:uid="{FC65B3D5-53E6-45CF-8852-FE9C41F9AABE}"/>
    <cellStyle name="计算 13" xfId="7431" xr:uid="{92122B75-BC18-4150-95D0-2FED9AD241DE}"/>
    <cellStyle name="计算 13 2" xfId="11204" xr:uid="{855927D6-D2F9-4C09-B038-288351DFDF97}"/>
    <cellStyle name="计算 13 2 2" xfId="25188" xr:uid="{EE5820F1-D899-4685-ADD5-1A77ABBBD4E6}"/>
    <cellStyle name="计算 13 3" xfId="11205" xr:uid="{1AA58CB4-7A39-46FE-88BF-9A5F1EF0401B}"/>
    <cellStyle name="计算 13 4" xfId="11203" xr:uid="{EDCC8A9A-9E54-4E49-BF9C-77070990A541}"/>
    <cellStyle name="计算 13 5" xfId="25187" xr:uid="{EE910BAD-C590-4E61-A4BF-971822598E81}"/>
    <cellStyle name="计算 14" xfId="7432" xr:uid="{98BF2E99-96DF-4294-8F31-A4D1BAB9BDDA}"/>
    <cellStyle name="计算 14 2" xfId="11207" xr:uid="{06F15126-683C-4824-AC4C-AF4F4AA3A203}"/>
    <cellStyle name="计算 14 2 2" xfId="25190" xr:uid="{FF178F25-4686-44B0-9590-7E2E2AE51937}"/>
    <cellStyle name="计算 14 3" xfId="11208" xr:uid="{1ADACB11-2077-426F-A97A-7AC7E97FB1C8}"/>
    <cellStyle name="计算 14 4" xfId="11206" xr:uid="{7812ADA3-EAB9-49EC-870C-C864DD2D3502}"/>
    <cellStyle name="计算 14 5" xfId="25189" xr:uid="{5901768C-4DE1-44B5-AB08-FA5542931279}"/>
    <cellStyle name="计算 15" xfId="7433" xr:uid="{C5875C1F-F6EA-47F1-A58C-10B291B6564F}"/>
    <cellStyle name="计算 15 2" xfId="11210" xr:uid="{BD357B14-5D08-4B9E-A705-BF8CF9000594}"/>
    <cellStyle name="计算 15 2 2" xfId="25192" xr:uid="{1C74D424-CB2A-47DD-BB0E-9D2E253F661E}"/>
    <cellStyle name="计算 15 3" xfId="11211" xr:uid="{8FCFEB20-B1BC-4B5D-B5DD-14F31537D836}"/>
    <cellStyle name="计算 15 4" xfId="11209" xr:uid="{24764E48-1B8E-4584-92ED-6A40B83F6F42}"/>
    <cellStyle name="计算 15 5" xfId="25191" xr:uid="{2B0A3F86-B231-4D26-9073-EE6F159D0EBF}"/>
    <cellStyle name="计算 16" xfId="7435" xr:uid="{86AF2E1F-2EE9-4006-8400-8EE14BF31097}"/>
    <cellStyle name="计算 16 2" xfId="11213" xr:uid="{03F1E284-AEB5-4A96-BDE2-BD01739ED342}"/>
    <cellStyle name="计算 16 2 2" xfId="25194" xr:uid="{0F18B8C2-E04F-46EC-9B75-B3AF0CA0A7AD}"/>
    <cellStyle name="计算 16 3" xfId="11214" xr:uid="{53B44C2C-1824-43AE-A7F8-2404B5098D84}"/>
    <cellStyle name="计算 16 4" xfId="11212" xr:uid="{BDA2157B-4F9A-43CF-B55B-F8E1C7ACF2A3}"/>
    <cellStyle name="计算 16 5" xfId="25193" xr:uid="{D3C6423A-6AA6-4051-BB03-57FD5324353F}"/>
    <cellStyle name="计算 17" xfId="7437" xr:uid="{6D0C95E9-0498-4B6A-89C0-182249B58958}"/>
    <cellStyle name="计算 17 2" xfId="11216" xr:uid="{F585C448-E2E1-447F-8A57-9C8E00202039}"/>
    <cellStyle name="计算 17 2 2" xfId="25196" xr:uid="{EB6168B1-8A6E-4BA0-92E5-EB1DCF09F6D9}"/>
    <cellStyle name="计算 17 3" xfId="11217" xr:uid="{A9C52147-411C-4C60-AA99-4302B46DAFA1}"/>
    <cellStyle name="计算 17 4" xfId="11215" xr:uid="{F34BE3C4-F3FE-451D-B1A1-EE9588183270}"/>
    <cellStyle name="计算 17 5" xfId="25195" xr:uid="{DEF0517E-8FE2-4B24-8481-65EB5A6A2CEA}"/>
    <cellStyle name="计算 18" xfId="7439" xr:uid="{E8D8C010-EF8B-4832-B5FC-557EA67209EF}"/>
    <cellStyle name="计算 18 2" xfId="11218" xr:uid="{67F49097-5AF8-4C81-A297-655D5CF09A5E}"/>
    <cellStyle name="计算 18 2 2" xfId="25198" xr:uid="{E1CCEA48-C329-4B33-BE8E-D9FC2D9D396E}"/>
    <cellStyle name="计算 18 3" xfId="25197" xr:uid="{492D0C21-CBA8-46B6-9D90-EC95C5D7200B}"/>
    <cellStyle name="计算 19" xfId="7441" xr:uid="{BC6947F1-D04D-472B-BF0F-9681A873523A}"/>
    <cellStyle name="计算 19 2" xfId="11219" xr:uid="{F2828032-1507-4F0D-BCEE-1730A7B34655}"/>
    <cellStyle name="计算 19 2 2" xfId="25200" xr:uid="{B5ACEBC5-4A07-478A-AED0-45B12B882008}"/>
    <cellStyle name="计算 19 3" xfId="25199" xr:uid="{5258FCE7-5FA5-46AD-B32F-300CB924EF6E}"/>
    <cellStyle name="计算 2" xfId="7443" xr:uid="{8DD85E2F-5D25-4F42-87FA-120AC83A1484}"/>
    <cellStyle name="计算 2 10" xfId="7444" xr:uid="{400D4B02-3C29-4AB2-8EA1-A9A8DC7EEAD1}"/>
    <cellStyle name="计算 2 10 2" xfId="25201" xr:uid="{31C138D1-C08A-4B58-BAA9-1F6A31730F60}"/>
    <cellStyle name="计算 2 11" xfId="7445" xr:uid="{C219E982-7977-4D53-8533-3AD840AA6CAB}"/>
    <cellStyle name="计算 2 12" xfId="7446" xr:uid="{A4B37686-F2F4-4CB6-9C8A-430DA555DE3C}"/>
    <cellStyle name="计算 2 13" xfId="7447" xr:uid="{46C978D8-EB33-4D34-B880-F7BB705CF394}"/>
    <cellStyle name="计算 2 14" xfId="7448" xr:uid="{F40BB12C-8897-4564-BF1D-3A146D595358}"/>
    <cellStyle name="计算 2 15" xfId="11220" xr:uid="{69D7EB12-B092-409F-A43C-6DEF7128DFF1}"/>
    <cellStyle name="计算 2 16" xfId="12731" xr:uid="{77EE854E-3DAB-4E0E-AFB1-FE1D44A56A56}"/>
    <cellStyle name="计算 2 2" xfId="7449" xr:uid="{D40593BE-F6F9-4C65-839D-1290DD8B5E37}"/>
    <cellStyle name="计算 2 2 10" xfId="27573" xr:uid="{9A96448D-43AD-496C-90A2-E028D61328B8}"/>
    <cellStyle name="计算 2 2 2" xfId="7450" xr:uid="{1057EC51-72A6-4E7A-A31C-5049D802F2C9}"/>
    <cellStyle name="计算 2 2 3" xfId="7451" xr:uid="{D841B1BA-318C-4904-A3F8-B56CBC4310A9}"/>
    <cellStyle name="计算 2 2 3 2" xfId="25203" xr:uid="{393332F6-0019-460F-B016-2231FFEEF49C}"/>
    <cellStyle name="计算 2 2 4" xfId="7452" xr:uid="{08856825-0CA2-4829-AD2B-ACE21121BB58}"/>
    <cellStyle name="计算 2 2 5" xfId="7453" xr:uid="{602501D2-23EC-4E9A-91BB-F0A58CBFD54C}"/>
    <cellStyle name="计算 2 2 6" xfId="7454" xr:uid="{014EE83D-3992-4BD8-BCEC-296D967AA1BA}"/>
    <cellStyle name="计算 2 2 7" xfId="7455" xr:uid="{557B264F-65D8-4607-9363-B9781512CCF5}"/>
    <cellStyle name="计算 2 2 8" xfId="11221" xr:uid="{4B50C0C1-2274-48C2-A5ED-5D52628788E0}"/>
    <cellStyle name="计算 2 2 9" xfId="25202" xr:uid="{70FD1F4B-4D9B-4B14-9380-93E7E71AC129}"/>
    <cellStyle name="计算 2 2_动力部" xfId="25204" xr:uid="{B497E7FE-7DA4-4339-A539-A51BC3BC58E8}"/>
    <cellStyle name="计算 2 3" xfId="7456" xr:uid="{28909AA7-CD60-4482-B73F-918C6B3893EC}"/>
    <cellStyle name="计算 2 3 2" xfId="7457" xr:uid="{F3B2349E-E59B-4953-AE0F-D08E3E743B96}"/>
    <cellStyle name="计算 2 3 3" xfId="7458" xr:uid="{690204F3-120C-4987-8673-6716A74ED110}"/>
    <cellStyle name="计算 2 3 4" xfId="11222" xr:uid="{3DD4C1BF-0D03-456C-A930-291D9D6AF704}"/>
    <cellStyle name="计算 2 3 5" xfId="25205" xr:uid="{41714A2E-0AB8-4C9A-A7C4-3F0579DD9148}"/>
    <cellStyle name="计算 2 3 6" xfId="27574" xr:uid="{09F22C24-EAD7-4F1E-B2A8-F468428D2DC7}"/>
    <cellStyle name="计算 2 4" xfId="7459" xr:uid="{2B76B462-A206-463B-A7D0-DC58F60245E1}"/>
    <cellStyle name="计算 2 4 2" xfId="7460" xr:uid="{A89FC969-BB29-494E-9B9D-20A453C92C8D}"/>
    <cellStyle name="计算 2 4 2 2" xfId="25207" xr:uid="{9CD6816C-1FDD-4A76-B35D-0CD231564A8D}"/>
    <cellStyle name="计算 2 4 3" xfId="7461" xr:uid="{1BDFFA0C-6E3F-4A69-96F5-401BEFCE7563}"/>
    <cellStyle name="计算 2 4 4" xfId="25206" xr:uid="{0933CD0A-7447-47DC-9351-6CC99EEBA6E1}"/>
    <cellStyle name="计算 2 5" xfId="7462" xr:uid="{8E3B0940-01E7-4BD1-A236-6D578B4B4CD2}"/>
    <cellStyle name="计算 2 5 2" xfId="7463" xr:uid="{2E65BDF0-D71E-4BC4-B3D2-4BBB26EE9753}"/>
    <cellStyle name="计算 2 5 3" xfId="7464" xr:uid="{EC43B64B-D950-4D3C-B84F-CF921196491B}"/>
    <cellStyle name="计算 2 5 4" xfId="25208" xr:uid="{7E4A1F06-A1E6-43F4-AD0D-EDDB77C7BAEA}"/>
    <cellStyle name="计算 2 6" xfId="7465" xr:uid="{F163DA5A-EA75-4EBB-B430-90B05A96CF3C}"/>
    <cellStyle name="计算 2 6 2" xfId="7466" xr:uid="{62F72E57-4A14-42EE-91A3-2BDEA727251C}"/>
    <cellStyle name="计算 2 6 3" xfId="7467" xr:uid="{966FAEA6-9EE4-40A9-8F77-86DB41A51026}"/>
    <cellStyle name="计算 2 6 4" xfId="25209" xr:uid="{B37B7618-ADF2-4010-8175-C51F55423D5A}"/>
    <cellStyle name="计算 2 7" xfId="7468" xr:uid="{6DFAF0AE-5544-4765-8A30-57F34C101F58}"/>
    <cellStyle name="计算 2 7 2" xfId="7469" xr:uid="{85204874-4992-4BEB-A874-FD36D8EE9F53}"/>
    <cellStyle name="计算 2 7 3" xfId="7470" xr:uid="{02D1D23A-A670-4D9E-AF1C-0A94FCF7D28C}"/>
    <cellStyle name="计算 2 7 4" xfId="25210" xr:uid="{06E27D5A-501C-4D19-9220-E78B801A6E61}"/>
    <cellStyle name="计算 2 8" xfId="7471" xr:uid="{A4B29E1C-F0AA-4CAC-87FF-D61C3DDF1942}"/>
    <cellStyle name="计算 2 8 2" xfId="7472" xr:uid="{E1068A9A-6672-4378-B4B0-322CCAE5E56C}"/>
    <cellStyle name="计算 2 8 3" xfId="7473" xr:uid="{90529F57-2D24-45D1-BA50-50E5003FA147}"/>
    <cellStyle name="计算 2 8 4" xfId="25211" xr:uid="{EDFB45D4-68A3-4E14-A24B-6E0CB25D6817}"/>
    <cellStyle name="计算 2 9" xfId="7474" xr:uid="{F8076E56-68AF-40C3-B306-7AC04821A59A}"/>
    <cellStyle name="计算 2 9 2" xfId="7475" xr:uid="{E33AB580-31D0-48BB-9A25-0EC6124DFE13}"/>
    <cellStyle name="计算 2 9 3" xfId="7476" xr:uid="{5F8FAF63-5F62-4A8E-A9A3-B75E2103B255}"/>
    <cellStyle name="计算 2 9 4" xfId="25212" xr:uid="{67FE8EC4-AC0F-4DCE-BA84-75A0F0417D66}"/>
    <cellStyle name="计算 2_动力部" xfId="25213" xr:uid="{B1C4CF16-4CA5-435F-908E-6DBEFFBCA8CA}"/>
    <cellStyle name="计算 20" xfId="7434" xr:uid="{2CF9083B-042A-4650-879F-4D72A8F83648}"/>
    <cellStyle name="计算 20 2" xfId="11223" xr:uid="{25900FE9-7DB8-45B3-9BA8-9FC6B3596A9B}"/>
    <cellStyle name="计算 20 2 2" xfId="25215" xr:uid="{7E261E6F-B22B-4650-95FD-05EB65B6E5F9}"/>
    <cellStyle name="计算 20 3" xfId="25214" xr:uid="{0B587EEE-9B9B-45F3-B522-3B6C291F502C}"/>
    <cellStyle name="计算 21" xfId="7436" xr:uid="{C5075C67-C2C6-44BA-AEF6-C4544D141B14}"/>
    <cellStyle name="计算 21 2" xfId="11224" xr:uid="{00044F9A-1498-4726-8900-398A0176684B}"/>
    <cellStyle name="计算 21 2 2" xfId="25217" xr:uid="{9BBFA1E7-B946-4C29-B685-7F33B4C5D132}"/>
    <cellStyle name="计算 21 3" xfId="25216" xr:uid="{CDA65030-A1A0-41FE-973C-87C5F2333332}"/>
    <cellStyle name="计算 22" xfId="7438" xr:uid="{235F346D-783E-4023-985A-894D1AB83FB4}"/>
    <cellStyle name="计算 22 2" xfId="11225" xr:uid="{5B0264BF-70AF-4CEA-AD82-2B99FE3EFB41}"/>
    <cellStyle name="计算 22 2 2" xfId="25219" xr:uid="{BB058F52-0CB5-41F5-8AB5-71F68CE56909}"/>
    <cellStyle name="计算 22 3" xfId="25218" xr:uid="{EEA95A30-8898-4AAE-9ED2-D30A6334C5A9}"/>
    <cellStyle name="计算 23" xfId="7440" xr:uid="{AE01F0CE-0816-48EB-AAC9-0B6BA238D0B8}"/>
    <cellStyle name="计算 23 2" xfId="25221" xr:uid="{29075748-2E6D-4EBA-967E-59C73898C398}"/>
    <cellStyle name="计算 23 3" xfId="25220" xr:uid="{9F8E3127-33A6-4A57-A002-5AFECD8C2B6D}"/>
    <cellStyle name="计算 24" xfId="7442" xr:uid="{9EBC0542-A6A3-4814-AB0C-035B1ADA06EF}"/>
    <cellStyle name="计算 24 2" xfId="25223" xr:uid="{F01C6232-AB9F-4FA5-887C-7A7CF0B82D21}"/>
    <cellStyle name="计算 24 3" xfId="25222" xr:uid="{A31A6B0F-9426-44EC-8C30-F43A9430410B}"/>
    <cellStyle name="计算 25" xfId="7477" xr:uid="{DDAC9D86-AF47-4A62-ABDE-A14A6E586576}"/>
    <cellStyle name="计算 25 2" xfId="25225" xr:uid="{1650E75D-E857-4BF2-8D7B-AE3A6F8245DE}"/>
    <cellStyle name="计算 25 3" xfId="25224" xr:uid="{CA3E0BC0-CEA5-4CD5-941B-E58724C1AC31}"/>
    <cellStyle name="计算 26" xfId="7479" xr:uid="{284B0BC9-A804-4A10-B352-4DA361764FBA}"/>
    <cellStyle name="计算 26 2" xfId="25227" xr:uid="{3B5432BF-134B-4186-8D16-8DFA43FB3352}"/>
    <cellStyle name="计算 26 3" xfId="25226" xr:uid="{F5FC1FA0-AA2C-47B6-A3FB-0818F7ED0984}"/>
    <cellStyle name="计算 27" xfId="7481" xr:uid="{C559C6BA-B92B-4F8A-870A-4024817CFE96}"/>
    <cellStyle name="计算 27 2" xfId="25229" xr:uid="{F3DC22A5-49A1-4917-BDC5-FA972D9277E8}"/>
    <cellStyle name="计算 27 3" xfId="25228" xr:uid="{0D34F2A7-A02F-4F9C-B384-9729030A0FB5}"/>
    <cellStyle name="计算 28" xfId="7483" xr:uid="{41E957EA-87E5-4D97-8584-BA2505F83ED9}"/>
    <cellStyle name="计算 28 2" xfId="25231" xr:uid="{F6C08719-CDD2-4AB1-8F7E-B49B354DC464}"/>
    <cellStyle name="计算 28 3" xfId="25230" xr:uid="{1B346CE0-7183-4D9D-8DEE-9F914B3847D8}"/>
    <cellStyle name="计算 29" xfId="7485" xr:uid="{C7803012-18DD-41CB-96DD-B8FDB6149FB3}"/>
    <cellStyle name="计算 29 2" xfId="25233" xr:uid="{806EA88A-EB20-4EF4-8B32-612E608BF731}"/>
    <cellStyle name="计算 29 3" xfId="25232" xr:uid="{9F058BDC-E071-48E9-BF28-6510698934B3}"/>
    <cellStyle name="计算 3" xfId="7487" xr:uid="{0F3EB317-7CB6-48CB-AD53-3042FD962B7D}"/>
    <cellStyle name="计算 3 10" xfId="25234" xr:uid="{B532CCC9-929A-4B8F-ACB7-B9725C02CB7A}"/>
    <cellStyle name="计算 3 2" xfId="7488" xr:uid="{EF19A6C4-272F-4B3D-93B0-D14EE8CFE051}"/>
    <cellStyle name="计算 3 2 2" xfId="7489" xr:uid="{B687E889-EE01-46DC-9E4F-F3D28395F021}"/>
    <cellStyle name="计算 3 2 2 2" xfId="7490" xr:uid="{D9579B26-5F4F-4907-BDDC-F301B49F5628}"/>
    <cellStyle name="计算 3 2 2 3" xfId="7491" xr:uid="{6B31AB70-4900-4DFE-AF1F-3F7FFA05F488}"/>
    <cellStyle name="计算 3 2 2 4" xfId="7492" xr:uid="{76508511-4A8F-4D14-9878-EC746DE6D998}"/>
    <cellStyle name="计算 3 2 3" xfId="7493" xr:uid="{FB252865-A05A-49A7-886B-7C9A033B88F4}"/>
    <cellStyle name="计算 3 2 4" xfId="7494" xr:uid="{9C399088-C65E-4D31-8ADF-647AEECD6717}"/>
    <cellStyle name="计算 3 2 5" xfId="7495" xr:uid="{026C5362-6352-4FF5-BA64-1CDC48E8F6FD}"/>
    <cellStyle name="计算 3 2 6" xfId="11227" xr:uid="{C8B5A660-1763-4124-9777-F6DCA3DF63C0}"/>
    <cellStyle name="计算 3 2 7" xfId="25235" xr:uid="{0F16ECA8-4048-4AE6-A254-86FFE7A0345D}"/>
    <cellStyle name="计算 3 2 8" xfId="27575" xr:uid="{FAEDEC4C-8369-436D-B196-58EF8B13986F}"/>
    <cellStyle name="计算 3 3" xfId="7496" xr:uid="{4204554C-4CD3-45C0-86C8-1541D3E56F00}"/>
    <cellStyle name="计算 3 3 2" xfId="7497" xr:uid="{EE21CDE7-A019-4E57-A621-9030362D407E}"/>
    <cellStyle name="计算 3 3 2 2" xfId="7498" xr:uid="{0890E11E-281F-4698-B20F-1440135E23E5}"/>
    <cellStyle name="计算 3 3 2 3" xfId="7499" xr:uid="{3FB72969-EDB9-4B14-8BF7-D956BA030768}"/>
    <cellStyle name="计算 3 3 2 4" xfId="7500" xr:uid="{29BE5C62-4270-49E2-8B2F-4638FEBB6043}"/>
    <cellStyle name="计算 3 3 3" xfId="7501" xr:uid="{8305F8FE-209A-41AF-9906-D1EC7B5B5A13}"/>
    <cellStyle name="计算 3 3 4" xfId="7502" xr:uid="{767F2183-1339-498E-A410-35AC8B749788}"/>
    <cellStyle name="计算 3 3 5" xfId="7503" xr:uid="{54E86524-D9BD-47CC-B0BC-B0A1EC9A250A}"/>
    <cellStyle name="计算 3 3 6" xfId="11228" xr:uid="{DBEC4A0C-D9E3-4BE3-B01C-6EAE8C0042D5}"/>
    <cellStyle name="计算 3 3 7" xfId="25236" xr:uid="{01AE9DD8-45A3-45AA-9850-7B4F42D9B7C3}"/>
    <cellStyle name="计算 3 3 8" xfId="27576" xr:uid="{54897BD4-6ABF-403E-9734-3830B80A63C5}"/>
    <cellStyle name="计算 3 4" xfId="7504" xr:uid="{79447502-0DB2-4E95-81A2-C259C36901A8}"/>
    <cellStyle name="计算 3 4 2" xfId="7505" xr:uid="{AAB9BAD7-980C-4433-8111-49E2C7096A45}"/>
    <cellStyle name="计算 3 4 2 2" xfId="7506" xr:uid="{1CB5AAA8-8B62-411C-91C5-4DB0E8F6A540}"/>
    <cellStyle name="计算 3 4 2 3" xfId="7507" xr:uid="{ECE16585-1FE1-4976-B71C-775D4E0B62F1}"/>
    <cellStyle name="计算 3 4 2 4" xfId="7508" xr:uid="{9BF865F8-CACF-4DE5-985A-0B50C85907D1}"/>
    <cellStyle name="计算 3 4 3" xfId="7509" xr:uid="{3D434C81-68FE-41B5-ADFB-485E3F10CECE}"/>
    <cellStyle name="计算 3 4 4" xfId="7510" xr:uid="{24AC1E36-913E-453C-B5D8-8B9A33A30963}"/>
    <cellStyle name="计算 3 4 5" xfId="7511" xr:uid="{6031E2ED-111E-4BDC-8827-DD3DB4F6A2F9}"/>
    <cellStyle name="计算 3 4 6" xfId="25237" xr:uid="{EA182BF9-3305-43EE-A1B3-471E8E7A681E}"/>
    <cellStyle name="计算 3 5" xfId="7512" xr:uid="{E2F48432-106D-44A4-879D-8D721B1F734A}"/>
    <cellStyle name="计算 3 6" xfId="7513" xr:uid="{141FEA10-2D9B-47CC-988E-64ECC3940896}"/>
    <cellStyle name="计算 3 7" xfId="7514" xr:uid="{9053440D-3BF4-4678-8923-C961203E284F}"/>
    <cellStyle name="计算 3 8" xfId="7515" xr:uid="{22830229-3706-4A63-9465-B6EE404C4856}"/>
    <cellStyle name="计算 3 9" xfId="11226" xr:uid="{108D90D3-DF01-4BA3-A4D8-87943317D558}"/>
    <cellStyle name="计算 3_动力部" xfId="25238" xr:uid="{D959D7C2-8FF4-4627-8A89-B2C8A84C76E8}"/>
    <cellStyle name="计算 30" xfId="7478" xr:uid="{A4033439-E495-40C3-878B-A14B4F38EDCD}"/>
    <cellStyle name="计算 30 2" xfId="25240" xr:uid="{22E66F3D-063D-472A-A6F8-FEA729CDF7D7}"/>
    <cellStyle name="计算 30 3" xfId="25239" xr:uid="{0E1FBBEF-4959-4891-9540-880598E59E99}"/>
    <cellStyle name="计算 31" xfId="7480" xr:uid="{AE593764-41C6-4AC6-85C9-61B748C96042}"/>
    <cellStyle name="计算 31 2" xfId="25242" xr:uid="{83D7DE4A-BE16-41EC-A689-244A168A7539}"/>
    <cellStyle name="计算 31 3" xfId="25241" xr:uid="{1D4F5337-3C9E-4A73-93F4-6BF26AB38098}"/>
    <cellStyle name="计算 32" xfId="7482" xr:uid="{9A161F66-74C7-4C79-A6B8-5A1CD0E8E840}"/>
    <cellStyle name="计算 32 2" xfId="25244" xr:uid="{1712049A-039A-41B7-B665-906A84B85442}"/>
    <cellStyle name="计算 32 3" xfId="25243" xr:uid="{C3FFE4E7-5747-4700-8238-06849F9643D8}"/>
    <cellStyle name="计算 33" xfId="7484" xr:uid="{5BC2B66D-B862-4699-B8EB-4D6571892806}"/>
    <cellStyle name="计算 33 2" xfId="25246" xr:uid="{6945CE73-9EBD-46C5-B3AB-7CA93C6E7D08}"/>
    <cellStyle name="计算 33 3" xfId="25245" xr:uid="{0C06CF82-CC6F-4BF5-B358-42E1B6907F0E}"/>
    <cellStyle name="计算 34" xfId="7486" xr:uid="{964DFFDF-D72B-4B60-8296-B4C87CB457C4}"/>
    <cellStyle name="计算 34 2" xfId="13676" xr:uid="{244954F1-508E-4C4E-92BE-5BD59E2976F1}"/>
    <cellStyle name="计算 34 2 2" xfId="25248" xr:uid="{F9E6D0E3-AADD-4AFF-9240-5E7A71768A50}"/>
    <cellStyle name="计算 34 3" xfId="25247" xr:uid="{3839E8DB-1A77-417C-96AA-C88AF5CBD905}"/>
    <cellStyle name="计算 35" xfId="7516" xr:uid="{E278C48F-F8C9-413D-BCCF-59DDB4285F68}"/>
    <cellStyle name="计算 35 2" xfId="13677" xr:uid="{A46F6C68-9946-400A-813D-4AF44EE7582C}"/>
    <cellStyle name="计算 35 2 2" xfId="25250" xr:uid="{43534FB2-C867-48B9-93E2-1B7DB14A5DF1}"/>
    <cellStyle name="计算 35 3" xfId="25249" xr:uid="{84E4B5B1-D4A1-40E9-946C-639FB1CD4038}"/>
    <cellStyle name="计算 36" xfId="7518" xr:uid="{E9D58AAB-4D8A-461E-9BC1-9F58E65C8FBE}"/>
    <cellStyle name="计算 36 2" xfId="13678" xr:uid="{6EA7F6F9-9DC5-4D3D-B9A3-677BF2CCAC64}"/>
    <cellStyle name="计算 36 2 2" xfId="25252" xr:uid="{2E34EB89-16FA-4F8C-A6CD-57F689750127}"/>
    <cellStyle name="计算 36 3" xfId="25251" xr:uid="{C86A8A59-DFD1-4B1B-B497-CFEF33D46B5C}"/>
    <cellStyle name="计算 37" xfId="7520" xr:uid="{793A4DE1-6A23-44EC-899F-8B31E390E08A}"/>
    <cellStyle name="计算 37 2" xfId="13679" xr:uid="{D090FF08-CB79-4643-9D6F-F584D5D4C7DE}"/>
    <cellStyle name="计算 37 2 2" xfId="25254" xr:uid="{8F5E3DF7-26D8-4F15-A0AB-7799426C110D}"/>
    <cellStyle name="计算 37 3" xfId="25253" xr:uid="{E720AFA1-0492-496B-A827-BB9D311C7BDE}"/>
    <cellStyle name="计算 38" xfId="7522" xr:uid="{3B5DB962-68DE-48E3-953D-71E0A4462930}"/>
    <cellStyle name="计算 38 2" xfId="13680" xr:uid="{A17CC20C-9809-4118-83CE-51E25A25319C}"/>
    <cellStyle name="计算 38 2 2" xfId="25256" xr:uid="{F315173C-3020-4896-B993-48269A29BC83}"/>
    <cellStyle name="计算 38 3" xfId="25255" xr:uid="{E4768208-DCDB-4B3C-BF9D-5DDEDC32CBE3}"/>
    <cellStyle name="计算 39" xfId="7524" xr:uid="{7E123FB0-AE0B-49C5-B265-0B1E8BA1424A}"/>
    <cellStyle name="计算 39 2" xfId="13681" xr:uid="{A6E182DC-A0EC-4FB0-961C-AFB213203466}"/>
    <cellStyle name="计算 39 2 2" xfId="25258" xr:uid="{77B32936-DAC8-4B93-A6DE-570AF6A12ECB}"/>
    <cellStyle name="计算 39 3" xfId="25257" xr:uid="{E09D3357-4D13-460F-AE3F-6470DD6F06EB}"/>
    <cellStyle name="计算 4" xfId="7526" xr:uid="{D22164B6-5BF8-40D4-8785-924FFA22488B}"/>
    <cellStyle name="计算 4 10" xfId="25259" xr:uid="{8B1E5BD1-7E83-46C5-9D17-A0F7A79C7AFA}"/>
    <cellStyle name="计算 4 2" xfId="7527" xr:uid="{108D6026-D2E3-41CC-BF34-D54405B57664}"/>
    <cellStyle name="计算 4 2 2" xfId="7528" xr:uid="{E69C8BCC-99C0-49FA-8517-EB11098A070E}"/>
    <cellStyle name="计算 4 2 2 2" xfId="7529" xr:uid="{FF4083A9-73E4-4A47-9BAA-F1ED26D99F01}"/>
    <cellStyle name="计算 4 2 2 3" xfId="3758" xr:uid="{B34F836E-02EC-48D5-9FFE-151CA1D92BB5}"/>
    <cellStyle name="计算 4 2 2 4" xfId="7530" xr:uid="{7B515F36-D8D6-40C8-85EF-45BEEEDBDA65}"/>
    <cellStyle name="计算 4 2 3" xfId="7531" xr:uid="{AE641BBC-7DA8-4964-BD2B-D16CDB362728}"/>
    <cellStyle name="计算 4 2 4" xfId="7532" xr:uid="{C29BDB69-A746-4C29-82D9-97969874EA5C}"/>
    <cellStyle name="计算 4 2 5" xfId="7533" xr:uid="{FF0E4AA5-F1BB-40DA-A9AF-F9A0E735DB5A}"/>
    <cellStyle name="计算 4 2 6" xfId="11230" xr:uid="{BBE00A8D-93AD-4153-99DD-9B57915008B5}"/>
    <cellStyle name="计算 4 2 7" xfId="25260" xr:uid="{0F6FCD04-729E-42CD-BDC8-0F9AC0C019B6}"/>
    <cellStyle name="计算 4 3" xfId="7534" xr:uid="{60303B51-BB7F-42BE-B24D-89F70E17302B}"/>
    <cellStyle name="计算 4 3 2" xfId="7535" xr:uid="{81DB7BC9-39E0-476A-B024-1591019A9615}"/>
    <cellStyle name="计算 4 3 2 2" xfId="7536" xr:uid="{F33285ED-1A69-4BBA-B706-67E4EADB8C82}"/>
    <cellStyle name="计算 4 3 2 3" xfId="3778" xr:uid="{5F7CBF28-ACBE-4F1E-93CF-83631242DA2B}"/>
    <cellStyle name="计算 4 3 2 4" xfId="7537" xr:uid="{C8F466E5-1320-44C9-9562-61FB89A12EAE}"/>
    <cellStyle name="计算 4 3 3" xfId="7538" xr:uid="{4E2DD2EC-7553-4686-8E70-C21F1C75BF51}"/>
    <cellStyle name="计算 4 3 4" xfId="7539" xr:uid="{AC01769A-ECF8-4827-8057-3B01ABD5383A}"/>
    <cellStyle name="计算 4 3 5" xfId="7540" xr:uid="{B2C6E7D4-9F47-40E1-BC8C-C2C272C752A9}"/>
    <cellStyle name="计算 4 3 6" xfId="11231" xr:uid="{A2EEDF35-2288-4ABE-962D-0FEF58F30B6E}"/>
    <cellStyle name="计算 4 3 7" xfId="25261" xr:uid="{FF6EC0A5-51ED-4889-B55A-9A31B08428D4}"/>
    <cellStyle name="计算 4 4" xfId="7541" xr:uid="{F9D8EEF7-4393-4B08-9E05-4707E2459C24}"/>
    <cellStyle name="计算 4 4 2" xfId="7542" xr:uid="{CB88A70C-89CE-49E6-8D2D-C14E9B4DCB93}"/>
    <cellStyle name="计算 4 4 2 2" xfId="7543" xr:uid="{2DC44382-4327-4D62-B19A-678D5049CEF6}"/>
    <cellStyle name="计算 4 4 2 3" xfId="2690" xr:uid="{0D858F09-8DAB-4E8D-819B-2EB151C4086F}"/>
    <cellStyle name="计算 4 4 2 4" xfId="7544" xr:uid="{103CE07D-D189-4802-B3E6-89713AF7629D}"/>
    <cellStyle name="计算 4 4 3" xfId="7545" xr:uid="{063967A5-E80C-456C-9DA8-ABF054D79420}"/>
    <cellStyle name="计算 4 4 4" xfId="7546" xr:uid="{C1CA3413-25B4-4A57-AFF3-871E68B749D9}"/>
    <cellStyle name="计算 4 4 5" xfId="7547" xr:uid="{7B415C64-880B-47B6-BF35-C4D6AFD37178}"/>
    <cellStyle name="计算 4 5" xfId="7548" xr:uid="{67DA47BC-91C1-480C-A36A-73E5D4851FD5}"/>
    <cellStyle name="计算 4 6" xfId="7549" xr:uid="{52761FD7-7FB8-465E-8194-4C2782225AFD}"/>
    <cellStyle name="计算 4 7" xfId="7550" xr:uid="{D57D064A-A858-43DE-BD23-30BEE73038CE}"/>
    <cellStyle name="计算 4 8" xfId="7551" xr:uid="{E412BB15-54FF-43D3-9B83-773BBBD5EE20}"/>
    <cellStyle name="计算 4 9" xfId="11229" xr:uid="{CE626507-1103-4E8E-B194-E2081DE696C9}"/>
    <cellStyle name="计算 40" xfId="7517" xr:uid="{B6BFA586-0A6E-4808-8B59-BD2172EE1225}"/>
    <cellStyle name="计算 40 2" xfId="13682" xr:uid="{BE5E52EB-F3F2-4B49-AF8C-6DB10AC2E6CE}"/>
    <cellStyle name="计算 40 2 2" xfId="25263" xr:uid="{F9F02CCA-51AE-452A-8878-EAA60D80C7D7}"/>
    <cellStyle name="计算 40 3" xfId="25262" xr:uid="{5F5F1050-A362-42FF-AC3D-4A843DCF6734}"/>
    <cellStyle name="计算 41" xfId="7519" xr:uid="{8FAA8ED1-1581-4BEA-B20A-5A8857408386}"/>
    <cellStyle name="计算 41 2" xfId="13683" xr:uid="{6B9DD11F-83D6-46F1-8E50-572B9AA820C5}"/>
    <cellStyle name="计算 41 2 2" xfId="25265" xr:uid="{61E3FB1F-996D-498F-A1E8-9F4701FA90AD}"/>
    <cellStyle name="计算 41 3" xfId="25264" xr:uid="{65C66E14-3143-4D0A-BEF3-0230EB847B74}"/>
    <cellStyle name="计算 42" xfId="7521" xr:uid="{13468019-6704-466F-B6C9-F0718245F031}"/>
    <cellStyle name="计算 42 2" xfId="13684" xr:uid="{26CE35D4-A65F-4A49-8F07-A52875E8D961}"/>
    <cellStyle name="计算 42 2 2" xfId="25267" xr:uid="{71295F01-1571-4639-A22D-2399615A0C31}"/>
    <cellStyle name="计算 42 3" xfId="25266" xr:uid="{7A5DE260-98DB-44B0-AACC-3D04009D534D}"/>
    <cellStyle name="计算 43" xfId="7523" xr:uid="{2274A165-13D0-4A2F-AD9B-497F8C1CF9B7}"/>
    <cellStyle name="计算 43 2" xfId="13685" xr:uid="{A7A95A6E-B766-45B7-9DAB-5F2D9F5C69DE}"/>
    <cellStyle name="计算 43 2 2" xfId="25269" xr:uid="{C5011DBF-2A41-4DBC-BAE0-751A774E524D}"/>
    <cellStyle name="计算 43 3" xfId="25268" xr:uid="{0CF56CFC-7BA4-4EFC-864A-1BD45B1ABDE3}"/>
    <cellStyle name="计算 44" xfId="7525" xr:uid="{210CA759-5536-4B49-9E1D-C302EE24B205}"/>
    <cellStyle name="计算 44 2" xfId="13686" xr:uid="{9C941535-37D9-4590-8674-A16B4FCE6570}"/>
    <cellStyle name="计算 44 2 2" xfId="25271" xr:uid="{B6C7B789-1293-4646-82BF-9C283A7FF3AD}"/>
    <cellStyle name="计算 44 3" xfId="25270" xr:uid="{56714965-24E3-4525-99D6-097C6172123B}"/>
    <cellStyle name="计算 45" xfId="7552" xr:uid="{80EB100D-A041-4E9F-8B08-54193E87CD46}"/>
    <cellStyle name="计算 45 2" xfId="13687" xr:uid="{12F2F4B0-8BEC-495E-AB59-BD908E7E9C5B}"/>
    <cellStyle name="计算 45 2 2" xfId="25273" xr:uid="{281C77BB-F2AC-460F-84CC-A67BDF62A0E0}"/>
    <cellStyle name="计算 45 3" xfId="25272" xr:uid="{B188585C-1D06-4F47-88C0-0D745BC0E480}"/>
    <cellStyle name="计算 46" xfId="7554" xr:uid="{528B0A6D-2CB2-4257-B604-5EB9600A33C2}"/>
    <cellStyle name="计算 46 2" xfId="13688" xr:uid="{7129783A-B03A-46A2-929D-FAAE08921F29}"/>
    <cellStyle name="计算 46 2 2" xfId="25275" xr:uid="{B8882948-5834-4646-A42E-CCAA1EAA3EED}"/>
    <cellStyle name="计算 46 3" xfId="25274" xr:uid="{C5891FD1-9ACC-4609-847D-13199E5AF216}"/>
    <cellStyle name="计算 47" xfId="7556" xr:uid="{E8B05C8C-64F0-4E95-98F5-998B3D593EE3}"/>
    <cellStyle name="计算 47 2" xfId="13689" xr:uid="{EA59753B-82AD-4B17-8D7A-7E35B443D346}"/>
    <cellStyle name="计算 47 3" xfId="25276" xr:uid="{8A4BDF6A-7BA9-4B01-B130-4BA4BAC634E5}"/>
    <cellStyle name="计算 48" xfId="7558" xr:uid="{56347B6D-592B-4EE6-A18E-55B3FB5A2BF2}"/>
    <cellStyle name="计算 48 2" xfId="13690" xr:uid="{90BDE0EB-0C1D-4A4A-9F05-398479DDEB80}"/>
    <cellStyle name="计算 48 3" xfId="25277" xr:uid="{36A94A2D-AF95-4A98-8E93-40B9C9DCC5D1}"/>
    <cellStyle name="计算 49" xfId="7560" xr:uid="{D3430891-C448-4EED-B9B7-DE4F0C72ACF7}"/>
    <cellStyle name="计算 49 2" xfId="13691" xr:uid="{EC474266-881B-4C82-B0CA-D7D01E1776BD}"/>
    <cellStyle name="计算 49 3" xfId="25278" xr:uid="{9893F5FB-D528-48D8-A3B0-DBFC1EF04D46}"/>
    <cellStyle name="计算 5" xfId="7562" xr:uid="{6F3DE665-34FF-4ACE-8D25-E0867301B738}"/>
    <cellStyle name="计算 5 10" xfId="25279" xr:uid="{84DFF36F-69AC-4D07-8760-9B23EE68BB54}"/>
    <cellStyle name="计算 5 2" xfId="7563" xr:uid="{074C3EA9-E668-48D7-8E91-23ACE91A6792}"/>
    <cellStyle name="计算 5 2 2" xfId="7564" xr:uid="{6A3ECF32-8BB2-4B76-BC24-6C568596E4FF}"/>
    <cellStyle name="计算 5 2 2 2" xfId="7565" xr:uid="{E6AFC91C-ABC4-47DC-8D00-1CC98CD74441}"/>
    <cellStyle name="计算 5 2 2 3" xfId="7179" xr:uid="{032A2673-B585-4831-B377-92A6A53135F1}"/>
    <cellStyle name="计算 5 2 2 4" xfId="7182" xr:uid="{03680467-DDC7-4A12-A9AE-BEE4B8765565}"/>
    <cellStyle name="计算 5 2 3" xfId="7566" xr:uid="{33487B60-564F-4B6A-93A4-8DF48D42B773}"/>
    <cellStyle name="计算 5 2 4" xfId="7567" xr:uid="{97505DAC-34B2-4E40-A136-31C9D7C5F9D2}"/>
    <cellStyle name="计算 5 2 5" xfId="7568" xr:uid="{FA67181A-3C4D-4EB6-8408-587739A622F5}"/>
    <cellStyle name="计算 5 2 6" xfId="11233" xr:uid="{18372892-F4A3-4F43-8D5E-2709ABF8CA23}"/>
    <cellStyle name="计算 5 2 7" xfId="25280" xr:uid="{B44F7467-13DE-44F2-9966-343A2EC137D6}"/>
    <cellStyle name="计算 5 3" xfId="7569" xr:uid="{331D185C-9922-4AEF-9027-16DC9C95D686}"/>
    <cellStyle name="计算 5 3 2" xfId="7570" xr:uid="{FDED6D6B-CEA4-4870-B5C3-EB6324E9643A}"/>
    <cellStyle name="计算 5 3 2 2" xfId="7571" xr:uid="{C80D3270-B69A-4E60-BBAF-BFFB6F352535}"/>
    <cellStyle name="计算 5 3 2 3" xfId="7196" xr:uid="{9AE54E1B-DAE6-40AA-8FCE-A60EA05A815E}"/>
    <cellStyle name="计算 5 3 2 4" xfId="7199" xr:uid="{C4E4BE63-2943-42FC-9A62-CF6425572ADC}"/>
    <cellStyle name="计算 5 3 3" xfId="7572" xr:uid="{5EB0FFA2-F6E7-4C6A-9355-E48ACC043828}"/>
    <cellStyle name="计算 5 3 4" xfId="7573" xr:uid="{539FD778-E71B-43A4-AA14-F49D18B6A741}"/>
    <cellStyle name="计算 5 3 5" xfId="7574" xr:uid="{C8F9DB0A-2DD0-4841-BB6E-FDFACDC3A0B6}"/>
    <cellStyle name="计算 5 3 6" xfId="11234" xr:uid="{EFE6E6B8-56DE-4A1C-B3B0-50FC56DA2296}"/>
    <cellStyle name="计算 5 4" xfId="7575" xr:uid="{75122E13-1B8C-4C93-9A3D-4C8FC821C21C}"/>
    <cellStyle name="计算 5 4 2" xfId="7576" xr:uid="{3C560094-03D9-4CED-B9A4-4BA0ED3CAC2C}"/>
    <cellStyle name="计算 5 4 2 2" xfId="7577" xr:uid="{2DBA59CF-E27E-4EE7-BD3C-E5A864546D50}"/>
    <cellStyle name="计算 5 4 2 3" xfId="7213" xr:uid="{F6ED6212-E15C-4BC3-A67C-54A801D44753}"/>
    <cellStyle name="计算 5 4 2 4" xfId="7578" xr:uid="{A3E468FF-98C9-4A48-8971-B970DD77D9B9}"/>
    <cellStyle name="计算 5 4 3" xfId="7579" xr:uid="{4060C543-0B63-4B7F-9670-298E7B5777A3}"/>
    <cellStyle name="计算 5 4 4" xfId="7580" xr:uid="{2FC3E732-8860-4B52-B8D7-CEDFE7495D82}"/>
    <cellStyle name="计算 5 4 5" xfId="7581" xr:uid="{34D60D5B-431E-4E68-ADBB-D17853542484}"/>
    <cellStyle name="计算 5 5" xfId="7582" xr:uid="{FABECFCE-4B9F-4B0D-9E8B-2B2F14DE1349}"/>
    <cellStyle name="计算 5 6" xfId="7583" xr:uid="{E3D3E3A0-1953-44D2-ACCB-28B591B24475}"/>
    <cellStyle name="计算 5 7" xfId="7584" xr:uid="{03EEC23C-C929-4007-A00B-52D761BD5B27}"/>
    <cellStyle name="计算 5 8" xfId="7585" xr:uid="{ED546A60-5D62-4748-B18C-8C9328AB1FBE}"/>
    <cellStyle name="计算 5 9" xfId="11232" xr:uid="{904013BF-D739-4250-902B-7E186128334F}"/>
    <cellStyle name="计算 50" xfId="7553" xr:uid="{F2A91929-787B-4118-BDCA-B43B116F3FDB}"/>
    <cellStyle name="计算 50 2" xfId="13692" xr:uid="{9D715CF3-939D-402B-A5F0-94E7BD10FFEE}"/>
    <cellStyle name="计算 50 3" xfId="25281" xr:uid="{CDD9440F-3A66-454D-8EDA-488F98CBBF31}"/>
    <cellStyle name="计算 51" xfId="7555" xr:uid="{33CF02D1-DD3D-4E80-BFF1-184107AD0B70}"/>
    <cellStyle name="计算 51 2" xfId="13693" xr:uid="{23433776-B95C-45BC-9220-267E4353648D}"/>
    <cellStyle name="计算 51 3" xfId="25282" xr:uid="{76B9395D-1E54-4FB9-82A5-20FCB2A3CFE1}"/>
    <cellStyle name="计算 52" xfId="7557" xr:uid="{44374905-9FE3-4073-9944-6A0EF8BAF1AE}"/>
    <cellStyle name="计算 52 2" xfId="13694" xr:uid="{94FF70EF-2EB9-4F8D-AABA-72CF401DB271}"/>
    <cellStyle name="计算 52 3" xfId="25283" xr:uid="{18738BEC-9E3B-4BD3-B047-B271DC90E0AF}"/>
    <cellStyle name="计算 53" xfId="7559" xr:uid="{DA6B1487-41B3-4BDC-9C3E-25BECD806251}"/>
    <cellStyle name="计算 53 2" xfId="13695" xr:uid="{3947DF91-6D0E-4AF4-ADF1-DFCE1D3518DC}"/>
    <cellStyle name="计算 53 3" xfId="25284" xr:uid="{51AA95A8-5D3A-4183-802F-54D09E271226}"/>
    <cellStyle name="计算 54" xfId="7561" xr:uid="{03283928-BAD8-4E22-BCA3-868FED25EEA9}"/>
    <cellStyle name="计算 54 2" xfId="13696" xr:uid="{14729BB8-CBD8-4197-B511-61C86C2E6A7C}"/>
    <cellStyle name="计算 54 3" xfId="25285" xr:uid="{0021FCB8-4269-4096-884D-EE6F8FD2E44E}"/>
    <cellStyle name="计算 55" xfId="7586" xr:uid="{F9D893C2-4AC9-43DC-A2B7-E04713B95661}"/>
    <cellStyle name="计算 55 2" xfId="13697" xr:uid="{E9055B1D-D0D2-40DE-8401-8FE1F617E86D}"/>
    <cellStyle name="计算 55 3" xfId="25286" xr:uid="{E776B6FA-5A2C-49AE-984F-E2C2BFB5AB49}"/>
    <cellStyle name="计算 56" xfId="7588" xr:uid="{C7BC43BC-5B00-4B8D-BD4E-7C0619C7B89A}"/>
    <cellStyle name="计算 56 2" xfId="13698" xr:uid="{7634E640-E1C0-44FF-84D6-859F2C218BE7}"/>
    <cellStyle name="计算 56 3" xfId="25287" xr:uid="{1FCDBA30-78FA-45AF-A7B9-98E23962911B}"/>
    <cellStyle name="计算 57" xfId="7590" xr:uid="{E97625F6-EDEC-42A4-8DD1-695FD86EEA70}"/>
    <cellStyle name="计算 57 2" xfId="13699" xr:uid="{55AB1958-A543-42B9-8727-91B86D2ABF66}"/>
    <cellStyle name="计算 58" xfId="7592" xr:uid="{FE8440C4-C8ED-4038-9253-E5E02327C299}"/>
    <cellStyle name="计算 58 2" xfId="13700" xr:uid="{B510F5D2-2E6E-4CC5-AD0E-0EEEA0B9A750}"/>
    <cellStyle name="计算 59" xfId="7594" xr:uid="{86157A4A-D8A1-4430-8179-832043FE4FDD}"/>
    <cellStyle name="计算 59 2" xfId="13701" xr:uid="{ECEEE0BA-CBB6-46F6-9921-36A399FF79D0}"/>
    <cellStyle name="计算 6" xfId="7596" xr:uid="{FB0E8D3F-A10F-430A-B306-10ABBE47E053}"/>
    <cellStyle name="计算 6 2" xfId="7598" xr:uid="{AC199BCE-6532-45EE-A86F-D74BD27A603F}"/>
    <cellStyle name="计算 6 2 2" xfId="11236" xr:uid="{771A47EB-B34C-4171-8C64-F900CC72DF2E}"/>
    <cellStyle name="计算 6 2 3" xfId="25289" xr:uid="{3B0BBB20-55D1-4065-A880-AB119FDD8B26}"/>
    <cellStyle name="计算 6 3" xfId="11237" xr:uid="{AEE73FB7-1D57-4C37-813A-D05FCDA66661}"/>
    <cellStyle name="计算 6 4" xfId="11235" xr:uid="{0B4633A0-80E4-4BAA-9934-B39FCD79EF34}"/>
    <cellStyle name="计算 6 5" xfId="25288" xr:uid="{37A555D2-30C9-4B21-9E56-D2AE1856E7E1}"/>
    <cellStyle name="计算 60" xfId="7587" xr:uid="{7F5879EB-B7F6-4CEB-9EFC-5BF4B4F3C304}"/>
    <cellStyle name="计算 60 2" xfId="13702" xr:uid="{84F44AC9-93AF-42A5-9457-74397685CA17}"/>
    <cellStyle name="计算 61" xfId="7589" xr:uid="{0253E120-8FD4-43A2-96B6-4C99172312DC}"/>
    <cellStyle name="计算 61 2" xfId="13703" xr:uid="{A70C4E3F-1D3D-4B6D-B731-1B3843FBD144}"/>
    <cellStyle name="计算 62" xfId="7591" xr:uid="{6127C8C1-9046-4D0A-827B-9054828AB83A}"/>
    <cellStyle name="计算 62 2" xfId="13704" xr:uid="{11007158-72F0-475B-8D9A-B790F6D3ED6A}"/>
    <cellStyle name="计算 63" xfId="7593" xr:uid="{7B38D654-E7B4-4BCE-B43C-E5A72BA3B3DA}"/>
    <cellStyle name="计算 63 2" xfId="13705" xr:uid="{D02B2490-6E99-496F-9F44-32FEA41B6C52}"/>
    <cellStyle name="计算 64" xfId="7595" xr:uid="{6BBA38C6-D2F5-4758-8FB9-C174C8727BAE}"/>
    <cellStyle name="计算 64 2" xfId="13706" xr:uid="{3F849B69-666D-4F43-930F-67B61A607724}"/>
    <cellStyle name="计算 65" xfId="7599" xr:uid="{A5A2A0BA-8F65-4E17-B54B-4DBB969C3E94}"/>
    <cellStyle name="计算 65 2" xfId="13707" xr:uid="{FC7696CA-6DAC-407A-ACCD-973FA5EFD6B9}"/>
    <cellStyle name="计算 66" xfId="7601" xr:uid="{E9C81CA4-319E-4EBB-911A-C71BD6BFD19D}"/>
    <cellStyle name="计算 66 2" xfId="13708" xr:uid="{AF9775EC-3268-4663-ABF7-C532EBAEDB6D}"/>
    <cellStyle name="计算 67" xfId="7603" xr:uid="{794C7BF0-7C02-4287-A1BD-BD72B002325D}"/>
    <cellStyle name="计算 67 2" xfId="13709" xr:uid="{FBFF0B5D-CBCE-459B-AE24-C04057181E63}"/>
    <cellStyle name="计算 68" xfId="7605" xr:uid="{CA75E440-263B-45D3-AA05-751577752AEC}"/>
    <cellStyle name="计算 68 2" xfId="13710" xr:uid="{2442EE28-A1B3-435C-A447-4CE4C353C814}"/>
    <cellStyle name="计算 69" xfId="7607" xr:uid="{18E8D97D-63A7-4BA6-AF37-2557E849F99D}"/>
    <cellStyle name="计算 69 2" xfId="13711" xr:uid="{14A7D984-A14B-433B-99A5-25E23B7B22F3}"/>
    <cellStyle name="计算 7" xfId="7609" xr:uid="{B2DCA545-F389-4B71-A9D4-D549A6A24C0B}"/>
    <cellStyle name="计算 7 2" xfId="7611" xr:uid="{58E226AF-881A-40D8-8EAC-CF20005125D4}"/>
    <cellStyle name="计算 7 2 2" xfId="11239" xr:uid="{122E2C57-8CEF-4493-A5A4-6440BC58EF5C}"/>
    <cellStyle name="计算 7 2 3" xfId="25291" xr:uid="{3B33A7DA-D451-4FA7-B993-15392592E38C}"/>
    <cellStyle name="计算 7 3" xfId="11240" xr:uid="{5BDED3EB-A5ED-49DB-A087-9619F946B015}"/>
    <cellStyle name="计算 7 4" xfId="11238" xr:uid="{EC1E129C-CEF8-4514-9BBE-4045A2F65343}"/>
    <cellStyle name="计算 7 5" xfId="25290" xr:uid="{9EBD9FE0-4B2A-455E-A7F0-9874A7F4A3A3}"/>
    <cellStyle name="计算 70" xfId="7600" xr:uid="{647FEAAD-D3AC-4B60-8D97-39C51250E28E}"/>
    <cellStyle name="计算 70 2" xfId="13712" xr:uid="{1A9C811B-32DF-4E46-8201-202D5CCC5F64}"/>
    <cellStyle name="计算 71" xfId="7602" xr:uid="{04522B6F-9260-46A7-88ED-3CA74D49E7CC}"/>
    <cellStyle name="计算 71 2" xfId="13713" xr:uid="{B349DB0E-21F6-43CA-A184-9A209B0678B2}"/>
    <cellStyle name="计算 72" xfId="7604" xr:uid="{1942C54E-1CA4-4472-8283-4DC6CDAEC31E}"/>
    <cellStyle name="计算 72 2" xfId="13714" xr:uid="{8942410A-BF00-4585-9E00-EABE7D792DC3}"/>
    <cellStyle name="计算 73" xfId="7606" xr:uid="{115168EB-C372-4E84-89A1-237F714A1E2A}"/>
    <cellStyle name="计算 73 2" xfId="13715" xr:uid="{A8C5B4DE-42F1-4769-A007-550A4C5940A2}"/>
    <cellStyle name="计算 74" xfId="7608" xr:uid="{A82E03B5-5D58-4AF7-AEE6-C5303BE74094}"/>
    <cellStyle name="计算 74 2" xfId="13716" xr:uid="{20631433-0CCB-48DE-B911-B3E80AD868F4}"/>
    <cellStyle name="计算 75" xfId="7612" xr:uid="{033C4238-76F1-4E68-A3E6-30E648137A10}"/>
    <cellStyle name="计算 75 2" xfId="13717" xr:uid="{DCC9D03D-F94E-470C-B667-F6DFFB81E4F0}"/>
    <cellStyle name="计算 76" xfId="7614" xr:uid="{4C557461-358C-4D93-A721-891A3B3C706F}"/>
    <cellStyle name="计算 76 2" xfId="13718" xr:uid="{477A2979-067C-4BF1-BB56-F4D6D8BFAF7E}"/>
    <cellStyle name="计算 77" xfId="7616" xr:uid="{2A23F931-709A-4C4F-B067-DFFBE6E595CC}"/>
    <cellStyle name="计算 77 2" xfId="13719" xr:uid="{4227DE70-1A4B-4945-B0FD-7AF5BBA06EA5}"/>
    <cellStyle name="计算 78" xfId="7618" xr:uid="{93135A77-13C6-4EB1-B21C-13F33C257B31}"/>
    <cellStyle name="计算 78 2" xfId="13720" xr:uid="{5B9F5EE9-05A5-4C57-B5BD-B7F8FEE7F2D8}"/>
    <cellStyle name="计算 79" xfId="7620" xr:uid="{FAE657EA-FF7D-4278-882F-B7888C7BFB5A}"/>
    <cellStyle name="计算 79 2" xfId="13721" xr:uid="{274FE57C-7DC4-410A-A15E-52927086A93A}"/>
    <cellStyle name="计算 8" xfId="7622" xr:uid="{0B670D78-BB4E-4E62-AE5B-F1304785FE37}"/>
    <cellStyle name="计算 8 2" xfId="7624" xr:uid="{E539D117-EDC1-41B3-84F4-D96CE6E5E406}"/>
    <cellStyle name="计算 8 2 2" xfId="11242" xr:uid="{CA64267D-30DE-4FA8-B542-D45610831E8C}"/>
    <cellStyle name="计算 8 2 3" xfId="25293" xr:uid="{4F19DD0F-87C1-415E-B2B4-F82B33C38FAA}"/>
    <cellStyle name="计算 8 3" xfId="11243" xr:uid="{5928E348-E162-4A72-9948-2201A3C0ED67}"/>
    <cellStyle name="计算 8 4" xfId="11241" xr:uid="{06A9F748-44E4-44F1-BFF5-840A2BF51EA6}"/>
    <cellStyle name="计算 8 5" xfId="25292" xr:uid="{DF95A285-74EF-438E-9EED-92F7026CF57B}"/>
    <cellStyle name="计算 80" xfId="7613" xr:uid="{E6118137-F957-4563-BD0F-37FCE9965061}"/>
    <cellStyle name="计算 80 2" xfId="13722" xr:uid="{67E3D829-3FCF-4A86-97BE-67E53B13083A}"/>
    <cellStyle name="计算 81" xfId="7615" xr:uid="{70FB734F-961D-4C49-BFD3-23394AC65EF4}"/>
    <cellStyle name="计算 81 2" xfId="13723" xr:uid="{E6D59738-1C19-46C5-8067-D0380B371F34}"/>
    <cellStyle name="计算 82" xfId="7617" xr:uid="{8BF0C4A2-7334-4723-BD72-C364FB83A539}"/>
    <cellStyle name="计算 82 2" xfId="13724" xr:uid="{A3DEEA73-E3BD-4EE1-9457-B8B13D495FA8}"/>
    <cellStyle name="计算 83" xfId="7619" xr:uid="{6C74C8D0-5454-4E06-A6B5-C7D041DC1720}"/>
    <cellStyle name="计算 83 2" xfId="13725" xr:uid="{7D29E7E0-B08D-46DA-8D81-53896B4AAAD0}"/>
    <cellStyle name="计算 84" xfId="7621" xr:uid="{A2F40AB4-C270-436D-9E86-88E174FAB4BA}"/>
    <cellStyle name="计算 84 2" xfId="13726" xr:uid="{0BD50BBD-2F03-4911-AEE8-647E1C62E4D9}"/>
    <cellStyle name="计算 85" xfId="9329" xr:uid="{3447A47C-8861-41D0-8545-A4DE0439DD23}"/>
    <cellStyle name="计算 86" xfId="11193" xr:uid="{EE2F71E2-B43D-41B3-9608-E8B8E2781A24}"/>
    <cellStyle name="计算 87" xfId="13591" xr:uid="{04A284F4-B635-4A6B-9591-49ACBAA7F2B4}"/>
    <cellStyle name="计算 88" xfId="27235" xr:uid="{F5CD6B1A-D270-46CD-9C72-2FF57C9A15A4}"/>
    <cellStyle name="计算 89" xfId="27188" xr:uid="{5A092C47-1170-4749-ADB9-03654FA2394F}"/>
    <cellStyle name="计算 9" xfId="3444" xr:uid="{0B475866-401C-41A6-8E7E-69EC20793830}"/>
    <cellStyle name="计算 9 2" xfId="11245" xr:uid="{04379A5A-AD29-4C77-BECD-F0574E1FF428}"/>
    <cellStyle name="计算 9 2 2" xfId="25295" xr:uid="{D901D3AC-BD90-489F-893B-0897E2EC66F8}"/>
    <cellStyle name="计算 9 3" xfId="11246" xr:uid="{B80D9F18-F8DB-4D8D-8303-915EC8803703}"/>
    <cellStyle name="计算 9 4" xfId="11244" xr:uid="{CF36D272-B464-4393-9035-7D446A8F39E2}"/>
    <cellStyle name="计算 9 5" xfId="25294" xr:uid="{73BEFDAB-1F99-4DF7-A98A-DE9F852A8EE7}"/>
    <cellStyle name="计算 90" xfId="27210" xr:uid="{EE940D69-ACE7-44C6-B50A-80383C48E2A6}"/>
    <cellStyle name="计算 91" xfId="7428" xr:uid="{60115255-0F97-4342-8C86-FADE47A2222A}"/>
    <cellStyle name="检查单元格" xfId="27818" builtinId="23" customBuiltin="1"/>
    <cellStyle name="检查单元格 10" xfId="7626" xr:uid="{8BDC094E-B8BD-491D-AB1F-CF4E97D0BF6E}"/>
    <cellStyle name="检查单元格 10 2" xfId="11249" xr:uid="{1642F4D0-FEA1-4C79-AAA0-4D4B9B54794C}"/>
    <cellStyle name="检查单元格 10 2 2" xfId="25297" xr:uid="{E79560E3-61E1-4923-B919-CED9FA4D811F}"/>
    <cellStyle name="检查单元格 10 3" xfId="11250" xr:uid="{5D090CDE-945B-44AE-927C-41A0513D17E4}"/>
    <cellStyle name="检查单元格 10 4" xfId="11248" xr:uid="{08947936-0176-4C3E-B7A4-11DECD36823B}"/>
    <cellStyle name="检查单元格 10 5" xfId="25296" xr:uid="{E60FF55D-E42C-4948-9DE9-9D7368C87CEE}"/>
    <cellStyle name="检查单元格 11" xfId="7627" xr:uid="{3EF3DD0D-9A59-46E0-B502-78E7E2436225}"/>
    <cellStyle name="检查单元格 11 2" xfId="11252" xr:uid="{05B293C8-773C-4D2E-8735-D1810A4A091E}"/>
    <cellStyle name="检查单元格 11 2 2" xfId="25299" xr:uid="{C22BE56E-351C-4CF4-9652-A12C64A700ED}"/>
    <cellStyle name="检查单元格 11 3" xfId="11253" xr:uid="{A1A92F11-7E3F-436E-A5CE-CEE524A9F4C3}"/>
    <cellStyle name="检查单元格 11 4" xfId="11251" xr:uid="{DDC7B72F-4BF2-4F0F-9BFF-9C35F7643A45}"/>
    <cellStyle name="检查单元格 11 5" xfId="25298" xr:uid="{56B91ADD-AAC3-4360-8E7C-BDA40C5BC399}"/>
    <cellStyle name="检查单元格 12" xfId="7628" xr:uid="{3588894B-837D-4A08-A0D3-7D2B395B3355}"/>
    <cellStyle name="检查单元格 12 2" xfId="11255" xr:uid="{DE778B76-7A92-43B7-910A-43B08E564DBA}"/>
    <cellStyle name="检查单元格 12 2 2" xfId="25301" xr:uid="{4A663C5A-19A4-4CE0-9631-A744343D4451}"/>
    <cellStyle name="检查单元格 12 3" xfId="11256" xr:uid="{D4C5BF99-F937-40E9-A1B2-9EA80531C672}"/>
    <cellStyle name="检查单元格 12 4" xfId="11254" xr:uid="{DB8A854E-2BCE-4E81-9A4D-4211EB9AA5B3}"/>
    <cellStyle name="检查单元格 12 5" xfId="25300" xr:uid="{4A29FB85-BB0F-4E25-BAFF-62854F0DBD32}"/>
    <cellStyle name="检查单元格 13" xfId="7629" xr:uid="{79063B81-7C93-4A4C-87EB-B04957863D6B}"/>
    <cellStyle name="检查单元格 13 2" xfId="11258" xr:uid="{52362665-9B78-4E09-BCDE-D549CED025D8}"/>
    <cellStyle name="检查单元格 13 2 2" xfId="25303" xr:uid="{0F5391D0-F235-406A-B32D-C4174FF0B871}"/>
    <cellStyle name="检查单元格 13 3" xfId="11259" xr:uid="{A6969FE0-C254-4F94-8FB9-6EB97D8B3634}"/>
    <cellStyle name="检查单元格 13 4" xfId="11257" xr:uid="{8BA5A8E1-637D-4EE5-9F5F-1BC0387295F6}"/>
    <cellStyle name="检查单元格 13 5" xfId="25302" xr:uid="{84F1360A-8FAB-4448-85F6-EEA3057F9BEA}"/>
    <cellStyle name="检查单元格 14" xfId="7630" xr:uid="{B6BE5C0D-1019-44E8-9FF3-C9BCD5CB1106}"/>
    <cellStyle name="检查单元格 14 2" xfId="11261" xr:uid="{C8E60587-FDCD-400E-BE51-2DAAF2B0D76C}"/>
    <cellStyle name="检查单元格 14 2 2" xfId="25305" xr:uid="{2A892F1E-6990-4329-9241-A24A27E06618}"/>
    <cellStyle name="检查单元格 14 3" xfId="11262" xr:uid="{FE68AF86-FB77-47DC-8257-C51941507E76}"/>
    <cellStyle name="检查单元格 14 4" xfId="11260" xr:uid="{AB0B4845-6EFC-459E-9412-5E7565418385}"/>
    <cellStyle name="检查单元格 14 5" xfId="25304" xr:uid="{07D1A004-1F7C-429E-8212-3CCD6F19366E}"/>
    <cellStyle name="检查单元格 15" xfId="7631" xr:uid="{9E6301B8-5260-413C-93D0-4704FA7A3481}"/>
    <cellStyle name="检查单元格 15 2" xfId="11264" xr:uid="{B667A4C3-E9E9-4CFB-A47E-C6C37F55E541}"/>
    <cellStyle name="检查单元格 15 2 2" xfId="25307" xr:uid="{6DD28693-7D5A-4F40-8178-4A3C54F12244}"/>
    <cellStyle name="检查单元格 15 3" xfId="11265" xr:uid="{41E87E53-315A-4BC4-A891-DEE143F7FD1B}"/>
    <cellStyle name="检查单元格 15 4" xfId="11263" xr:uid="{660E7323-2AC5-431A-80F2-AB46478C60F4}"/>
    <cellStyle name="检查单元格 15 5" xfId="25306" xr:uid="{FE4DC88A-5FD7-4D28-BEB2-CE54F92C4162}"/>
    <cellStyle name="检查单元格 16" xfId="7633" xr:uid="{D2F564E0-0A2C-470F-9656-C269B7F388DA}"/>
    <cellStyle name="检查单元格 16 2" xfId="11267" xr:uid="{3DE23D71-C9DE-47F1-B00F-E8518168E97D}"/>
    <cellStyle name="检查单元格 16 2 2" xfId="25309" xr:uid="{96C7E14D-7EF2-4ACC-8A7B-83EFA3472A50}"/>
    <cellStyle name="检查单元格 16 3" xfId="11268" xr:uid="{31D08497-7B59-4B2D-B415-D2661CAFD6ED}"/>
    <cellStyle name="检查单元格 16 4" xfId="11266" xr:uid="{F71DEB83-82AF-47C6-9FF2-6FF7268B8D00}"/>
    <cellStyle name="检查单元格 16 5" xfId="25308" xr:uid="{F3947351-7A43-4EC2-BB55-F71A00DCCCFB}"/>
    <cellStyle name="检查单元格 17" xfId="7635" xr:uid="{0773BC7A-A4AE-4D4C-8021-A3F12C808AC7}"/>
    <cellStyle name="检查单元格 17 2" xfId="11270" xr:uid="{D3582C42-36E1-4202-B268-8815C11C6323}"/>
    <cellStyle name="检查单元格 17 2 2" xfId="25311" xr:uid="{D47CA04B-0F5A-4D5E-AF60-B7A0C4D7F3BF}"/>
    <cellStyle name="检查单元格 17 3" xfId="11271" xr:uid="{149634D7-562C-4C81-8758-E5A641A54E6E}"/>
    <cellStyle name="检查单元格 17 4" xfId="11269" xr:uid="{0D972BB0-3488-4EA1-948C-47E1A3CE172E}"/>
    <cellStyle name="检查单元格 17 5" xfId="25310" xr:uid="{83276383-F46E-414B-8E1C-BEAC1002918F}"/>
    <cellStyle name="检查单元格 18" xfId="7637" xr:uid="{252EF357-DA16-4E9F-82C5-8F1E57EF6BAF}"/>
    <cellStyle name="检查单元格 18 2" xfId="11272" xr:uid="{AF3AEBBC-26FA-4215-A1CB-BA14B67C4308}"/>
    <cellStyle name="检查单元格 18 2 2" xfId="25313" xr:uid="{4A76F9FB-208C-42FF-B990-81FEF18C3498}"/>
    <cellStyle name="检查单元格 18 3" xfId="25312" xr:uid="{BB221388-BB80-4377-B65E-19CE5E0163C3}"/>
    <cellStyle name="检查单元格 19" xfId="7639" xr:uid="{227B7941-58AB-4A0D-91D8-3457EABA240D}"/>
    <cellStyle name="检查单元格 19 2" xfId="11273" xr:uid="{73BB4654-9D2D-4FC7-A63F-D400519DFD16}"/>
    <cellStyle name="检查单元格 19 2 2" xfId="25315" xr:uid="{A9D32378-73E3-441D-B783-2FCBCD9D40D6}"/>
    <cellStyle name="检查单元格 19 3" xfId="25314" xr:uid="{557177A9-34BD-4695-A0AA-16C56BC80B16}"/>
    <cellStyle name="检查单元格 2" xfId="7641" xr:uid="{E9ABC778-2426-4565-849A-CFF0D7CFC91B}"/>
    <cellStyle name="检查单元格 2 10" xfId="7642" xr:uid="{1E42092F-AA1D-4896-A7F5-43415A151AB3}"/>
    <cellStyle name="检查单元格 2 11" xfId="7643" xr:uid="{C90DA745-DB83-49F6-B135-43B4D4F8CBFC}"/>
    <cellStyle name="检查单元格 2 12" xfId="7644" xr:uid="{AE5766FF-80C5-4BCD-AFC1-2BD657B904BB}"/>
    <cellStyle name="检查单元格 2 13" xfId="7645" xr:uid="{310AFC1B-0AB7-4440-8F1A-242F5366049F}"/>
    <cellStyle name="检查单元格 2 14" xfId="7646" xr:uid="{84CF43CB-8990-4853-AB30-6A02DA7AEB84}"/>
    <cellStyle name="检查单元格 2 15" xfId="11274" xr:uid="{60A5BEAA-D3F9-471F-8F2A-A6E78B0338F5}"/>
    <cellStyle name="检查单元格 2 16" xfId="12402" xr:uid="{FEF1C00C-9B28-4235-A4DE-10EE2B0C1743}"/>
    <cellStyle name="检查单元格 2 2" xfId="7647" xr:uid="{14F69E3E-A54C-4D95-B873-69BE27207F69}"/>
    <cellStyle name="检查单元格 2 2 2" xfId="11275" xr:uid="{9FE111A4-6898-4C95-9529-F1F4287DBCFA}"/>
    <cellStyle name="检查单元格 2 2 2 2" xfId="25317" xr:uid="{A27BAFCB-9CBB-4FFC-A3B1-DD189A278BDA}"/>
    <cellStyle name="检查单元格 2 2 3" xfId="25316" xr:uid="{A570A853-30BD-455C-B24C-CA85F7B8ECB3}"/>
    <cellStyle name="检查单元格 2 2 4" xfId="27577" xr:uid="{6E69742A-3832-420F-BDA4-0242E7C88B15}"/>
    <cellStyle name="检查单元格 2 3" xfId="7648" xr:uid="{0356BCA2-E7CD-4F2C-BE6D-8A36D46D58D3}"/>
    <cellStyle name="检查单元格 2 3 2" xfId="11276" xr:uid="{49E30399-2E69-47DF-8370-50051543C75A}"/>
    <cellStyle name="检查单元格 2 3 3" xfId="25318" xr:uid="{C2479E33-EF3B-401B-814E-024ED506A6A9}"/>
    <cellStyle name="检查单元格 2 3 4" xfId="27578" xr:uid="{3CEF8275-6D6F-4121-BEA1-97D1F75C6CA0}"/>
    <cellStyle name="检查单元格 2 4" xfId="7649" xr:uid="{21A0C91B-21BD-4A82-9D4F-2E68D56561DB}"/>
    <cellStyle name="检查单元格 2 4 2" xfId="25319" xr:uid="{11089AB8-E9E9-4113-A5FA-CC897FE74AD1}"/>
    <cellStyle name="检查单元格 2 5" xfId="7650" xr:uid="{EB5EF29F-D191-4E6D-AB81-45DCA8CAE5FC}"/>
    <cellStyle name="检查单元格 2 5 2" xfId="25320" xr:uid="{10D97C96-11F9-4BDE-ABCB-CCC0001ABF32}"/>
    <cellStyle name="检查单元格 2 6" xfId="7651" xr:uid="{55AFE4FF-4B59-450D-BF29-4C0719869C9D}"/>
    <cellStyle name="检查单元格 2 6 2" xfId="25321" xr:uid="{65BEE164-73A1-4FF4-8824-25F8D2308E59}"/>
    <cellStyle name="检查单元格 2 7" xfId="7652" xr:uid="{B0212578-9FE6-464C-BCC2-08D3D77F53F0}"/>
    <cellStyle name="检查单元格 2 8" xfId="7653" xr:uid="{7047A020-C1C0-46B0-A2BE-2B7447D5AE92}"/>
    <cellStyle name="检查单元格 2 9" xfId="7654" xr:uid="{7E427C72-C8ED-4A48-9531-94DD993DE5BF}"/>
    <cellStyle name="检查单元格 2_动力部" xfId="25322" xr:uid="{DA3C0C7E-A93D-4A9C-95A0-7821F01C98D0}"/>
    <cellStyle name="检查单元格 20" xfId="7632" xr:uid="{BFF255FF-7D43-4622-9D23-B996B0DB587C}"/>
    <cellStyle name="检查单元格 20 2" xfId="11277" xr:uid="{C5B54A32-8685-48BB-AD6B-37B19D6F3419}"/>
    <cellStyle name="检查单元格 20 2 2" xfId="25324" xr:uid="{278D8CE8-9721-4EF4-8A88-872B479A2285}"/>
    <cellStyle name="检查单元格 20 3" xfId="25323" xr:uid="{CC880131-F394-45A7-AD89-571480FDB75F}"/>
    <cellStyle name="检查单元格 21" xfId="7634" xr:uid="{4ECDC547-57A5-424B-B05D-F8614C83C6F2}"/>
    <cellStyle name="检查单元格 21 2" xfId="11278" xr:uid="{A31E2B64-376D-4DD8-9E1E-B7288D6469B3}"/>
    <cellStyle name="检查单元格 21 2 2" xfId="25326" xr:uid="{8A2DE4C4-0D37-4611-B2FA-04A996A8805C}"/>
    <cellStyle name="检查单元格 21 3" xfId="25325" xr:uid="{0A42889E-1933-472B-AD21-61AFA06A527F}"/>
    <cellStyle name="检查单元格 22" xfId="7636" xr:uid="{BD046CCA-A0A7-499A-8FA1-274AA7D7C4E7}"/>
    <cellStyle name="检查单元格 22 2" xfId="11279" xr:uid="{FEB45DA7-2582-4F58-BE64-39E857291399}"/>
    <cellStyle name="检查单元格 22 2 2" xfId="25328" xr:uid="{FC1FEBD2-71CB-4CF4-A5A2-757EA2E2142F}"/>
    <cellStyle name="检查单元格 22 3" xfId="25327" xr:uid="{4C45F0BF-8860-4D16-8759-8EE88AE665CB}"/>
    <cellStyle name="检查单元格 23" xfId="7638" xr:uid="{EC55660D-001F-4E5A-8014-7DB015E9CD96}"/>
    <cellStyle name="检查单元格 23 2" xfId="25330" xr:uid="{FF24C10A-6DCC-4515-B010-6B88576686D2}"/>
    <cellStyle name="检查单元格 23 3" xfId="25329" xr:uid="{70D6F8AC-55AF-4223-B991-954B9EF9DB7C}"/>
    <cellStyle name="检查单元格 24" xfId="7640" xr:uid="{6621D5A6-464E-4A5B-9AE5-533036DEC804}"/>
    <cellStyle name="检查单元格 24 2" xfId="25332" xr:uid="{F2F2F984-2DD4-43CA-8EFE-79FE0A4E9D47}"/>
    <cellStyle name="检查单元格 24 3" xfId="25331" xr:uid="{05988A53-59DE-45DC-80B5-3EC3C317FEB4}"/>
    <cellStyle name="检查单元格 25" xfId="7655" xr:uid="{3C9D8E62-2A35-47EB-9D0E-59246163DBA5}"/>
    <cellStyle name="检查单元格 25 2" xfId="25334" xr:uid="{1375CC6E-2DDD-4BDF-9CB5-BE4826BBAD1D}"/>
    <cellStyle name="检查单元格 25 3" xfId="25333" xr:uid="{A274779E-6A28-400B-AF2A-39B8ED623B5E}"/>
    <cellStyle name="检查单元格 26" xfId="7657" xr:uid="{43886C63-88DC-48DB-B67E-16CFB7FE0849}"/>
    <cellStyle name="检查单元格 26 2" xfId="25336" xr:uid="{0BBCFD61-270E-4644-A67A-44010234D044}"/>
    <cellStyle name="检查单元格 26 3" xfId="25335" xr:uid="{E1282E31-AAAA-42C1-B54D-26CB774644C7}"/>
    <cellStyle name="检查单元格 27" xfId="7659" xr:uid="{1ADB13D0-0283-460B-9AAF-2EFB15BF38E5}"/>
    <cellStyle name="检查单元格 27 2" xfId="25338" xr:uid="{141671D0-12AB-4E8B-AC1A-552091D0EF5E}"/>
    <cellStyle name="检查单元格 27 3" xfId="25337" xr:uid="{FD4B555D-7973-4CEC-AB1C-BD1B59271CCB}"/>
    <cellStyle name="检查单元格 28" xfId="7661" xr:uid="{685EC6A1-FF86-4F4F-B210-A0692113352C}"/>
    <cellStyle name="检查单元格 28 2" xfId="25340" xr:uid="{91A6B28D-C79B-475A-BB7C-E598E12A2AFB}"/>
    <cellStyle name="检查单元格 28 3" xfId="25339" xr:uid="{3B149CB6-6829-4158-8B1F-F4AE31979E93}"/>
    <cellStyle name="检查单元格 29" xfId="7663" xr:uid="{22BB30AB-B8A8-4727-822C-7E5687FBD176}"/>
    <cellStyle name="检查单元格 29 2" xfId="25342" xr:uid="{38E8B2BC-FF98-4FF1-B07A-5F2233E074C1}"/>
    <cellStyle name="检查单元格 29 3" xfId="25341" xr:uid="{C22557D8-2B55-44AB-A6F7-02CA691EC64A}"/>
    <cellStyle name="检查单元格 3" xfId="7665" xr:uid="{C67005F4-1A56-4D32-8150-D57EB7C5D50A}"/>
    <cellStyle name="检查单元格 3 2" xfId="11281" xr:uid="{047A5CED-E6DB-4E01-95B7-0ACF9113E675}"/>
    <cellStyle name="检查单元格 3 2 2" xfId="25344" xr:uid="{0545B07E-05AF-4367-BDB5-8DBA36479CD6}"/>
    <cellStyle name="检查单元格 3 2 3" xfId="27579" xr:uid="{D7A20BFE-11C4-4736-AAA2-45904A421DFF}"/>
    <cellStyle name="检查单元格 3 3" xfId="11282" xr:uid="{205F327A-A4C7-4F69-9854-777150021C10}"/>
    <cellStyle name="检查单元格 3 3 2" xfId="25345" xr:uid="{02F47A30-AC56-4041-AA49-08504D49184C}"/>
    <cellStyle name="检查单元格 3 3 3" xfId="27580" xr:uid="{EF936B22-1551-4116-AF54-4FBA054724A4}"/>
    <cellStyle name="检查单元格 3 4" xfId="11280" xr:uid="{13E62135-AA20-4CF3-9648-E6AB2366FE4C}"/>
    <cellStyle name="检查单元格 3 4 2" xfId="25346" xr:uid="{4571B1DA-ACD8-4BEB-B55C-09E3B829F6FD}"/>
    <cellStyle name="检查单元格 3 5" xfId="25343" xr:uid="{9A0F7870-4ABC-4AAB-8823-1A273B2BDB10}"/>
    <cellStyle name="检查单元格 30" xfId="7656" xr:uid="{80B2C173-7661-4748-97FC-30D9C2E2A28A}"/>
    <cellStyle name="检查单元格 30 2" xfId="25348" xr:uid="{C46F901A-FC47-4DF6-AECB-13BF0B9D56A3}"/>
    <cellStyle name="检查单元格 30 3" xfId="25347" xr:uid="{5CFF914F-B706-41AE-8107-66128D903BB3}"/>
    <cellStyle name="检查单元格 31" xfId="7658" xr:uid="{2C351B70-A1D3-461E-9DBC-C7112968F189}"/>
    <cellStyle name="检查单元格 31 2" xfId="25350" xr:uid="{F2335E82-DBE6-44EB-92C8-3487E85C7AAF}"/>
    <cellStyle name="检查单元格 31 3" xfId="25349" xr:uid="{163C4A59-F1A1-4DF3-83B5-DA00F3AFCB37}"/>
    <cellStyle name="检查单元格 32" xfId="7660" xr:uid="{29F13B0E-432C-434B-A9F0-16805B14B117}"/>
    <cellStyle name="检查单元格 32 2" xfId="25352" xr:uid="{3BC406CF-ADFD-496C-A39F-570EC591344F}"/>
    <cellStyle name="检查单元格 32 3" xfId="25351" xr:uid="{4E87BA92-1018-4BC2-B640-EB16ED2AE490}"/>
    <cellStyle name="检查单元格 33" xfId="7662" xr:uid="{11AFF7CC-15F7-403A-8B9D-27BFBD14EC17}"/>
    <cellStyle name="检查单元格 33 2" xfId="25354" xr:uid="{6383C5DF-2167-41E3-969F-6C3F198C2A9E}"/>
    <cellStyle name="检查单元格 33 3" xfId="25353" xr:uid="{4CE6EDEF-367C-47A1-BD65-0BBA6188150B}"/>
    <cellStyle name="检查单元格 34" xfId="7664" xr:uid="{27261E68-9AAD-4695-B74C-69A27B97F106}"/>
    <cellStyle name="检查单元格 34 2" xfId="13727" xr:uid="{AC7617C3-EF11-4E65-A4F4-1CCD71F41AB0}"/>
    <cellStyle name="检查单元格 34 2 2" xfId="25356" xr:uid="{E56B6EA0-D639-468C-8599-4BF6992C360B}"/>
    <cellStyle name="检查单元格 34 3" xfId="25355" xr:uid="{DFDE59C9-84C0-4461-91A7-628AC88FCE6E}"/>
    <cellStyle name="检查单元格 35" xfId="7666" xr:uid="{DF2E54F9-9C34-40C2-9D7B-F26C2AE6D7F6}"/>
    <cellStyle name="检查单元格 35 2" xfId="13728" xr:uid="{C4088B9A-BBC9-4F86-AC95-3C09141D82BD}"/>
    <cellStyle name="检查单元格 35 2 2" xfId="25358" xr:uid="{13F8B46C-BA77-476B-832F-A4BCB722F797}"/>
    <cellStyle name="检查单元格 35 3" xfId="25357" xr:uid="{7CF693D6-E60C-4EA2-80EA-C4E52B326307}"/>
    <cellStyle name="检查单元格 36" xfId="7668" xr:uid="{8D7FF0FD-7A45-4D02-B759-B7430C1C4005}"/>
    <cellStyle name="检查单元格 36 2" xfId="13729" xr:uid="{02C1E50F-09D3-476B-B3B9-46F9D0DB41BA}"/>
    <cellStyle name="检查单元格 36 2 2" xfId="25360" xr:uid="{D8FC7CBB-6E9B-40A3-80A3-4AEF914F62BA}"/>
    <cellStyle name="检查单元格 36 3" xfId="25359" xr:uid="{204C07CD-9884-448E-9380-5858655B136A}"/>
    <cellStyle name="检查单元格 37" xfId="7670" xr:uid="{76DEE0CC-526D-41AC-84C5-89B3FF6791E4}"/>
    <cellStyle name="检查单元格 37 2" xfId="13730" xr:uid="{B50AF881-7E61-467C-A765-AE0B3E8AA948}"/>
    <cellStyle name="检查单元格 37 2 2" xfId="25362" xr:uid="{5FF221FC-BABE-4B79-826E-C12A6588EBE8}"/>
    <cellStyle name="检查单元格 37 3" xfId="25361" xr:uid="{C6CF0055-7CE5-4AD3-8EA0-5E71340938A3}"/>
    <cellStyle name="检查单元格 38" xfId="7672" xr:uid="{CF0AD017-2F29-4B62-BB0A-65ED1D104181}"/>
    <cellStyle name="检查单元格 38 2" xfId="13731" xr:uid="{99A0DBFB-AB81-4910-B6BD-217000066857}"/>
    <cellStyle name="检查单元格 38 2 2" xfId="25364" xr:uid="{0FD4AA77-8FCD-472D-8416-AD4F88F60B90}"/>
    <cellStyle name="检查单元格 38 3" xfId="25363" xr:uid="{F1DC67B7-BE7E-4149-8327-787E4300379F}"/>
    <cellStyle name="检查单元格 39" xfId="7674" xr:uid="{CAEC67AF-FABB-4ACE-97C0-F27E3F8D71FA}"/>
    <cellStyle name="检查单元格 39 2" xfId="13732" xr:uid="{8D1A4E30-8C77-43F7-8ABA-81B96806E97D}"/>
    <cellStyle name="检查单元格 39 2 2" xfId="25366" xr:uid="{863F3C02-24E5-4C8A-8730-313B9C18EC3D}"/>
    <cellStyle name="检查单元格 39 3" xfId="25365" xr:uid="{43720A2B-153D-4033-8526-22D60E84200C}"/>
    <cellStyle name="检查单元格 4" xfId="7676" xr:uid="{1BA9111C-CE3C-47B5-834D-01892B2C8C84}"/>
    <cellStyle name="检查单元格 4 2" xfId="11284" xr:uid="{A66C2F1C-094E-43BA-BBAA-A42FC64C0F43}"/>
    <cellStyle name="检查单元格 4 2 2" xfId="25368" xr:uid="{0A5A40D0-A54C-4CB6-A68F-7625C3A88C69}"/>
    <cellStyle name="检查单元格 4 3" xfId="11285" xr:uid="{D5A1AB3A-AAB3-4362-9043-39AB149ADF0C}"/>
    <cellStyle name="检查单元格 4 3 2" xfId="25369" xr:uid="{7070207A-315A-4A3C-A842-10CC65F3D2AA}"/>
    <cellStyle name="检查单元格 4 4" xfId="11283" xr:uid="{267B8D33-F5E1-48C2-AC35-0A359181DB29}"/>
    <cellStyle name="检查单元格 4 5" xfId="25367" xr:uid="{0F306295-5BFB-44D4-8F7F-69392059654B}"/>
    <cellStyle name="检查单元格 40" xfId="7667" xr:uid="{E9754F08-82AC-489F-AE36-8969465213D2}"/>
    <cellStyle name="检查单元格 40 2" xfId="13733" xr:uid="{5B2E8571-3BCB-4069-819A-9E541A1433A5}"/>
    <cellStyle name="检查单元格 40 2 2" xfId="25371" xr:uid="{C4C583C3-AB73-4177-B9E8-10F22474ACBE}"/>
    <cellStyle name="检查单元格 40 3" xfId="25370" xr:uid="{07D2178E-9FE7-4499-919D-38F8BA823BB6}"/>
    <cellStyle name="检查单元格 41" xfId="7669" xr:uid="{DFC8E85B-F0C7-4B87-B697-E809C757D2FE}"/>
    <cellStyle name="检查单元格 41 2" xfId="13734" xr:uid="{4DD49780-7C58-4EFC-BD3F-CDA4E708FFB6}"/>
    <cellStyle name="检查单元格 41 2 2" xfId="25373" xr:uid="{E217B61E-3A24-48C2-8662-B8B2774B5242}"/>
    <cellStyle name="检查单元格 41 3" xfId="25372" xr:uid="{FB9F42CB-BA38-4E49-9A6C-6A35A4A9B7FE}"/>
    <cellStyle name="检查单元格 42" xfId="7671" xr:uid="{E62A70FD-68A0-4515-95E3-CDA9A0AC7F31}"/>
    <cellStyle name="检查单元格 42 2" xfId="13735" xr:uid="{F7C1EA3D-AE18-468A-A74F-A3E76FE2DFB1}"/>
    <cellStyle name="检查单元格 42 2 2" xfId="25375" xr:uid="{1DD7C3C4-7805-4E62-8E30-1ED13BB04E2D}"/>
    <cellStyle name="检查单元格 42 3" xfId="25374" xr:uid="{E094DEB0-9C0C-4796-892A-1F69075D7407}"/>
    <cellStyle name="检查单元格 43" xfId="7673" xr:uid="{59AFE87A-5F30-41CF-A6AD-5F5838ED32A1}"/>
    <cellStyle name="检查单元格 43 2" xfId="13736" xr:uid="{51EBA3DE-5FCD-4C65-BBA2-8AF887267693}"/>
    <cellStyle name="检查单元格 43 2 2" xfId="25377" xr:uid="{9026B292-A426-428B-8A81-696B6A780482}"/>
    <cellStyle name="检查单元格 43 3" xfId="25376" xr:uid="{1A7E2AC6-F9BB-4619-AEF6-E125EBEF4002}"/>
    <cellStyle name="检查单元格 44" xfId="7675" xr:uid="{6F6FF897-E9DC-4BD2-92FB-4A942B5AA8DE}"/>
    <cellStyle name="检查单元格 44 2" xfId="13737" xr:uid="{7AEFB054-B706-4698-9F25-E53500B4C375}"/>
    <cellStyle name="检查单元格 44 2 2" xfId="25379" xr:uid="{5CD2EC80-58EA-4325-9079-D3A9C26DF73C}"/>
    <cellStyle name="检查单元格 44 3" xfId="25378" xr:uid="{ADBC99E4-F534-444E-88DB-E564DA556EFF}"/>
    <cellStyle name="检查单元格 45" xfId="7677" xr:uid="{80CBFFAC-FBDF-430A-91CC-0396B00ACF66}"/>
    <cellStyle name="检查单元格 45 2" xfId="13738" xr:uid="{3D98B3EE-73CB-483E-9684-054E64D8C7AD}"/>
    <cellStyle name="检查单元格 45 2 2" xfId="25381" xr:uid="{EC6BD15F-9BF9-4DE2-9E30-26DA66862612}"/>
    <cellStyle name="检查单元格 45 3" xfId="25380" xr:uid="{C782C5EA-3FA9-4003-BBCE-3F68A7607700}"/>
    <cellStyle name="检查单元格 46" xfId="7679" xr:uid="{EF048B9C-8C86-4D74-BE39-16F8878DD7ED}"/>
    <cellStyle name="检查单元格 46 2" xfId="13739" xr:uid="{E2D70FD2-D420-478E-B047-0AA8C6DA3953}"/>
    <cellStyle name="检查单元格 46 2 2" xfId="25383" xr:uid="{C9F581A9-8E55-4C61-B348-30D70AF1D053}"/>
    <cellStyle name="检查单元格 46 3" xfId="25382" xr:uid="{E5A72A77-4D43-4B9A-8B4C-0AB4F5FD679A}"/>
    <cellStyle name="检查单元格 47" xfId="7681" xr:uid="{79B0156F-7BB8-441D-A823-EE2D8AFC0E53}"/>
    <cellStyle name="检查单元格 47 2" xfId="13740" xr:uid="{DEE80D43-BA30-4C27-80AE-3A62E5390E22}"/>
    <cellStyle name="检查单元格 47 3" xfId="25384" xr:uid="{0E21CC8A-6323-417D-9FEC-4FD26C3F7C05}"/>
    <cellStyle name="检查单元格 48" xfId="7683" xr:uid="{79D0AE0B-84D3-424E-8DC1-BD159ED3701E}"/>
    <cellStyle name="检查单元格 48 2" xfId="13741" xr:uid="{731E7B88-F7CF-48D0-8134-98DDC0A6EA9B}"/>
    <cellStyle name="检查单元格 48 3" xfId="25385" xr:uid="{0D556DEB-802E-4BC1-A47C-F46A2CD9E8B3}"/>
    <cellStyle name="检查单元格 49" xfId="7685" xr:uid="{FED6EF5D-8F6B-4EA1-A42F-D0F772EDC428}"/>
    <cellStyle name="检查单元格 49 2" xfId="13742" xr:uid="{E03C2CB4-3B27-4CA1-9FB7-E8DE01A437FC}"/>
    <cellStyle name="检查单元格 49 3" xfId="25386" xr:uid="{BCC6D8EE-A6C0-47B9-816D-B5991D4C7D07}"/>
    <cellStyle name="检查单元格 5" xfId="7687" xr:uid="{4684B7D4-ED50-4327-B3C3-EA4E0ED4CB98}"/>
    <cellStyle name="检查单元格 5 2" xfId="11287" xr:uid="{CAF2DBD4-4169-4F70-A6D7-6E336EA179F5}"/>
    <cellStyle name="检查单元格 5 2 2" xfId="25388" xr:uid="{498FB74B-AF59-4B70-A694-6F30378F0E66}"/>
    <cellStyle name="检查单元格 5 3" xfId="11288" xr:uid="{88C6C1A4-8F0A-40FD-921E-DD3F90C9E4EA}"/>
    <cellStyle name="检查单元格 5 4" xfId="11286" xr:uid="{6AD4B942-24D9-4C24-AEBD-B90498B83207}"/>
    <cellStyle name="检查单元格 5 5" xfId="25387" xr:uid="{39C65596-C283-440B-8B83-9D08A712A3A7}"/>
    <cellStyle name="检查单元格 50" xfId="7678" xr:uid="{49E5F459-D0DB-49A3-AC36-DDB7820F3942}"/>
    <cellStyle name="检查单元格 50 2" xfId="13743" xr:uid="{EE944E70-8F91-4D65-9FB3-4625C9743DE8}"/>
    <cellStyle name="检查单元格 50 3" xfId="25389" xr:uid="{A712D9AE-E7DA-4DEF-89FA-DD860C094681}"/>
    <cellStyle name="检查单元格 51" xfId="7680" xr:uid="{CE810FE5-A81A-4961-8795-C6F3755A53DC}"/>
    <cellStyle name="检查单元格 51 2" xfId="13744" xr:uid="{8D974912-DC96-43AB-97EF-74BDB7A59C84}"/>
    <cellStyle name="检查单元格 51 3" xfId="25390" xr:uid="{C657DA44-758C-4D4F-963E-7AFF74AC8626}"/>
    <cellStyle name="检查单元格 52" xfId="7682" xr:uid="{B7C65312-B95A-4EB6-AEB1-35C7AA1F28C1}"/>
    <cellStyle name="检查单元格 52 2" xfId="13745" xr:uid="{040E6DD0-B0F9-4CE3-94D5-7B8AC08270FB}"/>
    <cellStyle name="检查单元格 52 3" xfId="25391" xr:uid="{E843D385-4712-4A01-A9A0-41736D4A346F}"/>
    <cellStyle name="检查单元格 53" xfId="7684" xr:uid="{BF8E91BA-5B5A-4A32-971C-4A2B1E432581}"/>
    <cellStyle name="检查单元格 53 2" xfId="13746" xr:uid="{94D6B474-194C-4CF6-A8CC-908A78E8BE63}"/>
    <cellStyle name="检查单元格 53 3" xfId="25392" xr:uid="{F6FC1C16-A58A-4CC5-B9A5-A5E7DE652490}"/>
    <cellStyle name="检查单元格 54" xfId="7686" xr:uid="{BFAFB075-F901-4688-B80D-BC312F8F85E3}"/>
    <cellStyle name="检查单元格 54 2" xfId="13747" xr:uid="{FCF51F41-E9B0-4AF5-AFBD-A1D7C452E66A}"/>
    <cellStyle name="检查单元格 54 3" xfId="25393" xr:uid="{AD5827D7-2FEF-4B39-9861-240DE433D818}"/>
    <cellStyle name="检查单元格 55" xfId="7688" xr:uid="{5F417745-EBFC-4736-9554-2CBE8438FEF9}"/>
    <cellStyle name="检查单元格 55 2" xfId="13748" xr:uid="{B52173D9-A4E8-4801-BE21-B4A59658E8CA}"/>
    <cellStyle name="检查单元格 55 3" xfId="25394" xr:uid="{9A638BED-583E-49A7-833C-48EF83084FA8}"/>
    <cellStyle name="检查单元格 56" xfId="7690" xr:uid="{8673CED1-4FF1-4548-B807-A5C9347ED2BD}"/>
    <cellStyle name="检查单元格 56 2" xfId="13749" xr:uid="{E891C522-226D-44DD-B1CE-74FC1371AAEE}"/>
    <cellStyle name="检查单元格 56 3" xfId="25395" xr:uid="{6D1D8BE2-E648-491C-A75E-E538F9D39DDE}"/>
    <cellStyle name="检查单元格 57" xfId="7692" xr:uid="{21535203-FD94-4B43-A643-945BBFBFB718}"/>
    <cellStyle name="检查单元格 57 2" xfId="13750" xr:uid="{5FF6402F-EA60-4E3A-A0D5-7842E552468E}"/>
    <cellStyle name="检查单元格 58" xfId="7694" xr:uid="{39F6475B-BEE6-4852-87A6-B506D98FD5CE}"/>
    <cellStyle name="检查单元格 58 2" xfId="13751" xr:uid="{FBB5F324-419A-48DF-8539-023AF3B0A754}"/>
    <cellStyle name="检查单元格 59" xfId="7696" xr:uid="{0A0781FE-D75E-4268-A58E-3F18EF4AAEDB}"/>
    <cellStyle name="检查单元格 59 2" xfId="13752" xr:uid="{3E40489F-17CC-4BFE-A52B-33A3A4F322B0}"/>
    <cellStyle name="检查单元格 6" xfId="7698" xr:uid="{7BDE9092-7995-455D-B35C-7832BF6FE7CC}"/>
    <cellStyle name="检查单元格 6 2" xfId="7699" xr:uid="{25AAC858-551F-4583-8B29-FBF48148B56D}"/>
    <cellStyle name="检查单元格 6 2 2" xfId="11290" xr:uid="{5CD87814-100A-41EF-89E7-90822513B375}"/>
    <cellStyle name="检查单元格 6 2 3" xfId="25397" xr:uid="{1549BB92-486B-4724-82D9-885B6C523821}"/>
    <cellStyle name="检查单元格 6 3" xfId="11291" xr:uid="{6115C57D-CE37-41A6-B17F-B5E40B53AEA9}"/>
    <cellStyle name="检查单元格 6 4" xfId="11289" xr:uid="{4AE67515-1CCD-4782-9A07-5CFA0F56E960}"/>
    <cellStyle name="检查单元格 6 5" xfId="25396" xr:uid="{904D7F92-7AF6-4803-B266-FF3AEDD204C9}"/>
    <cellStyle name="检查单元格 60" xfId="7689" xr:uid="{2DBAC051-8B59-4EDB-86B8-DFA8873BFA34}"/>
    <cellStyle name="检查单元格 60 2" xfId="13753" xr:uid="{C7B83256-EAFE-470B-9BF2-0357F242C5FF}"/>
    <cellStyle name="检查单元格 61" xfId="7691" xr:uid="{82402C3D-79E4-463E-B06F-38E0BF8040CC}"/>
    <cellStyle name="检查单元格 61 2" xfId="13754" xr:uid="{CCB08838-B024-4CAA-B7DA-17FDCE9B13ED}"/>
    <cellStyle name="检查单元格 62" xfId="7693" xr:uid="{02FE6CB7-1C35-427F-A5AF-72591B531BF6}"/>
    <cellStyle name="检查单元格 62 2" xfId="13755" xr:uid="{412EE88E-93F8-4020-A85E-C1DC547E2382}"/>
    <cellStyle name="检查单元格 63" xfId="7695" xr:uid="{3D6EB763-EEC3-472B-A7F0-8DF893EDCAE3}"/>
    <cellStyle name="检查单元格 63 2" xfId="13756" xr:uid="{FC1F8EEE-4613-4AEA-8F35-54C55E273366}"/>
    <cellStyle name="检查单元格 64" xfId="7697" xr:uid="{9191F6B6-39AF-47B0-A1CC-80821D4F1F61}"/>
    <cellStyle name="检查单元格 64 2" xfId="13757" xr:uid="{A95075C9-5577-46EE-805A-F7CE78176018}"/>
    <cellStyle name="检查单元格 65" xfId="7700" xr:uid="{2149CC62-8CB0-401C-B3CE-5186E79CB017}"/>
    <cellStyle name="检查单元格 65 2" xfId="13758" xr:uid="{AFB0E6D2-0451-4171-84F5-D951A5FFB514}"/>
    <cellStyle name="检查单元格 66" xfId="7702" xr:uid="{9EBAA226-4CFA-488E-8000-17F3A74B50FA}"/>
    <cellStyle name="检查单元格 66 2" xfId="13759" xr:uid="{BF00D8BE-2A2B-4BC1-AD1E-C405D33E0FBE}"/>
    <cellStyle name="检查单元格 67" xfId="7704" xr:uid="{ECD96643-EB20-4ABE-AA69-62C4138CAF1D}"/>
    <cellStyle name="检查单元格 67 2" xfId="13760" xr:uid="{27C95D3A-D50D-46F8-B113-7BB10D97D4AD}"/>
    <cellStyle name="检查单元格 68" xfId="7706" xr:uid="{75552B9E-EDCF-461E-8388-6074B3F8637B}"/>
    <cellStyle name="检查单元格 68 2" xfId="13761" xr:uid="{1DD80930-301C-4D5D-B52C-188E958E1E8D}"/>
    <cellStyle name="检查单元格 69" xfId="7708" xr:uid="{1BD98E1A-6979-489E-9FD6-E8B8B7335885}"/>
    <cellStyle name="检查单元格 69 2" xfId="13762" xr:uid="{BC1F4948-4E19-4161-A4EE-19F2AFF8786A}"/>
    <cellStyle name="检查单元格 7" xfId="7710" xr:uid="{567CE637-373B-4F3B-9BB9-5C89A4CDEF84}"/>
    <cellStyle name="检查单元格 7 2" xfId="7711" xr:uid="{AAD0FDE7-C982-43A0-B6C8-FBEB97BD3504}"/>
    <cellStyle name="检查单元格 7 2 2" xfId="11293" xr:uid="{00E12A48-313B-40E1-BBE3-A7903E1E3CE1}"/>
    <cellStyle name="检查单元格 7 2 3" xfId="25399" xr:uid="{7D63A27F-A527-4E4D-A23D-C01EEBF25A9B}"/>
    <cellStyle name="检查单元格 7 3" xfId="11294" xr:uid="{AE3531D5-C874-4ED5-B37F-11618D8BD25A}"/>
    <cellStyle name="检查单元格 7 4" xfId="11292" xr:uid="{387B21DD-D078-4BBD-9114-13363D9789D6}"/>
    <cellStyle name="检查单元格 7 5" xfId="25398" xr:uid="{D9CA4B2D-F228-4C49-8102-DEC77D1BEA09}"/>
    <cellStyle name="检查单元格 70" xfId="7701" xr:uid="{6E92D725-3DC5-48AB-9157-47E7BD2CEDC3}"/>
    <cellStyle name="检查单元格 70 2" xfId="13763" xr:uid="{22882A2F-B676-4C2C-AC15-CE93848F5B2E}"/>
    <cellStyle name="检查单元格 71" xfId="7703" xr:uid="{59F48594-BD1A-4D90-A9C2-DA5C6897BC65}"/>
    <cellStyle name="检查单元格 71 2" xfId="13764" xr:uid="{7F18CDF2-AFFA-403C-A5E2-6BE0D9FBE445}"/>
    <cellStyle name="检查单元格 72" xfId="7705" xr:uid="{6BDD1C54-4598-485E-B664-9BCDF51F2197}"/>
    <cellStyle name="检查单元格 72 2" xfId="13765" xr:uid="{1EE8D875-8BC1-4215-B5EF-D79551E97E0A}"/>
    <cellStyle name="检查单元格 73" xfId="7707" xr:uid="{6B631BE7-658C-40B1-BF50-C9B3E5BBB171}"/>
    <cellStyle name="检查单元格 73 2" xfId="13766" xr:uid="{702BFED0-769F-43F7-9E89-26FF3386E748}"/>
    <cellStyle name="检查单元格 74" xfId="7709" xr:uid="{F25CCD14-1BE9-48DB-AB06-16B463990FF2}"/>
    <cellStyle name="检查单元格 74 2" xfId="13767" xr:uid="{74EF4A59-5A22-4494-8C96-11BB01E48977}"/>
    <cellStyle name="检查单元格 75" xfId="7712" xr:uid="{D0D55AF2-F681-41FC-A9F0-6BF7BAD09260}"/>
    <cellStyle name="检查单元格 75 2" xfId="13768" xr:uid="{90A50BB9-7BD5-462A-8412-3CEEC6EA8440}"/>
    <cellStyle name="检查单元格 76" xfId="7714" xr:uid="{69B1DBF1-3362-4FD8-A960-CFC33E71C7F4}"/>
    <cellStyle name="检查单元格 76 2" xfId="13769" xr:uid="{C5CC88A7-C1D4-41D6-8C69-E2201E7BCC5F}"/>
    <cellStyle name="检查单元格 77" xfId="7716" xr:uid="{E8DD26ED-0C4F-4002-9633-598D4B0654D8}"/>
    <cellStyle name="检查单元格 77 2" xfId="13770" xr:uid="{6AF439D3-1751-4D81-A9BA-0C9FCD5C0EEE}"/>
    <cellStyle name="检查单元格 78" xfId="7718" xr:uid="{4F3BB264-31BB-408D-97F4-CA967B8D28DB}"/>
    <cellStyle name="检查单元格 78 2" xfId="13771" xr:uid="{1704B571-C7C7-4E39-A3B5-BD60C7916485}"/>
    <cellStyle name="检查单元格 79" xfId="7720" xr:uid="{25D803E6-511F-437F-9E80-05074C688632}"/>
    <cellStyle name="检查单元格 79 2" xfId="13772" xr:uid="{3DCB6DB8-B708-46E0-BBD2-2E6D45529797}"/>
    <cellStyle name="检查单元格 8" xfId="4382" xr:uid="{01EDEA00-25CD-4E69-90AD-5C632926C68F}"/>
    <cellStyle name="检查单元格 8 2" xfId="7722" xr:uid="{AC6B23D8-DFEA-42BE-A663-45DFB0DC228F}"/>
    <cellStyle name="检查单元格 8 2 2" xfId="11296" xr:uid="{9A8B256F-8076-4D2E-93DE-B0CFEB74A629}"/>
    <cellStyle name="检查单元格 8 2 3" xfId="25401" xr:uid="{5A487598-C682-4742-97A1-20C32DF6D86E}"/>
    <cellStyle name="检查单元格 8 3" xfId="11297" xr:uid="{F1F1F506-3075-4FBC-8ECE-51443B448930}"/>
    <cellStyle name="检查单元格 8 4" xfId="11295" xr:uid="{F1E898D1-D113-4A86-8C40-6C864759B557}"/>
    <cellStyle name="检查单元格 8 5" xfId="25400" xr:uid="{37309F2C-020C-4F47-982C-A86DBBC93E3A}"/>
    <cellStyle name="检查单元格 80" xfId="7713" xr:uid="{2F59E09B-0D0C-42DD-93C3-6B9CE88371D5}"/>
    <cellStyle name="检查单元格 80 2" xfId="13773" xr:uid="{CE5DF508-789F-4D11-819D-98A70A939AE4}"/>
    <cellStyle name="检查单元格 81" xfId="7715" xr:uid="{547168FC-3610-4483-9A8F-E63334613F89}"/>
    <cellStyle name="检查单元格 81 2" xfId="13774" xr:uid="{6941E847-4802-4706-B533-3E34B5DD5C92}"/>
    <cellStyle name="检查单元格 82" xfId="7717" xr:uid="{1DB1ED71-2731-4104-A2B0-33DBB90C6AD0}"/>
    <cellStyle name="检查单元格 82 2" xfId="13775" xr:uid="{137E0BD6-E390-4918-8A41-DC83D3084889}"/>
    <cellStyle name="检查单元格 83" xfId="7719" xr:uid="{D0F585EB-5C8E-4218-AB81-AFE0D4D70D1A}"/>
    <cellStyle name="检查单元格 83 2" xfId="13776" xr:uid="{4097624E-2A24-4BA1-9579-4DAB8818E31D}"/>
    <cellStyle name="检查单元格 84" xfId="7721" xr:uid="{0B723A33-A913-4092-8F82-2CDE92F86815}"/>
    <cellStyle name="检查单元格 84 2" xfId="13777" xr:uid="{87D71BE1-FCB0-4180-BE56-9E40BA1E1347}"/>
    <cellStyle name="检查单元格 85" xfId="9331" xr:uid="{F7E2BA94-D595-4563-BF02-CCE45C0697FB}"/>
    <cellStyle name="检查单元格 86" xfId="11247" xr:uid="{D6847B6C-E53B-42C2-8B13-10C72B718D35}"/>
    <cellStyle name="检查单元格 87" xfId="13590" xr:uid="{521A309C-ABD2-44C5-8EF0-F30710DF51EE}"/>
    <cellStyle name="检查单元格 88" xfId="27236" xr:uid="{9B9D6DFE-D1C5-4BA5-A42F-168E0255DE5A}"/>
    <cellStyle name="检查单元格 89" xfId="27212" xr:uid="{D01EA637-62FB-4737-ADFF-460827DF6E78}"/>
    <cellStyle name="检查单元格 9" xfId="7723" xr:uid="{BB028D97-1ADD-4285-8866-7BA8BF5F3F38}"/>
    <cellStyle name="检查单元格 9 2" xfId="11299" xr:uid="{63A529EF-72D7-473E-940D-C96DBDC244FB}"/>
    <cellStyle name="检查单元格 9 2 2" xfId="25403" xr:uid="{0B59AABE-DA5C-4F9D-9F32-4A340235ACAE}"/>
    <cellStyle name="检查单元格 9 3" xfId="11300" xr:uid="{3320ACF4-5B6A-48E4-A291-F9B5307867E9}"/>
    <cellStyle name="检查单元格 9 4" xfId="11298" xr:uid="{F88BB3AA-2461-4060-B808-4F4109DDAEDA}"/>
    <cellStyle name="检查单元格 9 5" xfId="25402" xr:uid="{3DC4AF32-CBEB-4E73-97B2-866F943EA7AB}"/>
    <cellStyle name="检查单元格 90" xfId="27233" xr:uid="{4F1EF8AF-EB77-499E-8876-95BAC7768D9B}"/>
    <cellStyle name="检查单元格 91" xfId="7625" xr:uid="{CA74BE54-6AE4-45BD-A516-253A91AAF7DB}"/>
    <cellStyle name="解释性文本" xfId="27820" builtinId="53" customBuiltin="1"/>
    <cellStyle name="解释性文本 10" xfId="7725" xr:uid="{014DF3A9-66E0-4208-A484-1D64420B1918}"/>
    <cellStyle name="解释性文本 10 2" xfId="11301" xr:uid="{C80B60BB-BF9D-4667-8BFA-6A7890468B8D}"/>
    <cellStyle name="解释性文本 10 2 2" xfId="25405" xr:uid="{DF03133D-CC9C-4FC3-AE96-5718A3E44C40}"/>
    <cellStyle name="解释性文本 10 3" xfId="11302" xr:uid="{829B0F7C-5263-4556-8A78-9941C2C3E891}"/>
    <cellStyle name="解释性文本 10 4" xfId="25404" xr:uid="{604166DC-CDE8-4B43-9E38-37D6F6928C8C}"/>
    <cellStyle name="解释性文本 11" xfId="7726" xr:uid="{41255D95-DB07-48DF-B5B7-2BF962FB1F39}"/>
    <cellStyle name="解释性文本 11 2" xfId="11303" xr:uid="{CD68E8B0-A88E-4DF4-A7F4-F2072DCE5889}"/>
    <cellStyle name="解释性文本 11 2 2" xfId="25407" xr:uid="{C6617E67-13F9-46D4-9A70-4BD17D7A3BB1}"/>
    <cellStyle name="解释性文本 11 3" xfId="11304" xr:uid="{03D62E26-D7A0-4360-9583-6236A7A22E17}"/>
    <cellStyle name="解释性文本 11 4" xfId="25406" xr:uid="{F8B9DF5A-C4FB-4630-A1E4-B8BD6BCCB250}"/>
    <cellStyle name="解释性文本 12" xfId="7727" xr:uid="{C9A61B92-734C-4CDA-ACE3-E87AF98DB76D}"/>
    <cellStyle name="解释性文本 12 2" xfId="11305" xr:uid="{2DB0F7AB-9314-44F6-9751-E1DDE8F30B23}"/>
    <cellStyle name="解释性文本 12 2 2" xfId="25409" xr:uid="{35E7CE7E-02E3-468C-878B-F9C7A0A123CF}"/>
    <cellStyle name="解释性文本 12 3" xfId="11306" xr:uid="{5408CB44-679C-4FED-8672-7CFFB7188446}"/>
    <cellStyle name="解释性文本 12 4" xfId="25408" xr:uid="{C8447C78-34DC-4A3E-A54A-33FE478EFFDD}"/>
    <cellStyle name="解释性文本 13" xfId="7728" xr:uid="{4FC3AEF0-0971-480E-8308-B0A1EA4BA54D}"/>
    <cellStyle name="解释性文本 13 2" xfId="11307" xr:uid="{0978961A-58F2-4F57-83F9-7EBCA1D9B2BC}"/>
    <cellStyle name="解释性文本 13 2 2" xfId="25411" xr:uid="{F3AD3E96-DB54-478A-985A-91AE8643B104}"/>
    <cellStyle name="解释性文本 13 3" xfId="11308" xr:uid="{5EB789BB-FF5F-4E20-A19E-044E13FD3192}"/>
    <cellStyle name="解释性文本 13 4" xfId="25410" xr:uid="{B4F09FE7-5D5D-45E1-80F0-733B57333798}"/>
    <cellStyle name="解释性文本 14" xfId="7729" xr:uid="{73211972-C310-42BA-A1C3-5F487CAF41E9}"/>
    <cellStyle name="解释性文本 14 2" xfId="11309" xr:uid="{02AA267C-B1EF-4C11-AD64-3A64D72EB09C}"/>
    <cellStyle name="解释性文本 14 2 2" xfId="25413" xr:uid="{CECE4180-A62F-4A5A-B87F-F08291D0C475}"/>
    <cellStyle name="解释性文本 14 3" xfId="11310" xr:uid="{FD2BE0A4-5503-4044-A803-C2B54B4A4D84}"/>
    <cellStyle name="解释性文本 14 4" xfId="25412" xr:uid="{7FB9E10E-3AD2-4352-9869-15F708657125}"/>
    <cellStyle name="解释性文本 15" xfId="7730" xr:uid="{E4983BA6-0292-45C2-A28F-294A2DE2D4F5}"/>
    <cellStyle name="解释性文本 15 2" xfId="11311" xr:uid="{05AF406C-1158-49FA-ACDE-915EC25124AD}"/>
    <cellStyle name="解释性文本 15 2 2" xfId="25415" xr:uid="{9483BB55-8BCE-49D8-9D16-C3CF2AC1A907}"/>
    <cellStyle name="解释性文本 15 3" xfId="11312" xr:uid="{A030111C-6C0B-40C0-8D19-03F0CC7A25A1}"/>
    <cellStyle name="解释性文本 15 4" xfId="25414" xr:uid="{33E56FC6-9936-4D4C-ADB3-312719C03471}"/>
    <cellStyle name="解释性文本 16" xfId="7732" xr:uid="{9C566821-EFE1-4567-9A8D-022D01F29874}"/>
    <cellStyle name="解释性文本 16 2" xfId="11313" xr:uid="{DF9CA3AC-67BC-4EC3-8260-DC387348C9CB}"/>
    <cellStyle name="解释性文本 16 2 2" xfId="25417" xr:uid="{88090570-DA10-4D76-9AEA-30F920BFA8CB}"/>
    <cellStyle name="解释性文本 16 3" xfId="11314" xr:uid="{99045EAA-4A2C-429F-A516-B8562B39F7E1}"/>
    <cellStyle name="解释性文本 16 4" xfId="25416" xr:uid="{8A531F89-2D00-419D-9356-F3B90C21FB9A}"/>
    <cellStyle name="解释性文本 17" xfId="7734" xr:uid="{D26A1B49-3058-4191-8513-53968EFEA019}"/>
    <cellStyle name="解释性文本 17 2" xfId="11315" xr:uid="{4990BB10-0252-4226-8A83-32C6467BD361}"/>
    <cellStyle name="解释性文本 17 2 2" xfId="25419" xr:uid="{34032ABC-3681-42F8-8040-4B97D5302448}"/>
    <cellStyle name="解释性文本 17 3" xfId="11316" xr:uid="{57456014-833E-41D2-A2FF-E6DBE0F7F74F}"/>
    <cellStyle name="解释性文本 17 4" xfId="25418" xr:uid="{D92948E6-DE87-4E8B-A259-A4AEA873E79D}"/>
    <cellStyle name="解释性文本 18" xfId="7736" xr:uid="{1F02D78C-267F-4D94-9A89-356D1AFB900D}"/>
    <cellStyle name="解释性文本 18 2" xfId="25421" xr:uid="{966EA2E5-E1D4-4B30-B592-554D20BF51BA}"/>
    <cellStyle name="解释性文本 18 3" xfId="25420" xr:uid="{67114545-0B93-473E-85F7-DA8E2488DF2A}"/>
    <cellStyle name="解释性文本 19" xfId="7738" xr:uid="{62E78038-70DD-49AD-98B8-ABB10D243600}"/>
    <cellStyle name="解释性文本 19 2" xfId="25423" xr:uid="{596FCF46-F72C-4965-A7DF-244266B6D3E7}"/>
    <cellStyle name="解释性文本 19 3" xfId="25422" xr:uid="{DB3DF03F-E434-4A55-9F30-AFDCC1DC3F38}"/>
    <cellStyle name="解释性文本 2" xfId="7740" xr:uid="{55283C07-64DB-4E67-88BA-F2FF2014882A}"/>
    <cellStyle name="解释性文本 2 10" xfId="7741" xr:uid="{E76E64D2-F600-43E7-8CE0-EAB97A084B37}"/>
    <cellStyle name="解释性文本 2 11" xfId="7742" xr:uid="{DBFF1B75-6836-4724-8FD0-C6C51637EB51}"/>
    <cellStyle name="解释性文本 2 12" xfId="7743" xr:uid="{1CB1E2D9-B3ED-4288-AD0F-E71AA2C489CB}"/>
    <cellStyle name="解释性文本 2 13" xfId="7744" xr:uid="{8CFF5196-AF1E-4837-85C6-D6C339F62D65}"/>
    <cellStyle name="解释性文本 2 14" xfId="12205" xr:uid="{4949BC27-8CC6-4B8B-A25D-55BD601BB913}"/>
    <cellStyle name="解释性文本 2 2" xfId="7745" xr:uid="{89209919-B0D3-44E9-8FDC-B66BEE77C235}"/>
    <cellStyle name="解释性文本 2 2 2" xfId="25425" xr:uid="{820C0305-B5B4-41F8-9545-963FB4D8CBAB}"/>
    <cellStyle name="解释性文本 2 2 3" xfId="25424" xr:uid="{88999CA0-A9C9-4CD6-8906-F9C22D60A1CC}"/>
    <cellStyle name="解释性文本 2 2 4" xfId="27581" xr:uid="{9193467B-CAC7-4E1B-B4EF-5029CCF9183E}"/>
    <cellStyle name="解释性文本 2 3" xfId="7746" xr:uid="{23AEE457-7404-4A69-A5DF-D7B85DA0129D}"/>
    <cellStyle name="解释性文本 2 3 2" xfId="25427" xr:uid="{4BC38D15-51A2-4CC9-85C0-CF9A97FAF003}"/>
    <cellStyle name="解释性文本 2 3 3" xfId="25426" xr:uid="{83610272-8223-4EE6-97FF-2FCC8B1E10AB}"/>
    <cellStyle name="解释性文本 2 3 4" xfId="27582" xr:uid="{887643BE-5437-48CD-85C3-4D9F0B8F340B}"/>
    <cellStyle name="解释性文本 2 4" xfId="7747" xr:uid="{A4CDD271-F05F-4FA4-931A-8294C2C6B005}"/>
    <cellStyle name="解释性文本 2 4 2" xfId="25428" xr:uid="{5961F457-A0A7-4F42-ADC1-4DA50FBA7022}"/>
    <cellStyle name="解释性文本 2 5" xfId="7748" xr:uid="{353583EC-7779-46A3-BFB5-C0FC27FDB6A3}"/>
    <cellStyle name="解释性文本 2 5 2" xfId="25429" xr:uid="{46E9820D-A356-4350-A40D-A91D3AB6CB52}"/>
    <cellStyle name="解释性文本 2 6" xfId="7749" xr:uid="{6B6D1D7C-D823-4A54-AB3D-162A15DAC19E}"/>
    <cellStyle name="解释性文本 2 7" xfId="7750" xr:uid="{23A38116-5317-40F0-9A69-F4228DCD316B}"/>
    <cellStyle name="解释性文本 2 8" xfId="7751" xr:uid="{93492B01-F3BA-4E1E-B886-4656B78065A1}"/>
    <cellStyle name="解释性文本 2 9" xfId="7752" xr:uid="{1613D92E-1258-4786-8063-17E3509A586F}"/>
    <cellStyle name="解释性文本 2_动力部" xfId="25430" xr:uid="{A4A5279D-7E68-4BE6-9B8A-D3B15B5A4204}"/>
    <cellStyle name="解释性文本 20" xfId="7731" xr:uid="{03525E27-27E0-4857-A3E2-298D1CABB64F}"/>
    <cellStyle name="解释性文本 20 2" xfId="25432" xr:uid="{C6AA23E3-9F84-491B-B405-501F52E71E54}"/>
    <cellStyle name="解释性文本 20 3" xfId="25431" xr:uid="{20D266AB-F7FE-4611-84AB-CCC980B4901A}"/>
    <cellStyle name="解释性文本 21" xfId="7733" xr:uid="{0EB3D175-2C5F-4799-A5C6-01567897082C}"/>
    <cellStyle name="解释性文本 21 2" xfId="25434" xr:uid="{CDEB5E5D-5F7B-420A-9257-E3DD01DC64E1}"/>
    <cellStyle name="解释性文本 21 3" xfId="25433" xr:uid="{4C0D3A14-E09E-490E-869F-56400720CBCA}"/>
    <cellStyle name="解释性文本 22" xfId="7735" xr:uid="{36E50763-792E-45F7-A4E8-FBD779D9B0FB}"/>
    <cellStyle name="解释性文本 22 2" xfId="25436" xr:uid="{C255D360-8196-454F-9F56-4E162DFC401F}"/>
    <cellStyle name="解释性文本 22 3" xfId="25435" xr:uid="{211E9840-C438-48EF-9689-52D78794EE38}"/>
    <cellStyle name="解释性文本 23" xfId="7737" xr:uid="{CC4880D1-05B9-468A-9541-9CBC5536827F}"/>
    <cellStyle name="解释性文本 23 2" xfId="25438" xr:uid="{6874CCC4-210C-4AF7-B65F-D8043BB4BC60}"/>
    <cellStyle name="解释性文本 23 3" xfId="25437" xr:uid="{3A148B77-28EE-4868-8940-35440A027763}"/>
    <cellStyle name="解释性文本 24" xfId="7739" xr:uid="{1F31CE12-561D-4083-8822-FB499B483888}"/>
    <cellStyle name="解释性文本 24 2" xfId="25440" xr:uid="{879EA62D-4B7A-4E30-A782-02FC636C5E23}"/>
    <cellStyle name="解释性文本 24 3" xfId="25439" xr:uid="{6B801B7A-8B64-4A2E-A0EA-D8744D2FA4BA}"/>
    <cellStyle name="解释性文本 25" xfId="7753" xr:uid="{CEC61296-1B55-409B-8755-8CFB14B6029C}"/>
    <cellStyle name="解释性文本 25 2" xfId="25442" xr:uid="{A844213E-53AA-4334-9ED6-AF35AC9613B7}"/>
    <cellStyle name="解释性文本 25 3" xfId="25441" xr:uid="{736E2677-F475-4752-8E28-9F24A4426361}"/>
    <cellStyle name="解释性文本 26" xfId="7755" xr:uid="{DD82738D-BB22-4255-A6E2-0DF04D580712}"/>
    <cellStyle name="解释性文本 26 2" xfId="25444" xr:uid="{61FD3E64-7E72-408C-8497-1F7BE869F3C1}"/>
    <cellStyle name="解释性文本 26 3" xfId="25443" xr:uid="{B3DB9FFB-47FF-4078-9C8E-6C9A6E97C621}"/>
    <cellStyle name="解释性文本 27" xfId="7757" xr:uid="{1D95E545-98D7-465F-8CF2-69D068F97851}"/>
    <cellStyle name="解释性文本 27 2" xfId="25446" xr:uid="{873B417B-B622-4BAF-85A0-4BC09E20E4F9}"/>
    <cellStyle name="解释性文本 27 3" xfId="25445" xr:uid="{1E7710A7-99D5-43AC-8167-F0758B7F5BB1}"/>
    <cellStyle name="解释性文本 28" xfId="7759" xr:uid="{87A8FF0B-2EBD-4A6B-8A34-78B373AC5384}"/>
    <cellStyle name="解释性文本 28 2" xfId="25448" xr:uid="{A32B7C00-716F-4FD5-AAB8-620E3223E7FC}"/>
    <cellStyle name="解释性文本 28 3" xfId="25447" xr:uid="{B1AC75AE-496F-46C9-8EFB-B75894B95813}"/>
    <cellStyle name="解释性文本 29" xfId="7761" xr:uid="{D1D19890-EF49-456E-AF32-60AA899F1105}"/>
    <cellStyle name="解释性文本 29 2" xfId="25450" xr:uid="{1B0C0374-82E7-4313-A0E6-B74952A802D8}"/>
    <cellStyle name="解释性文本 29 3" xfId="25449" xr:uid="{A3506855-37F9-42D1-86A9-B3340ABD6D0C}"/>
    <cellStyle name="解释性文本 3" xfId="7763" xr:uid="{B1A7C609-34C4-4678-8BEE-EA3F1F493282}"/>
    <cellStyle name="解释性文本 3 2" xfId="11317" xr:uid="{8683B264-FF3E-4F24-BA36-FEFDD6A04D89}"/>
    <cellStyle name="解释性文本 3 2 2" xfId="25452" xr:uid="{961F712C-4AB6-48F8-8DCB-0801FF476964}"/>
    <cellStyle name="解释性文本 3 2 3" xfId="27583" xr:uid="{C428C507-5BAB-4A7E-810F-3D1E19468CF0}"/>
    <cellStyle name="解释性文本 3 3" xfId="11318" xr:uid="{A44FB703-24A9-49E8-92F9-6F5C7A0D9297}"/>
    <cellStyle name="解释性文本 3 3 2" xfId="25454" xr:uid="{555DE5CB-F168-4988-A67D-98029CA9804C}"/>
    <cellStyle name="解释性文本 3 3 3" xfId="25453" xr:uid="{3B0F88CA-72A0-42B2-8FC7-7CA417440E2A}"/>
    <cellStyle name="解释性文本 3 3 4" xfId="27584" xr:uid="{6643C932-A983-4C25-A61B-B44795C7A5E2}"/>
    <cellStyle name="解释性文本 3 4" xfId="25451" xr:uid="{F5A5171D-242E-4833-B76C-1E81A9292099}"/>
    <cellStyle name="解释性文本 30" xfId="7754" xr:uid="{E0AE240C-3747-400D-92F5-E195C9262743}"/>
    <cellStyle name="解释性文本 30 2" xfId="25456" xr:uid="{A6F9BA5A-17D8-4D28-B85B-5E76BFA378F3}"/>
    <cellStyle name="解释性文本 30 3" xfId="25455" xr:uid="{B085D4FD-7058-4AFE-8BC2-EB115D11C169}"/>
    <cellStyle name="解释性文本 31" xfId="7756" xr:uid="{D5C1E6BA-E89F-42F6-AB55-62C43BE1ED80}"/>
    <cellStyle name="解释性文本 31 2" xfId="25458" xr:uid="{4C2B471F-4A92-4A12-A085-E1657E3B0515}"/>
    <cellStyle name="解释性文本 31 3" xfId="25457" xr:uid="{2A9C3279-F2FE-4715-A9B7-B4951E54F6DA}"/>
    <cellStyle name="解释性文本 32" xfId="7758" xr:uid="{BBC17C37-6156-44D2-9570-FD310FB17B09}"/>
    <cellStyle name="解释性文本 32 2" xfId="25460" xr:uid="{BD7CFAFA-B36D-45B0-B04F-C1AF934D5BAF}"/>
    <cellStyle name="解释性文本 32 3" xfId="25459" xr:uid="{D1DDB0F6-2C50-4CEA-83AF-36FB6000B369}"/>
    <cellStyle name="解释性文本 33" xfId="7760" xr:uid="{5E4B6D4F-262C-4C31-9AE1-FFFEAF5ED683}"/>
    <cellStyle name="解释性文本 33 2" xfId="25462" xr:uid="{35913648-5697-4742-A492-5018012A1F2B}"/>
    <cellStyle name="解释性文本 33 3" xfId="25461" xr:uid="{546DD8E5-B3A8-4D63-9B96-AC0B95DEB075}"/>
    <cellStyle name="解释性文本 34" xfId="7762" xr:uid="{8B54B52A-D453-443B-9749-FEF832DA538C}"/>
    <cellStyle name="解释性文本 34 2" xfId="25464" xr:uid="{3E3DBE42-4F9F-454F-9460-D8FFF22C3E84}"/>
    <cellStyle name="解释性文本 34 3" xfId="25463" xr:uid="{B5A1B346-4CA0-4E4B-AFAD-CE1B9AC2174F}"/>
    <cellStyle name="解释性文本 35" xfId="4665" xr:uid="{079F74EB-CC0B-4032-9F4A-A54ADB066009}"/>
    <cellStyle name="解释性文本 35 2" xfId="25466" xr:uid="{A12C7705-1C8C-436E-8E88-105E23C6DC7A}"/>
    <cellStyle name="解释性文本 35 3" xfId="25465" xr:uid="{FD97473A-61C5-4DE8-A61A-2839B92EEDAB}"/>
    <cellStyle name="解释性文本 36" xfId="7764" xr:uid="{FC110960-7CDA-4172-83BE-646E018A0816}"/>
    <cellStyle name="解释性文本 36 2" xfId="25468" xr:uid="{A4E77FED-480A-4CB3-B51C-19BAF4719EA4}"/>
    <cellStyle name="解释性文本 36 3" xfId="25467" xr:uid="{30F35131-F6AE-4A79-9F70-0CCB9C425CEA}"/>
    <cellStyle name="解释性文本 37" xfId="7766" xr:uid="{3880647C-CFED-41DA-BE06-5AD1347F23C2}"/>
    <cellStyle name="解释性文本 37 2" xfId="25470" xr:uid="{7C7EDD3D-D7D3-4C2D-BB56-B58B4C755F2F}"/>
    <cellStyle name="解释性文本 37 3" xfId="25469" xr:uid="{BBCBCFAF-1906-438C-BEB6-143F94CFF289}"/>
    <cellStyle name="解释性文本 38" xfId="7768" xr:uid="{000BB906-E6E5-47AA-8CF1-C340F578F4F1}"/>
    <cellStyle name="解释性文本 38 2" xfId="25472" xr:uid="{80854F55-126D-46D4-B171-6802D26887C8}"/>
    <cellStyle name="解释性文本 38 3" xfId="25471" xr:uid="{38A4551F-801A-4B1D-BEC2-24917B2FD7D3}"/>
    <cellStyle name="解释性文本 39" xfId="7770" xr:uid="{EFB64265-2BB9-4250-97D8-BB83E69E2DA6}"/>
    <cellStyle name="解释性文本 39 2" xfId="25474" xr:uid="{15461D44-C8B0-4931-A149-92EDB3A3AC36}"/>
    <cellStyle name="解释性文本 39 3" xfId="25473" xr:uid="{2820AC73-FB2C-4BC2-8EC0-5F67868209F9}"/>
    <cellStyle name="解释性文本 4" xfId="7772" xr:uid="{648D2297-EF80-4C8B-B9B9-44569CFA160B}"/>
    <cellStyle name="解释性文本 4 2" xfId="11319" xr:uid="{A96B4460-DC35-4DAA-BE09-CA77802F6101}"/>
    <cellStyle name="解释性文本 4 2 2" xfId="25477" xr:uid="{1C219561-A63F-485C-BFBF-4A2520B9D30D}"/>
    <cellStyle name="解释性文本 4 2 3" xfId="25476" xr:uid="{83D414B9-5E50-483E-805A-CAF51899EEA0}"/>
    <cellStyle name="解释性文本 4 3" xfId="11320" xr:uid="{703A1D0E-72EE-430A-A893-1933B66CF9D3}"/>
    <cellStyle name="解释性文本 4 4" xfId="25475" xr:uid="{A48DEA39-832C-4BB1-A98E-A2B421DC898E}"/>
    <cellStyle name="解释性文本 40" xfId="4666" xr:uid="{6CF02B48-4901-4743-BB6C-E615DB8EADD8}"/>
    <cellStyle name="解释性文本 40 2" xfId="25479" xr:uid="{0C86E474-B1D1-42B2-8037-33D63679A6FE}"/>
    <cellStyle name="解释性文本 40 3" xfId="25478" xr:uid="{9F31DB1E-8C91-4A44-B410-76B2F4D3256D}"/>
    <cellStyle name="解释性文本 41" xfId="7765" xr:uid="{EA4EB3ED-203E-46F6-9C63-A5CFB01DBFFF}"/>
    <cellStyle name="解释性文本 41 2" xfId="25481" xr:uid="{19531445-FF67-43E4-BB22-6274E716C40C}"/>
    <cellStyle name="解释性文本 41 3" xfId="25480" xr:uid="{C1F49DBB-822C-4D9E-91BA-AED3EDCDD7BD}"/>
    <cellStyle name="解释性文本 42" xfId="7767" xr:uid="{6834E4D1-396E-4CB4-BE4B-EC34967DD761}"/>
    <cellStyle name="解释性文本 42 2" xfId="25483" xr:uid="{6209607C-B637-44DC-865D-899F32A41108}"/>
    <cellStyle name="解释性文本 42 3" xfId="25482" xr:uid="{2A0856A3-BE54-424A-B4B3-052242E9F081}"/>
    <cellStyle name="解释性文本 43" xfId="7769" xr:uid="{2346DFC2-B133-45A7-A8F0-FF4A76E25F06}"/>
    <cellStyle name="解释性文本 43 2" xfId="25485" xr:uid="{88FDEB5C-227C-4EFC-B915-4EF11F9C32B4}"/>
    <cellStyle name="解释性文本 43 3" xfId="25484" xr:uid="{EA2E68DC-E6DF-47CE-A958-36F7F381DB53}"/>
    <cellStyle name="解释性文本 44" xfId="7771" xr:uid="{6B122BE1-7E2C-4E95-920A-B220E23D83CD}"/>
    <cellStyle name="解释性文本 44 2" xfId="25487" xr:uid="{1E89492A-18E0-419E-B998-79B4EC0B47EE}"/>
    <cellStyle name="解释性文本 44 3" xfId="25486" xr:uid="{8FC9DAE3-6E7F-407C-BD73-3C19E28F0683}"/>
    <cellStyle name="解释性文本 45" xfId="7773" xr:uid="{0A2B1BA7-D0A6-4E3B-B1E6-995D62B989E7}"/>
    <cellStyle name="解释性文本 45 2" xfId="25489" xr:uid="{BE6F2C84-F9C5-4AC1-B78E-6F6DA3BAEFE3}"/>
    <cellStyle name="解释性文本 45 3" xfId="25488" xr:uid="{CA911F5A-07A3-4121-B8EE-946313B593D5}"/>
    <cellStyle name="解释性文本 46" xfId="7775" xr:uid="{3BF7479F-B282-4226-B302-DF2D2F683B55}"/>
    <cellStyle name="解释性文本 46 2" xfId="25491" xr:uid="{761958BC-EB4D-4C4C-B775-2F06231BC15D}"/>
    <cellStyle name="解释性文本 46 3" xfId="25490" xr:uid="{6B59B979-DEC4-4072-B2D2-06B2E00C76DA}"/>
    <cellStyle name="解释性文本 47" xfId="7778" xr:uid="{A4A4BA15-AC93-4026-8A16-D7B4B3295144}"/>
    <cellStyle name="解释性文本 47 2" xfId="25492" xr:uid="{3AA9DAA7-B061-4F85-9408-6FABF055CDA2}"/>
    <cellStyle name="解释性文本 48" xfId="7780" xr:uid="{AB498567-7E5A-4835-BCC3-DFAC0483FA88}"/>
    <cellStyle name="解释性文本 48 2" xfId="25493" xr:uid="{1557A951-C9E7-4D81-80F7-E34FD4FEE8B4}"/>
    <cellStyle name="解释性文本 49" xfId="7782" xr:uid="{9BDC60CD-C08F-4A7F-9FC3-8D40B4BF3927}"/>
    <cellStyle name="解释性文本 49 2" xfId="25494" xr:uid="{D64D9F52-EBB8-4DC9-8888-FFAA63E13A43}"/>
    <cellStyle name="解释性文本 5" xfId="7784" xr:uid="{462EA777-EACC-4B79-B83F-43A8500B7BF7}"/>
    <cellStyle name="解释性文本 5 2" xfId="11321" xr:uid="{5CB37DE8-95D1-48A8-BC12-1720B60E4563}"/>
    <cellStyle name="解释性文本 5 2 2" xfId="25496" xr:uid="{89216B57-6338-4F82-A6D9-4D985A4B9925}"/>
    <cellStyle name="解释性文本 5 3" xfId="11322" xr:uid="{37ACED20-0273-43BF-9B0F-758AB0AA586B}"/>
    <cellStyle name="解释性文本 5 4" xfId="25495" xr:uid="{63FF58AE-D3B0-458E-8D94-D59179CAF37A}"/>
    <cellStyle name="解释性文本 50" xfId="7774" xr:uid="{85DF107E-D1CA-4DAE-B8B6-F1319F62BC94}"/>
    <cellStyle name="解释性文本 50 2" xfId="25497" xr:uid="{3E82E408-C7DA-4ED1-8896-35CFDBE1E9F4}"/>
    <cellStyle name="解释性文本 51" xfId="7776" xr:uid="{02F5F0A5-143A-48B6-B0C1-B198E228CF6C}"/>
    <cellStyle name="解释性文本 51 2" xfId="25498" xr:uid="{D5FA15E4-AE29-4ED6-8E06-08B3A60710D4}"/>
    <cellStyle name="解释性文本 52" xfId="7779" xr:uid="{0BFCD14E-1DEF-455A-B006-A94E8E8E5C31}"/>
    <cellStyle name="解释性文本 52 2" xfId="25499" xr:uid="{0F87478C-F59A-4CF9-BFBD-65B15A805BC7}"/>
    <cellStyle name="解释性文本 53" xfId="7781" xr:uid="{1F92841A-2C42-4AE4-BF6C-5CE2CF5A54CB}"/>
    <cellStyle name="解释性文本 53 2" xfId="25500" xr:uid="{47C28832-32C2-45E5-85C7-66E1E9824490}"/>
    <cellStyle name="解释性文本 54" xfId="7783" xr:uid="{0AF40B25-EB0D-4AB7-9596-F4242F432F3F}"/>
    <cellStyle name="解释性文本 54 2" xfId="25501" xr:uid="{B189E739-7B1E-461F-BDB5-DD815943A988}"/>
    <cellStyle name="解释性文本 55" xfId="7785" xr:uid="{EF506CD7-63BD-4521-9A8E-9BA994D250FF}"/>
    <cellStyle name="解释性文本 55 2" xfId="25502" xr:uid="{C5D44C89-9FAD-412C-935E-F685BD8D7D53}"/>
    <cellStyle name="解释性文本 56" xfId="7787" xr:uid="{83BEA165-6BDA-46FD-81B0-7F2D8B574637}"/>
    <cellStyle name="解释性文本 56 2" xfId="25503" xr:uid="{B32A93A1-2A2C-4BC9-9784-76A1E599DFA4}"/>
    <cellStyle name="解释性文本 57" xfId="7789" xr:uid="{15C02215-8B12-49B6-A7EB-D6C88FFF10CF}"/>
    <cellStyle name="解释性文本 58" xfId="7791" xr:uid="{7C7468B4-EEFF-4F3D-A6DB-0AD2B8F83B24}"/>
    <cellStyle name="解释性文本 59" xfId="52" xr:uid="{7F057F96-9151-4036-A19D-9084463614B1}"/>
    <cellStyle name="解释性文本 6" xfId="7793" xr:uid="{27074961-403C-45E3-BDC4-7B64F8273706}"/>
    <cellStyle name="解释性文本 6 2" xfId="7794" xr:uid="{701BE090-31E6-4096-9BFA-8149F7C74611}"/>
    <cellStyle name="解释性文本 6 2 2" xfId="25505" xr:uid="{D0DB601A-079A-4848-A482-67079E73044C}"/>
    <cellStyle name="解释性文本 6 3" xfId="11323" xr:uid="{13584FA9-9CA9-407D-8B5F-CC2A70EA9653}"/>
    <cellStyle name="解释性文本 6 4" xfId="25504" xr:uid="{FD2ADC1B-2E85-4E07-89D2-9FF6CF41DBA8}"/>
    <cellStyle name="解释性文本 60" xfId="7786" xr:uid="{F734D39D-E00A-49C4-82C0-652BA4446C2C}"/>
    <cellStyle name="解释性文本 61" xfId="7788" xr:uid="{D3B71E57-339A-4664-8033-D908B2619D75}"/>
    <cellStyle name="解释性文本 62" xfId="7790" xr:uid="{1172EE20-319E-4255-835F-9BC86DA95677}"/>
    <cellStyle name="解释性文本 63" xfId="7792" xr:uid="{A828FD47-4F21-4EA8-8D03-3BF67C950328}"/>
    <cellStyle name="解释性文本 64" xfId="51" xr:uid="{7C52307B-CE5B-4317-9DE4-D6CA0056FFB7}"/>
    <cellStyle name="解释性文本 65" xfId="7795" xr:uid="{213F5843-CADB-41F2-B6BC-09344FC88C23}"/>
    <cellStyle name="解释性文本 66" xfId="7797" xr:uid="{9A136E1F-9C96-4BAE-AE5E-95809B21C230}"/>
    <cellStyle name="解释性文本 67" xfId="7799" xr:uid="{05376F9E-31C2-4395-B9BA-A965DC736724}"/>
    <cellStyle name="解释性文本 68" xfId="7801" xr:uid="{08C1B022-054D-4709-86B6-C8393901D586}"/>
    <cellStyle name="解释性文本 69" xfId="7803" xr:uid="{B6807B6E-6C28-4433-B391-F528BEEF96C8}"/>
    <cellStyle name="解释性文本 7" xfId="7805" xr:uid="{15E778AC-5B99-4D6A-977C-0CDE7C0A25DE}"/>
    <cellStyle name="解释性文本 7 2" xfId="7806" xr:uid="{272CC2ED-EB35-4AE0-94B8-73A669D7CC76}"/>
    <cellStyle name="解释性文本 7 2 2" xfId="25507" xr:uid="{003328F8-2A9D-42BD-BCE4-0AD5CD2A9F1E}"/>
    <cellStyle name="解释性文本 7 3" xfId="11324" xr:uid="{2FBA5504-C55B-43A1-9D29-CCA1E3F13119}"/>
    <cellStyle name="解释性文本 7 4" xfId="25506" xr:uid="{9DC6DF71-3BD2-4F17-BC1C-378942C958AA}"/>
    <cellStyle name="解释性文本 70" xfId="7796" xr:uid="{063B3E99-E9A9-4067-A6AC-FA0DD7BA1BE2}"/>
    <cellStyle name="解释性文本 71" xfId="7798" xr:uid="{825BA666-CF89-4EC4-ACCC-4214BA19C871}"/>
    <cellStyle name="解释性文本 72" xfId="7800" xr:uid="{B739857D-8006-4BF4-AAD9-9EB78BB5DD24}"/>
    <cellStyle name="解释性文本 73" xfId="7802" xr:uid="{79B5E495-AA25-42CD-921D-90D4DB990185}"/>
    <cellStyle name="解释性文本 74" xfId="7804" xr:uid="{51C8DF53-077F-475C-9900-3C3206DB2EA0}"/>
    <cellStyle name="解释性文本 75" xfId="7807" xr:uid="{5FE3903C-F551-42BA-BB0E-B9E1942881DE}"/>
    <cellStyle name="解释性文本 76" xfId="7809" xr:uid="{4738056C-10C8-4442-BF1B-68F743776578}"/>
    <cellStyle name="解释性文本 77" xfId="7811" xr:uid="{AA2A3133-F36B-48C6-9F9E-002C1087D0B1}"/>
    <cellStyle name="解释性文本 78" xfId="7813" xr:uid="{81EE9C63-DBF2-47D5-BB23-7C00BCB56FEC}"/>
    <cellStyle name="解释性文本 79" xfId="7815" xr:uid="{C6492554-1074-4706-AF7D-7A63A83C6D14}"/>
    <cellStyle name="解释性文本 8" xfId="7817" xr:uid="{FCB84535-8AB1-4F8D-A77A-6835F68D9E0D}"/>
    <cellStyle name="解释性文本 8 2" xfId="7818" xr:uid="{54326158-488D-4A7A-9826-DE71215FFD31}"/>
    <cellStyle name="解释性文本 8 2 2" xfId="25509" xr:uid="{96F39AAD-0C8F-4567-B63C-C72A22D0B40E}"/>
    <cellStyle name="解释性文本 8 3" xfId="11325" xr:uid="{C950C426-2F0C-44C3-837F-9C6EB7A325A7}"/>
    <cellStyle name="解释性文本 8 4" xfId="25508" xr:uid="{A644509E-7418-4E39-85DE-A0F1462CA9BC}"/>
    <cellStyle name="解释性文本 80" xfId="7808" xr:uid="{A8FF0054-7DD2-40BE-BBA8-20D30EBFD48F}"/>
    <cellStyle name="解释性文本 81" xfId="7810" xr:uid="{0D3EAC5F-DA7D-422D-9336-D3924A0663BC}"/>
    <cellStyle name="解释性文本 82" xfId="7812" xr:uid="{A4C88559-98AA-4252-9147-906F5862E465}"/>
    <cellStyle name="解释性文本 83" xfId="7814" xr:uid="{C754D28B-64D5-469A-A530-3618BDE738D6}"/>
    <cellStyle name="解释性文本 84" xfId="7816" xr:uid="{30ED7AB8-1F21-4128-865F-D14D49A02E2A}"/>
    <cellStyle name="解释性文本 85" xfId="9334" xr:uid="{3F01B5B2-1282-4370-A3F9-5423DECDB6B2}"/>
    <cellStyle name="解释性文本 86" xfId="13589" xr:uid="{E9F66816-3721-431D-B128-644EA2E50EF5}"/>
    <cellStyle name="解释性文本 87" xfId="27237" xr:uid="{A30CFA05-3FB7-423F-8963-46D40AD2C2C5}"/>
    <cellStyle name="解释性文本 88" xfId="27193" xr:uid="{6F78C72E-A684-491B-A6D5-C5E409DA66B2}"/>
    <cellStyle name="解释性文本 89" xfId="27183" xr:uid="{8075431F-0816-4CDD-A152-D4D08FCA0436}"/>
    <cellStyle name="解释性文本 9" xfId="7819" xr:uid="{7641D62C-91EE-4661-B401-9BDF465ACD44}"/>
    <cellStyle name="解释性文本 9 2" xfId="11326" xr:uid="{9F250AA8-32E9-469D-9B91-C6AF6578B4B1}"/>
    <cellStyle name="解释性文本 9 2 2" xfId="25511" xr:uid="{64D90616-3030-4DAE-B67D-7C5C637A6754}"/>
    <cellStyle name="解释性文本 9 3" xfId="11327" xr:uid="{F76A308A-237A-4249-94F4-E778D34B8822}"/>
    <cellStyle name="解释性文本 9 4" xfId="25510" xr:uid="{FBD0622C-26AA-4F0C-B198-76D746B16680}"/>
    <cellStyle name="解释性文本 90" xfId="7724" xr:uid="{220C1D03-F34A-4BC0-B830-D314ED37488C}"/>
    <cellStyle name="借出原因" xfId="25512" xr:uid="{D11DCF76-9D95-471D-883B-F2AA50174507}"/>
    <cellStyle name="借出原因 2" xfId="25513" xr:uid="{14270AB6-DF8B-43EC-832A-3EBD32FE2554}"/>
    <cellStyle name="借出原因 2 2" xfId="25514" xr:uid="{9E49D62F-7D23-42C8-A331-BC5695B291CB}"/>
    <cellStyle name="借出原因 2 3" xfId="25515" xr:uid="{88F6361F-88A3-45B7-B4C9-DABD56BCC7EB}"/>
    <cellStyle name="借出原因 2 4" xfId="25516" xr:uid="{528711DC-3F84-4278-9728-F7F913890090}"/>
    <cellStyle name="借出原因 3" xfId="25517" xr:uid="{6F32389A-E7FF-476D-8C57-9754204BD460}"/>
    <cellStyle name="借出原因 4" xfId="25518" xr:uid="{D6EECFD7-CB70-4B80-BB36-BC1B08768B59}"/>
    <cellStyle name="借出原因 5" xfId="25519" xr:uid="{65C13601-7B57-42D1-B3B6-7D27E87455F7}"/>
    <cellStyle name="借出原因 6" xfId="25520" xr:uid="{C1069839-C3C6-4A14-BF64-67615B937E8D}"/>
    <cellStyle name="借出原因_动力部" xfId="25521" xr:uid="{91DB94B9-FB3A-4CE0-A263-37CB070311DF}"/>
    <cellStyle name="警告文本" xfId="27819" builtinId="11" customBuiltin="1"/>
    <cellStyle name="警告文本 10" xfId="7820" xr:uid="{F9422714-9F1C-49B8-8BC9-B9E71DF657B6}"/>
    <cellStyle name="警告文本 10 2" xfId="11328" xr:uid="{A83D2362-B39A-4F7B-A3CD-CA8FE92F3A56}"/>
    <cellStyle name="警告文本 10 2 2" xfId="25523" xr:uid="{787598C0-8DD0-4D3F-B2FE-566D89795429}"/>
    <cellStyle name="警告文本 10 3" xfId="11329" xr:uid="{79E1FB42-9374-4906-AC49-943CAD8A8C00}"/>
    <cellStyle name="警告文本 10 4" xfId="25522" xr:uid="{D57FD8E4-DBA1-4FAD-9B25-2DC86BE01BBD}"/>
    <cellStyle name="警告文本 11" xfId="7821" xr:uid="{EE7781DA-B05C-4B55-AEC8-955A039738DB}"/>
    <cellStyle name="警告文本 11 2" xfId="11330" xr:uid="{EBAEE6E6-9639-43C6-BF88-46B0A4E4B8ED}"/>
    <cellStyle name="警告文本 11 2 2" xfId="25525" xr:uid="{CB13997D-AF30-4F6F-A8C2-98A31117B7B3}"/>
    <cellStyle name="警告文本 11 3" xfId="11331" xr:uid="{F9658523-B04C-434E-8C7B-68B752D80634}"/>
    <cellStyle name="警告文本 11 4" xfId="25524" xr:uid="{5A7CE292-BED0-4FDF-86BD-78175938FB5E}"/>
    <cellStyle name="警告文本 12" xfId="7822" xr:uid="{7DB28931-5F09-4334-A6C6-CDC48FC2D40C}"/>
    <cellStyle name="警告文本 12 2" xfId="11332" xr:uid="{EE6AC058-434E-4C88-BDA7-379C41285A09}"/>
    <cellStyle name="警告文本 12 2 2" xfId="25527" xr:uid="{E499042D-4D95-41D1-9218-01998847F6FA}"/>
    <cellStyle name="警告文本 12 3" xfId="11333" xr:uid="{F4DF7315-C019-49D0-A8E6-72B0F95F4659}"/>
    <cellStyle name="警告文本 12 4" xfId="25526" xr:uid="{F3D95CDA-2C2A-4D1B-B4F4-082676CEAE8C}"/>
    <cellStyle name="警告文本 13" xfId="7823" xr:uid="{90688736-72F7-46B3-9D4E-B52B19693E0D}"/>
    <cellStyle name="警告文本 13 2" xfId="11334" xr:uid="{68227E72-8735-47DE-89E6-72BD3A4A635C}"/>
    <cellStyle name="警告文本 13 2 2" xfId="25529" xr:uid="{9B366F25-1041-4A95-A14E-F8C084FCADDA}"/>
    <cellStyle name="警告文本 13 3" xfId="11335" xr:uid="{CB83DC89-7D71-4978-8D4B-86691507A0B6}"/>
    <cellStyle name="警告文本 13 4" xfId="25528" xr:uid="{2B27C946-37C5-41A6-BD8F-83509DB50F99}"/>
    <cellStyle name="警告文本 14" xfId="7824" xr:uid="{6401EEB3-2F3A-4913-9BE9-212304DA6790}"/>
    <cellStyle name="警告文本 14 2" xfId="11336" xr:uid="{60F93118-ECE2-4644-AAD5-77A7BDFF12BC}"/>
    <cellStyle name="警告文本 14 2 2" xfId="25531" xr:uid="{5769620F-5490-4AB7-88A3-95240E285815}"/>
    <cellStyle name="警告文本 14 3" xfId="11337" xr:uid="{92AE9DC1-33C7-47CF-9981-26D7FADAB0A0}"/>
    <cellStyle name="警告文本 14 4" xfId="25530" xr:uid="{84449FDD-E691-4000-924C-D6910D4C79C2}"/>
    <cellStyle name="警告文本 15" xfId="7825" xr:uid="{80B4BCC0-5BF5-42BF-A881-B8FA7761378B}"/>
    <cellStyle name="警告文本 15 2" xfId="11338" xr:uid="{898AD5AB-B868-4837-AF7B-7989310679E8}"/>
    <cellStyle name="警告文本 15 2 2" xfId="25533" xr:uid="{ABF3F128-47AA-4029-BC49-DD11700BC4A8}"/>
    <cellStyle name="警告文本 15 3" xfId="11339" xr:uid="{BE0A963F-6FE1-49A6-AC70-B410E1BE92A9}"/>
    <cellStyle name="警告文本 15 4" xfId="25532" xr:uid="{AEBC7061-2B3B-4F15-9357-816A38F5203F}"/>
    <cellStyle name="警告文本 16" xfId="7827" xr:uid="{0ADFA833-C841-4001-920D-E4308F611F7A}"/>
    <cellStyle name="警告文本 16 2" xfId="11340" xr:uid="{8A1554B9-0417-4E41-BA60-6CA924EEBD09}"/>
    <cellStyle name="警告文本 16 2 2" xfId="25535" xr:uid="{59F563AE-BE50-4780-BD87-7CA6F958A15D}"/>
    <cellStyle name="警告文本 16 3" xfId="11341" xr:uid="{5C554127-82A9-4AF6-AA32-543C2AEB8C94}"/>
    <cellStyle name="警告文本 16 4" xfId="25534" xr:uid="{0E50470E-8598-4DA4-A65D-E2C3E61436D3}"/>
    <cellStyle name="警告文本 17" xfId="7829" xr:uid="{C29A2FB8-04F0-4ECC-A980-5E27600DE349}"/>
    <cellStyle name="警告文本 17 2" xfId="11342" xr:uid="{4040258F-826D-428B-BBC1-8EE796898982}"/>
    <cellStyle name="警告文本 17 2 2" xfId="25537" xr:uid="{9ACAA667-C143-4066-9496-45C4CB2B9F0B}"/>
    <cellStyle name="警告文本 17 3" xfId="11343" xr:uid="{FF24168B-3D0C-4C60-AF2C-04E6F3F82E8C}"/>
    <cellStyle name="警告文本 17 4" xfId="25536" xr:uid="{D2884134-FBC2-4808-81D9-2073CA348CDD}"/>
    <cellStyle name="警告文本 18" xfId="968" xr:uid="{714CF633-4300-4F06-9FE3-65BECCDE66B2}"/>
    <cellStyle name="警告文本 18 2" xfId="25539" xr:uid="{DBF47F62-5A0E-4825-B3B6-E063C4C07B02}"/>
    <cellStyle name="警告文本 18 3" xfId="25538" xr:uid="{C7225583-FEC5-4A5D-88A4-0E506DD60762}"/>
    <cellStyle name="警告文本 19" xfId="7831" xr:uid="{76646896-9C03-4A46-88B7-2BAE27767C6E}"/>
    <cellStyle name="警告文本 19 2" xfId="25541" xr:uid="{C86523B3-4031-4755-A7D1-8E05D0F2415C}"/>
    <cellStyle name="警告文本 19 3" xfId="25540" xr:uid="{9921BE84-7855-45A1-AADE-AF7955A6C91F}"/>
    <cellStyle name="警告文本 2" xfId="7833" xr:uid="{88D023D0-9278-40B3-9EA3-95952D86D268}"/>
    <cellStyle name="警告文本 2 10" xfId="7835" xr:uid="{5E27A474-69C8-4184-8A0C-C13F449289A3}"/>
    <cellStyle name="警告文本 2 11" xfId="7836" xr:uid="{C2ED5FB6-C148-497D-85D1-877FE9AB3B26}"/>
    <cellStyle name="警告文本 2 12" xfId="7837" xr:uid="{44169420-A891-4A69-A20B-083D9D6A319D}"/>
    <cellStyle name="警告文本 2 13" xfId="7838" xr:uid="{D63B9166-67F4-402F-BB39-47DBE6A3302D}"/>
    <cellStyle name="警告文本 2 14" xfId="12736" xr:uid="{C86EDC2E-7A2C-4465-AB70-1F73F736CF05}"/>
    <cellStyle name="警告文本 2 2" xfId="7839" xr:uid="{5FF9E50A-D90A-4015-92DA-990C7CE43930}"/>
    <cellStyle name="警告文本 2 2 2" xfId="25543" xr:uid="{12487169-77DF-451E-8191-7CB956AB7B05}"/>
    <cellStyle name="警告文本 2 2 3" xfId="25542" xr:uid="{A92878C2-A847-4FD6-A95A-C9BE2430E60F}"/>
    <cellStyle name="警告文本 2 2 4" xfId="27585" xr:uid="{2B031E54-1F0D-4B55-9E49-7BD78CD2E6B3}"/>
    <cellStyle name="警告文本 2 3" xfId="7840" xr:uid="{139D449D-B769-475A-8775-D977454AD521}"/>
    <cellStyle name="警告文本 2 3 2" xfId="25545" xr:uid="{53F15B05-AADC-4912-9B14-3DE12011B5E5}"/>
    <cellStyle name="警告文本 2 3 3" xfId="25544" xr:uid="{1B699870-4309-472E-8A20-9F328D67A4EC}"/>
    <cellStyle name="警告文本 2 3 4" xfId="27586" xr:uid="{B102458F-B5F0-429E-A7D7-3716FF0A3454}"/>
    <cellStyle name="警告文本 2 4" xfId="7841" xr:uid="{15848532-0292-4A3D-93CD-81F5C6BA36F5}"/>
    <cellStyle name="警告文本 2 4 2" xfId="25546" xr:uid="{6F2E38D2-E5B1-4048-8E25-B724CAB15369}"/>
    <cellStyle name="警告文本 2 5" xfId="7842" xr:uid="{30F77099-A2D8-43C4-860A-7C49329866BA}"/>
    <cellStyle name="警告文本 2 5 2" xfId="25547" xr:uid="{87D1A4EC-BCAF-4184-B711-377AA94E50CF}"/>
    <cellStyle name="警告文本 2 6" xfId="7843" xr:uid="{2C9F560B-CE78-4DA1-96DA-750FA9D43ACA}"/>
    <cellStyle name="警告文本 2 7" xfId="7844" xr:uid="{B05DAA8C-B6E4-4336-8937-4E0B45986709}"/>
    <cellStyle name="警告文本 2 8" xfId="7845" xr:uid="{5C773C24-C9A6-45E8-89E0-5A644D65BE39}"/>
    <cellStyle name="警告文本 2 9" xfId="7846" xr:uid="{0DF7B6FF-3AAE-4260-BFE5-60519F669C76}"/>
    <cellStyle name="警告文本 2_动力部" xfId="25548" xr:uid="{CA8B2D29-274F-49C3-8187-AC8BD2E8EBE0}"/>
    <cellStyle name="警告文本 20" xfId="7826" xr:uid="{A7739E14-08D0-49AC-9FA0-10363BE171FD}"/>
    <cellStyle name="警告文本 20 2" xfId="25550" xr:uid="{E05EFD2E-1F46-48F8-BD3B-9658621546E5}"/>
    <cellStyle name="警告文本 20 3" xfId="25549" xr:uid="{52BAB882-6BD5-46DC-AD55-48302AB651E0}"/>
    <cellStyle name="警告文本 21" xfId="7828" xr:uid="{2479F092-5048-44D1-AA73-BC4015BDB825}"/>
    <cellStyle name="警告文本 21 2" xfId="25552" xr:uid="{44A96F3D-A10F-464A-9EC0-23FEC098FA90}"/>
    <cellStyle name="警告文本 21 3" xfId="25551" xr:uid="{C0CA2973-2EC0-4AC6-BF17-070BBE6DCD6D}"/>
    <cellStyle name="警告文本 22" xfId="7830" xr:uid="{7D1F8562-47D8-420E-91A9-23911C38AEE4}"/>
    <cellStyle name="警告文本 22 2" xfId="25554" xr:uid="{788A6B12-0225-466E-9D18-2218D6F3CCAA}"/>
    <cellStyle name="警告文本 22 3" xfId="25553" xr:uid="{1D32ABF0-22FF-4802-A594-5E24757847FE}"/>
    <cellStyle name="警告文本 23" xfId="967" xr:uid="{E88EA537-0D1A-4FA8-91B0-FABB2282C47B}"/>
    <cellStyle name="警告文本 23 2" xfId="25556" xr:uid="{859E78AC-00CE-4F0F-87C6-724459973116}"/>
    <cellStyle name="警告文本 23 3" xfId="25555" xr:uid="{B1EC2A3F-AAEA-4992-A366-0DD8E0DF217F}"/>
    <cellStyle name="警告文本 24" xfId="7832" xr:uid="{B8D33D27-986C-4472-B307-304DEDF45463}"/>
    <cellStyle name="警告文本 24 2" xfId="25558" xr:uid="{BCAA7E53-8AB9-46BE-9E46-D8A878871839}"/>
    <cellStyle name="警告文本 24 3" xfId="25557" xr:uid="{79CA04DC-3EED-4581-B28F-5997E35ECDE7}"/>
    <cellStyle name="警告文本 25" xfId="2993" xr:uid="{8B25EDB0-02E9-44FD-B35D-BAA228D11FA9}"/>
    <cellStyle name="警告文本 25 2" xfId="25560" xr:uid="{D43805B8-8D77-4D47-9944-1BECEEF1CAB2}"/>
    <cellStyle name="警告文本 25 3" xfId="25559" xr:uid="{9BCB6293-AC32-4D94-BA9D-63ECB9860F45}"/>
    <cellStyle name="警告文本 26" xfId="7847" xr:uid="{A29BF56A-9AF8-4EF6-AAEB-643795BFE27B}"/>
    <cellStyle name="警告文本 26 2" xfId="25562" xr:uid="{6EBC5F5D-ED7C-449B-8DE4-5E9E45CD7CA2}"/>
    <cellStyle name="警告文本 26 3" xfId="25561" xr:uid="{A1CAF61F-A38F-4F91-9692-4241A33D1147}"/>
    <cellStyle name="警告文本 27" xfId="7849" xr:uid="{71DDCB0B-F73F-4EC1-B5CE-2BDD9F8B1443}"/>
    <cellStyle name="警告文本 27 2" xfId="25564" xr:uid="{F1C42BC5-D67E-405D-AE71-E8EEA759BC4E}"/>
    <cellStyle name="警告文本 27 3" xfId="25563" xr:uid="{11172DDF-6ED0-43B8-9FD5-A3EEC70C0561}"/>
    <cellStyle name="警告文本 28" xfId="7851" xr:uid="{491D0CAE-2CF3-4A9D-8EC6-C88B68654817}"/>
    <cellStyle name="警告文本 28 2" xfId="25566" xr:uid="{7873FF11-FEB2-4B3E-8AA4-A92D8AF7BA12}"/>
    <cellStyle name="警告文本 28 3" xfId="25565" xr:uid="{92AF2908-82D9-4C4C-BF12-CFA7CE71E302}"/>
    <cellStyle name="警告文本 29" xfId="7853" xr:uid="{000FCC00-10A7-47E4-AA6E-0A296636E13A}"/>
    <cellStyle name="警告文本 29 2" xfId="25568" xr:uid="{A36CCEBE-4860-4410-8566-BA051CC11140}"/>
    <cellStyle name="警告文本 29 3" xfId="25567" xr:uid="{3E44636B-63C1-4B56-A539-C09E0DB6D71C}"/>
    <cellStyle name="警告文本 3" xfId="7855" xr:uid="{ECEC0FF5-8E39-41CA-A353-E0A99E904A38}"/>
    <cellStyle name="警告文本 3 2" xfId="11344" xr:uid="{1DEC8F46-2F9D-4149-8752-3EDBEE0B33C0}"/>
    <cellStyle name="警告文本 3 2 2" xfId="25570" xr:uid="{8B28B232-E20A-4530-9C6A-FE266D7B1523}"/>
    <cellStyle name="警告文本 3 2 3" xfId="27587" xr:uid="{935658F8-01BC-40FB-81B8-5F5C26D5D058}"/>
    <cellStyle name="警告文本 3 3" xfId="11345" xr:uid="{12A7FBA4-601A-47BB-B6CC-C585ACB22C4D}"/>
    <cellStyle name="警告文本 3 3 2" xfId="25572" xr:uid="{23B84711-2986-4A05-8FA9-39A7F31F04EE}"/>
    <cellStyle name="警告文本 3 3 3" xfId="25571" xr:uid="{4A8C6314-AC26-4300-A1EF-70B0F1C71314}"/>
    <cellStyle name="警告文本 3 3 4" xfId="27588" xr:uid="{60BD82B7-400F-4408-A4F7-E2E45EEE2958}"/>
    <cellStyle name="警告文本 3 4" xfId="25569" xr:uid="{E363D956-090B-45C8-9990-64FBC6AC74F6}"/>
    <cellStyle name="警告文本 30" xfId="2992" xr:uid="{398EB473-F858-489B-A954-6432B769CDE0}"/>
    <cellStyle name="警告文本 30 2" xfId="25574" xr:uid="{B0426F1C-09A7-4350-8CB0-788C7A3E5829}"/>
    <cellStyle name="警告文本 30 3" xfId="25573" xr:uid="{137CD2C6-7635-4CFB-ACDF-0A7A95FE7172}"/>
    <cellStyle name="警告文本 31" xfId="7848" xr:uid="{6A434316-66EB-4C3F-8BB3-227E2FC611ED}"/>
    <cellStyle name="警告文本 31 2" xfId="25576" xr:uid="{A02BE4C2-C3F2-4BC0-912E-1477786B8361}"/>
    <cellStyle name="警告文本 31 3" xfId="25575" xr:uid="{D2A887F4-B6A3-4302-BD4A-A385231F1532}"/>
    <cellStyle name="警告文本 32" xfId="7850" xr:uid="{4AD06932-E9BD-412A-9DC1-9E5DBB9566AC}"/>
    <cellStyle name="警告文本 32 2" xfId="25578" xr:uid="{C2C5E805-9A3F-403D-B33A-B2F16ABDD31B}"/>
    <cellStyle name="警告文本 32 3" xfId="25577" xr:uid="{93CF218B-060E-4FE3-8CD1-9E119CD07F65}"/>
    <cellStyle name="警告文本 33" xfId="7852" xr:uid="{C8223E5A-E239-46EC-BF6F-B2AABEE72892}"/>
    <cellStyle name="警告文本 33 2" xfId="25580" xr:uid="{9FFFB714-9901-4E68-8575-BB4CB3644B6A}"/>
    <cellStyle name="警告文本 33 3" xfId="25579" xr:uid="{F70642EB-E5A2-4713-80BC-F12E668106EA}"/>
    <cellStyle name="警告文本 34" xfId="7854" xr:uid="{90C6C815-0DE5-4980-850F-4B76DEA52F02}"/>
    <cellStyle name="警告文本 34 2" xfId="25582" xr:uid="{0D48D29E-1818-4191-9039-BF00362CA439}"/>
    <cellStyle name="警告文本 34 3" xfId="25581" xr:uid="{283AC50E-C7CA-4F0E-A3D3-D8F82356A20A}"/>
    <cellStyle name="警告文本 35" xfId="7856" xr:uid="{52530F8D-6A6D-43D3-A803-900B712AA54A}"/>
    <cellStyle name="警告文本 35 2" xfId="25584" xr:uid="{66BDD66C-936D-459E-9C40-46525498C7E7}"/>
    <cellStyle name="警告文本 35 3" xfId="25583" xr:uid="{8CF93CB5-6E4E-4088-85CC-D7B1D6B048C8}"/>
    <cellStyle name="警告文本 36" xfId="7858" xr:uid="{B677CE48-C184-47A9-880C-1AE61CD2969C}"/>
    <cellStyle name="警告文本 36 2" xfId="25586" xr:uid="{FECCCE6D-E538-44AA-BDE3-1DBA0A80B60B}"/>
    <cellStyle name="警告文本 36 3" xfId="25585" xr:uid="{C2811DEA-2145-4AAB-A4D0-6B553EFF7E95}"/>
    <cellStyle name="警告文本 37" xfId="7860" xr:uid="{6FD401C5-33C7-48EE-91C5-6B0B893D556F}"/>
    <cellStyle name="警告文本 37 2" xfId="25588" xr:uid="{460FE990-3F92-4DB9-9F67-81408378A517}"/>
    <cellStyle name="警告文本 37 3" xfId="25587" xr:uid="{7144FEDD-7113-4319-A886-D33B00F157F7}"/>
    <cellStyle name="警告文本 38" xfId="7862" xr:uid="{DF374225-EDA4-48D4-B486-6CDA8DE6A565}"/>
    <cellStyle name="警告文本 38 2" xfId="25590" xr:uid="{A6732DF5-F672-4124-B49D-EE61DDCFFCCC}"/>
    <cellStyle name="警告文本 38 3" xfId="25589" xr:uid="{50165CE9-B7D2-4FEB-83FC-3D7D9F2D4B8D}"/>
    <cellStyle name="警告文本 39" xfId="7075" xr:uid="{ABE89CEC-D89F-40AA-B883-B567518C92D6}"/>
    <cellStyle name="警告文本 39 2" xfId="25592" xr:uid="{3609F2B2-784F-45FC-B2D3-45A693DFBEAD}"/>
    <cellStyle name="警告文本 39 3" xfId="25591" xr:uid="{D472BB01-062B-43B6-8E6C-096EF575BB46}"/>
    <cellStyle name="警告文本 4" xfId="7864" xr:uid="{AB0CE298-A14B-4F80-8E20-28C3C4F6070B}"/>
    <cellStyle name="警告文本 4 2" xfId="11346" xr:uid="{C9B73352-074A-4639-8B28-D828D2CC5D35}"/>
    <cellStyle name="警告文本 4 2 2" xfId="25595" xr:uid="{DA767DE3-4E74-499B-9A8D-66B914D03356}"/>
    <cellStyle name="警告文本 4 2 3" xfId="25594" xr:uid="{C5B61166-A77F-420B-9F9C-79C718AA2C21}"/>
    <cellStyle name="警告文本 4 3" xfId="11347" xr:uid="{50C97D99-CD94-4AD8-A7A9-6CBF8C0095DB}"/>
    <cellStyle name="警告文本 4 4" xfId="25593" xr:uid="{B3407E55-96F2-4A16-8BAB-82515CEE20F4}"/>
    <cellStyle name="警告文本 40" xfId="7857" xr:uid="{D76805E0-3D8A-44A9-8CF1-6F52462440F3}"/>
    <cellStyle name="警告文本 40 2" xfId="25597" xr:uid="{02B63B94-7CA7-4F54-BBB1-09E64D0E0F80}"/>
    <cellStyle name="警告文本 40 3" xfId="25596" xr:uid="{315B216D-0DFB-4867-A2E0-1BC33BB3826D}"/>
    <cellStyle name="警告文本 41" xfId="7859" xr:uid="{BABC8B94-3BD9-46E8-9C63-17A8C3BF6584}"/>
    <cellStyle name="警告文本 41 2" xfId="25599" xr:uid="{C6FE7956-BF78-4095-8876-BDBC1AF733FC}"/>
    <cellStyle name="警告文本 41 3" xfId="25598" xr:uid="{415720AC-8F20-491D-92B9-90BD83EE4CB3}"/>
    <cellStyle name="警告文本 42" xfId="7861" xr:uid="{C219EE06-EE66-42FF-967A-97A07255BE14}"/>
    <cellStyle name="警告文本 42 2" xfId="25601" xr:uid="{CE56D514-B653-4706-955C-2879E8693ABC}"/>
    <cellStyle name="警告文本 42 3" xfId="25600" xr:uid="{3ED4E19E-5B56-4D6B-9D5C-ABAECB4E66A2}"/>
    <cellStyle name="警告文本 43" xfId="7863" xr:uid="{6CB7DDB9-9F61-4A16-9625-DA3A19B09526}"/>
    <cellStyle name="警告文本 43 2" xfId="25603" xr:uid="{16760461-55F5-49D0-A181-588F9E8816C3}"/>
    <cellStyle name="警告文本 43 3" xfId="25602" xr:uid="{C807E79B-7AB1-437C-A11C-3D104403036D}"/>
    <cellStyle name="警告文本 44" xfId="7076" xr:uid="{CD3FAEF3-845C-419E-ACCE-5517C0C42C2B}"/>
    <cellStyle name="警告文本 44 2" xfId="25605" xr:uid="{647F9BC6-9FA1-4691-B748-1D4642285E18}"/>
    <cellStyle name="警告文本 44 3" xfId="25604" xr:uid="{4A217E41-BB09-4170-A9F4-66391F891130}"/>
    <cellStyle name="警告文本 45" xfId="7342" xr:uid="{A3C7870F-7DEE-4AB3-9A10-DA19DA4AF4BC}"/>
    <cellStyle name="警告文本 45 2" xfId="25607" xr:uid="{557DD13A-0884-4B6E-B6DC-0047B68707A0}"/>
    <cellStyle name="警告文本 45 3" xfId="25606" xr:uid="{1E4D1787-23DD-4630-B7FD-D30CC5792E75}"/>
    <cellStyle name="警告文本 46" xfId="7865" xr:uid="{9B735474-78AD-4516-96D8-3D5E8E29C952}"/>
    <cellStyle name="警告文本 46 2" xfId="25609" xr:uid="{9038BFEF-2580-41B6-8E5C-A27EC210F8D7}"/>
    <cellStyle name="警告文本 46 3" xfId="25608" xr:uid="{84FA7D20-E35A-4955-B003-998675C46D12}"/>
    <cellStyle name="警告文本 47" xfId="7867" xr:uid="{8397D30D-8C56-4A8F-A3B9-0275AF66A413}"/>
    <cellStyle name="警告文本 47 2" xfId="25610" xr:uid="{E3CB4B83-D553-4B34-8185-DAA6B76C3C70}"/>
    <cellStyle name="警告文本 48" xfId="7869" xr:uid="{19C698E4-3533-45C8-A01A-A73E68AFBB62}"/>
    <cellStyle name="警告文本 48 2" xfId="25611" xr:uid="{872D6878-42FA-4048-A761-53FCE9E779D8}"/>
    <cellStyle name="警告文本 49" xfId="7871" xr:uid="{78630980-4F64-4970-B9CE-4C53DCE3FF68}"/>
    <cellStyle name="警告文本 49 2" xfId="25612" xr:uid="{BA3947E6-3A43-4705-9374-CCFE63983EC3}"/>
    <cellStyle name="警告文本 5" xfId="7873" xr:uid="{4A880729-6D5D-42D3-82CB-A756B88B7FE7}"/>
    <cellStyle name="警告文本 5 2" xfId="11348" xr:uid="{DE56B136-ACFF-48F0-B108-C4E62664A0FF}"/>
    <cellStyle name="警告文本 5 2 2" xfId="25614" xr:uid="{D2FF94E6-D38A-4A96-B4D0-D6535073299A}"/>
    <cellStyle name="警告文本 5 3" xfId="11349" xr:uid="{1A6837AE-5CCB-4E7A-A628-8F9D06922975}"/>
    <cellStyle name="警告文本 5 4" xfId="25613" xr:uid="{63D65A41-0682-4D3B-BF43-6F8CCBAF58DC}"/>
    <cellStyle name="警告文本 50" xfId="7343" xr:uid="{085F3DA0-EA02-411C-975A-848D6745EFF2}"/>
    <cellStyle name="警告文本 50 2" xfId="25615" xr:uid="{2167AD51-55D1-4356-9E4D-AB1FE635464C}"/>
    <cellStyle name="警告文本 51" xfId="7866" xr:uid="{A7D16F0F-A43B-43DC-8398-54C3EEC8844F}"/>
    <cellStyle name="警告文本 51 2" xfId="25616" xr:uid="{A02E128E-2822-4707-8FE1-4E86385D8F71}"/>
    <cellStyle name="警告文本 52" xfId="7868" xr:uid="{DCCA9DF9-B752-4E04-86B0-2D3E862CE5F6}"/>
    <cellStyle name="警告文本 52 2" xfId="25617" xr:uid="{BB9AE87C-CA12-4312-A30D-FEDDD980A7C8}"/>
    <cellStyle name="警告文本 53" xfId="7870" xr:uid="{A9BA29EE-82C9-4910-A7D7-5A05D8B48409}"/>
    <cellStyle name="警告文本 53 2" xfId="25618" xr:uid="{B82C84F6-4674-40B3-AFFB-AEB4A35A2C7D}"/>
    <cellStyle name="警告文本 54" xfId="7872" xr:uid="{89DFBEC8-A8AA-46EA-8EDF-3A401D08A4C1}"/>
    <cellStyle name="警告文本 54 2" xfId="25619" xr:uid="{5562AE65-41AB-4BD1-8B8A-F5E71D045E94}"/>
    <cellStyle name="警告文本 55" xfId="7874" xr:uid="{39E726BB-90BF-45F3-AAA4-775D4BE57BA3}"/>
    <cellStyle name="警告文本 55 2" xfId="25620" xr:uid="{8FC9F41D-F841-4517-BD96-7D5345540127}"/>
    <cellStyle name="警告文本 56" xfId="7876" xr:uid="{0A3485AD-18CE-4A7D-847C-1C05E4DFA756}"/>
    <cellStyle name="警告文本 56 2" xfId="25621" xr:uid="{00F24F38-6E56-4E09-A584-125BEB4F116C}"/>
    <cellStyle name="警告文本 57" xfId="7878" xr:uid="{B0201989-B19E-4E31-9E93-D51655582D07}"/>
    <cellStyle name="警告文本 58" xfId="7880" xr:uid="{2C48BAAC-0C16-4C45-80D9-36EAB78673BA}"/>
    <cellStyle name="警告文本 59" xfId="7882" xr:uid="{5D1E0CCD-518A-4065-BEC2-83BA25D68603}"/>
    <cellStyle name="警告文本 6" xfId="7884" xr:uid="{6049A6A4-444A-4BA2-8CC4-C8066EB294C4}"/>
    <cellStyle name="警告文本 6 2" xfId="7885" xr:uid="{8736B301-FE76-4B22-948F-7B3B3C5D144B}"/>
    <cellStyle name="警告文本 6 2 2" xfId="25623" xr:uid="{C2C1BBFD-5C9D-439A-9849-FBD79B8843D2}"/>
    <cellStyle name="警告文本 6 3" xfId="11350" xr:uid="{F9EE98E5-7CFE-4301-8208-987028E57CC6}"/>
    <cellStyle name="警告文本 6 4" xfId="25622" xr:uid="{8CB58B79-2FDD-426A-991A-EA9B301BA0DF}"/>
    <cellStyle name="警告文本 60" xfId="7875" xr:uid="{14D16FCB-D6A1-4A86-933F-F1699FF4BA63}"/>
    <cellStyle name="警告文本 61" xfId="7877" xr:uid="{7EE81F6A-9E5A-45DE-813A-D0B1FB5B8A42}"/>
    <cellStyle name="警告文本 62" xfId="7879" xr:uid="{9AC2918C-B09E-41FF-B582-C5D207446963}"/>
    <cellStyle name="警告文本 63" xfId="7881" xr:uid="{251A26F6-4BA4-4097-BD14-77A059BFCC3C}"/>
    <cellStyle name="警告文本 64" xfId="7883" xr:uid="{2B31928D-8144-4A34-A405-0FB0B29804C8}"/>
    <cellStyle name="警告文本 65" xfId="7886" xr:uid="{437A9E2B-EB73-4460-95FD-D35D5639705D}"/>
    <cellStyle name="警告文本 66" xfId="7888" xr:uid="{D162F930-C2BD-4B64-8668-190509B4D1E7}"/>
    <cellStyle name="警告文本 67" xfId="7890" xr:uid="{4A775929-940F-4B58-AB8A-CF69C5E8A8A1}"/>
    <cellStyle name="警告文本 68" xfId="999" xr:uid="{514BEC40-269C-4F83-85B0-7CFFF22DD504}"/>
    <cellStyle name="警告文本 69" xfId="7892" xr:uid="{D60CB1BE-2741-43EA-AE86-3959DD2719F3}"/>
    <cellStyle name="警告文本 7" xfId="7894" xr:uid="{1BF7F4D9-CA4E-4186-945F-B5E076AD430B}"/>
    <cellStyle name="警告文本 7 2" xfId="7895" xr:uid="{D5BA9987-1ADC-4133-AB4E-31112056D8F6}"/>
    <cellStyle name="警告文本 7 2 2" xfId="25625" xr:uid="{38F36CB6-AD62-4264-830B-9F4F627B3D32}"/>
    <cellStyle name="警告文本 7 3" xfId="11351" xr:uid="{FED7A65B-2D9E-4FA9-9178-D0424174D171}"/>
    <cellStyle name="警告文本 7 4" xfId="25624" xr:uid="{07F775E8-A90A-40F0-B522-8E773CCB3C1D}"/>
    <cellStyle name="警告文本 70" xfId="7887" xr:uid="{3E77EB5A-5DB2-4142-BA52-BB6D426FA3F4}"/>
    <cellStyle name="警告文本 71" xfId="7889" xr:uid="{CB5DE2A0-F383-42D9-9C5A-339A31EDE393}"/>
    <cellStyle name="警告文本 72" xfId="7891" xr:uid="{C7B0DE48-3EA1-41B8-82FE-224596F15141}"/>
    <cellStyle name="警告文本 73" xfId="998" xr:uid="{39610D30-16F3-41D4-A987-B3CC67C44069}"/>
    <cellStyle name="警告文本 74" xfId="7893" xr:uid="{DC895EAF-0AE3-4B42-A780-D6596D780EA5}"/>
    <cellStyle name="警告文本 75" xfId="7896" xr:uid="{AEB2D5CB-E829-4C08-A245-E54F46F6E0C7}"/>
    <cellStyle name="警告文本 76" xfId="7898" xr:uid="{A320EED2-FA01-4AF7-9319-40D193CE6D09}"/>
    <cellStyle name="警告文本 77" xfId="7900" xr:uid="{AB82DC83-9422-441A-BC26-18D1CE52B561}"/>
    <cellStyle name="警告文本 78" xfId="7902" xr:uid="{1E7F0F32-4027-4E6B-9BC3-04F18A816CC4}"/>
    <cellStyle name="警告文本 79" xfId="7904" xr:uid="{32A672C0-C70D-4216-A90C-0A7906562534}"/>
    <cellStyle name="警告文本 8" xfId="2586" xr:uid="{14D898B4-912F-4261-BF1F-7F8BCCDB4779}"/>
    <cellStyle name="警告文本 8 2" xfId="5883" xr:uid="{BDF8766E-BAF7-4460-B954-2E3C71E1DE6C}"/>
    <cellStyle name="警告文本 8 2 2" xfId="25627" xr:uid="{8CB0D5C5-DC2F-4A5A-B4B4-54A7F297A2DA}"/>
    <cellStyle name="警告文本 8 3" xfId="11352" xr:uid="{B8430FF1-A91A-45EC-BFA9-02B2CACD5DAD}"/>
    <cellStyle name="警告文本 8 4" xfId="25626" xr:uid="{8D8B6E44-1D07-4F2B-ACC7-1EF7B49D33DC}"/>
    <cellStyle name="警告文本 80" xfId="7897" xr:uid="{3B387584-7FDA-43F9-8901-5BDC4A82122C}"/>
    <cellStyle name="警告文本 81" xfId="7899" xr:uid="{D4A9DF9B-6815-44EC-8C57-80CE19FC61C7}"/>
    <cellStyle name="警告文本 82" xfId="7901" xr:uid="{BA966D3C-FCAE-4E65-B7C0-50A216584755}"/>
    <cellStyle name="警告文本 83" xfId="7903" xr:uid="{CA32B6B4-0FA1-4E13-9527-1C36F7D64F20}"/>
    <cellStyle name="警告文本 84" xfId="7905" xr:uid="{EBF031A0-339B-46E8-88D7-5C57DD92DCBD}"/>
    <cellStyle name="警告文本 85" xfId="9332" xr:uid="{D57F1E8C-8053-4A5F-B2AC-268670584FB7}"/>
    <cellStyle name="警告文本 86" xfId="13588" xr:uid="{824E9C9A-17A3-45E5-82FE-52565048D133}"/>
    <cellStyle name="警告文本 87" xfId="27135" xr:uid="{867B587C-13CC-4458-8C46-58FE79ED098D}"/>
    <cellStyle name="警告文本 88" xfId="27204" xr:uid="{06C66DFF-AE46-479E-AD12-A2ABC76446A1}"/>
    <cellStyle name="警告文本 89" xfId="27217" xr:uid="{72C62683-B156-4578-80AF-9C7231E0F6BA}"/>
    <cellStyle name="警告文本 9" xfId="7906" xr:uid="{59098E50-A191-4C78-843E-3B544123D06F}"/>
    <cellStyle name="警告文本 9 2" xfId="11353" xr:uid="{3344CF2E-9B17-4BE8-98E7-D0A67786A82F}"/>
    <cellStyle name="警告文本 9 2 2" xfId="25629" xr:uid="{4F894330-8943-476A-A98E-51BE0C7C08B2}"/>
    <cellStyle name="警告文本 9 3" xfId="11354" xr:uid="{7351EF2B-8D4E-4ADD-A50A-8B74B26B9315}"/>
    <cellStyle name="警告文本 9 4" xfId="25628" xr:uid="{EC81D9E3-3532-43E4-A705-0ACE6F0D9E66}"/>
    <cellStyle name="警告文本 90" xfId="3688" xr:uid="{A1BFCE92-02A4-4396-BC68-BF400A5F526E}"/>
    <cellStyle name="链接单元格" xfId="27817" builtinId="24" customBuiltin="1"/>
    <cellStyle name="链接单元格 10" xfId="7908" xr:uid="{95F1CDB2-07E0-4181-A795-145D7B588171}"/>
    <cellStyle name="链接单元格 10 2" xfId="11355" xr:uid="{B8883AE2-C1EC-44D5-A9B8-752A08EE8F27}"/>
    <cellStyle name="链接单元格 10 2 2" xfId="25631" xr:uid="{A06558D5-4FAC-4D4D-862C-53B0436CEFC2}"/>
    <cellStyle name="链接单元格 10 3" xfId="11356" xr:uid="{78DBD559-B815-482F-A1DB-FF563F7D16C8}"/>
    <cellStyle name="链接单元格 10 4" xfId="25630" xr:uid="{4A09CFA8-FC05-41E6-881B-B5D624F38AAC}"/>
    <cellStyle name="链接单元格 11" xfId="7909" xr:uid="{16B61364-AF90-49D4-A59E-FEF073A4BE2A}"/>
    <cellStyle name="链接单元格 11 2" xfId="11357" xr:uid="{6BBCC293-C1D5-4FB6-8587-FB406E77E7B3}"/>
    <cellStyle name="链接单元格 11 2 2" xfId="25633" xr:uid="{95CBDECA-8120-40D2-B879-557AF2DD3C35}"/>
    <cellStyle name="链接单元格 11 3" xfId="11358" xr:uid="{6A3B5CAF-9E8F-401B-B120-7DBDAD02F0E4}"/>
    <cellStyle name="链接单元格 11 4" xfId="25632" xr:uid="{7235DC3E-B9DB-4394-80B8-97FCEB9E3735}"/>
    <cellStyle name="链接单元格 12" xfId="7910" xr:uid="{461E4BD5-1AFE-48F7-971D-BB7CB6E6AEF2}"/>
    <cellStyle name="链接单元格 12 2" xfId="11359" xr:uid="{7750FCC9-1EF3-4149-B18C-93292294CAF9}"/>
    <cellStyle name="链接单元格 12 2 2" xfId="25635" xr:uid="{CAA15601-504F-4FED-B567-9F6E639B065E}"/>
    <cellStyle name="链接单元格 12 3" xfId="11360" xr:uid="{939B0553-C5B0-4C23-AF83-B66A7880AB85}"/>
    <cellStyle name="链接单元格 12 4" xfId="25634" xr:uid="{49EF64AF-CA01-4FF9-90FE-AE86F9255B6D}"/>
    <cellStyle name="链接单元格 13" xfId="7911" xr:uid="{0C7EC05E-17DC-46F4-9D68-61F767641DCE}"/>
    <cellStyle name="链接单元格 13 2" xfId="11361" xr:uid="{E83BDE4C-FF94-4EBB-A4C0-537DC39A09A3}"/>
    <cellStyle name="链接单元格 13 2 2" xfId="25637" xr:uid="{968A9517-9D36-4EAF-8D76-C5B5CE74D54F}"/>
    <cellStyle name="链接单元格 13 3" xfId="11362" xr:uid="{FF0EA79B-5493-4487-ABC5-9016E03EC384}"/>
    <cellStyle name="链接单元格 13 4" xfId="25636" xr:uid="{FA31651B-0A5C-428C-8A96-E2403E1DC6DF}"/>
    <cellStyle name="链接单元格 14" xfId="7912" xr:uid="{A3D5008A-E257-4EFB-9185-1190931B6663}"/>
    <cellStyle name="链接单元格 14 2" xfId="11363" xr:uid="{46D72E9F-AC7E-49D8-8B3B-D8B56A8369DD}"/>
    <cellStyle name="链接单元格 14 2 2" xfId="25639" xr:uid="{7AD36AD6-59F1-458F-A5EC-B8F27EC46DC0}"/>
    <cellStyle name="链接单元格 14 3" xfId="11364" xr:uid="{0FD88E91-517A-40D8-B9BB-8CA6519B0161}"/>
    <cellStyle name="链接单元格 14 4" xfId="25638" xr:uid="{1909A4C9-8FFF-4911-9273-F1DA408A4905}"/>
    <cellStyle name="链接单元格 15" xfId="7913" xr:uid="{13FB13A9-0B2B-4201-B51F-B00CCB49260D}"/>
    <cellStyle name="链接单元格 15 2" xfId="11365" xr:uid="{EA33522A-C578-4A76-949D-B43D0DFD6681}"/>
    <cellStyle name="链接单元格 15 2 2" xfId="25641" xr:uid="{A314A0E8-3A22-4A1F-9054-029D568AD4A0}"/>
    <cellStyle name="链接单元格 15 3" xfId="11366" xr:uid="{6CA646A0-8B76-47D9-B0A7-6CA755D29150}"/>
    <cellStyle name="链接单元格 15 4" xfId="25640" xr:uid="{B60254BB-6FEB-432A-B3C8-00C09DAB4201}"/>
    <cellStyle name="链接单元格 16" xfId="7915" xr:uid="{49E1F192-CCAA-4527-95D7-CC63D023BD53}"/>
    <cellStyle name="链接单元格 16 2" xfId="11367" xr:uid="{2AD5DBE0-885F-49F0-9D72-5D8505ACF563}"/>
    <cellStyle name="链接单元格 16 2 2" xfId="25643" xr:uid="{FEDC007B-37F2-4A3D-80CC-62B88AFC49CE}"/>
    <cellStyle name="链接单元格 16 3" xfId="11368" xr:uid="{A4F8B232-A5ED-4127-8ED2-B2601ABE0762}"/>
    <cellStyle name="链接单元格 16 4" xfId="25642" xr:uid="{721BC271-5FCB-46EF-AEE8-5D2574182F43}"/>
    <cellStyle name="链接单元格 17" xfId="7917" xr:uid="{EB554353-2AD8-446A-B40B-6B81F78F4B44}"/>
    <cellStyle name="链接单元格 17 2" xfId="11369" xr:uid="{27AE1223-18C6-4DD4-B307-F02FEFF02409}"/>
    <cellStyle name="链接单元格 17 2 2" xfId="25645" xr:uid="{2AA740F9-F7B0-4F21-BDB4-863C78C6B596}"/>
    <cellStyle name="链接单元格 17 3" xfId="11370" xr:uid="{3F23E66B-5242-41BB-A3D3-4DBEDBDF03C3}"/>
    <cellStyle name="链接单元格 17 4" xfId="25644" xr:uid="{B84D2839-D69F-4C2B-A07C-7126CD9C4421}"/>
    <cellStyle name="链接单元格 18" xfId="7919" xr:uid="{E5F3D1B5-5D9A-45FA-865A-0DEAD1BD78CD}"/>
    <cellStyle name="链接单元格 18 2" xfId="25647" xr:uid="{AC12D676-AC61-421A-81F5-BC18EBBD03F9}"/>
    <cellStyle name="链接单元格 18 3" xfId="25646" xr:uid="{AE2352F8-4A9D-4BCC-897B-3EB710FE88FA}"/>
    <cellStyle name="链接单元格 19" xfId="7921" xr:uid="{4A0B44B0-915E-4F62-9ADE-C73786D74DE4}"/>
    <cellStyle name="链接单元格 19 2" xfId="25649" xr:uid="{CB4ECB9D-5220-45E8-8627-3068033B2C49}"/>
    <cellStyle name="链接单元格 19 3" xfId="25648" xr:uid="{A23EE9F5-3A30-4D29-BD30-88D47B75BA8A}"/>
    <cellStyle name="链接单元格 2" xfId="7923" xr:uid="{2C3A4D8A-21BB-4D11-8FA9-BC583590D3BE}"/>
    <cellStyle name="链接单元格 2 10" xfId="7924" xr:uid="{319D50A1-EA2C-40DB-B181-DF475E7DFBF4}"/>
    <cellStyle name="链接单元格 2 11" xfId="7925" xr:uid="{0CB773BE-0B01-4414-A06F-BF54222A4619}"/>
    <cellStyle name="链接单元格 2 12" xfId="7926" xr:uid="{4B3891C2-0C2B-4EDF-AEBC-AE2F8B39BD61}"/>
    <cellStyle name="链接单元格 2 13" xfId="7927" xr:uid="{AF8D36C5-8E76-4CC9-8D0B-22E3B9010C10}"/>
    <cellStyle name="链接单元格 2 14" xfId="12337" xr:uid="{F4A77270-B6BE-465E-889B-14D416D5C1C5}"/>
    <cellStyle name="链接单元格 2 2" xfId="7928" xr:uid="{7F829272-FC75-4AC5-9FDF-8E3FAC800FAB}"/>
    <cellStyle name="链接单元格 2 2 2" xfId="25651" xr:uid="{5623F262-447A-4D1E-93A9-61AEE0A1975B}"/>
    <cellStyle name="链接单元格 2 2 3" xfId="25650" xr:uid="{267556A1-5F4C-4A96-98EE-4906C09DA9C7}"/>
    <cellStyle name="链接单元格 2 2 4" xfId="27589" xr:uid="{1816C2EA-618E-4D83-B84C-C953742A7822}"/>
    <cellStyle name="链接单元格 2 3" xfId="7929" xr:uid="{7CB6A085-7511-4CA7-B689-5FF4E08F59D0}"/>
    <cellStyle name="链接单元格 2 3 2" xfId="25653" xr:uid="{00C4B7F8-C679-4A6F-8E58-F719EA4A3252}"/>
    <cellStyle name="链接单元格 2 3 3" xfId="25652" xr:uid="{B2416F6C-8CB8-4A86-B820-06C14BCA1DB7}"/>
    <cellStyle name="链接单元格 2 3 4" xfId="27590" xr:uid="{DE827C94-98A5-4C72-A201-27A0836DF0C7}"/>
    <cellStyle name="链接单元格 2 4" xfId="7930" xr:uid="{CD0F6D14-C381-47A4-9B07-E84B2C5B44E2}"/>
    <cellStyle name="链接单元格 2 4 2" xfId="25654" xr:uid="{BCCA8FEB-5745-41F7-9AC2-6A63D4820402}"/>
    <cellStyle name="链接单元格 2 5" xfId="7931" xr:uid="{3206F8E3-1190-4775-A8CD-426F518A4E10}"/>
    <cellStyle name="链接单元格 2 5 2" xfId="25655" xr:uid="{411FCC91-C4B3-40C2-A12C-A2D2CB44C712}"/>
    <cellStyle name="链接单元格 2 6" xfId="7932" xr:uid="{71C51390-0B6C-47BE-BA38-4704BF40517B}"/>
    <cellStyle name="链接单元格 2 7" xfId="7933" xr:uid="{FDE0259D-B047-4054-BF7C-2CAE877F1DFF}"/>
    <cellStyle name="链接单元格 2 8" xfId="7934" xr:uid="{07BE3849-F17D-4E4B-8A32-3B399A4F3610}"/>
    <cellStyle name="链接单元格 2 9" xfId="7935" xr:uid="{81AA4A05-5658-4191-8968-79487A21A121}"/>
    <cellStyle name="链接单元格 2_动力部" xfId="25656" xr:uid="{5C55EEEB-93D6-4391-8F31-C767870DFF32}"/>
    <cellStyle name="链接单元格 20" xfId="7914" xr:uid="{5651E178-CF35-423E-95D6-F5E3509F57F0}"/>
    <cellStyle name="链接单元格 20 2" xfId="25658" xr:uid="{27C3CA9A-F2A8-4085-8D97-1DEBF1A68A2D}"/>
    <cellStyle name="链接单元格 20 3" xfId="25657" xr:uid="{6D1729C7-65A4-4CC7-B164-A1E5F71CB298}"/>
    <cellStyle name="链接单元格 21" xfId="7916" xr:uid="{BB3DD9FB-C36C-43DF-A695-3BC9000839BE}"/>
    <cellStyle name="链接单元格 21 2" xfId="25660" xr:uid="{E4574328-73B5-444B-953C-A117BA5974B3}"/>
    <cellStyle name="链接单元格 21 3" xfId="25659" xr:uid="{56A7E235-8B14-4589-852D-5DCF9F21B48C}"/>
    <cellStyle name="链接单元格 22" xfId="7918" xr:uid="{2201042E-21D6-4385-B724-DC1BC3E54479}"/>
    <cellStyle name="链接单元格 22 2" xfId="25662" xr:uid="{64DF5154-F6C9-44A8-BDB6-37F02E64C344}"/>
    <cellStyle name="链接单元格 22 3" xfId="25661" xr:uid="{170EED67-3204-4219-B9E4-FB58C51EE0E6}"/>
    <cellStyle name="链接单元格 23" xfId="7920" xr:uid="{30C59D5C-955D-4F93-9261-BE16266BC738}"/>
    <cellStyle name="链接单元格 23 2" xfId="25664" xr:uid="{36A0583D-645E-4483-905E-A5D6034A847B}"/>
    <cellStyle name="链接单元格 23 3" xfId="25663" xr:uid="{9D61FE1C-5A43-450F-9ABB-918C964F13EE}"/>
    <cellStyle name="链接单元格 24" xfId="7922" xr:uid="{1B13B315-E17C-4664-96A8-59EF59120F34}"/>
    <cellStyle name="链接单元格 24 2" xfId="25666" xr:uid="{A5AEA782-30AC-4035-B636-DBAE9D2B7EAE}"/>
    <cellStyle name="链接单元格 24 3" xfId="25665" xr:uid="{B6E77AE2-F577-4649-B54E-068E57C89737}"/>
    <cellStyle name="链接单元格 25" xfId="7936" xr:uid="{F8E667C3-FC35-4D2F-A017-8C01600A0F45}"/>
    <cellStyle name="链接单元格 25 2" xfId="25668" xr:uid="{80EBF40B-F42B-4722-9D7E-EA7D00330F3B}"/>
    <cellStyle name="链接单元格 25 3" xfId="25667" xr:uid="{2B990070-2872-4C63-9EF7-DC2022B5F415}"/>
    <cellStyle name="链接单元格 26" xfId="7938" xr:uid="{F27F3191-EB43-435B-BE53-E49B801B0473}"/>
    <cellStyle name="链接单元格 26 2" xfId="25670" xr:uid="{1EDA5FD2-7C0D-4CBA-843D-8D862A1D1C44}"/>
    <cellStyle name="链接单元格 26 3" xfId="25669" xr:uid="{EB7E1B77-01F9-4520-B5BC-95B3541BEFFC}"/>
    <cellStyle name="链接单元格 27" xfId="4619" xr:uid="{97A452C6-63BC-4449-B043-7713B69D4801}"/>
    <cellStyle name="链接单元格 27 2" xfId="25672" xr:uid="{E307D604-2AA5-4A86-A223-9514A65B02DC}"/>
    <cellStyle name="链接单元格 27 3" xfId="25671" xr:uid="{4C269229-CAE6-4126-9A8E-46AE88BED665}"/>
    <cellStyle name="链接单元格 28" xfId="7940" xr:uid="{C443DD34-76BE-40F8-B9E2-9FEE0377A7FB}"/>
    <cellStyle name="链接单元格 28 2" xfId="25674" xr:uid="{F748B1FC-E3C5-44AC-9BD9-DED30E240790}"/>
    <cellStyle name="链接单元格 28 3" xfId="25673" xr:uid="{DA4FF03F-6725-4F6B-A445-F52A36E721F1}"/>
    <cellStyle name="链接单元格 29" xfId="7942" xr:uid="{AC17A448-B128-4F29-9756-ED8EA6B51D59}"/>
    <cellStyle name="链接单元格 29 2" xfId="25676" xr:uid="{883485AF-371A-48F6-A10F-2C4A303EA6FE}"/>
    <cellStyle name="链接单元格 29 3" xfId="25675" xr:uid="{7CCD474E-FEDA-497B-AF45-7165B7A7B0BF}"/>
    <cellStyle name="链接单元格 3" xfId="7944" xr:uid="{E62546D9-DC7F-4C20-B883-F6FC483204A0}"/>
    <cellStyle name="链接单元格 3 2" xfId="11371" xr:uid="{970D1662-9760-4EDB-8097-9B225C77536E}"/>
    <cellStyle name="链接单元格 3 2 2" xfId="25678" xr:uid="{8B1786CC-E645-4B22-805D-459961C285D7}"/>
    <cellStyle name="链接单元格 3 2 3" xfId="27591" xr:uid="{C96FD8A1-ACF4-4B22-B790-F6C19483C380}"/>
    <cellStyle name="链接单元格 3 3" xfId="11372" xr:uid="{5B105C26-11FB-4669-A7EF-85CE74A0A499}"/>
    <cellStyle name="链接单元格 3 3 2" xfId="25680" xr:uid="{91EA55B9-6CA5-4E1D-82EB-0904F493C1B1}"/>
    <cellStyle name="链接单元格 3 3 3" xfId="25679" xr:uid="{5B20F771-9E22-4FF7-A888-7416158C5353}"/>
    <cellStyle name="链接单元格 3 3 4" xfId="27592" xr:uid="{348CC734-7A26-4515-A874-31AF3319F712}"/>
    <cellStyle name="链接单元格 3 4" xfId="25677" xr:uid="{755EA1B8-9554-4594-80D6-A18832BAF701}"/>
    <cellStyle name="链接单元格 30" xfId="7937" xr:uid="{FF9C2542-AD96-4A80-9675-CE1D121793BF}"/>
    <cellStyle name="链接单元格 30 2" xfId="25682" xr:uid="{136913CD-DAE6-4486-8443-9C6F3486E9A5}"/>
    <cellStyle name="链接单元格 30 3" xfId="25681" xr:uid="{ACD6ED34-4ED1-4C63-A1ED-13572AF5EC16}"/>
    <cellStyle name="链接单元格 31" xfId="7939" xr:uid="{6C5D8EE4-CA65-4313-87C6-A2C08D504FFB}"/>
    <cellStyle name="链接单元格 31 2" xfId="25684" xr:uid="{057B6C62-1359-440B-9C1F-C08F39333780}"/>
    <cellStyle name="链接单元格 31 3" xfId="25683" xr:uid="{BAEF2B3F-3A4F-4E61-B8D3-744FD5CEC42A}"/>
    <cellStyle name="链接单元格 32" xfId="4620" xr:uid="{ED0CDB85-A283-4889-98F8-0DA8E50D6A0D}"/>
    <cellStyle name="链接单元格 32 2" xfId="25686" xr:uid="{6414A4C4-5ACB-460C-8132-EDB12AE15E69}"/>
    <cellStyle name="链接单元格 32 3" xfId="25685" xr:uid="{91384065-A620-4CCF-86FD-DBF7F9FEE0ED}"/>
    <cellStyle name="链接单元格 33" xfId="7941" xr:uid="{280BD788-81D7-4B25-8882-081B9A6A9C0E}"/>
    <cellStyle name="链接单元格 33 2" xfId="25688" xr:uid="{3CD88C1E-DDDA-44BF-8B50-0A630F3A5BA4}"/>
    <cellStyle name="链接单元格 33 3" xfId="25687" xr:uid="{69ACC4DD-9216-4A1C-B12D-63189265636E}"/>
    <cellStyle name="链接单元格 34" xfId="7943" xr:uid="{67028BC0-048A-44C7-B759-9569A71FF027}"/>
    <cellStyle name="链接单元格 34 2" xfId="25690" xr:uid="{3D75C7FA-ED44-4852-B8C9-2EFC45582A58}"/>
    <cellStyle name="链接单元格 34 3" xfId="25689" xr:uid="{6112B960-D51A-48BD-8847-E765891E51D6}"/>
    <cellStyle name="链接单元格 35" xfId="7945" xr:uid="{036D3D8B-880C-4A4D-96AF-9D330E76A012}"/>
    <cellStyle name="链接单元格 35 2" xfId="25692" xr:uid="{4DB0D350-D5D0-4338-8A10-7F721C4A2A82}"/>
    <cellStyle name="链接单元格 35 3" xfId="25691" xr:uid="{22E5E78D-DAB9-4D6C-84EA-5CCBC272F037}"/>
    <cellStyle name="链接单元格 36" xfId="7947" xr:uid="{192B2AE0-A709-40AE-BCDD-4A942A97535D}"/>
    <cellStyle name="链接单元格 36 2" xfId="25694" xr:uid="{9C2125A8-D573-43FE-BC21-7508022CEA14}"/>
    <cellStyle name="链接单元格 36 3" xfId="25693" xr:uid="{CF3318B2-5234-4BE8-97BE-F762A77ADD03}"/>
    <cellStyle name="链接单元格 37" xfId="7949" xr:uid="{20E82FBC-BC55-478A-BEAC-8C74B49C14FB}"/>
    <cellStyle name="链接单元格 37 2" xfId="25696" xr:uid="{04A09A8F-4BFD-463D-8F28-7122616482C4}"/>
    <cellStyle name="链接单元格 37 3" xfId="25695" xr:uid="{A6CFDFC3-3143-421C-B68E-78E3498D4686}"/>
    <cellStyle name="链接单元格 38" xfId="7951" xr:uid="{4F2700D5-46CA-4429-B397-294FACBDE96C}"/>
    <cellStyle name="链接单元格 38 2" xfId="25698" xr:uid="{B78BA8B8-E128-42AC-B0A7-08C50A60CE02}"/>
    <cellStyle name="链接单元格 38 3" xfId="25697" xr:uid="{32444198-BFA8-490B-BA38-80533C3E2427}"/>
    <cellStyle name="链接单元格 39" xfId="7953" xr:uid="{03F2A1F1-6756-4549-91FF-0BF31486CFF7}"/>
    <cellStyle name="链接单元格 39 2" xfId="25700" xr:uid="{64C5F1BC-8BEC-45F8-A760-2BD2B94DA380}"/>
    <cellStyle name="链接单元格 39 3" xfId="25699" xr:uid="{020CCCE8-93F5-4950-97F0-907A2EE4F1E6}"/>
    <cellStyle name="链接单元格 4" xfId="7955" xr:uid="{411AC549-E857-44D5-9170-F3D6C50EC615}"/>
    <cellStyle name="链接单元格 4 2" xfId="11373" xr:uid="{F8DE683C-6FE5-4028-9CB9-7885F28D419E}"/>
    <cellStyle name="链接单元格 4 2 2" xfId="25703" xr:uid="{686E1D5C-3EDF-4C75-BF86-5CC4B2270CEF}"/>
    <cellStyle name="链接单元格 4 2 3" xfId="25702" xr:uid="{B95C8A5C-F766-46BC-ADFA-469EB4667D40}"/>
    <cellStyle name="链接单元格 4 3" xfId="11374" xr:uid="{8F0DE8C4-8FB2-4E4C-BBEA-7B5547033EB8}"/>
    <cellStyle name="链接单元格 4 4" xfId="25701" xr:uid="{46D9A918-C1AB-473B-B8BC-5CEA27CAD8D3}"/>
    <cellStyle name="链接单元格 40" xfId="7946" xr:uid="{9E66E327-AEA4-4C7F-9B20-B0A0351231D6}"/>
    <cellStyle name="链接单元格 40 2" xfId="25705" xr:uid="{D0BF1457-929C-4BC5-96E9-30392C64CB9F}"/>
    <cellStyle name="链接单元格 40 3" xfId="25704" xr:uid="{929F003C-BB57-47DF-BFF2-FB99541E06C4}"/>
    <cellStyle name="链接单元格 41" xfId="7948" xr:uid="{21D34DAC-EE1D-40AF-9925-7E95CAEAC3EA}"/>
    <cellStyle name="链接单元格 41 2" xfId="25707" xr:uid="{F4AD2CD7-CD90-498A-B963-795A9022FE39}"/>
    <cellStyle name="链接单元格 41 3" xfId="25706" xr:uid="{605294F8-97BC-40D5-98CA-1AD74E30300E}"/>
    <cellStyle name="链接单元格 42" xfId="7950" xr:uid="{4351D29F-8145-4142-821B-407EFE119F00}"/>
    <cellStyle name="链接单元格 42 2" xfId="25709" xr:uid="{A3D2981A-3EBC-4EF5-BC64-A88F77E279C1}"/>
    <cellStyle name="链接单元格 42 3" xfId="25708" xr:uid="{4C008529-ED72-43FA-BD6B-1D7066038412}"/>
    <cellStyle name="链接单元格 43" xfId="7952" xr:uid="{83E21DF0-2A7C-4222-8C5F-5E9FBADEBC3B}"/>
    <cellStyle name="链接单元格 43 2" xfId="25711" xr:uid="{7841E74C-8A74-4DDA-A3AF-7035FDA1E46A}"/>
    <cellStyle name="链接单元格 43 3" xfId="25710" xr:uid="{C08FC203-5366-4365-8F74-8130D251ACF7}"/>
    <cellStyle name="链接单元格 44" xfId="7954" xr:uid="{730F5D5A-73F4-4CC9-BEAE-CB8E748B51C3}"/>
    <cellStyle name="链接单元格 44 2" xfId="25713" xr:uid="{C45756F4-E437-4FB3-ABF6-08D12F800B4A}"/>
    <cellStyle name="链接单元格 44 3" xfId="25712" xr:uid="{CEA36C35-CBDE-4F8C-A7CB-EA9AFA2D5C6C}"/>
    <cellStyle name="链接单元格 45" xfId="7956" xr:uid="{F82F8FE0-9557-45A2-904A-AFC0A7BB101B}"/>
    <cellStyle name="链接单元格 45 2" xfId="25715" xr:uid="{EAA95138-D5BA-4694-BAB3-08D6DE5EFD30}"/>
    <cellStyle name="链接单元格 45 3" xfId="25714" xr:uid="{7CDCFABC-A92F-443F-A1A7-51DFEE2DC910}"/>
    <cellStyle name="链接单元格 46" xfId="7958" xr:uid="{83145440-B644-4F2C-89F9-3EEEA4D4CF56}"/>
    <cellStyle name="链接单元格 46 2" xfId="25717" xr:uid="{533482E9-381E-415A-B0BE-7196D4AA4A37}"/>
    <cellStyle name="链接单元格 46 3" xfId="25716" xr:uid="{9D894998-C231-45A6-B3C0-960A54D089BC}"/>
    <cellStyle name="链接单元格 47" xfId="7960" xr:uid="{C423A392-F0AF-45BA-BD10-31B7B242CF1C}"/>
    <cellStyle name="链接单元格 47 2" xfId="25718" xr:uid="{B9179B33-E58F-44D1-8692-33B5FEB79D5F}"/>
    <cellStyle name="链接单元格 48" xfId="7962" xr:uid="{804307EC-3395-4C48-93B3-E2F2383B7B3D}"/>
    <cellStyle name="链接单元格 48 2" xfId="25719" xr:uid="{1FB88E8C-605B-463D-B99B-D62B2300E09D}"/>
    <cellStyle name="链接单元格 49" xfId="7964" xr:uid="{DB0922DB-0E34-4997-9147-130C32DBBF93}"/>
    <cellStyle name="链接单元格 49 2" xfId="25720" xr:uid="{CB886B10-1FB2-4334-97BD-566021751972}"/>
    <cellStyle name="链接单元格 5" xfId="7966" xr:uid="{4042F541-B659-4DC9-861E-9D24057979DA}"/>
    <cellStyle name="链接单元格 5 2" xfId="11375" xr:uid="{EBBF6D19-AC22-4DD3-A08E-AB558AD7B721}"/>
    <cellStyle name="链接单元格 5 2 2" xfId="25722" xr:uid="{DE6A392A-981C-40AE-9CA1-0E0930D24D5F}"/>
    <cellStyle name="链接单元格 5 3" xfId="11376" xr:uid="{F7052612-5B5E-4BB7-99FE-3DDDC90FD9C1}"/>
    <cellStyle name="链接单元格 5 4" xfId="25721" xr:uid="{09EB8658-50CD-4B10-A74F-223CE257428B}"/>
    <cellStyle name="链接单元格 50" xfId="7957" xr:uid="{07EFFD62-0BD3-4E82-86E7-36326E5E794D}"/>
    <cellStyle name="链接单元格 50 2" xfId="25723" xr:uid="{EFCFD511-7A63-47C3-B9E3-A89736CC3152}"/>
    <cellStyle name="链接单元格 51" xfId="7959" xr:uid="{FA8E3C62-7D3D-4BA0-8F9B-500EA17DB291}"/>
    <cellStyle name="链接单元格 51 2" xfId="25724" xr:uid="{AEE1B88C-F1CB-497A-9C44-29E35ABFB175}"/>
    <cellStyle name="链接单元格 52" xfId="7961" xr:uid="{BE8F3574-6C2D-41D0-80F7-DF80ECC1F55A}"/>
    <cellStyle name="链接单元格 52 2" xfId="25725" xr:uid="{E1DCFB61-F22A-484E-9F36-77AD1F5C56DB}"/>
    <cellStyle name="链接单元格 53" xfId="7963" xr:uid="{18A3AFD6-3276-4418-B464-A6E183E85015}"/>
    <cellStyle name="链接单元格 53 2" xfId="25726" xr:uid="{0FEB61BD-CCBE-480B-9CFB-16B37E62E28A}"/>
    <cellStyle name="链接单元格 54" xfId="7965" xr:uid="{149604E6-6BB4-4617-B03A-188D9F45E663}"/>
    <cellStyle name="链接单元格 54 2" xfId="25727" xr:uid="{7941EE30-E604-4629-9560-FF947F1AC23B}"/>
    <cellStyle name="链接单元格 55" xfId="7967" xr:uid="{CBB09379-40F8-4912-ACB9-ADAF8877F633}"/>
    <cellStyle name="链接单元格 55 2" xfId="25728" xr:uid="{1B78ACAC-BED1-457F-971E-A42586652070}"/>
    <cellStyle name="链接单元格 56" xfId="7969" xr:uid="{D51EB2D7-DFCD-449A-B563-3E0D73A613C5}"/>
    <cellStyle name="链接单元格 56 2" xfId="25729" xr:uid="{C78F5A39-1FF0-45C7-95A1-E5205AEF56B8}"/>
    <cellStyle name="链接单元格 57" xfId="7971" xr:uid="{7492711E-D34C-44AB-AE4C-58D735A65DC2}"/>
    <cellStyle name="链接单元格 58" xfId="7973" xr:uid="{5710BDC6-05E0-4109-9528-8ADB44A24EF7}"/>
    <cellStyle name="链接单元格 59" xfId="7975" xr:uid="{ABF8AECB-1967-4B5B-B393-D24C6EB2F21B}"/>
    <cellStyle name="链接单元格 6" xfId="7977" xr:uid="{57445C0C-7504-4077-B6EC-90119D59A121}"/>
    <cellStyle name="链接单元格 6 2" xfId="7978" xr:uid="{6DC01FA2-4789-4F2B-8020-586B9E2A2369}"/>
    <cellStyle name="链接单元格 6 2 2" xfId="25731" xr:uid="{C2CCAC1F-DCE2-4C74-A5A8-415C288C9ECB}"/>
    <cellStyle name="链接单元格 6 3" xfId="11377" xr:uid="{BC8BCEC6-0D8D-4202-939A-895F5C0F224C}"/>
    <cellStyle name="链接单元格 6 4" xfId="25730" xr:uid="{C354439E-D77F-4C6A-B290-032D90E7F515}"/>
    <cellStyle name="链接单元格 60" xfId="7968" xr:uid="{8A548942-03F9-4756-B586-58C990AA6636}"/>
    <cellStyle name="链接单元格 61" xfId="7970" xr:uid="{149ED282-2A2F-4A82-B165-2ACB2BD5AB3B}"/>
    <cellStyle name="链接单元格 62" xfId="7972" xr:uid="{583B6DBA-5C2A-48C4-BE97-6EAC341A136A}"/>
    <cellStyle name="链接单元格 63" xfId="7974" xr:uid="{5BA5C021-E7B9-4CA9-B74C-B4FAB1B44160}"/>
    <cellStyle name="链接单元格 64" xfId="7976" xr:uid="{A14E8369-9667-4C47-8BCB-215EA219247D}"/>
    <cellStyle name="链接单元格 65" xfId="7979" xr:uid="{57E7F525-53AE-430F-AE87-F24873A72D79}"/>
    <cellStyle name="链接单元格 66" xfId="7981" xr:uid="{326992C2-92B5-4580-9E1A-34A790709FB5}"/>
    <cellStyle name="链接单元格 67" xfId="7983" xr:uid="{A7F1B42B-9A77-43FF-8FFB-4FAF72665EEC}"/>
    <cellStyle name="链接单元格 68" xfId="7985" xr:uid="{FCEE2A11-3DD1-418D-B45A-29E7F53F9C09}"/>
    <cellStyle name="链接单元格 69" xfId="7987" xr:uid="{3E1361FC-F9CD-44D1-B657-E3AA43C7E13C}"/>
    <cellStyle name="链接单元格 7" xfId="7989" xr:uid="{7B86500A-4487-4992-9A92-54A93162C0BF}"/>
    <cellStyle name="链接单元格 7 2" xfId="7990" xr:uid="{EB863467-B61C-4C8D-802A-6D138186ED21}"/>
    <cellStyle name="链接单元格 7 2 2" xfId="25733" xr:uid="{69351574-4A8F-4E3F-9770-732C5726043B}"/>
    <cellStyle name="链接单元格 7 3" xfId="11378" xr:uid="{89EA1BDC-BE2B-4ED9-BDC8-4FBC0BDE0D8E}"/>
    <cellStyle name="链接单元格 7 4" xfId="25732" xr:uid="{376D63A0-DC9E-42C3-B5F4-23531ACAF4A7}"/>
    <cellStyle name="链接单元格 70" xfId="7980" xr:uid="{4568A9E1-1B2A-4DCE-8551-F8B834B7FE20}"/>
    <cellStyle name="链接单元格 71" xfId="7982" xr:uid="{A9B56EF1-DCEA-4852-B307-AAB3E088B83C}"/>
    <cellStyle name="链接单元格 72" xfId="7984" xr:uid="{B6E19A52-DAB6-48BA-A5C8-B19268E8226B}"/>
    <cellStyle name="链接单元格 73" xfId="7986" xr:uid="{767D9666-BB81-420A-9F76-E583E1AFB64F}"/>
    <cellStyle name="链接单元格 74" xfId="7988" xr:uid="{73CFDA5C-C8EA-41D7-A5C5-507D217CECEB}"/>
    <cellStyle name="链接单元格 75" xfId="7991" xr:uid="{73DD11A9-1E77-4686-8E0F-87270DFEFF02}"/>
    <cellStyle name="链接单元格 76" xfId="7993" xr:uid="{92A8A6E8-079E-487F-B39B-D2714A5B9297}"/>
    <cellStyle name="链接单元格 77" xfId="4583" xr:uid="{36E2828C-707D-4C2D-99E3-8806233F64BD}"/>
    <cellStyle name="链接单元格 78" xfId="7995" xr:uid="{DD74C019-51DC-4306-8D2E-79757809BDA0}"/>
    <cellStyle name="链接单元格 79" xfId="7997" xr:uid="{DEC3FF31-4D7A-416A-82B8-CAEC4C3F3744}"/>
    <cellStyle name="链接单元格 8" xfId="7999" xr:uid="{CC834D31-B64B-466C-8666-AAA791E76E06}"/>
    <cellStyle name="链接单元格 8 2" xfId="8000" xr:uid="{18A51953-B90C-45C5-8482-BB98850C580A}"/>
    <cellStyle name="链接单元格 8 2 2" xfId="25735" xr:uid="{FBD6A02A-52B7-4480-9D2F-9FF5E9793B59}"/>
    <cellStyle name="链接单元格 8 3" xfId="11379" xr:uid="{67C7D275-656D-44F6-8FD0-43EC8FA058A7}"/>
    <cellStyle name="链接单元格 8 4" xfId="25734" xr:uid="{672B5098-E22F-4B91-9780-73C8B9F0A13C}"/>
    <cellStyle name="链接单元格 80" xfId="7992" xr:uid="{481511C4-8638-4FE1-8F6F-8657970A0DAA}"/>
    <cellStyle name="链接单元格 81" xfId="7994" xr:uid="{E2EF75D0-EB9E-4FB2-A697-8D1B5E1B142C}"/>
    <cellStyle name="链接单元格 82" xfId="4584" xr:uid="{B51F9F75-87C6-41A4-8853-10193D95BFBF}"/>
    <cellStyle name="链接单元格 83" xfId="7996" xr:uid="{D4FFF785-21D4-4F08-ABF5-6D24437F64CC}"/>
    <cellStyle name="链接单元格 84" xfId="7998" xr:uid="{22C8D362-4CE9-4DE4-82A1-95B5CEB9AA26}"/>
    <cellStyle name="链接单元格 85" xfId="9330" xr:uid="{55EEB6E6-1DDF-4B8D-9CF3-7866366B2CF9}"/>
    <cellStyle name="链接单元格 86" xfId="13587" xr:uid="{21E41B67-2917-426A-9D39-6BFEE21C809B}"/>
    <cellStyle name="链接单元格 87" xfId="27134" xr:uid="{4864D5AF-1962-46E0-A0DA-94723D364A68}"/>
    <cellStyle name="链接单元格 88" xfId="27177" xr:uid="{1E444649-2305-4E3F-99D0-3B9FD71A408B}"/>
    <cellStyle name="链接单元格 89" xfId="27190" xr:uid="{6A47DEF2-D6DA-4D67-9C78-A72AFF3E842C}"/>
    <cellStyle name="链接单元格 9" xfId="8001" xr:uid="{7B56E86F-ACCC-422F-B697-5F8B82D5BC60}"/>
    <cellStyle name="链接单元格 9 2" xfId="11380" xr:uid="{E0A9EAED-2E00-4484-8860-16E9B4D3942F}"/>
    <cellStyle name="链接单元格 9 2 2" xfId="25737" xr:uid="{23339D3A-B265-45DF-A088-7B9C092E4094}"/>
    <cellStyle name="链接单元格 9 3" xfId="11381" xr:uid="{163D0D06-A028-4C96-9585-DCD8258D4F5D}"/>
    <cellStyle name="链接单元格 9 4" xfId="25736" xr:uid="{C12B1384-18AB-46A8-B407-542874A83A5E}"/>
    <cellStyle name="链接单元格 90" xfId="7907" xr:uid="{EDB9FA1A-9A95-4717-9D05-F79261DA9631}"/>
    <cellStyle name="霓付 [0]_1202" xfId="8002" xr:uid="{4DD78769-6777-4201-B720-1445348B8005}"/>
    <cellStyle name="霓付_1202" xfId="8003" xr:uid="{8CF56842-5B22-4DDB-9FA3-F16DECA5B671}"/>
    <cellStyle name="똿뗦먛귟 [0.00]_PRODUCT DETAIL Q1" xfId="25738" xr:uid="{60953655-FDED-4F48-98CF-3B548B65908A}"/>
    <cellStyle name="똿뗦먛귟_PRODUCT DETAIL Q1" xfId="25739" xr:uid="{9A434C23-80C9-4B3D-8353-CD7BBB85DECB}"/>
    <cellStyle name="烹拳 [0]_1202" xfId="8004" xr:uid="{CFF2E677-27A8-4442-BE32-B922BE630BEC}"/>
    <cellStyle name="烹拳_1202" xfId="8005" xr:uid="{79B054A7-A60B-42C3-BC66-2946BD185BF0}"/>
    <cellStyle name="砯刽 [0]_laroux" xfId="8006" xr:uid="{877AD850-5BBD-4A1D-92FD-2A08FEEC5822}"/>
    <cellStyle name="砯刽_laroux" xfId="8007" xr:uid="{77AC06A5-1B70-4CFB-9143-04F4CF9EBBA5}"/>
    <cellStyle name="普通_ 白土" xfId="8008" xr:uid="{FA9DD00F-4716-4708-878B-2B11077FF8EF}"/>
    <cellStyle name="千分位[0]_ 白土" xfId="8009" xr:uid="{AE3CFB3F-CC4E-4CC8-915E-189CED3C8427}"/>
    <cellStyle name="千分位_ 白土" xfId="8010" xr:uid="{50A2AB6C-5366-4569-8652-A736D8C2D227}"/>
    <cellStyle name="千位[0]_ 方正PC" xfId="25740" xr:uid="{FC30970E-3B3A-4BF0-BCB7-E750D9914376}"/>
    <cellStyle name="千位_ 方正PC" xfId="25741" xr:uid="{5E91F074-EC3B-42CE-979E-3AED91DEC1E7}"/>
    <cellStyle name="千位分隔" xfId="2" builtinId="3"/>
    <cellStyle name="千位分隔 10" xfId="11382" xr:uid="{4FC40CD2-76D5-4D9A-8BA8-E3BF8204BB75}"/>
    <cellStyle name="千位分隔 10 2" xfId="25743" xr:uid="{51365A48-845C-4DE3-85F0-7B258EDA9A43}"/>
    <cellStyle name="千位分隔 10 2 2" xfId="25744" xr:uid="{5E61F442-5C3B-4552-ABB0-7FF5AF51F056}"/>
    <cellStyle name="千位分隔 10 3" xfId="25745" xr:uid="{0F01FA89-4A68-4A64-9A65-AB501D727CBE}"/>
    <cellStyle name="千位分隔 10 4" xfId="25742" xr:uid="{052BC56F-CFD1-4E4B-A790-B2828DA17130}"/>
    <cellStyle name="千位分隔 10 5" xfId="27594" xr:uid="{CB0CB569-1E99-47A2-B7EE-25FD0660E2EB}"/>
    <cellStyle name="千位分隔 11" xfId="8011" xr:uid="{540D11A9-CC3C-4755-96DA-68EB342E4D68}"/>
    <cellStyle name="千位分隔 11 2" xfId="8012" xr:uid="{BCE7CBCF-AF1E-4B37-A6E4-039C9989BFF1}"/>
    <cellStyle name="千位分隔 11 2 2" xfId="25747" xr:uid="{60E042ED-87DC-4574-886D-52A3F7EB57E0}"/>
    <cellStyle name="千位分隔 11 3" xfId="25746" xr:uid="{A3284F8D-024C-4173-B5B0-93472203DF8F}"/>
    <cellStyle name="千位分隔 11 4" xfId="27595" xr:uid="{769626A1-0CC3-41E3-A6FC-9E767714F962}"/>
    <cellStyle name="千位分隔 11 5" xfId="27873" xr:uid="{F7B35B5A-160A-47BF-9A54-86D921BFAB71}"/>
    <cellStyle name="千位分隔 12" xfId="25748" xr:uid="{4F1C6F08-9ADC-4D6D-A80B-9F0A919259AD}"/>
    <cellStyle name="千位分隔 13" xfId="27593" xr:uid="{A26366B0-5BC5-4A99-A71F-59FEF47C0BDA}"/>
    <cellStyle name="千位分隔 14" xfId="27787" xr:uid="{F860C1C0-A068-4990-B351-4ACA31D8D7EF}"/>
    <cellStyle name="千位分隔 15" xfId="27871" xr:uid="{580C4D19-C693-4FE9-86EC-5A35B521F9AE}"/>
    <cellStyle name="千位分隔 2" xfId="18" xr:uid="{00000000-0005-0000-0000-000012000000}"/>
    <cellStyle name="千位分隔 2 10" xfId="8013" xr:uid="{37B45C40-D0AF-48FC-87A5-F52FB7702BCC}"/>
    <cellStyle name="千位分隔 2 10 2" xfId="8014" xr:uid="{E9DCAE56-5A60-44DD-A3A0-15C65DBF0C6C}"/>
    <cellStyle name="千位分隔 2 10 2 2" xfId="27598" xr:uid="{39F2B80E-F360-4E2B-BD9B-317E38214735}"/>
    <cellStyle name="千位分隔 2 10 3" xfId="11383" xr:uid="{98FFF617-A9C0-4FE1-B4FF-C592A583BBF8}"/>
    <cellStyle name="千位分隔 2 10 3 2" xfId="27599" xr:uid="{255673B4-AE2F-41B3-9DC3-3C2CE9A15B43}"/>
    <cellStyle name="千位分隔 2 10 4" xfId="13435" xr:uid="{6339CEEB-BC4C-4703-9144-B02C75AF458D}"/>
    <cellStyle name="千位分隔 2 10 5" xfId="27597" xr:uid="{C70B9B76-D3BF-4804-A334-7D7D6E5359FE}"/>
    <cellStyle name="千位分隔 2 11" xfId="8015" xr:uid="{E576A68E-2351-4270-B5E2-094739DD572D}"/>
    <cellStyle name="千位分隔 2 11 2" xfId="11384" xr:uid="{416993A9-A4C0-4E5E-95C5-E89AB0892A8E}"/>
    <cellStyle name="千位分隔 2 12" xfId="8016" xr:uid="{05F89F2A-51D0-4789-821D-B16827D039AF}"/>
    <cellStyle name="千位分隔 2 12 2" xfId="11385" xr:uid="{BA490EB4-87FD-46CC-A8F0-EAD9515B903E}"/>
    <cellStyle name="千位分隔 2 13" xfId="8017" xr:uid="{966606C4-FBA9-4137-8080-FC0EF4A3B284}"/>
    <cellStyle name="千位分隔 2 13 2" xfId="11386" xr:uid="{530E1FEE-5816-433E-BA26-D4BC4926EAFA}"/>
    <cellStyle name="千位分隔 2 14" xfId="8018" xr:uid="{55B54712-0C25-4AB6-9E84-AF7A81001128}"/>
    <cellStyle name="千位分隔 2 14 2" xfId="11387" xr:uid="{55B7F655-EC0B-4EDD-92D7-E767732FBBBD}"/>
    <cellStyle name="千位分隔 2 15" xfId="8020" xr:uid="{E9A3881C-52AC-4A59-88EF-2155BEFD5C0C}"/>
    <cellStyle name="千位分隔 2 15 2" xfId="11388" xr:uid="{394913D7-8C9F-49F2-9389-442DCC8CDFEE}"/>
    <cellStyle name="千位分隔 2 16" xfId="8021" xr:uid="{BBD0FFF0-CAE5-43FB-8D05-7B69E1BBA490}"/>
    <cellStyle name="千位分隔 2 16 2" xfId="11389" xr:uid="{A3C4902E-A3FA-485C-A3E7-3ECA26D29999}"/>
    <cellStyle name="千位分隔 2 17" xfId="8022" xr:uid="{142846A1-58E8-41E0-9B2A-64E5EAE7CDE4}"/>
    <cellStyle name="千位分隔 2 17 2" xfId="11390" xr:uid="{C83084CA-1102-4031-AF53-5028A41C71BF}"/>
    <cellStyle name="千位分隔 2 18" xfId="8023" xr:uid="{FB011A27-2B53-4407-8841-54A78489C410}"/>
    <cellStyle name="千位分隔 2 19" xfId="11391" xr:uid="{50609666-362A-48F5-AF80-30B1C8152575}"/>
    <cellStyle name="千位分隔 2 2" xfId="19" xr:uid="{00000000-0005-0000-0000-000013000000}"/>
    <cellStyle name="千位分隔 2 2 10" xfId="8025" xr:uid="{85426D2C-E449-4876-A033-74A094000D4F}"/>
    <cellStyle name="千位分隔 2 2 10 2" xfId="25751" xr:uid="{A55B3ECC-D8A3-4E5A-A70F-5B2195D3F48F}"/>
    <cellStyle name="千位分隔 2 2 11" xfId="8026" xr:uid="{40C883D8-08F3-4943-A5B7-D81C2779E561}"/>
    <cellStyle name="千位分隔 2 2 11 2" xfId="25752" xr:uid="{DD33F944-8337-4262-9A16-01252112D315}"/>
    <cellStyle name="千位分隔 2 2 12" xfId="8027" xr:uid="{76271EB2-65D7-484C-852B-CF7022446969}"/>
    <cellStyle name="千位分隔 2 2 13" xfId="8028" xr:uid="{A7761379-5C41-4A0F-B058-D926FA995C88}"/>
    <cellStyle name="千位分隔 2 2 14" xfId="8029" xr:uid="{45B17090-33A4-4FDC-ADAB-7A0556562BAD}"/>
    <cellStyle name="千位分隔 2 2 15" xfId="8030" xr:uid="{371C771D-A359-4563-AC92-F83EDE36ABA1}"/>
    <cellStyle name="千位分隔 2 2 16" xfId="8031" xr:uid="{F61CECE6-2CE1-4737-8E33-83E042646A48}"/>
    <cellStyle name="千位分隔 2 2 17" xfId="8032" xr:uid="{5D28DF0D-5F10-46D9-9309-430295B19123}"/>
    <cellStyle name="千位分隔 2 2 18" xfId="11392" xr:uid="{8A2F59E7-DCF2-4CC8-B03A-62995AFF8DAD}"/>
    <cellStyle name="千位分隔 2 2 19" xfId="25750" xr:uid="{081F3556-1736-4429-8BC4-FA0A56996AFD}"/>
    <cellStyle name="千位分隔 2 2 2" xfId="8033" xr:uid="{1F5AB37F-5003-491E-8315-EAE305524913}"/>
    <cellStyle name="千位分隔 2 2 2 2" xfId="8034" xr:uid="{3BF78A6B-B772-4EF7-8948-38E4FE18C7FE}"/>
    <cellStyle name="千位分隔 2 2 2 2 2" xfId="8035" xr:uid="{EBC5318B-BF82-46B4-88B2-C96CF54DD7CF}"/>
    <cellStyle name="千位分隔 2 2 2 2 2 2" xfId="8036" xr:uid="{A85478F0-96B3-4F89-A879-6169262221B5}"/>
    <cellStyle name="千位分隔 2 2 2 2 2 2 2" xfId="274" xr:uid="{0B464926-7364-4AB8-BC78-153F3E01466A}"/>
    <cellStyle name="千位分隔 2 2 2 2 2 2 2 2" xfId="8037" xr:uid="{78B3AA69-F155-432E-93AC-4B310D559C8B}"/>
    <cellStyle name="千位分隔 2 2 2 2 2 2 2 3" xfId="8038" xr:uid="{0EC950C5-1C14-455F-B4A2-5D9EA5F8F52D}"/>
    <cellStyle name="千位分隔 2 2 2 2 2 3" xfId="8039" xr:uid="{7FAC9205-0393-4C7E-9615-3502AD98AC6D}"/>
    <cellStyle name="千位分隔 2 2 2 2 2 4" xfId="8040" xr:uid="{D48CEF3E-746B-472B-9CDE-3D6998DFBF61}"/>
    <cellStyle name="千位分隔 2 2 2 2 2 5" xfId="25755" xr:uid="{29660CF1-D604-4990-BAD3-CFAA28069DC2}"/>
    <cellStyle name="千位分隔 2 2 2 2 3" xfId="8041" xr:uid="{1EC40407-A191-443D-AAF8-E6EFB69EF7D8}"/>
    <cellStyle name="千位分隔 2 2 2 2 3 2" xfId="8042" xr:uid="{C0400261-2A8D-418F-8032-46042A22E9C4}"/>
    <cellStyle name="千位分隔 2 2 2 2 3 3" xfId="8043" xr:uid="{D2D497EF-2FD5-4763-9BBA-E285C7C097D2}"/>
    <cellStyle name="千位分隔 2 2 2 2 4" xfId="25754" xr:uid="{B952FD91-44DD-42FD-8710-F3EF8FF29566}"/>
    <cellStyle name="千位分隔 2 2 2 2 5" xfId="27602" xr:uid="{08AED0A0-B63F-4A88-B40C-4F01275A6AFA}"/>
    <cellStyle name="千位分隔 2 2 2 3" xfId="8044" xr:uid="{1553F146-6D9D-4502-BC30-CC74C01F34B4}"/>
    <cellStyle name="千位分隔 2 2 2 3 2" xfId="25756" xr:uid="{02FF898A-B922-48E4-A4D9-19337A2E13FB}"/>
    <cellStyle name="千位分隔 2 2 2 4" xfId="1127" xr:uid="{A77856A3-63AB-4A4A-8F7F-4ED47354FF8A}"/>
    <cellStyle name="千位分隔 2 2 2 4 2" xfId="8045" xr:uid="{0C3EDC2E-27C2-4AEA-B4B3-A62AD1272A0A}"/>
    <cellStyle name="千位分隔 2 2 2 4 2 2" xfId="8046" xr:uid="{157564BB-EF25-46E2-8960-DAEA27DD645D}"/>
    <cellStyle name="千位分隔 2 2 2 4 2 3" xfId="8047" xr:uid="{293C1625-5D37-4FCC-8937-6D552881FCCA}"/>
    <cellStyle name="千位分隔 2 2 2 5" xfId="8048" xr:uid="{F5E78587-EC35-4750-9F1F-AF7BE8FBA7A1}"/>
    <cellStyle name="千位分隔 2 2 2 6" xfId="8049" xr:uid="{731194A5-A9BE-47DA-BE2B-7D6AC01C7E1D}"/>
    <cellStyle name="千位分隔 2 2 2 7" xfId="11393" xr:uid="{0BACFDAB-E4C4-4B7B-9855-A41062DBAE8B}"/>
    <cellStyle name="千位分隔 2 2 2 8" xfId="25753" xr:uid="{8C86FC7B-490E-4ECC-B7EF-759D32E00648}"/>
    <cellStyle name="千位分隔 2 2 2 9" xfId="27601" xr:uid="{85ACD9B8-C48F-48D6-A550-410313E87536}"/>
    <cellStyle name="千位分隔 2 2 20" xfId="8024" xr:uid="{640CD974-9BF0-467A-B6AE-FAE245E501D2}"/>
    <cellStyle name="千位分隔 2 2 21" xfId="27600" xr:uid="{2325A193-A888-43D6-B3EE-E503F0C0F454}"/>
    <cellStyle name="千位分隔 2 2 22" xfId="27789" xr:uid="{CB561048-5F3F-4FED-8B77-946C2E6A2C33}"/>
    <cellStyle name="千位分隔 2 2 3" xfId="8050" xr:uid="{BFD259AD-F1C7-44FD-859B-EBF6112060F8}"/>
    <cellStyle name="千位分隔 2 2 3 2" xfId="8051" xr:uid="{E8A11726-C0F9-4228-A2AF-FD5D80C0B20D}"/>
    <cellStyle name="千位分隔 2 2 3 2 2" xfId="25758" xr:uid="{432DDD15-8491-484C-AD19-6AAADB005D80}"/>
    <cellStyle name="千位分隔 2 2 3 3" xfId="25757" xr:uid="{B584CECC-DE4B-447B-9764-3E7776959AF4}"/>
    <cellStyle name="千位分隔 2 2 3 4" xfId="27603" xr:uid="{90910E49-FB5C-4435-8520-2948C2F23B64}"/>
    <cellStyle name="千位分隔 2 2 4" xfId="8052" xr:uid="{FE2F9A9A-B8B8-48B1-A2FB-9719F5696146}"/>
    <cellStyle name="千位分隔 2 2 4 2" xfId="8053" xr:uid="{C597F444-73BB-4F5A-B9E9-772FE79A92B3}"/>
    <cellStyle name="千位分隔 2 2 4 2 2" xfId="8055" xr:uid="{5EBE37B1-E8C2-46B7-A643-DB212737B06C}"/>
    <cellStyle name="千位分隔 2 2 4 2 3" xfId="25760" xr:uid="{BE478863-69ED-4D47-A5C4-60159BEF1ABD}"/>
    <cellStyle name="千位分隔 2 2 4 3" xfId="25759" xr:uid="{7CEEDCE6-333E-4758-BC31-9123EF16D186}"/>
    <cellStyle name="千位分隔 2 2 5" xfId="8057" xr:uid="{F259F050-8CA1-459D-BE71-E7E4F9B6BB71}"/>
    <cellStyle name="千位分隔 2 2 5 2" xfId="25762" xr:uid="{3AFE8150-F154-477D-96CC-FB243F21897E}"/>
    <cellStyle name="千位分隔 2 2 5 3" xfId="25761" xr:uid="{518F9A3F-4C14-42A1-B3E9-5D00A97FDC39}"/>
    <cellStyle name="千位分隔 2 2 6" xfId="8058" xr:uid="{901539D5-1D8A-4530-93ED-6295F5DFC295}"/>
    <cellStyle name="千位分隔 2 2 6 2" xfId="25764" xr:uid="{98543EEF-F151-4E51-8DDA-CCA66E73F6CA}"/>
    <cellStyle name="千位分隔 2 2 6 3" xfId="25763" xr:uid="{B28228B3-80EA-47A8-98A7-C5526EB0521F}"/>
    <cellStyle name="千位分隔 2 2 7" xfId="8059" xr:uid="{623DE330-7031-4659-959F-B6A5419E347A}"/>
    <cellStyle name="千位分隔 2 2 7 2" xfId="25766" xr:uid="{8E7FB925-FFAF-4343-9E92-E3BC449E7147}"/>
    <cellStyle name="千位分隔 2 2 7 3" xfId="25765" xr:uid="{EDDBED95-0E72-43E5-8941-7F2E4E9C063B}"/>
    <cellStyle name="千位分隔 2 2 8" xfId="8060" xr:uid="{76EB9129-C894-4FCB-9F8A-2AAD18031B70}"/>
    <cellStyle name="千位分隔 2 2 8 2" xfId="25768" xr:uid="{4706E324-66E7-4375-818D-5992D1734C3B}"/>
    <cellStyle name="千位分隔 2 2 8 3" xfId="25767" xr:uid="{B38B5150-B23D-4612-9EEF-704779BA5FED}"/>
    <cellStyle name="千位分隔 2 2 9" xfId="8061" xr:uid="{E9C9D3B2-3909-4398-8BDD-D47AC4FE0E92}"/>
    <cellStyle name="千位分隔 2 2 9 2" xfId="25770" xr:uid="{05109676-917E-421A-8468-5D56034D35A2}"/>
    <cellStyle name="千位分隔 2 2 9 3" xfId="25769" xr:uid="{2FAA444F-8017-4385-9913-E7BD0AAF48E9}"/>
    <cellStyle name="千位分隔 2 2_国贸4" xfId="27604" xr:uid="{E8C13505-F83B-4EF8-A60C-10367A1A435C}"/>
    <cellStyle name="千位分隔 2 20" xfId="11394" xr:uid="{712669CB-BBFC-4F61-A2E0-95409975083E}"/>
    <cellStyle name="千位分隔 2 21" xfId="11395" xr:uid="{C37CA9CD-EDC2-420A-BAF5-92FFC049BCDC}"/>
    <cellStyle name="千位分隔 2 22" xfId="11396" xr:uid="{324E60AB-8B55-42C6-B297-1F440B80D158}"/>
    <cellStyle name="千位分隔 2 23" xfId="11397" xr:uid="{6FB2A244-BA1B-4E10-82F3-A66BBEC07C44}"/>
    <cellStyle name="千位分隔 2 24" xfId="25749" xr:uid="{11887746-9826-4F29-BD3B-4C15208ECF42}"/>
    <cellStyle name="千位分隔 2 25" xfId="27261" xr:uid="{6C963371-A91D-408E-BE6D-3CDF512BCE04}"/>
    <cellStyle name="千位分隔 2 26" xfId="27596" xr:uid="{DA3438AB-4CD0-4F56-AFBA-6096672BA951}"/>
    <cellStyle name="千位分隔 2 27" xfId="27788" xr:uid="{19317068-A743-41AF-83B4-694915A55107}"/>
    <cellStyle name="千位分隔 2 3" xfId="8062" xr:uid="{1032F4EA-17BD-49BC-8230-0F281F56B343}"/>
    <cellStyle name="千位分隔 2 3 2" xfId="8063" xr:uid="{2D412113-41D2-412F-82F4-75CDF3478DC5}"/>
    <cellStyle name="千位分隔 2 3 2 2" xfId="8064" xr:uid="{5F295D5E-EF1A-4054-99C6-04CA331FFEBD}"/>
    <cellStyle name="千位分隔 2 3 2 2 2" xfId="8065" xr:uid="{9249D502-589F-4AE0-B669-BDC743E7F412}"/>
    <cellStyle name="千位分隔 2 3 2 2 2 2" xfId="8066" xr:uid="{4EE56DDE-2798-43C1-9068-8E0A3897968F}"/>
    <cellStyle name="千位分隔 2 3 2 2 2 3" xfId="8067" xr:uid="{B4A9DB9B-BB52-4AB6-BA2E-12C5AF2B2198}"/>
    <cellStyle name="千位分隔 2 3 2 3" xfId="8068" xr:uid="{F9B2D358-C53F-4D87-A4AB-72F86DFB646E}"/>
    <cellStyle name="千位分隔 2 3 2 4" xfId="8069" xr:uid="{41019461-80FD-4AFC-9642-8939B4FB1D9F}"/>
    <cellStyle name="千位分隔 2 3 2 5" xfId="25772" xr:uid="{36C87B5B-73BB-4386-B950-608E13366BE5}"/>
    <cellStyle name="千位分隔 2 3 2 6" xfId="27606" xr:uid="{D892778A-8DB2-4BA8-8E50-BA991327B200}"/>
    <cellStyle name="千位分隔 2 3 3" xfId="8070" xr:uid="{41C69120-7296-4047-B9E3-F04551D02E4E}"/>
    <cellStyle name="千位分隔 2 3 3 2" xfId="8071" xr:uid="{75D55098-C56D-4556-8D6E-64EFECE20973}"/>
    <cellStyle name="千位分隔 2 3 3 3" xfId="8072" xr:uid="{FA4CBB79-0740-414B-8CB0-9B337FC56989}"/>
    <cellStyle name="千位分隔 2 3 3 4" xfId="25773" xr:uid="{6D1B714B-8690-40C4-9284-771B588CCF0C}"/>
    <cellStyle name="千位分隔 2 3 3 5" xfId="27607" xr:uid="{A5D4E41B-6DEF-4CB0-A690-B680954C67C6}"/>
    <cellStyle name="千位分隔 2 3 4" xfId="11398" xr:uid="{594F1EEA-5675-4D1E-B51F-B270A9C54E1C}"/>
    <cellStyle name="千位分隔 2 3 5" xfId="25771" xr:uid="{DCCEA7DD-FC89-4485-A085-F7FAFF4EFBDE}"/>
    <cellStyle name="千位分隔 2 3 6" xfId="27605" xr:uid="{4393F2FF-7AE9-4144-A90F-355658483241}"/>
    <cellStyle name="千位分隔 2 4" xfId="8073" xr:uid="{E54C8E39-E71C-4BDD-A235-BEDDC4D71FB4}"/>
    <cellStyle name="千位分隔 2 4 2" xfId="8074" xr:uid="{62E1F53D-B494-4B74-8D26-BB8DF10272C7}"/>
    <cellStyle name="千位分隔 2 4 2 2" xfId="25775" xr:uid="{9D482B2B-AD82-49F3-A691-533EECA2949F}"/>
    <cellStyle name="千位分隔 2 4 3" xfId="11399" xr:uid="{8E426CF5-D125-4575-A3DC-68D4A9327B10}"/>
    <cellStyle name="千位分隔 2 4 3 2" xfId="25776" xr:uid="{BAC2C5DE-7AC1-4A9F-9552-FBD994A818CF}"/>
    <cellStyle name="千位分隔 2 4 4" xfId="25774" xr:uid="{1AEC9E2A-6070-498D-9A77-4DE27FC60C06}"/>
    <cellStyle name="千位分隔 2 4 5" xfId="27608" xr:uid="{1C4912BB-5702-4099-9A83-3CF62E3CF395}"/>
    <cellStyle name="千位分隔 2 5" xfId="8075" xr:uid="{F7F5934B-2B06-4B00-8D3F-B309EA6A89CF}"/>
    <cellStyle name="千位分隔 2 5 2" xfId="11400" xr:uid="{28F4B6EE-DD70-49A2-83FC-B67A6223C355}"/>
    <cellStyle name="千位分隔 2 5 2 2" xfId="25778" xr:uid="{9F0F8453-0A4C-4A9D-A058-4F3020E3ADBB}"/>
    <cellStyle name="千位分隔 2 5 3" xfId="25777" xr:uid="{975190DF-CE7B-4449-B2D8-DFE8B4B1C319}"/>
    <cellStyle name="千位分隔 2 6" xfId="3459" xr:uid="{0F9C18F9-533B-4B72-BBD7-3DCCC1AE4C04}"/>
    <cellStyle name="千位分隔 2 6 2" xfId="11401" xr:uid="{1741DD9E-18E1-46EE-8BE4-6996D9F03379}"/>
    <cellStyle name="千位分隔 2 6 2 2" xfId="25780" xr:uid="{D6C585B6-EB64-462E-80BD-E446BE98D2DD}"/>
    <cellStyle name="千位分隔 2 6 3" xfId="25779" xr:uid="{8E8674CE-47FB-4AFF-9F5D-5D2A41F6EFDA}"/>
    <cellStyle name="千位分隔 2 7" xfId="3462" xr:uid="{F86112FD-E78E-402F-AC32-95EE8BE7CE08}"/>
    <cellStyle name="千位分隔 2 7 2" xfId="11402" xr:uid="{AABE13FB-9842-467D-AE48-94D6C42F51DE}"/>
    <cellStyle name="千位分隔 2 7 2 2" xfId="25782" xr:uid="{89E63F84-48E1-4755-A45B-2AF3A3D751C8}"/>
    <cellStyle name="千位分隔 2 7 3" xfId="25781" xr:uid="{4745A1B8-6D5F-4908-960A-E5FF677F7C79}"/>
    <cellStyle name="千位分隔 2 8" xfId="3465" xr:uid="{115B2006-A876-47A4-91E6-9EC0600582C7}"/>
    <cellStyle name="千位分隔 2 8 2" xfId="11403" xr:uid="{C697B84A-DE44-4378-A538-CC5B01730B67}"/>
    <cellStyle name="千位分隔 2 8 2 2" xfId="25784" xr:uid="{D7AA6CCC-8C76-4905-A35C-2EC404930AE2}"/>
    <cellStyle name="千位分隔 2 8 3" xfId="25783" xr:uid="{D7EA01FD-0263-472B-BB4E-B5C74860F34B}"/>
    <cellStyle name="千位分隔 2 9" xfId="3469" xr:uid="{AC7D10DA-DD33-45B8-9618-FB0B6266D812}"/>
    <cellStyle name="千位分隔 2 9 2" xfId="11404" xr:uid="{4570C398-9DE3-4CCC-B967-BD6DC04CB6CD}"/>
    <cellStyle name="千位分隔 2 9 2 2" xfId="25786" xr:uid="{8C1E145D-F41D-428C-98E7-3BF9F97A5047}"/>
    <cellStyle name="千位分隔 2 9 3" xfId="25785" xr:uid="{CB899E7D-0B40-4842-8175-0AA457EA0269}"/>
    <cellStyle name="千位分隔 20" xfId="25787" xr:uid="{9C0118D7-7EF9-4097-9BB8-8BB988FD13E4}"/>
    <cellStyle name="千位分隔 20 2" xfId="25788" xr:uid="{6DD3D554-0945-4B62-AACB-6C8106D22DA4}"/>
    <cellStyle name="千位分隔 24" xfId="11405" xr:uid="{F7119357-6CFC-491C-A001-65C81037D646}"/>
    <cellStyle name="千位分隔 3" xfId="8076" xr:uid="{A33913D0-A18C-4BD4-B41A-ECEB3B1C037B}"/>
    <cellStyle name="千位分隔 3 10" xfId="8077" xr:uid="{A5306E95-C837-495C-BEF3-DE2B44633C68}"/>
    <cellStyle name="千位分隔 3 11" xfId="8078" xr:uid="{2512D6FA-F955-4E72-9462-87D261F29E8E}"/>
    <cellStyle name="千位分隔 3 12" xfId="8079" xr:uid="{2F0EF17A-BBD2-4720-B3E1-FE6993E5B32B}"/>
    <cellStyle name="千位分隔 3 13" xfId="8080" xr:uid="{FF521CC8-8F2A-4307-9040-4A56FFF808BA}"/>
    <cellStyle name="千位分隔 3 14" xfId="8081" xr:uid="{339AF103-6C3C-4A59-B26A-4B8E84CE792B}"/>
    <cellStyle name="千位分隔 3 15" xfId="2467" xr:uid="{67D2745F-CE51-4835-9175-A38F2C5F3CB3}"/>
    <cellStyle name="千位分隔 3 15 2" xfId="8082" xr:uid="{6FB5F3CF-5002-4267-BD8E-A2CAB117DC28}"/>
    <cellStyle name="千位分隔 3 16" xfId="8083" xr:uid="{4C9EB715-0585-4FB8-920D-FD19DF32AF77}"/>
    <cellStyle name="千位分隔 3 16 2" xfId="8085" xr:uid="{264F1D75-6B72-4ED6-87F4-0F9A6CF9A668}"/>
    <cellStyle name="千位分隔 3 17" xfId="8086" xr:uid="{DB5B4AC1-BD3B-447D-9483-AA600A3980C0}"/>
    <cellStyle name="千位分隔 3 18" xfId="8088" xr:uid="{EF62C4C0-E79D-4B55-B97A-2079F7B7907A}"/>
    <cellStyle name="千位分隔 3 19" xfId="8089" xr:uid="{6AA95DBC-8C77-40D5-A63B-7506DAA310F5}"/>
    <cellStyle name="千位分隔 3 2" xfId="8090" xr:uid="{864E694D-1D09-4C73-82AC-53DDF66245A7}"/>
    <cellStyle name="千位分隔 3 2 2" xfId="8091" xr:uid="{3D4D300B-0FC4-4095-A34C-368F02FD884A}"/>
    <cellStyle name="千位分隔 3 2 2 2" xfId="11408" xr:uid="{DA4DA3A4-2D2A-4E87-8217-76D758D614D3}"/>
    <cellStyle name="千位分隔 3 2 2 3" xfId="25789" xr:uid="{1FD9CBE5-771B-45AB-9F16-A05E4561AC8A}"/>
    <cellStyle name="千位分隔 3 2 3" xfId="11407" xr:uid="{ABF974B2-67C7-42BF-B954-941063E48465}"/>
    <cellStyle name="千位分隔 3 20" xfId="2466" xr:uid="{3FA6DD62-2042-480A-9DEB-6CDF2BAACC7D}"/>
    <cellStyle name="千位分隔 3 21" xfId="8084" xr:uid="{DE6D667F-5336-40C3-A37E-F24F476FB730}"/>
    <cellStyle name="千位分隔 3 22" xfId="8087" xr:uid="{EF5D7D9F-A166-4548-B0BA-A1C6B4209BB6}"/>
    <cellStyle name="千位分隔 3 23" xfId="11406" xr:uid="{455961A5-3D63-4862-9E0B-0205AAFF74D0}"/>
    <cellStyle name="千位分隔 3 24" xfId="27262" xr:uid="{7D6D53A0-2DA7-4CFC-82D9-69D083085922}"/>
    <cellStyle name="千位分隔 3 25" xfId="27609" xr:uid="{BD495F91-C7BB-4AFE-9C4D-CC51F424FBCF}"/>
    <cellStyle name="千位分隔 3 26" xfId="27790" xr:uid="{EDF43190-231F-4D72-92AD-394F3EEE1781}"/>
    <cellStyle name="千位分隔 3 3" xfId="8092" xr:uid="{C9758B62-9E45-4131-90D7-A26B58427A57}"/>
    <cellStyle name="千位分隔 3 3 2" xfId="8093" xr:uid="{0F6CED7C-0445-4C58-A33E-1E84B1E17CFF}"/>
    <cellStyle name="千位分隔 3 3 2 2" xfId="25790" xr:uid="{A31BF141-01DE-4509-AE93-1AC575FB5AE9}"/>
    <cellStyle name="千位分隔 3 3 2 3" xfId="27611" xr:uid="{2E093876-9494-4A1A-9547-DC1FC354614B}"/>
    <cellStyle name="千位分隔 3 3 3" xfId="11409" xr:uid="{617697D9-CF2A-4636-8B0D-49FB6CD7B915}"/>
    <cellStyle name="千位分隔 3 3 3 2" xfId="27612" xr:uid="{F5E00CFF-2405-4FCE-B203-4206F4852DAB}"/>
    <cellStyle name="千位分隔 3 3 4" xfId="27610" xr:uid="{C4FA3EA8-0602-47FF-A682-D5A15D00851E}"/>
    <cellStyle name="千位分隔 3 4" xfId="8094" xr:uid="{B31DC33C-CE3F-49BC-BE09-3417C7D96254}"/>
    <cellStyle name="千位分隔 3 4 2" xfId="8095" xr:uid="{E3C1A6F0-D687-4F84-8E30-6D4C661015A8}"/>
    <cellStyle name="千位分隔 3 4 3" xfId="25791" xr:uid="{C00DE1DC-A70C-417F-B2A0-31712475AEB0}"/>
    <cellStyle name="千位分隔 3 5" xfId="8097" xr:uid="{21A5190C-392F-49FD-9FC0-98E1D773386A}"/>
    <cellStyle name="千位分隔 3 5 2" xfId="8098" xr:uid="{161ED8E7-F7F2-43BF-AC1A-0892408564D0}"/>
    <cellStyle name="千位分隔 3 5 2 2" xfId="8099" xr:uid="{9F886E52-70EA-4A8B-9631-E591F9780A8C}"/>
    <cellStyle name="千位分隔 3 5 2 3" xfId="8101" xr:uid="{DCCF9719-633D-4882-9745-103CCA0F4853}"/>
    <cellStyle name="千位分隔 3 5 3" xfId="25792" xr:uid="{19992551-DE5A-4501-922B-DAE6FA6BF4D2}"/>
    <cellStyle name="千位分隔 3 6" xfId="3475" xr:uid="{D721F988-003D-453C-B89E-6F3B6B095F1A}"/>
    <cellStyle name="千位分隔 3 7" xfId="3478" xr:uid="{9B0B12A2-6C10-4E2B-9165-A0C8F4A423CA}"/>
    <cellStyle name="千位分隔 3 7 2" xfId="318" xr:uid="{321EBB63-99FA-4591-AF3F-276638E10C34}"/>
    <cellStyle name="千位分隔 3 7 3" xfId="8103" xr:uid="{AC258BE8-6B7F-4050-B0AE-9E85237FDC3F}"/>
    <cellStyle name="千位分隔 3 7 4" xfId="8104" xr:uid="{7CE5140F-79E8-4E85-86C8-CC8C7EA32214}"/>
    <cellStyle name="千位分隔 3 7 5" xfId="8105" xr:uid="{4672FA5D-4B26-4B37-B387-4393FA44CCFF}"/>
    <cellStyle name="千位分隔 3 8" xfId="3481" xr:uid="{18811892-3098-4E2E-B9F9-EB5E6EB06548}"/>
    <cellStyle name="千位分隔 3 9" xfId="3483" xr:uid="{71C6796F-0560-4431-95C3-08AA048F441D}"/>
    <cellStyle name="千位分隔 4" xfId="8106" xr:uid="{DE70FAC3-7C7D-4B55-B65E-FC76A8ABA14C}"/>
    <cellStyle name="千位分隔 4 10" xfId="8107" xr:uid="{3BF5FF7E-5484-4E3E-9B19-D45D4F92E4BE}"/>
    <cellStyle name="千位分隔 4 10 2" xfId="8108" xr:uid="{1BB8466D-BC0E-4CEE-BDFC-15CAE27145C9}"/>
    <cellStyle name="千位分隔 4 11" xfId="8109" xr:uid="{4D2E21E9-7DE0-4D10-AD06-A8B11A31B87C}"/>
    <cellStyle name="千位分隔 4 12" xfId="11410" xr:uid="{AB751CB4-DBD2-43EF-9089-AA6D73DBE144}"/>
    <cellStyle name="千位分隔 4 13" xfId="25793" xr:uid="{FE312365-61F4-4248-8549-6F2587AFF7A2}"/>
    <cellStyle name="千位分隔 4 14" xfId="27263" xr:uid="{007FAD30-D8B5-41D4-94E4-2662AE66C82F}"/>
    <cellStyle name="千位分隔 4 15" xfId="27613" xr:uid="{7A28E652-84E8-4312-ADCB-58B06B135F2B}"/>
    <cellStyle name="千位分隔 4 16" xfId="27791" xr:uid="{25D07ABC-F2C8-4772-B0C4-F0BF22807B15}"/>
    <cellStyle name="千位分隔 4 2" xfId="8110" xr:uid="{A620A2F5-A753-40AB-93A5-356A52CB0291}"/>
    <cellStyle name="千位分隔 4 2 2" xfId="8111" xr:uid="{2AAE37C6-FE3A-4066-9843-179534AC916D}"/>
    <cellStyle name="千位分隔 4 2 2 2" xfId="25795" xr:uid="{D5D19913-4132-4395-B017-F84DA5EFBF65}"/>
    <cellStyle name="千位分隔 4 2 3" xfId="11411" xr:uid="{78F85D06-8BE4-4008-9FAB-1764708BC99C}"/>
    <cellStyle name="千位分隔 4 2 4" xfId="25794" xr:uid="{236D035D-B12B-40CB-8941-B2740D74C041}"/>
    <cellStyle name="千位分隔 4 2 5" xfId="27614" xr:uid="{FB49E4B6-F5A1-4209-BF13-7E62D6BEA6F4}"/>
    <cellStyle name="千位分隔 4 3" xfId="8112" xr:uid="{5C980163-2374-449B-9F64-2E63516130E9}"/>
    <cellStyle name="千位分隔 4 3 2" xfId="8113" xr:uid="{FFCB675C-A54E-4AC3-9AB8-FD19CBB33AB3}"/>
    <cellStyle name="千位分隔 4 3 3" xfId="25796" xr:uid="{ACC2B604-AF9A-46DA-9CAC-979925634D57}"/>
    <cellStyle name="千位分隔 4 3 4" xfId="27615" xr:uid="{FD335487-7E2D-45B7-ADAA-3803DF1B7F34}"/>
    <cellStyle name="千位分隔 4 4" xfId="8114" xr:uid="{D4667A91-DA13-41B3-AEC8-45378F49D3C2}"/>
    <cellStyle name="千位分隔 4 4 2" xfId="8115" xr:uid="{7BA0F46F-4775-4F8B-BA5B-13DA19FA70A4}"/>
    <cellStyle name="千位分隔 4 4 3" xfId="25797" xr:uid="{B8DE6EE1-709B-4049-9C6E-51843B74DBC0}"/>
    <cellStyle name="千位分隔 4 5" xfId="8116" xr:uid="{B3E13C9C-340C-4F14-A5E5-2144D976547B}"/>
    <cellStyle name="千位分隔 4 6" xfId="3488" xr:uid="{0A9217B3-51EE-464E-AF9C-02B6C56AA33F}"/>
    <cellStyle name="千位分隔 4 6 2" xfId="1635" xr:uid="{72E487B9-CDAF-4312-92F9-C72D4C2E79EF}"/>
    <cellStyle name="千位分隔 4 7" xfId="3491" xr:uid="{124E616C-D4A6-413A-ADC0-C85969AF39D1}"/>
    <cellStyle name="千位分隔 4 7 2" xfId="1706" xr:uid="{391E4195-FEE0-4A56-BFF1-2A37C86B5D6B}"/>
    <cellStyle name="千位分隔 4 8" xfId="3494" xr:uid="{8BCA809E-92D0-4CD0-9636-49AE55615536}"/>
    <cellStyle name="千位分隔 4 8 2" xfId="1761" xr:uid="{DF34D0CC-63C6-4CFD-BB9B-E086B1B8E2FF}"/>
    <cellStyle name="千位分隔 4 9" xfId="3496" xr:uid="{7D6FAAF1-62D5-4EE5-B2BE-4B4C88E19A56}"/>
    <cellStyle name="千位分隔 4 9 2" xfId="8117" xr:uid="{57BE26FC-FCFF-4F93-B027-FCE12DDFD8E3}"/>
    <cellStyle name="千位分隔 5" xfId="8118" xr:uid="{EA6D775C-005A-4191-89E6-5141D560D74A}"/>
    <cellStyle name="千位分隔 5 2" xfId="20" xr:uid="{00000000-0005-0000-0000-000014000000}"/>
    <cellStyle name="千位分隔 5 2 2" xfId="25800" xr:uid="{0A5BA596-BD2D-4570-8B2A-26FCCAB2042D}"/>
    <cellStyle name="千位分隔 5 2 2 2" xfId="27618" xr:uid="{B954C9FF-6954-4009-941F-CC20C1B7BB7C}"/>
    <cellStyle name="千位分隔 5 2 3" xfId="25799" xr:uid="{B49432F0-EDCE-42E2-B1DB-8D2995EA4B1F}"/>
    <cellStyle name="千位分隔 5 2 3 2" xfId="27619" xr:uid="{E7F8EA27-9B8B-4FBC-AB77-8577AB389A00}"/>
    <cellStyle name="千位分隔 5 2 4" xfId="8119" xr:uid="{DB890262-F561-4DC7-AB26-5165892499E5}"/>
    <cellStyle name="千位分隔 5 2 5" xfId="27617" xr:uid="{199A6CC2-CBA2-46C2-86E6-8C5978BE280D}"/>
    <cellStyle name="千位分隔 5 3" xfId="25801" xr:uid="{3ADFBC82-E4A5-4BB9-9223-BFD76C5857D9}"/>
    <cellStyle name="千位分隔 5 3 2" xfId="27620" xr:uid="{198435B8-20C4-4AB0-A872-96111D85B105}"/>
    <cellStyle name="千位分隔 5 4" xfId="25802" xr:uid="{07C52E08-BE36-4F0D-BA79-6B838F714199}"/>
    <cellStyle name="千位分隔 5 4 2" xfId="27621" xr:uid="{80F02254-0ACA-44B4-A024-E79D18CC3B9C}"/>
    <cellStyle name="千位分隔 5 5" xfId="25798" xr:uid="{8FCB1F64-3CF4-49BD-8D85-090F5F1DD6E5}"/>
    <cellStyle name="千位分隔 5 6" xfId="27264" xr:uid="{29E55B29-E952-4DDC-AB7C-D4D4171656B7}"/>
    <cellStyle name="千位分隔 5 7" xfId="27616" xr:uid="{A2F82366-7758-47B3-B466-4EA4F62C4DD3}"/>
    <cellStyle name="千位分隔 5 8" xfId="27792" xr:uid="{3177556D-9A2C-4F34-A706-F69D40C96E48}"/>
    <cellStyle name="千位分隔 5 9" xfId="27872" xr:uid="{665CE8F5-411E-44AD-A76F-59B6BBC21248}"/>
    <cellStyle name="千位分隔 6" xfId="8120" xr:uid="{9E8D947D-7453-4DBD-8BE1-27A835D32AB9}"/>
    <cellStyle name="千位分隔 6 2" xfId="25804" xr:uid="{B12F59F6-99DD-417A-AD50-0E58B86C1957}"/>
    <cellStyle name="千位分隔 6 2 2" xfId="27623" xr:uid="{4A7D5FAA-E651-4BD2-A8AF-3424423D8095}"/>
    <cellStyle name="千位分隔 6 3" xfId="25803" xr:uid="{182CDABA-89E5-41FF-876F-CF9D54AC43FA}"/>
    <cellStyle name="千位分隔 6 4" xfId="27265" xr:uid="{666A30E0-9951-42B3-B6B1-5FD514D438EA}"/>
    <cellStyle name="千位分隔 6 5" xfId="27622" xr:uid="{B9D83132-1D15-4949-A87A-425283AD681F}"/>
    <cellStyle name="千位分隔 6 6" xfId="27793" xr:uid="{F12EEFAA-5C0C-4DE9-AC66-C6236D73C778}"/>
    <cellStyle name="千位分隔 7" xfId="8121" xr:uid="{DA43AF6A-ED8C-4074-9403-48B73AF9C409}"/>
    <cellStyle name="千位分隔 7 2" xfId="8122" xr:uid="{A9AA115A-E3B3-4424-A386-6E440CA655FD}"/>
    <cellStyle name="千位分隔 7 2 2" xfId="25806" xr:uid="{FEAFBAD2-EB57-49B0-9BD9-4CAE4296C2E7}"/>
    <cellStyle name="千位分隔 7 3" xfId="25805" xr:uid="{62D0149D-B801-4D52-8F96-28052889519E}"/>
    <cellStyle name="千位分隔 7 4" xfId="27266" xr:uid="{8E83C039-F826-48D9-B99F-FC7B5998154E}"/>
    <cellStyle name="千位分隔 7 5" xfId="27624" xr:uid="{66848C1E-9B0B-4E0D-88D2-C6B8E73DE035}"/>
    <cellStyle name="千位分隔 8" xfId="8123" xr:uid="{FA82DF73-422C-4089-879D-0AB536480773}"/>
    <cellStyle name="千位分隔 8 2" xfId="6703" xr:uid="{E99611B2-2FAC-46DD-B56B-7DDF916887CC}"/>
    <cellStyle name="千位分隔 8 2 2" xfId="8124" xr:uid="{EEBA57B8-393D-4AB5-A83D-6B451F99B0DD}"/>
    <cellStyle name="千位分隔 8 2 3" xfId="8127" xr:uid="{02B72C6B-FE3C-4610-91BE-72D6451A61FF}"/>
    <cellStyle name="千位分隔 8 2 4" xfId="8130" xr:uid="{FD40CB08-E649-4E02-9664-8C48F0F046C9}"/>
    <cellStyle name="千位分隔 8 2 5" xfId="8133" xr:uid="{ECCED979-C119-44E2-A5D4-0216C10E31A4}"/>
    <cellStyle name="千位分隔 8 2 6" xfId="8136" xr:uid="{1F901436-FCC2-4714-B750-18D60F0EDAAF}"/>
    <cellStyle name="千位分隔 8 2 7" xfId="8139" xr:uid="{206AD3FA-38B5-4544-8021-7754738CEBA5}"/>
    <cellStyle name="千位分隔 8 2 8" xfId="8142" xr:uid="{13EE8054-B3B1-44F9-B550-F58813AECA7A}"/>
    <cellStyle name="千位分隔 8 2 9" xfId="25808" xr:uid="{6742348C-0B27-4362-B3F5-D4BE4FD7C160}"/>
    <cellStyle name="千位分隔 8 3" xfId="25809" xr:uid="{769D9602-5253-493F-A89C-509819168530}"/>
    <cellStyle name="千位分隔 8 4" xfId="25807" xr:uid="{65082762-7BC8-42B2-88D4-A60889807428}"/>
    <cellStyle name="千位分隔 8 5" xfId="27267" xr:uid="{C668D3BC-E605-493D-9288-0502DD085F39}"/>
    <cellStyle name="千位分隔 8 6" xfId="27625" xr:uid="{60843E75-C3D3-4D50-988A-A7614A878EA1}"/>
    <cellStyle name="千位分隔 9" xfId="8145" xr:uid="{C8FAB359-A4D4-42FC-808E-D7796D24E651}"/>
    <cellStyle name="千位分隔 9 2" xfId="25810" xr:uid="{7287A666-5DF6-4547-B187-FD01803158E1}"/>
    <cellStyle name="千位分隔 9 3" xfId="27626" xr:uid="{E4521C72-D330-4694-BDB4-8A318D9660BE}"/>
    <cellStyle name="千位分隔[0] 2" xfId="11412" xr:uid="{8FD2ED43-220B-4AEA-8A41-D60220865A6B}"/>
    <cellStyle name="千位分隔[0] 2 2" xfId="25812" xr:uid="{4809D19A-259F-4052-8962-CD888045013F}"/>
    <cellStyle name="千位分隔[0] 2 2 2 2" xfId="8146" xr:uid="{B6698A40-CC39-4107-A159-5BC389555DD8}"/>
    <cellStyle name="千位分隔[0] 2 3" xfId="25811" xr:uid="{C225933B-95AA-4258-B7FF-DF1FDD245430}"/>
    <cellStyle name="千位分隔[0] 3" xfId="25813" xr:uid="{0FC21772-053A-4FB7-A2B2-1323CD68201C}"/>
    <cellStyle name="千位分隔[0] 4" xfId="25814" xr:uid="{01DFEE4B-337D-4D77-BAE4-4EB7D6E78734}"/>
    <cellStyle name="钎霖_(沥焊何巩)岿喊牢盔拌裙" xfId="3694" xr:uid="{23973A9F-56EA-4BCB-ADF4-D1980836711B}"/>
    <cellStyle name="强调 1" xfId="25815" xr:uid="{0FCADAB0-F2C1-4F5D-B46F-7DA004AE3394}"/>
    <cellStyle name="强调 1 2" xfId="25816" xr:uid="{D817DF72-F600-4FF5-B57F-7F4F8499B7DF}"/>
    <cellStyle name="强调 1 2 2" xfId="25817" xr:uid="{F0082916-20D7-40D1-8F2F-F86E076E0C1C}"/>
    <cellStyle name="强调 1 2_动力部" xfId="25818" xr:uid="{55981E27-9835-400F-BC06-1D5986E8907B}"/>
    <cellStyle name="强调 1 3" xfId="25819" xr:uid="{F435C770-81F5-435D-AD82-8A6192A01BA9}"/>
    <cellStyle name="强调 1_动力部" xfId="25820" xr:uid="{E3F42A77-A6B7-43F8-BE0B-0526C7C08B0D}"/>
    <cellStyle name="强调 2" xfId="25821" xr:uid="{17605964-3068-4EA5-9968-6C69B20E7117}"/>
    <cellStyle name="强调 2 2" xfId="25822" xr:uid="{7EC9AF77-52AC-4F70-BE2D-188FDA6AB338}"/>
    <cellStyle name="强调 2 2 2" xfId="25823" xr:uid="{79E13A6C-B546-4D50-9182-1C125388CC00}"/>
    <cellStyle name="强调 2 2_动力部" xfId="25824" xr:uid="{2FC76B7A-D88D-4064-ABB5-07FCC61EE29D}"/>
    <cellStyle name="强调 2 3" xfId="25825" xr:uid="{F5D7D12E-F5DC-4801-8F87-98DA51157FD3}"/>
    <cellStyle name="强调 2_动力部" xfId="25826" xr:uid="{BFE11C21-8BAD-4D52-9063-C4F662D37BC5}"/>
    <cellStyle name="强调 3" xfId="25827" xr:uid="{8F55BE93-AFF2-4B5E-9751-21BE62ADC418}"/>
    <cellStyle name="强调 3 2" xfId="25828" xr:uid="{EE1AF3D3-A1FC-4816-9FCD-AA389413D6FC}"/>
    <cellStyle name="强调 3 2 2" xfId="25829" xr:uid="{4D460D74-6CAB-4A63-A20C-52FF7462CF26}"/>
    <cellStyle name="强调 3 2_动力部" xfId="25830" xr:uid="{0AFB339E-CE51-4B59-B249-2E08EC967512}"/>
    <cellStyle name="强调 3 3" xfId="25831" xr:uid="{E41ABF41-2E51-488D-AF59-495A89C02E93}"/>
    <cellStyle name="强调 3_动力部" xfId="25832" xr:uid="{50D21CAD-A4A9-4009-9FB4-95ECE2654CE2}"/>
    <cellStyle name="强调文字颜色 1" xfId="8147" xr:uid="{0B23DB90-E67F-4826-8E1C-022965C93C73}"/>
    <cellStyle name="强调文字颜色 1 10" xfId="8148" xr:uid="{031AC7A6-5FC7-4ABC-8415-5214690C57BC}"/>
    <cellStyle name="强调文字颜色 1 10 2" xfId="11415" xr:uid="{5C89C1F6-C815-4FA5-8E3B-48F9972328F1}"/>
    <cellStyle name="强调文字颜色 1 10 2 2" xfId="25835" xr:uid="{7D78A042-81D3-49C6-89D7-2A8F9F0C3ACE}"/>
    <cellStyle name="强调文字颜色 1 10 2 3" xfId="25834" xr:uid="{E350D838-7FAF-4943-99C4-E3EC241E7572}"/>
    <cellStyle name="强调文字颜色 1 10 3" xfId="11416" xr:uid="{BD4D73EE-4170-42B8-833D-148244DF0760}"/>
    <cellStyle name="强调文字颜色 1 10 4" xfId="11414" xr:uid="{2AE56A27-F422-42D9-9B3B-7591F15FC10A}"/>
    <cellStyle name="强调文字颜色 1 10 5" xfId="25833" xr:uid="{EDDC8231-C02C-429F-869F-59E309F12951}"/>
    <cellStyle name="强调文字颜色 1 11" xfId="8149" xr:uid="{97908C38-3C66-4685-917E-0E70600E557A}"/>
    <cellStyle name="强调文字颜色 1 11 2" xfId="11418" xr:uid="{9110757F-E962-4E5E-A67A-BFE42B4A5897}"/>
    <cellStyle name="强调文字颜色 1 11 2 2" xfId="25838" xr:uid="{0C10673D-E104-45BF-93D0-07E4AC23DE54}"/>
    <cellStyle name="强调文字颜色 1 11 2 3" xfId="25837" xr:uid="{F013AF4E-B925-4CA0-90FC-B37F2913E51C}"/>
    <cellStyle name="强调文字颜色 1 11 3" xfId="11419" xr:uid="{4622FC6E-F684-457E-B2C8-1C6477A55E58}"/>
    <cellStyle name="强调文字颜色 1 11 4" xfId="11417" xr:uid="{11CF73E7-C1B9-4AA6-8CE1-2F300C60E0C9}"/>
    <cellStyle name="强调文字颜色 1 11 5" xfId="25836" xr:uid="{1B16054A-D026-4BE5-90F2-6B525430CA46}"/>
    <cellStyle name="强调文字颜色 1 12" xfId="8150" xr:uid="{424D7DE3-7CF4-4010-84D1-62B591E7438B}"/>
    <cellStyle name="强调文字颜色 1 12 2" xfId="11421" xr:uid="{EFD17920-6E53-48E0-BDE0-14C93D8453A8}"/>
    <cellStyle name="强调文字颜色 1 12 2 2" xfId="25841" xr:uid="{BE057503-6C31-465E-91B3-FE7941ED0A67}"/>
    <cellStyle name="强调文字颜色 1 12 2 3" xfId="25840" xr:uid="{046ED69E-F612-4315-816D-A2FAAE610F59}"/>
    <cellStyle name="强调文字颜色 1 12 3" xfId="11422" xr:uid="{0451667E-3BB4-405C-AB42-AD6755599860}"/>
    <cellStyle name="强调文字颜色 1 12 4" xfId="11420" xr:uid="{985334D2-4CFA-4DA7-B5F1-0E53649BE8DD}"/>
    <cellStyle name="强调文字颜色 1 12 5" xfId="25839" xr:uid="{3C645446-E93C-40E0-9FDE-F7BE0267E8BD}"/>
    <cellStyle name="强调文字颜色 1 13" xfId="8151" xr:uid="{712817D2-B1F3-4F0D-95EF-062691BD4698}"/>
    <cellStyle name="强调文字颜色 1 13 2" xfId="11424" xr:uid="{CE01B5BD-07F3-424A-A999-4B0026CE087B}"/>
    <cellStyle name="强调文字颜色 1 13 2 2" xfId="25843" xr:uid="{8269C94D-E9F5-4C74-85E1-1466044F07A6}"/>
    <cellStyle name="强调文字颜色 1 13 3" xfId="11425" xr:uid="{86DB78A5-F997-41E2-B2F7-F753FAC4EE36}"/>
    <cellStyle name="强调文字颜色 1 13 4" xfId="11423" xr:uid="{93FC8275-7F78-4FA5-9818-A91C5599338C}"/>
    <cellStyle name="强调文字颜色 1 13 5" xfId="25842" xr:uid="{07F0EE58-5F18-4341-AD52-14B41615583E}"/>
    <cellStyle name="强调文字颜色 1 14" xfId="8152" xr:uid="{F72F0F8E-5901-454C-9BCA-7A68FF8EE599}"/>
    <cellStyle name="强调文字颜色 1 14 2" xfId="11427" xr:uid="{5B05FCB3-3BB5-4CA5-AA76-65F59804E1F7}"/>
    <cellStyle name="强调文字颜色 1 14 2 2" xfId="25845" xr:uid="{7893CF4A-3E40-4B6E-8DB3-ACF3BA895D5A}"/>
    <cellStyle name="强调文字颜色 1 14 3" xfId="11428" xr:uid="{7057F114-58F9-456E-B3E9-B39FC41F97EC}"/>
    <cellStyle name="强调文字颜色 1 14 4" xfId="11426" xr:uid="{2D6AD834-ABB9-4F92-BF56-A40B85221A75}"/>
    <cellStyle name="强调文字颜色 1 14 5" xfId="25844" xr:uid="{0FFBD198-DA5C-4513-A29E-95BDFB1E6DF7}"/>
    <cellStyle name="强调文字颜色 1 15" xfId="8153" xr:uid="{02F5C8DA-A73C-4CFC-8A8B-4B2D8A818A98}"/>
    <cellStyle name="强调文字颜色 1 15 2" xfId="11430" xr:uid="{E0BFC6E6-C997-4F06-BB0A-F5BE141CBB24}"/>
    <cellStyle name="强调文字颜色 1 15 2 2" xfId="25847" xr:uid="{E31E8102-8505-4748-B7A4-EBB69A617783}"/>
    <cellStyle name="强调文字颜色 1 15 3" xfId="11431" xr:uid="{2E2E09C4-3BCA-4A4F-85D8-EEFD169DCDF3}"/>
    <cellStyle name="强调文字颜色 1 15 4" xfId="11429" xr:uid="{732F1F1C-348F-4DA8-9895-981E6FE524B3}"/>
    <cellStyle name="强调文字颜色 1 15 5" xfId="25846" xr:uid="{4FCBAE13-3FF0-4BA0-89E9-5EBF84D2672C}"/>
    <cellStyle name="强调文字颜色 1 16" xfId="8155" xr:uid="{9F50F68E-1AC7-431F-AB2F-9B16F358083A}"/>
    <cellStyle name="强调文字颜色 1 16 2" xfId="11433" xr:uid="{56265E2C-512D-4320-A87E-348C805F1D51}"/>
    <cellStyle name="强调文字颜色 1 16 2 2" xfId="25849" xr:uid="{1ADACD5D-6164-48D7-8AE0-B2503BBFDF58}"/>
    <cellStyle name="强调文字颜色 1 16 3" xfId="11434" xr:uid="{348AF389-0A77-4087-B017-2E296B234D42}"/>
    <cellStyle name="强调文字颜色 1 16 4" xfId="11432" xr:uid="{D1AF2666-2AD5-49DB-A0D7-51224B5AE764}"/>
    <cellStyle name="强调文字颜色 1 16 5" xfId="25848" xr:uid="{26D6B8C4-AAFF-4709-A822-173C01420F07}"/>
    <cellStyle name="强调文字颜色 1 17" xfId="8157" xr:uid="{E295D0D4-195D-4049-A948-842F57ACB601}"/>
    <cellStyle name="强调文字颜色 1 17 2" xfId="11436" xr:uid="{CB94E33D-F4C0-430E-B0DC-E038CD8B7FDC}"/>
    <cellStyle name="强调文字颜色 1 17 2 2" xfId="25851" xr:uid="{FC4ABE9F-4F1D-42CF-83F6-206E306BC0BA}"/>
    <cellStyle name="强调文字颜色 1 17 3" xfId="11437" xr:uid="{5F572506-151F-4570-8C4B-32EACA1157C1}"/>
    <cellStyle name="强调文字颜色 1 17 4" xfId="11435" xr:uid="{9DFA2E13-1280-4874-A80B-DEF9E7A19D15}"/>
    <cellStyle name="强调文字颜色 1 17 5" xfId="25850" xr:uid="{B130485A-83A9-43F9-AD05-D4AD67E7CFF5}"/>
    <cellStyle name="强调文字颜色 1 18" xfId="8159" xr:uid="{65ADDCA6-58B0-41EC-8B21-0ED941320D5D}"/>
    <cellStyle name="强调文字颜色 1 18 2" xfId="11438" xr:uid="{727F25EE-8CB2-486F-8F3A-1CD9923D84B9}"/>
    <cellStyle name="强调文字颜色 1 18 2 2" xfId="25853" xr:uid="{69CF5A03-9F74-4323-82ED-A8A73E7319ED}"/>
    <cellStyle name="强调文字颜色 1 18 3" xfId="25852" xr:uid="{AF62AF34-7E8F-4A4D-955F-BEAFC3230B86}"/>
    <cellStyle name="强调文字颜色 1 19" xfId="8161" xr:uid="{F7BD9C2A-5960-402C-A6EC-50E07800C5E5}"/>
    <cellStyle name="强调文字颜色 1 19 2" xfId="11439" xr:uid="{1FEACA54-C9E9-443A-83CE-CC3D31204585}"/>
    <cellStyle name="强调文字颜色 1 19 2 2" xfId="25855" xr:uid="{09F1E561-5E0A-4D80-A4C1-DDE39D4C2EF3}"/>
    <cellStyle name="强调文字颜色 1 19 3" xfId="25854" xr:uid="{2F23874E-C1AB-4D22-88DA-49D2A6A13B45}"/>
    <cellStyle name="强调文字颜色 1 2" xfId="8163" xr:uid="{12F14273-D198-454F-B405-A3A27AFFA760}"/>
    <cellStyle name="强调文字颜色 1 2 10" xfId="8164" xr:uid="{AC52DDE8-FA42-4DF6-9AF5-F637B516928F}"/>
    <cellStyle name="强调文字颜色 1 2 11" xfId="8165" xr:uid="{3F6035C7-A589-4012-B0E3-686EDCA9B494}"/>
    <cellStyle name="强调文字颜色 1 2 12" xfId="8166" xr:uid="{8224D7C5-0F84-498C-A5BB-3AD0E83FC21B}"/>
    <cellStyle name="强调文字颜色 1 2 13" xfId="8167" xr:uid="{8C4A6EB9-05C2-43B6-9F9A-ACE2E7CD3F1D}"/>
    <cellStyle name="强调文字颜色 1 2 14" xfId="8168" xr:uid="{ECE2CABA-155D-41D3-8602-7A800271C293}"/>
    <cellStyle name="强调文字颜色 1 2 15" xfId="11440" xr:uid="{E81F7932-5528-498D-B6D9-E565347774B8}"/>
    <cellStyle name="强调文字颜色 1 2 16" xfId="12596" xr:uid="{5DDF5D94-B608-4DC8-83C0-CE03359568A7}"/>
    <cellStyle name="强调文字颜色 1 2 2" xfId="8169" xr:uid="{A47D0CCF-F20D-404F-AEAE-4E11A9578EBE}"/>
    <cellStyle name="强调文字颜色 1 2 2 2" xfId="11441" xr:uid="{6D9C64CE-1086-4548-94C3-5487CC3DB834}"/>
    <cellStyle name="强调文字颜色 1 2 2 2 2" xfId="25857" xr:uid="{0D581774-39F2-4D25-8A23-BDE2B2851802}"/>
    <cellStyle name="强调文字颜色 1 2 2 3" xfId="25856" xr:uid="{4054DBFF-CA39-46BC-A3B2-A6CCDA238AC0}"/>
    <cellStyle name="强调文字颜色 1 2 2 4" xfId="27627" xr:uid="{E0459508-749B-4BED-9DB6-808C88BA65AD}"/>
    <cellStyle name="强调文字颜色 1 2 3" xfId="8170" xr:uid="{81406C78-43DE-46A1-AC0C-261D7048787B}"/>
    <cellStyle name="强调文字颜色 1 2 3 2" xfId="11442" xr:uid="{7143A29B-EFEA-4AE4-A67F-1C0CD5566889}"/>
    <cellStyle name="强调文字颜色 1 2 3 3" xfId="25858" xr:uid="{E23F2388-AECA-4D51-AB32-2A5E438831C4}"/>
    <cellStyle name="强调文字颜色 1 2 3 4" xfId="27628" xr:uid="{95C2687E-1A15-4FAB-9D96-4B04DBA8005F}"/>
    <cellStyle name="强调文字颜色 1 2 4" xfId="8171" xr:uid="{458D9126-9143-4EC2-A038-8C6058CF2AAD}"/>
    <cellStyle name="强调文字颜色 1 2 4 2" xfId="25860" xr:uid="{BC6CC3E2-1F19-41BC-ADE4-44B93CF47C82}"/>
    <cellStyle name="强调文字颜色 1 2 4 3" xfId="25859" xr:uid="{240B6642-5E0F-4D89-B6AF-5EF0287C34E8}"/>
    <cellStyle name="强调文字颜色 1 2 5" xfId="8172" xr:uid="{0DF00DB3-3F69-4518-A638-D68B054C1DE6}"/>
    <cellStyle name="强调文字颜色 1 2 5 2" xfId="25861" xr:uid="{E6248204-61F2-4BBF-8BB8-7BA9F684A305}"/>
    <cellStyle name="强调文字颜色 1 2 6" xfId="8173" xr:uid="{6951DAF3-76B7-4AA6-BBD7-FE879C90742A}"/>
    <cellStyle name="强调文字颜色 1 2 6 2" xfId="25862" xr:uid="{1D2E5341-A79A-4346-B9D8-1C43DBFC0237}"/>
    <cellStyle name="强调文字颜色 1 2 7" xfId="8174" xr:uid="{F9594256-17A2-4920-A332-4995D9C90875}"/>
    <cellStyle name="强调文字颜色 1 2 8" xfId="8175" xr:uid="{A636F3FC-83DE-4A0D-9D82-153797F2440D}"/>
    <cellStyle name="强调文字颜色 1 2 9" xfId="8176" xr:uid="{35FF04F1-9E83-42B5-9D94-53CAD159593C}"/>
    <cellStyle name="强调文字颜色 1 2_动力部" xfId="25863" xr:uid="{2AF18613-C9D8-4791-AC44-FF36F2518067}"/>
    <cellStyle name="强调文字颜色 1 20" xfId="8154" xr:uid="{F7B8DBCB-08F0-4368-9A7B-B69B59466217}"/>
    <cellStyle name="强调文字颜色 1 20 2" xfId="11443" xr:uid="{0C0A7918-DCEE-4D72-B075-07609462D8A9}"/>
    <cellStyle name="强调文字颜色 1 20 2 2" xfId="25865" xr:uid="{73F60632-B13C-4D0A-BF58-43868C316D0B}"/>
    <cellStyle name="强调文字颜色 1 20 3" xfId="25864" xr:uid="{5BEE8C05-98FA-4F21-B318-368E0D3BDA2A}"/>
    <cellStyle name="强调文字颜色 1 21" xfId="8156" xr:uid="{78C801F6-7769-42E6-8D92-060FEE33A28F}"/>
    <cellStyle name="强调文字颜色 1 21 2" xfId="11444" xr:uid="{E72F4416-01F1-4837-B9D1-41B59BBBA8F1}"/>
    <cellStyle name="强调文字颜色 1 21 2 2" xfId="25867" xr:uid="{590C40D0-6A52-4070-B585-9FE2C9A61EB4}"/>
    <cellStyle name="强调文字颜色 1 21 3" xfId="25866" xr:uid="{5BD9EC53-8DA4-4FAC-96E7-C37DF0B010F2}"/>
    <cellStyle name="强调文字颜色 1 22" xfId="8158" xr:uid="{9824B456-079A-4C16-A592-2D9AC710BDCD}"/>
    <cellStyle name="强调文字颜色 1 22 2" xfId="11445" xr:uid="{5E98478D-8114-4F37-90FB-38561CA64E89}"/>
    <cellStyle name="强调文字颜色 1 22 2 2" xfId="25869" xr:uid="{BF44CAC1-7ABE-49B0-A480-335DE1AB7274}"/>
    <cellStyle name="强调文字颜色 1 22 3" xfId="25868" xr:uid="{83EF0155-AAE3-4BD4-B5E7-71A6B0831EE7}"/>
    <cellStyle name="强调文字颜色 1 23" xfId="8160" xr:uid="{7C06C61E-4873-4E57-9473-8C94F7E2343B}"/>
    <cellStyle name="强调文字颜色 1 23 2" xfId="25871" xr:uid="{1E2EBB86-1F2A-4377-8923-D97D4259FB74}"/>
    <cellStyle name="强调文字颜色 1 23 3" xfId="25870" xr:uid="{581FE676-3D26-4698-81C2-0998A456B97A}"/>
    <cellStyle name="强调文字颜色 1 24" xfId="8162" xr:uid="{A252E85D-1C0F-4F27-91D5-CEDF92E85FA5}"/>
    <cellStyle name="强调文字颜色 1 24 2" xfId="25873" xr:uid="{3487DE76-8FFB-4111-AE2F-322CA1D16C7C}"/>
    <cellStyle name="强调文字颜色 1 24 3" xfId="25872" xr:uid="{C3E7697A-5DDD-450E-BC9E-C0886ECE45DF}"/>
    <cellStyle name="强调文字颜色 1 25" xfId="8177" xr:uid="{A6B890EC-1056-4513-B9DE-9EF53AACB858}"/>
    <cellStyle name="强调文字颜色 1 25 2" xfId="25875" xr:uid="{ECECBDF5-0056-4FFE-817F-898CD38D802C}"/>
    <cellStyle name="强调文字颜色 1 25 3" xfId="25874" xr:uid="{9478C807-D675-4585-B7DE-E863848A6374}"/>
    <cellStyle name="强调文字颜色 1 26" xfId="8179" xr:uid="{02F9FAC7-E576-4FEC-B645-5BFF6348B8D2}"/>
    <cellStyle name="强调文字颜色 1 26 2" xfId="25877" xr:uid="{0D809090-5F3F-446B-97B3-9289738DEB47}"/>
    <cellStyle name="强调文字颜色 1 26 3" xfId="25876" xr:uid="{848C33E7-AC5C-482A-9A1B-2BF1FC4CE880}"/>
    <cellStyle name="强调文字颜色 1 27" xfId="8181" xr:uid="{718FD122-A8CF-46F9-8541-6FCE1B4603B8}"/>
    <cellStyle name="强调文字颜色 1 27 2" xfId="25879" xr:uid="{8ECFF964-B303-40A5-9073-8762A1B45FFC}"/>
    <cellStyle name="强调文字颜色 1 27 3" xfId="25878" xr:uid="{BBB160E3-DCE4-44FC-94D8-EC16710FE873}"/>
    <cellStyle name="强调文字颜色 1 28" xfId="8183" xr:uid="{24831176-6A75-4F93-82E1-E9C35B798DF2}"/>
    <cellStyle name="强调文字颜色 1 28 2" xfId="25881" xr:uid="{60002419-8016-4ABF-8DCE-14E34B765622}"/>
    <cellStyle name="强调文字颜色 1 28 3" xfId="25880" xr:uid="{B436A79B-BD29-4B28-8672-A4E360117F64}"/>
    <cellStyle name="强调文字颜色 1 29" xfId="8185" xr:uid="{6789D57B-9804-4BF5-88CB-5EB6FE75A56B}"/>
    <cellStyle name="强调文字颜色 1 29 2" xfId="25883" xr:uid="{6814F5AA-19C0-452D-AF8C-21677D2870A5}"/>
    <cellStyle name="强调文字颜色 1 29 3" xfId="25882" xr:uid="{2E6B8ED9-B219-4A93-AE9A-1CCE5E9FA6B0}"/>
    <cellStyle name="强调文字颜色 1 3" xfId="8187" xr:uid="{52DA6504-5BC2-4F92-8C12-36390736DD45}"/>
    <cellStyle name="强调文字颜色 1 3 2" xfId="8188" xr:uid="{C2EA6A1F-AEF1-4C9E-AB1C-4B37FE33AD27}"/>
    <cellStyle name="强调文字颜色 1 3 2 2" xfId="11447" xr:uid="{F809ED1A-29F1-406B-8B1E-F8E92A2F2036}"/>
    <cellStyle name="强调文字颜色 1 3 2 3" xfId="25885" xr:uid="{E5F97F86-167A-4CDF-9B8C-D8722899C534}"/>
    <cellStyle name="强调文字颜色 1 3 2 4" xfId="27629" xr:uid="{526EEDC0-686F-463F-98E6-BA3FA6A70AA2}"/>
    <cellStyle name="强调文字颜色 1 3 3" xfId="11448" xr:uid="{243827CE-090B-4891-84E7-DD01A4C9C527}"/>
    <cellStyle name="强调文字颜色 1 3 3 2" xfId="25886" xr:uid="{D1D74C8B-6EF3-497D-844F-AE44F8B5E7F6}"/>
    <cellStyle name="强调文字颜色 1 3 3 3" xfId="27630" xr:uid="{E03D9505-ED67-4F7A-93FC-7DEF985D3819}"/>
    <cellStyle name="强调文字颜色 1 3 4" xfId="11446" xr:uid="{A2E7E491-1EC7-4F9D-8412-45BD120F1537}"/>
    <cellStyle name="强调文字颜色 1 3 4 2" xfId="25888" xr:uid="{825DA7B4-0392-43DE-99B4-6575CE04D556}"/>
    <cellStyle name="强调文字颜色 1 3 4 3" xfId="25887" xr:uid="{4B040A83-D841-4821-9D64-C80F78A47EB0}"/>
    <cellStyle name="强调文字颜色 1 3 5" xfId="25884" xr:uid="{C8694DB5-8A15-44BB-A79C-9391C6BB1ACE}"/>
    <cellStyle name="强调文字颜色 1 30" xfId="8178" xr:uid="{59854908-CB34-47E7-90A7-1C26C11FFA79}"/>
    <cellStyle name="强调文字颜色 1 30 2" xfId="25890" xr:uid="{2530D650-6EE8-4983-A165-FA6C659FB10A}"/>
    <cellStyle name="强调文字颜色 1 30 3" xfId="25889" xr:uid="{9140D292-FBF5-45C1-A144-B1AE2E0E4586}"/>
    <cellStyle name="强调文字颜色 1 31" xfId="8180" xr:uid="{F204543D-94B4-446E-8064-22E10204F169}"/>
    <cellStyle name="强调文字颜色 1 31 2" xfId="25892" xr:uid="{2C4112CD-56FD-408A-B472-440D37B86D4A}"/>
    <cellStyle name="强调文字颜色 1 31 3" xfId="25891" xr:uid="{31D90D8F-EE46-4FF2-BA8D-E8E92357C6D6}"/>
    <cellStyle name="强调文字颜色 1 32" xfId="8182" xr:uid="{4A9C7FBF-8545-482F-A9A4-ED2D8F0C7843}"/>
    <cellStyle name="强调文字颜色 1 32 2" xfId="25894" xr:uid="{7EA882A6-A43B-4FCC-A663-80BC7FFA2100}"/>
    <cellStyle name="强调文字颜色 1 32 3" xfId="25893" xr:uid="{8ADEABC4-A7C6-4EFF-8812-BBDF3A479751}"/>
    <cellStyle name="强调文字颜色 1 33" xfId="8184" xr:uid="{4084FB0C-F1DA-4434-BAE6-8BEA527BCBAC}"/>
    <cellStyle name="强调文字颜色 1 33 2" xfId="25896" xr:uid="{8B23E153-B0FF-4B9F-ADB5-2BA3C5109549}"/>
    <cellStyle name="强调文字颜色 1 33 3" xfId="25895" xr:uid="{ABF05DA7-18CF-42F9-8981-232E04D7C470}"/>
    <cellStyle name="强调文字颜色 1 34" xfId="8186" xr:uid="{FC2ECCD0-67F9-49AA-86B4-EABDFEB13E9E}"/>
    <cellStyle name="强调文字颜色 1 34 2" xfId="13778" xr:uid="{76E38FF2-8458-4897-AF03-6F9B0CB2C501}"/>
    <cellStyle name="强调文字颜色 1 34 2 2" xfId="25898" xr:uid="{2564CEAF-09CF-4C5A-ABE5-6A64424858DD}"/>
    <cellStyle name="强调文字颜色 1 34 3" xfId="25897" xr:uid="{D0304F87-EA09-4A21-A5A5-FB9F548F4E29}"/>
    <cellStyle name="强调文字颜色 1 35" xfId="8189" xr:uid="{6808DBD2-7AFA-44BE-8AAF-319C5D270D13}"/>
    <cellStyle name="强调文字颜色 1 35 2" xfId="13779" xr:uid="{5A34F661-2288-454D-BA62-8045733DB499}"/>
    <cellStyle name="强调文字颜色 1 35 2 2" xfId="25900" xr:uid="{5456B3BA-84A0-4078-A80C-97B0BC7D68F6}"/>
    <cellStyle name="强调文字颜色 1 35 3" xfId="25899" xr:uid="{A44A6275-1BE7-4BC3-BE2E-E3651CDDD662}"/>
    <cellStyle name="强调文字颜色 1 36" xfId="8191" xr:uid="{C826AE32-8726-4892-9838-DF3FEA7F2B32}"/>
    <cellStyle name="强调文字颜色 1 36 2" xfId="13780" xr:uid="{42037F41-B712-4F20-AFD5-B8AB371DB708}"/>
    <cellStyle name="强调文字颜色 1 36 2 2" xfId="25902" xr:uid="{C26C324D-2CFA-4690-8F04-59BE65388AC4}"/>
    <cellStyle name="强调文字颜色 1 36 3" xfId="25901" xr:uid="{B1EB981E-281E-4E5A-9BEC-0971C5D7F6E6}"/>
    <cellStyle name="强调文字颜色 1 37" xfId="8193" xr:uid="{FBC43E9F-4DEE-48EE-B7E9-6284703E94AA}"/>
    <cellStyle name="强调文字颜色 1 37 2" xfId="13781" xr:uid="{9D246100-CB8C-433E-85CA-5B00429750A9}"/>
    <cellStyle name="强调文字颜色 1 37 2 2" xfId="25904" xr:uid="{87F3EB6A-8068-42E7-A498-97E01B1E4B18}"/>
    <cellStyle name="强调文字颜色 1 37 3" xfId="25903" xr:uid="{5868B575-2659-4128-BF8E-D8677FBD7C64}"/>
    <cellStyle name="强调文字颜色 1 38" xfId="7153" xr:uid="{8A494179-8358-458E-8F2C-AB9BF9849948}"/>
    <cellStyle name="强调文字颜色 1 38 2" xfId="13782" xr:uid="{17253F37-1558-490A-8FA2-1C9CD9DBC6FB}"/>
    <cellStyle name="强调文字颜色 1 38 2 2" xfId="25906" xr:uid="{15F9060F-3D28-46DC-B63C-1DCD3427B0A4}"/>
    <cellStyle name="强调文字颜色 1 38 3" xfId="25905" xr:uid="{D6E40912-B6DB-4A5E-BF07-8910CC7ADE63}"/>
    <cellStyle name="强调文字颜色 1 39" xfId="7162" xr:uid="{4B5427A5-40EA-4467-B19C-8B2E374ED630}"/>
    <cellStyle name="强调文字颜色 1 39 2" xfId="13783" xr:uid="{7D3177FA-4158-412F-86FB-CC5A510C1102}"/>
    <cellStyle name="强调文字颜色 1 39 2 2" xfId="25908" xr:uid="{3DF180D7-B646-4DCA-B96E-516D3E5B31CB}"/>
    <cellStyle name="强调文字颜色 1 39 3" xfId="25907" xr:uid="{16B35C20-F0C9-46F7-969B-0CF559E15D1F}"/>
    <cellStyle name="强调文字颜色 1 4" xfId="8195" xr:uid="{D9D0C042-2034-40C1-8687-69FF7C16F053}"/>
    <cellStyle name="强调文字颜色 1 4 2" xfId="8196" xr:uid="{45578CDE-525A-4DAA-97B4-D639B50105FA}"/>
    <cellStyle name="强调文字颜色 1 4 2 2" xfId="11450" xr:uid="{BF119639-6EAD-4D5F-9845-27EE8ACFD581}"/>
    <cellStyle name="强调文字颜色 1 4 2 3" xfId="25910" xr:uid="{6E55FF19-93C4-449B-BB8B-F0990B9615E8}"/>
    <cellStyle name="强调文字颜色 1 4 3" xfId="11451" xr:uid="{B03969DE-B174-4E03-A5CE-A8755C987465}"/>
    <cellStyle name="强调文字颜色 1 4 3 2" xfId="25912" xr:uid="{492E1403-D8F4-40E5-BF86-351EFC5F25A0}"/>
    <cellStyle name="强调文字颜色 1 4 3 3" xfId="25911" xr:uid="{8E805EE4-7E7F-4C4A-A65C-9A9252E82851}"/>
    <cellStyle name="强调文字颜色 1 4 4" xfId="11449" xr:uid="{8EA77789-F938-46A2-BEC1-BD8253D8865D}"/>
    <cellStyle name="强调文字颜色 1 4 5" xfId="25909" xr:uid="{2C7EE74E-ECB5-4704-8942-396E6D81617B}"/>
    <cellStyle name="强调文字颜色 1 40" xfId="8190" xr:uid="{5C1205ED-F16D-47D8-AD80-081CA1D2B0FA}"/>
    <cellStyle name="强调文字颜色 1 40 2" xfId="13784" xr:uid="{11524523-C4EF-44B3-825B-4BE588EFC577}"/>
    <cellStyle name="强调文字颜色 1 40 2 2" xfId="25914" xr:uid="{76A588AB-FF4E-415D-BCBD-F61D47A47BAF}"/>
    <cellStyle name="强调文字颜色 1 40 3" xfId="25913" xr:uid="{EA937225-736E-4568-B8CD-27373628D1F1}"/>
    <cellStyle name="强调文字颜色 1 41" xfId="8192" xr:uid="{A3B0D30E-C75F-4986-BDA5-EC2B543AB811}"/>
    <cellStyle name="强调文字颜色 1 41 2" xfId="13785" xr:uid="{16508844-1219-4E78-8C5A-0D322B4DC4D6}"/>
    <cellStyle name="强调文字颜色 1 41 2 2" xfId="25916" xr:uid="{0883AE5D-FA01-481C-8421-0DEC52CF43BA}"/>
    <cellStyle name="强调文字颜色 1 41 3" xfId="25915" xr:uid="{ED76C18E-E452-441B-897F-4C13A623EAEE}"/>
    <cellStyle name="强调文字颜色 1 42" xfId="8194" xr:uid="{72285A21-847E-45DD-BDE4-1F5B7061FEF7}"/>
    <cellStyle name="强调文字颜色 1 42 2" xfId="13786" xr:uid="{F0E725B3-E70F-44BA-890F-B185B427CBBB}"/>
    <cellStyle name="强调文字颜色 1 42 2 2" xfId="25918" xr:uid="{BA45BFF1-5975-41CA-9E68-49F699B9EAD5}"/>
    <cellStyle name="强调文字颜色 1 42 3" xfId="25917" xr:uid="{E9A7BD4B-032C-4A11-B197-CAF885E81DAB}"/>
    <cellStyle name="强调文字颜色 1 43" xfId="7154" xr:uid="{7DEAFCBF-9024-4E1B-9B81-F8BC9162DA7D}"/>
    <cellStyle name="强调文字颜色 1 43 2" xfId="13787" xr:uid="{6E805422-C7DB-4DB3-B30C-19E1A87D64C4}"/>
    <cellStyle name="强调文字颜色 1 43 2 2" xfId="25920" xr:uid="{9FDC6053-855A-4053-BD31-1B7F4A48DC8D}"/>
    <cellStyle name="强调文字颜色 1 43 3" xfId="25919" xr:uid="{DC28115C-6370-4329-BDD9-99EF92054F48}"/>
    <cellStyle name="强调文字颜色 1 44" xfId="7163" xr:uid="{4DD946F3-3AF7-47EC-90CB-692FA8CC62B3}"/>
    <cellStyle name="强调文字颜色 1 44 2" xfId="13788" xr:uid="{2151F3F9-FDD6-4705-A6E2-2E9900EA8CA3}"/>
    <cellStyle name="强调文字颜色 1 44 2 2" xfId="25922" xr:uid="{11065FDC-0496-4AA0-B02F-B98BCE77F313}"/>
    <cellStyle name="强调文字颜色 1 44 3" xfId="25921" xr:uid="{742E5F87-FC9F-45EF-988F-2B4EE084A268}"/>
    <cellStyle name="强调文字颜色 1 45" xfId="7166" xr:uid="{B98D4F4D-8B88-4A74-ABCB-FA4C6A321DD9}"/>
    <cellStyle name="强调文字颜色 1 45 2" xfId="13789" xr:uid="{97E47938-2D31-45C0-86D3-1B07986BFE9C}"/>
    <cellStyle name="强调文字颜色 1 45 2 2" xfId="25924" xr:uid="{5DC10C33-5DBD-48C2-B752-A3578B98E2B8}"/>
    <cellStyle name="强调文字颜色 1 45 3" xfId="25923" xr:uid="{9398D25B-06EE-4839-B27C-F1E18CE9BB5C}"/>
    <cellStyle name="强调文字颜色 1 46" xfId="7170" xr:uid="{43404D14-45F1-4B5C-AE54-FD60367B9202}"/>
    <cellStyle name="强调文字颜色 1 46 2" xfId="13790" xr:uid="{A292E7C7-4D34-4B35-9DEB-42AE7C031051}"/>
    <cellStyle name="强调文字颜色 1 46 2 2" xfId="25926" xr:uid="{C89E03EA-5D31-4C25-B55B-86CF8CBB2B7C}"/>
    <cellStyle name="强调文字颜色 1 46 3" xfId="25925" xr:uid="{BCF9A851-2460-4884-99EB-25E4DF4ABF1F}"/>
    <cellStyle name="强调文字颜色 1 47" xfId="7174" xr:uid="{12A5DBCC-434B-45D4-BF2D-6C51D1614AE6}"/>
    <cellStyle name="强调文字颜色 1 47 2" xfId="13791" xr:uid="{03390001-CA0A-4352-BD5D-4953807AF7DC}"/>
    <cellStyle name="强调文字颜色 1 47 3" xfId="25927" xr:uid="{399DFAC7-AC15-4F10-87B9-AC6CF57B0963}"/>
    <cellStyle name="强调文字颜色 1 48" xfId="8125" xr:uid="{2D75AB11-2CC4-4E3E-9282-7E22D461DD20}"/>
    <cellStyle name="强调文字颜色 1 48 2" xfId="13792" xr:uid="{FDEE8803-1D5C-4291-A398-4DCE5C6C4C86}"/>
    <cellStyle name="强调文字颜色 1 48 3" xfId="25928" xr:uid="{30DCD931-1E94-48A1-B525-FE83A9F31EB8}"/>
    <cellStyle name="强调文字颜色 1 49" xfId="8128" xr:uid="{FFC57441-A3F3-4F4E-AFC3-5A65EC2C2C3A}"/>
    <cellStyle name="强调文字颜色 1 49 2" xfId="13793" xr:uid="{E2C1E841-0298-4996-85C2-BECE5042190D}"/>
    <cellStyle name="强调文字颜色 1 49 3" xfId="25929" xr:uid="{C4089CF2-2916-4971-A8BD-7285D87EFD37}"/>
    <cellStyle name="强调文字颜色 1 5" xfId="8197" xr:uid="{B01FE597-3ECC-400B-B852-41ED00BD4F2D}"/>
    <cellStyle name="强调文字颜色 1 5 2" xfId="8198" xr:uid="{FB8C2D64-91EA-458D-B899-24EB1B2A9D3B}"/>
    <cellStyle name="强调文字颜色 1 5 2 2" xfId="11453" xr:uid="{88FA72E3-67C3-4693-A2DC-FABFDC5AE3E9}"/>
    <cellStyle name="强调文字颜色 1 5 2 3" xfId="25931" xr:uid="{5B83A6DD-D2B5-439F-B03E-D8D3843B6AA6}"/>
    <cellStyle name="强调文字颜色 1 5 3" xfId="11454" xr:uid="{0B427AE6-EEB1-4003-9217-99860AFB6314}"/>
    <cellStyle name="强调文字颜色 1 5 4" xfId="11452" xr:uid="{1BABE3DD-8153-4E4C-B76E-F587062A5583}"/>
    <cellStyle name="强调文字颜色 1 5 5" xfId="25930" xr:uid="{78918C6C-75E2-4E22-AB0F-65B1F950F83F}"/>
    <cellStyle name="强调文字颜色 1 50" xfId="7167" xr:uid="{AF69DFB2-C725-4E81-A2A2-3FB2AAB715B0}"/>
    <cellStyle name="强调文字颜色 1 50 2" xfId="13794" xr:uid="{31D08D66-D0C7-4E66-AAA8-5BA2D3A5A705}"/>
    <cellStyle name="强调文字颜色 1 50 3" xfId="25932" xr:uid="{EA4D06A2-6CB7-4380-8CF9-031D4F084DED}"/>
    <cellStyle name="强调文字颜色 1 51" xfId="7171" xr:uid="{C2DC626D-932B-4249-87CE-D55ACFDA40CF}"/>
    <cellStyle name="强调文字颜色 1 51 2" xfId="13795" xr:uid="{B01267E4-30BA-48CC-83DB-A8CEA9FB799F}"/>
    <cellStyle name="强调文字颜色 1 51 3" xfId="25933" xr:uid="{B0D6920D-FCF6-4BA9-B9B2-A8C62EDD42EE}"/>
    <cellStyle name="强调文字颜色 1 52" xfId="7175" xr:uid="{612E7F66-1842-478D-96DA-24CE0726F52B}"/>
    <cellStyle name="强调文字颜色 1 52 2" xfId="13796" xr:uid="{BF2125D2-8EE3-401E-BC7F-EAAD37674119}"/>
    <cellStyle name="强调文字颜色 1 52 3" xfId="25934" xr:uid="{1A0B3F65-58BB-4935-A1B2-DCA908ABB117}"/>
    <cellStyle name="强调文字颜色 1 53" xfId="8126" xr:uid="{216CBEEB-24A8-4751-AF68-56E1E879265B}"/>
    <cellStyle name="强调文字颜色 1 53 2" xfId="13797" xr:uid="{3255907B-4BA9-4F6E-A44D-64EE521459A2}"/>
    <cellStyle name="强调文字颜色 1 53 3" xfId="25935" xr:uid="{DA1357D7-01F0-4EB6-9373-4DA369BBA4CB}"/>
    <cellStyle name="强调文字颜色 1 54" xfId="8129" xr:uid="{E667F397-50C5-4551-AD76-AA0CB70E4DD1}"/>
    <cellStyle name="强调文字颜色 1 54 2" xfId="13798" xr:uid="{B084BC80-E533-4A0B-88D6-1247011217EE}"/>
    <cellStyle name="强调文字颜色 1 54 3" xfId="25936" xr:uid="{B21246F9-B248-41F9-8DCB-9E67B95B0DCF}"/>
    <cellStyle name="强调文字颜色 1 55" xfId="8131" xr:uid="{5B100DB2-FBF5-4EAE-9306-EC54AB7C2CC5}"/>
    <cellStyle name="强调文字颜色 1 55 2" xfId="13799" xr:uid="{7C81189F-C751-4C05-8FE9-D8CA12B2B4F1}"/>
    <cellStyle name="强调文字颜色 1 55 3" xfId="25937" xr:uid="{B624A9AC-9A2D-4CD2-B9B3-D272E31C097D}"/>
    <cellStyle name="强调文字颜色 1 56" xfId="8134" xr:uid="{ADEFF93C-99E9-4E0C-9BFF-E2E92D748891}"/>
    <cellStyle name="强调文字颜色 1 56 2" xfId="13800" xr:uid="{B131DE6D-D1C4-4A98-9C3A-7A4F55FF3478}"/>
    <cellStyle name="强调文字颜色 1 56 3" xfId="25938" xr:uid="{AC3F0858-B3F8-43BD-8749-DA1DDAE87B2B}"/>
    <cellStyle name="强调文字颜色 1 57" xfId="8137" xr:uid="{40AFA8D7-613F-4B09-926E-A57AE06B83B6}"/>
    <cellStyle name="强调文字颜色 1 57 2" xfId="13801" xr:uid="{DB811781-565E-4D3A-93FA-5A01AC53C348}"/>
    <cellStyle name="强调文字颜色 1 58" xfId="8140" xr:uid="{39631BCE-78F9-4CA8-9093-4FFA312F05EA}"/>
    <cellStyle name="强调文字颜色 1 58 2" xfId="13802" xr:uid="{E28A5F71-BCC2-48B5-B5FB-4803B4648261}"/>
    <cellStyle name="强调文字颜色 1 59" xfId="8143" xr:uid="{64C34D25-94E4-47A4-BE60-96B1C587BB76}"/>
    <cellStyle name="强调文字颜色 1 59 2" xfId="13803" xr:uid="{D3E573EC-F765-47C2-90BD-EF3EE96C38DA}"/>
    <cellStyle name="强调文字颜色 1 6" xfId="8199" xr:uid="{915EFE8C-2733-49CA-A78B-5AE3E7C33B66}"/>
    <cellStyle name="强调文字颜色 1 6 2" xfId="8200" xr:uid="{BC42A830-FC30-4728-9C7C-E55B7EFA5EE9}"/>
    <cellStyle name="强调文字颜色 1 6 2 2" xfId="11456" xr:uid="{0A723D12-4437-4DC0-BF3B-6C486ACD5210}"/>
    <cellStyle name="强调文字颜色 1 6 2 3" xfId="25940" xr:uid="{E3EEE37C-BB9E-4AED-BACE-044950AB5301}"/>
    <cellStyle name="强调文字颜色 1 6 3" xfId="11457" xr:uid="{B0A88617-8738-4320-B966-4C4442C0B55A}"/>
    <cellStyle name="强调文字颜色 1 6 4" xfId="11455" xr:uid="{6906AD94-0A37-437A-9FC1-62374F540AD7}"/>
    <cellStyle name="强调文字颜色 1 6 5" xfId="25939" xr:uid="{1D724895-A750-4BE5-AABD-69CCFDEC2252}"/>
    <cellStyle name="强调文字颜色 1 60" xfId="8132" xr:uid="{FB244674-72AC-45C1-B548-2B71528A2618}"/>
    <cellStyle name="强调文字颜色 1 60 2" xfId="13804" xr:uid="{95BDEA4B-D361-44D6-96DF-AF27BDF7AE96}"/>
    <cellStyle name="强调文字颜色 1 61" xfId="8135" xr:uid="{B611DDB4-9344-413C-B051-6F0B30D14703}"/>
    <cellStyle name="强调文字颜色 1 61 2" xfId="13805" xr:uid="{3AFCFAF4-62BC-4347-BB00-779C0FBC7F89}"/>
    <cellStyle name="强调文字颜色 1 62" xfId="8138" xr:uid="{6A7DD88A-DF98-4433-92AB-87A632723E99}"/>
    <cellStyle name="强调文字颜色 1 62 2" xfId="13806" xr:uid="{CC184DCB-45DC-449B-BC1D-8F934A7D4F49}"/>
    <cellStyle name="强调文字颜色 1 63" xfId="8141" xr:uid="{4FABC3FA-E264-4923-AA7E-EB0281428951}"/>
    <cellStyle name="强调文字颜色 1 63 2" xfId="13807" xr:uid="{CF47624C-0F2B-455C-BF21-9722CAD2DB60}"/>
    <cellStyle name="强调文字颜色 1 64" xfId="8144" xr:uid="{C473AAFE-7093-4C8F-88E6-402C66AC887C}"/>
    <cellStyle name="强调文字颜色 1 64 2" xfId="13808" xr:uid="{080DCFE4-325A-4BE1-9E79-A014AF06666F}"/>
    <cellStyle name="强调文字颜色 1 65" xfId="8201" xr:uid="{FF987985-CB46-4883-8102-41BF9F900758}"/>
    <cellStyle name="强调文字颜色 1 65 2" xfId="13809" xr:uid="{13E8880E-A3D0-4850-A3D8-AD8C3F1B5E7F}"/>
    <cellStyle name="强调文字颜色 1 66" xfId="8203" xr:uid="{44762F8B-FAED-4605-B1DA-BF4B753ED9F4}"/>
    <cellStyle name="强调文字颜色 1 66 2" xfId="13810" xr:uid="{6200A6AA-6526-4C9A-9D60-0FFA5D63D2EE}"/>
    <cellStyle name="强调文字颜色 1 67" xfId="8205" xr:uid="{0B54C864-6D0F-4D40-AF41-7AB9FC1EE641}"/>
    <cellStyle name="强调文字颜色 1 67 2" xfId="13811" xr:uid="{005CFD88-B2DD-4098-8CFF-A2ABABB1C3E3}"/>
    <cellStyle name="强调文字颜色 1 68" xfId="8207" xr:uid="{7F3CE291-63F8-4CE9-AECC-BA08304D6CF2}"/>
    <cellStyle name="强调文字颜色 1 68 2" xfId="13812" xr:uid="{D69A3BB6-2F02-41CF-8B04-690C5584B69D}"/>
    <cellStyle name="强调文字颜色 1 69" xfId="8209" xr:uid="{E57DE5E4-050E-4E02-AB8C-1ABCE0D24D10}"/>
    <cellStyle name="强调文字颜色 1 69 2" xfId="13813" xr:uid="{EA55B0ED-4D04-48D7-8BA0-1E1DA24EEFAD}"/>
    <cellStyle name="强调文字颜色 1 7" xfId="8211" xr:uid="{B0C8CC1C-DA25-4016-92AD-A91F3C430BCD}"/>
    <cellStyle name="强调文字颜色 1 7 2" xfId="8212" xr:uid="{13316EEB-ECB3-426D-AFEF-51CEC19B1447}"/>
    <cellStyle name="强调文字颜色 1 7 2 2" xfId="11459" xr:uid="{361AF818-14A0-46E7-A8D7-E1C28406BF4E}"/>
    <cellStyle name="强调文字颜色 1 7 2 3" xfId="25942" xr:uid="{AC819031-D8D1-44D1-8849-2ED456F3A4D3}"/>
    <cellStyle name="强调文字颜色 1 7 3" xfId="11460" xr:uid="{E6D8B505-F7CF-4527-AD4C-4B968312F174}"/>
    <cellStyle name="强调文字颜色 1 7 4" xfId="11458" xr:uid="{3D9E6407-91BC-4828-AEFA-8408010D0E30}"/>
    <cellStyle name="强调文字颜色 1 7 5" xfId="25941" xr:uid="{9F309C3A-CE56-4258-B7BE-67F587303F35}"/>
    <cellStyle name="强调文字颜色 1 70" xfId="8202" xr:uid="{1813DB8D-C1DD-4679-801A-8949FFC4ABE3}"/>
    <cellStyle name="强调文字颜色 1 70 2" xfId="13814" xr:uid="{603270C5-F20B-4673-921F-66C6D3AB738C}"/>
    <cellStyle name="强调文字颜色 1 71" xfId="8204" xr:uid="{B9AC6CA4-C53F-410D-9B19-7DC2AB98C4F6}"/>
    <cellStyle name="强调文字颜色 1 71 2" xfId="13815" xr:uid="{C7794450-7810-4B13-9C76-205D017E71B7}"/>
    <cellStyle name="强调文字颜色 1 72" xfId="8206" xr:uid="{A21742AC-1CC5-4A96-9639-FC96BB0665E3}"/>
    <cellStyle name="强调文字颜色 1 72 2" xfId="13816" xr:uid="{B31874EA-06A9-4997-940A-F3477001EDB5}"/>
    <cellStyle name="强调文字颜色 1 73" xfId="8208" xr:uid="{19D9D54F-43DD-46CD-A6C8-20B81E885067}"/>
    <cellStyle name="强调文字颜色 1 73 2" xfId="13817" xr:uid="{9DA2602A-2DA3-49FC-A60E-022D97321BF1}"/>
    <cellStyle name="强调文字颜色 1 74" xfId="8210" xr:uid="{11B365FB-1FB4-427A-902D-E9E05F154ADD}"/>
    <cellStyle name="强调文字颜色 1 74 2" xfId="13818" xr:uid="{9945222C-7C75-437A-B982-6C4C2C23D1E6}"/>
    <cellStyle name="强调文字颜色 1 75" xfId="8213" xr:uid="{4DCB9D85-6EE2-4598-BB34-9B9B245A8660}"/>
    <cellStyle name="强调文字颜色 1 75 2" xfId="13819" xr:uid="{BBE5530A-54D5-403D-A52A-D9F1C1803B07}"/>
    <cellStyle name="强调文字颜色 1 76" xfId="8215" xr:uid="{13B5CC89-98E2-47DD-8771-C2D72C918CE8}"/>
    <cellStyle name="强调文字颜色 1 76 2" xfId="13820" xr:uid="{3FBA7949-88A3-4081-81B0-11FF2AAA4D17}"/>
    <cellStyle name="强调文字颜色 1 77" xfId="8217" xr:uid="{10D96FAE-C6EE-4D52-ACC9-BBE8FED73AC9}"/>
    <cellStyle name="强调文字颜色 1 77 2" xfId="13821" xr:uid="{706A153B-7201-4302-8424-0A52A8FBAAAF}"/>
    <cellStyle name="强调文字颜色 1 78" xfId="8219" xr:uid="{F0E76CA1-B240-448C-BA50-ABA867E2E003}"/>
    <cellStyle name="强调文字颜色 1 78 2" xfId="13822" xr:uid="{F6B54561-02CD-4EF7-8B18-2EEE2F04497D}"/>
    <cellStyle name="强调文字颜色 1 79" xfId="8221" xr:uid="{60AB2B79-FBD1-4279-AADA-769374CE0940}"/>
    <cellStyle name="强调文字颜色 1 79 2" xfId="13823" xr:uid="{D9A8B9AC-1B39-4B78-8FEC-3FBED4DA70EB}"/>
    <cellStyle name="强调文字颜色 1 8" xfId="8223" xr:uid="{3E8D8B3B-F78C-4368-80F3-A8DED60A693B}"/>
    <cellStyle name="强调文字颜色 1 8 2" xfId="8224" xr:uid="{7DFC6AB7-F3FD-4371-96AB-9E219E6E9BB4}"/>
    <cellStyle name="强调文字颜色 1 8 2 2" xfId="11462" xr:uid="{80A90C6D-9641-41D4-9E60-5270D66E1751}"/>
    <cellStyle name="强调文字颜色 1 8 2 3" xfId="25944" xr:uid="{450C8709-4484-4599-8ECE-3149EBBC8AA5}"/>
    <cellStyle name="强调文字颜色 1 8 3" xfId="11463" xr:uid="{83E9E369-EEA3-48B2-B0D7-DBABB3362A8E}"/>
    <cellStyle name="强调文字颜色 1 8 4" xfId="11461" xr:uid="{B9BE5FA7-AB9E-4A4C-8840-25A2EC8CBDB0}"/>
    <cellStyle name="强调文字颜色 1 8 5" xfId="25943" xr:uid="{FBE32C00-683F-483D-BFFC-DD353FEA1E4A}"/>
    <cellStyle name="强调文字颜色 1 80" xfId="8214" xr:uid="{DBFA7289-A77E-4B63-9AC4-D4DEE2C0E9EE}"/>
    <cellStyle name="强调文字颜色 1 80 2" xfId="13824" xr:uid="{BE3EC215-F996-449D-8927-426EA3C02DAE}"/>
    <cellStyle name="强调文字颜色 1 81" xfId="8216" xr:uid="{2B7C7E82-66C2-41B9-98F8-81E7BBBD7C8C}"/>
    <cellStyle name="强调文字颜色 1 81 2" xfId="13825" xr:uid="{0894BC35-0BBA-44DA-A1FB-03C98247CD12}"/>
    <cellStyle name="强调文字颜色 1 82" xfId="8218" xr:uid="{27A720E9-68BB-4926-848C-2F6EB20ADDBB}"/>
    <cellStyle name="强调文字颜色 1 82 2" xfId="13826" xr:uid="{56B3E5E6-15E0-41E4-9E8E-F88E4A3C5628}"/>
    <cellStyle name="强调文字颜色 1 83" xfId="8220" xr:uid="{BB90E6DF-C49C-4D90-852A-B763F5A460DB}"/>
    <cellStyle name="强调文字颜色 1 83 2" xfId="13827" xr:uid="{FFA534B2-3213-442B-835E-830BD8BCA873}"/>
    <cellStyle name="强调文字颜色 1 84" xfId="8222" xr:uid="{3F2A7CFA-99B7-4EAF-B46C-E4B9CFFAD36A}"/>
    <cellStyle name="强调文字颜色 1 84 2" xfId="13828" xr:uid="{C172C90F-D8D1-4CC0-84F9-C4C96D882EB4}"/>
    <cellStyle name="强调文字颜色 1 85" xfId="9336" xr:uid="{4E5E1C78-870E-4DAC-A70D-55DE1FC86794}"/>
    <cellStyle name="强调文字颜色 1 86" xfId="11413" xr:uid="{701DAEA6-EC78-4894-96BD-2C890009DEB2}"/>
    <cellStyle name="强调文字颜色 1 87" xfId="13576" xr:uid="{EF9A0FA6-972D-400F-A1C4-44042B20F28E}"/>
    <cellStyle name="强调文字颜色 1 88" xfId="27167" xr:uid="{A7D6FDDD-FAE4-462C-9B54-9EBF8E996E2D}"/>
    <cellStyle name="强调文字颜色 1 89" xfId="27137" xr:uid="{DB7B2C5A-9073-45B8-A76B-C1E6AA206E1D}"/>
    <cellStyle name="强调文字颜色 1 9" xfId="8225" xr:uid="{77A36108-3074-4DDD-B4B9-96EFFA714824}"/>
    <cellStyle name="强调文字颜色 1 9 2" xfId="11465" xr:uid="{BC2051D5-FF37-4674-80DC-6F48BC507F3E}"/>
    <cellStyle name="强调文字颜色 1 9 2 2" xfId="25947" xr:uid="{CD7844EA-C85A-4B61-9D52-E50ACC1DF809}"/>
    <cellStyle name="强调文字颜色 1 9 2 3" xfId="25946" xr:uid="{B6AE5836-41E3-4863-923D-E01166B66E0A}"/>
    <cellStyle name="强调文字颜色 1 9 3" xfId="11466" xr:uid="{F381BAF1-20C2-48DF-8702-C95E02CD011F}"/>
    <cellStyle name="强调文字颜色 1 9 4" xfId="11464" xr:uid="{8EC26CF4-2FCC-4C55-AE99-E5B30049D60A}"/>
    <cellStyle name="强调文字颜色 1 9 5" xfId="25945" xr:uid="{E3EB9E75-DC1E-49F0-9BE5-5EB87C87B1FA}"/>
    <cellStyle name="强调文字颜色 1 90" xfId="27172" xr:uid="{3AFCB0AF-68A2-407E-ACF8-6817F51E33A5}"/>
    <cellStyle name="强调文字颜色 2" xfId="8226" xr:uid="{09F400CF-4461-4F1C-BCCE-1DDF25604B86}"/>
    <cellStyle name="强调文字颜色 2 10" xfId="8227" xr:uid="{D83E6F76-2256-4885-A49D-CF9CD193FF81}"/>
    <cellStyle name="强调文字颜色 2 10 2" xfId="11469" xr:uid="{A8F89878-39E2-45C3-8901-69F4D501B14D}"/>
    <cellStyle name="强调文字颜色 2 10 2 2" xfId="25950" xr:uid="{E42B5A34-87D7-449B-8012-1497F3D38348}"/>
    <cellStyle name="强调文字颜色 2 10 2 3" xfId="25949" xr:uid="{19C18064-17A3-4366-B2E8-6E939AA968D7}"/>
    <cellStyle name="强调文字颜色 2 10 3" xfId="11470" xr:uid="{BCE48EC3-9A46-463A-8058-ECF10E0C2C6C}"/>
    <cellStyle name="强调文字颜色 2 10 4" xfId="11468" xr:uid="{54E2569B-C771-447C-B913-3C84B2E06920}"/>
    <cellStyle name="强调文字颜色 2 10 5" xfId="25948" xr:uid="{3C1898F4-39E3-44BE-A088-B918F0ADED86}"/>
    <cellStyle name="强调文字颜色 2 11" xfId="8228" xr:uid="{F9D61ECC-F2FB-4929-9D0F-3F8231FE8AB9}"/>
    <cellStyle name="强调文字颜色 2 11 2" xfId="11472" xr:uid="{6A0E9ABA-54D3-432E-8A28-7D4840B0563F}"/>
    <cellStyle name="强调文字颜色 2 11 2 2" xfId="25953" xr:uid="{CF397E0C-DD7B-4623-BE07-49622BE37655}"/>
    <cellStyle name="强调文字颜色 2 11 2 3" xfId="25952" xr:uid="{3944CBC7-0D47-49E0-80B5-2BF2285E0BE4}"/>
    <cellStyle name="强调文字颜色 2 11 3" xfId="11473" xr:uid="{30595D2D-B286-41B9-9D72-83AAB0CA6FA1}"/>
    <cellStyle name="强调文字颜色 2 11 4" xfId="11471" xr:uid="{F5A7E44A-8739-4CD5-8532-A5524C651D91}"/>
    <cellStyle name="强调文字颜色 2 11 5" xfId="25951" xr:uid="{5DD505A8-31B2-4C09-B747-F01E07CEEA35}"/>
    <cellStyle name="强调文字颜色 2 12" xfId="8229" xr:uid="{C2FC48C2-8520-4075-9581-28239D137276}"/>
    <cellStyle name="强调文字颜色 2 12 2" xfId="11475" xr:uid="{6772B109-F28A-418B-9339-247CC2B7E72F}"/>
    <cellStyle name="强调文字颜色 2 12 2 2" xfId="25956" xr:uid="{A0054575-CCD8-4837-9316-D56C1701AF46}"/>
    <cellStyle name="强调文字颜色 2 12 2 3" xfId="25955" xr:uid="{99E797A6-92E1-4452-9191-177E00FFB4EA}"/>
    <cellStyle name="强调文字颜色 2 12 3" xfId="11476" xr:uid="{A6AF11F9-F26F-456E-8BEE-E5169FDB9505}"/>
    <cellStyle name="强调文字颜色 2 12 4" xfId="11474" xr:uid="{E79CB40A-F399-478B-8BC7-D0A12F2EE3CB}"/>
    <cellStyle name="强调文字颜色 2 12 5" xfId="25954" xr:uid="{6325C3B1-E388-4AF0-9E39-189CA226765E}"/>
    <cellStyle name="强调文字颜色 2 13" xfId="8230" xr:uid="{87A8EB1F-05CF-49D6-9EED-2611D2818617}"/>
    <cellStyle name="强调文字颜色 2 13 2" xfId="11478" xr:uid="{332C62BD-B41C-4D93-A9C8-D5A08634A091}"/>
    <cellStyle name="强调文字颜色 2 13 2 2" xfId="25958" xr:uid="{C8038B95-4EE9-41B4-A5CC-9F7A6E170236}"/>
    <cellStyle name="强调文字颜色 2 13 3" xfId="11479" xr:uid="{81A61A99-9060-462E-829C-3EBD5FB2E82C}"/>
    <cellStyle name="强调文字颜色 2 13 4" xfId="11477" xr:uid="{841F176E-1896-4EA8-8485-2A5F43E0F083}"/>
    <cellStyle name="强调文字颜色 2 13 5" xfId="25957" xr:uid="{9740FB08-E14B-41C0-B656-6DA95FE3DFBE}"/>
    <cellStyle name="强调文字颜色 2 14" xfId="8231" xr:uid="{99868D7F-0F48-4008-AAC6-D1E35C68242A}"/>
    <cellStyle name="强调文字颜色 2 14 2" xfId="11481" xr:uid="{E641A953-8C9D-4CD4-97BF-4013814BECA4}"/>
    <cellStyle name="强调文字颜色 2 14 2 2" xfId="25960" xr:uid="{44DE6B6C-0783-4DE7-9A19-8F789E8CF3D3}"/>
    <cellStyle name="强调文字颜色 2 14 3" xfId="11482" xr:uid="{188FCE47-0D44-4527-8B7B-3701E6F002F4}"/>
    <cellStyle name="强调文字颜色 2 14 4" xfId="11480" xr:uid="{D05836B9-7CA4-4F34-B124-67BB33BA0A9B}"/>
    <cellStyle name="强调文字颜色 2 14 5" xfId="25959" xr:uid="{00DDA60C-7C92-41E5-A36B-E694FC998F2D}"/>
    <cellStyle name="强调文字颜色 2 15" xfId="8232" xr:uid="{B0C91F3C-679A-427B-A190-29560562317B}"/>
    <cellStyle name="强调文字颜色 2 15 2" xfId="11484" xr:uid="{D18C7FA5-B848-46EB-B9F8-E80611D5B1D0}"/>
    <cellStyle name="强调文字颜色 2 15 2 2" xfId="25962" xr:uid="{B715FC4A-9F8A-42D5-8FFE-94F2D43C6201}"/>
    <cellStyle name="强调文字颜色 2 15 3" xfId="11485" xr:uid="{A858A205-D137-4CDC-92DE-E91553953E51}"/>
    <cellStyle name="强调文字颜色 2 15 4" xfId="11483" xr:uid="{13335E33-C6BC-4369-B70F-B9C1F510DB56}"/>
    <cellStyle name="强调文字颜色 2 15 5" xfId="25961" xr:uid="{7C64D7DE-2349-4045-B902-5684CDA037FD}"/>
    <cellStyle name="强调文字颜色 2 16" xfId="8234" xr:uid="{C860B1F8-F4BB-44DE-9026-8A22CD840402}"/>
    <cellStyle name="强调文字颜色 2 16 2" xfId="11487" xr:uid="{3A8354E6-8C1B-497D-8FF1-A45143419960}"/>
    <cellStyle name="强调文字颜色 2 16 2 2" xfId="25964" xr:uid="{091BCA98-F8A4-4411-A173-7EDF02D8537C}"/>
    <cellStyle name="强调文字颜色 2 16 3" xfId="11488" xr:uid="{892792A8-7BA8-4AF4-BE3B-24DF78F5852F}"/>
    <cellStyle name="强调文字颜色 2 16 4" xfId="11486" xr:uid="{76125449-1C19-4AB1-996F-B98C556204B1}"/>
    <cellStyle name="强调文字颜色 2 16 5" xfId="25963" xr:uid="{FBAC1437-1623-4BB1-BF15-8ED2962EB804}"/>
    <cellStyle name="强调文字颜色 2 17" xfId="8236" xr:uid="{79651D3F-467C-4E41-B879-59320B78751D}"/>
    <cellStyle name="强调文字颜色 2 17 2" xfId="11490" xr:uid="{5F389268-A075-4179-AB02-5E5BA7722FFB}"/>
    <cellStyle name="强调文字颜色 2 17 2 2" xfId="25966" xr:uid="{202A3E76-1916-41AD-92F4-2D301BE34459}"/>
    <cellStyle name="强调文字颜色 2 17 3" xfId="11491" xr:uid="{EAE2A123-D978-47E7-A9EB-DEDC356B2572}"/>
    <cellStyle name="强调文字颜色 2 17 4" xfId="11489" xr:uid="{89703878-FA36-4917-9E07-7EB2F247B90C}"/>
    <cellStyle name="强调文字颜色 2 17 5" xfId="25965" xr:uid="{F713663C-7C3B-473C-9B92-AAAA8756E8C7}"/>
    <cellStyle name="强调文字颜色 2 18" xfId="8238" xr:uid="{3F578DAF-3418-44D5-A1B6-E88C35B85B73}"/>
    <cellStyle name="强调文字颜色 2 18 2" xfId="11492" xr:uid="{63D54729-0035-4473-B497-9E47DB3D75D9}"/>
    <cellStyle name="强调文字颜色 2 18 2 2" xfId="25968" xr:uid="{64DEB8BA-904B-4269-BDD5-32E72222FEEA}"/>
    <cellStyle name="强调文字颜色 2 18 3" xfId="25967" xr:uid="{0C3594A4-8125-4FF0-86CB-1527DAC890F0}"/>
    <cellStyle name="强调文字颜色 2 19" xfId="8240" xr:uid="{1BCD4295-FF39-46AD-99D6-8A3C2C4C5EF3}"/>
    <cellStyle name="强调文字颜色 2 19 2" xfId="11493" xr:uid="{9C08D32C-978F-4BF7-AAE9-39F02783C94F}"/>
    <cellStyle name="强调文字颜色 2 19 2 2" xfId="25970" xr:uid="{F6CF85E6-1FE3-4CBE-B03B-FFC154474109}"/>
    <cellStyle name="强调文字颜色 2 19 3" xfId="25969" xr:uid="{ECD18CEA-6103-47F7-9B1C-3C20B61B5C70}"/>
    <cellStyle name="强调文字颜色 2 2" xfId="8242" xr:uid="{3145CE75-692B-4D6D-9AA5-4A5C5E54724A}"/>
    <cellStyle name="强调文字颜色 2 2 10" xfId="8243" xr:uid="{9086C6AC-22AE-4027-9F41-4EA16DE64EBF}"/>
    <cellStyle name="强调文字颜色 2 2 11" xfId="8244" xr:uid="{2C01DC04-B2DA-494D-9EA0-AA8ED7C274DC}"/>
    <cellStyle name="强调文字颜色 2 2 12" xfId="8245" xr:uid="{54DE91B1-4780-4D86-978B-DA4A4B8193F1}"/>
    <cellStyle name="强调文字颜色 2 2 13" xfId="8246" xr:uid="{1AF170BB-FB5E-478C-90F0-7B12DAD5E927}"/>
    <cellStyle name="强调文字颜色 2 2 14" xfId="8247" xr:uid="{B273CA00-97FF-4E9D-8DFC-427AACC63AD3}"/>
    <cellStyle name="强调文字颜色 2 2 15" xfId="11494" xr:uid="{F89D213D-A12B-43FF-963B-F6211DED7169}"/>
    <cellStyle name="强调文字颜色 2 2 16" xfId="12391" xr:uid="{887573F4-0A24-484E-954F-B1E1BE58412E}"/>
    <cellStyle name="强调文字颜色 2 2 2" xfId="591" xr:uid="{CBB08B02-73D8-4C86-BB7D-BAFCBF95FFD1}"/>
    <cellStyle name="强调文字颜色 2 2 2 2" xfId="11495" xr:uid="{85D9B3E2-B293-47DE-B763-8DD9A1539FB7}"/>
    <cellStyle name="强调文字颜色 2 2 2 2 2" xfId="25972" xr:uid="{C20DFA47-97A6-4E59-A39D-BBA060836AEA}"/>
    <cellStyle name="强调文字颜色 2 2 2 3" xfId="25971" xr:uid="{C0747654-A462-4C03-87E0-E4E36D78655E}"/>
    <cellStyle name="强调文字颜色 2 2 2 4" xfId="27631" xr:uid="{6D93B782-D6B9-409F-A45E-18D3C18D52A0}"/>
    <cellStyle name="强调文字颜色 2 2 3" xfId="632" xr:uid="{F2EE42E7-1BF9-4A8B-AB0E-FC4F4EEC025B}"/>
    <cellStyle name="强调文字颜色 2 2 3 2" xfId="11496" xr:uid="{9753093D-9805-44DB-88FE-FE367165045F}"/>
    <cellStyle name="强调文字颜色 2 2 3 3" xfId="25973" xr:uid="{4A4A2457-9B7D-424F-893C-39D211563515}"/>
    <cellStyle name="强调文字颜色 2 2 3 4" xfId="27632" xr:uid="{CD9FBFFF-2AE6-41BF-BE08-17C7C111FC2D}"/>
    <cellStyle name="强调文字颜色 2 2 4" xfId="667" xr:uid="{482E290B-4403-4DF8-AD4D-2D9BAA9EDD47}"/>
    <cellStyle name="强调文字颜色 2 2 4 2" xfId="25975" xr:uid="{002CAF66-502D-4196-975A-28EC6B36842B}"/>
    <cellStyle name="强调文字颜色 2 2 4 3" xfId="25974" xr:uid="{B4BE5E01-DEF2-4CBF-B53C-8333A23A7779}"/>
    <cellStyle name="强调文字颜色 2 2 5" xfId="732" xr:uid="{1870357B-9ACE-418F-8DAE-6BF7BF1F9C4E}"/>
    <cellStyle name="强调文字颜色 2 2 5 2" xfId="25976" xr:uid="{0A0F0B44-D827-4058-8CA0-867E91914D2A}"/>
    <cellStyle name="强调文字颜色 2 2 6" xfId="800" xr:uid="{E11E9FF9-99D0-4DFB-BED9-5A34FF661DB1}"/>
    <cellStyle name="强调文字颜色 2 2 6 2" xfId="25977" xr:uid="{BEE885F2-8793-4D70-BFA1-8E4F5A120245}"/>
    <cellStyle name="强调文字颜色 2 2 7" xfId="862" xr:uid="{DC2DCBE5-EED9-4424-8DBA-3437D94940FA}"/>
    <cellStyle name="强调文字颜色 2 2 8" xfId="8248" xr:uid="{05D98205-602E-46E8-BD13-996E09B343D7}"/>
    <cellStyle name="强调文字颜色 2 2 9" xfId="8249" xr:uid="{38261E2A-FAC5-4947-9DD5-EC2298489BA7}"/>
    <cellStyle name="强调文字颜色 2 2_动力部" xfId="25978" xr:uid="{BCFEC2F1-1442-4087-A7F7-2C9EDD0EC1D8}"/>
    <cellStyle name="强调文字颜色 2 20" xfId="8233" xr:uid="{5105264C-AD92-4BA5-83ED-792C1FB41800}"/>
    <cellStyle name="强调文字颜色 2 20 2" xfId="11497" xr:uid="{C59CA461-B021-4BA5-82C1-C8BC3FEC3DA0}"/>
    <cellStyle name="强调文字颜色 2 20 2 2" xfId="25980" xr:uid="{4CBDE02F-883D-4592-A2E4-9C10C96D3187}"/>
    <cellStyle name="强调文字颜色 2 20 3" xfId="25979" xr:uid="{FCCF4C77-FE97-4D2A-B2CF-D226CBBF7F46}"/>
    <cellStyle name="强调文字颜色 2 21" xfId="8235" xr:uid="{7FFE0BB6-79C6-42B2-B559-C59721B0154D}"/>
    <cellStyle name="强调文字颜色 2 21 2" xfId="11498" xr:uid="{6D80BADC-DF3C-4B8E-B8D3-E0F9850F2457}"/>
    <cellStyle name="强调文字颜色 2 21 2 2" xfId="25982" xr:uid="{F1921A12-8E0D-49E2-BABA-255F467DB630}"/>
    <cellStyle name="强调文字颜色 2 21 3" xfId="25981" xr:uid="{EB50A678-6686-4B0A-B9B8-D0E18E4C225F}"/>
    <cellStyle name="强调文字颜色 2 22" xfId="8237" xr:uid="{D6251E32-0715-48F9-AB40-120B94E011EB}"/>
    <cellStyle name="强调文字颜色 2 22 2" xfId="11499" xr:uid="{34174A2A-CCAC-4959-A3F4-937D52D24E7E}"/>
    <cellStyle name="强调文字颜色 2 22 2 2" xfId="25984" xr:uid="{6A91CE45-7AE4-44E0-81D1-F8D1D1D0CB76}"/>
    <cellStyle name="强调文字颜色 2 22 3" xfId="25983" xr:uid="{3585CACD-F808-4B80-B162-7A20F170ED65}"/>
    <cellStyle name="强调文字颜色 2 23" xfId="8239" xr:uid="{A9008603-8586-439D-8B39-25D505013A95}"/>
    <cellStyle name="强调文字颜色 2 23 2" xfId="25986" xr:uid="{2EF3A21B-77FC-4654-898A-39DF7D9A6B93}"/>
    <cellStyle name="强调文字颜色 2 23 3" xfId="25985" xr:uid="{2D6EF6DF-037E-43EE-9C50-938311A7A8BF}"/>
    <cellStyle name="强调文字颜色 2 24" xfId="8241" xr:uid="{F2BC96CB-42FA-442F-B458-1C8896FD7D7E}"/>
    <cellStyle name="强调文字颜色 2 24 2" xfId="25988" xr:uid="{9A4B95DC-3F98-436E-8356-BCE160405BED}"/>
    <cellStyle name="强调文字颜色 2 24 3" xfId="25987" xr:uid="{6928D924-C879-4809-AE52-3F06F4FA7804}"/>
    <cellStyle name="强调文字颜色 2 25" xfId="8250" xr:uid="{08A09846-6097-4D97-990B-7118A1CA34B9}"/>
    <cellStyle name="强调文字颜色 2 25 2" xfId="25990" xr:uid="{1979DB6D-7BE6-4448-A5A5-63A49B3D49B7}"/>
    <cellStyle name="强调文字颜色 2 25 3" xfId="25989" xr:uid="{C4928F66-8E0E-4B02-A527-C3F974E50CA8}"/>
    <cellStyle name="强调文字颜色 2 26" xfId="8252" xr:uid="{9E9B412F-3520-4852-8C46-9F715F4915D6}"/>
    <cellStyle name="强调文字颜色 2 26 2" xfId="25992" xr:uid="{E516D913-81A9-4294-8527-5C29083B6DA6}"/>
    <cellStyle name="强调文字颜色 2 26 3" xfId="25991" xr:uid="{6357824A-8F5D-40FC-A3CC-668530D74FF1}"/>
    <cellStyle name="强调文字颜色 2 27" xfId="8254" xr:uid="{FF38B861-D3DA-4BDB-96B7-4A5A49BDE701}"/>
    <cellStyle name="强调文字颜色 2 27 2" xfId="25994" xr:uid="{04D6FF45-600C-40CE-B90E-1EF89F41DB6E}"/>
    <cellStyle name="强调文字颜色 2 27 3" xfId="25993" xr:uid="{5B66F948-0D27-4B79-BC25-3091A2A0C0A9}"/>
    <cellStyle name="强调文字颜色 2 28" xfId="8256" xr:uid="{D2630260-7C6D-4333-B881-E2B535C31DC4}"/>
    <cellStyle name="强调文字颜色 2 28 2" xfId="25996" xr:uid="{AC278AAB-CA39-4F49-9929-4A0E536F2569}"/>
    <cellStyle name="强调文字颜色 2 28 3" xfId="25995" xr:uid="{463C9704-B6B5-41A8-821C-1F717B6D8891}"/>
    <cellStyle name="强调文字颜色 2 29" xfId="8258" xr:uid="{93308C34-0885-477B-99EA-00A1C397E65F}"/>
    <cellStyle name="强调文字颜色 2 29 2" xfId="25998" xr:uid="{BF0AED68-4701-4B4B-9DD0-DB7591153480}"/>
    <cellStyle name="强调文字颜色 2 29 3" xfId="25997" xr:uid="{E35F7D4F-D04F-44DC-8459-A1F02C751EEC}"/>
    <cellStyle name="强调文字颜色 2 3" xfId="8260" xr:uid="{56345D34-F1AA-487F-A12A-F606997E4BDA}"/>
    <cellStyle name="强调文字颜色 2 3 2" xfId="11501" xr:uid="{8144AD1E-98F9-4BE8-80D4-27EEC6EB7E29}"/>
    <cellStyle name="强调文字颜色 2 3 2 2" xfId="26000" xr:uid="{D41624CB-6746-4E0D-BD29-E85106B5585E}"/>
    <cellStyle name="强调文字颜色 2 3 2 3" xfId="27633" xr:uid="{BD7371E1-7203-4A2F-B33A-321A73F6D7AF}"/>
    <cellStyle name="强调文字颜色 2 3 3" xfId="11502" xr:uid="{1BBFADF2-14CD-404E-9209-C641BD989776}"/>
    <cellStyle name="强调文字颜色 2 3 3 2" xfId="26001" xr:uid="{9A7C8E82-A985-41BA-BC54-38BA77B44832}"/>
    <cellStyle name="强调文字颜色 2 3 3 3" xfId="27634" xr:uid="{659064BB-6DE9-4198-85C9-254524C424BB}"/>
    <cellStyle name="强调文字颜色 2 3 4" xfId="11500" xr:uid="{D8CF61A7-622A-40B4-922D-EA99582624FA}"/>
    <cellStyle name="强调文字颜色 2 3 4 2" xfId="26003" xr:uid="{FD248C49-3461-42DA-B3E9-AB5FDC7B0D93}"/>
    <cellStyle name="强调文字颜色 2 3 4 3" xfId="26002" xr:uid="{C31A2E47-FAB5-46C0-8B94-85EF5E7132B4}"/>
    <cellStyle name="强调文字颜色 2 3 5" xfId="25999" xr:uid="{77DBC6EA-5798-4BC7-91B4-F168FC1CFB88}"/>
    <cellStyle name="强调文字颜色 2 30" xfId="8251" xr:uid="{E045D573-0410-4868-BF57-A0DB0D362532}"/>
    <cellStyle name="强调文字颜色 2 30 2" xfId="26005" xr:uid="{C97513CF-CFE5-4D87-AEA5-98AE421F7940}"/>
    <cellStyle name="强调文字颜色 2 30 3" xfId="26004" xr:uid="{A7606966-8772-4FA8-A249-DF97AF3EC762}"/>
    <cellStyle name="强调文字颜色 2 31" xfId="8253" xr:uid="{46BFDA2F-1B06-47BC-9B52-124C4595CFAE}"/>
    <cellStyle name="强调文字颜色 2 31 2" xfId="26007" xr:uid="{FA53342B-E8D1-4DA3-AB75-493B4E5F83EC}"/>
    <cellStyle name="强调文字颜色 2 31 3" xfId="26006" xr:uid="{07C1A0AE-8821-4C5B-B618-AA3F35C1E38C}"/>
    <cellStyle name="强调文字颜色 2 32" xfId="8255" xr:uid="{E60C3AEF-FB50-482D-BFD9-2EAC831165C5}"/>
    <cellStyle name="强调文字颜色 2 32 2" xfId="26009" xr:uid="{6119DD5C-696F-4DB3-81B6-554FED6674CD}"/>
    <cellStyle name="强调文字颜色 2 32 3" xfId="26008" xr:uid="{D2573634-080A-4CE8-8ADE-912252ACE32E}"/>
    <cellStyle name="强调文字颜色 2 33" xfId="8257" xr:uid="{05164639-944E-4CA7-B28A-9E251D55E306}"/>
    <cellStyle name="强调文字颜色 2 33 2" xfId="26011" xr:uid="{5053F958-ECBD-4ABB-ACAD-3ABC2C3434DD}"/>
    <cellStyle name="强调文字颜色 2 33 3" xfId="26010" xr:uid="{ACF88277-6126-4CD7-87B6-5A36094AE094}"/>
    <cellStyle name="强调文字颜色 2 34" xfId="8259" xr:uid="{73186F4E-D807-426E-B1BF-DBE63A668432}"/>
    <cellStyle name="强调文字颜色 2 34 2" xfId="13829" xr:uid="{52B8858C-1F14-4FC0-99FC-2FD0CECE9AC0}"/>
    <cellStyle name="强调文字颜色 2 34 2 2" xfId="26013" xr:uid="{F0207F1D-533E-4BD1-83A1-C2207FFE9B93}"/>
    <cellStyle name="强调文字颜色 2 34 3" xfId="26012" xr:uid="{287B1919-8D10-4B5B-8CF2-64DDBDAACFA0}"/>
    <cellStyle name="强调文字颜色 2 35" xfId="5701" xr:uid="{E8C0B9F6-CBBA-4162-943D-6C312C93565D}"/>
    <cellStyle name="强调文字颜色 2 35 2" xfId="13830" xr:uid="{D473F0B7-4B93-4A92-8A8F-682684C83FD3}"/>
    <cellStyle name="强调文字颜色 2 35 2 2" xfId="26015" xr:uid="{79F404D0-53FC-4F59-9F1A-05A6AE6BDEAC}"/>
    <cellStyle name="强调文字颜色 2 35 3" xfId="26014" xr:uid="{342196D6-CB6A-4841-BA85-6C5F5B766C4F}"/>
    <cellStyle name="强调文字颜色 2 36" xfId="5704" xr:uid="{C26E4399-D84C-45B3-85BD-1AE1AA122A42}"/>
    <cellStyle name="强调文字颜色 2 36 2" xfId="13831" xr:uid="{1863DEFB-2F97-4AAB-815B-0EFF15AF0FB4}"/>
    <cellStyle name="强调文字颜色 2 36 2 2" xfId="26017" xr:uid="{D92074B1-D60F-4BC4-9DE3-099890D6FDD3}"/>
    <cellStyle name="强调文字颜色 2 36 3" xfId="26016" xr:uid="{35C72335-7F59-4AA0-949C-F789EE650A45}"/>
    <cellStyle name="强调文字颜色 2 37" xfId="5707" xr:uid="{31BC7E5B-6C53-4A66-A694-728CB9A041FA}"/>
    <cellStyle name="强调文字颜色 2 37 2" xfId="13832" xr:uid="{99A3457A-0707-421E-B951-D2B38507B90A}"/>
    <cellStyle name="强调文字颜色 2 37 2 2" xfId="26019" xr:uid="{C2799DED-151A-4A73-BCDF-FE7771DD9C4B}"/>
    <cellStyle name="强调文字颜色 2 37 3" xfId="26018" xr:uid="{629846BC-BC3E-4379-9B0C-91C092117A23}"/>
    <cellStyle name="强调文字颜色 2 38" xfId="7222" xr:uid="{30895E45-578F-4EDF-B578-B066173DBC71}"/>
    <cellStyle name="强调文字颜色 2 38 2" xfId="13833" xr:uid="{B8B3BBEF-5CBA-4C17-9082-90BC03DC2A86}"/>
    <cellStyle name="强调文字颜色 2 38 2 2" xfId="26021" xr:uid="{B74D9B31-C942-4DBF-9675-FBE5793F6B6B}"/>
    <cellStyle name="强调文字颜色 2 38 3" xfId="26020" xr:uid="{AE0BBBB1-EEE1-47D8-8E23-9EA11736C992}"/>
    <cellStyle name="强调文字颜色 2 39" xfId="8261" xr:uid="{B844BC91-85A0-4930-B51F-711C161DC6C1}"/>
    <cellStyle name="强调文字颜色 2 39 2" xfId="13834" xr:uid="{C5641F0A-8603-4EAA-9E33-6BF9D9FA210A}"/>
    <cellStyle name="强调文字颜色 2 39 2 2" xfId="26023" xr:uid="{AF9D0A26-6BC8-44B9-8BAA-19A1958D1B44}"/>
    <cellStyle name="强调文字颜色 2 39 3" xfId="26022" xr:uid="{7B6E9322-6528-4B1C-84EA-87E0A8193262}"/>
    <cellStyle name="强调文字颜色 2 4" xfId="8263" xr:uid="{09CEEB27-A977-46D8-9316-260712067E60}"/>
    <cellStyle name="强调文字颜色 2 4 2" xfId="11504" xr:uid="{DD021183-F200-4397-AD64-D4BFC0F7B5E3}"/>
    <cellStyle name="强调文字颜色 2 4 2 2" xfId="26026" xr:uid="{C7AB72D5-B2FE-4B50-9AA2-CD7DFFA59F6C}"/>
    <cellStyle name="强调文字颜色 2 4 2 3" xfId="26025" xr:uid="{3E697C21-E6AC-442F-A7E4-BE5C9B9C6A45}"/>
    <cellStyle name="强调文字颜色 2 4 3" xfId="11505" xr:uid="{CF8BFA07-A789-4BA8-87B8-FBF01B432224}"/>
    <cellStyle name="强调文字颜色 2 4 3 2" xfId="26028" xr:uid="{1121A4F9-C1B7-4F23-BD83-7E8EB4D0975B}"/>
    <cellStyle name="强调文字颜色 2 4 3 3" xfId="26027" xr:uid="{2602B1EB-45DC-4D4F-82DB-D2D122EB9258}"/>
    <cellStyle name="强调文字颜色 2 4 4" xfId="11503" xr:uid="{DC18408A-EBC9-4510-BC06-8D9D1EE969EC}"/>
    <cellStyle name="强调文字颜色 2 4 5" xfId="26024" xr:uid="{9B5B96B9-B496-4FCB-8D4C-1E56D1C31E1E}"/>
    <cellStyle name="强调文字颜色 2 40" xfId="5702" xr:uid="{D4149E02-9740-4D7B-BA1B-68EEAA646B08}"/>
    <cellStyle name="强调文字颜色 2 40 2" xfId="13835" xr:uid="{F23233C7-3AAB-4ED0-94AC-CDCA132242D2}"/>
    <cellStyle name="强调文字颜色 2 40 2 2" xfId="26030" xr:uid="{81A74E7F-706D-4AEF-96A4-3B5CE8420235}"/>
    <cellStyle name="强调文字颜色 2 40 3" xfId="26029" xr:uid="{4F50BFE2-5325-44C4-900A-EF7487C9770E}"/>
    <cellStyle name="强调文字颜色 2 41" xfId="5705" xr:uid="{3F116026-F4C0-4751-A617-19EBED98EAD3}"/>
    <cellStyle name="强调文字颜色 2 41 2" xfId="13836" xr:uid="{E3C24164-5538-4ABB-8FC0-6AF1B0E9D301}"/>
    <cellStyle name="强调文字颜色 2 41 2 2" xfId="26032" xr:uid="{D54263AE-D9B6-4A2A-AA56-31D54E7D9C5F}"/>
    <cellStyle name="强调文字颜色 2 41 3" xfId="26031" xr:uid="{889C868C-AB0F-4113-A994-1A43BA3BCBA6}"/>
    <cellStyle name="强调文字颜色 2 42" xfId="5708" xr:uid="{223FF78E-6B30-406C-BB98-BA6FC12420F1}"/>
    <cellStyle name="强调文字颜色 2 42 2" xfId="13837" xr:uid="{51E76F49-58FB-41C4-9507-1A1883C17843}"/>
    <cellStyle name="强调文字颜色 2 42 2 2" xfId="26034" xr:uid="{CD813B2F-02E0-4B87-9F2B-D860F677211E}"/>
    <cellStyle name="强调文字颜色 2 42 3" xfId="26033" xr:uid="{AACEB9B4-3F66-4A41-8C16-00B952C09E78}"/>
    <cellStyle name="强调文字颜色 2 43" xfId="7223" xr:uid="{A1A894CA-225F-4E3C-A7C5-9F5B195EBB2A}"/>
    <cellStyle name="强调文字颜色 2 43 2" xfId="13838" xr:uid="{91E63228-B417-443B-A16C-D9C4D3E11656}"/>
    <cellStyle name="强调文字颜色 2 43 2 2" xfId="26036" xr:uid="{EF304271-B88E-4ED5-B173-44DB25466FE0}"/>
    <cellStyle name="强调文字颜色 2 43 3" xfId="26035" xr:uid="{5F4CCB9B-C1D6-4A84-808B-ED5D9DAC7B91}"/>
    <cellStyle name="强调文字颜色 2 44" xfId="8262" xr:uid="{FF65DA31-2F94-4B3A-94D0-5B394E05C2CE}"/>
    <cellStyle name="强调文字颜色 2 44 2" xfId="13839" xr:uid="{2BDD1491-45B1-48DE-BCA3-AC14BD72C525}"/>
    <cellStyle name="强调文字颜色 2 44 2 2" xfId="26038" xr:uid="{C249D6DC-3D1D-4118-A959-C784CF7DABB3}"/>
    <cellStyle name="强调文字颜色 2 44 3" xfId="26037" xr:uid="{9D709B7D-6FAF-43FF-9D87-61348DA46882}"/>
    <cellStyle name="强调文字颜色 2 45" xfId="8264" xr:uid="{53CAEDCB-A98A-4CDC-8975-21A4CBFAF90A}"/>
    <cellStyle name="强调文字颜色 2 45 2" xfId="13840" xr:uid="{0FF66014-21D0-45F3-BCC9-83FD0F5DCC76}"/>
    <cellStyle name="强调文字颜色 2 45 2 2" xfId="26040" xr:uid="{76A5436E-9052-49EF-ABB7-CA5B256B2531}"/>
    <cellStyle name="强调文字颜色 2 45 3" xfId="26039" xr:uid="{EC67A84E-CBD0-4D17-BF67-7DFDE7E3CE9C}"/>
    <cellStyle name="强调文字颜色 2 46" xfId="8266" xr:uid="{EF4C518F-36E2-409A-BF49-410DE5E88514}"/>
    <cellStyle name="强调文字颜色 2 46 2" xfId="13841" xr:uid="{768B2A50-89EC-45A7-AFF7-FF6B52C999EA}"/>
    <cellStyle name="强调文字颜色 2 46 2 2" xfId="26042" xr:uid="{ECDB8F1E-14F1-4726-99FB-17280F3D6A29}"/>
    <cellStyle name="强调文字颜色 2 46 3" xfId="26041" xr:uid="{CCDD5410-53FA-45B6-9260-245C76F54644}"/>
    <cellStyle name="强调文字颜色 2 47" xfId="8268" xr:uid="{150DCDAF-92AB-4F4E-A620-E1A9AE1DD2EC}"/>
    <cellStyle name="强调文字颜色 2 47 2" xfId="13842" xr:uid="{CDB4F79D-8BA0-4989-99FD-716E691874DA}"/>
    <cellStyle name="强调文字颜色 2 47 3" xfId="26043" xr:uid="{906597B9-898A-4539-A39D-C9C71FEB382B}"/>
    <cellStyle name="强调文字颜色 2 48" xfId="8270" xr:uid="{1815CEA4-D5FC-41AB-862A-31AA9300CC29}"/>
    <cellStyle name="强调文字颜色 2 48 2" xfId="13843" xr:uid="{D74C9382-8AE7-4A3F-9051-75A1E370A59A}"/>
    <cellStyle name="强调文字颜色 2 48 3" xfId="26044" xr:uid="{085A5349-95C8-47AE-8E0C-15473F23F9F9}"/>
    <cellStyle name="强调文字颜色 2 49" xfId="8272" xr:uid="{34D00B3E-2FC1-4F36-889D-9FCAE8E17F00}"/>
    <cellStyle name="强调文字颜色 2 49 2" xfId="13844" xr:uid="{14A576EA-1D20-43DD-8C92-C2E307799385}"/>
    <cellStyle name="强调文字颜色 2 49 3" xfId="26045" xr:uid="{68FBEEE1-50FD-4351-83D7-8C483A82DA44}"/>
    <cellStyle name="强调文字颜色 2 5" xfId="8274" xr:uid="{B5AAF390-63A9-4498-8D05-8C6E2D3A4EFA}"/>
    <cellStyle name="强调文字颜色 2 5 2" xfId="11507" xr:uid="{05187D46-B259-4B78-826E-6BD7A9A2F1BE}"/>
    <cellStyle name="强调文字颜色 2 5 2 2" xfId="26048" xr:uid="{36186DEF-68AD-41C0-BA88-BD3C15ABAA3A}"/>
    <cellStyle name="强调文字颜色 2 5 2 3" xfId="26047" xr:uid="{B89ABAC6-EF28-4133-8BC0-F17E15A80084}"/>
    <cellStyle name="强调文字颜色 2 5 3" xfId="11508" xr:uid="{DCF77C80-DBC0-4E52-8F9A-093288966509}"/>
    <cellStyle name="强调文字颜色 2 5 4" xfId="11506" xr:uid="{E2F66594-2890-4936-A021-01BBE27A683D}"/>
    <cellStyle name="强调文字颜色 2 5 5" xfId="26046" xr:uid="{2FD64B4D-2E69-42E2-920D-F73588DE3851}"/>
    <cellStyle name="强调文字颜色 2 50" xfId="8265" xr:uid="{5C3F0C19-EEA3-4527-A8C0-3A7FD8220C03}"/>
    <cellStyle name="强调文字颜色 2 50 2" xfId="13845" xr:uid="{D1EDC8CC-AAEC-4FC4-82DF-946B4A3C0136}"/>
    <cellStyle name="强调文字颜色 2 50 3" xfId="26049" xr:uid="{07D54C7E-9407-4E97-89B5-D8D2313D96FB}"/>
    <cellStyle name="强调文字颜色 2 51" xfId="8267" xr:uid="{268775F3-D1BC-404A-B531-8159E22FEE66}"/>
    <cellStyle name="强调文字颜色 2 51 2" xfId="13846" xr:uid="{86B86A85-014F-4D29-AED2-8347535E4628}"/>
    <cellStyle name="强调文字颜色 2 51 3" xfId="26050" xr:uid="{5941080D-0BFA-4C1D-904A-6329C08C2162}"/>
    <cellStyle name="强调文字颜色 2 52" xfId="8269" xr:uid="{078B60BD-AAF9-4290-BDDA-8CCD1513D560}"/>
    <cellStyle name="强调文字颜色 2 52 2" xfId="13847" xr:uid="{C837E53B-B3A1-49F8-A2CD-BE71880D17BB}"/>
    <cellStyle name="强调文字颜色 2 52 3" xfId="26051" xr:uid="{19C0B445-677B-4410-BBE7-E229D614ADC8}"/>
    <cellStyle name="强调文字颜色 2 53" xfId="8271" xr:uid="{801A0AA5-61C1-4558-988D-5016EFD7B5AE}"/>
    <cellStyle name="强调文字颜色 2 53 2" xfId="13848" xr:uid="{CD236F97-E8B7-4D2B-9656-C95750886ED3}"/>
    <cellStyle name="强调文字颜色 2 53 3" xfId="26052" xr:uid="{FD6EB115-5EFA-4331-8D15-E2EFA0A54A77}"/>
    <cellStyle name="强调文字颜色 2 54" xfId="8273" xr:uid="{341E236C-2A58-48EE-9241-B8A6C4D46C7A}"/>
    <cellStyle name="强调文字颜色 2 54 2" xfId="13849" xr:uid="{409188ED-69DB-444B-A563-A8100706B9EA}"/>
    <cellStyle name="强调文字颜色 2 54 3" xfId="26053" xr:uid="{27904127-FA46-44A4-9FDA-008D9C0AC139}"/>
    <cellStyle name="强调文字颜色 2 55" xfId="8275" xr:uid="{2554CB54-493A-4F6C-AA47-FEE791C7CADB}"/>
    <cellStyle name="强调文字颜色 2 55 2" xfId="13850" xr:uid="{04245B27-76D7-4B48-A3A2-3E71315B129A}"/>
    <cellStyle name="强调文字颜色 2 55 3" xfId="26054" xr:uid="{AB754E84-918F-49F7-A13E-710932A1B687}"/>
    <cellStyle name="强调文字颜色 2 56" xfId="8277" xr:uid="{0B3AAA33-9D38-43BD-92F6-20CD30F3EEC5}"/>
    <cellStyle name="强调文字颜色 2 56 2" xfId="13851" xr:uid="{15392275-4D29-45FD-857D-64FB2648D1F0}"/>
    <cellStyle name="强调文字颜色 2 56 3" xfId="26055" xr:uid="{72EC53F6-78A4-463A-85F2-60B03A066280}"/>
    <cellStyle name="强调文字颜色 2 57" xfId="8279" xr:uid="{007FBC7F-00E1-4B3C-A253-1AB8BE5080E4}"/>
    <cellStyle name="强调文字颜色 2 57 2" xfId="13852" xr:uid="{B534B1F6-3159-4494-881F-23466480BB58}"/>
    <cellStyle name="强调文字颜色 2 58" xfId="8281" xr:uid="{F4FBF345-8F1C-4253-9CCE-6F5E98DC29F3}"/>
    <cellStyle name="强调文字颜色 2 58 2" xfId="13853" xr:uid="{D97A19CC-86F9-46B7-9ED6-B612006D3387}"/>
    <cellStyle name="强调文字颜色 2 59" xfId="8283" xr:uid="{B4111636-D2D3-411C-A84B-06EF63403055}"/>
    <cellStyle name="强调文字颜色 2 59 2" xfId="13854" xr:uid="{1568985B-3F36-4B2C-AC04-6D501753E421}"/>
    <cellStyle name="强调文字颜色 2 6" xfId="8285" xr:uid="{22420E0B-D86A-4464-8FBE-821F914A914E}"/>
    <cellStyle name="强调文字颜色 2 6 2" xfId="8286" xr:uid="{F8E9DEE0-07BE-4E43-BAB1-28C08364F416}"/>
    <cellStyle name="强调文字颜色 2 6 2 2" xfId="11510" xr:uid="{B95268D7-FEF3-47A2-A8F4-7BC4C29B1472}"/>
    <cellStyle name="强调文字颜色 2 6 2 3" xfId="26057" xr:uid="{4F44CE15-B73D-40E3-A9F1-D1C45857E1FB}"/>
    <cellStyle name="强调文字颜色 2 6 3" xfId="11511" xr:uid="{FF0079FE-70D2-49B9-96C6-D3210867BD97}"/>
    <cellStyle name="强调文字颜色 2 6 4" xfId="11509" xr:uid="{D5F0D393-7185-4155-A0AE-CB05FA93FF17}"/>
    <cellStyle name="强调文字颜色 2 6 5" xfId="26056" xr:uid="{41B057E0-5798-41F7-AFAC-110A482C7E2A}"/>
    <cellStyle name="强调文字颜色 2 60" xfId="8276" xr:uid="{E9595AE1-0453-4B4B-A152-1E057420BBF4}"/>
    <cellStyle name="强调文字颜色 2 60 2" xfId="13855" xr:uid="{8E6DAF07-6172-471C-A2D5-45072282D312}"/>
    <cellStyle name="强调文字颜色 2 61" xfId="8278" xr:uid="{CD261AD1-57B5-4A38-82C4-5C3616A2322D}"/>
    <cellStyle name="强调文字颜色 2 61 2" xfId="13856" xr:uid="{CCA9DB00-0F87-4B5F-A240-3D28D83696A7}"/>
    <cellStyle name="强调文字颜色 2 62" xfId="8280" xr:uid="{B469BD07-EE0F-4437-96C1-150B7B0CC73E}"/>
    <cellStyle name="强调文字颜色 2 62 2" xfId="13857" xr:uid="{68EAF4D6-D6D1-412B-8259-841E10D16F0B}"/>
    <cellStyle name="强调文字颜色 2 63" xfId="8282" xr:uid="{DBF8584D-F1BB-4C8E-BD03-249B2EA4BC83}"/>
    <cellStyle name="强调文字颜色 2 63 2" xfId="13858" xr:uid="{4EF815DB-6E35-4684-BE7E-89935A2A48DE}"/>
    <cellStyle name="强调文字颜色 2 64" xfId="8284" xr:uid="{6244D976-9249-4BAF-9FB7-49A224D609AB}"/>
    <cellStyle name="强调文字颜色 2 64 2" xfId="13859" xr:uid="{878F9598-0B58-4AB7-9CC8-F8F6FC2179DA}"/>
    <cellStyle name="强调文字颜色 2 65" xfId="8287" xr:uid="{0CB36A26-CD7A-4BEE-8CF0-156BF721BEA7}"/>
    <cellStyle name="强调文字颜色 2 65 2" xfId="13860" xr:uid="{78BCA2AD-E3E7-4555-9579-BBEEA70A91A8}"/>
    <cellStyle name="强调文字颜色 2 66" xfId="8289" xr:uid="{9C057375-511C-4B79-9379-75A45916D9EA}"/>
    <cellStyle name="强调文字颜色 2 66 2" xfId="13861" xr:uid="{AC80DC3B-6F75-4D94-AF53-329EF365BCF0}"/>
    <cellStyle name="强调文字颜色 2 67" xfId="8291" xr:uid="{ABD0659F-D83A-4C88-AD4A-453E9D62C1B6}"/>
    <cellStyle name="强调文字颜色 2 67 2" xfId="13862" xr:uid="{5B6D6132-D2BD-4267-A205-D2D4F020CB6E}"/>
    <cellStyle name="强调文字颜色 2 68" xfId="8293" xr:uid="{790A2EB1-9D9D-43F3-B7EB-11A1CFBAFCCB}"/>
    <cellStyle name="强调文字颜色 2 68 2" xfId="13863" xr:uid="{B63C1034-9832-42C9-9794-6FAF3692D0B1}"/>
    <cellStyle name="强调文字颜色 2 69" xfId="8295" xr:uid="{B5A2FA2A-ED20-4046-9373-DE5BF9E938E3}"/>
    <cellStyle name="强调文字颜色 2 69 2" xfId="13864" xr:uid="{962CCBF9-6D84-469C-B6E6-8A306ABA3B5F}"/>
    <cellStyle name="强调文字颜色 2 7" xfId="8297" xr:uid="{EBCF609D-6BD2-413F-96A5-A51F1D0D305C}"/>
    <cellStyle name="强调文字颜色 2 7 2" xfId="8298" xr:uid="{CCA08D4F-860B-452C-B43A-45AA39F985FE}"/>
    <cellStyle name="强调文字颜色 2 7 2 2" xfId="11513" xr:uid="{880527E6-A5F3-4026-A579-2E3717D2FE4C}"/>
    <cellStyle name="强调文字颜色 2 7 2 3" xfId="26059" xr:uid="{4E7A240A-CC52-4807-BC64-E737BB3F1609}"/>
    <cellStyle name="强调文字颜色 2 7 3" xfId="11514" xr:uid="{F481535F-86C2-444E-A85E-3663C541D080}"/>
    <cellStyle name="强调文字颜色 2 7 4" xfId="11512" xr:uid="{CEDA24D2-67F6-4A9D-96F7-C2C78411BD70}"/>
    <cellStyle name="强调文字颜色 2 7 5" xfId="26058" xr:uid="{024D110D-DDF7-4E8E-B94A-D8C03FFEB5E6}"/>
    <cellStyle name="强调文字颜色 2 70" xfId="8288" xr:uid="{7C7A124B-7091-4E27-B21E-83D86B80753C}"/>
    <cellStyle name="强调文字颜色 2 70 2" xfId="13865" xr:uid="{984C315B-2A52-406F-860E-077CD3DFF6CA}"/>
    <cellStyle name="强调文字颜色 2 71" xfId="8290" xr:uid="{75A7A2E9-3880-421D-B49C-8837709FB23D}"/>
    <cellStyle name="强调文字颜色 2 71 2" xfId="13866" xr:uid="{F0E3870F-506F-42B1-909C-E5F6B98EAC0B}"/>
    <cellStyle name="强调文字颜色 2 72" xfId="8292" xr:uid="{33FDB70E-5521-4B9C-A1B9-FFCA51656CC7}"/>
    <cellStyle name="强调文字颜色 2 72 2" xfId="13867" xr:uid="{6F02A88B-1D91-42E9-B40A-13CFE82FEADD}"/>
    <cellStyle name="强调文字颜色 2 73" xfId="8294" xr:uid="{73B9303E-4B37-482B-AD67-4E944F4FAD34}"/>
    <cellStyle name="强调文字颜色 2 73 2" xfId="13868" xr:uid="{28A4A699-A041-49E9-A5E7-801092161C15}"/>
    <cellStyle name="强调文字颜色 2 74" xfId="8296" xr:uid="{E7D364CB-ECB1-4B88-95FD-19637B0774D1}"/>
    <cellStyle name="强调文字颜色 2 74 2" xfId="13869" xr:uid="{8E331FDC-B2B6-4CF6-A5D1-B7CE0CD92BFF}"/>
    <cellStyle name="强调文字颜色 2 75" xfId="8299" xr:uid="{C3F61607-3A71-4B56-8165-5B010DCC3672}"/>
    <cellStyle name="强调文字颜色 2 75 2" xfId="13870" xr:uid="{DECBAEE3-4DE0-406F-AA88-8C2AB5F002EA}"/>
    <cellStyle name="强调文字颜色 2 76" xfId="8301" xr:uid="{38294245-F9CA-4076-9D72-619CBF3FFAB2}"/>
    <cellStyle name="强调文字颜色 2 76 2" xfId="13871" xr:uid="{39CD3169-EC25-4C5F-B6CA-0490830AA369}"/>
    <cellStyle name="强调文字颜色 2 77" xfId="8303" xr:uid="{5347321E-631C-4AB4-9582-EA25EC3E986B}"/>
    <cellStyle name="强调文字颜色 2 77 2" xfId="13872" xr:uid="{AA81320B-F862-4393-A9E4-B6A4ACA18560}"/>
    <cellStyle name="强调文字颜色 2 78" xfId="8305" xr:uid="{D2FAB932-FE46-46C8-B131-7D4DA157F2DC}"/>
    <cellStyle name="强调文字颜色 2 78 2" xfId="13873" xr:uid="{2D768578-6DEA-47E8-8D0E-18073EFB1815}"/>
    <cellStyle name="强调文字颜色 2 79" xfId="8307" xr:uid="{942F6434-034B-4D70-BE69-1E899768D2E0}"/>
    <cellStyle name="强调文字颜色 2 79 2" xfId="13874" xr:uid="{5E5FA9DF-C026-49BD-B50C-06EDE3F6C4E4}"/>
    <cellStyle name="强调文字颜色 2 8" xfId="8309" xr:uid="{9E19AE78-77CD-4455-8023-19FFCD58DFC6}"/>
    <cellStyle name="强调文字颜色 2 8 2" xfId="6831" xr:uid="{8927E126-9835-4B80-8504-C75099DDF312}"/>
    <cellStyle name="强调文字颜色 2 8 2 2" xfId="11516" xr:uid="{113AADF1-4C23-4141-89AB-967CB188F376}"/>
    <cellStyle name="强调文字颜色 2 8 2 3" xfId="26061" xr:uid="{4EDC8EA9-334B-470B-98D8-16E2672125E3}"/>
    <cellStyle name="强调文字颜色 2 8 3" xfId="11517" xr:uid="{97F11EC7-A149-45B8-9840-762B582D4147}"/>
    <cellStyle name="强调文字颜色 2 8 4" xfId="11515" xr:uid="{D9D93E29-BFEF-42F8-84CB-BE16DA1969EF}"/>
    <cellStyle name="强调文字颜色 2 8 5" xfId="26060" xr:uid="{28AE4CF2-1950-449E-93D1-0C7EC029BD65}"/>
    <cellStyle name="强调文字颜色 2 80" xfId="8300" xr:uid="{8CCB7751-0952-44EB-A7EB-72175C015ECC}"/>
    <cellStyle name="强调文字颜色 2 80 2" xfId="13875" xr:uid="{ABB9F509-BA55-4382-AC59-59A09117472E}"/>
    <cellStyle name="强调文字颜色 2 81" xfId="8302" xr:uid="{B880DACB-1E5C-47D2-A78C-AB6B40F34407}"/>
    <cellStyle name="强调文字颜色 2 81 2" xfId="13876" xr:uid="{72C087D6-5D36-4D63-A546-84D0C5E5AE86}"/>
    <cellStyle name="强调文字颜色 2 82" xfId="8304" xr:uid="{FA98D31D-D363-4A76-A8F3-17ACD109A4AC}"/>
    <cellStyle name="强调文字颜色 2 82 2" xfId="13877" xr:uid="{B25DFF9F-1D48-4723-ABFE-597CB7F0A2EF}"/>
    <cellStyle name="强调文字颜色 2 83" xfId="8306" xr:uid="{7BEC22D5-3C6E-49DE-8E54-E9A97E2DD518}"/>
    <cellStyle name="强调文字颜色 2 83 2" xfId="13878" xr:uid="{8442EF4D-04E1-42E2-9E2E-E0B64B4D44B7}"/>
    <cellStyle name="强调文字颜色 2 84" xfId="8308" xr:uid="{89E5DCC6-16F8-42F8-BD50-1CC8CC664A2A}"/>
    <cellStyle name="强调文字颜色 2 84 2" xfId="13879" xr:uid="{498F0B48-2409-4712-B76D-48A92DA72D50}"/>
    <cellStyle name="强调文字颜色 2 85" xfId="9340" xr:uid="{2D3B7B9F-9C9A-4A92-9942-8DF87F1D90FA}"/>
    <cellStyle name="强调文字颜色 2 86" xfId="11467" xr:uid="{448014B8-2318-4737-B738-6ABC0C7760B0}"/>
    <cellStyle name="强调文字颜色 2 87" xfId="13569" xr:uid="{F3B3CB5F-C0AE-48AA-B098-DED28EF28C60}"/>
    <cellStyle name="强调文字颜色 2 88" xfId="27170" xr:uid="{88D01BE5-1B0C-4B35-8DB8-3891FBD06162}"/>
    <cellStyle name="强调文字颜色 2 89" xfId="27192" xr:uid="{2A73BC7E-B416-40C4-9DBD-88DEDFE104CE}"/>
    <cellStyle name="强调文字颜色 2 9" xfId="8310" xr:uid="{32536C68-5CEF-4339-BDDE-A33CB6FE27C1}"/>
    <cellStyle name="强调文字颜色 2 9 2" xfId="11519" xr:uid="{99DB1585-9360-4BF4-8D49-E7D304110AC1}"/>
    <cellStyle name="强调文字颜色 2 9 2 2" xfId="26064" xr:uid="{C31A35F3-D176-4EF0-BE83-E5D835B47EFC}"/>
    <cellStyle name="强调文字颜色 2 9 2 3" xfId="26063" xr:uid="{85C3C11D-8355-4BDB-ABD8-5CB76EC17E27}"/>
    <cellStyle name="强调文字颜色 2 9 3" xfId="11520" xr:uid="{B2A77570-B953-4E9D-8A86-FF57F4959D3D}"/>
    <cellStyle name="强调文字颜色 2 9 4" xfId="11518" xr:uid="{44F3B282-004E-48A3-B544-8A9A3305862D}"/>
    <cellStyle name="强调文字颜色 2 9 5" xfId="26062" xr:uid="{0EE34A66-6003-4168-AEF8-D3429741B477}"/>
    <cellStyle name="强调文字颜色 2 90" xfId="27191" xr:uid="{CBDD9896-B41E-41F9-9828-1B728051D8CE}"/>
    <cellStyle name="强调文字颜色 3" xfId="8054" xr:uid="{8C8EF46C-F733-4695-94BD-F27BA25C1763}"/>
    <cellStyle name="强调文字颜色 3 10" xfId="8311" xr:uid="{F6535A0A-FD79-49FA-84E8-6313576264CE}"/>
    <cellStyle name="强调文字颜色 3 10 2" xfId="11523" xr:uid="{D115126D-EF37-41C0-97FC-B84C98B97CAA}"/>
    <cellStyle name="强调文字颜色 3 10 2 2" xfId="26067" xr:uid="{7CFD45D1-BF85-4179-BB18-F35FE96761E1}"/>
    <cellStyle name="强调文字颜色 3 10 2 3" xfId="26066" xr:uid="{5938DDF4-4048-448D-88C2-50BBE89CEC39}"/>
    <cellStyle name="强调文字颜色 3 10 3" xfId="11524" xr:uid="{5138FC8A-F18F-44FA-805E-2B6F78B50D24}"/>
    <cellStyle name="强调文字颜色 3 10 4" xfId="11522" xr:uid="{6EF34679-7667-4093-9FB7-DA399EDB8F91}"/>
    <cellStyle name="强调文字颜色 3 10 5" xfId="26065" xr:uid="{EFC01639-1FBB-4D35-BE7C-D3916C765CDD}"/>
    <cellStyle name="强调文字颜色 3 11" xfId="8312" xr:uid="{5299E6F5-23C4-4388-828D-3357B11EB264}"/>
    <cellStyle name="强调文字颜色 3 11 2" xfId="11526" xr:uid="{63D62DBD-666D-4F59-B4C8-971C5A7D49E3}"/>
    <cellStyle name="强调文字颜色 3 11 2 2" xfId="26070" xr:uid="{531255FC-E780-435B-8C0A-3754165EAD88}"/>
    <cellStyle name="强调文字颜色 3 11 2 3" xfId="26069" xr:uid="{4B79C020-544C-4CBE-84B9-F3408F279968}"/>
    <cellStyle name="强调文字颜色 3 11 3" xfId="11527" xr:uid="{5FC9D564-EB19-427F-BB82-34030445048C}"/>
    <cellStyle name="强调文字颜色 3 11 4" xfId="11525" xr:uid="{26CB0359-213D-42A6-B7D2-232A4404522B}"/>
    <cellStyle name="强调文字颜色 3 11 5" xfId="26068" xr:uid="{23BFB8F7-B09D-4245-9266-BA694E6BC536}"/>
    <cellStyle name="强调文字颜色 3 12" xfId="8313" xr:uid="{5A3C668B-84D9-4D5F-8E9C-01A725CECB3E}"/>
    <cellStyle name="强调文字颜色 3 12 2" xfId="11529" xr:uid="{2A4626C8-672F-4AE5-A10D-8260AADD704B}"/>
    <cellStyle name="强调文字颜色 3 12 2 2" xfId="26073" xr:uid="{9F4A4DB9-E5EF-474A-A541-1E59CA9E5F51}"/>
    <cellStyle name="强调文字颜色 3 12 2 3" xfId="26072" xr:uid="{427B170E-5790-4974-8C80-EF07A35B8105}"/>
    <cellStyle name="强调文字颜色 3 12 3" xfId="11530" xr:uid="{25EFB480-FF9E-4382-97E2-84489D87F7D0}"/>
    <cellStyle name="强调文字颜色 3 12 4" xfId="11528" xr:uid="{85396021-3271-4E7B-A5C7-3D4921AF48C2}"/>
    <cellStyle name="强调文字颜色 3 12 5" xfId="26071" xr:uid="{FF78F30D-9504-4EC9-A956-703AD44007B2}"/>
    <cellStyle name="强调文字颜色 3 13" xfId="1322" xr:uid="{33CEF7C5-10C5-4BC8-8A1B-6128E3D563A2}"/>
    <cellStyle name="强调文字颜色 3 13 2" xfId="11532" xr:uid="{0E6AC71F-A260-46F2-98A1-AEB41E109DDF}"/>
    <cellStyle name="强调文字颜色 3 13 2 2" xfId="26075" xr:uid="{708B9CD1-E27C-4918-96C1-AA339B98CE85}"/>
    <cellStyle name="强调文字颜色 3 13 3" xfId="11533" xr:uid="{0B732B69-5109-460D-9893-E7B4567E9A4F}"/>
    <cellStyle name="强调文字颜色 3 13 4" xfId="11531" xr:uid="{E3126908-D6C8-4BE8-A301-C4C5E359CF8D}"/>
    <cellStyle name="强调文字颜色 3 13 5" xfId="26074" xr:uid="{694F2215-655C-4A44-8B23-4EAEE9255444}"/>
    <cellStyle name="强调文字颜色 3 14" xfId="8314" xr:uid="{92556F27-8DAC-408B-87EC-04208EFEDEE8}"/>
    <cellStyle name="强调文字颜色 3 14 2" xfId="11535" xr:uid="{0B0626F8-1BF5-45A5-BEEC-9CE9224A9B40}"/>
    <cellStyle name="强调文字颜色 3 14 2 2" xfId="26077" xr:uid="{1CC5CC17-70EF-453B-BF1F-62C792B307E9}"/>
    <cellStyle name="强调文字颜色 3 14 3" xfId="11536" xr:uid="{ED253899-7154-433F-83C2-BE37D72F9552}"/>
    <cellStyle name="强调文字颜色 3 14 4" xfId="11534" xr:uid="{941A49D4-4A35-490A-9F05-B5F4C7DD8D42}"/>
    <cellStyle name="强调文字颜色 3 14 5" xfId="26076" xr:uid="{C46F532E-024D-4DAE-969D-1E563E17136D}"/>
    <cellStyle name="强调文字颜色 3 15" xfId="8315" xr:uid="{05F8351F-F0A3-4C57-A1EA-0F4DAC567787}"/>
    <cellStyle name="强调文字颜色 3 15 2" xfId="11538" xr:uid="{9D33F34F-4440-4214-BF80-71C66E58896E}"/>
    <cellStyle name="强调文字颜色 3 15 2 2" xfId="26079" xr:uid="{13513F2F-A123-4DFD-AAF2-5B0136468FD7}"/>
    <cellStyle name="强调文字颜色 3 15 3" xfId="11539" xr:uid="{81734902-85CD-41B7-89ED-7AAD1DDFE8D9}"/>
    <cellStyle name="强调文字颜色 3 15 4" xfId="11537" xr:uid="{9DE5DDEA-3564-41B8-8504-9EFE1AF286EF}"/>
    <cellStyle name="强调文字颜色 3 15 5" xfId="26078" xr:uid="{B228D5B9-483F-4B03-B84A-144B0809EFE8}"/>
    <cellStyle name="强调文字颜色 3 16" xfId="8317" xr:uid="{6C41988D-5FCA-47CC-9A23-27C1F72B3080}"/>
    <cellStyle name="强调文字颜色 3 16 2" xfId="11541" xr:uid="{3AC5F068-BFC1-436E-B590-66F62CAAACA2}"/>
    <cellStyle name="强调文字颜色 3 16 2 2" xfId="26081" xr:uid="{97D15C99-2067-4B9D-83BD-F6FED9743F65}"/>
    <cellStyle name="强调文字颜色 3 16 3" xfId="11542" xr:uid="{6957A761-B721-4F22-ACC2-CD61B687914C}"/>
    <cellStyle name="强调文字颜色 3 16 4" xfId="11540" xr:uid="{CA16ABA9-3C44-4603-B3B5-DFE529C23A73}"/>
    <cellStyle name="强调文字颜色 3 16 5" xfId="26080" xr:uid="{B6E2ECB2-DFFA-4900-B118-9EE869AD35E9}"/>
    <cellStyle name="强调文字颜色 3 17" xfId="8319" xr:uid="{5562B5B0-60D4-4180-AA53-3AF113B8D797}"/>
    <cellStyle name="强调文字颜色 3 17 2" xfId="11544" xr:uid="{8DBD7242-B1F2-48A2-AC36-79B8DB101B00}"/>
    <cellStyle name="强调文字颜色 3 17 2 2" xfId="26083" xr:uid="{76EFFC3E-4797-421B-B160-69F77728B606}"/>
    <cellStyle name="强调文字颜色 3 17 3" xfId="11545" xr:uid="{9128B925-D6AD-4E41-AB57-7767FF26C27D}"/>
    <cellStyle name="强调文字颜色 3 17 4" xfId="11543" xr:uid="{D63C8559-CF44-448E-ABFF-1561C52B2F85}"/>
    <cellStyle name="强调文字颜色 3 17 5" xfId="26082" xr:uid="{A33EFAD1-A932-490B-B3E6-7CB68FC42AC5}"/>
    <cellStyle name="强调文字颜色 3 18" xfId="8321" xr:uid="{B3009A16-F7A6-44E0-8893-F3E360FDFE6D}"/>
    <cellStyle name="强调文字颜色 3 18 2" xfId="11546" xr:uid="{76BCA20A-BF0E-4438-91E8-A22E93BAFF01}"/>
    <cellStyle name="强调文字颜色 3 18 2 2" xfId="26085" xr:uid="{AF247696-2940-41BC-8484-399F8B277E8F}"/>
    <cellStyle name="强调文字颜色 3 18 3" xfId="26084" xr:uid="{89FC328C-61D5-4201-8963-F8B6FF938A18}"/>
    <cellStyle name="强调文字颜色 3 19" xfId="8323" xr:uid="{0131781C-E084-493C-8B3C-634E4FB3F818}"/>
    <cellStyle name="强调文字颜色 3 19 2" xfId="11547" xr:uid="{4A89B288-2D2B-4846-860E-877FA9707B08}"/>
    <cellStyle name="强调文字颜色 3 19 2 2" xfId="26087" xr:uid="{CB017744-49C9-40EC-BE95-DABDE33ADC96}"/>
    <cellStyle name="强调文字颜色 3 19 3" xfId="26086" xr:uid="{3F4F164B-B7AB-43EC-ADB8-2586221B530F}"/>
    <cellStyle name="强调文字颜色 3 2" xfId="8056" xr:uid="{4560E3FC-AD43-4A9B-8900-4D832ABE8ED8}"/>
    <cellStyle name="强调文字颜色 3 2 10" xfId="8325" xr:uid="{8264F007-33CF-4BE1-9E1F-BF40F469B4C9}"/>
    <cellStyle name="强调文字颜色 3 2 11" xfId="8326" xr:uid="{F1C30B91-81C1-4F12-A305-0FD005B37114}"/>
    <cellStyle name="强调文字颜色 3 2 12" xfId="8327" xr:uid="{574FA1C8-8D0D-4CD0-B3EE-EBBF5C305D7A}"/>
    <cellStyle name="强调文字颜色 3 2 13" xfId="8328" xr:uid="{A4FC599E-2FDA-49BC-9422-B92B9FDA804E}"/>
    <cellStyle name="强调文字颜色 3 2 14" xfId="8329" xr:uid="{C435F756-2BBA-41DC-AD51-829A951FBBE0}"/>
    <cellStyle name="强调文字颜色 3 2 15" xfId="11548" xr:uid="{A925DE1D-DDF6-4674-A92B-7B81DE936DE4}"/>
    <cellStyle name="强调文字颜色 3 2 16" xfId="12126" xr:uid="{FE34D202-B55B-499C-AB48-BFAC33CD44B3}"/>
    <cellStyle name="强调文字颜色 3 2 2" xfId="8330" xr:uid="{CBC59A7A-D07F-4FAB-A8EC-A0B38FF47365}"/>
    <cellStyle name="强调文字颜色 3 2 2 2" xfId="11549" xr:uid="{F71EDABB-0B27-4825-83E6-9B94F10D151C}"/>
    <cellStyle name="强调文字颜色 3 2 2 2 2" xfId="26089" xr:uid="{42EA72CE-7416-4760-8E52-B5FF33F0E6C4}"/>
    <cellStyle name="强调文字颜色 3 2 2 3" xfId="26088" xr:uid="{581D8315-649E-43E5-858E-EBFAFDE1C204}"/>
    <cellStyle name="强调文字颜色 3 2 2 4" xfId="27635" xr:uid="{D0E7EF3F-9533-4B70-BCDB-BB65D3F67384}"/>
    <cellStyle name="强调文字颜色 3 2 3" xfId="8331" xr:uid="{786A93C6-6E9C-4B44-9F18-1CADC7C38A14}"/>
    <cellStyle name="强调文字颜色 3 2 3 2" xfId="11550" xr:uid="{1A8A8536-52C0-4E89-97BB-BAB7016156AE}"/>
    <cellStyle name="强调文字颜色 3 2 3 3" xfId="26090" xr:uid="{B01EAC85-9540-4C26-B2B4-49A0EF2BC339}"/>
    <cellStyle name="强调文字颜色 3 2 3 4" xfId="27636" xr:uid="{041DDC92-86E5-4A76-AD39-CB32ADC01F88}"/>
    <cellStyle name="强调文字颜色 3 2 4" xfId="8332" xr:uid="{9219AF14-A595-4AC3-BFF2-07AC47B6249E}"/>
    <cellStyle name="强调文字颜色 3 2 4 2" xfId="26092" xr:uid="{2DF03E0F-CE86-4BD4-9C19-BB7E03029466}"/>
    <cellStyle name="强调文字颜色 3 2 4 3" xfId="26091" xr:uid="{E4FAAB99-43DC-4AC7-AEC7-FF8687BF1CCD}"/>
    <cellStyle name="强调文字颜色 3 2 5" xfId="8333" xr:uid="{22579D49-174F-4CB8-87E8-B1AB33C3E62C}"/>
    <cellStyle name="强调文字颜色 3 2 5 2" xfId="26093" xr:uid="{9A766FB1-DD2B-47FD-A461-BDBB0C375688}"/>
    <cellStyle name="强调文字颜色 3 2 6" xfId="8334" xr:uid="{6AD8AAF3-5540-471C-BE22-20B94BA6EF94}"/>
    <cellStyle name="强调文字颜色 3 2 6 2" xfId="26094" xr:uid="{01D63C1B-024D-4C76-B3EC-15F0CDF9C46F}"/>
    <cellStyle name="强调文字颜色 3 2 7" xfId="8335" xr:uid="{AA4B8E25-EAEC-4665-9FF2-798594A15C9A}"/>
    <cellStyle name="强调文字颜色 3 2 8" xfId="8336" xr:uid="{A1E9D498-FEFC-47F9-9374-9437C05706E6}"/>
    <cellStyle name="强调文字颜色 3 2 9" xfId="8337" xr:uid="{215B630D-CDE6-40C0-BA1F-230CF4BA65CA}"/>
    <cellStyle name="强调文字颜色 3 2_动力部" xfId="26095" xr:uid="{C2856A2C-96E6-4FA5-8791-AC9AACB5DEFE}"/>
    <cellStyle name="强调文字颜色 3 20" xfId="8316" xr:uid="{DDEA3337-1136-4455-ABD7-BAFBBB90731D}"/>
    <cellStyle name="强调文字颜色 3 20 2" xfId="11551" xr:uid="{817E22C5-6713-49FF-A10E-FBFA99013B57}"/>
    <cellStyle name="强调文字颜色 3 20 2 2" xfId="26097" xr:uid="{D44815FB-8E92-402E-A0BF-70E56AD4A783}"/>
    <cellStyle name="强调文字颜色 3 20 3" xfId="26096" xr:uid="{60CDE769-A089-4576-92A0-707ECED0292D}"/>
    <cellStyle name="强调文字颜色 3 21" xfId="8318" xr:uid="{7E9A348E-AB80-4F39-892A-8E04AD097676}"/>
    <cellStyle name="强调文字颜色 3 21 2" xfId="11552" xr:uid="{035EFD21-FA82-4A46-B999-700FCE2F246D}"/>
    <cellStyle name="强调文字颜色 3 21 2 2" xfId="26099" xr:uid="{71DA760B-BB13-4D9C-96D8-9E868B347941}"/>
    <cellStyle name="强调文字颜色 3 21 3" xfId="26098" xr:uid="{F864944A-F03D-4B53-91F1-D7599536AB81}"/>
    <cellStyle name="强调文字颜色 3 22" xfId="8320" xr:uid="{EE09DA15-BC55-41E4-AF14-7B5D044A0B41}"/>
    <cellStyle name="强调文字颜色 3 22 2" xfId="11553" xr:uid="{7178C290-5132-43E1-86A6-1BD3CFBF86C2}"/>
    <cellStyle name="强调文字颜色 3 22 2 2" xfId="26101" xr:uid="{E23A3F8F-63B3-410A-8E74-DBD09E176741}"/>
    <cellStyle name="强调文字颜色 3 22 3" xfId="26100" xr:uid="{74B47C29-7B3F-43D9-BA2C-63B29BF85944}"/>
    <cellStyle name="强调文字颜色 3 23" xfId="8322" xr:uid="{7024BE2D-DBCE-4F78-97E5-8889979068EF}"/>
    <cellStyle name="强调文字颜色 3 23 2" xfId="26103" xr:uid="{4DEE92C1-F1F4-47CC-B9D8-68DD710346C5}"/>
    <cellStyle name="强调文字颜色 3 23 3" xfId="26102" xr:uid="{494AB24B-54F2-4F66-8039-E3E5DAD9E295}"/>
    <cellStyle name="强调文字颜色 3 24" xfId="8324" xr:uid="{F6049D04-2F48-4771-89EE-3A286FA6BDFE}"/>
    <cellStyle name="强调文字颜色 3 24 2" xfId="26105" xr:uid="{AA26F190-80FD-4915-AB1C-3CEE0FD85087}"/>
    <cellStyle name="强调文字颜色 3 24 3" xfId="26104" xr:uid="{2AA5C21F-6F8B-4C3B-A960-87345CD70388}"/>
    <cellStyle name="强调文字颜色 3 25" xfId="8338" xr:uid="{D2332600-8958-4105-A7BA-FE13A1CD40A8}"/>
    <cellStyle name="强调文字颜色 3 25 2" xfId="26107" xr:uid="{09483C96-7960-4673-B7F7-1EB9F9418C2B}"/>
    <cellStyle name="强调文字颜色 3 25 3" xfId="26106" xr:uid="{785842F5-26A4-41E2-AAD2-2FD961102CEF}"/>
    <cellStyle name="强调文字颜色 3 26" xfId="8340" xr:uid="{7AFED688-2B28-4DC4-A8EF-87B993A1E87D}"/>
    <cellStyle name="强调文字颜色 3 26 2" xfId="26109" xr:uid="{71615FF9-1F87-4E3F-B71C-1DC4B27DE6E9}"/>
    <cellStyle name="强调文字颜色 3 26 3" xfId="26108" xr:uid="{99B468D2-1656-4471-9FE2-FE8C2D98F84B}"/>
    <cellStyle name="强调文字颜色 3 27" xfId="8342" xr:uid="{A0C50330-DE8E-493D-BD5D-9256F47275E4}"/>
    <cellStyle name="强调文字颜色 3 27 2" xfId="26111" xr:uid="{81D6D57C-FF06-48FA-97AD-BF95143E992A}"/>
    <cellStyle name="强调文字颜色 3 27 3" xfId="26110" xr:uid="{D2B5E2A5-4969-48B1-A365-48331B75BAC1}"/>
    <cellStyle name="强调文字颜色 3 28" xfId="8344" xr:uid="{77709D6C-9620-440E-BC0F-EE3C32331A49}"/>
    <cellStyle name="强调文字颜色 3 28 2" xfId="26113" xr:uid="{C7AB6000-237E-4B8F-B647-76D665C3D08A}"/>
    <cellStyle name="强调文字颜色 3 28 3" xfId="26112" xr:uid="{7F3DC015-F04F-41D7-94F1-8F6F3D7E87B0}"/>
    <cellStyle name="强调文字颜色 3 29" xfId="65" xr:uid="{23C880A1-4A94-4D1A-B59C-979678EDEB35}"/>
    <cellStyle name="强调文字颜色 3 29 2" xfId="26115" xr:uid="{CC39C790-7CED-4AD8-9245-E2EB2B657C00}"/>
    <cellStyle name="强调文字颜色 3 29 3" xfId="26114" xr:uid="{16AD40C9-ED81-4780-A4D1-28AD45C6327E}"/>
    <cellStyle name="强调文字颜色 3 3" xfId="8346" xr:uid="{CAFC5980-AA61-4554-96E6-E88107C9BDA1}"/>
    <cellStyle name="强调文字颜色 3 3 2" xfId="11555" xr:uid="{B2D8D4A4-030C-4D85-8654-DF7BF86333A4}"/>
    <cellStyle name="强调文字颜色 3 3 2 2" xfId="26117" xr:uid="{270D4B17-8DB2-436C-AFF9-71732B24407D}"/>
    <cellStyle name="强调文字颜色 3 3 2 3" xfId="27637" xr:uid="{5D910A64-0F21-4381-A35A-C75BE9B2B208}"/>
    <cellStyle name="强调文字颜色 3 3 3" xfId="11556" xr:uid="{2422378D-AA5C-4B1B-90F5-9986BDF957B3}"/>
    <cellStyle name="强调文字颜色 3 3 3 2" xfId="26118" xr:uid="{D6FC4B3C-DC40-49A7-815E-7833754190B6}"/>
    <cellStyle name="强调文字颜色 3 3 3 3" xfId="27638" xr:uid="{78933FD7-02C8-4B80-9ECD-8E386468843E}"/>
    <cellStyle name="强调文字颜色 3 3 4" xfId="11554" xr:uid="{496F82B4-26AF-480B-87DC-315A89CE07C1}"/>
    <cellStyle name="强调文字颜色 3 3 4 2" xfId="26120" xr:uid="{23677E37-C62B-4BF5-B91C-842F71446EAB}"/>
    <cellStyle name="强调文字颜色 3 3 4 3" xfId="26119" xr:uid="{3B712EBD-EAC8-42C6-A5DF-F667DE6E4242}"/>
    <cellStyle name="强调文字颜色 3 3 5" xfId="26116" xr:uid="{7F4E33E2-7E90-41D8-962A-E5C71B86FCF3}"/>
    <cellStyle name="强调文字颜色 3 30" xfId="8339" xr:uid="{EBF82BC2-B464-4DB3-B1AB-5D487DE15739}"/>
    <cellStyle name="强调文字颜色 3 30 2" xfId="26122" xr:uid="{808A22D7-E279-41FB-8BFC-3029F21869C6}"/>
    <cellStyle name="强调文字颜色 3 30 3" xfId="26121" xr:uid="{0AF3DFD7-388E-4EDF-931A-6AE6FB299B02}"/>
    <cellStyle name="强调文字颜色 3 31" xfId="8341" xr:uid="{473858A7-0C6E-41C3-8C31-C99EB13E956E}"/>
    <cellStyle name="强调文字颜色 3 31 2" xfId="26124" xr:uid="{214C5196-8512-4FE1-BAFA-548F4293FE9E}"/>
    <cellStyle name="强调文字颜色 3 31 3" xfId="26123" xr:uid="{09C584F9-B43D-4E11-B0A5-D0ADC8AE979D}"/>
    <cellStyle name="强调文字颜色 3 32" xfId="8343" xr:uid="{EE453DF3-7468-4F68-802B-E73B6B38339D}"/>
    <cellStyle name="强调文字颜色 3 32 2" xfId="26126" xr:uid="{DE9601E5-A992-495C-8757-C65B196E7A8A}"/>
    <cellStyle name="强调文字颜色 3 32 3" xfId="26125" xr:uid="{838CA3F2-4B30-475E-A4A5-75C3F7BA6907}"/>
    <cellStyle name="强调文字颜色 3 33" xfId="8345" xr:uid="{322A7B7A-6CE7-4469-B679-22C61B75E6C7}"/>
    <cellStyle name="强调文字颜色 3 33 2" xfId="26128" xr:uid="{37AFAB4C-2335-4BF5-BF14-65881890DF14}"/>
    <cellStyle name="强调文字颜色 3 33 3" xfId="26127" xr:uid="{9E330C7D-503B-45D0-829C-10343DDDBE6C}"/>
    <cellStyle name="强调文字颜色 3 34" xfId="64" xr:uid="{92366452-40EE-487F-A1D1-2C1B86323693}"/>
    <cellStyle name="强调文字颜色 3 34 2" xfId="13880" xr:uid="{BD351743-3FFB-49FC-9789-83A024AF9C51}"/>
    <cellStyle name="强调文字颜色 3 34 2 2" xfId="26130" xr:uid="{724561F0-FB0F-4F15-AEF1-A03333B3FBDF}"/>
    <cellStyle name="强调文字颜色 3 34 3" xfId="26129" xr:uid="{9D86B81D-AFB5-41EE-8B0A-E4506F651F92}"/>
    <cellStyle name="强调文字颜色 3 35" xfId="8347" xr:uid="{E6481BF9-E216-45B9-92CF-F1057B3D3A6A}"/>
    <cellStyle name="强调文字颜色 3 35 2" xfId="13881" xr:uid="{FDDE2A83-EECA-4198-A6C4-5524777337A5}"/>
    <cellStyle name="强调文字颜色 3 35 2 2" xfId="26132" xr:uid="{B3949ACC-38FC-4221-9719-39B5EDB4B896}"/>
    <cellStyle name="强调文字颜色 3 35 3" xfId="26131" xr:uid="{C6C56831-706D-421D-AA5B-A28A5BE4D17A}"/>
    <cellStyle name="强调文字颜色 3 36" xfId="8349" xr:uid="{20AF0086-D8F3-4547-90F5-33EDC6375079}"/>
    <cellStyle name="强调文字颜色 3 36 2" xfId="13882" xr:uid="{AD43138D-8AE7-457B-B01A-83F7B8FE9D6D}"/>
    <cellStyle name="强调文字颜色 3 36 2 2" xfId="26134" xr:uid="{FE2C6F16-D17B-461C-9CD9-8BB2A83FAC6B}"/>
    <cellStyle name="强调文字颜色 3 36 3" xfId="26133" xr:uid="{7BAA0AD3-B833-4CA9-AFB8-462F3E59F3D8}"/>
    <cellStyle name="强调文字颜色 3 37" xfId="8351" xr:uid="{27D930D2-6E73-4863-9E59-2C1540410C17}"/>
    <cellStyle name="强调文字颜色 3 37 2" xfId="13883" xr:uid="{F0C2F97B-4B3E-4497-8204-1D6FDD9ABE66}"/>
    <cellStyle name="强调文字颜色 3 37 2 2" xfId="26136" xr:uid="{261DA0FA-4697-47DE-B4DF-80C3DD272DC1}"/>
    <cellStyle name="强调文字颜色 3 37 3" xfId="26135" xr:uid="{51455479-2C09-4A38-BF62-8ABA9BF32927}"/>
    <cellStyle name="强调文字颜色 3 38" xfId="8353" xr:uid="{884B1345-910A-425D-973F-AF6C3FFD3913}"/>
    <cellStyle name="强调文字颜色 3 38 2" xfId="13884" xr:uid="{1517794D-99BA-4D2A-8967-8FD2B54620A7}"/>
    <cellStyle name="强调文字颜色 3 38 2 2" xfId="26138" xr:uid="{4F5247A5-B344-4A3C-AA69-290515504B28}"/>
    <cellStyle name="强调文字颜色 3 38 3" xfId="26137" xr:uid="{88CC29DB-BCF3-4EAA-9B68-A221B335F733}"/>
    <cellStyle name="强调文字颜色 3 39" xfId="8355" xr:uid="{0A7ACCD2-3E13-411B-A908-5DB7ABF7FF8A}"/>
    <cellStyle name="强调文字颜色 3 39 2" xfId="13885" xr:uid="{A0788BE1-B7AC-420C-9C02-60D60DC5658C}"/>
    <cellStyle name="强调文字颜色 3 39 2 2" xfId="26140" xr:uid="{72EE0CBE-8371-4B75-B650-ABD99B294FB2}"/>
    <cellStyle name="强调文字颜色 3 39 3" xfId="26139" xr:uid="{F0EA0DF5-E1FA-4443-8B35-636A9183794F}"/>
    <cellStyle name="强调文字颜色 3 4" xfId="8357" xr:uid="{D86F5410-1069-43E3-98A2-B8783F26ACAE}"/>
    <cellStyle name="强调文字颜色 3 4 2" xfId="11558" xr:uid="{EE5647A1-5DE4-499F-B8CA-0D75ADDE94B0}"/>
    <cellStyle name="强调文字颜色 3 4 2 2" xfId="26143" xr:uid="{2AF0E584-CD68-40A2-AA9E-2273862000AD}"/>
    <cellStyle name="强调文字颜色 3 4 2 3" xfId="26142" xr:uid="{0E1A49A0-DA0B-49D8-80EF-4029FB9654CD}"/>
    <cellStyle name="强调文字颜色 3 4 3" xfId="11559" xr:uid="{F2D1C39B-D4F1-4485-947A-4197A2057AC1}"/>
    <cellStyle name="强调文字颜色 3 4 3 2" xfId="26145" xr:uid="{3BAF434B-0DD4-420E-814B-94840A7D7C2D}"/>
    <cellStyle name="强调文字颜色 3 4 3 3" xfId="26144" xr:uid="{967DCA6F-FECD-48CE-8439-3174326CF52A}"/>
    <cellStyle name="强调文字颜色 3 4 4" xfId="11557" xr:uid="{5E482E56-4057-4342-9DEE-2A593888F122}"/>
    <cellStyle name="强调文字颜色 3 4 5" xfId="26141" xr:uid="{5E8D296B-0F9D-43B0-9122-DEE8A4D242B9}"/>
    <cellStyle name="强调文字颜色 3 40" xfId="8348" xr:uid="{3B0834A7-8458-461E-BEBE-F35D2B5BF6DD}"/>
    <cellStyle name="强调文字颜色 3 40 2" xfId="13886" xr:uid="{BC61FDF9-09A5-46EC-89D8-8B42FFB0FC5F}"/>
    <cellStyle name="强调文字颜色 3 40 2 2" xfId="26147" xr:uid="{6A5E356C-B96B-460D-A9E1-B76882C37E03}"/>
    <cellStyle name="强调文字颜色 3 40 3" xfId="26146" xr:uid="{244F8FA2-9169-4DF9-B79C-A38EFFF1E9B7}"/>
    <cellStyle name="强调文字颜色 3 41" xfId="8350" xr:uid="{7A4BF923-9F83-4330-BDF0-434BC8557466}"/>
    <cellStyle name="强调文字颜色 3 41 2" xfId="13887" xr:uid="{AD03C538-29F8-49D6-BE38-396AE19924DA}"/>
    <cellStyle name="强调文字颜色 3 41 2 2" xfId="26149" xr:uid="{143C17F7-92B0-4D63-9746-A219A65DCD06}"/>
    <cellStyle name="强调文字颜色 3 41 3" xfId="26148" xr:uid="{9D458CBB-9EF6-4DAB-8A4F-069B2ADE6941}"/>
    <cellStyle name="强调文字颜色 3 42" xfId="8352" xr:uid="{71E3D389-38E6-4E4D-A413-A26F0815F5D9}"/>
    <cellStyle name="强调文字颜色 3 42 2" xfId="13888" xr:uid="{954F395F-D4E6-4404-AA85-EFA50D56C711}"/>
    <cellStyle name="强调文字颜色 3 42 2 2" xfId="26151" xr:uid="{80C70B07-E48F-4939-8FEA-3BB79010E4D3}"/>
    <cellStyle name="强调文字颜色 3 42 3" xfId="26150" xr:uid="{14467CA7-C792-4FEE-80FD-73172F13BDD5}"/>
    <cellStyle name="强调文字颜色 3 43" xfId="8354" xr:uid="{87D3B578-8EDF-4FE6-8B9C-AD738E7D64E6}"/>
    <cellStyle name="强调文字颜色 3 43 2" xfId="13889" xr:uid="{DE98E7D2-89B6-4E46-AF71-E8CD3DF447B3}"/>
    <cellStyle name="强调文字颜色 3 43 2 2" xfId="26153" xr:uid="{40D4A76F-0320-4144-A73A-AF1A83A3CD81}"/>
    <cellStyle name="强调文字颜色 3 43 3" xfId="26152" xr:uid="{CFB50C13-7906-4CF7-A84D-C82B6B514F04}"/>
    <cellStyle name="强调文字颜色 3 44" xfId="8356" xr:uid="{A166B623-5E69-48FF-8DBC-98BE842D875E}"/>
    <cellStyle name="强调文字颜色 3 44 2" xfId="13890" xr:uid="{5C000818-E91D-41A0-8C08-E6B25EF0E9FE}"/>
    <cellStyle name="强调文字颜色 3 44 2 2" xfId="26155" xr:uid="{3412AE6F-17D8-4EA5-B5F5-ACC0C04A3595}"/>
    <cellStyle name="强调文字颜色 3 44 3" xfId="26154" xr:uid="{867D4654-7A93-4688-B45C-EAB2E04E0C4D}"/>
    <cellStyle name="强调文字颜色 3 45" xfId="8358" xr:uid="{EB717923-A94B-4CEB-BF68-7C9EBBE984A6}"/>
    <cellStyle name="强调文字颜色 3 45 2" xfId="13891" xr:uid="{A4171B29-8D5C-4475-8AD6-83998A18AA4D}"/>
    <cellStyle name="强调文字颜色 3 45 2 2" xfId="26157" xr:uid="{06917A69-49EB-4A17-91E5-DDDE55C17C2B}"/>
    <cellStyle name="强调文字颜色 3 45 3" xfId="26156" xr:uid="{61A56A6C-B771-4C7D-A564-47D95D1EC155}"/>
    <cellStyle name="强调文字颜色 3 46" xfId="8360" xr:uid="{AC212E5C-3A21-4EC9-B737-48A626530947}"/>
    <cellStyle name="强调文字颜色 3 46 2" xfId="13892" xr:uid="{A2DA4371-C7D5-499C-B1CB-E2B3AEDE134E}"/>
    <cellStyle name="强调文字颜色 3 46 2 2" xfId="26159" xr:uid="{423060C2-84AD-488D-A279-3331D9A70D21}"/>
    <cellStyle name="强调文字颜色 3 46 3" xfId="26158" xr:uid="{90B4CF7B-FC76-4006-8A7A-8147B97C9339}"/>
    <cellStyle name="强调文字颜色 3 47" xfId="8362" xr:uid="{4CFB1C0C-6762-423F-8251-B6D25E8EED63}"/>
    <cellStyle name="强调文字颜色 3 47 2" xfId="13893" xr:uid="{E28AD0F9-245C-45B1-A70D-7F8F5A981F2C}"/>
    <cellStyle name="强调文字颜色 3 47 3" xfId="26160" xr:uid="{5E50C8B3-F031-47F0-9B95-99A6E3480268}"/>
    <cellStyle name="强调文字颜色 3 48" xfId="8364" xr:uid="{97541EA2-147D-4987-9B6A-91BBD9122E2B}"/>
    <cellStyle name="强调文字颜色 3 48 2" xfId="13894" xr:uid="{4A670BC2-AB5E-46B7-B9C3-46B2B90CCFBB}"/>
    <cellStyle name="强调文字颜色 3 48 3" xfId="26161" xr:uid="{27320CB6-3635-4CDE-A5E9-CFEF435DC8EE}"/>
    <cellStyle name="强调文字颜色 3 49" xfId="8366" xr:uid="{A8D4CDF5-6168-429B-8DED-F5B762B34D23}"/>
    <cellStyle name="强调文字颜色 3 49 2" xfId="13895" xr:uid="{EC2863CF-607B-41FF-B99E-D80B056D2433}"/>
    <cellStyle name="强调文字颜色 3 49 3" xfId="26162" xr:uid="{72CAA7AD-5FC4-4B86-9721-DCCEFDFF1173}"/>
    <cellStyle name="强调文字颜色 3 5" xfId="8368" xr:uid="{18DFF14C-5C8B-4437-B19A-5DF6E3B549A5}"/>
    <cellStyle name="强调文字颜色 3 5 2" xfId="11561" xr:uid="{AA466B4B-59C1-4FE4-BF75-4DE5DFC0A59C}"/>
    <cellStyle name="强调文字颜色 3 5 2 2" xfId="26165" xr:uid="{86C70082-95F8-47E8-A9C8-08599196F8F9}"/>
    <cellStyle name="强调文字颜色 3 5 2 3" xfId="26164" xr:uid="{603A0485-F8EA-4EDF-8A0B-071CE8888611}"/>
    <cellStyle name="强调文字颜色 3 5 3" xfId="11562" xr:uid="{ED705A28-66AB-4E96-897E-33E22AC2A3ED}"/>
    <cellStyle name="强调文字颜色 3 5 4" xfId="11560" xr:uid="{D0621388-3651-4D6F-8137-2327B6E35A56}"/>
    <cellStyle name="强调文字颜色 3 5 5" xfId="26163" xr:uid="{38791909-A672-4A14-82FA-063EB79697A7}"/>
    <cellStyle name="强调文字颜色 3 50" xfId="8359" xr:uid="{D5913B58-4FEC-4632-8C2C-E9823901AD0A}"/>
    <cellStyle name="强调文字颜色 3 50 2" xfId="13896" xr:uid="{1E5690C1-CFE4-4991-8085-774593103039}"/>
    <cellStyle name="强调文字颜色 3 50 3" xfId="26166" xr:uid="{90E6F780-CF0C-4966-9CD3-6901EA298944}"/>
    <cellStyle name="强调文字颜色 3 51" xfId="8361" xr:uid="{B64E4593-D300-4037-BF71-F3EA7BFFCC01}"/>
    <cellStyle name="强调文字颜色 3 51 2" xfId="13897" xr:uid="{41139081-93CF-4074-AD67-266F37860EA6}"/>
    <cellStyle name="强调文字颜色 3 51 3" xfId="26167" xr:uid="{D80CB945-BE04-44BE-8B3C-AB29FBD9B304}"/>
    <cellStyle name="强调文字颜色 3 52" xfId="8363" xr:uid="{A3AC578C-2D7B-442E-937A-4AF4A57ACBD4}"/>
    <cellStyle name="强调文字颜色 3 52 2" xfId="13898" xr:uid="{0D2CE92C-EB6C-4B70-B2DC-294FADE9C682}"/>
    <cellStyle name="强调文字颜色 3 52 3" xfId="26168" xr:uid="{93572C06-62DB-489D-8D50-EF6AC3AD9730}"/>
    <cellStyle name="强调文字颜色 3 53" xfId="8365" xr:uid="{B9F61231-9828-4C6A-8ED2-35D706A21830}"/>
    <cellStyle name="强调文字颜色 3 53 2" xfId="13899" xr:uid="{D2F5472A-CFD3-4D5A-8F32-51C8E7F834CC}"/>
    <cellStyle name="强调文字颜色 3 53 3" xfId="26169" xr:uid="{8F4D0F3C-40DE-4115-A5E1-46070ED6A24D}"/>
    <cellStyle name="强调文字颜色 3 54" xfId="8367" xr:uid="{E641885A-058D-49DA-A971-62E152DDC4FA}"/>
    <cellStyle name="强调文字颜色 3 54 2" xfId="13900" xr:uid="{AAED8487-52D4-416F-B464-626BF7B18913}"/>
    <cellStyle name="强调文字颜色 3 54 3" xfId="26170" xr:uid="{8DE46DAB-0460-4BB3-AFF7-275B27F28D85}"/>
    <cellStyle name="强调文字颜色 3 55" xfId="8369" xr:uid="{702E79D0-CC01-4195-A394-80616DDC7C64}"/>
    <cellStyle name="强调文字颜色 3 55 2" xfId="13901" xr:uid="{7393EC7F-462E-4571-8D02-C760CA1625C3}"/>
    <cellStyle name="强调文字颜色 3 55 3" xfId="26171" xr:uid="{EBF0FCD4-7FE7-4D04-946C-3B0D9561E0DC}"/>
    <cellStyle name="强调文字颜色 3 56" xfId="8371" xr:uid="{4638A12E-700A-4226-8D4C-F0B9DAC98897}"/>
    <cellStyle name="强调文字颜色 3 56 2" xfId="13902" xr:uid="{4A1187C4-FB28-4DF9-A917-E07E1B8800FE}"/>
    <cellStyle name="强调文字颜色 3 56 3" xfId="26172" xr:uid="{67072BF1-DA7B-4C5C-919D-0E27BC4D7350}"/>
    <cellStyle name="强调文字颜色 3 57" xfId="8373" xr:uid="{E07A6D42-BE02-4CE1-BBF4-76DE58F6CA41}"/>
    <cellStyle name="强调文字颜色 3 57 2" xfId="13903" xr:uid="{853D9777-2AA8-4ED2-A5F2-228CF59CFA00}"/>
    <cellStyle name="强调文字颜色 3 58" xfId="1332" xr:uid="{FF6B469B-5D9E-411B-BA7A-FCDB5423BF08}"/>
    <cellStyle name="强调文字颜色 3 58 2" xfId="13904" xr:uid="{496D45E3-2C17-434E-8FC0-C5A60835DCEB}"/>
    <cellStyle name="强调文字颜色 3 59" xfId="8375" xr:uid="{6DC7B35D-282C-4D63-BA8C-FF3BE59A5CD6}"/>
    <cellStyle name="强调文字颜色 3 59 2" xfId="13905" xr:uid="{45DCC674-9B58-403F-98EE-DCFC8494FD5B}"/>
    <cellStyle name="强调文字颜色 3 6" xfId="8377" xr:uid="{742FA782-4A58-463C-A4C8-1360769F3117}"/>
    <cellStyle name="强调文字颜色 3 6 2" xfId="8378" xr:uid="{D631ED59-A6B5-492A-ACA9-FB3D5F09706D}"/>
    <cellStyle name="强调文字颜色 3 6 2 2" xfId="11564" xr:uid="{9338AE07-B48D-46CD-8BB9-430607E3F1CA}"/>
    <cellStyle name="强调文字颜色 3 6 2 3" xfId="26174" xr:uid="{9485F685-8FD7-48BA-A537-E47149E834F3}"/>
    <cellStyle name="强调文字颜色 3 6 3" xfId="11565" xr:uid="{CC3D36BB-4852-42CB-AD42-0E82BB03B268}"/>
    <cellStyle name="强调文字颜色 3 6 4" xfId="11563" xr:uid="{11E77CD1-09D2-4A00-A335-27C6D87C3E8E}"/>
    <cellStyle name="强调文字颜色 3 6 5" xfId="26173" xr:uid="{50F39466-ADAC-45DF-91C1-A47957079DE1}"/>
    <cellStyle name="强调文字颜色 3 60" xfId="8370" xr:uid="{144D4154-21E3-47D4-89AD-8E1799C88D94}"/>
    <cellStyle name="强调文字颜色 3 60 2" xfId="13906" xr:uid="{8B28F4EB-9872-4484-A6E4-00076129BFFC}"/>
    <cellStyle name="强调文字颜色 3 61" xfId="8372" xr:uid="{452721CA-59D7-43DD-994A-074FE309130D}"/>
    <cellStyle name="强调文字颜色 3 61 2" xfId="13907" xr:uid="{9C9BD450-7478-4568-8B88-67842F757371}"/>
    <cellStyle name="强调文字颜色 3 62" xfId="8374" xr:uid="{297634F2-A65A-45D8-8650-82A6C4125E7A}"/>
    <cellStyle name="强调文字颜色 3 62 2" xfId="13908" xr:uid="{A0C975DD-E29D-4AA1-89A0-F6D689427A86}"/>
    <cellStyle name="强调文字颜色 3 63" xfId="1331" xr:uid="{E3F62C61-38FD-49CC-AE31-1BF432040A4C}"/>
    <cellStyle name="强调文字颜色 3 63 2" xfId="13909" xr:uid="{464ED130-8441-40AA-9108-D77402E08190}"/>
    <cellStyle name="强调文字颜色 3 64" xfId="8376" xr:uid="{E4CB831C-D51D-4E47-87E9-1191DE6F89CD}"/>
    <cellStyle name="强调文字颜色 3 64 2" xfId="13910" xr:uid="{9912C683-078D-4D91-ADE0-0DAF6C6FD380}"/>
    <cellStyle name="强调文字颜色 3 65" xfId="8379" xr:uid="{F22C8FDD-3168-45B4-961A-2D82D1626433}"/>
    <cellStyle name="强调文字颜色 3 65 2" xfId="13911" xr:uid="{EC662307-8214-49D3-B7F6-AC3BF54365BA}"/>
    <cellStyle name="强调文字颜色 3 66" xfId="8381" xr:uid="{BB644664-7654-4D19-AD4B-DC88AB42FA4F}"/>
    <cellStyle name="强调文字颜色 3 66 2" xfId="13912" xr:uid="{F5DABBD9-808E-42CC-9183-C2980BF32B5D}"/>
    <cellStyle name="强调文字颜色 3 67" xfId="8383" xr:uid="{DFC27B20-4EA6-472E-BC88-1B4E9222FBF2}"/>
    <cellStyle name="强调文字颜色 3 67 2" xfId="13913" xr:uid="{F521FDE0-D4FC-4203-92C6-F175EC96CCEE}"/>
    <cellStyle name="强调文字颜色 3 68" xfId="8385" xr:uid="{51D97992-5475-4762-8033-1C477B91B76A}"/>
    <cellStyle name="强调文字颜色 3 68 2" xfId="13914" xr:uid="{253DD97C-474A-4F52-AB0F-AE8AEBE18098}"/>
    <cellStyle name="强调文字颜色 3 69" xfId="8387" xr:uid="{D1C57EC2-1270-44AA-89CE-E758381EABBB}"/>
    <cellStyle name="强调文字颜色 3 69 2" xfId="13915" xr:uid="{C101E70F-B17C-42F2-A984-4459F6DD9D57}"/>
    <cellStyle name="强调文字颜色 3 7" xfId="8389" xr:uid="{495F3DCF-7F5A-4935-8FE9-5E5E238B77A5}"/>
    <cellStyle name="强调文字颜色 3 7 2" xfId="8019" xr:uid="{82C5EE39-0F7A-4BF6-AB25-202651998EDE}"/>
    <cellStyle name="强调文字颜色 3 7 2 2" xfId="11567" xr:uid="{233E6D69-F696-4D55-BBCA-AB1D7768BD28}"/>
    <cellStyle name="强调文字颜色 3 7 2 3" xfId="26176" xr:uid="{7E822649-8DC6-4B19-9B26-BE2E00E5FFA0}"/>
    <cellStyle name="强调文字颜色 3 7 3" xfId="11568" xr:uid="{6C523B74-349D-4BA4-8B55-50C405C3AC17}"/>
    <cellStyle name="强调文字颜色 3 7 4" xfId="11566" xr:uid="{12A99F14-D651-42B1-81B0-35250FFBA801}"/>
    <cellStyle name="强调文字颜色 3 7 5" xfId="26175" xr:uid="{6732140C-7676-46CC-A89E-C2DDB041A145}"/>
    <cellStyle name="强调文字颜色 3 70" xfId="8380" xr:uid="{5FEDFBD3-5B9E-46AA-8229-BF0F9F01AC6B}"/>
    <cellStyle name="强调文字颜色 3 70 2" xfId="13916" xr:uid="{FC0E28C7-E450-412E-8E41-3CA06D276B9C}"/>
    <cellStyle name="强调文字颜色 3 71" xfId="8382" xr:uid="{8F731806-7AF7-44AF-9640-EFFADDCDCB54}"/>
    <cellStyle name="强调文字颜色 3 71 2" xfId="13917" xr:uid="{C6191B31-B7CF-4E3F-9872-081B9308ABBA}"/>
    <cellStyle name="强调文字颜色 3 72" xfId="8384" xr:uid="{F4E391E3-40D8-44C2-A2B3-8BC492A1F2A8}"/>
    <cellStyle name="强调文字颜色 3 72 2" xfId="13918" xr:uid="{A96EEA4A-1436-439D-8AE8-7BFF31F9AD72}"/>
    <cellStyle name="强调文字颜色 3 73" xfId="8386" xr:uid="{F6F75452-BDCA-44C0-982E-960600D909A2}"/>
    <cellStyle name="强调文字颜色 3 73 2" xfId="13919" xr:uid="{20382954-2387-4F54-B3B5-E16FD6767825}"/>
    <cellStyle name="强调文字颜色 3 74" xfId="8388" xr:uid="{32CAF3FA-7B50-4384-B7EE-A86EFE71B046}"/>
    <cellStyle name="强调文字颜色 3 74 2" xfId="13920" xr:uid="{8C1999DC-379E-4527-BEBC-087BA84F96C6}"/>
    <cellStyle name="强调文字颜色 3 75" xfId="8390" xr:uid="{956B68F4-78FC-45E8-9BED-F51AD788EDF9}"/>
    <cellStyle name="强调文字颜色 3 75 2" xfId="13921" xr:uid="{D7CE1473-A0EE-4756-B67E-03395B77F821}"/>
    <cellStyle name="强调文字颜色 3 76" xfId="4195" xr:uid="{C3BEF414-2BAE-45A8-8D19-BD01237392DA}"/>
    <cellStyle name="强调文字颜色 3 76 2" xfId="13922" xr:uid="{80C7B3B7-9BE4-44AD-A882-0CF71D7A6539}"/>
    <cellStyle name="强调文字颜色 3 77" xfId="8392" xr:uid="{AD863D7D-D964-48DA-8E8A-02CB33C27E0A}"/>
    <cellStyle name="强调文字颜色 3 77 2" xfId="13923" xr:uid="{053ADC01-B424-4F7D-82D0-3A799C2CE6C9}"/>
    <cellStyle name="强调文字颜色 3 78" xfId="8394" xr:uid="{1D4C5000-42AB-4769-8DA5-2F9D490720E3}"/>
    <cellStyle name="强调文字颜色 3 78 2" xfId="13924" xr:uid="{AC707E43-9F46-4719-9059-5D38519D0B40}"/>
    <cellStyle name="强调文字颜色 3 79" xfId="8396" xr:uid="{FF729825-B892-4038-9EBA-E6E45D480244}"/>
    <cellStyle name="强调文字颜色 3 79 2" xfId="13925" xr:uid="{353E39AA-7151-4623-B38B-2F791C5C7BBA}"/>
    <cellStyle name="强调文字颜色 3 8" xfId="8398" xr:uid="{F4F3AC94-CE50-4CD6-BC8C-185822EE8568}"/>
    <cellStyle name="强调文字颜色 3 8 2" xfId="8399" xr:uid="{86F37AFF-C26C-48A7-807E-A283C9F166E6}"/>
    <cellStyle name="强调文字颜色 3 8 2 2" xfId="11570" xr:uid="{409ED647-EE1E-436C-A988-AAD9EAD9A01D}"/>
    <cellStyle name="强调文字颜色 3 8 2 3" xfId="26178" xr:uid="{93333FC5-37D6-4A04-88C0-12639A11432F}"/>
    <cellStyle name="强调文字颜色 3 8 3" xfId="11571" xr:uid="{C7D5F6BA-E4EA-46BF-9B80-396EC856CB10}"/>
    <cellStyle name="强调文字颜色 3 8 4" xfId="11569" xr:uid="{675347FE-93EA-40A4-9B95-EE17FBD7127A}"/>
    <cellStyle name="强调文字颜色 3 8 5" xfId="26177" xr:uid="{CC46AF9D-D005-4477-A2A8-B534C9B106D1}"/>
    <cellStyle name="强调文字颜色 3 80" xfId="8391" xr:uid="{E1592B7F-301D-4270-8905-BFABC9051664}"/>
    <cellStyle name="强调文字颜色 3 80 2" xfId="13926" xr:uid="{FFB0910C-AC8E-4803-833A-685C58E595FC}"/>
    <cellStyle name="强调文字颜色 3 81" xfId="4196" xr:uid="{3B81BE5B-F5FD-4878-82C2-4C609A89C010}"/>
    <cellStyle name="强调文字颜色 3 81 2" xfId="13927" xr:uid="{B739C1CE-36AD-41E9-9360-A8E506330F67}"/>
    <cellStyle name="强调文字颜色 3 82" xfId="8393" xr:uid="{747AF96D-62ED-4BEB-A3F5-5D198F716152}"/>
    <cellStyle name="强调文字颜色 3 82 2" xfId="13928" xr:uid="{DCEE53C7-A6C7-43AC-8145-1F782193D04D}"/>
    <cellStyle name="强调文字颜色 3 83" xfId="8395" xr:uid="{200CC964-E0B0-4268-960F-78579657C0EA}"/>
    <cellStyle name="强调文字颜色 3 83 2" xfId="13929" xr:uid="{70217053-9867-4DF6-9587-516950FFBB52}"/>
    <cellStyle name="强调文字颜色 3 84" xfId="8397" xr:uid="{4A8E6280-B13D-4F78-86D2-CD28FA2ED9A5}"/>
    <cellStyle name="强调文字颜色 3 84 2" xfId="13930" xr:uid="{07D49ED0-E949-4F13-8A2A-1C86864BD03C}"/>
    <cellStyle name="强调文字颜色 3 85" xfId="9344" xr:uid="{034CBD22-85C9-44BF-933C-EEC760AA7773}"/>
    <cellStyle name="强调文字颜色 3 86" xfId="11521" xr:uid="{3738FFDE-7F65-4827-8EC0-E831B78B2C53}"/>
    <cellStyle name="强调文字颜色 3 87" xfId="13568" xr:uid="{6ED18CD3-A488-4AAD-8ACE-EC1B4586F61B}"/>
    <cellStyle name="强调文字颜色 3 88" xfId="27181" xr:uid="{E2B75C82-FFCE-43AD-AA20-945E570FAFFC}"/>
    <cellStyle name="强调文字颜色 3 89" xfId="27143" xr:uid="{0CA302A7-3F16-4E57-B5BE-9032741F535C}"/>
    <cellStyle name="强调文字颜色 3 9" xfId="8400" xr:uid="{3FBAA57B-CCBE-4C1E-97BD-FDDB904A7A88}"/>
    <cellStyle name="强调文字颜色 3 9 2" xfId="11573" xr:uid="{456A1CCA-4560-4E02-8C19-823C5B02A390}"/>
    <cellStyle name="强调文字颜色 3 9 2 2" xfId="26181" xr:uid="{253C68EE-9AB1-4499-A4C2-511E5A6F57A8}"/>
    <cellStyle name="强调文字颜色 3 9 2 3" xfId="26180" xr:uid="{D171DB87-65DB-42EB-AF72-35DC8768C03A}"/>
    <cellStyle name="强调文字颜色 3 9 3" xfId="11574" xr:uid="{69EEB270-BCC6-4817-8E73-13BDFA421CC4}"/>
    <cellStyle name="强调文字颜色 3 9 4" xfId="11572" xr:uid="{81A2D2C6-83F2-4DFE-B6AD-F034F25A9641}"/>
    <cellStyle name="强调文字颜色 3 9 5" xfId="26179" xr:uid="{B66A6773-C749-42C1-8B9F-C6C0A1A0C539}"/>
    <cellStyle name="强调文字颜色 3 90" xfId="27216" xr:uid="{4909DEBF-B3D6-4CFA-A1D6-687175806086}"/>
    <cellStyle name="强调文字颜色 4" xfId="8401" xr:uid="{BEEEFD65-938F-480F-9DDB-9279C304AB7E}"/>
    <cellStyle name="强调文字颜色 4 10" xfId="8402" xr:uid="{AB6346B6-D3CA-453A-889E-CD95D2DAA8DD}"/>
    <cellStyle name="强调文字颜色 4 10 2" xfId="11577" xr:uid="{E97BE1FB-749C-4C2E-8DBD-21F5BA3C135B}"/>
    <cellStyle name="强调文字颜色 4 10 2 2" xfId="26184" xr:uid="{7328AD2F-5F61-4A4C-89CA-4155F14294B3}"/>
    <cellStyle name="强调文字颜色 4 10 2 3" xfId="26183" xr:uid="{A45C9F36-B826-4354-8CB8-9DA004F45992}"/>
    <cellStyle name="强调文字颜色 4 10 3" xfId="11578" xr:uid="{C4817571-97D1-4866-A73E-2B1D6B2F0650}"/>
    <cellStyle name="强调文字颜色 4 10 4" xfId="11576" xr:uid="{0AF5A423-44C2-42EE-AD7E-970EB1F70F68}"/>
    <cellStyle name="强调文字颜色 4 10 5" xfId="26182" xr:uid="{775F29C3-4D29-478B-8366-5B4A23FEFC07}"/>
    <cellStyle name="强调文字颜色 4 11" xfId="8403" xr:uid="{AE6FE5CA-9355-4F06-A22A-09198F5E9C44}"/>
    <cellStyle name="强调文字颜色 4 11 2" xfId="11580" xr:uid="{38A27255-4600-476E-B1C5-3E5962CA2EB0}"/>
    <cellStyle name="强调文字颜色 4 11 2 2" xfId="26187" xr:uid="{08490AF2-E082-4429-91AE-498A588BCA58}"/>
    <cellStyle name="强调文字颜色 4 11 2 3" xfId="26186" xr:uid="{89217847-CA89-4C8D-946C-10BD977E873C}"/>
    <cellStyle name="强调文字颜色 4 11 3" xfId="11581" xr:uid="{50B32831-A353-47F9-9FC5-24F16C743962}"/>
    <cellStyle name="强调文字颜色 4 11 4" xfId="11579" xr:uid="{64FF6E42-C77D-4899-921E-27E072EFDD77}"/>
    <cellStyle name="强调文字颜色 4 11 5" xfId="26185" xr:uid="{AC0CA7E7-C5F5-4E66-8EEF-D1E086C85FD3}"/>
    <cellStyle name="强调文字颜色 4 12" xfId="8404" xr:uid="{962D3490-8F35-464C-826C-5A3A9A728B93}"/>
    <cellStyle name="强调文字颜色 4 12 2" xfId="11583" xr:uid="{D378C511-EE9C-4B12-A708-7E9061A3E98F}"/>
    <cellStyle name="强调文字颜色 4 12 2 2" xfId="26190" xr:uid="{E5E26172-658B-44F0-AA22-903D4A2CF444}"/>
    <cellStyle name="强调文字颜色 4 12 2 3" xfId="26189" xr:uid="{06E7B1E8-16AA-4AD2-A3A5-0621C6378DB8}"/>
    <cellStyle name="强调文字颜色 4 12 3" xfId="11584" xr:uid="{6EF35DAA-6AC7-4BC6-816A-CD301336E329}"/>
    <cellStyle name="强调文字颜色 4 12 4" xfId="11582" xr:uid="{EA1FD20F-2F87-462D-9A39-9D1EDF2655AE}"/>
    <cellStyle name="强调文字颜色 4 12 5" xfId="26188" xr:uid="{99262CE6-468D-4B3F-A012-B0CA1B63C4BF}"/>
    <cellStyle name="强调文字颜色 4 13" xfId="8405" xr:uid="{2863220E-FF90-4E0E-AC8A-23630B4B0040}"/>
    <cellStyle name="强调文字颜色 4 13 2" xfId="11586" xr:uid="{93BD1C66-3B8C-42BA-8753-1D5008A1B257}"/>
    <cellStyle name="强调文字颜色 4 13 2 2" xfId="26192" xr:uid="{DBD9922C-AC29-4293-9196-3BB50858CFE4}"/>
    <cellStyle name="强调文字颜色 4 13 3" xfId="11587" xr:uid="{B56248F7-CF9F-4191-9C85-1821876E5D36}"/>
    <cellStyle name="强调文字颜色 4 13 4" xfId="11585" xr:uid="{0F638DE5-53AE-4AC2-B148-D764E32DD2D3}"/>
    <cellStyle name="强调文字颜色 4 13 5" xfId="26191" xr:uid="{07AE036F-B29F-47F6-B877-0F031CA208BE}"/>
    <cellStyle name="强调文字颜色 4 14" xfId="8406" xr:uid="{D15333E4-3827-4BDD-B1FF-567FF93D6A49}"/>
    <cellStyle name="强调文字颜色 4 14 2" xfId="11589" xr:uid="{182FAFCA-6559-4426-9A72-B7ED792161C8}"/>
    <cellStyle name="强调文字颜色 4 14 2 2" xfId="26194" xr:uid="{0E25A673-A806-4E9A-BBDB-F2A5F9D23D2E}"/>
    <cellStyle name="强调文字颜色 4 14 3" xfId="11590" xr:uid="{CB521DA2-582E-4EE0-BCF6-07A13438AB10}"/>
    <cellStyle name="强调文字颜色 4 14 4" xfId="11588" xr:uid="{75201298-72DD-4AA2-B30B-77502E115E9E}"/>
    <cellStyle name="强调文字颜色 4 14 5" xfId="26193" xr:uid="{C37CC5A3-D19F-4021-8ADB-AECAC627027A}"/>
    <cellStyle name="强调文字颜色 4 15" xfId="8407" xr:uid="{D70871C9-CE63-4961-9EDD-03A45F01A191}"/>
    <cellStyle name="强调文字颜色 4 15 2" xfId="11592" xr:uid="{77264DA9-10E0-45E5-9947-1A405FE8E13E}"/>
    <cellStyle name="强调文字颜色 4 15 2 2" xfId="26196" xr:uid="{933804E7-FCF7-4CAD-A5FE-B468C3670389}"/>
    <cellStyle name="强调文字颜色 4 15 3" xfId="11593" xr:uid="{8F61AFB0-CCEA-4E4E-86D4-9D05F8C8ECCE}"/>
    <cellStyle name="强调文字颜色 4 15 4" xfId="11591" xr:uid="{13D76E0D-D38B-49DA-A773-B306A8796BCE}"/>
    <cellStyle name="强调文字颜色 4 15 5" xfId="26195" xr:uid="{4A4A4849-D277-47CD-A23A-D7C91E824A80}"/>
    <cellStyle name="强调文字颜色 4 16" xfId="8409" xr:uid="{694046B2-0E4E-444E-B2DD-2BC22CB15F38}"/>
    <cellStyle name="强调文字颜色 4 16 2" xfId="11595" xr:uid="{A0DF3A96-0675-44A2-A4E3-764B7496AED5}"/>
    <cellStyle name="强调文字颜色 4 16 2 2" xfId="26198" xr:uid="{0F6836A0-9ED1-46A9-9D72-77BF3A39F723}"/>
    <cellStyle name="强调文字颜色 4 16 3" xfId="11596" xr:uid="{2312DF37-6835-4D1E-8B6F-CA64C0C7B445}"/>
    <cellStyle name="强调文字颜色 4 16 4" xfId="11594" xr:uid="{5F5ED7AE-E840-40D5-9AC6-38DB623C22F9}"/>
    <cellStyle name="强调文字颜色 4 16 5" xfId="26197" xr:uid="{93E7FBFF-AD8B-4D15-B367-66759DB28932}"/>
    <cellStyle name="强调文字颜色 4 17" xfId="5226" xr:uid="{6D0B8EF3-4282-490F-9DD6-F4587D3D2EDE}"/>
    <cellStyle name="强调文字颜色 4 17 2" xfId="11598" xr:uid="{F6BEFAC8-3AE0-4A02-933D-375AD5F9950A}"/>
    <cellStyle name="强调文字颜色 4 17 2 2" xfId="26200" xr:uid="{CAC1CE0D-64C1-4AC5-BD6A-59C40C230F15}"/>
    <cellStyle name="强调文字颜色 4 17 3" xfId="11599" xr:uid="{16E254C2-8B1A-4B80-86A7-F4EBE779CFBC}"/>
    <cellStyle name="强调文字颜色 4 17 4" xfId="11597" xr:uid="{FDE77818-B463-4FFB-90E6-49164148A5B8}"/>
    <cellStyle name="强调文字颜色 4 17 5" xfId="26199" xr:uid="{15A9C068-47AC-406F-8001-84DC59A3954E}"/>
    <cellStyle name="强调文字颜色 4 18" xfId="5229" xr:uid="{018C9B8E-A5B2-4683-B998-2EF296561A34}"/>
    <cellStyle name="强调文字颜色 4 18 2" xfId="11600" xr:uid="{0F3CA966-8929-49B2-AE30-27CB3CFE73B1}"/>
    <cellStyle name="强调文字颜色 4 18 2 2" xfId="26202" xr:uid="{C9DE10A6-5A22-43A3-97FB-6AD8E7F61469}"/>
    <cellStyle name="强调文字颜色 4 18 3" xfId="26201" xr:uid="{E1AB2520-14CB-4C31-95DD-719D2C4D102B}"/>
    <cellStyle name="强调文字颜色 4 19" xfId="5232" xr:uid="{DAA1E915-E7B6-4775-86CA-7CC74C1EFD77}"/>
    <cellStyle name="强调文字颜色 4 19 2" xfId="11601" xr:uid="{B5650B1D-F50E-47FC-90E5-A9344B4DEF15}"/>
    <cellStyle name="强调文字颜色 4 19 2 2" xfId="26204" xr:uid="{95B7AA78-E2FA-4B5E-895F-D86E9A203958}"/>
    <cellStyle name="强调文字颜色 4 19 3" xfId="26203" xr:uid="{EE2EEBCC-95F2-485E-A82A-B6AD39B25CE4}"/>
    <cellStyle name="强调文字颜色 4 2" xfId="8411" xr:uid="{5DCF5331-67D5-4BF3-9517-2E89D73D98DE}"/>
    <cellStyle name="强调文字颜色 4 2 10" xfId="8412" xr:uid="{2C441946-BDF4-481C-ABCB-E40B936EE7AB}"/>
    <cellStyle name="强调文字颜色 4 2 11" xfId="8413" xr:uid="{03D3E354-F62E-4BDC-AAF2-E03474A91EBA}"/>
    <cellStyle name="强调文字颜色 4 2 12" xfId="8414" xr:uid="{D0347069-942D-4A7C-BABC-94DC72865AB4}"/>
    <cellStyle name="强调文字颜色 4 2 13" xfId="8415" xr:uid="{9DD40F07-31BF-4B99-959F-FA22C7675072}"/>
    <cellStyle name="强调文字颜色 4 2 14" xfId="8416" xr:uid="{A2A9B8D7-7EAE-4FB5-8D83-5D3C234C3B92}"/>
    <cellStyle name="强调文字颜色 4 2 15" xfId="11602" xr:uid="{9972D928-0802-440F-9280-FF8F59336D1C}"/>
    <cellStyle name="强调文字颜色 4 2 16" xfId="12203" xr:uid="{9A763BF5-7D54-4028-8D1C-2E798153DBEE}"/>
    <cellStyle name="强调文字颜色 4 2 2" xfId="8417" xr:uid="{FD1219BE-FD77-412F-B468-D972102F1E2C}"/>
    <cellStyle name="强调文字颜色 4 2 2 2" xfId="11603" xr:uid="{ECD1A567-0D18-4C73-A6C2-45D539E7921B}"/>
    <cellStyle name="强调文字颜色 4 2 2 2 2" xfId="26206" xr:uid="{C5A966FE-3896-4B76-A48E-40322B6D580B}"/>
    <cellStyle name="强调文字颜色 4 2 2 3" xfId="26205" xr:uid="{17EAF1AC-13B6-4729-AD4D-1A4AD92DBAE7}"/>
    <cellStyle name="强调文字颜色 4 2 2 4" xfId="27639" xr:uid="{B854F44D-2082-4244-AAA2-01D9583E5F75}"/>
    <cellStyle name="强调文字颜色 4 2 3" xfId="8418" xr:uid="{07D43B52-9080-4C47-94B7-801A780F4622}"/>
    <cellStyle name="强调文字颜色 4 2 3 2" xfId="11604" xr:uid="{B9520264-A015-4499-A93C-0967DA8F0AA8}"/>
    <cellStyle name="强调文字颜色 4 2 3 3" xfId="26207" xr:uid="{A15F73FF-6B5D-4461-A66B-B776C2C13784}"/>
    <cellStyle name="强调文字颜色 4 2 3 4" xfId="27640" xr:uid="{A4E55D78-2DBC-4C7E-A9BA-E97DA7A15F01}"/>
    <cellStyle name="强调文字颜色 4 2 4" xfId="8419" xr:uid="{A48FE049-BC56-4BB0-B8D0-127C341ADC43}"/>
    <cellStyle name="强调文字颜色 4 2 4 2" xfId="26209" xr:uid="{422E95AC-6824-4008-A471-E83F77C0F4DC}"/>
    <cellStyle name="强调文字颜色 4 2 4 3" xfId="26208" xr:uid="{3CBBCD36-E7CE-45BD-9C4A-516DA6ABBF15}"/>
    <cellStyle name="强调文字颜色 4 2 5" xfId="8420" xr:uid="{013AAD4E-5D96-4EBB-BC22-7703FC7AD813}"/>
    <cellStyle name="强调文字颜色 4 2 5 2" xfId="26210" xr:uid="{ADA01F22-410B-4A16-9585-4826597E93CB}"/>
    <cellStyle name="强调文字颜色 4 2 6" xfId="8421" xr:uid="{864C4762-C5A1-41F4-825B-3C4CD8B181B3}"/>
    <cellStyle name="强调文字颜色 4 2 6 2" xfId="26211" xr:uid="{C8B6D650-9E2A-4D9E-807A-9E2D46BC1F61}"/>
    <cellStyle name="强调文字颜色 4 2 7" xfId="8422" xr:uid="{B6DD90A7-645F-445A-9B01-B5FA2E01D652}"/>
    <cellStyle name="强调文字颜色 4 2 8" xfId="8423" xr:uid="{14D66B3A-0B72-4EF0-BA2E-542C2262D03C}"/>
    <cellStyle name="强调文字颜色 4 2 9" xfId="8424" xr:uid="{050268E4-8B26-49C3-B1D1-DB1B6D54AB72}"/>
    <cellStyle name="强调文字颜色 4 2_动力部" xfId="26212" xr:uid="{1297E860-2685-4540-8980-94CFE6317A34}"/>
    <cellStyle name="强调文字颜色 4 20" xfId="8408" xr:uid="{7A1228FD-0289-4154-A990-74026F390CD3}"/>
    <cellStyle name="强调文字颜色 4 20 2" xfId="11605" xr:uid="{D2056E15-CB3F-4033-82C0-E1DA95412213}"/>
    <cellStyle name="强调文字颜色 4 20 2 2" xfId="26214" xr:uid="{1E40A497-CD6D-4E4A-B7F8-5EA494B6EBCB}"/>
    <cellStyle name="强调文字颜色 4 20 3" xfId="26213" xr:uid="{C06B90C3-99CB-4FCA-BAC2-46998E829666}"/>
    <cellStyle name="强调文字颜色 4 21" xfId="8410" xr:uid="{754CBC2F-5C4E-45F1-8C9C-9DE90BD3FE97}"/>
    <cellStyle name="强调文字颜色 4 21 2" xfId="11606" xr:uid="{FFBC4D38-59EF-432C-9B75-304C261CC826}"/>
    <cellStyle name="强调文字颜色 4 21 2 2" xfId="26216" xr:uid="{36B6689A-BFE3-48BF-8EF2-4A14D00F41AC}"/>
    <cellStyle name="强调文字颜色 4 21 3" xfId="26215" xr:uid="{8A6D9511-23C3-45C2-9428-52A282D7E20D}"/>
    <cellStyle name="强调文字颜色 4 22" xfId="5227" xr:uid="{0E96E351-3373-4B38-A750-1BE9DF6FCB75}"/>
    <cellStyle name="强调文字颜色 4 22 2" xfId="11607" xr:uid="{21F84961-E3FF-4513-BA35-9D23C74CB7C2}"/>
    <cellStyle name="强调文字颜色 4 22 2 2" xfId="26218" xr:uid="{8F252E56-0634-49CE-9222-014C9CB425E6}"/>
    <cellStyle name="强调文字颜色 4 22 3" xfId="26217" xr:uid="{2D06AA8C-FF6D-47FB-A344-49453918ABB1}"/>
    <cellStyle name="强调文字颜色 4 23" xfId="5230" xr:uid="{18F65BB7-37E8-4F69-9064-F4A5761E5657}"/>
    <cellStyle name="强调文字颜色 4 23 2" xfId="26220" xr:uid="{ABA7602E-3342-40FD-AA2D-62012348CAAC}"/>
    <cellStyle name="强调文字颜色 4 23 3" xfId="26219" xr:uid="{55FD447C-643E-4525-A5F7-1E00ADCDF403}"/>
    <cellStyle name="强调文字颜色 4 24" xfId="5233" xr:uid="{B08C1AAC-AB98-47CB-8BC5-AA0C6CDBC6E1}"/>
    <cellStyle name="强调文字颜色 4 24 2" xfId="26222" xr:uid="{3103FD4E-E78B-4531-93ED-3D77DA2CA92B}"/>
    <cellStyle name="强调文字颜色 4 24 3" xfId="26221" xr:uid="{DBD4E1D7-0D75-4911-9877-B6D5AD6538D0}"/>
    <cellStyle name="强调文字颜色 4 25" xfId="5235" xr:uid="{80DF69BD-3482-4C91-B132-39D1D2F16F5D}"/>
    <cellStyle name="强调文字颜色 4 25 2" xfId="26224" xr:uid="{54B047EC-624C-4AFF-B37A-AD0F27FF9DBC}"/>
    <cellStyle name="强调文字颜色 4 25 3" xfId="26223" xr:uid="{C46C2EED-044D-4952-97ED-5DF571269ADD}"/>
    <cellStyle name="强调文字颜色 4 26" xfId="5238" xr:uid="{A7347CBF-0983-4556-869C-F9A4E66D6E76}"/>
    <cellStyle name="强调文字颜色 4 26 2" xfId="26226" xr:uid="{13B8EF20-E830-46B9-8ADF-885BC4639DF4}"/>
    <cellStyle name="强调文字颜色 4 26 3" xfId="26225" xr:uid="{5C08B4B2-9FEE-430C-8E03-1984C5D0746D}"/>
    <cellStyle name="强调文字颜色 4 27" xfId="8425" xr:uid="{861846DD-41A9-49AD-93B7-9C2307ACFB2B}"/>
    <cellStyle name="强调文字颜色 4 27 2" xfId="26228" xr:uid="{D89421FC-3ED1-488D-85B5-418E79D256AB}"/>
    <cellStyle name="强调文字颜色 4 27 3" xfId="26227" xr:uid="{83DF82F6-604C-432C-A541-921EDA0F488E}"/>
    <cellStyle name="强调文字颜色 4 28" xfId="8427" xr:uid="{DDD7B980-E2E6-4B48-97DD-8FEBCA2D69CE}"/>
    <cellStyle name="强调文字颜色 4 28 2" xfId="26230" xr:uid="{D39B175C-4EF3-4E77-BB58-D792DDD7C5A1}"/>
    <cellStyle name="强调文字颜色 4 28 3" xfId="26229" xr:uid="{874B2EE1-D4DD-4225-8943-EEFDD6FE2DF0}"/>
    <cellStyle name="强调文字颜色 4 29" xfId="8429" xr:uid="{A02E4973-65A3-41B7-9920-C3E29D1765E6}"/>
    <cellStyle name="强调文字颜色 4 29 2" xfId="26232" xr:uid="{509EE8B9-99C3-47EA-BF77-2BF5382BDCEF}"/>
    <cellStyle name="强调文字颜色 4 29 3" xfId="26231" xr:uid="{9D956B9D-3D98-4B39-A4D5-FA86963B5541}"/>
    <cellStyle name="强调文字颜色 4 3" xfId="8431" xr:uid="{5FCDC2F8-4402-4F57-B415-782032D3433A}"/>
    <cellStyle name="强调文字颜色 4 3 2" xfId="8432" xr:uid="{1DAC70AB-2DD2-4050-87C3-6DF456ED6A32}"/>
    <cellStyle name="强调文字颜色 4 3 2 2" xfId="11609" xr:uid="{61C1E6AF-0501-4E60-9D6E-756CF7E584FF}"/>
    <cellStyle name="强调文字颜色 4 3 2 3" xfId="26234" xr:uid="{3765F084-9AF7-4D39-9DC2-EDE90613EC08}"/>
    <cellStyle name="强调文字颜色 4 3 2 4" xfId="27641" xr:uid="{09194B94-FB99-48FC-A821-5B35483D724E}"/>
    <cellStyle name="强调文字颜色 4 3 3" xfId="11610" xr:uid="{43B10241-F800-4C39-9A55-5A696E2F4ACE}"/>
    <cellStyle name="强调文字颜色 4 3 3 2" xfId="26235" xr:uid="{0426113C-ACA9-47E6-B7E0-CCE528E13E7D}"/>
    <cellStyle name="强调文字颜色 4 3 3 3" xfId="27642" xr:uid="{C766916E-08DC-45B6-8E3B-2A9F0B1F5924}"/>
    <cellStyle name="强调文字颜色 4 3 4" xfId="11608" xr:uid="{BDD52628-B7CE-43B4-BF24-312AA4A394FB}"/>
    <cellStyle name="强调文字颜色 4 3 4 2" xfId="26237" xr:uid="{D37EF310-0F89-4316-9803-2529F76477EC}"/>
    <cellStyle name="强调文字颜色 4 3 4 3" xfId="26236" xr:uid="{D77BDE56-0201-4B7F-B62A-8D7A2B821AC5}"/>
    <cellStyle name="强调文字颜色 4 3 5" xfId="26233" xr:uid="{644D6255-CBDF-4D61-BF70-1165A15AF89C}"/>
    <cellStyle name="强调文字颜色 4 30" xfId="5236" xr:uid="{615B8DED-AA7C-492A-BB98-AD802D22C0FD}"/>
    <cellStyle name="强调文字颜色 4 30 2" xfId="26239" xr:uid="{326AD390-6D81-474F-9811-9B0D9FFF0978}"/>
    <cellStyle name="强调文字颜色 4 30 3" xfId="26238" xr:uid="{CCE9EBA6-C0BE-4FB2-AC9F-9A788877339E}"/>
    <cellStyle name="强调文字颜色 4 31" xfId="5239" xr:uid="{B4947D8E-A425-4179-B545-8653FEBED68F}"/>
    <cellStyle name="强调文字颜色 4 31 2" xfId="26241" xr:uid="{E784AAD1-47B9-4778-8A84-EE1F8A02E088}"/>
    <cellStyle name="强调文字颜色 4 31 3" xfId="26240" xr:uid="{B195CFD4-A47D-4153-94C5-8AC88070EC0C}"/>
    <cellStyle name="强调文字颜色 4 32" xfId="8426" xr:uid="{E625235E-38C1-42C5-9DA7-5C489036FD92}"/>
    <cellStyle name="强调文字颜色 4 32 2" xfId="26243" xr:uid="{890080B1-8D85-49F6-89A6-FDF3EA95C84F}"/>
    <cellStyle name="强调文字颜色 4 32 3" xfId="26242" xr:uid="{EC86FE2F-C4B4-4C51-8095-291E8EB047D8}"/>
    <cellStyle name="强调文字颜色 4 33" xfId="8428" xr:uid="{0FC84BF3-990B-47DA-AED7-5DE458E1F19A}"/>
    <cellStyle name="强调文字颜色 4 33 2" xfId="26245" xr:uid="{AF1763DE-5189-49D6-9656-2A896A819A5D}"/>
    <cellStyle name="强调文字颜色 4 33 3" xfId="26244" xr:uid="{474A3725-BEFE-4EA4-97EF-E29761D00418}"/>
    <cellStyle name="强调文字颜色 4 34" xfId="8430" xr:uid="{87EC0B3F-F2EE-497C-9307-BC7C8CA3DF3B}"/>
    <cellStyle name="强调文字颜色 4 34 2" xfId="13931" xr:uid="{2AEE2997-C707-4EF8-86AE-057C8ED73328}"/>
    <cellStyle name="强调文字颜色 4 34 2 2" xfId="26247" xr:uid="{DC9A0BA3-D8B2-400B-A084-254F3FE1A37D}"/>
    <cellStyle name="强调文字颜色 4 34 3" xfId="26246" xr:uid="{C3701389-3A00-4DD8-8D78-AF63A58D4EA5}"/>
    <cellStyle name="强调文字颜色 4 35" xfId="8433" xr:uid="{B6360E91-E2A6-4ACE-AF70-F08B9BA60D3A}"/>
    <cellStyle name="强调文字颜色 4 35 2" xfId="13932" xr:uid="{2488D91E-9226-4195-8521-1A56CE6D5795}"/>
    <cellStyle name="强调文字颜色 4 35 2 2" xfId="26249" xr:uid="{3BCB5A61-2283-4CA1-B8D5-810C6B51112A}"/>
    <cellStyle name="强调文字颜色 4 35 3" xfId="26248" xr:uid="{7DA0A6D9-E159-4B4A-8386-12949B811351}"/>
    <cellStyle name="强调文字颜色 4 36" xfId="8435" xr:uid="{141E73E9-85C6-4B3A-8842-DD16E96F3D4C}"/>
    <cellStyle name="强调文字颜色 4 36 2" xfId="13933" xr:uid="{00A003B5-C906-4373-91E9-276FFCBBA41D}"/>
    <cellStyle name="强调文字颜色 4 36 2 2" xfId="26251" xr:uid="{435A764C-D175-45CC-BC44-E9258AF6928B}"/>
    <cellStyle name="强调文字颜色 4 36 3" xfId="26250" xr:uid="{8021575A-BD6B-4AC2-AC99-EE68106137C2}"/>
    <cellStyle name="强调文字颜色 4 37" xfId="68" xr:uid="{1DEE7853-44C1-4345-AEC3-A4E669435A19}"/>
    <cellStyle name="强调文字颜色 4 37 2" xfId="13934" xr:uid="{1F297D56-A5E6-495C-B811-D1B9DDF6142E}"/>
    <cellStyle name="强调文字颜色 4 37 2 2" xfId="26253" xr:uid="{9CB1B957-1341-4CF8-B44D-F2C0FC6DEBAA}"/>
    <cellStyle name="强调文字颜色 4 37 3" xfId="26252" xr:uid="{9D2D5055-4DD6-4419-B082-8D4BD96759DA}"/>
    <cellStyle name="强调文字颜色 4 38" xfId="7283" xr:uid="{0E7A690D-8119-41C0-84CC-C2D4D9B0128C}"/>
    <cellStyle name="强调文字颜色 4 38 2" xfId="13935" xr:uid="{9BAE9F43-2E2A-4471-A479-507B5A449EA9}"/>
    <cellStyle name="强调文字颜色 4 38 2 2" xfId="26255" xr:uid="{EB99FB60-38CB-4ABD-9E66-943B86EC9C53}"/>
    <cellStyle name="强调文字颜色 4 38 3" xfId="26254" xr:uid="{16C48AA3-7320-46A6-B084-88DF706AA205}"/>
    <cellStyle name="强调文字颜色 4 39" xfId="5663" xr:uid="{CCBC2505-35BC-4F50-9F7C-80A9B63DBD83}"/>
    <cellStyle name="强调文字颜色 4 39 2" xfId="13936" xr:uid="{7FA8D697-F806-4060-B01C-82C7F15036DF}"/>
    <cellStyle name="强调文字颜色 4 39 2 2" xfId="26257" xr:uid="{8930BAE2-4473-4BEA-8085-D6193BBAAA76}"/>
    <cellStyle name="强调文字颜色 4 39 3" xfId="26256" xr:uid="{7D5BE2E7-B9F8-4E3F-A937-89BFD237F3BB}"/>
    <cellStyle name="强调文字颜色 4 4" xfId="8437" xr:uid="{22EBE736-C307-4962-B12E-1CA9FB43FF75}"/>
    <cellStyle name="强调文字颜色 4 4 2" xfId="8438" xr:uid="{8D3D1337-C47F-4BBB-8B98-33B4ECD9A501}"/>
    <cellStyle name="强调文字颜色 4 4 2 2" xfId="11612" xr:uid="{ECFA145E-A9E0-4828-8F62-53EBEACC0F05}"/>
    <cellStyle name="强调文字颜色 4 4 2 3" xfId="26259" xr:uid="{032137DF-469A-4224-B83E-01180423BD41}"/>
    <cellStyle name="强调文字颜色 4 4 3" xfId="11613" xr:uid="{59B62773-BCE0-49CA-AF63-21CF02DF2E9C}"/>
    <cellStyle name="强调文字颜色 4 4 3 2" xfId="26261" xr:uid="{4DAB70E2-11ED-41FD-9849-6AE1A905641F}"/>
    <cellStyle name="强调文字颜色 4 4 3 3" xfId="26260" xr:uid="{032CF73D-EF4F-44F2-8B6C-BC9E980B096E}"/>
    <cellStyle name="强调文字颜色 4 4 4" xfId="11611" xr:uid="{0233087F-9EBA-482D-B774-584262D2F67B}"/>
    <cellStyle name="强调文字颜色 4 4 5" xfId="26258" xr:uid="{BB4CCA2C-2696-4911-96DB-20AD7CA6C736}"/>
    <cellStyle name="强调文字颜色 4 40" xfId="8434" xr:uid="{C9B7C656-EE99-4A3F-A787-9098AA366224}"/>
    <cellStyle name="强调文字颜色 4 40 2" xfId="13937" xr:uid="{15F10647-031E-4036-A6A1-F25E21D5C78F}"/>
    <cellStyle name="强调文字颜色 4 40 2 2" xfId="26263" xr:uid="{5CF0FA28-B5FC-42BE-A24B-A28F60262752}"/>
    <cellStyle name="强调文字颜色 4 40 3" xfId="26262" xr:uid="{71C54D6F-83DD-424D-A657-E61A6E137048}"/>
    <cellStyle name="强调文字颜色 4 41" xfId="8436" xr:uid="{D4F136C0-6866-4F8E-AE47-361D1892BA60}"/>
    <cellStyle name="强调文字颜色 4 41 2" xfId="13938" xr:uid="{96923159-7A1F-4CA0-8D2C-588BB62A4646}"/>
    <cellStyle name="强调文字颜色 4 41 2 2" xfId="26265" xr:uid="{C6DC813E-3056-489D-9FCC-66E4EB623E69}"/>
    <cellStyle name="强调文字颜色 4 41 3" xfId="26264" xr:uid="{F951C331-3F38-4351-B5BE-B869209FF3CD}"/>
    <cellStyle name="强调文字颜色 4 42" xfId="67" xr:uid="{62DB4C28-29CD-44E8-B5D9-8ADF17CDF04B}"/>
    <cellStyle name="强调文字颜色 4 42 2" xfId="13939" xr:uid="{8442EC88-500C-4147-B6B3-BF63F5962197}"/>
    <cellStyle name="强调文字颜色 4 42 2 2" xfId="26267" xr:uid="{79180E2C-4231-48B4-8A6E-69548096082F}"/>
    <cellStyle name="强调文字颜色 4 42 3" xfId="26266" xr:uid="{AF44E2EA-8AEE-45C2-968B-1846802575CA}"/>
    <cellStyle name="强调文字颜色 4 43" xfId="7284" xr:uid="{5CD42D00-E1E4-407E-B525-CD10FD33E903}"/>
    <cellStyle name="强调文字颜色 4 43 2" xfId="13940" xr:uid="{88FED519-4BF4-4CA3-8590-370D8DFA55D4}"/>
    <cellStyle name="强调文字颜色 4 43 2 2" xfId="26269" xr:uid="{CBFCB030-9511-4FE9-A453-950BE880DDAA}"/>
    <cellStyle name="强调文字颜色 4 43 3" xfId="26268" xr:uid="{35201D5F-ABDC-4A32-A48D-FC28A4D48FCA}"/>
    <cellStyle name="强调文字颜色 4 44" xfId="5664" xr:uid="{0F26F504-9BD9-4D87-B05E-B2565D178140}"/>
    <cellStyle name="强调文字颜色 4 44 2" xfId="13941" xr:uid="{70BEAAA7-8013-4191-83AD-CCA4C1BC032C}"/>
    <cellStyle name="强调文字颜色 4 44 2 2" xfId="26271" xr:uid="{11D933DD-D1D2-45F5-B9C5-829FCBB1E14E}"/>
    <cellStyle name="强调文字颜色 4 44 3" xfId="26270" xr:uid="{42038383-A7D1-4FF8-9E00-3525CE7D75A7}"/>
    <cellStyle name="强调文字颜色 4 45" xfId="8439" xr:uid="{04B31A03-FA1B-4321-B03F-0D9CB783C519}"/>
    <cellStyle name="强调文字颜色 4 45 2" xfId="13942" xr:uid="{2F2F981B-B935-4867-B876-711E6FD6EB1F}"/>
    <cellStyle name="强调文字颜色 4 45 2 2" xfId="26273" xr:uid="{DF8F0FE2-9A7E-4CF0-9E57-BC63EF43844D}"/>
    <cellStyle name="强调文字颜色 4 45 3" xfId="26272" xr:uid="{6ACCF6F4-6625-438F-93D7-625E63217688}"/>
    <cellStyle name="强调文字颜色 4 46" xfId="8441" xr:uid="{B3ACB1BB-14AE-4683-B3B6-6E963F1D069F}"/>
    <cellStyle name="强调文字颜色 4 46 2" xfId="13943" xr:uid="{1B59321F-0A9A-477C-877D-E793D58737C6}"/>
    <cellStyle name="强调文字颜色 4 46 2 2" xfId="26275" xr:uid="{EAD65C00-F4F7-4C32-8DEA-5A71A417F3BB}"/>
    <cellStyle name="强调文字颜色 4 46 3" xfId="26274" xr:uid="{C81E3DAE-3ED9-4E71-940A-4378A8F3F7DE}"/>
    <cellStyle name="强调文字颜色 4 47" xfId="8443" xr:uid="{684F02D3-CE98-4412-8D00-624C63E1222A}"/>
    <cellStyle name="强调文字颜色 4 47 2" xfId="13944" xr:uid="{DD4F56A4-A5B0-4027-97EF-32D01BA00895}"/>
    <cellStyle name="强调文字颜色 4 47 3" xfId="26276" xr:uid="{C9978AA2-AC8C-4678-9BDA-5A1EED92E35D}"/>
    <cellStyle name="强调文字颜色 4 48" xfId="8445" xr:uid="{D9BFC576-9346-4FD9-95AD-09800810597E}"/>
    <cellStyle name="强调文字颜色 4 48 2" xfId="13945" xr:uid="{3593B52C-0198-4E75-9F40-6904D7A012B7}"/>
    <cellStyle name="强调文字颜色 4 48 3" xfId="26277" xr:uid="{82631510-4955-4DD8-BE19-8B2B4AA8BC00}"/>
    <cellStyle name="强调文字颜色 4 49" xfId="8447" xr:uid="{777E91A1-96B8-4768-80C1-027945C1CE90}"/>
    <cellStyle name="强调文字颜色 4 49 2" xfId="13946" xr:uid="{AB03168B-3AE8-4D9B-BA8C-C8D4E7CDB0E2}"/>
    <cellStyle name="强调文字颜色 4 49 3" xfId="26278" xr:uid="{B89697D8-8A99-47C6-8E9B-780C0FC15F23}"/>
    <cellStyle name="强调文字颜色 4 5" xfId="8449" xr:uid="{1686BC1A-142B-49CF-837B-D164DB88B7AE}"/>
    <cellStyle name="强调文字颜色 4 5 2" xfId="8450" xr:uid="{6142EF93-DE2E-43C2-9D6D-AE3CEFE17980}"/>
    <cellStyle name="强调文字颜色 4 5 2 2" xfId="11615" xr:uid="{08385B77-07B2-4521-B972-96DDA64E5D14}"/>
    <cellStyle name="强调文字颜色 4 5 2 3" xfId="26280" xr:uid="{D824E7B3-8399-4373-9A58-4AAF87353224}"/>
    <cellStyle name="强调文字颜色 4 5 3" xfId="11616" xr:uid="{6F0CD7FB-372F-49B0-B8AF-D3029B173236}"/>
    <cellStyle name="强调文字颜色 4 5 4" xfId="11614" xr:uid="{BA626313-914C-48F0-8EAB-12643B0018FA}"/>
    <cellStyle name="强调文字颜色 4 5 5" xfId="26279" xr:uid="{68190EFC-C5D5-48D6-B7E7-BD718C7463ED}"/>
    <cellStyle name="强调文字颜色 4 50" xfId="8440" xr:uid="{2C03EF4D-AEA2-41BB-B44D-E704CCBF085C}"/>
    <cellStyle name="强调文字颜色 4 50 2" xfId="13947" xr:uid="{F7AF9754-7CCA-46EC-A537-B29635AC5D04}"/>
    <cellStyle name="强调文字颜色 4 50 3" xfId="26281" xr:uid="{07417C86-8526-4646-8772-5503FC447D95}"/>
    <cellStyle name="强调文字颜色 4 51" xfId="8442" xr:uid="{DE655E4A-993A-43FB-878A-B81E38D79716}"/>
    <cellStyle name="强调文字颜色 4 51 2" xfId="13948" xr:uid="{77ACD428-7B77-47BD-B047-6F0B57204B75}"/>
    <cellStyle name="强调文字颜色 4 51 3" xfId="26282" xr:uid="{5E403646-169D-4CA3-A470-345C24BF295B}"/>
    <cellStyle name="强调文字颜色 4 52" xfId="8444" xr:uid="{2AF24550-5EC0-4DFD-B9DF-5AFAAB18ED6E}"/>
    <cellStyle name="强调文字颜色 4 52 2" xfId="13949" xr:uid="{12242B8E-61E4-47A2-9678-18FC8DEEFBB3}"/>
    <cellStyle name="强调文字颜色 4 52 3" xfId="26283" xr:uid="{BC23246E-0F06-449D-BADC-9A5C930BDFEF}"/>
    <cellStyle name="强调文字颜色 4 53" xfId="8446" xr:uid="{18847661-A93D-4135-B863-925FC1C3096F}"/>
    <cellStyle name="强调文字颜色 4 53 2" xfId="13950" xr:uid="{13E74A86-0BF5-487A-98A8-EE07AA9A9907}"/>
    <cellStyle name="强调文字颜色 4 53 3" xfId="26284" xr:uid="{A5E6BD9A-FDC0-4803-8E2F-494157B2BAF5}"/>
    <cellStyle name="强调文字颜色 4 54" xfId="8448" xr:uid="{56C8CAD0-B39E-43E9-B606-1B5854445189}"/>
    <cellStyle name="强调文字颜色 4 54 2" xfId="13951" xr:uid="{8F3D07E6-15EB-4F73-AFEA-92300E506A75}"/>
    <cellStyle name="强调文字颜色 4 54 3" xfId="26285" xr:uid="{F6B5374A-5C25-431D-AB2A-3067FCC24C8E}"/>
    <cellStyle name="强调文字颜色 4 55" xfId="8451" xr:uid="{A1C21BFF-A5E9-46C5-BE09-79986AFCF594}"/>
    <cellStyle name="强调文字颜色 4 55 2" xfId="13952" xr:uid="{D3A6BD39-CC2C-44C3-AD5B-43DB642384B9}"/>
    <cellStyle name="强调文字颜色 4 55 3" xfId="26286" xr:uid="{710C014D-7AF7-4043-B79D-4CD701E33958}"/>
    <cellStyle name="强调文字颜色 4 56" xfId="8453" xr:uid="{EA612880-008A-41A2-92B8-EE42E1844EAB}"/>
    <cellStyle name="强调文字颜色 4 56 2" xfId="13953" xr:uid="{25855C6D-E0BA-4D85-846B-C1B9A88169CC}"/>
    <cellStyle name="强调文字颜色 4 56 3" xfId="26287" xr:uid="{0F71D4BA-356F-42E8-B6A0-0A2FA072EDFE}"/>
    <cellStyle name="强调文字颜色 4 57" xfId="8455" xr:uid="{F1329F76-C443-42CA-8F3E-B0586F99A5C6}"/>
    <cellStyle name="强调文字颜色 4 57 2" xfId="13954" xr:uid="{71AF680D-E63C-4827-9258-CE7D3F1B498D}"/>
    <cellStyle name="强调文字颜色 4 58" xfId="8457" xr:uid="{0901F3CD-680C-41F9-A8F2-88D0685133EF}"/>
    <cellStyle name="强调文字颜色 4 58 2" xfId="13955" xr:uid="{C9EB5495-94ED-48E6-A05B-B72435C61D94}"/>
    <cellStyle name="强调文字颜色 4 59" xfId="8459" xr:uid="{771F090C-7306-49DC-912C-D98171E630AB}"/>
    <cellStyle name="强调文字颜色 4 59 2" xfId="13956" xr:uid="{EF35CA02-A697-455F-9F2A-264156896926}"/>
    <cellStyle name="强调文字颜色 4 6" xfId="8461" xr:uid="{1767C002-D1D5-41D4-9DB1-4288A693BBC0}"/>
    <cellStyle name="强调文字颜色 4 6 2" xfId="8462" xr:uid="{F7010784-D63B-4D3C-B902-36AF048980DC}"/>
    <cellStyle name="强调文字颜色 4 6 2 2" xfId="11618" xr:uid="{DE1DAEE9-573E-40A3-88CD-F67E093553EC}"/>
    <cellStyle name="强调文字颜色 4 6 2 3" xfId="26289" xr:uid="{60039FFB-161B-4B91-A747-4CC711E8D40C}"/>
    <cellStyle name="强调文字颜色 4 6 3" xfId="11619" xr:uid="{AA4CD461-60FC-46FC-8F17-50CE7FE5EF33}"/>
    <cellStyle name="强调文字颜色 4 6 4" xfId="11617" xr:uid="{6E3C0A87-2306-42AD-A4E6-CF6838A3907B}"/>
    <cellStyle name="强调文字颜色 4 6 5" xfId="26288" xr:uid="{B4C49E8A-DE42-440C-9BB5-5CD8979A9A76}"/>
    <cellStyle name="强调文字颜色 4 60" xfId="8452" xr:uid="{B8A34AA2-D7CF-43E8-9406-51938205BE24}"/>
    <cellStyle name="强调文字颜色 4 60 2" xfId="13957" xr:uid="{3B564D78-C556-4D48-B795-0502C5CDB3FD}"/>
    <cellStyle name="强调文字颜色 4 61" xfId="8454" xr:uid="{86B40F1D-43CD-442D-B67E-A56FDB8AA63A}"/>
    <cellStyle name="强调文字颜色 4 61 2" xfId="13958" xr:uid="{CADC48EE-7ABA-449A-B2FA-DDC1D2117B7D}"/>
    <cellStyle name="强调文字颜色 4 62" xfId="8456" xr:uid="{F9DF8273-F86D-455D-A73E-63021C74E3F9}"/>
    <cellStyle name="强调文字颜色 4 62 2" xfId="13959" xr:uid="{E97F0EE3-0FF3-4157-A90B-1A64BD0432E1}"/>
    <cellStyle name="强调文字颜色 4 63" xfId="8458" xr:uid="{2ED5978E-7F04-4AF6-AEB8-D1389B08E4E2}"/>
    <cellStyle name="强调文字颜色 4 63 2" xfId="13960" xr:uid="{8D6168F5-79E7-40BB-A5BF-7C1104084CB0}"/>
    <cellStyle name="强调文字颜色 4 64" xfId="8460" xr:uid="{C98FEC46-A442-4CE6-815B-FF01CCA5E49F}"/>
    <cellStyle name="强调文字颜色 4 64 2" xfId="13961" xr:uid="{46D20A95-9CF7-41C2-9E8C-546B09F1D599}"/>
    <cellStyle name="强调文字颜色 4 65" xfId="8463" xr:uid="{94EFF933-5DB4-4F4F-8B21-405D6B75CAAC}"/>
    <cellStyle name="强调文字颜色 4 65 2" xfId="13962" xr:uid="{8FB0323A-688F-4477-AE03-4E3DD716A596}"/>
    <cellStyle name="强调文字颜色 4 66" xfId="8465" xr:uid="{B0DC2719-BFF4-4DFA-821C-8C84D3683E1F}"/>
    <cellStyle name="强调文字颜色 4 66 2" xfId="13963" xr:uid="{34747FAF-C2EC-4BD9-8973-2E8719B28123}"/>
    <cellStyle name="强调文字颜色 4 67" xfId="8467" xr:uid="{466A54B7-A4A7-4A1C-9820-CAB2C0BA821B}"/>
    <cellStyle name="强调文字颜色 4 67 2" xfId="13964" xr:uid="{6DE1E0E8-2903-4E18-BC26-F7029A75C037}"/>
    <cellStyle name="强调文字颜色 4 68" xfId="8469" xr:uid="{D65BFD3B-0360-4222-B6D9-8A2EE75BA1DC}"/>
    <cellStyle name="强调文字颜色 4 68 2" xfId="13965" xr:uid="{A32EFA7E-73AD-4DA9-9A0C-2AACF8C6C9F5}"/>
    <cellStyle name="强调文字颜色 4 69" xfId="8471" xr:uid="{73C61DA5-A44D-492D-AD31-C2DF7E70D651}"/>
    <cellStyle name="强调文字颜色 4 69 2" xfId="13966" xr:uid="{640BC449-212E-41B8-8A31-1AFAA17C13BD}"/>
    <cellStyle name="强调文字颜色 4 7" xfId="8473" xr:uid="{64502C17-2672-4AB5-834E-130D328B2C2D}"/>
    <cellStyle name="强调文字颜色 4 7 2" xfId="8474" xr:uid="{97445FFF-4902-485F-96D9-B641183D4132}"/>
    <cellStyle name="强调文字颜色 4 7 2 2" xfId="11621" xr:uid="{A6A9C130-7C5D-434D-B087-1833CF1583C4}"/>
    <cellStyle name="强调文字颜色 4 7 2 3" xfId="26291" xr:uid="{2FD5A2AB-107A-4F80-B356-8BA6ED6D3DDD}"/>
    <cellStyle name="强调文字颜色 4 7 3" xfId="11622" xr:uid="{21632611-F912-4716-83E3-766225428D8D}"/>
    <cellStyle name="强调文字颜色 4 7 4" xfId="11620" xr:uid="{70480812-41E2-400B-90D4-36C3F692D216}"/>
    <cellStyle name="强调文字颜色 4 7 5" xfId="26290" xr:uid="{D90017A8-B076-4AF8-B0AC-8617EDFF306A}"/>
    <cellStyle name="强调文字颜色 4 70" xfId="8464" xr:uid="{4D9D2DF8-5D99-4B13-9621-ED3BA32CB8E4}"/>
    <cellStyle name="强调文字颜色 4 70 2" xfId="13967" xr:uid="{AFC63E12-E9D2-413E-9819-8BB1AD9C44A6}"/>
    <cellStyle name="强调文字颜色 4 71" xfId="8466" xr:uid="{13832BFF-73A0-4E58-BE48-558B71AD892D}"/>
    <cellStyle name="强调文字颜色 4 71 2" xfId="13968" xr:uid="{FA78F28C-69EE-4771-A81A-DB4484716336}"/>
    <cellStyle name="强调文字颜色 4 72" xfId="8468" xr:uid="{36BF43D8-DD96-4716-B6D1-DB2E07C022C3}"/>
    <cellStyle name="强调文字颜色 4 72 2" xfId="13969" xr:uid="{04EA2BA7-60A3-4256-B0FE-07FE0A479EEA}"/>
    <cellStyle name="强调文字颜色 4 73" xfId="8470" xr:uid="{A3D17569-2568-469A-96E2-6F6051A7F97C}"/>
    <cellStyle name="强调文字颜色 4 73 2" xfId="13970" xr:uid="{E8BDD7F4-007D-43F6-BAA1-814B15F06E97}"/>
    <cellStyle name="强调文字颜色 4 74" xfId="8472" xr:uid="{4B793F78-69C0-48E8-8125-DD34696ACC62}"/>
    <cellStyle name="强调文字颜色 4 74 2" xfId="13971" xr:uid="{F9A935F1-DBB9-4A91-ADA2-D12B58AC66C0}"/>
    <cellStyle name="强调文字颜色 4 75" xfId="8475" xr:uid="{3E169887-D43C-4A74-AD03-6DA2FAA7A316}"/>
    <cellStyle name="强调文字颜色 4 75 2" xfId="13972" xr:uid="{EEB7A46B-400A-4C53-84F8-C2ACAE592123}"/>
    <cellStyle name="强调文字颜色 4 76" xfId="8477" xr:uid="{C5CAF0BB-BD50-48AC-9C8F-76CE378AEBD3}"/>
    <cellStyle name="强调文字颜色 4 76 2" xfId="13973" xr:uid="{065E49B9-CEAE-4265-8878-F936635E5040}"/>
    <cellStyle name="强调文字颜色 4 77" xfId="8479" xr:uid="{167C644B-E9CB-4483-96AE-C2EFFF7E0A12}"/>
    <cellStyle name="强调文字颜色 4 77 2" xfId="13974" xr:uid="{9270C225-725F-4ACE-BC5A-3610D3E9A48A}"/>
    <cellStyle name="强调文字颜色 4 78" xfId="8481" xr:uid="{5B42CD4D-9AF5-45C1-9F74-66AB2747EA24}"/>
    <cellStyle name="强调文字颜色 4 78 2" xfId="13975" xr:uid="{616E5DA1-47D9-456A-B56E-8676BB9103A3}"/>
    <cellStyle name="强调文字颜色 4 79" xfId="8483" xr:uid="{9CA7EA7E-93BD-41CE-866C-CDB3399769E2}"/>
    <cellStyle name="强调文字颜色 4 79 2" xfId="13976" xr:uid="{56923CB4-ADD0-44E7-8CF4-13CB89076626}"/>
    <cellStyle name="强调文字颜色 4 8" xfId="8485" xr:uid="{258E0890-AC2A-4610-9410-6C6040A0E969}"/>
    <cellStyle name="强调文字颜色 4 8 2" xfId="8486" xr:uid="{9770AA5D-5640-4BB5-BCE2-96A8865C803E}"/>
    <cellStyle name="强调文字颜色 4 8 2 2" xfId="11624" xr:uid="{A30121C5-951C-4B93-9039-610D5D85BABB}"/>
    <cellStyle name="强调文字颜色 4 8 2 3" xfId="26293" xr:uid="{6EDA3114-9FE5-4983-B7A0-7406DD180BEC}"/>
    <cellStyle name="强调文字颜色 4 8 3" xfId="11625" xr:uid="{74E7FF1E-355A-41CC-9A85-73FE0848669F}"/>
    <cellStyle name="强调文字颜色 4 8 4" xfId="11623" xr:uid="{651BB36A-0BA8-47FD-A406-156789E816BF}"/>
    <cellStyle name="强调文字颜色 4 8 5" xfId="26292" xr:uid="{993F74EB-5D00-4A42-BB46-29CF41B094B8}"/>
    <cellStyle name="强调文字颜色 4 80" xfId="8476" xr:uid="{8F3AB7E0-241F-480E-A15C-E46E0087FC02}"/>
    <cellStyle name="强调文字颜色 4 80 2" xfId="13977" xr:uid="{B0098386-48A4-43BF-A39C-B2072DEF924B}"/>
    <cellStyle name="强调文字颜色 4 81" xfId="8478" xr:uid="{7867BAAC-48D0-46CE-BFEF-4302E9D10988}"/>
    <cellStyle name="强调文字颜色 4 81 2" xfId="13978" xr:uid="{70D278B9-1460-4C88-A102-F1EE58F93116}"/>
    <cellStyle name="强调文字颜色 4 82" xfId="8480" xr:uid="{C266B627-A50E-40B7-8585-9964898207E7}"/>
    <cellStyle name="强调文字颜色 4 82 2" xfId="13979" xr:uid="{910F149C-E217-4439-9AE7-DB07042D13B0}"/>
    <cellStyle name="强调文字颜色 4 83" xfId="8482" xr:uid="{CAAC9919-3A41-473D-A3B6-CBD6A18D858B}"/>
    <cellStyle name="强调文字颜色 4 83 2" xfId="13980" xr:uid="{1E7A71D0-9157-4453-8301-9ADEE2407D51}"/>
    <cellStyle name="强调文字颜色 4 84" xfId="8484" xr:uid="{4CE3959D-E818-4EEC-BAE0-59D1D25F0B13}"/>
    <cellStyle name="强调文字颜色 4 84 2" xfId="13981" xr:uid="{81EABC26-06D8-4C79-BA30-8C05A53CEE53}"/>
    <cellStyle name="强调文字颜色 4 85" xfId="9348" xr:uid="{046960CB-79E0-43D5-80FD-7EB54C00C4E3}"/>
    <cellStyle name="强调文字颜色 4 86" xfId="11575" xr:uid="{CFB25122-8C32-474C-A24E-6612F2DF7F12}"/>
    <cellStyle name="强调文字颜色 4 87" xfId="13565" xr:uid="{FDEBD196-D3E0-42FB-B9B7-BAB229EB261E}"/>
    <cellStyle name="强调文字颜色 4 88" xfId="27139" xr:uid="{1981F0A2-9DCF-45EA-AB14-5AE509CBCA8B}"/>
    <cellStyle name="强调文字颜色 4 89" xfId="27185" xr:uid="{52A37163-6FA1-4C9E-88EB-7BADAF639DD3}"/>
    <cellStyle name="强调文字颜色 4 9" xfId="8487" xr:uid="{930A4696-96C1-4EF3-BDC9-6BB02E13AD38}"/>
    <cellStyle name="强调文字颜色 4 9 2" xfId="11627" xr:uid="{50E65193-628F-4A9A-BE2F-15C773541B97}"/>
    <cellStyle name="强调文字颜色 4 9 2 2" xfId="26296" xr:uid="{511C8F16-6604-42C9-A933-745CDDA11474}"/>
    <cellStyle name="强调文字颜色 4 9 2 3" xfId="26295" xr:uid="{CC0C4F1A-214C-497D-94C2-F973C8592A8A}"/>
    <cellStyle name="强调文字颜色 4 9 3" xfId="11628" xr:uid="{3F21CEF0-62F9-4A25-AC68-2AB19A292B3D}"/>
    <cellStyle name="强调文字颜色 4 9 4" xfId="11626" xr:uid="{52C69267-FAA9-4AA7-85DF-DBF246C5B13A}"/>
    <cellStyle name="强调文字颜色 4 9 5" xfId="26294" xr:uid="{5D06F135-A4EE-40B0-A98D-FAB1FE5BF4D1}"/>
    <cellStyle name="强调文字颜色 4 90" xfId="27140" xr:uid="{EC71C855-E20F-4B40-946F-EE5D7802FFD3}"/>
    <cellStyle name="强调文字颜色 5" xfId="8488" xr:uid="{550FC2EC-C8FE-4D0F-B374-DCC1966191E6}"/>
    <cellStyle name="强调文字颜色 5 10" xfId="8489" xr:uid="{CF510FB6-CC8E-437F-8699-4F729AE18E27}"/>
    <cellStyle name="强调文字颜色 5 10 2" xfId="11631" xr:uid="{3E5B597C-9A06-40F1-9A6F-11DA45C1BDAA}"/>
    <cellStyle name="强调文字颜色 5 10 2 2" xfId="26299" xr:uid="{E71C28FA-1A94-4503-9DB3-28AD7D341B52}"/>
    <cellStyle name="强调文字颜色 5 10 2 3" xfId="26298" xr:uid="{899C8A38-A32B-4267-BBA4-62B7F975E87F}"/>
    <cellStyle name="强调文字颜色 5 10 3" xfId="11632" xr:uid="{C1C33D34-581A-4875-8AB0-8FBDECD5B0CD}"/>
    <cellStyle name="强调文字颜色 5 10 4" xfId="11630" xr:uid="{ED5F4184-ECA1-4BAA-9056-ED66CD41398F}"/>
    <cellStyle name="强调文字颜色 5 10 5" xfId="26297" xr:uid="{78E3ACF9-C15E-4ED9-8676-87B2BAE5DA2E}"/>
    <cellStyle name="强调文字颜色 5 11" xfId="8490" xr:uid="{2E6F1601-E141-4F5E-8946-5B6B52ECE8CF}"/>
    <cellStyle name="强调文字颜色 5 11 2" xfId="11634" xr:uid="{FDC1AA2B-99B3-4784-A42E-873CC39DFAD1}"/>
    <cellStyle name="强调文字颜色 5 11 2 2" xfId="26302" xr:uid="{AF1B68F2-096C-4E93-80C2-72D647CA7AA1}"/>
    <cellStyle name="强调文字颜色 5 11 2 3" xfId="26301" xr:uid="{14859840-28D9-41E2-87F1-72ED52272014}"/>
    <cellStyle name="强调文字颜色 5 11 3" xfId="11635" xr:uid="{3C15A3E2-54E1-4955-9AB9-490EDFA211A0}"/>
    <cellStyle name="强调文字颜色 5 11 4" xfId="11633" xr:uid="{65B0D311-7216-4782-9A96-3630FB0D1484}"/>
    <cellStyle name="强调文字颜色 5 11 5" xfId="26300" xr:uid="{55A2041E-1B3F-4C02-9BCF-05C6AF384BDD}"/>
    <cellStyle name="强调文字颜色 5 12" xfId="8491" xr:uid="{53AA31AD-9A11-4E55-9223-F37B175452B7}"/>
    <cellStyle name="强调文字颜色 5 12 2" xfId="11637" xr:uid="{C994864F-2541-438E-962E-694C3DECD080}"/>
    <cellStyle name="强调文字颜色 5 12 2 2" xfId="26305" xr:uid="{28E5130C-3B69-4880-A28E-86EBA1F87F80}"/>
    <cellStyle name="强调文字颜色 5 12 2 3" xfId="26304" xr:uid="{FF12D794-8D8A-4BE5-BC70-4DEBCB29171E}"/>
    <cellStyle name="强调文字颜色 5 12 3" xfId="11638" xr:uid="{1E9DFD27-5A34-4C81-A86E-21E85F358EB0}"/>
    <cellStyle name="强调文字颜色 5 12 4" xfId="11636" xr:uid="{74E572DC-5A99-4207-88D8-74260C2C75BB}"/>
    <cellStyle name="强调文字颜色 5 12 5" xfId="26303" xr:uid="{205B0016-FF23-4580-9C13-077D90700BB0}"/>
    <cellStyle name="强调文字颜色 5 13" xfId="8492" xr:uid="{B2A9D349-972A-4557-B937-A4E456BFF977}"/>
    <cellStyle name="强调文字颜色 5 13 2" xfId="11640" xr:uid="{0E6604BE-6413-44E5-8F62-B68EB0D1A5ED}"/>
    <cellStyle name="强调文字颜色 5 13 2 2" xfId="26307" xr:uid="{16020F6C-7820-49B0-8EEE-1D7E1086AD66}"/>
    <cellStyle name="强调文字颜色 5 13 3" xfId="11641" xr:uid="{4BFD70E6-BE21-4132-AC51-B179E715D691}"/>
    <cellStyle name="强调文字颜色 5 13 4" xfId="11639" xr:uid="{E5947D42-F71F-40E8-B858-BBFDD91B1731}"/>
    <cellStyle name="强调文字颜色 5 13 5" xfId="26306" xr:uid="{26A988C5-7159-49D1-B407-428C3764B74F}"/>
    <cellStyle name="强调文字颜色 5 14" xfId="8493" xr:uid="{0C3EA64E-3743-4305-A818-6D36A437CF29}"/>
    <cellStyle name="强调文字颜色 5 14 2" xfId="11643" xr:uid="{BFE76C1C-9920-452B-BD84-BCA2C4904D68}"/>
    <cellStyle name="强调文字颜色 5 14 2 2" xfId="26309" xr:uid="{F0BA7EBA-EEEC-4156-990D-12353597790B}"/>
    <cellStyle name="强调文字颜色 5 14 3" xfId="11644" xr:uid="{11CC7953-FAED-4C1E-9AB5-6BC5B42894D3}"/>
    <cellStyle name="强调文字颜色 5 14 4" xfId="11642" xr:uid="{19F6295B-2DB5-4B26-A93E-FC778A194661}"/>
    <cellStyle name="强调文字颜色 5 14 5" xfId="26308" xr:uid="{61C93546-4E37-4F11-B372-C2A5280D0D1E}"/>
    <cellStyle name="强调文字颜色 5 15" xfId="8494" xr:uid="{EBBAF1F4-B302-4939-9641-A8A60989B919}"/>
    <cellStyle name="强调文字颜色 5 15 2" xfId="11646" xr:uid="{16172282-D299-405C-B4FA-B57C6D7C0195}"/>
    <cellStyle name="强调文字颜色 5 15 2 2" xfId="26311" xr:uid="{C2A95799-B367-4EE1-B998-E4A2183EAE99}"/>
    <cellStyle name="强调文字颜色 5 15 3" xfId="11647" xr:uid="{EA60FD89-830F-4147-8228-330BD153E3D9}"/>
    <cellStyle name="强调文字颜色 5 15 4" xfId="11645" xr:uid="{22866676-2FAB-40CC-936A-27A17D9E4FAE}"/>
    <cellStyle name="强调文字颜色 5 15 5" xfId="26310" xr:uid="{E9E43F17-34D2-48ED-89D5-8EA20744ACD7}"/>
    <cellStyle name="强调文字颜色 5 16" xfId="8496" xr:uid="{583A394C-5DF7-46C6-9253-C3BF49BF314C}"/>
    <cellStyle name="强调文字颜色 5 16 2" xfId="11649" xr:uid="{2BAAD06D-737F-4C6E-8A62-A0358A07C417}"/>
    <cellStyle name="强调文字颜色 5 16 2 2" xfId="26313" xr:uid="{681A909C-7266-4BD5-9A12-79F209773B6C}"/>
    <cellStyle name="强调文字颜色 5 16 3" xfId="11650" xr:uid="{181C2B89-D581-49A7-9E50-937197F4E7C1}"/>
    <cellStyle name="强调文字颜色 5 16 4" xfId="11648" xr:uid="{87FAF1E2-FEB4-48E8-91C4-F7312F7FCCAB}"/>
    <cellStyle name="强调文字颜色 5 16 5" xfId="26312" xr:uid="{D2389921-1841-4A8A-8AD6-C1FD87B3AD61}"/>
    <cellStyle name="强调文字颜色 5 17" xfId="8498" xr:uid="{B6EB8224-F10B-4E8C-B760-33BDE27BC8C1}"/>
    <cellStyle name="强调文字颜色 5 17 2" xfId="11652" xr:uid="{9C80AA76-6D57-4E10-A00F-216C208451B7}"/>
    <cellStyle name="强调文字颜色 5 17 2 2" xfId="26315" xr:uid="{34DCC7D7-0322-4DEC-91F7-CDC28A4AE5EF}"/>
    <cellStyle name="强调文字颜色 5 17 3" xfId="11653" xr:uid="{657DB882-43D5-441D-8FC7-6139052ED2D6}"/>
    <cellStyle name="强调文字颜色 5 17 4" xfId="11651" xr:uid="{7C8829B4-EDCA-4B6C-B376-CD2E762FD778}"/>
    <cellStyle name="强调文字颜色 5 17 5" xfId="26314" xr:uid="{8064046A-3C5B-4919-9AEA-4834FD0FCD9A}"/>
    <cellStyle name="强调文字颜色 5 18" xfId="8500" xr:uid="{1C293653-D014-4E46-9354-822C032A2317}"/>
    <cellStyle name="强调文字颜色 5 18 2" xfId="11654" xr:uid="{FA667132-977F-44E9-8995-30366EF212B0}"/>
    <cellStyle name="强调文字颜色 5 18 2 2" xfId="26317" xr:uid="{845678B5-DE40-4697-9484-B8C191FCC1F4}"/>
    <cellStyle name="强调文字颜色 5 18 3" xfId="26316" xr:uid="{CAAB55F4-19B5-4D85-BA6A-E1794F5F967E}"/>
    <cellStyle name="强调文字颜色 5 19" xfId="8502" xr:uid="{B5FFF147-0CA9-4950-A400-343AC76A7E75}"/>
    <cellStyle name="强调文字颜色 5 19 2" xfId="11655" xr:uid="{1B526B64-2643-4ECE-A8E0-5EECE0D56059}"/>
    <cellStyle name="强调文字颜色 5 19 2 2" xfId="26319" xr:uid="{BF3CE7C9-B81A-4550-A22E-3ECDCAA9AA8B}"/>
    <cellStyle name="强调文字颜色 5 19 3" xfId="26318" xr:uid="{0C785BC5-36A0-4A1D-AA84-4817C1EA398C}"/>
    <cellStyle name="强调文字颜色 5 2" xfId="8504" xr:uid="{8B35B57D-1590-4238-8AFF-D756A6933005}"/>
    <cellStyle name="强调文字颜色 5 2 10" xfId="8505" xr:uid="{D85BFF43-42EA-4B27-9B39-A45BC82F7F51}"/>
    <cellStyle name="强调文字颜色 5 2 11" xfId="8506" xr:uid="{5BD6AB5F-FA23-4C7E-9D3D-9DC422B10C4A}"/>
    <cellStyle name="强调文字颜色 5 2 12" xfId="8507" xr:uid="{AEAE00DD-1091-4293-9239-F7C13A7C4D13}"/>
    <cellStyle name="强调文字颜色 5 2 13" xfId="8508" xr:uid="{E5156F7B-9073-4FCA-8AE3-468F60907E29}"/>
    <cellStyle name="强调文字颜色 5 2 14" xfId="8509" xr:uid="{A425AACD-5266-46D5-9DB8-DE51B0F66DF1}"/>
    <cellStyle name="强调文字颜色 5 2 15" xfId="11656" xr:uid="{6FAC4D9E-F7DF-4F10-A2F5-BC924ED1B699}"/>
    <cellStyle name="强调文字颜色 5 2 16" xfId="12477" xr:uid="{E55A779F-786F-4381-BA68-659C099F5D2B}"/>
    <cellStyle name="强调文字颜色 5 2 2" xfId="8510" xr:uid="{32736CDE-623F-43D6-9F36-E6B5DCEAE59D}"/>
    <cellStyle name="强调文字颜色 5 2 2 2" xfId="11657" xr:uid="{AADE3EF7-C6F5-42B1-87AC-7AB33A9477C5}"/>
    <cellStyle name="强调文字颜色 5 2 2 2 2" xfId="26321" xr:uid="{DC065DB8-DE3C-4A93-A72B-ADDA2DC4F244}"/>
    <cellStyle name="强调文字颜色 5 2 2 3" xfId="26320" xr:uid="{326B15D6-08B4-4616-8ED0-4A93491C3259}"/>
    <cellStyle name="强调文字颜色 5 2 2 4" xfId="27643" xr:uid="{6083C480-7B3A-4F03-A1C2-F14AB514364D}"/>
    <cellStyle name="强调文字颜色 5 2 3" xfId="8511" xr:uid="{24C8BB31-CF24-4CC8-A9C7-76325E1603A1}"/>
    <cellStyle name="强调文字颜色 5 2 3 2" xfId="11658" xr:uid="{BBB86068-8120-4053-81D4-D22317FF0B52}"/>
    <cellStyle name="强调文字颜色 5 2 3 3" xfId="26322" xr:uid="{78B1AA0B-B9EF-4511-9B3B-6230CF9BA763}"/>
    <cellStyle name="强调文字颜色 5 2 3 4" xfId="27644" xr:uid="{181DFD5A-11A0-4D76-8558-6CA471988DCC}"/>
    <cellStyle name="强调文字颜色 5 2 4" xfId="8512" xr:uid="{57BC462C-EC25-4CE2-80F8-B01F72BCB65F}"/>
    <cellStyle name="强调文字颜色 5 2 4 2" xfId="26324" xr:uid="{4EA9287F-C295-4C14-9B4B-33DFE458EB12}"/>
    <cellStyle name="强调文字颜色 5 2 4 3" xfId="26323" xr:uid="{BF66F656-1F54-434F-92D9-2D4F7A469575}"/>
    <cellStyle name="强调文字颜色 5 2 5" xfId="8513" xr:uid="{8C9ED84F-B566-4F34-96BC-FA839CA38434}"/>
    <cellStyle name="强调文字颜色 5 2 5 2" xfId="26325" xr:uid="{6D19D56E-AD7F-4C94-A019-E682346896A3}"/>
    <cellStyle name="强调文字颜色 5 2 6" xfId="8515" xr:uid="{7858F46E-91F0-4957-9F1C-8250F07F271C}"/>
    <cellStyle name="强调文字颜色 5 2 6 2" xfId="26326" xr:uid="{C82FB506-D349-4905-9D7D-95EBA4B5A6AB}"/>
    <cellStyle name="强调文字颜色 5 2 7" xfId="8516" xr:uid="{04E02260-DE86-4743-A241-6E2EBD04756D}"/>
    <cellStyle name="强调文字颜色 5 2 8" xfId="8517" xr:uid="{89A6ADB1-DC9F-46D8-A98B-BA84D91AF944}"/>
    <cellStyle name="强调文字颜色 5 2 9" xfId="8518" xr:uid="{3030EFC5-9DF8-49B3-9B09-64772C0CA4C4}"/>
    <cellStyle name="强调文字颜色 5 2_动力部" xfId="26327" xr:uid="{B96861C1-D554-495A-B96A-F7832FD0AED3}"/>
    <cellStyle name="强调文字颜色 5 20" xfId="8495" xr:uid="{3DCA703C-A0B0-4BC3-85A1-A7A4F5A72A4E}"/>
    <cellStyle name="强调文字颜色 5 20 2" xfId="11659" xr:uid="{C0DF4737-C6C1-47FD-AE42-02E5605FBD23}"/>
    <cellStyle name="强调文字颜色 5 20 2 2" xfId="26329" xr:uid="{F29D9A9C-FBD8-4F94-9915-6A242DBD8F79}"/>
    <cellStyle name="强调文字颜色 5 20 3" xfId="26328" xr:uid="{D5057219-79B0-4411-B542-E499E5702A3A}"/>
    <cellStyle name="强调文字颜色 5 21" xfId="8497" xr:uid="{3AED4C31-74DE-4CA3-B96F-60A3E13CDC0D}"/>
    <cellStyle name="强调文字颜色 5 21 2" xfId="11660" xr:uid="{3B09960C-6604-4016-B62C-A537E456C71D}"/>
    <cellStyle name="强调文字颜色 5 21 2 2" xfId="26331" xr:uid="{0853BD95-B117-4B8F-A68C-9344ABC3D4DB}"/>
    <cellStyle name="强调文字颜色 5 21 3" xfId="26330" xr:uid="{A1E42FE4-39A2-4EA4-A708-22D6AF457396}"/>
    <cellStyle name="强调文字颜色 5 22" xfId="8499" xr:uid="{38477AB3-98D5-4F74-9431-C3E418426965}"/>
    <cellStyle name="强调文字颜色 5 22 2" xfId="11661" xr:uid="{431B11E2-C183-4073-B7EB-A1B6C9E367EF}"/>
    <cellStyle name="强调文字颜色 5 22 2 2" xfId="26333" xr:uid="{EDFEE4A9-9D89-42D4-B775-1062EE71A5FD}"/>
    <cellStyle name="强调文字颜色 5 22 3" xfId="26332" xr:uid="{0425DEFB-AB20-4977-9562-37AFB9300CF5}"/>
    <cellStyle name="强调文字颜色 5 23" xfId="8501" xr:uid="{55E8D280-17E0-4F46-A3A4-209EFD2ADFE4}"/>
    <cellStyle name="强调文字颜色 5 23 2" xfId="26335" xr:uid="{8530CD79-43E0-49D5-B9F7-FCB087CA6653}"/>
    <cellStyle name="强调文字颜色 5 23 3" xfId="26334" xr:uid="{06284922-90AD-4C12-B871-C30671B9435D}"/>
    <cellStyle name="强调文字颜色 5 24" xfId="8503" xr:uid="{D35D078F-9A46-4D14-8A3E-3317E988C330}"/>
    <cellStyle name="强调文字颜色 5 24 2" xfId="26337" xr:uid="{50F97F4B-BA4B-4DE1-B5A9-0F3C3E6A3E38}"/>
    <cellStyle name="强调文字颜色 5 24 3" xfId="26336" xr:uid="{5BD82224-CB4D-4A5F-B9D0-35B4C9B191EC}"/>
    <cellStyle name="强调文字颜色 5 25" xfId="4569" xr:uid="{789E20F7-A827-4D9B-8AEB-0F46B488EB44}"/>
    <cellStyle name="强调文字颜色 5 25 2" xfId="26339" xr:uid="{8D356619-F443-48DB-ACD4-9687FA4F5049}"/>
    <cellStyle name="强调文字颜色 5 25 3" xfId="26338" xr:uid="{5EA916F9-C02D-49C6-A8AB-AE23745A03A3}"/>
    <cellStyle name="强调文字颜色 5 26" xfId="8519" xr:uid="{9DE7EAE1-090F-4D4B-BC73-4C11C56AE9F7}"/>
    <cellStyle name="强调文字颜色 5 26 2" xfId="26341" xr:uid="{2A31FE00-51DE-4DE8-AD54-5FD813483925}"/>
    <cellStyle name="强调文字颜色 5 26 3" xfId="26340" xr:uid="{A93E15F2-2D02-4CF7-95C4-25C8ADAC8404}"/>
    <cellStyle name="强调文字颜色 5 27" xfId="8521" xr:uid="{748BD56D-E479-4C9B-A7E7-62D1ED321A78}"/>
    <cellStyle name="强调文字颜色 5 27 2" xfId="26343" xr:uid="{B06F28E1-F776-45C6-B056-4A90C442B66C}"/>
    <cellStyle name="强调文字颜色 5 27 3" xfId="26342" xr:uid="{99FCA028-5A03-45FB-8552-B2DA690BBFF5}"/>
    <cellStyle name="强调文字颜色 5 28" xfId="8523" xr:uid="{39DFA1A4-7A4B-45B5-8002-CC1647E49A66}"/>
    <cellStyle name="强调文字颜色 5 28 2" xfId="26345" xr:uid="{790A6DF6-34AB-46A5-8129-CE058595F802}"/>
    <cellStyle name="强调文字颜色 5 28 3" xfId="26344" xr:uid="{229DC41A-CBEE-4887-8723-61CD69412DB7}"/>
    <cellStyle name="强调文字颜色 5 29" xfId="8525" xr:uid="{B6C08EF2-9933-4C1D-80F3-A731BAC20556}"/>
    <cellStyle name="强调文字颜色 5 29 2" xfId="26347" xr:uid="{45A0AD9A-90AD-45D4-8C5D-015FBF332D2A}"/>
    <cellStyle name="强调文字颜色 5 29 3" xfId="26346" xr:uid="{A2181AD6-BF5B-4917-9914-55D5A82D95CF}"/>
    <cellStyle name="强调文字颜色 5 3" xfId="8527" xr:uid="{F6CAA895-76ED-4161-96D1-E4475699C97A}"/>
    <cellStyle name="强调文字颜色 5 3 2" xfId="11663" xr:uid="{E02AABD7-86F5-4853-A646-586C99C6A096}"/>
    <cellStyle name="强调文字颜色 5 3 2 2" xfId="26349" xr:uid="{B5E2FAE7-D088-4576-B25B-26B7FD0F9D0F}"/>
    <cellStyle name="强调文字颜色 5 3 2 3" xfId="27645" xr:uid="{D5FC55B7-6E99-4EE3-B29E-1B0F6CBB22C2}"/>
    <cellStyle name="强调文字颜色 5 3 3" xfId="11664" xr:uid="{4F5323B4-2BDF-4B0E-98D4-DC35088C99BC}"/>
    <cellStyle name="强调文字颜色 5 3 3 2" xfId="26350" xr:uid="{FE6C3A64-7D9D-4D98-994E-41AC1802FF70}"/>
    <cellStyle name="强调文字颜色 5 3 3 3" xfId="27646" xr:uid="{85BD608A-C57D-4EC6-BA46-31CFD43D3B94}"/>
    <cellStyle name="强调文字颜色 5 3 4" xfId="11662" xr:uid="{C421C1A4-3600-4966-BE1A-BCB9F7DD66DA}"/>
    <cellStyle name="强调文字颜色 5 3 4 2" xfId="26352" xr:uid="{C105D73C-49B4-4911-862A-1344472FAD8F}"/>
    <cellStyle name="强调文字颜色 5 3 4 3" xfId="26351" xr:uid="{28C1FCF3-36B7-49A2-BBC2-F9DDA15DAF6B}"/>
    <cellStyle name="强调文字颜色 5 3 5" xfId="26348" xr:uid="{D585F9FA-0889-4159-BE46-9F4B60E3EAF8}"/>
    <cellStyle name="强调文字颜色 5 30" xfId="4570" xr:uid="{71076AFF-A723-452F-AC39-33DBF3072545}"/>
    <cellStyle name="强调文字颜色 5 30 2" xfId="26354" xr:uid="{BE0E1027-A28A-463D-8B2B-00F98017669C}"/>
    <cellStyle name="强调文字颜色 5 30 3" xfId="26353" xr:uid="{F09EED82-9D44-48AA-AF4C-12B194032C8F}"/>
    <cellStyle name="强调文字颜色 5 31" xfId="8520" xr:uid="{B4F5EC61-19CD-49FF-A68D-277009D15153}"/>
    <cellStyle name="强调文字颜色 5 31 2" xfId="26356" xr:uid="{B9E449D5-1E0A-4333-9786-60F1ED1E4397}"/>
    <cellStyle name="强调文字颜色 5 31 3" xfId="26355" xr:uid="{0A820AE9-4F7E-4D15-9F0C-A27BAB0E29A2}"/>
    <cellStyle name="强调文字颜色 5 32" xfId="8522" xr:uid="{2FF03929-8272-4F56-9B1F-C788BB63400F}"/>
    <cellStyle name="强调文字颜色 5 32 2" xfId="26358" xr:uid="{7ECDEE50-D147-40B6-9338-37C7D4DE73A1}"/>
    <cellStyle name="强调文字颜色 5 32 3" xfId="26357" xr:uid="{4B70CACA-8560-4CE1-85D5-6508C349FD0E}"/>
    <cellStyle name="强调文字颜色 5 33" xfId="8524" xr:uid="{B71D77E1-D84C-4DAA-BE87-25E170472BD2}"/>
    <cellStyle name="强调文字颜色 5 33 2" xfId="26360" xr:uid="{656AE7FE-204D-42BD-9CB4-ECF147A58315}"/>
    <cellStyle name="强调文字颜色 5 33 3" xfId="26359" xr:uid="{D7DFC0F7-ECD0-4632-A087-200AFCB9EC07}"/>
    <cellStyle name="强调文字颜色 5 34" xfId="8526" xr:uid="{92954447-F42F-4405-8040-937683C6268D}"/>
    <cellStyle name="强调文字颜色 5 34 2" xfId="13982" xr:uid="{F18E00D4-346E-4C32-834B-B67951CF6257}"/>
    <cellStyle name="强调文字颜色 5 34 2 2" xfId="26362" xr:uid="{062BC0BA-D758-4ED6-9CD9-B5E32D51128C}"/>
    <cellStyle name="强调文字颜色 5 34 3" xfId="26361" xr:uid="{B16BAC92-546F-435B-9E5D-C9C6115202C1}"/>
    <cellStyle name="强调文字颜色 5 35" xfId="8528" xr:uid="{382A6B5A-5D13-4BA7-816D-F012905860D5}"/>
    <cellStyle name="强调文字颜色 5 35 2" xfId="13983" xr:uid="{6174D360-02D5-49B9-B890-893BC22128CC}"/>
    <cellStyle name="强调文字颜色 5 35 2 2" xfId="26364" xr:uid="{0525C322-BD1B-4FDF-9606-B98D4F37A517}"/>
    <cellStyle name="强调文字颜色 5 35 3" xfId="26363" xr:uid="{2B63C861-42B2-4F16-903A-D75DD4972EAD}"/>
    <cellStyle name="强调文字颜色 5 36" xfId="8530" xr:uid="{81458DE0-EDAF-4348-A030-0BAAD98D9398}"/>
    <cellStyle name="强调文字颜色 5 36 2" xfId="13984" xr:uid="{4FB38EEF-98CF-4E6B-8A6D-92F70E309234}"/>
    <cellStyle name="强调文字颜色 5 36 2 2" xfId="26366" xr:uid="{9AD8EDF3-4256-421F-BE3D-43C0159503CE}"/>
    <cellStyle name="强调文字颜色 5 36 3" xfId="26365" xr:uid="{24BA62FC-2DCA-4141-BFDF-81C766118A4B}"/>
    <cellStyle name="强调文字颜色 5 37" xfId="8532" xr:uid="{1F888644-7EA3-4DE7-9C82-7E04DA8D54AC}"/>
    <cellStyle name="强调文字颜色 5 37 2" xfId="13985" xr:uid="{257AB567-C1F2-4B1E-AE86-BAB58527DC6E}"/>
    <cellStyle name="强调文字颜色 5 37 2 2" xfId="26368" xr:uid="{0645CE05-40FC-4E74-9E1C-994D4EADBA78}"/>
    <cellStyle name="强调文字颜色 5 37 3" xfId="26367" xr:uid="{2A234206-0A67-4756-AE1D-632E9172A071}"/>
    <cellStyle name="强调文字颜色 5 38" xfId="8534" xr:uid="{15B1EC2A-4106-4574-B31D-17E8065E7515}"/>
    <cellStyle name="强调文字颜色 5 38 2" xfId="13986" xr:uid="{0D554007-5507-499A-AAAF-CDFFC1DC7007}"/>
    <cellStyle name="强调文字颜色 5 38 2 2" xfId="26370" xr:uid="{BB0D8B6A-E82C-422E-B9FC-0C7D078F1887}"/>
    <cellStyle name="强调文字颜色 5 38 3" xfId="26369" xr:uid="{F29254EF-F332-4491-942B-BCD5F3293EFE}"/>
    <cellStyle name="强调文字颜色 5 39" xfId="8536" xr:uid="{8AF70913-3A89-4999-B103-F9BFD0AE58D7}"/>
    <cellStyle name="强调文字颜色 5 39 2" xfId="13987" xr:uid="{EAF06031-A7B2-401D-806C-BB2E8B7D5C80}"/>
    <cellStyle name="强调文字颜色 5 39 2 2" xfId="26372" xr:uid="{8359B05F-5486-4A33-9AC6-7621388D1F60}"/>
    <cellStyle name="强调文字颜色 5 39 3" xfId="26371" xr:uid="{A9EAEFAE-1604-413D-9B4B-17E9D2D8816F}"/>
    <cellStyle name="强调文字颜色 5 4" xfId="8538" xr:uid="{17C3471B-58BD-4728-8D64-A7132F78F1C1}"/>
    <cellStyle name="强调文字颜色 5 4 2" xfId="11666" xr:uid="{0A4C8277-FCA8-46B0-A474-2B1CD33EEB12}"/>
    <cellStyle name="强调文字颜色 5 4 2 2" xfId="26375" xr:uid="{A209A1FD-5D09-4ECA-AE2D-9033BB78A553}"/>
    <cellStyle name="强调文字颜色 5 4 2 3" xfId="26374" xr:uid="{715E9CEF-84CB-4F09-BBE9-644FB286C5D6}"/>
    <cellStyle name="强调文字颜色 5 4 3" xfId="11667" xr:uid="{5FFAA563-5013-4467-93C7-697A760FA53F}"/>
    <cellStyle name="强调文字颜色 5 4 3 2" xfId="26377" xr:uid="{9B1A9C23-962F-4F40-8C21-CF02E1BD7F36}"/>
    <cellStyle name="强调文字颜色 5 4 3 3" xfId="26376" xr:uid="{E8C81D22-7E05-4269-96DA-BA38D67D3D5C}"/>
    <cellStyle name="强调文字颜色 5 4 4" xfId="11665" xr:uid="{A6DC1C7C-75C2-40D2-B1A1-DDEDA8C226D1}"/>
    <cellStyle name="强调文字颜色 5 4 5" xfId="26373" xr:uid="{CA72ABB1-83B8-4C20-886A-8A8EC685E3FE}"/>
    <cellStyle name="强调文字颜色 5 40" xfId="8529" xr:uid="{DC46253C-0EFF-4DC0-A6CF-F008133F5A4F}"/>
    <cellStyle name="强调文字颜色 5 40 2" xfId="13988" xr:uid="{96F42CF4-5841-4A8D-AEFD-34F59EF3A984}"/>
    <cellStyle name="强调文字颜色 5 40 2 2" xfId="26379" xr:uid="{AA6C7BA3-4729-49F7-8440-13552138CF33}"/>
    <cellStyle name="强调文字颜色 5 40 3" xfId="26378" xr:uid="{804FAEC6-3C40-4096-A745-FEFA7C6C8ACB}"/>
    <cellStyle name="强调文字颜色 5 41" xfId="8531" xr:uid="{8E85D556-7804-45A0-B58A-F2101DCAB41F}"/>
    <cellStyle name="强调文字颜色 5 41 2" xfId="13989" xr:uid="{0FC37409-BD73-4F3E-A271-A1254B8FD930}"/>
    <cellStyle name="强调文字颜色 5 41 2 2" xfId="26381" xr:uid="{4F1B7E91-DB6C-41C5-A10B-ACFC55FA8C65}"/>
    <cellStyle name="强调文字颜色 5 41 3" xfId="26380" xr:uid="{28FB14CA-19E2-4F96-B32F-DE066C61FA82}"/>
    <cellStyle name="强调文字颜色 5 42" xfId="8533" xr:uid="{F6F64FB3-4347-453B-B96A-823F727E2F8C}"/>
    <cellStyle name="强调文字颜色 5 42 2" xfId="13990" xr:uid="{46583F85-4CF9-4A18-8ECA-E2482CC3EEAC}"/>
    <cellStyle name="强调文字颜色 5 42 2 2" xfId="26383" xr:uid="{367642CC-E8C2-4DDA-9C01-240DF14073E9}"/>
    <cellStyle name="强调文字颜色 5 42 3" xfId="26382" xr:uid="{47393FE4-DD16-4FC1-A8D5-1DFEAB8957A7}"/>
    <cellStyle name="强调文字颜色 5 43" xfId="8535" xr:uid="{B9B31269-A3A4-472E-AC83-67071E11AED8}"/>
    <cellStyle name="强调文字颜色 5 43 2" xfId="13991" xr:uid="{973C6A3A-2A7C-49B4-8BAF-0DC78569937F}"/>
    <cellStyle name="强调文字颜色 5 43 2 2" xfId="26385" xr:uid="{E41EE10B-56D7-46D2-BE8E-F2DFE5754A96}"/>
    <cellStyle name="强调文字颜色 5 43 3" xfId="26384" xr:uid="{DD4747C3-C602-4AA3-A9FE-86596E84DA57}"/>
    <cellStyle name="强调文字颜色 5 44" xfId="8537" xr:uid="{8FDE8CB8-E661-42D4-89BB-CE166A4DC3A7}"/>
    <cellStyle name="强调文字颜色 5 44 2" xfId="13992" xr:uid="{F530315B-9685-40A8-82B0-D6757B2C514A}"/>
    <cellStyle name="强调文字颜色 5 44 2 2" xfId="26387" xr:uid="{6D98D3B3-CF8D-4E2F-B13E-C7DE05874C0F}"/>
    <cellStyle name="强调文字颜色 5 44 3" xfId="26386" xr:uid="{187AD86D-F8BD-47C0-AE45-EC557AACE820}"/>
    <cellStyle name="强调文字颜色 5 45" xfId="8539" xr:uid="{FAE1E9FE-6D47-41FE-B56D-5E87B28C53CD}"/>
    <cellStyle name="强调文字颜色 5 45 2" xfId="13993" xr:uid="{83816F5B-A0C6-452A-B347-2B19ED9AC66C}"/>
    <cellStyle name="强调文字颜色 5 45 2 2" xfId="26389" xr:uid="{DCDDB42D-6297-445C-BA52-5EFDBCB8EBAA}"/>
    <cellStyle name="强调文字颜色 5 45 3" xfId="26388" xr:uid="{2557D176-3E20-4F26-BF55-4F1AEBE9566E}"/>
    <cellStyle name="强调文字颜色 5 46" xfId="8541" xr:uid="{41F0EA07-623D-483F-8D2E-019E467C61B0}"/>
    <cellStyle name="强调文字颜色 5 46 2" xfId="13994" xr:uid="{AB0B91D0-A9E6-4895-96BE-08AC08F9E0EE}"/>
    <cellStyle name="强调文字颜色 5 46 2 2" xfId="26391" xr:uid="{E47C455D-F196-4730-B4B9-86886649F1F2}"/>
    <cellStyle name="强调文字颜色 5 46 3" xfId="26390" xr:uid="{5D401F3B-C846-4BEB-8A17-0BE3185830DE}"/>
    <cellStyle name="强调文字颜色 5 47" xfId="8543" xr:uid="{E5F6E390-5CA6-41DE-B2F8-592935C8DCF6}"/>
    <cellStyle name="强调文字颜色 5 47 2" xfId="13995" xr:uid="{D5461F54-D8AE-4E13-BA81-5E55A5A2ABC8}"/>
    <cellStyle name="强调文字颜色 5 47 3" xfId="26392" xr:uid="{3D6332B3-8F81-4BC5-A2B4-0C500EA6686B}"/>
    <cellStyle name="强调文字颜色 5 48" xfId="8545" xr:uid="{5CE2D0EF-9D26-47D5-92AA-D2B5DD6B2ED4}"/>
    <cellStyle name="强调文字颜色 5 48 2" xfId="13996" xr:uid="{5CD9AA8C-EB4B-436D-9349-858067AF3494}"/>
    <cellStyle name="强调文字颜色 5 48 3" xfId="26393" xr:uid="{DFA09E94-584D-4020-B188-0A9B2797B469}"/>
    <cellStyle name="强调文字颜色 5 49" xfId="8547" xr:uid="{1BC57DC7-3303-4853-99D6-3ADFB4D36727}"/>
    <cellStyle name="强调文字颜色 5 49 2" xfId="13997" xr:uid="{69B5593C-3973-4992-B34B-F3EE7A6A16E8}"/>
    <cellStyle name="强调文字颜色 5 49 3" xfId="26394" xr:uid="{06A1D943-41D2-410D-BC2D-6F25F826347E}"/>
    <cellStyle name="强调文字颜色 5 5" xfId="8549" xr:uid="{39C339DA-F76E-4FD1-9748-150A8EF42E2E}"/>
    <cellStyle name="强调文字颜色 5 5 2" xfId="11669" xr:uid="{E4051EAB-81F6-4A2C-8704-05C0611EB24A}"/>
    <cellStyle name="强调文字颜色 5 5 2 2" xfId="26397" xr:uid="{BDC3952B-F6D4-4AFF-A372-DF993B2C01E7}"/>
    <cellStyle name="强调文字颜色 5 5 2 3" xfId="26396" xr:uid="{550B6B87-7433-473B-8E6B-D3B75BE6F77A}"/>
    <cellStyle name="强调文字颜色 5 5 3" xfId="11670" xr:uid="{AD987A5A-FCBF-4A56-9CDD-14AE93D2E89D}"/>
    <cellStyle name="强调文字颜色 5 5 4" xfId="11668" xr:uid="{E9A6B18B-2255-4097-BA51-7716A317772F}"/>
    <cellStyle name="强调文字颜色 5 5 5" xfId="26395" xr:uid="{B7F688F1-F804-4A49-8481-7B57122341B5}"/>
    <cellStyle name="强调文字颜色 5 50" xfId="8540" xr:uid="{6D882302-359C-460E-AABF-B285D0C52AAC}"/>
    <cellStyle name="强调文字颜色 5 50 2" xfId="13998" xr:uid="{E228AFCF-C2B0-4050-9A8E-4018F1BCCA03}"/>
    <cellStyle name="强调文字颜色 5 50 3" xfId="26398" xr:uid="{625836F3-71A3-49FE-9DCF-B0E3E816DC3C}"/>
    <cellStyle name="强调文字颜色 5 51" xfId="8542" xr:uid="{43D82CB6-DC51-4639-88D1-6D919D7ED3D2}"/>
    <cellStyle name="强调文字颜色 5 51 2" xfId="13999" xr:uid="{2C73317E-0A66-42D2-BCA2-B6C5F30E2DE9}"/>
    <cellStyle name="强调文字颜色 5 51 3" xfId="26399" xr:uid="{514B3EA3-ADFC-434F-A4C0-E6E992BF3277}"/>
    <cellStyle name="强调文字颜色 5 52" xfId="8544" xr:uid="{9CAEA8AE-FBB8-4E85-A880-7EBDD5DFCFC2}"/>
    <cellStyle name="强调文字颜色 5 52 2" xfId="14000" xr:uid="{F26506D3-3D0C-41E2-A8FC-B89BD462D54C}"/>
    <cellStyle name="强调文字颜色 5 52 3" xfId="26400" xr:uid="{F1A09CE1-E473-4529-A6C6-999B84E40A0E}"/>
    <cellStyle name="强调文字颜色 5 53" xfId="8546" xr:uid="{C42EEF76-7A5E-4E7B-98DB-5DC5CAEF4F2E}"/>
    <cellStyle name="强调文字颜色 5 53 2" xfId="14001" xr:uid="{636BCAAC-5A93-4C36-A33D-1C8F7757602E}"/>
    <cellStyle name="强调文字颜色 5 53 3" xfId="26401" xr:uid="{061A6585-1C95-40C6-88D0-7E2687C030BB}"/>
    <cellStyle name="强调文字颜色 5 54" xfId="8548" xr:uid="{F7AF7330-BFE2-4093-8D12-3FC620BD6F02}"/>
    <cellStyle name="强调文字颜色 5 54 2" xfId="14002" xr:uid="{5FA8EEF4-3F59-4802-BEBE-61301964DC25}"/>
    <cellStyle name="强调文字颜色 5 54 3" xfId="26402" xr:uid="{CFD5A407-6AC9-4740-9266-4FB07A17DBAF}"/>
    <cellStyle name="强调文字颜色 5 55" xfId="8550" xr:uid="{7BE18485-64DE-4196-A3A9-89C7440DEA4D}"/>
    <cellStyle name="强调文字颜色 5 55 2" xfId="14003" xr:uid="{7D8A9912-F7BF-45F4-BAA8-ECF960A05FC4}"/>
    <cellStyle name="强调文字颜色 5 55 3" xfId="26403" xr:uid="{B0AA145F-3551-431C-85E9-086F1EEC587C}"/>
    <cellStyle name="强调文字颜色 5 56" xfId="8552" xr:uid="{3BCE4859-4727-4A57-80C3-ADAE0E4C6CE0}"/>
    <cellStyle name="强调文字颜色 5 56 2" xfId="14004" xr:uid="{85377A7E-BBDE-4540-97C2-0822C4F164B1}"/>
    <cellStyle name="强调文字颜色 5 56 3" xfId="26404" xr:uid="{C7C1A833-B033-4E03-B537-8B3B37A18F67}"/>
    <cellStyle name="强调文字颜色 5 57" xfId="8554" xr:uid="{F412AD9B-8F23-476F-80D1-68EF579A5AB2}"/>
    <cellStyle name="强调文字颜色 5 57 2" xfId="14005" xr:uid="{DF0F2406-F57C-4CEA-8790-42028FA1F3B0}"/>
    <cellStyle name="强调文字颜色 5 58" xfId="8556" xr:uid="{2A4EAC71-7993-4108-BAB4-6BE2F6C4E6BD}"/>
    <cellStyle name="强调文字颜色 5 58 2" xfId="14006" xr:uid="{EB381730-AADD-4F78-8469-092BFC1CC796}"/>
    <cellStyle name="强调文字颜色 5 59" xfId="8558" xr:uid="{D18FAFE1-2668-4C9B-BF99-6BEBFBD77D31}"/>
    <cellStyle name="强调文字颜色 5 59 2" xfId="14007" xr:uid="{76C3A92B-6508-4164-A33D-AEC9CB7C6E29}"/>
    <cellStyle name="强调文字颜色 5 6" xfId="8560" xr:uid="{A74885AA-A630-425F-88DB-7F1931643638}"/>
    <cellStyle name="强调文字颜色 5 6 2" xfId="8561" xr:uid="{C444EED5-39AF-4700-AFA9-FDBA6389808B}"/>
    <cellStyle name="强调文字颜色 5 6 2 2" xfId="11672" xr:uid="{67508EEE-F02A-4B07-B4A1-BAB32A724E39}"/>
    <cellStyle name="强调文字颜色 5 6 2 3" xfId="26406" xr:uid="{A6B64279-BF12-4544-9A2C-51C05699E4E6}"/>
    <cellStyle name="强调文字颜色 5 6 3" xfId="11673" xr:uid="{F1643A8A-812F-4029-BA9E-F896D9332B48}"/>
    <cellStyle name="强调文字颜色 5 6 4" xfId="11671" xr:uid="{A98E1495-A794-454C-8195-BC08D13D3C6E}"/>
    <cellStyle name="强调文字颜色 5 6 5" xfId="26405" xr:uid="{938EC962-05AF-4513-9BC1-2AAE171D5FCA}"/>
    <cellStyle name="强调文字颜色 5 60" xfId="8551" xr:uid="{2C422DCF-44A1-4F33-925C-8E5EF114D50C}"/>
    <cellStyle name="强调文字颜色 5 60 2" xfId="14008" xr:uid="{342EA762-0CDE-4125-BA6E-D902394207E5}"/>
    <cellStyle name="强调文字颜色 5 61" xfId="8553" xr:uid="{C7D40C55-F0F2-4A44-B075-7A97CD2A9305}"/>
    <cellStyle name="强调文字颜色 5 61 2" xfId="14009" xr:uid="{2BF8F6F7-8D5D-40F9-BE47-E1375624D6E1}"/>
    <cellStyle name="强调文字颜色 5 62" xfId="8555" xr:uid="{C58AD66F-1814-48F5-9E02-9AB0CF2F6502}"/>
    <cellStyle name="强调文字颜色 5 62 2" xfId="14010" xr:uid="{39395887-1E29-480A-9146-C6F7FFE36343}"/>
    <cellStyle name="强调文字颜色 5 63" xfId="8557" xr:uid="{EDB3768B-3B1B-4571-A3C7-0A9D08E8A454}"/>
    <cellStyle name="强调文字颜色 5 63 2" xfId="14011" xr:uid="{339E5E6B-A2FE-4C71-B057-E820748B311F}"/>
    <cellStyle name="强调文字颜色 5 64" xfId="8559" xr:uid="{6830CBF8-C533-4AE3-84B9-C81CD7254511}"/>
    <cellStyle name="强调文字颜色 5 64 2" xfId="14012" xr:uid="{D1A5AEE1-A340-4227-A74B-9927100387D9}"/>
    <cellStyle name="强调文字颜色 5 65" xfId="8562" xr:uid="{8B79B4B3-0B6A-41AC-A5DD-E9658F0D8C31}"/>
    <cellStyle name="强调文字颜色 5 65 2" xfId="14013" xr:uid="{3303BD4F-02BC-463D-8119-5994794585F9}"/>
    <cellStyle name="强调文字颜色 5 66" xfId="8564" xr:uid="{AC9A0119-12E8-4A89-92F8-003781B69223}"/>
    <cellStyle name="强调文字颜色 5 66 2" xfId="14014" xr:uid="{7C549FFB-1D47-4EC9-9FD3-70539C1B5D45}"/>
    <cellStyle name="强调文字颜色 5 67" xfId="8566" xr:uid="{B02882BC-66C4-406E-8013-6F22430B8346}"/>
    <cellStyle name="强调文字颜色 5 67 2" xfId="14015" xr:uid="{A59381F1-F2C3-4CB5-AEDF-88C3E560F03D}"/>
    <cellStyle name="强调文字颜色 5 68" xfId="8568" xr:uid="{65E5324C-97C4-4406-9C34-568AC65E2916}"/>
    <cellStyle name="强调文字颜色 5 68 2" xfId="14016" xr:uid="{5FE6DE7E-DB3C-45CE-AA64-50FAA9DCDFFD}"/>
    <cellStyle name="强调文字颜色 5 69" xfId="8570" xr:uid="{10477BEA-71CF-4373-ABF8-59543A2AB7BD}"/>
    <cellStyle name="强调文字颜色 5 69 2" xfId="14017" xr:uid="{8F7E2C23-7ECE-44E3-937A-D5BA05828B6C}"/>
    <cellStyle name="强调文字颜色 5 7" xfId="8572" xr:uid="{CAE07E6C-EC1F-406E-BCEC-C27EDD94B320}"/>
    <cellStyle name="强调文字颜色 5 7 2" xfId="8573" xr:uid="{9DDCCA54-6B08-4B2C-866A-B73F06D91082}"/>
    <cellStyle name="强调文字颜色 5 7 2 2" xfId="11675" xr:uid="{31FAAFE0-4C5B-40C5-8135-3DA6736BA65C}"/>
    <cellStyle name="强调文字颜色 5 7 2 3" xfId="26408" xr:uid="{8A97DCCB-F8C8-483D-99DB-82CC3AEB12A6}"/>
    <cellStyle name="强调文字颜色 5 7 3" xfId="11676" xr:uid="{278A5A64-9BDC-418D-BF60-3ABBB3FDD66B}"/>
    <cellStyle name="强调文字颜色 5 7 4" xfId="11674" xr:uid="{87372D35-5EB5-4939-9DD6-6D2BE265B645}"/>
    <cellStyle name="强调文字颜色 5 7 5" xfId="26407" xr:uid="{494C0910-D2C2-4433-9AD0-AA6ED66EDE20}"/>
    <cellStyle name="强调文字颜色 5 70" xfId="8563" xr:uid="{780BFA8C-3699-4A6F-A767-B42F0823AE41}"/>
    <cellStyle name="强调文字颜色 5 70 2" xfId="14018" xr:uid="{1AAEEACF-AEBA-4899-8248-A633CF0BB793}"/>
    <cellStyle name="强调文字颜色 5 71" xfId="8565" xr:uid="{0A5C528D-4030-43F4-A4BC-CBD10B8E62AE}"/>
    <cellStyle name="强调文字颜色 5 71 2" xfId="14019" xr:uid="{155AF25D-8C6E-45FB-9216-51972F6148E2}"/>
    <cellStyle name="强调文字颜色 5 72" xfId="8567" xr:uid="{AC5567DD-5D7D-4911-93F9-2F985B779056}"/>
    <cellStyle name="强调文字颜色 5 72 2" xfId="14020" xr:uid="{F1096ED6-16AF-4445-9B94-C6CBB94275CD}"/>
    <cellStyle name="强调文字颜色 5 73" xfId="8569" xr:uid="{3C73E2A3-9257-4EF3-A033-D742E115BF4C}"/>
    <cellStyle name="强调文字颜色 5 73 2" xfId="14021" xr:uid="{401F3E9D-7D81-4629-A48E-3BA93527CC51}"/>
    <cellStyle name="强调文字颜色 5 74" xfId="8571" xr:uid="{74E25382-169B-4B28-82A6-08793D604052}"/>
    <cellStyle name="强调文字颜色 5 74 2" xfId="14022" xr:uid="{31795E6B-F335-4FA2-AEA3-F1907BC385B2}"/>
    <cellStyle name="强调文字颜色 5 75" xfId="4573" xr:uid="{BC5CDB18-80AF-43DA-B68B-156FF69D360B}"/>
    <cellStyle name="强调文字颜色 5 75 2" xfId="14023" xr:uid="{C99495D7-2DE4-4B6B-89FB-A6234930056E}"/>
    <cellStyle name="强调文字颜色 5 76" xfId="8574" xr:uid="{0B657806-F1CC-4568-97E7-022DF998D282}"/>
    <cellStyle name="强调文字颜色 5 76 2" xfId="14024" xr:uid="{361A94FD-DECF-42C1-962C-DFFE292F5928}"/>
    <cellStyle name="强调文字颜色 5 77" xfId="8576" xr:uid="{CEEB1279-4529-4A93-8E12-9D914BA92584}"/>
    <cellStyle name="强调文字颜色 5 77 2" xfId="14025" xr:uid="{49F159F2-2962-44C1-A892-1E21D90145BB}"/>
    <cellStyle name="强调文字颜色 5 78" xfId="8578" xr:uid="{E7F9DF85-FE51-4FBC-BEC1-73C6C9540084}"/>
    <cellStyle name="强调文字颜色 5 78 2" xfId="14026" xr:uid="{733FD4E1-8CF6-41FE-AF84-E37A7A4190B9}"/>
    <cellStyle name="强调文字颜色 5 79" xfId="8580" xr:uid="{7A7179E6-D90A-4F9D-A0C3-5371166DAA48}"/>
    <cellStyle name="强调文字颜色 5 79 2" xfId="14027" xr:uid="{E4DEB8E2-4220-496C-AF80-3A1CFFA2FF00}"/>
    <cellStyle name="强调文字颜色 5 8" xfId="8582" xr:uid="{29302504-E083-484D-9510-E032E7F1F84E}"/>
    <cellStyle name="强调文字颜色 5 8 2" xfId="8583" xr:uid="{5FA1A5BA-394E-466A-8935-19C040AFA585}"/>
    <cellStyle name="强调文字颜色 5 8 2 2" xfId="11678" xr:uid="{8F3F38CA-49EF-4FE2-BF6D-143B53A8845F}"/>
    <cellStyle name="强调文字颜色 5 8 2 3" xfId="26410" xr:uid="{B5CCD127-1C80-4A7F-A8C9-55187BF491E2}"/>
    <cellStyle name="强调文字颜色 5 8 3" xfId="11679" xr:uid="{35B7E8EC-C4FA-4AA5-900D-842CFF549D76}"/>
    <cellStyle name="强调文字颜色 5 8 4" xfId="11677" xr:uid="{27B8FB41-8B49-4278-8E02-1956517145C7}"/>
    <cellStyle name="强调文字颜色 5 8 5" xfId="26409" xr:uid="{7D918339-B609-408B-81CE-4B57E84BD07B}"/>
    <cellStyle name="强调文字颜色 5 80" xfId="4574" xr:uid="{A0AB5468-9A2A-43CE-B87E-5EE180C6DE98}"/>
    <cellStyle name="强调文字颜色 5 80 2" xfId="14028" xr:uid="{9E6F59AE-DD63-4EAE-8E14-D8692F415304}"/>
    <cellStyle name="强调文字颜色 5 81" xfId="8575" xr:uid="{4FE58218-4602-457F-B7B5-1393A84CF20E}"/>
    <cellStyle name="强调文字颜色 5 81 2" xfId="14029" xr:uid="{81E986C7-832B-4526-B368-2C2C659A9BB7}"/>
    <cellStyle name="强调文字颜色 5 82" xfId="8577" xr:uid="{B0EB99B6-06B8-4B9C-B980-059EF28B4653}"/>
    <cellStyle name="强调文字颜色 5 82 2" xfId="14030" xr:uid="{B43B3B82-39D1-4786-9D0D-19C697EABEA4}"/>
    <cellStyle name="强调文字颜色 5 83" xfId="8579" xr:uid="{7646E507-C041-41C6-AFFA-92FC82C3C5FF}"/>
    <cellStyle name="强调文字颜色 5 83 2" xfId="14031" xr:uid="{66666D8F-23F8-48F2-800A-F1ACE0188A13}"/>
    <cellStyle name="强调文字颜色 5 84" xfId="8581" xr:uid="{59591304-4DAD-4831-9540-557EA7DE46E3}"/>
    <cellStyle name="强调文字颜色 5 84 2" xfId="14032" xr:uid="{E8D28523-71B3-4754-A523-5B569FB3F2E0}"/>
    <cellStyle name="强调文字颜色 5 85" xfId="9352" xr:uid="{47054080-2781-4800-9EA6-434F53A32C2D}"/>
    <cellStyle name="强调文字颜色 5 86" xfId="11629" xr:uid="{CB31FD8A-B16B-416C-A3D2-41166B6FFB6E}"/>
    <cellStyle name="强调文字颜色 5 87" xfId="13562" xr:uid="{DBF3E858-3EA3-4E30-808B-4EB68107F8B9}"/>
    <cellStyle name="强调文字颜色 5 88" xfId="27175" xr:uid="{5110A936-A91B-484F-A14B-18BC1B6534B1}"/>
    <cellStyle name="强调文字颜色 5 89" xfId="27231" xr:uid="{86F3C951-F951-49CD-8774-F605537E0526}"/>
    <cellStyle name="强调文字颜色 5 9" xfId="8584" xr:uid="{C1AF4314-1A79-4BA7-9354-1EFAEBE1EC24}"/>
    <cellStyle name="强调文字颜色 5 9 2" xfId="11681" xr:uid="{1D8BA532-AEBF-49C1-94F4-23A95522E9A4}"/>
    <cellStyle name="强调文字颜色 5 9 2 2" xfId="26413" xr:uid="{037DA274-B08C-4F08-961E-440A5E0271EF}"/>
    <cellStyle name="强调文字颜色 5 9 2 3" xfId="26412" xr:uid="{B41D9BE1-9F51-46B6-A9C8-EF22E43831EE}"/>
    <cellStyle name="强调文字颜色 5 9 3" xfId="11682" xr:uid="{1488074D-C3AE-4222-BB3D-914E657FA598}"/>
    <cellStyle name="强调文字颜色 5 9 4" xfId="11680" xr:uid="{E4B9F647-046B-4E20-98B7-E02B06E5325B}"/>
    <cellStyle name="强调文字颜色 5 9 5" xfId="26411" xr:uid="{D65B79EC-034F-444B-ADAE-E481CD048E45}"/>
    <cellStyle name="强调文字颜色 5 90" xfId="27173" xr:uid="{FF9DF227-EBE0-49F3-9ABC-05960D7F795C}"/>
    <cellStyle name="强调文字颜色 6" xfId="8585" xr:uid="{CFFBE7AE-8D66-497C-A6BD-5799294BEF46}"/>
    <cellStyle name="强调文字颜色 6 10" xfId="8586" xr:uid="{D8239891-F6AF-4104-AE7C-C68DB115B639}"/>
    <cellStyle name="强调文字颜色 6 10 2" xfId="11685" xr:uid="{E6275BB2-6F55-4B76-A4EE-87915542DF42}"/>
    <cellStyle name="强调文字颜色 6 10 2 2" xfId="26416" xr:uid="{C50ADA45-BB37-43AD-A0D5-4835D771BF3C}"/>
    <cellStyle name="强调文字颜色 6 10 2 3" xfId="26415" xr:uid="{D20EBE57-237A-4371-80E1-AAB0C1497DEF}"/>
    <cellStyle name="强调文字颜色 6 10 3" xfId="11686" xr:uid="{4716DFDD-162F-4CD3-8ECD-CD22618BB7C0}"/>
    <cellStyle name="强调文字颜色 6 10 4" xfId="11684" xr:uid="{562CE315-26B9-4697-A528-BDA1CC9BB43A}"/>
    <cellStyle name="强调文字颜色 6 10 5" xfId="26414" xr:uid="{D8588528-2F2E-483A-8685-ED46A8ED8539}"/>
    <cellStyle name="强调文字颜色 6 11" xfId="8587" xr:uid="{B93F2CDC-E256-4B56-80D1-7886B94D8230}"/>
    <cellStyle name="强调文字颜色 6 11 2" xfId="11688" xr:uid="{D5506845-223D-4E29-95BF-ADB9D34DD94E}"/>
    <cellStyle name="强调文字颜色 6 11 2 2" xfId="26419" xr:uid="{CA92A998-64AB-4D71-AA40-0675DD60CC7D}"/>
    <cellStyle name="强调文字颜色 6 11 2 3" xfId="26418" xr:uid="{B456C589-F1F2-4D5E-A195-206E3183F02D}"/>
    <cellStyle name="强调文字颜色 6 11 3" xfId="11689" xr:uid="{67EE5393-D263-4D48-8007-6BB1382AC407}"/>
    <cellStyle name="强调文字颜色 6 11 4" xfId="11687" xr:uid="{CBE7C736-4137-4E9F-A62D-05AD37A9EF46}"/>
    <cellStyle name="强调文字颜色 6 11 5" xfId="26417" xr:uid="{403F174D-1C09-4A37-A201-D58D4F0AD545}"/>
    <cellStyle name="强调文字颜色 6 12" xfId="8588" xr:uid="{3BCE6F10-E41E-41EE-9D33-0DD30C5C0004}"/>
    <cellStyle name="强调文字颜色 6 12 2" xfId="11691" xr:uid="{1EB3E61A-457A-469E-830E-998CE1ACEB93}"/>
    <cellStyle name="强调文字颜色 6 12 2 2" xfId="26422" xr:uid="{4620F22F-C826-4500-90BC-D26224242D08}"/>
    <cellStyle name="强调文字颜色 6 12 2 3" xfId="26421" xr:uid="{CEC3F46E-1FDC-4DC1-B4F5-7C882BE7A5F1}"/>
    <cellStyle name="强调文字颜色 6 12 3" xfId="11692" xr:uid="{F7F3DC4F-FA2E-4C17-B9D7-ADA85B11E5F8}"/>
    <cellStyle name="强调文字颜色 6 12 4" xfId="11690" xr:uid="{FEB89BF1-EB04-47B4-AB92-E62151F660A9}"/>
    <cellStyle name="强调文字颜色 6 12 5" xfId="26420" xr:uid="{0DD53DDF-5573-4F72-9DBE-9898BE122335}"/>
    <cellStyle name="强调文字颜色 6 13" xfId="8589" xr:uid="{C15CFB39-3A6F-4A2F-801E-61F6CAEFDB15}"/>
    <cellStyle name="强调文字颜色 6 13 2" xfId="11694" xr:uid="{31E4A940-DE98-4566-9CF2-626C69DDF1C2}"/>
    <cellStyle name="强调文字颜色 6 13 2 2" xfId="26424" xr:uid="{6543C295-969C-46BB-AFA0-EC75FDF344E7}"/>
    <cellStyle name="强调文字颜色 6 13 3" xfId="11695" xr:uid="{2A9783AE-201F-484C-BC02-3B18C47C42E2}"/>
    <cellStyle name="强调文字颜色 6 13 4" xfId="11693" xr:uid="{4935183D-9B97-47A7-AE5F-F110408521E4}"/>
    <cellStyle name="强调文字颜色 6 13 5" xfId="26423" xr:uid="{36F08A3F-2FFD-4B4B-93CE-D98B47D4F9AD}"/>
    <cellStyle name="强调文字颜色 6 14" xfId="8590" xr:uid="{65B016DD-330B-4B69-8BC9-59DDEFE4A8CC}"/>
    <cellStyle name="强调文字颜色 6 14 2" xfId="11697" xr:uid="{4BD062F5-D5E7-4529-95C6-40F9042723B1}"/>
    <cellStyle name="强调文字颜色 6 14 2 2" xfId="26426" xr:uid="{098B0C6D-76D5-48AD-A175-6330F61211B7}"/>
    <cellStyle name="强调文字颜色 6 14 3" xfId="11698" xr:uid="{8523D19E-0CD3-455A-B1F9-B55365BFFE52}"/>
    <cellStyle name="强调文字颜色 6 14 4" xfId="11696" xr:uid="{9302E418-1BEE-45B7-A665-F24203DCD6EA}"/>
    <cellStyle name="强调文字颜色 6 14 5" xfId="26425" xr:uid="{CE58C033-092B-426A-9314-66512E219797}"/>
    <cellStyle name="强调文字颜色 6 15" xfId="8591" xr:uid="{3A097B0D-571E-40C2-B0C1-1142ACDF9142}"/>
    <cellStyle name="强调文字颜色 6 15 2" xfId="11700" xr:uid="{AF762A37-7A60-448A-BAFA-4CBF4A705089}"/>
    <cellStyle name="强调文字颜色 6 15 2 2" xfId="26428" xr:uid="{855FFD39-281D-45DD-BE13-7F24055FE7A0}"/>
    <cellStyle name="强调文字颜色 6 15 3" xfId="11701" xr:uid="{E1EE968E-2F38-478C-9E62-FC402C7AEDBC}"/>
    <cellStyle name="强调文字颜色 6 15 4" xfId="11699" xr:uid="{5C5AE893-2EEB-4039-B580-D3014ACF71D4}"/>
    <cellStyle name="强调文字颜色 6 15 5" xfId="26427" xr:uid="{B387D39B-6737-4452-9C9B-D6A340F83DE6}"/>
    <cellStyle name="强调文字颜色 6 16" xfId="8593" xr:uid="{595257BA-41FF-49DD-8B96-F82E5EFD7030}"/>
    <cellStyle name="强调文字颜色 6 16 2" xfId="11703" xr:uid="{27A51094-581F-40B6-9B34-F72790C964CD}"/>
    <cellStyle name="强调文字颜色 6 16 2 2" xfId="26430" xr:uid="{E1A192B9-DC58-4F53-96DD-C36B7D099B7A}"/>
    <cellStyle name="强调文字颜色 6 16 3" xfId="11704" xr:uid="{882C328F-5413-4BDD-9FEF-7043A012F545}"/>
    <cellStyle name="强调文字颜色 6 16 4" xfId="11702" xr:uid="{C25656AE-5922-4EED-BEC3-864A4C44BE07}"/>
    <cellStyle name="强调文字颜色 6 16 5" xfId="26429" xr:uid="{069011A4-2D81-4E4E-90EE-B80F998A1C42}"/>
    <cellStyle name="强调文字颜色 6 17" xfId="8595" xr:uid="{123628B1-4A47-468A-B49F-B5EB2C7B7901}"/>
    <cellStyle name="强调文字颜色 6 17 2" xfId="11706" xr:uid="{C3822AB2-754B-4653-9D97-E2938CC14200}"/>
    <cellStyle name="强调文字颜色 6 17 2 2" xfId="26432" xr:uid="{D0D819F8-58E0-4DE0-967A-B30F961087ED}"/>
    <cellStyle name="强调文字颜色 6 17 3" xfId="11707" xr:uid="{EA458F71-D96A-4EC6-A77E-3D264C9B2FC7}"/>
    <cellStyle name="强调文字颜色 6 17 4" xfId="11705" xr:uid="{9E8B943C-D97A-4859-9B53-9107A8BDC23E}"/>
    <cellStyle name="强调文字颜色 6 17 5" xfId="26431" xr:uid="{66225BCF-B4BC-4CCB-B4D4-C27C5F079DF9}"/>
    <cellStyle name="强调文字颜色 6 18" xfId="8597" xr:uid="{B063AC61-8D30-453D-B9DC-BFC0E2BA6F60}"/>
    <cellStyle name="强调文字颜色 6 18 2" xfId="11708" xr:uid="{1F245580-9916-4434-AF82-AA9D5C633234}"/>
    <cellStyle name="强调文字颜色 6 18 2 2" xfId="26434" xr:uid="{065B2017-32B7-48B1-8E59-8E1394DC6494}"/>
    <cellStyle name="强调文字颜色 6 18 3" xfId="26433" xr:uid="{20489844-0982-4997-91C2-EB620903773D}"/>
    <cellStyle name="强调文字颜色 6 19" xfId="8599" xr:uid="{B5B00FD7-F6D4-45B2-98C6-6F8514C84F97}"/>
    <cellStyle name="强调文字颜色 6 19 2" xfId="11709" xr:uid="{D56350D6-9DA0-4718-A154-CCB6285DF603}"/>
    <cellStyle name="强调文字颜色 6 19 2 2" xfId="26436" xr:uid="{30C1D118-A2FB-4892-B309-F3C6EED2E0E9}"/>
    <cellStyle name="强调文字颜色 6 19 3" xfId="26435" xr:uid="{1A09A825-9047-4F12-B09F-94F840BC2AF4}"/>
    <cellStyle name="强调文字颜色 6 2" xfId="8601" xr:uid="{7A155E28-ECCB-472D-953C-EF5E1A9E2327}"/>
    <cellStyle name="强调文字颜色 6 2 10" xfId="8602" xr:uid="{18662B7E-385F-49F2-9B39-91D98F19F5E7}"/>
    <cellStyle name="强调文字颜色 6 2 11" xfId="8603" xr:uid="{DE58ADB3-FF0B-43E5-BAE2-9FF2E9D7CA88}"/>
    <cellStyle name="强调文字颜色 6 2 12" xfId="8604" xr:uid="{6CDF807D-FB65-40DB-A675-B16980EBC497}"/>
    <cellStyle name="强调文字颜色 6 2 13" xfId="8605" xr:uid="{C9326FC0-47DA-4A33-A73F-80286430AF3D}"/>
    <cellStyle name="强调文字颜色 6 2 14" xfId="8606" xr:uid="{52A7AD25-C4E5-4B0E-A42E-01FF388F7A95}"/>
    <cellStyle name="强调文字颜色 6 2 15" xfId="11710" xr:uid="{337FACEA-810C-46FF-B0D0-E20BA0AB0B58}"/>
    <cellStyle name="强调文字颜色 6 2 16" xfId="13433" xr:uid="{B06C1311-6572-4D58-A52E-A4D9D7022F71}"/>
    <cellStyle name="强调文字颜色 6 2 2" xfId="8607" xr:uid="{CAABA455-42E2-4C5E-B6EA-5C3A68F45DBD}"/>
    <cellStyle name="强调文字颜色 6 2 2 2" xfId="11711" xr:uid="{C4C1F63B-D0D1-4DAF-BA7B-1C039390C53B}"/>
    <cellStyle name="强调文字颜色 6 2 2 2 2" xfId="26438" xr:uid="{8743AD51-CC5C-4982-A87E-F10027171415}"/>
    <cellStyle name="强调文字颜色 6 2 2 3" xfId="26437" xr:uid="{5DFFC23C-E366-4433-875A-6F7E30F09814}"/>
    <cellStyle name="强调文字颜色 6 2 2 4" xfId="27647" xr:uid="{307F6BA8-98DE-45B5-8539-05A12197359E}"/>
    <cellStyle name="强调文字颜色 6 2 3" xfId="8608" xr:uid="{9495B7D6-8223-4C0E-BECE-C975EA5936E8}"/>
    <cellStyle name="强调文字颜色 6 2 3 2" xfId="11712" xr:uid="{E569425B-CB75-4BDA-816A-8DA159263B40}"/>
    <cellStyle name="强调文字颜色 6 2 3 3" xfId="26439" xr:uid="{9F8DCF2A-A423-473D-9A3E-2A59942EF3F3}"/>
    <cellStyle name="强调文字颜色 6 2 3 4" xfId="27648" xr:uid="{B2CF480C-6F1A-47AC-953F-6F872ADFDEBB}"/>
    <cellStyle name="强调文字颜色 6 2 4" xfId="8609" xr:uid="{0D64C65A-E4C7-4AC7-B1EC-818F2618A781}"/>
    <cellStyle name="强调文字颜色 6 2 4 2" xfId="26441" xr:uid="{E934BE6D-0036-46A8-9AB8-7F5C8AC7AF1F}"/>
    <cellStyle name="强调文字颜色 6 2 4 3" xfId="26440" xr:uid="{A996ADA6-B857-4371-877D-3174BCD1284E}"/>
    <cellStyle name="强调文字颜色 6 2 5" xfId="8100" xr:uid="{1865A96E-05C1-43EC-BA87-AECC12079099}"/>
    <cellStyle name="强调文字颜色 6 2 5 2" xfId="26442" xr:uid="{17980B07-344A-4D04-BE74-43065F528CDB}"/>
    <cellStyle name="强调文字颜色 6 2 6" xfId="8102" xr:uid="{F3E3C354-06D7-4B1B-A759-73B5F4B93134}"/>
    <cellStyle name="强调文字颜色 6 2 6 2" xfId="26443" xr:uid="{2C1398DE-2442-453E-8DAC-7D9183EB934F}"/>
    <cellStyle name="强调文字颜色 6 2 7" xfId="8610" xr:uid="{D817120D-855B-4561-91C1-21DF692F4ADE}"/>
    <cellStyle name="强调文字颜色 6 2 8" xfId="8611" xr:uid="{FE1EE292-317A-49E6-A5C6-9F34ACABEBBC}"/>
    <cellStyle name="强调文字颜色 6 2 9" xfId="8612" xr:uid="{5A8CBD64-2E22-44D2-BF69-CC64C5FAAEAC}"/>
    <cellStyle name="强调文字颜色 6 2_动力部" xfId="26444" xr:uid="{DE8DEA74-ECE1-416B-8074-9632013A894F}"/>
    <cellStyle name="强调文字颜色 6 20" xfId="8592" xr:uid="{F7C0BBFB-2D0A-4CC5-A8DB-F224E617C939}"/>
    <cellStyle name="强调文字颜色 6 20 2" xfId="11713" xr:uid="{794B1755-EA5A-4045-A33A-40318B12F2B1}"/>
    <cellStyle name="强调文字颜色 6 20 2 2" xfId="26446" xr:uid="{36DDDC38-62F9-4D5A-B638-D6E16D44E18F}"/>
    <cellStyle name="强调文字颜色 6 20 3" xfId="26445" xr:uid="{DDF25DAD-957A-4D25-84D5-E158CEF82BA4}"/>
    <cellStyle name="强调文字颜色 6 21" xfId="8594" xr:uid="{A3E3194D-3DDA-46EA-A09F-4C9999A4DCD8}"/>
    <cellStyle name="强调文字颜色 6 21 2" xfId="11714" xr:uid="{59BBC4A2-6AB1-4096-8C71-00372E035EAF}"/>
    <cellStyle name="强调文字颜色 6 21 2 2" xfId="26448" xr:uid="{D9FE252F-2356-495E-B3E3-8EA7CE885834}"/>
    <cellStyle name="强调文字颜色 6 21 3" xfId="26447" xr:uid="{3546CBC8-39F9-456F-8E75-B22F4DCC9429}"/>
    <cellStyle name="强调文字颜色 6 22" xfId="8596" xr:uid="{439FE48B-ECE4-45A3-803A-B7EA6363BF58}"/>
    <cellStyle name="强调文字颜色 6 22 2" xfId="11715" xr:uid="{F5BDC6D1-6B4D-49A8-9F95-10555DF26E7F}"/>
    <cellStyle name="强调文字颜色 6 22 2 2" xfId="26450" xr:uid="{9D3322AA-523F-4203-B940-46D71F13D796}"/>
    <cellStyle name="强调文字颜色 6 22 3" xfId="26449" xr:uid="{E6E1B1E5-364C-46A2-B096-9F47EA194ECD}"/>
    <cellStyle name="强调文字颜色 6 23" xfId="8598" xr:uid="{46A91B1D-87F8-4833-BF9E-00769468FCD0}"/>
    <cellStyle name="强调文字颜色 6 23 2" xfId="26452" xr:uid="{C50120D3-12F3-4746-9113-7B283ED6E778}"/>
    <cellStyle name="强调文字颜色 6 23 3" xfId="26451" xr:uid="{B40E3751-0B6A-43FF-94A4-5583D755A693}"/>
    <cellStyle name="强调文字颜色 6 24" xfId="8600" xr:uid="{BE9707B9-C48D-48D3-A8D6-E9B42DC1A519}"/>
    <cellStyle name="强调文字颜色 6 24 2" xfId="26454" xr:uid="{9E2C46AF-86AB-47B9-8E0D-2E20A9DEDA8B}"/>
    <cellStyle name="强调文字颜色 6 24 3" xfId="26453" xr:uid="{BEE8D1E8-8615-4218-84E4-F67647CF3523}"/>
    <cellStyle name="强调文字颜色 6 25" xfId="4587" xr:uid="{CB20C47B-0D41-4515-A791-62EA140D0246}"/>
    <cellStyle name="强调文字颜色 6 25 2" xfId="26456" xr:uid="{F28FE771-A9DA-4B08-8628-BD2E705F2F5D}"/>
    <cellStyle name="强调文字颜色 6 25 3" xfId="26455" xr:uid="{36F6EDF2-7F49-410B-AA83-DEFBA00EB3F6}"/>
    <cellStyle name="强调文字颜色 6 26" xfId="8613" xr:uid="{6195D29B-6DBD-4B83-82F4-7DE30562294C}"/>
    <cellStyle name="强调文字颜色 6 26 2" xfId="26458" xr:uid="{360BB0FB-D693-4D0E-BB43-400A8D48BC78}"/>
    <cellStyle name="强调文字颜色 6 26 3" xfId="26457" xr:uid="{79AFDBC3-EDF2-4907-8E8D-1275F426C546}"/>
    <cellStyle name="强调文字颜色 6 27" xfId="8615" xr:uid="{FBF46B1A-7B25-4FF5-84F1-398FDA93D62A}"/>
    <cellStyle name="强调文字颜色 6 27 2" xfId="26460" xr:uid="{FCBA1EDA-CA9D-4AB1-B8B7-FE2C70E7CA65}"/>
    <cellStyle name="强调文字颜色 6 27 3" xfId="26459" xr:uid="{82A34F36-1AEB-41F7-941B-22DCCEBCB0D8}"/>
    <cellStyle name="强调文字颜色 6 28" xfId="8617" xr:uid="{13267684-3A94-4002-A9DC-C26F5B93597B}"/>
    <cellStyle name="强调文字颜色 6 28 2" xfId="26462" xr:uid="{42273685-C80D-49EF-9561-A1E45187CFF2}"/>
    <cellStyle name="强调文字颜色 6 28 3" xfId="26461" xr:uid="{C6AE9C36-D46F-4F53-95BF-62FC8DD05D21}"/>
    <cellStyle name="强调文字颜色 6 29" xfId="8619" xr:uid="{609DD2A1-75B7-40FF-8EF5-33BB051BFF83}"/>
    <cellStyle name="强调文字颜色 6 29 2" xfId="26464" xr:uid="{2D35D22F-8E29-4153-BD95-773526EE0253}"/>
    <cellStyle name="强调文字颜色 6 29 3" xfId="26463" xr:uid="{2D5D6908-6993-4572-BD9B-7803C6EDA007}"/>
    <cellStyle name="强调文字颜色 6 3" xfId="8621" xr:uid="{2938EE55-4271-4097-B48F-FEE1A709A931}"/>
    <cellStyle name="强调文字颜色 6 3 2" xfId="11717" xr:uid="{095D437E-A7C3-4200-9419-880E2824406D}"/>
    <cellStyle name="强调文字颜色 6 3 2 2" xfId="26466" xr:uid="{88038FDE-52B8-429A-8D7C-3CBB2987177D}"/>
    <cellStyle name="强调文字颜色 6 3 2 3" xfId="27649" xr:uid="{62870E76-6C24-4BC9-9C85-054E1AC22AB4}"/>
    <cellStyle name="强调文字颜色 6 3 3" xfId="11718" xr:uid="{575600E3-58EE-4B73-80CE-32DB8366679C}"/>
    <cellStyle name="强调文字颜色 6 3 3 2" xfId="26467" xr:uid="{A30A3CAE-D558-41D9-B960-7FA0625C97C2}"/>
    <cellStyle name="强调文字颜色 6 3 3 3" xfId="27650" xr:uid="{D5CEBB11-6B2C-406D-8813-487F437FF234}"/>
    <cellStyle name="强调文字颜色 6 3 4" xfId="11716" xr:uid="{7F89AD7B-0832-44BB-9CBD-0C6273C266AC}"/>
    <cellStyle name="强调文字颜色 6 3 4 2" xfId="26469" xr:uid="{1CDAC18B-21C7-4FA5-893D-3EB3A5BDBD49}"/>
    <cellStyle name="强调文字颜色 6 3 4 3" xfId="26468" xr:uid="{78555D15-FB79-492E-8C5F-8937E094F3A8}"/>
    <cellStyle name="强调文字颜色 6 3 5" xfId="26465" xr:uid="{E0D597CE-E48F-4690-B724-5014C062A09F}"/>
    <cellStyle name="强调文字颜色 6 30" xfId="4588" xr:uid="{F2CF14AC-78AF-48E5-A70D-A446E0BCA1C6}"/>
    <cellStyle name="强调文字颜色 6 30 2" xfId="26471" xr:uid="{353AFD3E-7B4B-4CB4-B700-47B6EFE51BDE}"/>
    <cellStyle name="强调文字颜色 6 30 3" xfId="26470" xr:uid="{ABB02016-9E18-4B55-B4E8-2100C84E261A}"/>
    <cellStyle name="强调文字颜色 6 31" xfId="8614" xr:uid="{8BB9B5D7-3365-4B0D-AE42-6109657EC802}"/>
    <cellStyle name="强调文字颜色 6 31 2" xfId="26473" xr:uid="{77A81E81-21F1-45EC-AB57-D76BB139B19E}"/>
    <cellStyle name="强调文字颜色 6 31 3" xfId="26472" xr:uid="{24E74EF6-6F4E-4F6E-8CB8-C4CE614E412D}"/>
    <cellStyle name="强调文字颜色 6 32" xfId="8616" xr:uid="{02AD69C8-1212-4043-8C69-758FCE5D7BEC}"/>
    <cellStyle name="强调文字颜色 6 32 2" xfId="26475" xr:uid="{51B19E1E-8195-43F1-942B-1CEE78928EC2}"/>
    <cellStyle name="强调文字颜色 6 32 3" xfId="26474" xr:uid="{816E450E-8C01-4C04-BBD8-1ED6B8AC156C}"/>
    <cellStyle name="强调文字颜色 6 33" xfId="8618" xr:uid="{DD492590-FB50-43A4-A754-B1644E38446F}"/>
    <cellStyle name="强调文字颜色 6 33 2" xfId="26477" xr:uid="{471C5BD2-9D36-4330-BB31-45EBC53D82B5}"/>
    <cellStyle name="强调文字颜色 6 33 3" xfId="26476" xr:uid="{E7F48ABD-A60B-42D4-9871-63C5ACD010E7}"/>
    <cellStyle name="强调文字颜色 6 34" xfId="8620" xr:uid="{06AC0ED6-7FE6-404C-8CBD-A65E334D47F9}"/>
    <cellStyle name="强调文字颜色 6 34 2" xfId="14033" xr:uid="{EB2718A6-32D5-4E4B-9898-AE6EAB6FBE74}"/>
    <cellStyle name="强调文字颜色 6 34 2 2" xfId="26479" xr:uid="{FE98F62D-05C9-4954-B489-E272C1E4252D}"/>
    <cellStyle name="强调文字颜色 6 34 3" xfId="26478" xr:uid="{9EC28514-54D5-4553-A2C0-450EEEB9E973}"/>
    <cellStyle name="强调文字颜色 6 35" xfId="8622" xr:uid="{EBF9C928-5DDF-4730-AFA2-6A0A88496FC8}"/>
    <cellStyle name="强调文字颜色 6 35 2" xfId="14034" xr:uid="{196DFF3B-F1C1-4377-A1A4-6DA4ED6913BD}"/>
    <cellStyle name="强调文字颜色 6 35 2 2" xfId="26481" xr:uid="{115AD701-A70B-483A-94BD-B379805AA81F}"/>
    <cellStyle name="强调文字颜色 6 35 3" xfId="26480" xr:uid="{7A4E724B-7B2C-467C-BC30-64FA186C4331}"/>
    <cellStyle name="强调文字颜色 6 36" xfId="8624" xr:uid="{B1771EEB-789F-41F9-83B9-38F453DC2E9E}"/>
    <cellStyle name="强调文字颜色 6 36 2" xfId="14035" xr:uid="{3FCE0CA4-DEA6-4D95-9086-012F971614C6}"/>
    <cellStyle name="强调文字颜色 6 36 2 2" xfId="26483" xr:uid="{2A70F16F-838F-4404-97E1-700159064C2E}"/>
    <cellStyle name="强调文字颜色 6 36 3" xfId="26482" xr:uid="{CCD9FCE1-75B0-417A-99C1-59DACA9B0740}"/>
    <cellStyle name="强调文字颜色 6 37" xfId="8626" xr:uid="{76DDF24B-15EE-40FE-B252-565D8DE9BC0D}"/>
    <cellStyle name="强调文字颜色 6 37 2" xfId="14036" xr:uid="{3DFD7347-C326-425E-8AAB-60C1564F1277}"/>
    <cellStyle name="强调文字颜色 6 37 2 2" xfId="26485" xr:uid="{D6FFEC2A-EF8C-4F13-9112-A789B3E205E5}"/>
    <cellStyle name="强调文字颜色 6 37 3" xfId="26484" xr:uid="{921EFD23-F7F4-4DFF-9D49-EFF1F5EA3142}"/>
    <cellStyle name="强调文字颜色 6 38" xfId="7243" xr:uid="{EE71A0B2-9092-4EBA-92DF-721711631692}"/>
    <cellStyle name="强调文字颜色 6 38 2" xfId="14037" xr:uid="{6F9B6D17-F7E1-40C1-9EE9-3D94496FAEE5}"/>
    <cellStyle name="强调文字颜色 6 38 2 2" xfId="26487" xr:uid="{96DD184F-52D6-4464-A04C-4AF091E498F8}"/>
    <cellStyle name="强调文字颜色 6 38 3" xfId="26486" xr:uid="{74816A7B-5E62-4E87-939F-E806DA0F9930}"/>
    <cellStyle name="强调文字颜色 6 39" xfId="7252" xr:uid="{C46D8530-DCFB-42A9-84BA-F3E42C1D6F59}"/>
    <cellStyle name="强调文字颜色 6 39 2" xfId="14038" xr:uid="{39B09C17-CACA-4426-A142-C6B1F4397D6B}"/>
    <cellStyle name="强调文字颜色 6 39 2 2" xfId="26489" xr:uid="{5DDCBB26-0853-47D4-A563-AC802491466F}"/>
    <cellStyle name="强调文字颜色 6 39 3" xfId="26488" xr:uid="{D7FA46CB-9FED-40F1-BAEA-B726DE08D589}"/>
    <cellStyle name="强调文字颜色 6 4" xfId="8628" xr:uid="{79667D7D-3E7A-4A24-8B89-489995E469C9}"/>
    <cellStyle name="强调文字颜色 6 4 2" xfId="11720" xr:uid="{8179A056-E280-4C4F-9989-6D67320B1913}"/>
    <cellStyle name="强调文字颜色 6 4 2 2" xfId="26492" xr:uid="{CBB3876E-59C2-45FA-8289-52F372014974}"/>
    <cellStyle name="强调文字颜色 6 4 2 3" xfId="26491" xr:uid="{BBA167CF-E999-4039-AF08-543722023167}"/>
    <cellStyle name="强调文字颜色 6 4 3" xfId="11721" xr:uid="{725157EF-1897-4ED1-9FBE-BF4FECA83062}"/>
    <cellStyle name="强调文字颜色 6 4 3 2" xfId="26494" xr:uid="{315FB6A8-C8CF-4EAE-9DF3-19FD569BDA6E}"/>
    <cellStyle name="强调文字颜色 6 4 3 3" xfId="26493" xr:uid="{D06641AE-97C5-44D7-BEDC-C72C7E236C73}"/>
    <cellStyle name="强调文字颜色 6 4 4" xfId="11719" xr:uid="{61E76865-EBD8-485A-8FF0-BE6337058C66}"/>
    <cellStyle name="强调文字颜色 6 4 5" xfId="26490" xr:uid="{51902E34-68B6-4B87-BFB0-66E52987346B}"/>
    <cellStyle name="强调文字颜色 6 40" xfId="8623" xr:uid="{8CD2DB2B-E35A-4A77-AE2B-B7B7C5E38D0B}"/>
    <cellStyle name="强调文字颜色 6 40 2" xfId="14039" xr:uid="{3A817421-DDE5-4028-B254-1221E21D6C32}"/>
    <cellStyle name="强调文字颜色 6 40 2 2" xfId="26496" xr:uid="{B929F1A4-A81B-4655-A271-154E556BCBE2}"/>
    <cellStyle name="强调文字颜色 6 40 3" xfId="26495" xr:uid="{0C07B4F0-B668-44A0-8E13-341F7DBD0DDD}"/>
    <cellStyle name="强调文字颜色 6 41" xfId="8625" xr:uid="{8ECCE25B-4562-480C-9AC1-7458A2DD479E}"/>
    <cellStyle name="强调文字颜色 6 41 2" xfId="14040" xr:uid="{4628DA5E-0508-47CF-A082-390DFFC71E31}"/>
    <cellStyle name="强调文字颜色 6 41 2 2" xfId="26498" xr:uid="{9F9F6F9E-8A66-4086-8AE1-10A27FBF27D5}"/>
    <cellStyle name="强调文字颜色 6 41 3" xfId="26497" xr:uid="{FBA6FEED-F72C-4BB8-BD31-F09CFCF1F127}"/>
    <cellStyle name="强调文字颜色 6 42" xfId="8627" xr:uid="{AC8C55F6-45DE-4EFD-AEDD-2C2A1271FB00}"/>
    <cellStyle name="强调文字颜色 6 42 2" xfId="14041" xr:uid="{3F7E7101-1FBF-420A-8334-ED340BDE11E1}"/>
    <cellStyle name="强调文字颜色 6 42 2 2" xfId="26500" xr:uid="{336AA881-3D72-46A9-9B90-3234CF57C7A4}"/>
    <cellStyle name="强调文字颜色 6 42 3" xfId="26499" xr:uid="{BC7C135B-E59E-4872-A16C-B2594C51AC70}"/>
    <cellStyle name="强调文字颜色 6 43" xfId="7244" xr:uid="{BCAB2E67-765A-49E3-B8DD-179D6947BA88}"/>
    <cellStyle name="强调文字颜色 6 43 2" xfId="14042" xr:uid="{6B73C018-B71B-42CD-83A0-039540DE7AF6}"/>
    <cellStyle name="强调文字颜色 6 43 2 2" xfId="26502" xr:uid="{60EEE0FF-DDAF-4A96-9C30-BE215BADD590}"/>
    <cellStyle name="强调文字颜色 6 43 3" xfId="26501" xr:uid="{AD1A2501-C61E-4F7C-85E1-EE18CBBCE38D}"/>
    <cellStyle name="强调文字颜色 6 44" xfId="7253" xr:uid="{927C7A96-F367-4F28-8D6E-DA3489D8A609}"/>
    <cellStyle name="强调文字颜色 6 44 2" xfId="14043" xr:uid="{ACCEF168-304F-41FF-B83C-C369F246B0BE}"/>
    <cellStyle name="强调文字颜色 6 44 2 2" xfId="26504" xr:uid="{481B4867-5EFB-476E-B655-C2A899F22777}"/>
    <cellStyle name="强调文字颜色 6 44 3" xfId="26503" xr:uid="{51CD1B91-581D-496E-9334-02A2B13D2A6D}"/>
    <cellStyle name="强调文字颜色 6 45" xfId="7256" xr:uid="{FE766E57-D377-46BE-A780-89AA43F2005B}"/>
    <cellStyle name="强调文字颜色 6 45 2" xfId="14044" xr:uid="{80677735-41C3-4B99-871D-34CCDB351D41}"/>
    <cellStyle name="强调文字颜色 6 45 2 2" xfId="26506" xr:uid="{5F01FC85-850B-4700-BB5A-2A3F2C531279}"/>
    <cellStyle name="强调文字颜色 6 45 3" xfId="26505" xr:uid="{9FE901B1-D6E3-408B-8681-F16B3657AE57}"/>
    <cellStyle name="强调文字颜色 6 46" xfId="7260" xr:uid="{16852AB7-633E-48AC-A532-058DD8E8934B}"/>
    <cellStyle name="强调文字颜色 6 46 2" xfId="14045" xr:uid="{C87F246A-012A-4D41-8E36-E99ADAC72D68}"/>
    <cellStyle name="强调文字颜色 6 46 2 2" xfId="26508" xr:uid="{4BE9E029-1BE0-45D0-A678-E2EAF4A24451}"/>
    <cellStyle name="强调文字颜色 6 46 3" xfId="26507" xr:uid="{1DC33937-5B62-4E13-A7D9-1B46CADC7FD3}"/>
    <cellStyle name="强调文字颜色 6 47" xfId="7263" xr:uid="{865D7511-AE93-4D17-9536-C28C02CABFB5}"/>
    <cellStyle name="强调文字颜色 6 47 2" xfId="14046" xr:uid="{BBCCC24B-60E5-40B6-9665-26EBEA94B711}"/>
    <cellStyle name="强调文字颜色 6 47 3" xfId="26509" xr:uid="{81C9E5ED-31CC-4D95-96C6-F157F2CC0AF6}"/>
    <cellStyle name="强调文字颜色 6 48" xfId="8629" xr:uid="{F84A90BD-00BE-4F33-AE74-3DED498F8161}"/>
    <cellStyle name="强调文字颜色 6 48 2" xfId="14047" xr:uid="{D3A7B700-3CA8-409C-8626-011BC87CF479}"/>
    <cellStyle name="强调文字颜色 6 48 3" xfId="26510" xr:uid="{6DB49795-F834-462D-AA60-29212DDD6EB5}"/>
    <cellStyle name="强调文字颜色 6 49" xfId="8631" xr:uid="{0B744A4E-8332-439E-A1DE-345846B33E5A}"/>
    <cellStyle name="强调文字颜色 6 49 2" xfId="14048" xr:uid="{A024F712-BF03-438F-92E9-C346EFE0EBF9}"/>
    <cellStyle name="强调文字颜色 6 49 3" xfId="26511" xr:uid="{DB7D9B28-8F9C-4E59-9625-39A302DA8B6A}"/>
    <cellStyle name="强调文字颜色 6 5" xfId="8633" xr:uid="{D31C1FB1-12A8-4B74-80FE-20B0FB700EDC}"/>
    <cellStyle name="强调文字颜色 6 5 2" xfId="11723" xr:uid="{7B3934D9-1EE4-481F-809A-5EB6BECEF90B}"/>
    <cellStyle name="强调文字颜色 6 5 2 2" xfId="26514" xr:uid="{3A499CB3-76B2-410B-AA3C-01C6736913CE}"/>
    <cellStyle name="强调文字颜色 6 5 2 3" xfId="26513" xr:uid="{3278A1E3-65B3-453B-9DF4-8E3B5F393598}"/>
    <cellStyle name="强调文字颜色 6 5 3" xfId="11724" xr:uid="{610EC4AB-13D6-4A56-9400-BDEAC11B7734}"/>
    <cellStyle name="强调文字颜色 6 5 4" xfId="11722" xr:uid="{4B392346-CC16-477D-8BB6-28D5FF87F4D5}"/>
    <cellStyle name="强调文字颜色 6 5 5" xfId="26512" xr:uid="{8C3C9D1E-7FA8-4DD2-913B-57620C5C6ECE}"/>
    <cellStyle name="强调文字颜色 6 50" xfId="7257" xr:uid="{3BF43FCB-C5D9-4C11-AA4B-15842626355D}"/>
    <cellStyle name="强调文字颜色 6 50 2" xfId="14049" xr:uid="{A83A8B01-C147-4C93-B25D-6D8491A094B8}"/>
    <cellStyle name="强调文字颜色 6 50 3" xfId="26515" xr:uid="{EFDF20BB-3311-46CF-B11E-39DB443CAB50}"/>
    <cellStyle name="强调文字颜色 6 51" xfId="7261" xr:uid="{63CDC626-BE7B-4D77-A8A7-991D5DB70A59}"/>
    <cellStyle name="强调文字颜色 6 51 2" xfId="14050" xr:uid="{4BACB040-740F-4342-B4C2-E816625EDD96}"/>
    <cellStyle name="强调文字颜色 6 51 3" xfId="26516" xr:uid="{CDF80F94-F1BB-4A06-A8CB-D3417A3C1855}"/>
    <cellStyle name="强调文字颜色 6 52" xfId="7264" xr:uid="{AFFD7495-01F4-40EC-8389-C8D992BD4138}"/>
    <cellStyle name="强调文字颜色 6 52 2" xfId="14051" xr:uid="{B4A15BEB-D30F-4A76-BFF7-9B76899137A4}"/>
    <cellStyle name="强调文字颜色 6 52 3" xfId="26517" xr:uid="{1CB8D07E-6801-4C08-989B-805982C5611D}"/>
    <cellStyle name="强调文字颜色 6 53" xfId="8630" xr:uid="{EEB14F29-7DC8-4C09-B1FF-728836AEDE6E}"/>
    <cellStyle name="强调文字颜色 6 53 2" xfId="14052" xr:uid="{62E05005-8AF9-4DE5-BA65-7DC7BD9A5AA2}"/>
    <cellStyle name="强调文字颜色 6 53 3" xfId="26518" xr:uid="{F3CF3360-69D4-47E5-BF0B-B4FE16FD9544}"/>
    <cellStyle name="强调文字颜色 6 54" xfId="8632" xr:uid="{10469CAB-2212-410A-B577-31E6807EE17D}"/>
    <cellStyle name="强调文字颜色 6 54 2" xfId="14053" xr:uid="{706AE83D-41C1-4148-891C-85826DA017DC}"/>
    <cellStyle name="强调文字颜色 6 54 3" xfId="26519" xr:uid="{C3393F75-A5C2-479F-942B-7330890DD933}"/>
    <cellStyle name="强调文字颜色 6 55" xfId="8634" xr:uid="{E4BA8743-6F62-4B43-B773-249430EF2211}"/>
    <cellStyle name="强调文字颜色 6 55 2" xfId="14054" xr:uid="{BB1FEA86-7B6C-434D-920F-6A570534F4FC}"/>
    <cellStyle name="强调文字颜色 6 55 3" xfId="26520" xr:uid="{E24DEEF6-8B2A-452B-9315-F398BE9693F1}"/>
    <cellStyle name="强调文字颜色 6 56" xfId="8636" xr:uid="{A545CC4F-1B69-4E99-BB0F-BEB5BCAD8D92}"/>
    <cellStyle name="强调文字颜色 6 56 2" xfId="14055" xr:uid="{3FC598EE-114B-44F9-9C74-85F3BBE45B47}"/>
    <cellStyle name="强调文字颜色 6 56 3" xfId="26521" xr:uid="{B40B65EC-557E-4372-A89C-E95A7258B0DA}"/>
    <cellStyle name="强调文字颜色 6 57" xfId="8638" xr:uid="{E139AF3B-52A2-401B-8BC8-639A1049853C}"/>
    <cellStyle name="强调文字颜色 6 57 2" xfId="14056" xr:uid="{3E915F13-40A4-4089-B471-6F5B62858D1E}"/>
    <cellStyle name="强调文字颜色 6 58" xfId="8640" xr:uid="{5C0ACB37-2FA2-4FD2-8B43-0DC48793C6B1}"/>
    <cellStyle name="强调文字颜色 6 58 2" xfId="14057" xr:uid="{9EF5725A-6F16-4F48-9194-E9BDAF18521D}"/>
    <cellStyle name="强调文字颜色 6 59" xfId="8642" xr:uid="{A344C9DC-FD39-41B7-A0C0-9C756809EACA}"/>
    <cellStyle name="强调文字颜色 6 59 2" xfId="14058" xr:uid="{4239E059-AF0A-4F40-A109-2C410A520C34}"/>
    <cellStyle name="强调文字颜色 6 6" xfId="8644" xr:uid="{8E3D091D-FF39-48A2-9DCC-089679F03C36}"/>
    <cellStyle name="强调文字颜色 6 6 2" xfId="8645" xr:uid="{DAC8A445-B7E2-4AB2-A216-A35D41B3F08B}"/>
    <cellStyle name="强调文字颜色 6 6 2 2" xfId="11726" xr:uid="{AE199EE0-7401-45D6-9A92-4D001C87922B}"/>
    <cellStyle name="强调文字颜色 6 6 2 3" xfId="26523" xr:uid="{536A2828-E720-41DE-A7DB-2463F2198FDF}"/>
    <cellStyle name="强调文字颜色 6 6 3" xfId="11727" xr:uid="{AF96C927-8540-4795-8454-EA774B54F88B}"/>
    <cellStyle name="强调文字颜色 6 6 4" xfId="11725" xr:uid="{58A08AD9-AF4B-43A4-9067-A67DE86A2895}"/>
    <cellStyle name="强调文字颜色 6 6 5" xfId="26522" xr:uid="{A6FF946C-3DDE-4B7F-8821-0E6428D95D30}"/>
    <cellStyle name="强调文字颜色 6 60" xfId="8635" xr:uid="{27A172E6-1F46-48F3-9DF6-6DF0EF94E003}"/>
    <cellStyle name="强调文字颜色 6 60 2" xfId="14059" xr:uid="{D7D49B30-D913-4914-BE31-F1BD47133651}"/>
    <cellStyle name="强调文字颜色 6 61" xfId="8637" xr:uid="{7AEF86E3-9B2F-4AB1-8DF8-6F520EA9DB7C}"/>
    <cellStyle name="强调文字颜色 6 61 2" xfId="14060" xr:uid="{23FDA4E0-E1BF-4F5A-93C7-6B63D18EBCDB}"/>
    <cellStyle name="强调文字颜色 6 62" xfId="8639" xr:uid="{D6D86B15-81F2-4E21-928A-BF49CBC85E09}"/>
    <cellStyle name="强调文字颜色 6 62 2" xfId="14061" xr:uid="{861D16B8-24F0-44FB-BC05-EB55C7299A94}"/>
    <cellStyle name="强调文字颜色 6 63" xfId="8641" xr:uid="{7E4D4662-1ED8-4E24-A86B-0393422BD029}"/>
    <cellStyle name="强调文字颜色 6 63 2" xfId="14062" xr:uid="{9B83A309-58F3-4C6B-95A4-1B7F1DC2CF24}"/>
    <cellStyle name="强调文字颜色 6 64" xfId="8643" xr:uid="{81481B94-2DAA-4FA1-AFB3-C3BCCD3B3CAF}"/>
    <cellStyle name="强调文字颜色 6 64 2" xfId="14063" xr:uid="{C878F4D7-08F2-4FC3-9C6E-10DEF04F106F}"/>
    <cellStyle name="强调文字颜色 6 65" xfId="8646" xr:uid="{060F6403-8B82-461B-A338-E40FA34F8934}"/>
    <cellStyle name="强调文字颜色 6 65 2" xfId="14064" xr:uid="{6F969703-DAA4-4B01-BD8D-CC43CCE3FE1C}"/>
    <cellStyle name="强调文字颜色 6 66" xfId="8648" xr:uid="{87BDB3F9-0A63-4ABF-86C5-C440453AB811}"/>
    <cellStyle name="强调文字颜色 6 66 2" xfId="14065" xr:uid="{D840540B-99C7-462D-ACC8-1B07E3BC061B}"/>
    <cellStyle name="强调文字颜色 6 67" xfId="8650" xr:uid="{C636CC57-592F-47C3-90C8-9C7C3B30CE87}"/>
    <cellStyle name="强调文字颜色 6 67 2" xfId="14066" xr:uid="{98552683-2F60-4DB7-954C-BF07F720B028}"/>
    <cellStyle name="强调文字颜色 6 68" xfId="8652" xr:uid="{7F1CAE61-54D6-4108-95AC-BA09FA76575D}"/>
    <cellStyle name="强调文字颜色 6 68 2" xfId="14067" xr:uid="{00BCEC1E-0D05-417C-B117-E41D0D6C1A65}"/>
    <cellStyle name="强调文字颜色 6 69" xfId="8654" xr:uid="{BD9ACA23-31E6-45D3-B581-7C370F40C1EC}"/>
    <cellStyle name="强调文字颜色 6 69 2" xfId="14068" xr:uid="{5F84536E-82FF-46DD-8355-6EAB1CF9EEA4}"/>
    <cellStyle name="强调文字颜色 6 7" xfId="8656" xr:uid="{1DF74F41-D560-4070-ABDA-A0D773089016}"/>
    <cellStyle name="强调文字颜色 6 7 2" xfId="8657" xr:uid="{F4D18F47-3227-47AC-BFDF-0C77986EA797}"/>
    <cellStyle name="强调文字颜色 6 7 2 2" xfId="11729" xr:uid="{23B8B0D5-BB5B-47FE-8819-F21A22ECC53D}"/>
    <cellStyle name="强调文字颜色 6 7 2 3" xfId="26525" xr:uid="{0D58457E-6E89-44E8-BC9B-7648B17CC7D9}"/>
    <cellStyle name="强调文字颜色 6 7 3" xfId="11730" xr:uid="{FB24E0AA-7AA8-41C4-80E7-106A22806B5A}"/>
    <cellStyle name="强调文字颜色 6 7 4" xfId="11728" xr:uid="{956D9E38-CEE2-47F9-B431-9A55152C95BB}"/>
    <cellStyle name="强调文字颜色 6 7 5" xfId="26524" xr:uid="{2AC8CDC8-1D9F-4AC0-99BF-79021D15E59C}"/>
    <cellStyle name="强调文字颜色 6 70" xfId="8647" xr:uid="{B62703AB-7920-4455-A16B-381443B7B247}"/>
    <cellStyle name="强调文字颜色 6 70 2" xfId="14069" xr:uid="{220C0E33-1D50-4C9E-A935-C8DC8AFA42E0}"/>
    <cellStyle name="强调文字颜色 6 71" xfId="8649" xr:uid="{077CE67A-F78D-43D4-944B-3A47F2143E50}"/>
    <cellStyle name="强调文字颜色 6 71 2" xfId="14070" xr:uid="{667BB7D4-1DF4-441C-80C0-2A31F8CC8134}"/>
    <cellStyle name="强调文字颜色 6 72" xfId="8651" xr:uid="{DAD4C3A5-E310-4745-9D94-A96617318EC0}"/>
    <cellStyle name="强调文字颜色 6 72 2" xfId="14071" xr:uid="{85B6B627-D002-4802-A5BF-82492A6A8A33}"/>
    <cellStyle name="强调文字颜色 6 73" xfId="8653" xr:uid="{433A4379-5345-4BA8-BADC-3C74132F2C3D}"/>
    <cellStyle name="强调文字颜色 6 73 2" xfId="14072" xr:uid="{B05B3D88-B4C9-4D65-8176-35E0DA180867}"/>
    <cellStyle name="强调文字颜色 6 74" xfId="8655" xr:uid="{019D5735-AC86-4828-BAA8-BE8A6A533F31}"/>
    <cellStyle name="强调文字颜色 6 74 2" xfId="14073" xr:uid="{5190DFBC-070D-4E19-A190-4DA074335CFF}"/>
    <cellStyle name="强调文字颜色 6 75" xfId="8658" xr:uid="{C873899F-0530-45EA-9F47-BB5F3116A8F0}"/>
    <cellStyle name="强调文字颜色 6 75 2" xfId="14074" xr:uid="{C216FE3B-118C-428F-BA48-A747506DC115}"/>
    <cellStyle name="强调文字颜色 6 76" xfId="8660" xr:uid="{A95F9835-BF22-4133-8293-7DA82E0BA472}"/>
    <cellStyle name="强调文字颜色 6 76 2" xfId="14075" xr:uid="{57D52BF0-B49E-4777-AC86-906DF5CB508C}"/>
    <cellStyle name="强调文字颜色 6 77" xfId="8662" xr:uid="{ADA1ED12-2FA9-4090-9B23-FB137E786292}"/>
    <cellStyle name="强调文字颜色 6 77 2" xfId="14076" xr:uid="{95C34DBA-FB7E-4E88-A5DD-0F03E68821B1}"/>
    <cellStyle name="强调文字颜色 6 78" xfId="8664" xr:uid="{DDFE4BC5-D485-41FF-89A0-EECB7E0EA306}"/>
    <cellStyle name="强调文字颜色 6 78 2" xfId="14077" xr:uid="{462EC1FF-0B3A-4F81-8AC8-F5350E9179EA}"/>
    <cellStyle name="强调文字颜色 6 79" xfId="8666" xr:uid="{4DC321A7-3211-4C87-A83F-D540441CC2B7}"/>
    <cellStyle name="强调文字颜色 6 79 2" xfId="14078" xr:uid="{A03D7D22-FDA5-4D01-A1B9-6F1241B52300}"/>
    <cellStyle name="强调文字颜色 6 8" xfId="8668" xr:uid="{3B33A6A9-AB62-45EE-9455-6B7EEAABECA7}"/>
    <cellStyle name="强调文字颜色 6 8 2" xfId="8669" xr:uid="{CC77BAA8-5AD2-487F-8855-C05B023A1972}"/>
    <cellStyle name="强调文字颜色 6 8 2 2" xfId="11732" xr:uid="{F220CEFB-5F85-4EEC-8DB6-27B42628A0C7}"/>
    <cellStyle name="强调文字颜色 6 8 2 3" xfId="26527" xr:uid="{9F57C1FE-9C3B-4E37-AB2B-ADC5F25A624B}"/>
    <cellStyle name="强调文字颜色 6 8 3" xfId="11733" xr:uid="{068A8949-92A3-4F91-A30C-1E552EB81BA3}"/>
    <cellStyle name="强调文字颜色 6 8 4" xfId="11731" xr:uid="{C42CB760-1FC9-4F44-9F1A-EDA0F5994151}"/>
    <cellStyle name="强调文字颜色 6 8 5" xfId="26526" xr:uid="{9BC0B4BA-3C48-48A4-B526-50D04EE3FAE7}"/>
    <cellStyle name="强调文字颜色 6 80" xfId="8659" xr:uid="{4505EFE0-5807-41BD-9CCD-5FC9F7AC4411}"/>
    <cellStyle name="强调文字颜色 6 80 2" xfId="14079" xr:uid="{CECD0EDC-9CCF-42F7-81C5-D72F6E791BB8}"/>
    <cellStyle name="强调文字颜色 6 81" xfId="8661" xr:uid="{4E5C66EF-067B-4F9E-964A-6EFA974CC2D9}"/>
    <cellStyle name="强调文字颜色 6 81 2" xfId="14080" xr:uid="{8618D3BF-F041-4D73-8B10-5D95BFB974C1}"/>
    <cellStyle name="强调文字颜色 6 82" xfId="8663" xr:uid="{8601FE5E-A424-469A-A9A2-1A5F4F7E78CB}"/>
    <cellStyle name="强调文字颜色 6 82 2" xfId="14081" xr:uid="{6AB2A24B-8394-4743-836F-AECE89D84F54}"/>
    <cellStyle name="强调文字颜色 6 83" xfId="8665" xr:uid="{A0925811-461E-4233-972A-CFB368392363}"/>
    <cellStyle name="强调文字颜色 6 83 2" xfId="14082" xr:uid="{8A483A1E-323A-4989-A15C-6E5C652A92B9}"/>
    <cellStyle name="强调文字颜色 6 84" xfId="8667" xr:uid="{7171634B-F5DD-4459-B322-039AF1B213B9}"/>
    <cellStyle name="强调文字颜色 6 84 2" xfId="14083" xr:uid="{A6F8E87B-1881-4096-9B97-270752E28552}"/>
    <cellStyle name="强调文字颜色 6 85" xfId="9356" xr:uid="{ADF51D37-45AD-483A-B843-340F46847EC8}"/>
    <cellStyle name="强调文字颜色 6 86" xfId="11683" xr:uid="{675EC089-5DF7-4F96-921E-D80C3E13C212}"/>
    <cellStyle name="强调文字颜色 6 87" xfId="13557" xr:uid="{B47A1AC0-BBB7-4147-83ED-DDE76DDA80AF}"/>
    <cellStyle name="强调文字颜色 6 88" xfId="27138" xr:uid="{37CFDEC5-6B54-4CE7-8C5B-C04402E2D62A}"/>
    <cellStyle name="强调文字颜色 6 89" xfId="27202" xr:uid="{151AD0E1-0595-46AF-BAA1-93F79A94CD7F}"/>
    <cellStyle name="强调文字颜色 6 9" xfId="8670" xr:uid="{382D2FC2-9732-4322-8B8E-7106E064FB2D}"/>
    <cellStyle name="强调文字颜色 6 9 2" xfId="11735" xr:uid="{257ADE9D-2F67-4B2D-91CE-2B96A231BC99}"/>
    <cellStyle name="强调文字颜色 6 9 2 2" xfId="26530" xr:uid="{0D24C251-B7F1-4CEC-A1D3-13F2611A48C2}"/>
    <cellStyle name="强调文字颜色 6 9 2 3" xfId="26529" xr:uid="{00DDD6EE-2955-484E-8271-39B3AAB40DEB}"/>
    <cellStyle name="强调文字颜色 6 9 3" xfId="11736" xr:uid="{43288415-3B4C-412A-AE73-B16836E03418}"/>
    <cellStyle name="强调文字颜色 6 9 4" xfId="11734" xr:uid="{F0AC3EE2-A7DF-4D5F-AA10-C3E9A9600879}"/>
    <cellStyle name="强调文字颜色 6 9 5" xfId="26528" xr:uid="{A53454F3-1F48-4F91-8534-0F1830AD7044}"/>
    <cellStyle name="强调文字颜色 6 90" xfId="27215" xr:uid="{E5FD4513-31EB-4FAD-9C95-4023186E5C33}"/>
    <cellStyle name="日期" xfId="26531" xr:uid="{E02F2C66-9555-48F3-9E19-095E11E06F85}"/>
    <cellStyle name="日期 2" xfId="26532" xr:uid="{14023011-8C73-4E9C-8C88-F7DC1F1E4D6C}"/>
    <cellStyle name="日期 2 2" xfId="26533" xr:uid="{95D2D31F-A501-4878-AE60-004CBAB74991}"/>
    <cellStyle name="日期 2 3" xfId="26534" xr:uid="{0BA9902D-B4AA-4B74-8C8C-ABE6515D6668}"/>
    <cellStyle name="日期 2 4" xfId="26535" xr:uid="{BB7F1393-A66E-4629-AB45-7871E4DFF1BF}"/>
    <cellStyle name="日期 2 5" xfId="26536" xr:uid="{804B308A-DB8F-4627-9711-B460FA25C12D}"/>
    <cellStyle name="日期 2 6" xfId="26537" xr:uid="{7BA5E6EE-6847-4058-B1E2-7C9F3CEF1A4E}"/>
    <cellStyle name="日期 2 7" xfId="26538" xr:uid="{D8415CE3-7311-48A7-8BE6-67D6483B9579}"/>
    <cellStyle name="日期 2 8" xfId="26539" xr:uid="{8EFFA657-15F4-4815-98D9-3B0FFE0ABF75}"/>
    <cellStyle name="日期 2_动力部" xfId="26540" xr:uid="{88E659ED-F91D-4E20-9731-01BE993127BF}"/>
    <cellStyle name="日期 3" xfId="26541" xr:uid="{98E511B5-AB08-4533-9615-50E54EC6B265}"/>
    <cellStyle name="日期_动力部" xfId="26542" xr:uid="{F4DE81AF-15E1-4A6F-8D1E-336443FC990F}"/>
    <cellStyle name="商品名称" xfId="26543" xr:uid="{1A1B381B-CEF0-4DCA-8A46-DE35E1519C85}"/>
    <cellStyle name="商品名称 2" xfId="26544" xr:uid="{54F4211C-03B1-473F-B6BC-400FF542D3E0}"/>
    <cellStyle name="商品名称 2 2" xfId="26545" xr:uid="{06FD8492-9F7F-4B81-B3CE-FF4D2D5D245D}"/>
    <cellStyle name="商品名称 2 3" xfId="26546" xr:uid="{B2F3BEB1-54D4-4943-8DDA-567717750963}"/>
    <cellStyle name="商品名称 2 4" xfId="26547" xr:uid="{4DB4A4C7-B394-4EE6-BD9C-1918212D7FF4}"/>
    <cellStyle name="商品名称 2_动力部" xfId="26548" xr:uid="{2223D1F2-D239-4B2A-B4F3-3C6C699AA900}"/>
    <cellStyle name="商品名称 3" xfId="26549" xr:uid="{7F9AB6D1-4949-4A62-B65A-A50DD875558B}"/>
    <cellStyle name="商品名称 4" xfId="26550" xr:uid="{DF9177DC-A151-4A19-8668-F62C3F00A0FD}"/>
    <cellStyle name="商品名称_动力部" xfId="26551" xr:uid="{37CD10A5-38E7-4BB5-A545-81E5C0ABF2EF}"/>
    <cellStyle name="适中" xfId="27813" builtinId="28" customBuiltin="1"/>
    <cellStyle name="适中 10" xfId="8672" xr:uid="{86B5044F-96EB-4E80-A5DF-4624A3A358E7}"/>
    <cellStyle name="适中 10 2" xfId="11739" xr:uid="{2541A3C5-31A9-48EA-8B5D-924C21CF4549}"/>
    <cellStyle name="适中 10 2 2" xfId="26553" xr:uid="{D0CC0FBA-28F3-422F-A103-59FADB64E154}"/>
    <cellStyle name="适中 10 3" xfId="11740" xr:uid="{4990F419-B2DC-4B19-A313-39EDB7324BC1}"/>
    <cellStyle name="适中 10 4" xfId="11738" xr:uid="{420941BF-F461-4437-BFCF-3AA8CC67287F}"/>
    <cellStyle name="适中 10 5" xfId="26552" xr:uid="{E93D6563-B5C7-446F-ACB7-9C073E121FE2}"/>
    <cellStyle name="适中 11" xfId="8673" xr:uid="{9A304700-591A-461F-A5C4-CB549195CF63}"/>
    <cellStyle name="适中 11 2" xfId="11742" xr:uid="{1DB3848C-E91C-4F8E-816A-DC16D75FA9EC}"/>
    <cellStyle name="适中 11 2 2" xfId="26555" xr:uid="{2C38D409-C1F4-44C9-B4FB-D9DE8301AC26}"/>
    <cellStyle name="适中 11 3" xfId="11743" xr:uid="{BFD43D77-B1C1-4BDF-B997-D89C3643F158}"/>
    <cellStyle name="适中 11 4" xfId="11741" xr:uid="{BAC2C694-AD2F-4E4A-B4BE-E0D98153F64C}"/>
    <cellStyle name="适中 11 5" xfId="26554" xr:uid="{F0155CCA-A537-4731-84D5-BBFA4F919817}"/>
    <cellStyle name="适中 12" xfId="8674" xr:uid="{7E3797BA-04C6-4758-B5F0-A31F239A226E}"/>
    <cellStyle name="适中 12 2" xfId="11745" xr:uid="{BF53C50C-F8EF-4E6D-9895-DDA5E227CB08}"/>
    <cellStyle name="适中 12 2 2" xfId="26557" xr:uid="{6A34BDCF-1341-49F4-A30B-9B7D82A16D18}"/>
    <cellStyle name="适中 12 3" xfId="11746" xr:uid="{23D4C36E-70EE-443C-8534-79C98DBA4C27}"/>
    <cellStyle name="适中 12 4" xfId="11744" xr:uid="{424DCD16-41FA-46A2-B54A-1035D9FE96B9}"/>
    <cellStyle name="适中 12 5" xfId="26556" xr:uid="{5DCB0474-C9E8-4CBB-BF51-AC3353AFEA00}"/>
    <cellStyle name="适中 13" xfId="8675" xr:uid="{3E4B5151-7972-4EEE-93F3-D82EDEEB7671}"/>
    <cellStyle name="适中 13 2" xfId="11748" xr:uid="{546C2E94-EF0E-44C0-8B9F-5D14A1821888}"/>
    <cellStyle name="适中 13 2 2" xfId="26559" xr:uid="{CE871C1A-C22B-47AE-AA61-02D0B94857E9}"/>
    <cellStyle name="适中 13 3" xfId="11749" xr:uid="{3A37C0DB-1574-491D-BCC2-D58F40F4999C}"/>
    <cellStyle name="适中 13 4" xfId="11747" xr:uid="{1C657109-C943-4EBA-86EE-27AE11C8FB97}"/>
    <cellStyle name="适中 13 5" xfId="26558" xr:uid="{5BD103DD-A288-41BC-835D-630F64B70D42}"/>
    <cellStyle name="适中 14" xfId="8676" xr:uid="{BB3B92C3-02DA-4C67-A8EB-2DAB108B90F2}"/>
    <cellStyle name="适中 14 2" xfId="11751" xr:uid="{3AE2E513-4D51-43AC-A5C4-BCB0D7ADCE8E}"/>
    <cellStyle name="适中 14 2 2" xfId="26561" xr:uid="{C608E929-5D23-463D-8856-82776980A281}"/>
    <cellStyle name="适中 14 3" xfId="11752" xr:uid="{9F1DCC30-B16C-45C9-94CD-EDEF085FA9AF}"/>
    <cellStyle name="适中 14 4" xfId="11750" xr:uid="{83F0E4D4-00C9-46BA-A707-EA5F055413D5}"/>
    <cellStyle name="适中 14 5" xfId="26560" xr:uid="{870D16C5-620F-4DF9-92DB-770450A7A7FF}"/>
    <cellStyle name="适中 15" xfId="8677" xr:uid="{5C832444-219A-4B47-A68F-DC5985EDD174}"/>
    <cellStyle name="适中 15 2" xfId="11754" xr:uid="{96BAE3F7-6E2D-4801-B37F-13A8500A070D}"/>
    <cellStyle name="适中 15 2 2" xfId="26563" xr:uid="{F4663557-B91F-4FCC-B587-A09C69457E71}"/>
    <cellStyle name="适中 15 3" xfId="11755" xr:uid="{ABBADFFA-4FB9-4471-AB87-EB6168CF56AA}"/>
    <cellStyle name="适中 15 4" xfId="11753" xr:uid="{49020F0E-800D-43D5-A993-4BCA72E47356}"/>
    <cellStyle name="适中 15 5" xfId="26562" xr:uid="{D7FB8029-25F5-4374-ACF2-45339F6AFE27}"/>
    <cellStyle name="适中 16" xfId="8679" xr:uid="{52F0F9C4-51D5-4461-9ED7-E9373005FBD5}"/>
    <cellStyle name="适中 16 2" xfId="11757" xr:uid="{6BAF5B4A-CD91-49AA-B415-406D62457EC5}"/>
    <cellStyle name="适中 16 2 2" xfId="26565" xr:uid="{5526A548-286E-48C9-A3A7-0861A1F5BA87}"/>
    <cellStyle name="适中 16 3" xfId="11758" xr:uid="{1B0CA864-C2E5-4723-9B7D-104A76AC372E}"/>
    <cellStyle name="适中 16 4" xfId="11756" xr:uid="{F195514E-9CB6-403F-ACE0-6E0E6FA19A6B}"/>
    <cellStyle name="适中 16 5" xfId="26564" xr:uid="{C59AA107-E5CD-491D-A980-1087991FDD1F}"/>
    <cellStyle name="适中 17" xfId="8681" xr:uid="{9FDDC68F-65C6-4E51-84BC-8331E44AA35F}"/>
    <cellStyle name="适中 17 2" xfId="11760" xr:uid="{B3A603A1-CA9A-4116-B1B8-954DDDAA95B5}"/>
    <cellStyle name="适中 17 2 2" xfId="26567" xr:uid="{4C8BA0BD-215F-48C7-BA28-AD5259841392}"/>
    <cellStyle name="适中 17 3" xfId="11761" xr:uid="{69EAFE1F-4AE9-4F2A-93C6-30B79B45B6C7}"/>
    <cellStyle name="适中 17 4" xfId="11759" xr:uid="{D5FC6EBB-9EC6-4169-B8C0-D0836861BF28}"/>
    <cellStyle name="适中 17 5" xfId="26566" xr:uid="{75C9FBB5-EC76-4886-A206-395CEFB653B1}"/>
    <cellStyle name="适中 18" xfId="8683" xr:uid="{4F0919EA-7455-421B-B5A9-AEBBEBE7421A}"/>
    <cellStyle name="适中 18 2" xfId="11762" xr:uid="{30424D68-AE69-4894-B06C-2060CFE1D3DE}"/>
    <cellStyle name="适中 18 2 2" xfId="26569" xr:uid="{FD2DD197-886F-4DED-80DC-D65F39B683FA}"/>
    <cellStyle name="适中 18 3" xfId="26568" xr:uid="{DD16998A-263F-4DEF-B82A-9300F03F97C5}"/>
    <cellStyle name="适中 19" xfId="8685" xr:uid="{3EFDBF47-4CDD-404D-82F6-9188D70BC17A}"/>
    <cellStyle name="适中 19 2" xfId="11763" xr:uid="{D8E8D0FA-5EA8-41BC-A217-8946F5255E8B}"/>
    <cellStyle name="适中 19 2 2" xfId="26571" xr:uid="{389768B2-A74E-4049-82A6-FA31B66313DD}"/>
    <cellStyle name="适中 19 3" xfId="26570" xr:uid="{E3EF0861-04E4-4B0B-8080-CD85FA8E28F2}"/>
    <cellStyle name="适中 2" xfId="8687" xr:uid="{CD9EB324-7BEE-4877-A23E-F223A97B6513}"/>
    <cellStyle name="适中 2 10" xfId="7597" xr:uid="{A493814B-9C3D-45B7-9AC7-6C6E6E316A81}"/>
    <cellStyle name="适中 2 11" xfId="7610" xr:uid="{577ECC04-A5D7-487E-945F-B6F5E2B1DE74}"/>
    <cellStyle name="适中 2 12" xfId="7623" xr:uid="{2266B669-014D-4969-9D2B-4F2ADBF0BB5B}"/>
    <cellStyle name="适中 2 13" xfId="3443" xr:uid="{32127E66-4FA9-406C-B1B5-2C535AD5AB00}"/>
    <cellStyle name="适中 2 14" xfId="8688" xr:uid="{F7CF9527-63BC-49C1-B142-008448C1C7F8}"/>
    <cellStyle name="适中 2 15" xfId="11764" xr:uid="{A040F241-BC2C-4FD8-A2A5-5824237B4D10}"/>
    <cellStyle name="适中 2 16" xfId="12263" xr:uid="{97DB4785-64D5-4A8E-A142-7D3F323265E1}"/>
    <cellStyle name="适中 2 2" xfId="8689" xr:uid="{4E5EEFAA-C415-4321-B979-A6B5572255EC}"/>
    <cellStyle name="适中 2 2 2" xfId="11765" xr:uid="{49A5A9BA-6DA2-439E-B442-32075F1EF0DE}"/>
    <cellStyle name="适中 2 2 2 2" xfId="26573" xr:uid="{7119D088-665C-42F3-A853-3E0BCD70025C}"/>
    <cellStyle name="适中 2 2 3" xfId="26572" xr:uid="{54903FA3-8AC0-4DDB-B954-BE11C5144441}"/>
    <cellStyle name="适中 2 2 4" xfId="27651" xr:uid="{F88485A9-D5EA-4CDB-A7A4-10B2F91B5C7F}"/>
    <cellStyle name="适中 2 3" xfId="8690" xr:uid="{8251B9EE-BB53-4088-902C-5743287CD95D}"/>
    <cellStyle name="适中 2 3 2" xfId="11766" xr:uid="{205FBD53-8448-4BBD-B4F8-F06D122D5174}"/>
    <cellStyle name="适中 2 3 3" xfId="26574" xr:uid="{F31D7D42-26D7-4DE1-AC1C-E62CA29496B4}"/>
    <cellStyle name="适中 2 3 4" xfId="27652" xr:uid="{93AF98D0-B61F-471C-950F-79AE34F2D5F4}"/>
    <cellStyle name="适中 2 4" xfId="8691" xr:uid="{6B8B2895-B599-4FAE-9286-C02704DBA1FE}"/>
    <cellStyle name="适中 2 4 2" xfId="26575" xr:uid="{9C42E8FB-2A6C-4E50-A697-9AB5A476B627}"/>
    <cellStyle name="适中 2 5" xfId="8692" xr:uid="{21CE1240-06F1-4753-BFEB-DD81A8529379}"/>
    <cellStyle name="适中 2 5 2" xfId="26576" xr:uid="{B2401414-CF59-4E71-A39A-41B6405CA4F3}"/>
    <cellStyle name="适中 2 6" xfId="2883" xr:uid="{6270B8CD-C40A-4FC0-AEC1-DF7C86C06CD8}"/>
    <cellStyle name="适中 2 6 2" xfId="26577" xr:uid="{35862621-23E3-4B0C-96E9-0F1D97EEA8CF}"/>
    <cellStyle name="适中 2 7" xfId="8693" xr:uid="{1072B539-FCBB-4739-AF5E-B85C2CF041C2}"/>
    <cellStyle name="适中 2 8" xfId="8694" xr:uid="{481EEC44-847D-4FB6-831E-CB4945C7A389}"/>
    <cellStyle name="适中 2 9" xfId="8695" xr:uid="{6486D4E8-9CF9-45B2-8C1D-1FE5ABBAEE22}"/>
    <cellStyle name="适中 2_动力部" xfId="26578" xr:uid="{E060C573-7065-4181-87FF-F3E49587218D}"/>
    <cellStyle name="适中 20" xfId="8678" xr:uid="{AC23B0E5-999E-410B-9B5C-9DF6FF549FF4}"/>
    <cellStyle name="适中 20 2" xfId="11767" xr:uid="{D5DA28E9-6133-46EC-A7B6-CFC187CDFBB6}"/>
    <cellStyle name="适中 20 2 2" xfId="26580" xr:uid="{F1AA0D35-0603-4C92-8162-4A3973BD59B7}"/>
    <cellStyle name="适中 20 3" xfId="26579" xr:uid="{F8A67D34-1182-4F54-93C9-D8969C845650}"/>
    <cellStyle name="适中 21" xfId="8680" xr:uid="{FD5F42F5-4612-4B44-9CA4-D1086835E13B}"/>
    <cellStyle name="适中 21 2" xfId="11768" xr:uid="{899F79D8-DC84-4426-BC5E-1D68883BE308}"/>
    <cellStyle name="适中 21 2 2" xfId="26582" xr:uid="{EB624FA6-C52C-45CE-8F76-0B00953ABC65}"/>
    <cellStyle name="适中 21 3" xfId="26581" xr:uid="{5305A284-5802-43BD-B10F-15760323FF76}"/>
    <cellStyle name="适中 22" xfId="8682" xr:uid="{2ACB6FF3-5B76-4B8E-81FA-CAD90A9E8ABD}"/>
    <cellStyle name="适中 22 2" xfId="11769" xr:uid="{FF012246-A6A2-41A1-82C0-CE290973AAEB}"/>
    <cellStyle name="适中 22 2 2" xfId="26584" xr:uid="{779A94F1-52F8-4E20-A2E9-E072CCE5933F}"/>
    <cellStyle name="适中 22 3" xfId="26583" xr:uid="{9DEDE318-50B3-4EE2-8EF3-9F6511D89DA5}"/>
    <cellStyle name="适中 23" xfId="8684" xr:uid="{2A1BD8FB-7FA6-445E-99BE-B4F003C827FB}"/>
    <cellStyle name="适中 23 2" xfId="26586" xr:uid="{EEA2BC1C-29DC-41F8-92A9-F9A57D8126D3}"/>
    <cellStyle name="适中 23 2 2" xfId="26587" xr:uid="{4A0FC58E-A4E2-41DD-A473-B87ACFECE08D}"/>
    <cellStyle name="适中 23 3" xfId="26585" xr:uid="{1A5F45D9-F394-473A-9EE0-3CB50B779AB7}"/>
    <cellStyle name="适中 24" xfId="8686" xr:uid="{99EA0FED-1F7D-40E0-B956-6CE714F1465D}"/>
    <cellStyle name="适中 24 2" xfId="26589" xr:uid="{9149B1E1-4B37-4017-B1C0-9468BBF750C5}"/>
    <cellStyle name="适中 24 3" xfId="26588" xr:uid="{BEBAA9A3-563A-47A6-8F32-FC966DE51BC7}"/>
    <cellStyle name="适中 25" xfId="8696" xr:uid="{BD8218B7-DA2D-4D5B-946F-A552571CD14A}"/>
    <cellStyle name="适中 25 2" xfId="26591" xr:uid="{5920A8AC-F0A0-486F-B980-537B6F26AE38}"/>
    <cellStyle name="适中 25 3" xfId="26590" xr:uid="{08B59F11-D4B3-476A-B47B-A4FD04322329}"/>
    <cellStyle name="适中 26" xfId="8698" xr:uid="{80473663-C322-4CE0-B983-7DBECFC8B6B0}"/>
    <cellStyle name="适中 26 2" xfId="26593" xr:uid="{F0894459-C0D3-4531-AB0B-B0AA6BABE2B5}"/>
    <cellStyle name="适中 26 3" xfId="26592" xr:uid="{7DA2F557-2FD4-4EDA-9A17-FF25A4398253}"/>
    <cellStyle name="适中 27" xfId="8700" xr:uid="{FCDE58CE-F3D5-43B4-8104-099CB5979759}"/>
    <cellStyle name="适中 27 2" xfId="26595" xr:uid="{9BD83E64-43F7-48F6-BFCD-1C8DA0A8DF63}"/>
    <cellStyle name="适中 27 3" xfId="26594" xr:uid="{58DEFE00-39AB-41C8-8583-00DD30ECEB1D}"/>
    <cellStyle name="适中 28" xfId="8702" xr:uid="{07670F39-24AC-4C29-A8F1-9BB5EAE05FA2}"/>
    <cellStyle name="适中 28 2" xfId="26597" xr:uid="{ACABEE15-6075-4AB9-8C4E-C88C360CB2B3}"/>
    <cellStyle name="适中 28 3" xfId="26596" xr:uid="{DCEF0C96-ED7A-44C7-8EE6-B0C9FE55E837}"/>
    <cellStyle name="适中 29" xfId="8704" xr:uid="{A4CD2B5A-91AA-42CA-B6B5-69351DED1268}"/>
    <cellStyle name="适中 29 2" xfId="26599" xr:uid="{47CCB3AC-FA28-4659-9D5F-FD3E7BFCAF87}"/>
    <cellStyle name="适中 29 3" xfId="26598" xr:uid="{40F59F68-4164-498A-814C-37C59144D294}"/>
    <cellStyle name="适中 3" xfId="8706" xr:uid="{A897C342-854A-4261-9EE0-6552C0D7F95A}"/>
    <cellStyle name="适中 3 2" xfId="11771" xr:uid="{B21ABA82-69CE-4C19-B616-04C203D0FCFB}"/>
    <cellStyle name="适中 3 2 2" xfId="26601" xr:uid="{462B1B7E-D16F-4C83-8023-63B5AA3CE0CF}"/>
    <cellStyle name="适中 3 2 3" xfId="27653" xr:uid="{526A59EA-E0E5-4870-8D10-26AF032CBD07}"/>
    <cellStyle name="适中 3 3" xfId="11772" xr:uid="{AD78C0C4-F30B-40A1-9C71-B34B5E970095}"/>
    <cellStyle name="适中 3 3 2" xfId="26602" xr:uid="{ED99A1F8-D665-4CE3-9B14-1430B0A6CF2C}"/>
    <cellStyle name="适中 3 3 3" xfId="27654" xr:uid="{C019BC6C-CA20-47E2-BDB6-97AA9889E31A}"/>
    <cellStyle name="适中 3 4" xfId="11770" xr:uid="{53BD5EC5-F603-44D5-A3B4-B8CA19D7153F}"/>
    <cellStyle name="适中 3 4 2" xfId="26603" xr:uid="{9F28F767-6BE6-41D0-A2FE-8DACDB4A3BF8}"/>
    <cellStyle name="适中 3 5" xfId="26600" xr:uid="{31C06F46-EBDC-4A43-82EF-E0CC53C1B292}"/>
    <cellStyle name="适中 30" xfId="8697" xr:uid="{307CE37D-20D4-4758-8519-2E918684B08A}"/>
    <cellStyle name="适中 30 2" xfId="26605" xr:uid="{F231F89F-FDA1-415E-A43B-C71D6D43C7DA}"/>
    <cellStyle name="适中 30 3" xfId="26604" xr:uid="{15A4BEDF-5B1F-4583-9250-4648DD45FFAB}"/>
    <cellStyle name="适中 31" xfId="8699" xr:uid="{A31D2D75-9D34-479D-86E9-FF22761D0695}"/>
    <cellStyle name="适中 31 2" xfId="26607" xr:uid="{F0128EAD-32CE-4DD2-B6E7-B9E91F1CEC94}"/>
    <cellStyle name="适中 31 3" xfId="26606" xr:uid="{EF59D111-4764-463B-BB6B-AF4E514F5E55}"/>
    <cellStyle name="适中 32" xfId="8701" xr:uid="{89B92238-FB4E-4013-B19F-E4473720839A}"/>
    <cellStyle name="适中 32 2" xfId="26609" xr:uid="{0CCC22A5-D78E-495A-B4B6-87DF250D91C2}"/>
    <cellStyle name="适中 32 3" xfId="26608" xr:uid="{0C42788D-2DB3-45F3-A66F-A7245CD71360}"/>
    <cellStyle name="适中 33" xfId="8703" xr:uid="{C8338D23-F840-4ECD-801F-EE08D99E63BB}"/>
    <cellStyle name="适中 33 2" xfId="26611" xr:uid="{0734E607-FD1D-4CDD-AE01-7F2BE2D5F195}"/>
    <cellStyle name="适中 33 3" xfId="26610" xr:uid="{32567511-7B91-4459-9716-2F513957BD4A}"/>
    <cellStyle name="适中 34" xfId="8705" xr:uid="{BDC42F22-5D7B-4D19-965A-6A9E8C5729CC}"/>
    <cellStyle name="适中 34 2" xfId="14084" xr:uid="{63B580B7-B739-4F46-A723-4EC651BCDB59}"/>
    <cellStyle name="适中 34 2 2" xfId="26613" xr:uid="{DA4F03A0-A890-4BB9-9D23-A99DEA8A24AF}"/>
    <cellStyle name="适中 34 3" xfId="26612" xr:uid="{387BCB27-8153-4CE4-941E-01D71DF6F951}"/>
    <cellStyle name="适中 35" xfId="8707" xr:uid="{769B237A-E5C1-463A-B823-9C4CFB9D8685}"/>
    <cellStyle name="适中 35 2" xfId="14085" xr:uid="{FD1C0DF8-60FC-4485-B587-55B552FB8C40}"/>
    <cellStyle name="适中 35 2 2" xfId="26615" xr:uid="{19CF0A40-181C-4FEC-AEDA-6C2BBF31944E}"/>
    <cellStyle name="适中 35 3" xfId="26614" xr:uid="{D6908C52-287C-4728-8C37-E10121BE4BC0}"/>
    <cellStyle name="适中 36" xfId="2251" xr:uid="{6EB12802-72C3-45C9-B057-51D364EB326D}"/>
    <cellStyle name="适中 36 2" xfId="14086" xr:uid="{AAF128F0-405E-40CE-B455-ECB194EEF255}"/>
    <cellStyle name="适中 36 2 2" xfId="26617" xr:uid="{EE17A5B3-5813-43D3-91E2-1F35414D4515}"/>
    <cellStyle name="适中 36 3" xfId="26616" xr:uid="{0410EE00-A78C-4476-AF6F-147D30C6A202}"/>
    <cellStyle name="适中 37" xfId="8709" xr:uid="{C0EF4E1D-A1D8-4276-8D41-85C885CD03C6}"/>
    <cellStyle name="适中 37 2" xfId="14087" xr:uid="{507736D3-31E2-4944-BF23-01B7F8D2E856}"/>
    <cellStyle name="适中 37 2 2" xfId="26619" xr:uid="{8DE3B125-0254-406E-BCCB-FAD898A458AB}"/>
    <cellStyle name="适中 37 3" xfId="26618" xr:uid="{555CE254-A203-436C-9B9C-75AB266654FD}"/>
    <cellStyle name="适中 38" xfId="8711" xr:uid="{DF9C09B8-A101-48AC-919D-8DAABA5AB13F}"/>
    <cellStyle name="适中 38 2" xfId="14088" xr:uid="{C9B4723B-5301-422B-A891-D69C475A2840}"/>
    <cellStyle name="适中 38 2 2" xfId="26621" xr:uid="{2E487E4A-F62C-4E55-9093-ACCEA06B2829}"/>
    <cellStyle name="适中 38 3" xfId="26620" xr:uid="{69D956F7-12CD-407F-BB7D-0C87BC2F6144}"/>
    <cellStyle name="适中 39" xfId="4084" xr:uid="{892A7A6B-0104-472B-B552-9869F8DE6602}"/>
    <cellStyle name="适中 39 2" xfId="14089" xr:uid="{29E3460C-531A-49F2-B0A7-F8F386018D88}"/>
    <cellStyle name="适中 39 2 2" xfId="26623" xr:uid="{6CDBE75A-8A4D-4822-9A50-B51CE839139A}"/>
    <cellStyle name="适中 39 3" xfId="26622" xr:uid="{E0C91343-849C-466D-AE5A-2C87469DA9EF}"/>
    <cellStyle name="适中 4" xfId="8713" xr:uid="{AD144DC6-A733-4AEF-886B-93E803705C60}"/>
    <cellStyle name="适中 4 2" xfId="11774" xr:uid="{B190EAD6-D551-446A-9446-13664F4751E8}"/>
    <cellStyle name="适中 4 2 2" xfId="26625" xr:uid="{5174AE95-7F2E-4B4B-9B0E-5CA5F75B9C5C}"/>
    <cellStyle name="适中 4 3" xfId="11775" xr:uid="{0A37C161-9579-42FB-BD60-978EC878AB98}"/>
    <cellStyle name="适中 4 3 2" xfId="26626" xr:uid="{F39B5C4E-7CB2-4F2E-BFAB-C3936D0D650C}"/>
    <cellStyle name="适中 4 4" xfId="11773" xr:uid="{B23DF52E-5A81-447C-9729-F1B44012782A}"/>
    <cellStyle name="适中 4 5" xfId="26624" xr:uid="{3BDF552E-DCFE-49DB-B144-F842A1E1D61E}"/>
    <cellStyle name="适中 40" xfId="8708" xr:uid="{7DC10F71-8E42-478F-8C2E-C1CF4482FB81}"/>
    <cellStyle name="适中 40 2" xfId="14090" xr:uid="{FFCB3C1B-72E0-4D53-8989-E892E5A9EE72}"/>
    <cellStyle name="适中 40 2 2" xfId="26628" xr:uid="{4447F065-D92D-4AD0-BE18-9D76EB745799}"/>
    <cellStyle name="适中 40 3" xfId="26627" xr:uid="{4EA28EFC-4B9B-4BA4-8071-F3A890607446}"/>
    <cellStyle name="适中 41" xfId="2250" xr:uid="{D6163FFD-1436-4B6E-B921-88D39F4AF0F2}"/>
    <cellStyle name="适中 41 2" xfId="14091" xr:uid="{47A7F5DE-5CFF-46A0-99AF-F075474D65B8}"/>
    <cellStyle name="适中 41 2 2" xfId="26630" xr:uid="{A69C45A7-F971-45CD-A6B9-8B7354B29A03}"/>
    <cellStyle name="适中 41 3" xfId="26629" xr:uid="{ABBF0A41-DABD-4E83-A2B3-621FF64C532C}"/>
    <cellStyle name="适中 42" xfId="8710" xr:uid="{EF33C77D-BA70-4A19-85E6-2ED090D26893}"/>
    <cellStyle name="适中 42 2" xfId="14092" xr:uid="{921F0430-A025-45AA-8CFB-9DEDF2E6D3F9}"/>
    <cellStyle name="适中 42 2 2" xfId="26632" xr:uid="{0ABFCC70-4EE2-46C8-9C7E-3BF9922546E1}"/>
    <cellStyle name="适中 42 3" xfId="26631" xr:uid="{9BCCA29C-9638-4EA9-918D-D8B653C0F5A6}"/>
    <cellStyle name="适中 43" xfId="8712" xr:uid="{5A04CC8C-EECE-42D4-805B-0FA98E53045D}"/>
    <cellStyle name="适中 43 2" xfId="14093" xr:uid="{5E3CD2AE-E177-429B-BADC-7D993BC1F291}"/>
    <cellStyle name="适中 43 2 2" xfId="26634" xr:uid="{11EFF5DD-8A38-4D8B-AF6B-0730356FB35F}"/>
    <cellStyle name="适中 43 3" xfId="26633" xr:uid="{99EA24EF-DF7B-4BCD-8DA8-12D33A97345E}"/>
    <cellStyle name="适中 44" xfId="4083" xr:uid="{9C43E230-068B-4B38-B685-23C136F1BDF8}"/>
    <cellStyle name="适中 44 2" xfId="14094" xr:uid="{B73A3D7C-BEE6-40B3-8300-323F04FAA4FD}"/>
    <cellStyle name="适中 44 2 2" xfId="26636" xr:uid="{A4BAA1D1-DC9E-45DA-AEF6-FB9EA0099B37}"/>
    <cellStyle name="适中 44 3" xfId="26635" xr:uid="{AE06A072-1A67-4DE8-BA03-BC3AAC2E662F}"/>
    <cellStyle name="适中 45" xfId="4091" xr:uid="{19F471EF-4ADF-4664-9D98-2916451B3C5C}"/>
    <cellStyle name="适中 45 2" xfId="14095" xr:uid="{25FD9BDA-9C04-4846-B711-1EC8589942E8}"/>
    <cellStyle name="适中 45 2 2" xfId="26638" xr:uid="{D6A08FF2-9FD2-44EE-B8EF-8F30903C33C7}"/>
    <cellStyle name="适中 45 3" xfId="26637" xr:uid="{8F161C8A-6619-46C2-A189-82A8E8DD1D36}"/>
    <cellStyle name="适中 46" xfId="4096" xr:uid="{10843762-2EB0-4B6B-A4DD-05A31E9D6F09}"/>
    <cellStyle name="适中 46 2" xfId="14096" xr:uid="{C2F43652-A944-455D-9E72-56158D83D25A}"/>
    <cellStyle name="适中 46 2 2" xfId="26640" xr:uid="{3BBF97F9-8E69-464B-93DA-7F465D40CD18}"/>
    <cellStyle name="适中 46 3" xfId="26639" xr:uid="{967635D7-78C2-4D5D-ACC1-6C2596153C1E}"/>
    <cellStyle name="适中 47" xfId="4102" xr:uid="{ED32B42A-48C1-466A-9F12-5118F4DE2B92}"/>
    <cellStyle name="适中 47 2" xfId="14097" xr:uid="{4E01D79E-A475-4D07-AAD5-3664B267A3D5}"/>
    <cellStyle name="适中 47 3" xfId="26641" xr:uid="{D85C2FE2-C54F-4B22-B291-E46F7947DF57}"/>
    <cellStyle name="适中 48" xfId="4108" xr:uid="{1F71A415-2D58-43DD-B514-9A339FB9C5F4}"/>
    <cellStyle name="适中 48 2" xfId="14098" xr:uid="{1FBC5842-1A30-4F8D-9314-50985B372932}"/>
    <cellStyle name="适中 48 3" xfId="26642" xr:uid="{C63E02FE-EAB7-4F8A-BB29-8FC19F2D839B}"/>
    <cellStyle name="适中 49" xfId="8714" xr:uid="{0666541F-ACAE-42AA-9082-4A73B7A2DBA4}"/>
    <cellStyle name="适中 49 2" xfId="14099" xr:uid="{D89884DC-6A20-436F-9E60-9CA368E7930F}"/>
    <cellStyle name="适中 49 3" xfId="26643" xr:uid="{3D993339-AC02-40FC-979D-F1D364BCDC5C}"/>
    <cellStyle name="适中 5" xfId="8716" xr:uid="{59D0E0F0-2D52-4A7A-8838-00F3E0E0C819}"/>
    <cellStyle name="适中 5 2" xfId="11777" xr:uid="{D10EDD69-D649-477B-AAC9-309D5D4678B9}"/>
    <cellStyle name="适中 5 2 2" xfId="26645" xr:uid="{29C6208A-9F57-43E5-B58A-076F36D0632E}"/>
    <cellStyle name="适中 5 3" xfId="11778" xr:uid="{9A49012A-E4E4-4105-AFD1-EA0209F4517C}"/>
    <cellStyle name="适中 5 4" xfId="11776" xr:uid="{193B6490-4487-46E5-A384-C58EF78381E1}"/>
    <cellStyle name="适中 5 5" xfId="26644" xr:uid="{4F800755-428D-440C-8773-2EA6DA8AAD69}"/>
    <cellStyle name="适中 50" xfId="4090" xr:uid="{DED155F0-EEC0-4CFE-9BFD-E35CA082B1BE}"/>
    <cellStyle name="适中 50 2" xfId="14100" xr:uid="{2BCBBA9F-D9B1-4E73-8885-7F808EC09AC3}"/>
    <cellStyle name="适中 50 3" xfId="26646" xr:uid="{5CF63381-1A87-4C5C-929E-B7BA639D34ED}"/>
    <cellStyle name="适中 51" xfId="4095" xr:uid="{3E26986B-B317-4900-8CEF-D457630B9E3C}"/>
    <cellStyle name="适中 51 2" xfId="14101" xr:uid="{36CD0F4F-317D-47B8-9148-56443FE8633D}"/>
    <cellStyle name="适中 51 3" xfId="26647" xr:uid="{F55B4C4D-6EC9-44AE-9D3B-3E2E44071CA0}"/>
    <cellStyle name="适中 52" xfId="4101" xr:uid="{8E16FB11-13A4-4454-B3B0-AD11476C40D4}"/>
    <cellStyle name="适中 52 2" xfId="14102" xr:uid="{FE0FF159-7EDD-4FA7-A62C-94B34A9D13E5}"/>
    <cellStyle name="适中 52 3" xfId="26648" xr:uid="{517BF598-F467-4A60-80BA-18F85DF0D066}"/>
    <cellStyle name="适中 53" xfId="4107" xr:uid="{F456D04E-29F3-4892-8E4A-9705E193DFE7}"/>
    <cellStyle name="适中 53 2" xfId="14103" xr:uid="{26E70B06-CD61-4AFF-BBB0-3B93D5B38004}"/>
    <cellStyle name="适中 53 3" xfId="26649" xr:uid="{2F0C7108-988D-4435-B258-E632C82184BA}"/>
    <cellStyle name="适中 54" xfId="8715" xr:uid="{CCA4A9BE-43F1-40DA-87C5-6DDDD9AFACDD}"/>
    <cellStyle name="适中 54 2" xfId="14104" xr:uid="{2658FD99-E7FB-41DF-A404-D0690A44BB6E}"/>
    <cellStyle name="适中 54 3" xfId="26650" xr:uid="{92220BFE-B4BE-472C-87B1-97C8A6D00BDC}"/>
    <cellStyle name="适中 55" xfId="8717" xr:uid="{B6A716CD-A09A-4847-8C8F-D5F04EC71B05}"/>
    <cellStyle name="适中 55 2" xfId="14105" xr:uid="{6F3E3C30-DDB6-4DEE-B3EA-ABB948D90C2F}"/>
    <cellStyle name="适中 55 3" xfId="26651" xr:uid="{D3D4BFF4-F779-45DC-A1C8-D56D9973C914}"/>
    <cellStyle name="适中 56" xfId="8719" xr:uid="{0F7D2A3F-5F06-4B9D-B757-D6F29E6457D3}"/>
    <cellStyle name="适中 56 2" xfId="14106" xr:uid="{682482DC-00DF-48EC-BA41-C7ACBBAD3574}"/>
    <cellStyle name="适中 56 3" xfId="26652" xr:uid="{5ED8242A-92FA-43D4-9B02-39F782BC3D8A}"/>
    <cellStyle name="适中 57" xfId="8721" xr:uid="{D5DB4128-43A7-457E-AAD8-6F419CFBC534}"/>
    <cellStyle name="适中 57 2" xfId="14107" xr:uid="{B23E0ADE-3077-4D8E-965D-C005F4C487B7}"/>
    <cellStyle name="适中 58" xfId="8723" xr:uid="{11C93664-89D1-49DD-83C2-88EB1F636A9D}"/>
    <cellStyle name="适中 58 2" xfId="14108" xr:uid="{2D4ED1E4-116E-4728-B46D-A1340CD94569}"/>
    <cellStyle name="适中 59" xfId="8725" xr:uid="{161F5C92-0978-4BA3-B6BB-626920D9579F}"/>
    <cellStyle name="适中 59 2" xfId="14109" xr:uid="{E62DF642-5BF2-42CC-BA96-92341A2BFB07}"/>
    <cellStyle name="适中 6" xfId="8727" xr:uid="{C2C28D24-E0A6-449A-BE0D-9F38FA33FD13}"/>
    <cellStyle name="适中 6 2" xfId="8728" xr:uid="{090DB039-8E67-442F-858D-0440FA69F049}"/>
    <cellStyle name="适中 6 2 2" xfId="11780" xr:uid="{94BDC279-29B9-4351-84C4-CCBB7FBCD2D4}"/>
    <cellStyle name="适中 6 2 3" xfId="26654" xr:uid="{E0D1691E-BA63-4C79-AB0B-4079D796E518}"/>
    <cellStyle name="适中 6 3" xfId="11781" xr:uid="{B0BCB5AF-A772-47EC-8A83-689087CB8775}"/>
    <cellStyle name="适中 6 4" xfId="11779" xr:uid="{B0ECEFAE-0E44-4EE0-9C0F-7AB568188D00}"/>
    <cellStyle name="适中 6 5" xfId="26653" xr:uid="{7F59B54E-5321-4D27-A244-92FD1433E955}"/>
    <cellStyle name="适中 60" xfId="8718" xr:uid="{E138003C-4505-4718-AEA6-194C2D553552}"/>
    <cellStyle name="适中 60 2" xfId="14110" xr:uid="{BF20C9EF-E46D-437B-87FD-D0E247BF70B1}"/>
    <cellStyle name="适中 61" xfId="8720" xr:uid="{300E7A18-A74A-4148-94BF-7BDF42F9F6A0}"/>
    <cellStyle name="适中 61 2" xfId="14111" xr:uid="{0863A16F-C4A8-4B9A-8441-90B4817FC270}"/>
    <cellStyle name="适中 62" xfId="8722" xr:uid="{44854989-1A97-4895-A7E5-2C3E3EE8FC27}"/>
    <cellStyle name="适中 62 2" xfId="14112" xr:uid="{E96C779C-4E78-416D-BD70-A32F7FFACDBC}"/>
    <cellStyle name="适中 63" xfId="8724" xr:uid="{98CAED05-E958-4A94-B463-84E0D01E9B60}"/>
    <cellStyle name="适中 63 2" xfId="14113" xr:uid="{CB9EE80B-AD80-4183-AC18-F671646E88D5}"/>
    <cellStyle name="适中 64" xfId="8726" xr:uid="{5B859AB1-DE65-429D-BA7F-E4CA7AF0BB8F}"/>
    <cellStyle name="适中 64 2" xfId="14114" xr:uid="{75B4486E-28BD-4673-B0A8-4877F1404E0B}"/>
    <cellStyle name="适中 65" xfId="8729" xr:uid="{6820521F-4DE5-4A22-B807-767A13B835D8}"/>
    <cellStyle name="适中 65 2" xfId="14115" xr:uid="{31AB0CB0-E5DA-4DE4-A1A7-8F439152C06A}"/>
    <cellStyle name="适中 66" xfId="8731" xr:uid="{8C29C14E-DAE4-4FFF-A9EB-71376A759317}"/>
    <cellStyle name="适中 66 2" xfId="14116" xr:uid="{EFA34234-3561-4A86-ACF9-932263DAA78B}"/>
    <cellStyle name="适中 67" xfId="7099" xr:uid="{8450F571-26EC-4635-989C-9F6F1C65DD06}"/>
    <cellStyle name="适中 67 2" xfId="14117" xr:uid="{8C5FC17A-6314-4816-9AA8-FC2CB69FE250}"/>
    <cellStyle name="适中 68" xfId="7148" xr:uid="{606A7FAA-53C6-4895-A73A-25550437E5B0}"/>
    <cellStyle name="适中 68 2" xfId="14118" xr:uid="{26552D56-F5B5-4DC9-8849-BB4ADA68692C}"/>
    <cellStyle name="适中 69" xfId="7238" xr:uid="{5898D3CF-7227-4CF1-B158-5316738CC29B}"/>
    <cellStyle name="适中 69 2" xfId="14119" xr:uid="{C41EF006-90E1-4438-8B79-609BF2C25DC5}"/>
    <cellStyle name="适中 7" xfId="8733" xr:uid="{B4E8A6E8-1618-4705-BC86-C1A7A6797131}"/>
    <cellStyle name="适中 7 2" xfId="8734" xr:uid="{A2FB36EF-0B5F-4622-941B-F3CE6847F580}"/>
    <cellStyle name="适中 7 2 2" xfId="11783" xr:uid="{6D09C488-6B4F-40F6-91FD-C0F7611FBA79}"/>
    <cellStyle name="适中 7 2 3" xfId="26656" xr:uid="{7500CF84-6BD1-496E-8EF3-691F6963B9CF}"/>
    <cellStyle name="适中 7 3" xfId="11784" xr:uid="{EB61D050-C761-4B53-B42E-2701D11BE048}"/>
    <cellStyle name="适中 7 4" xfId="11782" xr:uid="{5593F88D-2AAD-46BA-9681-648A1BF5352A}"/>
    <cellStyle name="适中 7 5" xfId="26655" xr:uid="{142C5737-20A9-47E7-9472-F7BFB4534905}"/>
    <cellStyle name="适中 70" xfId="8730" xr:uid="{8324F854-5F5A-42DD-8023-B7D432AB624A}"/>
    <cellStyle name="适中 70 2" xfId="14120" xr:uid="{5FE6FD3C-C48F-41F9-B999-FD0119CAFAEF}"/>
    <cellStyle name="适中 71" xfId="8732" xr:uid="{85BC9AFB-4521-4FD0-8091-AE5A0F7FD31A}"/>
    <cellStyle name="适中 71 2" xfId="14121" xr:uid="{5847175D-0343-46D7-9E72-5D15A04AD465}"/>
    <cellStyle name="适中 72" xfId="7100" xr:uid="{9677BE1D-57EB-4DD2-82FD-5347EDDC5491}"/>
    <cellStyle name="适中 72 2" xfId="14122" xr:uid="{35D4266F-9920-4595-8E7E-A8B90D3B30EC}"/>
    <cellStyle name="适中 73" xfId="7149" xr:uid="{2FAEF532-AA61-4A56-A6AD-70E7E95DFA09}"/>
    <cellStyle name="适中 73 2" xfId="14123" xr:uid="{46668C0B-EBD2-4FF8-9537-E7416945FD99}"/>
    <cellStyle name="适中 74" xfId="7239" xr:uid="{56E1F515-E659-4142-B807-E533BC1AB1E7}"/>
    <cellStyle name="适中 74 2" xfId="14124" xr:uid="{5AA233D0-7E1F-41C6-B266-C6960D27680A}"/>
    <cellStyle name="适中 75" xfId="7322" xr:uid="{B8A7A9A3-713E-425D-8393-5EC830503342}"/>
    <cellStyle name="适中 75 2" xfId="14125" xr:uid="{605FDE9C-F7F8-4699-A4A4-747903E06C45}"/>
    <cellStyle name="适中 76" xfId="7389" xr:uid="{88D51EEF-C3EF-44F0-B447-BAB55BF94E96}"/>
    <cellStyle name="适中 76 2" xfId="14126" xr:uid="{C20374E7-1803-4A66-9190-6BE526858698}"/>
    <cellStyle name="适中 77" xfId="7403" xr:uid="{0ECC025C-F2CE-4B02-87F8-B6528BDF8F25}"/>
    <cellStyle name="适中 77 2" xfId="14127" xr:uid="{23980C78-C496-4F7A-84FC-DCFC8C7F4778}"/>
    <cellStyle name="适中 78" xfId="7113" xr:uid="{EF972DD8-7445-47EA-BA59-90FA31286933}"/>
    <cellStyle name="适中 78 2" xfId="14128" xr:uid="{94A602D5-2C9C-4A43-BE22-72BE8D1E7CD4}"/>
    <cellStyle name="适中 79" xfId="7417" xr:uid="{01D3049F-2CFE-4C7F-9C20-A771AF8EE289}"/>
    <cellStyle name="适中 79 2" xfId="14129" xr:uid="{DD59AA1B-D4BF-4444-91C9-199A0DF7668F}"/>
    <cellStyle name="适中 8" xfId="4706" xr:uid="{5738B6DE-62F6-4145-96B5-5FB30261C043}"/>
    <cellStyle name="适中 8 2" xfId="4523" xr:uid="{F7B2CDCA-DFDA-461F-B4E7-E2CA96588490}"/>
    <cellStyle name="适中 8 2 2" xfId="11786" xr:uid="{12FB79AD-58AF-4FBF-B52C-0667AE17B816}"/>
    <cellStyle name="适中 8 2 3" xfId="26658" xr:uid="{5482D3B1-25AE-42DF-9554-017F20E81FD2}"/>
    <cellStyle name="适中 8 3" xfId="11787" xr:uid="{751C39D7-57EF-4517-B457-6C291499943F}"/>
    <cellStyle name="适中 8 4" xfId="11785" xr:uid="{B684E16D-3460-47DB-8E5D-CFADD9A6308E}"/>
    <cellStyle name="适中 8 5" xfId="26657" xr:uid="{8F6D393D-D81C-4CDB-8E68-D342D5809763}"/>
    <cellStyle name="适中 80" xfId="7323" xr:uid="{4AC9A2FC-0D37-4133-86B6-C2E6071700E7}"/>
    <cellStyle name="适中 80 2" xfId="14130" xr:uid="{1C4332D0-8870-4AFF-81D7-716104716658}"/>
    <cellStyle name="适中 81" xfId="7390" xr:uid="{848C5045-9C05-4B14-8529-BBD85CA032E0}"/>
    <cellStyle name="适中 81 2" xfId="14131" xr:uid="{C82AF4FF-E276-4459-A2EE-56E6CD23B391}"/>
    <cellStyle name="适中 82" xfId="7404" xr:uid="{FA892457-885D-4BC5-AC2B-C20B1E8A4305}"/>
    <cellStyle name="适中 82 2" xfId="14132" xr:uid="{2839171F-2185-48F1-B82D-633D9F31A1A7}"/>
    <cellStyle name="适中 83" xfId="7114" xr:uid="{62209741-59F0-416D-90AC-9E688810AAA8}"/>
    <cellStyle name="适中 83 2" xfId="14133" xr:uid="{A33E8038-6B7D-401D-982B-1EE885A38B00}"/>
    <cellStyle name="适中 84" xfId="7418" xr:uid="{E80A4C08-18F1-46FD-ACB9-0167079B60D1}"/>
    <cellStyle name="适中 84 2" xfId="14134" xr:uid="{9C83A5E8-F16B-4C6E-AC3B-CE06A78EBDFA}"/>
    <cellStyle name="适中 85" xfId="9326" xr:uid="{1425B354-4AA0-42B3-A3F8-7FAED5C3BA32}"/>
    <cellStyle name="适中 86" xfId="11737" xr:uid="{6AA96F3D-5CF4-45EF-B926-5F0AE57B3F1A}"/>
    <cellStyle name="适中 87" xfId="13556" xr:uid="{8D44313A-E833-4AE7-B6C7-8B83978D38F3}"/>
    <cellStyle name="适中 88" xfId="27163" xr:uid="{18F53F94-32A3-43EE-9DA3-76686B017DE3}"/>
    <cellStyle name="适中 89" xfId="27207" xr:uid="{97D46BB4-0853-445F-8E6C-877FC9F70A0B}"/>
    <cellStyle name="适中 9" xfId="8735" xr:uid="{DE00A7A5-C71E-4668-B168-FF6C099ECBA0}"/>
    <cellStyle name="适中 9 2" xfId="11789" xr:uid="{CE2F1867-A332-48A1-866E-3F3BC07C74FA}"/>
    <cellStyle name="适中 9 2 2" xfId="26660" xr:uid="{872B6A39-4DAD-4A1B-9506-FCFB76B1C670}"/>
    <cellStyle name="适中 9 3" xfId="11790" xr:uid="{C08E7C3F-A3EC-4596-B93D-2AD64117BC16}"/>
    <cellStyle name="适中 9 4" xfId="11788" xr:uid="{5764316B-FB7B-4965-B0D7-8EBCBE4093FC}"/>
    <cellStyle name="适中 9 5" xfId="26659" xr:uid="{DAC0A64F-66DB-42D5-BD54-962355B90AC2}"/>
    <cellStyle name="适中 90" xfId="27222" xr:uid="{A71B08F0-EA17-44D2-9FF5-F619067117A0}"/>
    <cellStyle name="适中 91" xfId="8671" xr:uid="{3C2C4BEA-0236-4A0B-9AA5-EAC6CBEDDAF1}"/>
    <cellStyle name="输出" xfId="27815" builtinId="21" customBuiltin="1"/>
    <cellStyle name="输出 10" xfId="8736" xr:uid="{AEB67AB8-738E-4863-AA91-C971B88478DD}"/>
    <cellStyle name="输出 10 2" xfId="11793" xr:uid="{4532F401-A9B8-47A5-B1D8-3EA1A1125B05}"/>
    <cellStyle name="输出 10 2 2" xfId="26662" xr:uid="{A91AAA43-A722-4AE4-BFC8-4C74CD74CC70}"/>
    <cellStyle name="输出 10 3" xfId="11794" xr:uid="{EEB61A32-FBFF-434E-ACD5-031C58834710}"/>
    <cellStyle name="输出 10 4" xfId="11792" xr:uid="{D8BF6A62-A84C-4ACA-A741-8167CE84BBB9}"/>
    <cellStyle name="输出 10 5" xfId="26661" xr:uid="{A5CB5EB3-2A3A-4449-AF46-A2571EF672CA}"/>
    <cellStyle name="输出 11" xfId="8737" xr:uid="{F8F98C1F-214D-4586-91F0-AE65C07A6340}"/>
    <cellStyle name="输出 11 2" xfId="11796" xr:uid="{1F2DC427-7E1C-4496-9753-5706962F6FFD}"/>
    <cellStyle name="输出 11 2 2" xfId="26664" xr:uid="{C7A917D5-4B7E-48C3-9AC7-71B55FD4522C}"/>
    <cellStyle name="输出 11 3" xfId="11797" xr:uid="{7254DB65-1E85-45AD-B43D-DE2F5C445734}"/>
    <cellStyle name="输出 11 4" xfId="11795" xr:uid="{A0D4FF1E-2D6D-45D4-B957-B0619ABC6F49}"/>
    <cellStyle name="输出 11 5" xfId="26663" xr:uid="{90947BAC-9384-45C7-A275-F54476B63229}"/>
    <cellStyle name="输出 12" xfId="8738" xr:uid="{5B21D0FF-DFCB-4A9D-91BD-90C160491A38}"/>
    <cellStyle name="输出 12 2" xfId="11799" xr:uid="{FF4039AB-46E7-477E-89A0-DAA5B3A746E4}"/>
    <cellStyle name="输出 12 2 2" xfId="26666" xr:uid="{D07C3283-63F5-4410-B389-035B6843EC1F}"/>
    <cellStyle name="输出 12 3" xfId="11800" xr:uid="{1EB3251C-8D0D-4078-A5BA-113EA55BE019}"/>
    <cellStyle name="输出 12 4" xfId="11798" xr:uid="{0A9AB9F5-6FE3-4CC3-9ABA-C27A402C560D}"/>
    <cellStyle name="输出 12 5" xfId="26665" xr:uid="{41CA157F-C50A-4078-8C07-E8A7A2B47230}"/>
    <cellStyle name="输出 13" xfId="8739" xr:uid="{C666431B-68EA-485C-8E0C-DA20D7891807}"/>
    <cellStyle name="输出 13 2" xfId="11802" xr:uid="{E42FAE60-954A-4DD0-A7D2-749728068867}"/>
    <cellStyle name="输出 13 2 2" xfId="26668" xr:uid="{22437563-64C9-4E61-BC22-0D18A7295C7A}"/>
    <cellStyle name="输出 13 3" xfId="11803" xr:uid="{9AF2D5DC-B1A3-4D68-BDD1-EC5C226CBE33}"/>
    <cellStyle name="输出 13 4" xfId="11801" xr:uid="{4B7E956D-4CB7-4185-9E71-99E15CF95FB3}"/>
    <cellStyle name="输出 13 5" xfId="26667" xr:uid="{C67C2EA6-2F44-4236-AE6B-08711916F61E}"/>
    <cellStyle name="输出 14" xfId="8740" xr:uid="{F82541DC-2318-44E3-BBF0-33E8AB1A68B0}"/>
    <cellStyle name="输出 14 2" xfId="11805" xr:uid="{46D39DC8-FD12-4AFD-9529-B6B8F03C441D}"/>
    <cellStyle name="输出 14 2 2" xfId="26670" xr:uid="{2EDE6382-11BF-4765-9CE6-C7FDAF4D123E}"/>
    <cellStyle name="输出 14 3" xfId="11806" xr:uid="{60A8AF6F-D127-42A9-921F-CC9BE44955FB}"/>
    <cellStyle name="输出 14 4" xfId="11804" xr:uid="{8B60C797-F245-4614-B10A-391591D5CEE3}"/>
    <cellStyle name="输出 14 5" xfId="26669" xr:uid="{C8A347F2-E2D6-402C-AD28-50D0542E462D}"/>
    <cellStyle name="输出 15" xfId="8741" xr:uid="{B9F264BE-70DE-46A4-A519-4A572F3A8E40}"/>
    <cellStyle name="输出 15 2" xfId="11808" xr:uid="{A23F45F0-8D58-4509-BCD6-C07C9312E8EA}"/>
    <cellStyle name="输出 15 2 2" xfId="26672" xr:uid="{82495281-DE15-48A9-A14B-49F21FBE52D9}"/>
    <cellStyle name="输出 15 3" xfId="11809" xr:uid="{A7BEEBA1-77C8-4192-AB26-95EE679218C6}"/>
    <cellStyle name="输出 15 4" xfId="11807" xr:uid="{B0D15607-3129-4671-BCB8-42FF8883E934}"/>
    <cellStyle name="输出 15 5" xfId="26671" xr:uid="{79A2B9D5-948F-45C6-BD05-65249F157C0C}"/>
    <cellStyle name="输出 16" xfId="8743" xr:uid="{0472067A-8972-4519-92DA-04180DAE1BD4}"/>
    <cellStyle name="输出 16 2" xfId="11811" xr:uid="{18054355-13C3-4E32-91B1-5401B876EDF4}"/>
    <cellStyle name="输出 16 2 2" xfId="26674" xr:uid="{3E26658F-ECB9-4AAC-B75C-FD929EC6B844}"/>
    <cellStyle name="输出 16 3" xfId="11812" xr:uid="{F2A9A0D8-38AB-4D8E-8CF5-7D52B832B66E}"/>
    <cellStyle name="输出 16 4" xfId="11810" xr:uid="{918B37C2-FF78-493B-9FB3-356CC2E8E007}"/>
    <cellStyle name="输出 16 5" xfId="26673" xr:uid="{D861D8AA-9BA0-4172-B98A-23695AA6089F}"/>
    <cellStyle name="输出 17" xfId="8745" xr:uid="{2BAD87F7-DE33-4A89-86BC-ADE71C160E14}"/>
    <cellStyle name="输出 17 2" xfId="11814" xr:uid="{1B7DDB8F-F919-4B8A-83E4-72056267DFC0}"/>
    <cellStyle name="输出 17 2 2" xfId="26676" xr:uid="{0B30C7B8-BC49-41DE-9018-D2A7D14A49DB}"/>
    <cellStyle name="输出 17 3" xfId="11815" xr:uid="{F697E754-BC4C-4E28-A16A-601274007473}"/>
    <cellStyle name="输出 17 4" xfId="11813" xr:uid="{F7084D8B-314B-4A72-B347-4F314FF4F2D3}"/>
    <cellStyle name="输出 17 5" xfId="26675" xr:uid="{51DD34E0-EBB0-4E66-9D16-8A429343D75D}"/>
    <cellStyle name="输出 18" xfId="8747" xr:uid="{B6B63365-9EA1-473D-9A28-4DAC520BB9EB}"/>
    <cellStyle name="输出 18 2" xfId="11816" xr:uid="{37BF76BE-C0D6-4C69-89F7-06EDCD7C2B99}"/>
    <cellStyle name="输出 18 2 2" xfId="26678" xr:uid="{D8A8049E-BCAD-4DE5-BB80-7E4652931EF4}"/>
    <cellStyle name="输出 18 3" xfId="26677" xr:uid="{04F5E271-8763-4EA8-9DD3-A14749026836}"/>
    <cellStyle name="输出 19" xfId="8749" xr:uid="{3F2FD9B7-C924-4154-A908-3F3A5BF0A2A8}"/>
    <cellStyle name="输出 19 2" xfId="11817" xr:uid="{DAF6EC74-04F4-4B4C-8565-6AC1A5D2130B}"/>
    <cellStyle name="输出 19 2 2" xfId="26680" xr:uid="{9AF09319-0C0A-430C-9446-EE53789ACB1D}"/>
    <cellStyle name="输出 19 3" xfId="26679" xr:uid="{3E6313DC-9631-47EC-9264-0B1F42A66EC6}"/>
    <cellStyle name="输出 2" xfId="222" xr:uid="{C3EA3238-7662-45C7-9887-A7BF2D72A4B0}"/>
    <cellStyle name="输出 2 10" xfId="3544" xr:uid="{82250F33-76B1-4328-83DA-7A81245F9841}"/>
    <cellStyle name="输出 2 10 2" xfId="26681" xr:uid="{7C219DDD-16D5-43CB-AB9B-EB0958F51284}"/>
    <cellStyle name="输出 2 11" xfId="3548" xr:uid="{D9B6DFD1-C320-4652-B428-2A8C5F0E0006}"/>
    <cellStyle name="输出 2 12" xfId="3552" xr:uid="{BD26818E-9AC3-4A62-B823-FED4D60F545A}"/>
    <cellStyle name="输出 2 13" xfId="3573" xr:uid="{E47115B9-A7D6-4B3B-AF8C-A8B18F63E86E}"/>
    <cellStyle name="输出 2 14" xfId="3576" xr:uid="{C2610E6F-6686-4195-80C7-A893A6BFB9C4}"/>
    <cellStyle name="输出 2 15" xfId="11818" xr:uid="{D4594EA9-C113-40CF-A136-78EDE0EFE6E2}"/>
    <cellStyle name="输出 2 16" xfId="12598" xr:uid="{793F0E4B-6CAD-45C1-93DB-896FDBAA4135}"/>
    <cellStyle name="输出 2 2" xfId="511" xr:uid="{013987E5-63CA-4AA4-B448-70907C5E764C}"/>
    <cellStyle name="输出 2 2 10" xfId="27655" xr:uid="{E7518F5D-BFFC-4CF2-BC5C-9242D7EA5D2B}"/>
    <cellStyle name="输出 2 2 2" xfId="8751" xr:uid="{E5EC5E5B-0EDA-41D7-816A-E4876F5B96D3}"/>
    <cellStyle name="输出 2 2 3" xfId="8752" xr:uid="{F07D6739-0858-44A4-BCB5-908B501D647B}"/>
    <cellStyle name="输出 2 2 3 2" xfId="26683" xr:uid="{A7D918E7-03B7-42A0-A915-0F36309F9F40}"/>
    <cellStyle name="输出 2 2 4" xfId="8753" xr:uid="{5C0005D3-C6A1-42FA-9C62-DABC5DFFCF71}"/>
    <cellStyle name="输出 2 2 5" xfId="8754" xr:uid="{585FAC61-7A4F-4550-A53A-41D5D1A7E3E9}"/>
    <cellStyle name="输出 2 2 6" xfId="8755" xr:uid="{1E1BE726-9EA6-4894-BBCF-6EB7149F808A}"/>
    <cellStyle name="输出 2 2 7" xfId="8756" xr:uid="{DDC0222A-8B9B-46AD-B981-FB351352FCBB}"/>
    <cellStyle name="输出 2 2 8" xfId="11819" xr:uid="{0C886B95-B608-46BC-ABC4-A687C38F2ABB}"/>
    <cellStyle name="输出 2 2 9" xfId="26682" xr:uid="{BB073FC1-7838-485C-9929-D6FAE6C8A497}"/>
    <cellStyle name="输出 2 2_动力部" xfId="26684" xr:uid="{A7AE8024-BC76-4B2F-961C-20C43E9DB7D7}"/>
    <cellStyle name="输出 2 3" xfId="513" xr:uid="{AB46937A-A0FB-454C-934E-92AD99F30EA5}"/>
    <cellStyle name="输出 2 3 2" xfId="8757" xr:uid="{068DCCBA-DBDD-486B-9902-DD5E4D2EBD21}"/>
    <cellStyle name="输出 2 3 3" xfId="8758" xr:uid="{CF7E2664-10CD-4F16-8A77-343CE5A63D27}"/>
    <cellStyle name="输出 2 3 4" xfId="11820" xr:uid="{F29146B7-A592-44CE-816D-1145145BE4D0}"/>
    <cellStyle name="输出 2 3 5" xfId="26685" xr:uid="{1EC496A2-580A-4CE3-AB04-0D6B8687D869}"/>
    <cellStyle name="输出 2 3 6" xfId="27656" xr:uid="{314CECC9-2B9A-4AF6-92C9-F4E5F4D6EA9A}"/>
    <cellStyle name="输出 2 4" xfId="353" xr:uid="{6D14279F-5F27-4F81-8F3D-A7796B41BBDC}"/>
    <cellStyle name="输出 2 4 2" xfId="8759" xr:uid="{F90D6B43-C0D8-4F98-B892-124BD536F0ED}"/>
    <cellStyle name="输出 2 4 2 2" xfId="26687" xr:uid="{F7A1B386-00B0-45D0-8E66-74E559B50A75}"/>
    <cellStyle name="输出 2 4 3" xfId="8760" xr:uid="{AB833233-937F-4C81-9E09-6DB73E89E165}"/>
    <cellStyle name="输出 2 4 4" xfId="26686" xr:uid="{DB5495E8-A765-4368-B687-553B9532D431}"/>
    <cellStyle name="输出 2 5" xfId="518" xr:uid="{F3550AE6-D701-45A4-AE74-D3DB97D352E3}"/>
    <cellStyle name="输出 2 5 2" xfId="8761" xr:uid="{92003326-C333-4FB0-BB64-5984AB5E138E}"/>
    <cellStyle name="输出 2 5 3" xfId="8762" xr:uid="{827AF6B1-1275-484A-B19B-D19F57B701AD}"/>
    <cellStyle name="输出 2 5 4" xfId="26688" xr:uid="{78321F42-8A8F-479C-B444-8979C0104A01}"/>
    <cellStyle name="输出 2 6" xfId="522" xr:uid="{C36358AA-C691-4E0E-808D-063EC2FA056B}"/>
    <cellStyle name="输出 2 6 2" xfId="5492" xr:uid="{7522FE73-95CA-49BF-8CD0-DCD4FA450F01}"/>
    <cellStyle name="输出 2 6 3" xfId="8763" xr:uid="{D93F650F-A21C-49F9-B885-EA61652496A3}"/>
    <cellStyle name="输出 2 6 4" xfId="26689" xr:uid="{B00CE0BC-1876-4FF8-8E1F-01440EFFC507}"/>
    <cellStyle name="输出 2 7" xfId="531" xr:uid="{AF5219BE-3473-433B-BCA8-7D4A8AB1153E}"/>
    <cellStyle name="输出 2 7 2" xfId="8764" xr:uid="{D32258BD-7C91-4090-B422-46933E5EEC46}"/>
    <cellStyle name="输出 2 7 3" xfId="8765" xr:uid="{F719C7D2-F8F2-4A59-BEDA-3156E3E7A9EF}"/>
    <cellStyle name="输出 2 7 4" xfId="26690" xr:uid="{30CD97A0-7003-4B24-835B-74EAB676CB6F}"/>
    <cellStyle name="输出 2 8" xfId="539" xr:uid="{17E576FE-17B3-4D57-B35C-1E4A0E91D3EA}"/>
    <cellStyle name="输出 2 8 2" xfId="8766" xr:uid="{6571366F-38F6-474D-BE24-E35E5CD15F81}"/>
    <cellStyle name="输出 2 8 3" xfId="8767" xr:uid="{8CAF8899-E230-4D4A-88C2-A39222CD12AB}"/>
    <cellStyle name="输出 2 8 4" xfId="26691" xr:uid="{93B6B0D1-B542-4CFC-880C-DDFA18AEB999}"/>
    <cellStyle name="输出 2 9" xfId="547" xr:uid="{05D540A9-C29C-4D31-94CB-4908660AFD72}"/>
    <cellStyle name="输出 2 9 2" xfId="8768" xr:uid="{C3AA14A1-6B10-41AC-BA81-8127FA239DC3}"/>
    <cellStyle name="输出 2 9 3" xfId="8769" xr:uid="{59440B4B-642A-4657-BA0A-DCFFEAF282E5}"/>
    <cellStyle name="输出 2 9 4" xfId="26692" xr:uid="{16A53C4F-1633-4E3F-B33B-4EE720EFD23E}"/>
    <cellStyle name="输出 2_动力部" xfId="26693" xr:uid="{8174B4A1-EE22-4EF4-B643-64A26C95DA6A}"/>
    <cellStyle name="输出 20" xfId="8742" xr:uid="{7CBF231E-F903-4E1F-919B-6BA0E6B1CA0A}"/>
    <cellStyle name="输出 20 2" xfId="11821" xr:uid="{185B0DA8-FDA5-44A4-843F-E1247F229ECA}"/>
    <cellStyle name="输出 20 2 2" xfId="26695" xr:uid="{81298D4A-E90C-415E-8C32-03F8FB3215E2}"/>
    <cellStyle name="输出 20 3" xfId="26694" xr:uid="{9AB6E426-BF9F-4B59-A981-30F89CF67762}"/>
    <cellStyle name="输出 21" xfId="8744" xr:uid="{3D81ACE8-66C1-40D7-BEDC-2B0E1CFE5D46}"/>
    <cellStyle name="输出 21 2" xfId="11822" xr:uid="{4535BFF6-1C73-4FF8-BF28-4000B5B97208}"/>
    <cellStyle name="输出 21 2 2" xfId="26697" xr:uid="{168F4CBF-D4A5-4608-9089-544C1AAF9673}"/>
    <cellStyle name="输出 21 3" xfId="26696" xr:uid="{34A9C93A-AA75-42B6-8322-55DDF623D116}"/>
    <cellStyle name="输出 22" xfId="8746" xr:uid="{0E7AED82-BDA7-4217-953D-F2D875E1D88F}"/>
    <cellStyle name="输出 22 2" xfId="11823" xr:uid="{85387664-C76C-463F-B3F3-70FBA94028DD}"/>
    <cellStyle name="输出 22 2 2" xfId="26699" xr:uid="{4822285A-BC58-420C-A3B2-FF9A81A69B1C}"/>
    <cellStyle name="输出 22 3" xfId="26698" xr:uid="{4CD84DEC-4218-4199-99BD-56D4DE017E76}"/>
    <cellStyle name="输出 23" xfId="8748" xr:uid="{F8720957-B1A9-49F7-8318-B756BA472B1E}"/>
    <cellStyle name="输出 23 2" xfId="26701" xr:uid="{FF814E54-124F-4FAA-B403-504D7DDF7576}"/>
    <cellStyle name="输出 23 3" xfId="26700" xr:uid="{D0AD3AE0-5221-4E79-8FD1-6169A14121AB}"/>
    <cellStyle name="输出 24" xfId="8750" xr:uid="{0ACD9BDE-F1D5-4EC9-BB84-FC1F1EA7647E}"/>
    <cellStyle name="输出 24 2" xfId="26703" xr:uid="{A7426568-A5F7-4B35-828D-2BB85019259B}"/>
    <cellStyle name="输出 24 3" xfId="26702" xr:uid="{9BFA93FC-0B76-4DC5-9C15-6D8D7ECC14CB}"/>
    <cellStyle name="输出 25" xfId="8770" xr:uid="{C88E01A4-5B73-418E-BC30-37199256B6EF}"/>
    <cellStyle name="输出 25 2" xfId="26705" xr:uid="{CB21D52F-2EA8-494D-9B7D-6F2FA85629C4}"/>
    <cellStyle name="输出 25 3" xfId="26704" xr:uid="{F87A4566-AFA6-47D9-8A27-446CC0C07E60}"/>
    <cellStyle name="输出 26" xfId="8772" xr:uid="{D83583E0-E57D-4DAE-B301-CF6484EEF4F4}"/>
    <cellStyle name="输出 26 2" xfId="26707" xr:uid="{5670CD88-F130-4C24-BA92-93D636E5CCBA}"/>
    <cellStyle name="输出 26 3" xfId="26706" xr:uid="{E068E4BB-0271-476F-9DB1-57CC441AD7CE}"/>
    <cellStyle name="输出 27" xfId="8774" xr:uid="{265B08FF-6397-4338-928C-EDF9648DCB84}"/>
    <cellStyle name="输出 27 2" xfId="26709" xr:uid="{856C97B5-C871-426A-8A8C-7E5AFBFB004F}"/>
    <cellStyle name="输出 27 3" xfId="26708" xr:uid="{B7BD0196-576B-4A21-9BA3-15DF66B11CDE}"/>
    <cellStyle name="输出 28" xfId="8776" xr:uid="{33C7945E-714C-4ADF-8176-825452B2FF7D}"/>
    <cellStyle name="输出 28 2" xfId="26711" xr:uid="{1F8EC0CD-0C66-42E7-9A36-F6B6E2F68F7A}"/>
    <cellStyle name="输出 28 3" xfId="26710" xr:uid="{65538E8C-8C5B-4838-AF70-2578296802FA}"/>
    <cellStyle name="输出 29" xfId="8779" xr:uid="{567F9AFA-CB4D-40BE-8E3E-D87B66E65CF8}"/>
    <cellStyle name="输出 29 2" xfId="26713" xr:uid="{8D4A5403-8E2B-4D8A-BA7C-5BF417B5D6B0}"/>
    <cellStyle name="输出 29 3" xfId="26712" xr:uid="{5DAB2866-2A71-420F-877F-6800CC00F3BF}"/>
    <cellStyle name="输出 3" xfId="8781" xr:uid="{D0CB22E6-BA64-4FBF-912A-7A21B1701DC7}"/>
    <cellStyle name="输出 3 10" xfId="26714" xr:uid="{A66BE880-A10D-40D5-B750-83277B0845A7}"/>
    <cellStyle name="输出 3 2" xfId="8782" xr:uid="{A76FDE2B-2B9C-4068-858B-887E9F6EDFE1}"/>
    <cellStyle name="输出 3 2 2" xfId="8783" xr:uid="{521A0AFF-1C5D-4CB9-BC42-5A59D225A4C6}"/>
    <cellStyle name="输出 3 2 2 2" xfId="8784" xr:uid="{4DAC34D8-51B3-401A-B301-EFBF0356E9A7}"/>
    <cellStyle name="输出 3 2 2 3" xfId="8785" xr:uid="{241E1678-C072-4AFE-A35F-6378D25B7014}"/>
    <cellStyle name="输出 3 2 2 4" xfId="8786" xr:uid="{D5B60334-6A63-4128-AC2A-E401A2688E4B}"/>
    <cellStyle name="输出 3 2 3" xfId="8787" xr:uid="{947839D4-08B4-4E68-9D9D-02B9309D99E6}"/>
    <cellStyle name="输出 3 2 4" xfId="2407" xr:uid="{66809AAA-B8BC-4AB2-8488-D254C42F55FB}"/>
    <cellStyle name="输出 3 2 5" xfId="2410" xr:uid="{729E376E-ED34-456B-B8BE-700D848D22D0}"/>
    <cellStyle name="输出 3 2 6" xfId="11825" xr:uid="{93EED8F0-6A0E-47B0-85C7-5C3DB2AFCF60}"/>
    <cellStyle name="输出 3 2 7" xfId="26715" xr:uid="{FDCB20E1-F507-48EB-A349-B97E96EFB1B0}"/>
    <cellStyle name="输出 3 2 8" xfId="27657" xr:uid="{8BC9D4E3-E8D3-49A5-A469-D80608FF561E}"/>
    <cellStyle name="输出 3 3" xfId="8788" xr:uid="{9B7A7627-47B9-4AD8-8D5C-6A926612B985}"/>
    <cellStyle name="输出 3 3 2" xfId="8789" xr:uid="{2E41384D-2899-4B94-B55D-64C9AA930A6F}"/>
    <cellStyle name="输出 3 3 2 2" xfId="8790" xr:uid="{FD2D54B5-E24E-415B-9127-0ED37E17401E}"/>
    <cellStyle name="输出 3 3 2 3" xfId="8791" xr:uid="{B258478E-8B85-4B20-ACFB-144ED7D4CBA1}"/>
    <cellStyle name="输出 3 3 2 4" xfId="8792" xr:uid="{29FAEBCC-3183-47B6-B231-AF7EF2614A54}"/>
    <cellStyle name="输出 3 3 3" xfId="8793" xr:uid="{1D53EF0A-582B-4612-ABB0-00B4D4DFB524}"/>
    <cellStyle name="输出 3 3 4" xfId="6812" xr:uid="{CFAF1551-A43D-406A-A2E8-1DFD51A69CEB}"/>
    <cellStyle name="输出 3 3 5" xfId="6817" xr:uid="{44DC2C48-312B-461A-8AEF-82FE2A6A5F07}"/>
    <cellStyle name="输出 3 3 6" xfId="11826" xr:uid="{7122AF5D-8368-4C4F-8113-5C26BFB66601}"/>
    <cellStyle name="输出 3 3 7" xfId="26716" xr:uid="{55A864AF-A124-4EC1-93C8-307BB6996271}"/>
    <cellStyle name="输出 3 3 8" xfId="27658" xr:uid="{4EB87414-AD74-4D97-A58B-43063D16DCB5}"/>
    <cellStyle name="输出 3 4" xfId="8794" xr:uid="{149EDBE9-E9BD-4A9C-961F-44B656E19BA0}"/>
    <cellStyle name="输出 3 4 2" xfId="5031" xr:uid="{6A491B6A-8F15-4BD9-8211-5D5D15C6A264}"/>
    <cellStyle name="输出 3 4 3" xfId="5034" xr:uid="{5AB6079E-FFB2-499E-850A-577F85A93492}"/>
    <cellStyle name="输出 3 4 4" xfId="5040" xr:uid="{E964BEAD-C052-4D5B-B7A5-F91F701B25D9}"/>
    <cellStyle name="输出 3 4 5" xfId="26717" xr:uid="{14FDF33F-ED0A-40CA-B9D2-7BE523A681C3}"/>
    <cellStyle name="输出 3 5" xfId="8795" xr:uid="{6163AF60-16ED-4F0A-88AF-59AC26B13699}"/>
    <cellStyle name="输出 3 6" xfId="8796" xr:uid="{67CB3DFD-0ABD-414F-BC73-B52D586C732D}"/>
    <cellStyle name="输出 3 7" xfId="3645" xr:uid="{92A6365D-0949-4436-AA9C-3A91F6F47232}"/>
    <cellStyle name="输出 3 8" xfId="8797" xr:uid="{491709B5-0809-428B-B9C9-AF40FF2C8BF5}"/>
    <cellStyle name="输出 3 9" xfId="11824" xr:uid="{8251671B-1852-40E9-89A1-24EFA7D5D857}"/>
    <cellStyle name="输出 3_动力部" xfId="26718" xr:uid="{97B31A93-407C-4D14-B681-F1671E53B70B}"/>
    <cellStyle name="输出 30" xfId="8771" xr:uid="{046BEDD5-5FA5-4F29-93DC-3A8D9E267D83}"/>
    <cellStyle name="输出 30 2" xfId="26720" xr:uid="{FE84CB34-4F73-4BF7-9E0C-E8653250ED88}"/>
    <cellStyle name="输出 30 3" xfId="26719" xr:uid="{D4ADA4A1-1974-49BE-A2E9-5ECF1CC236F7}"/>
    <cellStyle name="输出 31" xfId="8773" xr:uid="{6737E09F-3808-40B8-AC4F-F104CAF68E77}"/>
    <cellStyle name="输出 31 2" xfId="26722" xr:uid="{405718A6-19B7-461C-8E67-DA8FA10C7945}"/>
    <cellStyle name="输出 31 3" xfId="26721" xr:uid="{CE358B85-3C06-496E-B4FB-8FB6958E9088}"/>
    <cellStyle name="输出 32" xfId="8775" xr:uid="{12E41F0E-D86F-4DA2-9586-4B456A096053}"/>
    <cellStyle name="输出 32 2" xfId="26724" xr:uid="{890DC6AA-3BB3-44AF-B5BA-01FD1899CEBD}"/>
    <cellStyle name="输出 32 3" xfId="26723" xr:uid="{CE54AD93-F03B-4DDD-97B1-724685297A4C}"/>
    <cellStyle name="输出 33" xfId="8777" xr:uid="{00EFAD7B-6709-443F-96D8-550D3C23DB2A}"/>
    <cellStyle name="输出 33 2" xfId="26726" xr:uid="{7573F51B-ABAB-4C4A-B8C7-41859A92FBBE}"/>
    <cellStyle name="输出 33 3" xfId="26725" xr:uid="{70027065-78C1-47AB-B3EF-79345C54F6C2}"/>
    <cellStyle name="输出 34" xfId="8780" xr:uid="{8DA8BF01-2C47-44D9-A5C1-E43D7CC0A55B}"/>
    <cellStyle name="输出 34 2" xfId="14135" xr:uid="{C02D15A6-52A7-40B8-B1C6-CA26ACC4BD4F}"/>
    <cellStyle name="输出 34 2 2" xfId="26728" xr:uid="{7267E4F6-3C94-43DE-97A6-C7DD248C4004}"/>
    <cellStyle name="输出 34 3" xfId="26727" xr:uid="{DBC2FAA0-EBE9-4F53-810A-700757D18C05}"/>
    <cellStyle name="输出 35" xfId="8798" xr:uid="{11C22E94-7264-437E-B48E-916C396F893D}"/>
    <cellStyle name="输出 35 2" xfId="14136" xr:uid="{2C3AFA50-824D-427B-BAF3-6C457DE98F0D}"/>
    <cellStyle name="输出 35 2 2" xfId="26730" xr:uid="{5FD78C51-CA9C-41D8-A7BF-8335D1ED5CB3}"/>
    <cellStyle name="输出 35 3" xfId="26729" xr:uid="{A1ED8B6E-8EE2-4A6C-91F6-6000383A81BF}"/>
    <cellStyle name="输出 36" xfId="8800" xr:uid="{29FCA7F9-A828-453A-8290-BC21D2F563B5}"/>
    <cellStyle name="输出 36 2" xfId="14137" xr:uid="{6E438DAE-0BBC-4F66-8E26-8EF6D1A9A419}"/>
    <cellStyle name="输出 36 2 2" xfId="26732" xr:uid="{93A4ECD9-E424-4D64-AE90-F97F75EB3737}"/>
    <cellStyle name="输出 36 3" xfId="26731" xr:uid="{3470C408-1593-40CC-A41B-5E654DDB339E}"/>
    <cellStyle name="输出 37" xfId="8802" xr:uid="{309A7B91-4489-4082-8A08-053DB8841F5F}"/>
    <cellStyle name="输出 37 2" xfId="14138" xr:uid="{ECCADA13-1A6F-4EA1-915D-B30525AF0B55}"/>
    <cellStyle name="输出 37 2 2" xfId="26734" xr:uid="{99D27E0B-F297-45BA-ABE1-281542FBC63E}"/>
    <cellStyle name="输出 37 3" xfId="26733" xr:uid="{10E83DF7-247F-4A41-AFD1-C7493A4D2576}"/>
    <cellStyle name="输出 38" xfId="8804" xr:uid="{4A01E415-2898-4B76-8568-EB29F459D933}"/>
    <cellStyle name="输出 38 2" xfId="14139" xr:uid="{9AD53288-4300-4BFC-82B4-2A1BE80737CA}"/>
    <cellStyle name="输出 38 2 2" xfId="26736" xr:uid="{7E4C21CA-0436-40CF-9E16-B3EE6434E600}"/>
    <cellStyle name="输出 38 3" xfId="26735" xr:uid="{669D3797-C7D0-4EFD-8F70-41B7BC77980A}"/>
    <cellStyle name="输出 39" xfId="2563" xr:uid="{3D70FA66-2E8F-4F18-9052-8D19F65910F6}"/>
    <cellStyle name="输出 39 2" xfId="14140" xr:uid="{A11E1F95-A920-4A6B-AA38-B48C9C524449}"/>
    <cellStyle name="输出 39 2 2" xfId="26738" xr:uid="{2232F8DE-2ECB-4670-A840-FC342ABC304E}"/>
    <cellStyle name="输出 39 3" xfId="26737" xr:uid="{74AEF81F-8FE8-479C-979F-4CC060FC673F}"/>
    <cellStyle name="输出 4" xfId="8806" xr:uid="{55C9899A-727B-4EEB-809E-A4B8050E6C83}"/>
    <cellStyle name="输出 4 10" xfId="26739" xr:uid="{5A98A37E-1E2F-4F6B-956D-374431BA6A95}"/>
    <cellStyle name="输出 4 2" xfId="8807" xr:uid="{CD9C498F-09FD-403B-8F0E-5A1848E33047}"/>
    <cellStyle name="输出 4 2 2" xfId="8808" xr:uid="{CB480FC3-45FA-4D13-9C56-6C93B21A1D44}"/>
    <cellStyle name="输出 4 2 2 2" xfId="8809" xr:uid="{D19C3D6B-4980-4BCE-BC9A-A99A87556304}"/>
    <cellStyle name="输出 4 2 2 3" xfId="8810" xr:uid="{D795251A-AE26-47E6-89F1-BFF01A064391}"/>
    <cellStyle name="输出 4 2 2 4" xfId="8811" xr:uid="{A3DA46C5-F18F-40F8-8E7B-23A1B33166EB}"/>
    <cellStyle name="输出 4 2 3" xfId="8812" xr:uid="{B84930CB-27CE-44CB-B333-8122B413FCF1}"/>
    <cellStyle name="输出 4 2 4" xfId="8813" xr:uid="{E0E511FF-B0B0-4A46-B89E-3912309CBB61}"/>
    <cellStyle name="输出 4 2 5" xfId="8814" xr:uid="{B74921C5-A916-4497-A16A-52919A2A39D8}"/>
    <cellStyle name="输出 4 2 6" xfId="11828" xr:uid="{95146B11-5D08-467A-9D14-98C85490E5EC}"/>
    <cellStyle name="输出 4 2 7" xfId="26740" xr:uid="{4C0CAA06-DA11-4500-BD83-3DF2CEDB0FA9}"/>
    <cellStyle name="输出 4 3" xfId="8815" xr:uid="{DB6827F0-FBA4-4ADB-AC97-7EACC979CCC7}"/>
    <cellStyle name="输出 4 3 2" xfId="8816" xr:uid="{D667DCCF-8EF8-4A9F-88E1-CDD797AF12FB}"/>
    <cellStyle name="输出 4 3 2 2" xfId="8817" xr:uid="{0781B5CE-BF56-4053-AC0E-00C08C4922B5}"/>
    <cellStyle name="输出 4 3 2 3" xfId="8818" xr:uid="{A3CFD2EB-0AF4-4BCE-8E69-53FC124C5EB9}"/>
    <cellStyle name="输出 4 3 2 4" xfId="8819" xr:uid="{DE0330E6-665C-42C6-B658-4AE4297C8827}"/>
    <cellStyle name="输出 4 3 3" xfId="8820" xr:uid="{E5050934-ED92-49DF-A213-94731163C3F2}"/>
    <cellStyle name="输出 4 3 4" xfId="8821" xr:uid="{17EC05EE-F5D4-4445-8D37-761F9EEA3D12}"/>
    <cellStyle name="输出 4 3 5" xfId="8822" xr:uid="{415AB6D9-2961-4B7A-B88B-F4A10DB73345}"/>
    <cellStyle name="输出 4 3 6" xfId="11829" xr:uid="{A3A14F8A-F882-48AA-B5BA-D25FE2CFB482}"/>
    <cellStyle name="输出 4 3 7" xfId="26741" xr:uid="{806E61E0-4CC9-4A84-AB04-2B473D02F552}"/>
    <cellStyle name="输出 4 4" xfId="8823" xr:uid="{7F87C010-E9E0-49A6-8EAE-E9577735076B}"/>
    <cellStyle name="输出 4 4 2" xfId="8824" xr:uid="{4C369894-7D85-4F5A-AA3D-CBF6C0E703EF}"/>
    <cellStyle name="输出 4 4 3" xfId="8825" xr:uid="{20764A4B-5488-4BF9-8A73-2926A04B7E6A}"/>
    <cellStyle name="输出 4 4 4" xfId="8826" xr:uid="{740B411B-0C47-4290-A57A-D6A652C44712}"/>
    <cellStyle name="输出 4 5" xfId="8827" xr:uid="{391C25A5-3AFA-4F8A-9A32-002242AD8C42}"/>
    <cellStyle name="输出 4 6" xfId="8828" xr:uid="{37F7F4B7-77EF-41CA-B385-EFB5AA918B6F}"/>
    <cellStyle name="输出 4 7" xfId="8829" xr:uid="{56926A28-3DCA-4462-8C2C-D3CDD61644E7}"/>
    <cellStyle name="输出 4 8" xfId="8830" xr:uid="{73238878-5FF5-4A89-B6A4-BBBD384C8976}"/>
    <cellStyle name="输出 4 9" xfId="11827" xr:uid="{2B579969-C063-4AA9-8D54-A06627D7E141}"/>
    <cellStyle name="输出 40" xfId="8799" xr:uid="{C850F6B0-0CA3-4C91-A398-8F8384D7F2A1}"/>
    <cellStyle name="输出 40 2" xfId="14141" xr:uid="{D4E141EF-76E8-463C-9268-96E18AFF9F13}"/>
    <cellStyle name="输出 40 2 2" xfId="26743" xr:uid="{2A4182DB-8A61-4CC9-922A-AE1F3290E020}"/>
    <cellStyle name="输出 40 3" xfId="26742" xr:uid="{BE3BEBC6-131D-4561-90E3-A18B0AAC5634}"/>
    <cellStyle name="输出 41" xfId="8801" xr:uid="{08F2FB0E-C14E-4EE2-960C-17C8370B1BEA}"/>
    <cellStyle name="输出 41 2" xfId="14142" xr:uid="{47AEB2AF-5600-4A78-9BA1-695C5A677D86}"/>
    <cellStyle name="输出 41 2 2" xfId="26745" xr:uid="{09E7661F-064D-4AFD-BAC4-9234C303054A}"/>
    <cellStyle name="输出 41 3" xfId="26744" xr:uid="{AA2A1EE2-574A-4D4A-8514-84A169DBD73E}"/>
    <cellStyle name="输出 42" xfId="8803" xr:uid="{1B2CCD07-7A68-4A29-9258-C7A3715B8B6F}"/>
    <cellStyle name="输出 42 2" xfId="14143" xr:uid="{26535EFD-DF62-4715-85B6-ECB3A793CD23}"/>
    <cellStyle name="输出 42 2 2" xfId="26747" xr:uid="{17FB70A4-4FC0-4C1B-AC84-7AC17045D1A8}"/>
    <cellStyle name="输出 42 3" xfId="26746" xr:uid="{B7F1F3E7-10E7-47F6-89B9-A3BF73466515}"/>
    <cellStyle name="输出 43" xfId="8805" xr:uid="{31365D46-8427-4AA3-AA63-DFF3C110EE9F}"/>
    <cellStyle name="输出 43 2" xfId="14144" xr:uid="{FE7232F2-8D5E-4732-BF7F-380940984206}"/>
    <cellStyle name="输出 43 2 2" xfId="26749" xr:uid="{0FE5769D-1225-44E7-A628-1208C2FF6FB9}"/>
    <cellStyle name="输出 43 3" xfId="26748" xr:uid="{321715C3-D1F8-40C1-9227-D8D7ED6D4F1D}"/>
    <cellStyle name="输出 44" xfId="2562" xr:uid="{9FB122D8-2822-4244-A14D-81ADD0E52A8E}"/>
    <cellStyle name="输出 44 2" xfId="14145" xr:uid="{A6CC8B01-0A52-46BB-A032-A00C4CE1AB5C}"/>
    <cellStyle name="输出 44 2 2" xfId="26751" xr:uid="{7E0C3916-FD40-4A4D-888C-CB725CA2A915}"/>
    <cellStyle name="输出 44 3" xfId="26750" xr:uid="{F54AB950-4ADB-41A0-AAFE-AEEC98663381}"/>
    <cellStyle name="输出 45" xfId="8831" xr:uid="{004E6EA6-9361-4747-80F3-BC850FE28896}"/>
    <cellStyle name="输出 45 2" xfId="14146" xr:uid="{E10D756F-BBE5-4140-9D03-743FCB49B832}"/>
    <cellStyle name="输出 45 2 2" xfId="26753" xr:uid="{F08B4C0B-5933-4894-AC2B-E0883504B30B}"/>
    <cellStyle name="输出 45 3" xfId="26752" xr:uid="{2981B21D-CE1E-47F1-AEFB-C2AA1D27EC59}"/>
    <cellStyle name="输出 46" xfId="3425" xr:uid="{D85C28D2-8103-4022-B50D-F8CF05D46C77}"/>
    <cellStyle name="输出 46 2" xfId="14147" xr:uid="{73793A44-ABB7-45CE-8C12-34B94140B7B4}"/>
    <cellStyle name="输出 46 2 2" xfId="26755" xr:uid="{D28987FB-6443-41E2-8E93-F97731772C69}"/>
    <cellStyle name="输出 46 3" xfId="26754" xr:uid="{6989ECC4-43F9-4E18-B2B0-3AA9E4C2DABF}"/>
    <cellStyle name="输出 47" xfId="8833" xr:uid="{41AC56F2-4D2E-42AE-A830-018E49D32BED}"/>
    <cellStyle name="输出 47 2" xfId="14148" xr:uid="{BBE15057-D96D-404A-BB1B-C168D95E0D61}"/>
    <cellStyle name="输出 47 3" xfId="26756" xr:uid="{6CD9D061-2780-4552-B746-2DC5A6880F9E}"/>
    <cellStyle name="输出 48" xfId="8835" xr:uid="{A73C5488-3734-4CF7-9C21-6EF49DB48763}"/>
    <cellStyle name="输出 48 2" xfId="14149" xr:uid="{810B7949-1346-410A-AAB6-A29B7BDBCE60}"/>
    <cellStyle name="输出 48 3" xfId="26757" xr:uid="{FC531817-3A9C-4AF0-B16F-A0484AD2FA1E}"/>
    <cellStyle name="输出 49" xfId="8837" xr:uid="{68EB0383-F4BA-40BC-979E-048871150EB4}"/>
    <cellStyle name="输出 49 2" xfId="14150" xr:uid="{A9AB6D03-98B0-4851-9C27-C23E3B29262A}"/>
    <cellStyle name="输出 49 3" xfId="26758" xr:uid="{1A0092D5-A28E-4432-87A4-F68BF19810F3}"/>
    <cellStyle name="输出 5" xfId="8839" xr:uid="{C297C68A-4838-49C4-A9B2-A8BFDC1DE1B1}"/>
    <cellStyle name="输出 5 10" xfId="26759" xr:uid="{29A65E2C-4F04-4250-8562-31821D8AF5F0}"/>
    <cellStyle name="输出 5 2" xfId="8840" xr:uid="{45F5109F-4A6E-42C6-BA7E-7E08EA79907D}"/>
    <cellStyle name="输出 5 2 2" xfId="8841" xr:uid="{F8B88EA5-C615-4F47-ABA4-7006A8DD4B83}"/>
    <cellStyle name="输出 5 2 2 2" xfId="8842" xr:uid="{93BE2A57-6B8C-4ED0-8105-07969F407886}"/>
    <cellStyle name="输出 5 2 2 3" xfId="8843" xr:uid="{D47B8D13-B850-4DA3-A5D7-CCBBEA7AB883}"/>
    <cellStyle name="输出 5 2 2 4" xfId="8844" xr:uid="{E6D0BD92-3516-410C-8D7B-F44251ACA543}"/>
    <cellStyle name="输出 5 2 3" xfId="8845" xr:uid="{F669314C-4FEC-4AA0-9B8E-0923DF55E2D4}"/>
    <cellStyle name="输出 5 2 4" xfId="8846" xr:uid="{8296B62B-D450-400E-AB77-D69C93652AE2}"/>
    <cellStyle name="输出 5 2 5" xfId="8847" xr:uid="{7CF67402-6022-43FE-B9AA-0CEA823BB499}"/>
    <cellStyle name="输出 5 2 6" xfId="11831" xr:uid="{D6237605-E6EA-4C74-9FE5-618A2BF18318}"/>
    <cellStyle name="输出 5 2 7" xfId="26760" xr:uid="{AC4874AC-EDF9-4428-BEB3-4CF343B8DA20}"/>
    <cellStyle name="输出 5 3" xfId="8848" xr:uid="{020A54F3-A109-46CE-B460-135FF4481FF3}"/>
    <cellStyle name="输出 5 3 2" xfId="8849" xr:uid="{81C2B880-F472-422C-9137-A01116E42577}"/>
    <cellStyle name="输出 5 3 2 2" xfId="8850" xr:uid="{09C05C29-90A1-4F9E-8270-A81585BDF283}"/>
    <cellStyle name="输出 5 3 2 3" xfId="8851" xr:uid="{CE7733B3-DB98-4D5D-827D-7598ED81237E}"/>
    <cellStyle name="输出 5 3 2 4" xfId="8852" xr:uid="{473C413C-6490-4DDA-9750-77EC8E01100C}"/>
    <cellStyle name="输出 5 3 3" xfId="8853" xr:uid="{85B8F8C9-FB36-40D3-84D2-F84EFFD867DE}"/>
    <cellStyle name="输出 5 3 4" xfId="8854" xr:uid="{951CF541-AFBB-42ED-96A0-9344DC2BD82A}"/>
    <cellStyle name="输出 5 3 5" xfId="8855" xr:uid="{A71E038D-D832-46EC-819B-62FA0888561C}"/>
    <cellStyle name="输出 5 3 6" xfId="11832" xr:uid="{95311026-C68E-40B2-87A7-A1A3ECA6D50B}"/>
    <cellStyle name="输出 5 4" xfId="8856" xr:uid="{D896C8D1-78DF-4A24-82EF-0F630E65C216}"/>
    <cellStyle name="输出 5 4 2" xfId="8857" xr:uid="{F8CBACE2-3AD7-46A0-924B-86FA4FCFE787}"/>
    <cellStyle name="输出 5 4 3" xfId="8858" xr:uid="{6667F815-CF5C-48F5-8832-047607F99DC5}"/>
    <cellStyle name="输出 5 4 4" xfId="8859" xr:uid="{85650EBD-DEF5-423F-A463-DF313C3FF6BD}"/>
    <cellStyle name="输出 5 5" xfId="8860" xr:uid="{BA9F25BD-270E-4CD1-932F-6CC41483B77D}"/>
    <cellStyle name="输出 5 6" xfId="8861" xr:uid="{B27F339B-25E0-4BE3-8FFA-7F455CE347E1}"/>
    <cellStyle name="输出 5 7" xfId="3649" xr:uid="{FBC2BA25-F7C9-406E-B7FB-CB218B1E55F5}"/>
    <cellStyle name="输出 5 8" xfId="8862" xr:uid="{0FD835B0-9837-4BC4-971E-BCC7DBCA6425}"/>
    <cellStyle name="输出 5 9" xfId="11830" xr:uid="{DAEEC50E-D36B-4B8A-AB78-59507DF568CB}"/>
    <cellStyle name="输出 50" xfId="8832" xr:uid="{1EE4FE7D-2CEE-4EB9-81DE-2CFE321FB79A}"/>
    <cellStyle name="输出 50 2" xfId="14151" xr:uid="{3AEC14DA-CB66-4BBA-860E-6F2E7924CB0A}"/>
    <cellStyle name="输出 50 3" xfId="26761" xr:uid="{1BE9FE5B-C7D9-4857-BEC5-5297620CD908}"/>
    <cellStyle name="输出 51" xfId="3424" xr:uid="{D5A2B9F6-A0F6-4C1F-9430-5F255C169E5F}"/>
    <cellStyle name="输出 51 2" xfId="14152" xr:uid="{63DFD634-5B5B-4393-8E48-A2764F63F8A0}"/>
    <cellStyle name="输出 51 3" xfId="26762" xr:uid="{56240500-3458-4A2E-89B7-47258E3F2225}"/>
    <cellStyle name="输出 52" xfId="8834" xr:uid="{EE31408A-63F9-4FB3-994B-A42C01E0CD7C}"/>
    <cellStyle name="输出 52 2" xfId="14153" xr:uid="{52D5C008-84AE-4B71-A6C3-712C64ACCD2E}"/>
    <cellStyle name="输出 52 3" xfId="26763" xr:uid="{074A0597-8F4C-4AF3-BBF6-A33B29FDA921}"/>
    <cellStyle name="输出 53" xfId="8836" xr:uid="{29611BEB-2D16-4B42-B14D-12F914B5323B}"/>
    <cellStyle name="输出 53 2" xfId="14154" xr:uid="{DFAB0E63-9817-4F55-8A37-4DA881533C6D}"/>
    <cellStyle name="输出 53 3" xfId="26764" xr:uid="{A5B42DB4-0993-4EAE-A2D2-73366A985449}"/>
    <cellStyle name="输出 54" xfId="8838" xr:uid="{704C9730-F0C0-4CEB-B714-73431B98624F}"/>
    <cellStyle name="输出 54 2" xfId="14155" xr:uid="{0EAA2811-4FA6-4791-8BEA-FE85B03E8AA9}"/>
    <cellStyle name="输出 54 3" xfId="26765" xr:uid="{8C1DB569-9302-4F6B-89D1-6640A3777AF4}"/>
    <cellStyle name="输出 55" xfId="8863" xr:uid="{595AA48D-24B7-4942-A400-A8C1C888BD0B}"/>
    <cellStyle name="输出 55 2" xfId="14156" xr:uid="{F8A20495-BDF1-4331-B5D4-649634CE6BDE}"/>
    <cellStyle name="输出 55 3" xfId="26766" xr:uid="{9E928509-30F1-4AF3-97A3-CC5C01DD1804}"/>
    <cellStyle name="输出 56" xfId="8865" xr:uid="{248A6128-5DAD-479B-9EB0-D6147123CA42}"/>
    <cellStyle name="输出 56 2" xfId="14157" xr:uid="{E35E68B8-4CCD-4C6B-98CA-08FC43ECF312}"/>
    <cellStyle name="输出 56 3" xfId="26767" xr:uid="{0DED9376-8AC4-49CD-962C-62B0A5AF7DD6}"/>
    <cellStyle name="输出 57" xfId="8867" xr:uid="{8C0CFF93-DB74-4E25-8A21-983C8FD08593}"/>
    <cellStyle name="输出 57 2" xfId="14158" xr:uid="{706F51AC-6084-475C-AC37-653435107724}"/>
    <cellStyle name="输出 58" xfId="8869" xr:uid="{15F86C25-7039-4273-80B0-4B3DF1E9D67E}"/>
    <cellStyle name="输出 58 2" xfId="14159" xr:uid="{D1519D6D-B2B4-45B8-92EC-64E52AEE041C}"/>
    <cellStyle name="输出 59" xfId="8871" xr:uid="{043E3789-F332-404D-8851-EDB39DFD41DA}"/>
    <cellStyle name="输出 59 2" xfId="14160" xr:uid="{8E0D9FA1-0CB4-44C1-9D0C-CEBF8C772364}"/>
    <cellStyle name="输出 6" xfId="8096" xr:uid="{D3663FCC-B523-44A1-B2D1-545E80564464}"/>
    <cellStyle name="输出 6 2" xfId="8514" xr:uid="{FD0C01DE-BCAB-4FF6-BA5A-548EE8642003}"/>
    <cellStyle name="输出 6 2 2" xfId="11834" xr:uid="{A2A5B482-6FE2-433A-9015-B1B1F7DF9689}"/>
    <cellStyle name="输出 6 2 3" xfId="26769" xr:uid="{3D138992-6C25-42B4-94C6-643CD9F7A6E2}"/>
    <cellStyle name="输出 6 3" xfId="11835" xr:uid="{7529BC76-8FA3-4C02-B072-40F7E42F4959}"/>
    <cellStyle name="输出 6 4" xfId="11833" xr:uid="{08B8ED31-AC53-40AC-93CD-2F840DB21005}"/>
    <cellStyle name="输出 6 5" xfId="26768" xr:uid="{FD103A6E-FD3E-4468-B04F-3AB5010990C3}"/>
    <cellStyle name="输出 60" xfId="8864" xr:uid="{F511F4DC-B397-44C4-88A5-0CA7B81F2A46}"/>
    <cellStyle name="输出 60 2" xfId="14161" xr:uid="{9943E13E-91EE-457E-8268-862CD7F4EEAE}"/>
    <cellStyle name="输出 61" xfId="8866" xr:uid="{922EAD37-411B-49C3-882D-A56F1034D026}"/>
    <cellStyle name="输出 61 2" xfId="14162" xr:uid="{80A25603-5096-42E9-8BFD-3DEF959D4067}"/>
    <cellStyle name="输出 62" xfId="8868" xr:uid="{A0A21E28-AC4E-45D7-82EA-02FEE326683F}"/>
    <cellStyle name="输出 62 2" xfId="14163" xr:uid="{6F8D4C45-9889-4C14-8F03-242D62032170}"/>
    <cellStyle name="输出 63" xfId="8870" xr:uid="{CCA704ED-3858-4C56-BB51-23137F6BF91A}"/>
    <cellStyle name="输出 63 2" xfId="14164" xr:uid="{FD6EA9BB-4636-446E-B9A7-0E2A9C525B60}"/>
    <cellStyle name="输出 64" xfId="8872" xr:uid="{7FE178E4-AE0E-4D6B-85FF-305624FAEAF9}"/>
    <cellStyle name="输出 64 2" xfId="14165" xr:uid="{9E0041EA-C203-47EF-ACA4-D1E656BE2C85}"/>
    <cellStyle name="输出 65" xfId="8873" xr:uid="{96C6E523-9C21-48C8-8881-67C9D1F69A16}"/>
    <cellStyle name="输出 65 2" xfId="14166" xr:uid="{F7904C18-C8B9-4267-B7B7-7B314470C246}"/>
    <cellStyle name="输出 66" xfId="8875" xr:uid="{5389F9C4-E849-458F-A3E5-A55FA59CFCF6}"/>
    <cellStyle name="输出 66 2" xfId="14167" xr:uid="{56CE5FEE-443D-4485-BFCC-BF5AEB426A0C}"/>
    <cellStyle name="输出 67" xfId="8877" xr:uid="{9BB02591-02B3-460A-9A4C-F0A42541FE5C}"/>
    <cellStyle name="输出 67 2" xfId="14168" xr:uid="{4586DA48-0D31-44C4-8E2F-F92F39099CCB}"/>
    <cellStyle name="输出 68" xfId="8879" xr:uid="{40A6705F-B744-4E7C-AC25-55919D8BA91A}"/>
    <cellStyle name="输出 68 2" xfId="14169" xr:uid="{1B662258-7521-46C0-89E9-03E36806A716}"/>
    <cellStyle name="输出 69" xfId="8881" xr:uid="{9073D311-4DA8-4E7E-9C1C-CFA903862501}"/>
    <cellStyle name="输出 69 2" xfId="14170" xr:uid="{71F07D32-79B9-49C6-A3F1-FCD9E953B72B}"/>
    <cellStyle name="输出 7" xfId="8883" xr:uid="{F1929F7E-008B-4C3D-83C3-202A089987B4}"/>
    <cellStyle name="输出 7 2" xfId="8884" xr:uid="{AB5FD83C-417C-4FC9-AEBF-BD404CFB215C}"/>
    <cellStyle name="输出 7 2 2" xfId="11837" xr:uid="{6152B1A7-DF15-432A-A796-350D14DF3F08}"/>
    <cellStyle name="输出 7 2 3" xfId="26771" xr:uid="{A85DD9E0-44E1-4D19-BD7A-D5C31DBEB679}"/>
    <cellStyle name="输出 7 3" xfId="11838" xr:uid="{1F5277B9-AA64-4563-BF01-8F377298280E}"/>
    <cellStyle name="输出 7 4" xfId="11836" xr:uid="{72D569B1-B7F7-4A85-BFAD-D8600AC757E9}"/>
    <cellStyle name="输出 7 5" xfId="26770" xr:uid="{2A3048ED-96E5-4EF2-B3F6-CBCD244404E4}"/>
    <cellStyle name="输出 70" xfId="8874" xr:uid="{5FAF22BA-B8D8-442B-8D3A-A2F889A79E7C}"/>
    <cellStyle name="输出 70 2" xfId="14171" xr:uid="{6FC02D3F-93FF-4285-9A5D-1DE157D74DAB}"/>
    <cellStyle name="输出 71" xfId="8876" xr:uid="{41BFF592-4ACF-4685-BB47-2EFEEB650C80}"/>
    <cellStyle name="输出 71 2" xfId="14172" xr:uid="{ECDB4932-4B1E-4583-BB3E-64A4A4B8A399}"/>
    <cellStyle name="输出 72" xfId="8878" xr:uid="{F26B86E2-4DB2-42F4-A65C-167CD3CD7553}"/>
    <cellStyle name="输出 72 2" xfId="14173" xr:uid="{1700DB69-F13B-4A4E-8289-C7ED063375B5}"/>
    <cellStyle name="输出 73" xfId="8880" xr:uid="{A11E0D75-4D44-4B2A-BEBB-E1A331DE5139}"/>
    <cellStyle name="输出 73 2" xfId="14174" xr:uid="{E3AE8D68-2B70-463A-8D0D-57B8C3D7C08A}"/>
    <cellStyle name="输出 74" xfId="8882" xr:uid="{C8051CA7-3850-4D48-81BF-147E3846783A}"/>
    <cellStyle name="输出 74 2" xfId="14175" xr:uid="{5981B6BD-CEB9-48AE-86AB-4507558F8C9E}"/>
    <cellStyle name="输出 75" xfId="8885" xr:uid="{54EB17E7-29BE-4DC2-8857-11BEE38DD5A7}"/>
    <cellStyle name="输出 75 2" xfId="14176" xr:uid="{37020764-E0CE-45F2-AB50-1D62CF1A52E4}"/>
    <cellStyle name="输出 76" xfId="8887" xr:uid="{73E0B5C7-3098-4B6B-B290-84E08CAE8731}"/>
    <cellStyle name="输出 76 2" xfId="14177" xr:uid="{BE070644-7691-4B4E-811A-12929732F556}"/>
    <cellStyle name="输出 77" xfId="8889" xr:uid="{9EE3BD51-EDD1-47E8-A6CE-31BCC0D253AC}"/>
    <cellStyle name="输出 77 2" xfId="14178" xr:uid="{B78EEA43-5880-4D6A-93EA-D44405A1A834}"/>
    <cellStyle name="输出 78" xfId="8891" xr:uid="{279F1B8B-4B64-4421-A76A-0C716927BFC5}"/>
    <cellStyle name="输出 78 2" xfId="14179" xr:uid="{F79843E5-0AA0-4EB3-BF2B-F3DDCB4B1E72}"/>
    <cellStyle name="输出 79" xfId="8894" xr:uid="{ED8C1DAE-E05E-4F2D-95D6-7B49B9765325}"/>
    <cellStyle name="输出 79 2" xfId="14180" xr:uid="{3B49FD1F-DB88-4893-BED5-05E1D2EEC2F0}"/>
    <cellStyle name="输出 8" xfId="8896" xr:uid="{631C7EB3-3D16-4D99-9947-6024148E43C7}"/>
    <cellStyle name="输出 8 2" xfId="8897" xr:uid="{CED7365B-F948-468A-80BD-F692C65AA288}"/>
    <cellStyle name="输出 8 2 2" xfId="11840" xr:uid="{223F4670-6F02-4236-AD2C-F54003DA3BFB}"/>
    <cellStyle name="输出 8 2 3" xfId="26773" xr:uid="{7A9C7737-C7CC-4DC0-AD11-7053B57250EA}"/>
    <cellStyle name="输出 8 3" xfId="11841" xr:uid="{1301B1DD-CACA-4BDB-85CC-8C3553BF38E2}"/>
    <cellStyle name="输出 8 4" xfId="11839" xr:uid="{3CEDF73E-9B1B-49CC-B2AE-7C817D1C1610}"/>
    <cellStyle name="输出 8 5" xfId="26772" xr:uid="{CF2875D8-944A-4316-9589-E66F34529DEE}"/>
    <cellStyle name="输出 80" xfId="8886" xr:uid="{C64CA94F-296B-4845-AB37-205096391B09}"/>
    <cellStyle name="输出 80 2" xfId="14181" xr:uid="{AEF95406-A6B3-4DA7-AFD7-EEED4740409C}"/>
    <cellStyle name="输出 81" xfId="8888" xr:uid="{C37579FB-133E-4E08-B5B6-E7F90EC83C5D}"/>
    <cellStyle name="输出 81 2" xfId="14182" xr:uid="{488A41C0-EFB3-4524-A298-299FAC618559}"/>
    <cellStyle name="输出 82" xfId="8890" xr:uid="{EA84302A-E6FC-4510-BDA4-CE59D5C95680}"/>
    <cellStyle name="输出 82 2" xfId="14183" xr:uid="{94D02EF8-E911-44AE-A164-604DBAD38A4B}"/>
    <cellStyle name="输出 83" xfId="8892" xr:uid="{606607F3-6714-4B4A-BCE8-29866FE07353}"/>
    <cellStyle name="输出 83 2" xfId="14184" xr:uid="{30A4C7E7-D587-474E-B339-C18853E9764E}"/>
    <cellStyle name="输出 84" xfId="8895" xr:uid="{4BF4C6F0-91D8-4AC8-8E07-F101FCFFDAC2}"/>
    <cellStyle name="输出 84 2" xfId="14185" xr:uid="{FF6EF124-4423-49DF-A579-F4DF91927129}"/>
    <cellStyle name="输出 85" xfId="9328" xr:uid="{9777488B-E1AD-47DB-BB6A-A9C9FE07FA86}"/>
    <cellStyle name="输出 86" xfId="11791" xr:uid="{2A22CBCF-5612-4658-872A-ACBA74980EBE}"/>
    <cellStyle name="输出 87" xfId="13554" xr:uid="{16124619-E585-45AD-A10F-6B85BD9C6AAD}"/>
    <cellStyle name="输出 88" xfId="27164" xr:uid="{70801DFC-D9B2-4076-9A6E-64B7CBD427E0}"/>
    <cellStyle name="输出 89" xfId="27195" xr:uid="{6A2B935E-9D93-4426-8957-31CA885D6305}"/>
    <cellStyle name="输出 9" xfId="8898" xr:uid="{77F99286-ADDF-4518-9DBB-AC9EA8096320}"/>
    <cellStyle name="输出 9 2" xfId="11843" xr:uid="{9EA05682-7528-41D9-8AA7-94B97AC930E5}"/>
    <cellStyle name="输出 9 2 2" xfId="26775" xr:uid="{F91D22CB-A984-428C-8059-24DF7276FB2C}"/>
    <cellStyle name="输出 9 3" xfId="11844" xr:uid="{794D7C6E-A6D2-464E-B1E6-E8C3AD843FA0}"/>
    <cellStyle name="输出 9 4" xfId="11842" xr:uid="{C8C51D2F-E97B-4359-B7D9-498416ECABCC}"/>
    <cellStyle name="输出 9 5" xfId="26774" xr:uid="{5005E11E-6B25-406C-BD02-644754EA11E6}"/>
    <cellStyle name="输出 90" xfId="27142" xr:uid="{6EECEEF7-E742-4156-970C-62BDA6B18A4E}"/>
    <cellStyle name="输出 91" xfId="5516" xr:uid="{BBF201D3-354A-4AF6-B424-69534D47F5AD}"/>
    <cellStyle name="输入" xfId="27814" builtinId="20" customBuiltin="1"/>
    <cellStyle name="输入 10" xfId="8900" xr:uid="{0C28112D-67EF-43DE-88ED-60B386961F5B}"/>
    <cellStyle name="输入 10 2" xfId="11847" xr:uid="{5BFC8D6B-01E2-4B0A-8B8D-6FDD78C1648F}"/>
    <cellStyle name="输入 10 2 2" xfId="26777" xr:uid="{85FA49A2-564E-48DB-86A5-8EB62137658B}"/>
    <cellStyle name="输入 10 3" xfId="11848" xr:uid="{D7223824-F188-4835-A92B-F7CB8F825280}"/>
    <cellStyle name="输入 10 4" xfId="11846" xr:uid="{4527FA25-D73D-4F61-A4CE-2C28A6028635}"/>
    <cellStyle name="输入 10 5" xfId="26776" xr:uid="{5B169E10-D947-4B78-9AD4-CE08A787A8A3}"/>
    <cellStyle name="输入 11" xfId="8901" xr:uid="{575B3005-1D98-4462-B565-F75130A7733A}"/>
    <cellStyle name="输入 11 2" xfId="11850" xr:uid="{A9A2D4B2-FBA0-4BAF-AC2F-9FF073EA1B92}"/>
    <cellStyle name="输入 11 2 2" xfId="26779" xr:uid="{C50F266A-10DC-4F22-BDF3-768E567495B3}"/>
    <cellStyle name="输入 11 3" xfId="11851" xr:uid="{44FE654F-A2A9-4C61-B733-A0DF19487851}"/>
    <cellStyle name="输入 11 4" xfId="11849" xr:uid="{B684D247-63BD-474D-9811-4DE585569B74}"/>
    <cellStyle name="输入 11 5" xfId="26778" xr:uid="{5D7F1204-C288-41CA-946C-68FD125A9733}"/>
    <cellStyle name="输入 12" xfId="8902" xr:uid="{2F54D668-6369-428E-BCC3-81BE8310D4C0}"/>
    <cellStyle name="输入 12 2" xfId="11853" xr:uid="{C87D8511-F244-4D19-8F09-7EBC632284ED}"/>
    <cellStyle name="输入 12 2 2" xfId="26781" xr:uid="{D7271CA1-CAFC-433F-AB8D-D8F9C234FB21}"/>
    <cellStyle name="输入 12 3" xfId="11854" xr:uid="{6616579A-5630-4EA7-BC40-7679B15EDDD2}"/>
    <cellStyle name="输入 12 4" xfId="11852" xr:uid="{BF511206-B931-4688-86BA-76810DA29986}"/>
    <cellStyle name="输入 12 5" xfId="26780" xr:uid="{327DB81A-B43E-4564-8279-E6ED9D7F0414}"/>
    <cellStyle name="输入 13" xfId="8903" xr:uid="{C386CD8E-5DD2-4380-B30D-35CDEF29B09C}"/>
    <cellStyle name="输入 13 2" xfId="11856" xr:uid="{12F7B6FF-E6AF-4976-92AC-DB58F3E1EDAF}"/>
    <cellStyle name="输入 13 2 2" xfId="26783" xr:uid="{DBF36453-6849-46C9-A17A-D7DE1FCD1CB1}"/>
    <cellStyle name="输入 13 3" xfId="11857" xr:uid="{CACDA383-7388-4B2E-94DD-CD57A6370350}"/>
    <cellStyle name="输入 13 4" xfId="11855" xr:uid="{0AA8F3EB-1EF6-4FDB-8109-FBDC41B9DC25}"/>
    <cellStyle name="输入 13 5" xfId="26782" xr:uid="{309B76E2-5D6D-480B-8E7B-BAAB50A26026}"/>
    <cellStyle name="输入 14" xfId="8904" xr:uid="{1D596348-9FBC-4D7E-8D7D-1050DE8B73CE}"/>
    <cellStyle name="输入 14 2" xfId="11859" xr:uid="{2BF6A595-9149-473E-A20A-028A90A45345}"/>
    <cellStyle name="输入 14 2 2" xfId="26785" xr:uid="{DFAF71ED-7650-4C30-8C2D-54282FB7BB69}"/>
    <cellStyle name="输入 14 3" xfId="11860" xr:uid="{23424BA3-7CF3-4A94-8418-92D38D19C3FD}"/>
    <cellStyle name="输入 14 4" xfId="11858" xr:uid="{1F2D593B-BDF2-4E91-8BD6-F6EAEE80C3F6}"/>
    <cellStyle name="输入 14 5" xfId="26784" xr:uid="{63C786E6-EA32-463B-BA89-C023CFAF6C32}"/>
    <cellStyle name="输入 15" xfId="4302" xr:uid="{FD5B4694-9A5C-495F-82F2-868D898C5C42}"/>
    <cellStyle name="输入 15 2" xfId="11862" xr:uid="{84D76EB2-F472-4061-A832-94EF0A152D02}"/>
    <cellStyle name="输入 15 2 2" xfId="26787" xr:uid="{51ADED97-2C21-4F2C-947D-789C02B02EB6}"/>
    <cellStyle name="输入 15 3" xfId="11863" xr:uid="{9487E486-668A-4DD6-AF10-71E2ECDE43A7}"/>
    <cellStyle name="输入 15 4" xfId="11861" xr:uid="{BCA37913-9764-4D9B-A0D0-0C7E980A0ECF}"/>
    <cellStyle name="输入 15 5" xfId="26786" xr:uid="{210B4963-492C-464F-A4F3-4A208E151147}"/>
    <cellStyle name="输入 16" xfId="8905" xr:uid="{E0D99019-35F6-4C36-80A5-EB2525C679A0}"/>
    <cellStyle name="输入 16 2" xfId="11865" xr:uid="{1F0738A5-68F1-4C9B-A1EA-B172000F2E34}"/>
    <cellStyle name="输入 16 2 2" xfId="26789" xr:uid="{96656C14-A78C-4E19-8D63-CA796CF51623}"/>
    <cellStyle name="输入 16 3" xfId="11866" xr:uid="{393831D1-3EE7-4BEB-9D2E-8E21026E4A76}"/>
    <cellStyle name="输入 16 4" xfId="11864" xr:uid="{BFF7C101-2824-418D-9BEA-3A5095712C48}"/>
    <cellStyle name="输入 16 5" xfId="26788" xr:uid="{985AD72F-DC34-4B65-B720-40226E8FD7FE}"/>
    <cellStyle name="输入 17" xfId="8907" xr:uid="{8B6AB9BA-3B33-43ED-90A2-82A16F639104}"/>
    <cellStyle name="输入 17 2" xfId="11868" xr:uid="{F3605DE2-3DD8-444E-A566-6A3341F6758B}"/>
    <cellStyle name="输入 17 2 2" xfId="26791" xr:uid="{C13ED488-912F-4B2B-89F0-C485FBF3D1FC}"/>
    <cellStyle name="输入 17 3" xfId="11869" xr:uid="{34F7DC63-825F-4572-8325-1AD174894F31}"/>
    <cellStyle name="输入 17 4" xfId="11867" xr:uid="{E92B7906-15E5-40D4-B13E-BC62FE280500}"/>
    <cellStyle name="输入 17 5" xfId="26790" xr:uid="{995C7620-560C-4271-9543-22D2F22E6ED6}"/>
    <cellStyle name="输入 18" xfId="8909" xr:uid="{0FED7E2D-26F9-4CB8-8037-F1D1FA522D0F}"/>
    <cellStyle name="输入 18 2" xfId="11870" xr:uid="{A5435ACD-82A9-4BAD-A861-2C447CC609C4}"/>
    <cellStyle name="输入 18 2 2" xfId="26793" xr:uid="{99C888F0-CB5C-4666-8E97-3889A8BD1FE2}"/>
    <cellStyle name="输入 18 3" xfId="26792" xr:uid="{33EC6144-0DA3-4D0A-8F3D-13905C52C99B}"/>
    <cellStyle name="输入 19" xfId="8911" xr:uid="{049EBF04-6917-42C6-9A62-0952F316C4B2}"/>
    <cellStyle name="输入 19 2" xfId="11871" xr:uid="{108FA2CA-3D8B-4DBD-845A-8F2E2A2A20E5}"/>
    <cellStyle name="输入 19 2 2" xfId="26795" xr:uid="{A3D5C214-CA09-41FC-A082-AE10DC7A041D}"/>
    <cellStyle name="输入 19 3" xfId="26794" xr:uid="{BFE00D44-81A1-4918-AFA6-F1D642B9F3AB}"/>
    <cellStyle name="输入 2" xfId="6781" xr:uid="{0A7D9365-8ED9-4BF6-AA61-4E3A96DD4B50}"/>
    <cellStyle name="输入 2 10" xfId="8913" xr:uid="{44532E68-B5FE-44CF-9687-495C311EB807}"/>
    <cellStyle name="输入 2 10 2" xfId="26796" xr:uid="{75A183EF-EB74-4CA1-9B43-6B37CC90E8EE}"/>
    <cellStyle name="输入 2 11" xfId="8914" xr:uid="{F39E0AFC-3EDB-43B4-9973-EA92B1E86E99}"/>
    <cellStyle name="输入 2 12" xfId="8915" xr:uid="{82778A76-51E5-4A15-8575-B4D0EEBBF25A}"/>
    <cellStyle name="输入 2 13" xfId="8916" xr:uid="{FE7F35DD-9A24-4406-B1AB-4F2CBF4D3848}"/>
    <cellStyle name="输入 2 14" xfId="8917" xr:uid="{32B0A5F2-EB84-4657-98E7-83277A7C4D8C}"/>
    <cellStyle name="输入 2 15" xfId="11872" xr:uid="{12547526-2BB6-454B-9585-16F61CB7319E}"/>
    <cellStyle name="输入 2 16" xfId="12612" xr:uid="{061B79BA-CA83-4609-8C38-3B37F01F857E}"/>
    <cellStyle name="输入 2 2" xfId="8918" xr:uid="{C758846C-F870-489E-A604-2AEB6498A54C}"/>
    <cellStyle name="输入 2 2 10" xfId="27659" xr:uid="{5A2EBAF0-227B-4566-BA0A-7FAA49C1CB96}"/>
    <cellStyle name="输入 2 2 2" xfId="8919" xr:uid="{96D801CF-474B-4ED7-9D04-72C7EC8061FC}"/>
    <cellStyle name="输入 2 2 3" xfId="8920" xr:uid="{BA42632D-A6FB-48F8-A9BA-7F30C635CD72}"/>
    <cellStyle name="输入 2 2 3 2" xfId="26798" xr:uid="{5A90C85D-9509-4457-AC44-E8ABAD336153}"/>
    <cellStyle name="输入 2 2 4" xfId="8921" xr:uid="{DFE30630-D7F5-4278-BC6A-27461F7BB138}"/>
    <cellStyle name="输入 2 2 5" xfId="7346" xr:uid="{7FEC61B2-2BB9-4BCF-AC36-2E95011495B6}"/>
    <cellStyle name="输入 2 2 6" xfId="8922" xr:uid="{D40318D0-03B2-4E95-B840-1B30338DC889}"/>
    <cellStyle name="输入 2 2 7" xfId="8923" xr:uid="{CE5D7A6F-90FA-4322-80AF-5A36070A5B90}"/>
    <cellStyle name="输入 2 2 8" xfId="11873" xr:uid="{E1077504-AEE2-42EA-BD67-1BEAEA8246CA}"/>
    <cellStyle name="输入 2 2 9" xfId="26797" xr:uid="{91254C17-E02B-4A12-8E3F-44018FFAB8AE}"/>
    <cellStyle name="输入 2 2_动力部" xfId="26799" xr:uid="{E473C92F-CB0F-4CB4-8E85-692E8E29DDE8}"/>
    <cellStyle name="输入 2 3" xfId="8924" xr:uid="{2798DBDA-3BEA-407D-A643-3C222491EDAF}"/>
    <cellStyle name="输入 2 3 2" xfId="8925" xr:uid="{9FFA28C4-AAA5-4DA3-9A9C-27632E30CE8E}"/>
    <cellStyle name="输入 2 3 3" xfId="8926" xr:uid="{2C2253EA-2BDF-4B9E-851D-17BDF7019605}"/>
    <cellStyle name="输入 2 3 4" xfId="11874" xr:uid="{E13EF8F7-F27F-46D1-A4B6-D065793DFE5A}"/>
    <cellStyle name="输入 2 3 5" xfId="26800" xr:uid="{001FD16E-A6EB-4663-87A3-D30311AD6E4A}"/>
    <cellStyle name="输入 2 3 6" xfId="27660" xr:uid="{49D2F8BE-1D76-4A5F-BDD7-3AD22A16C3EC}"/>
    <cellStyle name="输入 2 4" xfId="8927" xr:uid="{7A270DDD-F09D-4F4D-A877-D0C24D498CA7}"/>
    <cellStyle name="输入 2 4 2" xfId="8928" xr:uid="{53465780-EE73-4ED3-A88D-1C7316C0CF16}"/>
    <cellStyle name="输入 2 4 2 2" xfId="26802" xr:uid="{EF651654-1B2C-4457-A317-0AC932A733A9}"/>
    <cellStyle name="输入 2 4 3" xfId="8929" xr:uid="{FBB8C0EB-509D-4F21-AB57-DECD8FFD02F1}"/>
    <cellStyle name="输入 2 4 4" xfId="26801" xr:uid="{6A1D34CB-4848-4ACB-8BBC-0965F9B2AD0C}"/>
    <cellStyle name="输入 2 5" xfId="8930" xr:uid="{3ECE53C6-BE64-4C9F-B284-4721EB2D70A2}"/>
    <cellStyle name="输入 2 5 2" xfId="371" xr:uid="{13BFBA6A-CD1C-4781-8C87-8B6D516060A9}"/>
    <cellStyle name="输入 2 5 3" xfId="4526" xr:uid="{FCDC5DE3-0B5A-41C8-84A0-C9F74F528F18}"/>
    <cellStyle name="输入 2 5 4" xfId="26803" xr:uid="{B799FBA1-1231-4FFC-B787-B1D11164AEC8}"/>
    <cellStyle name="输入 2 6" xfId="8931" xr:uid="{2B12BB82-2588-4486-B0E2-41A62B53215E}"/>
    <cellStyle name="输入 2 6 2" xfId="3014" xr:uid="{DE051E5A-249F-49ED-96CF-26AA2904AFB1}"/>
    <cellStyle name="输入 2 6 3" xfId="3018" xr:uid="{3F3BC566-203E-4565-8CAC-91705E96BDCC}"/>
    <cellStyle name="输入 2 6 4" xfId="26804" xr:uid="{680E91A4-6E0D-4AE0-B5D0-92FF67D36AC1}"/>
    <cellStyle name="输入 2 7" xfId="8932" xr:uid="{2082FAA9-F058-4676-9716-CE9F6588652F}"/>
    <cellStyle name="输入 2 7 2" xfId="3043" xr:uid="{CBFFE833-79B3-43F7-861A-7B1755E45D23}"/>
    <cellStyle name="输入 2 7 3" xfId="3046" xr:uid="{7739D0CB-08E2-45A9-B6C3-F0245FECF32E}"/>
    <cellStyle name="输入 2 7 4" xfId="26805" xr:uid="{5BAF99B9-5812-4A20-87C1-D713B255EEA5}"/>
    <cellStyle name="输入 2 8" xfId="8933" xr:uid="{1D49B14A-1394-4200-9B9E-9A19DAA38512}"/>
    <cellStyle name="输入 2 8 2" xfId="3067" xr:uid="{84E1D2D3-8845-4F26-AA28-3A81C62DBC28}"/>
    <cellStyle name="输入 2 8 3" xfId="3070" xr:uid="{DF5F5AD8-AF1E-4D69-A5B4-6799DBA6BC29}"/>
    <cellStyle name="输入 2 8 4" xfId="26806" xr:uid="{61CE86D1-51CD-49F3-BBA2-6B7F51B7EC9E}"/>
    <cellStyle name="输入 2 9" xfId="8934" xr:uid="{83B2C5DC-EC20-4053-9B46-54310D5C4A19}"/>
    <cellStyle name="输入 2 9 2" xfId="3092" xr:uid="{82994987-2480-4AEA-8042-267C59CE7A2D}"/>
    <cellStyle name="输入 2 9 3" xfId="3095" xr:uid="{6E060D8C-855A-4F99-84A6-54848B893A72}"/>
    <cellStyle name="输入 2 9 4" xfId="26807" xr:uid="{4C3A939F-F192-4FE8-8F24-F874DB57FCA3}"/>
    <cellStyle name="输入 2_动力部" xfId="26808" xr:uid="{D1C144C8-4F01-4F49-AB27-C8CE7A901F64}"/>
    <cellStyle name="输入 20" xfId="4303" xr:uid="{518FE877-5D01-46C4-94F5-FF2A201CB54A}"/>
    <cellStyle name="输入 20 2" xfId="11875" xr:uid="{12F56D8E-D73A-4202-88B0-7986AC9F8B7E}"/>
    <cellStyle name="输入 20 2 2" xfId="26810" xr:uid="{E3321796-B06C-4763-A43C-8595A4CA3AD6}"/>
    <cellStyle name="输入 20 3" xfId="26809" xr:uid="{354F5D73-8F53-476D-B0DD-AEB5EDD6D169}"/>
    <cellStyle name="输入 21" xfId="8906" xr:uid="{5A531610-CECA-4456-8CE4-643DFF9F84F3}"/>
    <cellStyle name="输入 21 2" xfId="11876" xr:uid="{B796E446-8061-45C5-8116-D9F48AA49665}"/>
    <cellStyle name="输入 21 2 2" xfId="26812" xr:uid="{1FFCB9FF-C517-4769-A4A0-43782EA26B8F}"/>
    <cellStyle name="输入 21 3" xfId="26811" xr:uid="{C9A19222-58C6-4E1F-B7B4-41E4F741BA87}"/>
    <cellStyle name="输入 22" xfId="8908" xr:uid="{5317B52D-17A1-41EF-8422-16284DBC6C7B}"/>
    <cellStyle name="输入 22 2" xfId="11877" xr:uid="{D2242EDE-E262-4C23-9C7C-E806AF9CD5BC}"/>
    <cellStyle name="输入 22 2 2" xfId="26814" xr:uid="{023C775E-9322-4177-A515-566DB8ADF08D}"/>
    <cellStyle name="输入 22 3" xfId="26813" xr:uid="{F8A24B92-0856-470E-8F30-9F3355A19F6C}"/>
    <cellStyle name="输入 23" xfId="8910" xr:uid="{C8318F7F-A900-4904-B3D8-5CF3554C18B6}"/>
    <cellStyle name="输入 23 2" xfId="26816" xr:uid="{D91C08CE-8E01-4A1F-8E9F-7DCABD3732D1}"/>
    <cellStyle name="输入 23 3" xfId="26815" xr:uid="{A47C9F31-7E4B-42F5-88F3-E5FBA8D04811}"/>
    <cellStyle name="输入 24" xfId="8912" xr:uid="{0561D0CC-D142-4A65-BDE4-4015FB1E102C}"/>
    <cellStyle name="输入 24 2" xfId="26818" xr:uid="{D7DFF4A2-FB06-4037-94F4-20AB2762E3C4}"/>
    <cellStyle name="输入 24 3" xfId="26817" xr:uid="{CBB9F044-3FAA-4A4C-8BCB-6C7FB8A0DC2B}"/>
    <cellStyle name="输入 25" xfId="8935" xr:uid="{4636B452-C850-4C48-B0EF-ABBB6E6145E8}"/>
    <cellStyle name="输入 25 2" xfId="26820" xr:uid="{D093EEEF-E4D3-4439-B761-85F05F74844A}"/>
    <cellStyle name="输入 25 3" xfId="26819" xr:uid="{A96DA11A-0111-4D34-BCB4-989D801BCEB0}"/>
    <cellStyle name="输入 26" xfId="5642" xr:uid="{220C944B-173D-48AD-8E6E-936803431FFB}"/>
    <cellStyle name="输入 26 2" xfId="26822" xr:uid="{4CB83819-61DE-4E2B-A2E9-6F49F9A9F9BC}"/>
    <cellStyle name="输入 26 3" xfId="26821" xr:uid="{CCB5656E-C76A-4176-A960-E8A25D7E61D4}"/>
    <cellStyle name="输入 27" xfId="5645" xr:uid="{ACE7A966-B144-4A8B-92E1-8D33DAAE1D03}"/>
    <cellStyle name="输入 27 2" xfId="26824" xr:uid="{702A95DA-CFB3-4CB0-8175-12F899FC878B}"/>
    <cellStyle name="输入 27 3" xfId="26823" xr:uid="{E577A71F-D36D-4991-AFE1-8B373DC2B760}"/>
    <cellStyle name="输入 28" xfId="5648" xr:uid="{A33AF0BB-F363-4F22-8A56-AFA508143D17}"/>
    <cellStyle name="输入 28 2" xfId="26826" xr:uid="{68697EDA-5E21-49F7-8A6E-5A48E24A6AB5}"/>
    <cellStyle name="输入 28 3" xfId="26825" xr:uid="{2F694150-C4E3-42DF-B82E-5AE2DDF5C916}"/>
    <cellStyle name="输入 29" xfId="8937" xr:uid="{8996C10B-DDED-475F-8754-00CF114F8100}"/>
    <cellStyle name="输入 29 2" xfId="26828" xr:uid="{FE01016A-AD73-4197-9BAC-677201B68B09}"/>
    <cellStyle name="输入 29 3" xfId="26827" xr:uid="{2146622A-2463-4EA1-8819-D2A20A027C01}"/>
    <cellStyle name="输入 3" xfId="6783" xr:uid="{AF05F676-00BD-456E-B69F-DAA37ACC0972}"/>
    <cellStyle name="输入 3 10" xfId="26829" xr:uid="{0E4A15A9-09E7-4883-9FD4-750319A23DDD}"/>
    <cellStyle name="输入 3 2" xfId="6785" xr:uid="{78A6748A-0307-434B-B099-9A8A53418CB4}"/>
    <cellStyle name="输入 3 2 2" xfId="8939" xr:uid="{92F1A11E-1AE3-43CF-B428-28D36416B4F2}"/>
    <cellStyle name="输入 3 2 2 2" xfId="8940" xr:uid="{4AD3C04A-8569-4452-9976-3A29CDC1C2C4}"/>
    <cellStyle name="输入 3 2 2 3" xfId="8941" xr:uid="{321EEC82-7916-4583-AB6C-E15BC784F567}"/>
    <cellStyle name="输入 3 2 2 4" xfId="8942" xr:uid="{E6E04379-49DB-4E8A-9438-963DD284075F}"/>
    <cellStyle name="输入 3 2 3" xfId="8943" xr:uid="{DD294BD1-9A90-4B15-BF8E-FEF1DB1E4AC8}"/>
    <cellStyle name="输入 3 2 4" xfId="8944" xr:uid="{9EE72714-A986-4F58-B255-860FCC85F6FC}"/>
    <cellStyle name="输入 3 2 5" xfId="8945" xr:uid="{E86FDD7F-6B6B-4B75-A726-0B6AE9DBD2FA}"/>
    <cellStyle name="输入 3 2 6" xfId="11879" xr:uid="{8FC83726-FC83-4ED9-9E26-43DDFA3BE4B7}"/>
    <cellStyle name="输入 3 2 7" xfId="26830" xr:uid="{EC009CC4-F87B-4697-B4AD-5112588367C0}"/>
    <cellStyle name="输入 3 2 8" xfId="27661" xr:uid="{BC1C5506-EBD7-412A-9CF8-4072BC7CD572}"/>
    <cellStyle name="输入 3 3" xfId="8946" xr:uid="{BC7B01D0-5DD0-4F60-B7DE-31CA7CB6CB37}"/>
    <cellStyle name="输入 3 3 2" xfId="8947" xr:uid="{D06786B5-1497-4550-BC13-522CA0C040B3}"/>
    <cellStyle name="输入 3 3 2 2" xfId="6212" xr:uid="{6941E7C7-D5B3-40E3-A070-812CE735EA25}"/>
    <cellStyle name="输入 3 3 2 3" xfId="6215" xr:uid="{A5D9AAB0-172D-4400-B861-06AA1AA6F776}"/>
    <cellStyle name="输入 3 3 2 4" xfId="6218" xr:uid="{5CF69511-A7CD-4CEF-B64A-E8AA2E421F16}"/>
    <cellStyle name="输入 3 3 3" xfId="8948" xr:uid="{D33CADBE-C49B-4473-ADBE-8EE53EE3066C}"/>
    <cellStyle name="输入 3 3 4" xfId="8949" xr:uid="{B9B82DD6-EDB5-4B49-ABE2-B64448404F75}"/>
    <cellStyle name="输入 3 3 5" xfId="8950" xr:uid="{34F618AE-1518-4333-85D2-0D56AF0E711B}"/>
    <cellStyle name="输入 3 3 6" xfId="11880" xr:uid="{FA11CAFD-0BE2-40A7-9424-FE82CD19C5DF}"/>
    <cellStyle name="输入 3 3 7" xfId="26831" xr:uid="{40149DBD-3781-4C0D-ABB0-8312D78D44E0}"/>
    <cellStyle name="输入 3 3 8" xfId="27662" xr:uid="{BBD4717F-05E5-4D7C-8AFD-A06149272F9F}"/>
    <cellStyle name="输入 3 4" xfId="8951" xr:uid="{A9438673-8DFE-48FC-A95A-6A8385497F6B}"/>
    <cellStyle name="输入 3 4 2" xfId="8952" xr:uid="{8F09E7B2-31E6-4B0B-A4B9-DD483E17F1D2}"/>
    <cellStyle name="输入 3 4 2 2" xfId="2626" xr:uid="{78C3F8D9-4FB0-49C8-AB4E-368716943E6B}"/>
    <cellStyle name="输入 3 4 2 3" xfId="2345" xr:uid="{046B3933-385D-487C-8F24-2DAE353B53E7}"/>
    <cellStyle name="输入 3 4 2 4" xfId="8953" xr:uid="{FE7DBEB6-B5E7-4D17-90EE-98DE6A084FD8}"/>
    <cellStyle name="输入 3 4 3" xfId="8954" xr:uid="{E4861405-FBA7-470D-A763-FA67C8E40837}"/>
    <cellStyle name="输入 3 4 4" xfId="8955" xr:uid="{1D19DB99-9391-4E17-ADC9-94A25F777508}"/>
    <cellStyle name="输入 3 4 5" xfId="8956" xr:uid="{14BC0AF0-BD7E-428E-9273-58991E32330F}"/>
    <cellStyle name="输入 3 4 6" xfId="26832" xr:uid="{58370890-1DF6-4940-B2C3-E1E6748B7521}"/>
    <cellStyle name="输入 3 5" xfId="8957" xr:uid="{561CBEB2-82F3-4C5B-9392-0979055D6A1F}"/>
    <cellStyle name="输入 3 6" xfId="8958" xr:uid="{4A6FAF9D-51F6-4DEE-98FD-80E23C7C7B56}"/>
    <cellStyle name="输入 3 7" xfId="8959" xr:uid="{D0067BE5-D5A8-42CA-A255-8F812B1F27EC}"/>
    <cellStyle name="输入 3 8" xfId="5792" xr:uid="{6F2D05C3-A8AE-41D5-BBA9-3D79551DBF12}"/>
    <cellStyle name="输入 3 9" xfId="11878" xr:uid="{4016B28A-0B01-424D-AB31-B07349E12433}"/>
    <cellStyle name="输入 3_动力部" xfId="26833" xr:uid="{4D8AE0F6-7466-4FE2-A0A6-600E6A6FF94A}"/>
    <cellStyle name="输入 30" xfId="8936" xr:uid="{C9E89C45-B87B-4D31-A2E8-42F57D3BC3F0}"/>
    <cellStyle name="输入 30 2" xfId="26835" xr:uid="{071830DD-0D4B-4F53-A809-82ECBB619366}"/>
    <cellStyle name="输入 30 3" xfId="26834" xr:uid="{AB7F9C03-DC41-4F73-97C9-273020A0F41E}"/>
    <cellStyle name="输入 31" xfId="5643" xr:uid="{6FAFE730-E4BF-4FEE-973E-3EC5AF042133}"/>
    <cellStyle name="输入 31 2" xfId="26837" xr:uid="{BC9C7F84-FF3A-4044-B473-97F69BB195CD}"/>
    <cellStyle name="输入 31 3" xfId="26836" xr:uid="{099DC409-89B5-4B39-87D4-B7A10D8644C9}"/>
    <cellStyle name="输入 32" xfId="5646" xr:uid="{264119B1-95D8-490B-A3D4-184BA0E715CF}"/>
    <cellStyle name="输入 32 2" xfId="26839" xr:uid="{508327A7-B832-4BF0-A52B-1F6898871D1E}"/>
    <cellStyle name="输入 32 3" xfId="26838" xr:uid="{81BAE4BD-6200-46A2-AD8A-B7DE37D13DDA}"/>
    <cellStyle name="输入 33" xfId="5649" xr:uid="{66AABA5D-27E5-413F-BA10-42B3494074B0}"/>
    <cellStyle name="输入 33 2" xfId="26841" xr:uid="{D426E4F1-C7AB-4D14-8F33-44C6C4A09580}"/>
    <cellStyle name="输入 33 3" xfId="26840" xr:uid="{CC2421FE-7838-47E8-96EA-E887F3260622}"/>
    <cellStyle name="输入 34" xfId="8938" xr:uid="{B59DF817-852A-49B3-872A-319F3362BF61}"/>
    <cellStyle name="输入 34 2" xfId="14186" xr:uid="{B078A7B6-4DF7-44B0-90C2-9F6D3B4CCCD4}"/>
    <cellStyle name="输入 34 2 2" xfId="26843" xr:uid="{ADD26CD4-D9BE-498A-A542-F2E49BB19754}"/>
    <cellStyle name="输入 34 3" xfId="26842" xr:uid="{55322F97-C96C-4517-955B-81F68785F8F5}"/>
    <cellStyle name="输入 35" xfId="8960" xr:uid="{E8B38A4D-1BCA-4950-9EE5-BDD20AD307A2}"/>
    <cellStyle name="输入 35 2" xfId="14187" xr:uid="{F965F021-D103-4449-83E1-919835A744AB}"/>
    <cellStyle name="输入 35 2 2" xfId="26845" xr:uid="{A543A877-8305-4C6A-9484-D7BCB4B5758A}"/>
    <cellStyle name="输入 35 3" xfId="26844" xr:uid="{F3043D14-766B-445F-BB92-4AF1B455C21A}"/>
    <cellStyle name="输入 36" xfId="8962" xr:uid="{16069871-8830-46B6-A9DD-5613C915ACA7}"/>
    <cellStyle name="输入 36 2" xfId="14188" xr:uid="{8DEDED23-B62F-474B-BF57-9E00FBF659B5}"/>
    <cellStyle name="输入 36 2 2" xfId="26847" xr:uid="{A12667A4-1B69-4C35-8C6C-F4F52E0C843E}"/>
    <cellStyle name="输入 36 3" xfId="26846" xr:uid="{0D58154C-6E86-43F4-9BAE-AFE4E0FAC3D3}"/>
    <cellStyle name="输入 37" xfId="8964" xr:uid="{82B33842-BFD9-43AD-BE9F-FC0401C2D9EB}"/>
    <cellStyle name="输入 37 2" xfId="14189" xr:uid="{3B804C91-CD89-4B25-ABEC-808237A70093}"/>
    <cellStyle name="输入 37 2 2" xfId="26849" xr:uid="{14A53B5E-1897-42EC-9E9C-306F542387E5}"/>
    <cellStyle name="输入 37 3" xfId="26848" xr:uid="{9403CCE9-7C56-44B7-888F-CB1DF2B12698}"/>
    <cellStyle name="输入 38" xfId="8966" xr:uid="{DAB29898-4A54-4384-B728-6F33F29FB470}"/>
    <cellStyle name="输入 38 2" xfId="14190" xr:uid="{FE81C4D1-209F-4D18-BE05-EDF872C489D9}"/>
    <cellStyle name="输入 38 2 2" xfId="26851" xr:uid="{B594A75E-35DE-4B19-B988-9EB3F18F6301}"/>
    <cellStyle name="输入 38 3" xfId="26850" xr:uid="{1E41E497-DCCA-4544-B4F5-29E13B61B591}"/>
    <cellStyle name="输入 39" xfId="8968" xr:uid="{313C1ACA-A434-4A82-9E4C-EA884B74CD6D}"/>
    <cellStyle name="输入 39 2" xfId="14191" xr:uid="{4F77061C-CA63-4A84-9092-9568FB456D76}"/>
    <cellStyle name="输入 39 2 2" xfId="26853" xr:uid="{1EFE2D35-D50D-4C4D-B12E-D73F95D0D5D7}"/>
    <cellStyle name="输入 39 3" xfId="26852" xr:uid="{56940D9C-1078-430E-B42F-9EE70E756C78}"/>
    <cellStyle name="输入 4" xfId="8970" xr:uid="{A4EE3E30-BDAA-4EDB-B098-56EFD6AEE88E}"/>
    <cellStyle name="输入 4 10" xfId="26854" xr:uid="{8ACCDB96-26EB-4085-8EC3-42DA9E77D046}"/>
    <cellStyle name="输入 4 2" xfId="8971" xr:uid="{A50FC081-A219-4208-85A6-634F50B63F3A}"/>
    <cellStyle name="输入 4 2 2" xfId="8972" xr:uid="{3D1D72C1-7C2D-46A0-B719-3BCD44EBA622}"/>
    <cellStyle name="输入 4 2 2 2" xfId="8973" xr:uid="{D6681375-E612-40B6-8052-52B994A9A156}"/>
    <cellStyle name="输入 4 2 2 3" xfId="8974" xr:uid="{4E69D882-370A-4943-B8FA-4C1FC7891469}"/>
    <cellStyle name="输入 4 2 2 4" xfId="8975" xr:uid="{EC8BC967-E570-435B-B8DF-5033870993BA}"/>
    <cellStyle name="输入 4 2 3" xfId="8976" xr:uid="{EC1F984B-AD33-4C26-BEE9-4DF4C3650E09}"/>
    <cellStyle name="输入 4 2 4" xfId="8977" xr:uid="{F00A5BD1-1A41-47BC-95B7-B21586F09F30}"/>
    <cellStyle name="输入 4 2 5" xfId="8978" xr:uid="{EC922F8A-BC32-4C69-BA01-123E25BC822A}"/>
    <cellStyle name="输入 4 2 6" xfId="11882" xr:uid="{02058ACE-DD31-4663-B90B-5931836AF526}"/>
    <cellStyle name="输入 4 2 7" xfId="26855" xr:uid="{FBFD1D21-893D-4F4C-9D9F-31AE9F5BA558}"/>
    <cellStyle name="输入 4 3" xfId="8979" xr:uid="{D2233DC5-5A4C-4CCE-970B-D67110224703}"/>
    <cellStyle name="输入 4 3 2" xfId="8980" xr:uid="{BA2F1F8B-E405-4E7C-B57A-CA941A4493B3}"/>
    <cellStyle name="输入 4 3 2 2" xfId="8981" xr:uid="{AF004CE2-410A-475B-8C78-99757366BCA1}"/>
    <cellStyle name="输入 4 3 2 3" xfId="8982" xr:uid="{49583701-04FF-47EA-8D0B-7385EAB71656}"/>
    <cellStyle name="输入 4 3 2 4" xfId="8983" xr:uid="{F2858822-B294-4E3E-B4E5-B63395AD35F3}"/>
    <cellStyle name="输入 4 3 3" xfId="8984" xr:uid="{E6FCBFB5-E0BA-465F-97ED-7EAC9CA0D53F}"/>
    <cellStyle name="输入 4 3 4" xfId="8985" xr:uid="{C7634794-9D10-4CB5-81A8-9F631403F366}"/>
    <cellStyle name="输入 4 3 5" xfId="8986" xr:uid="{0FB30CFC-C8B9-4CD5-AE62-371E6566E37E}"/>
    <cellStyle name="输入 4 3 6" xfId="11883" xr:uid="{A6D31F04-3C3E-4532-AF73-6251D3BE05D0}"/>
    <cellStyle name="输入 4 3 7" xfId="26856" xr:uid="{180CAF33-7AE1-4043-B1B1-D514EA86C160}"/>
    <cellStyle name="输入 4 4" xfId="8987" xr:uid="{2AFAFF55-9C64-4B97-855A-35E64285D445}"/>
    <cellStyle name="输入 4 4 2" xfId="8988" xr:uid="{B2B7B180-5273-4B52-89BF-2F2F155D5BB3}"/>
    <cellStyle name="输入 4 4 2 2" xfId="8989" xr:uid="{5770F9FC-1F30-4E9A-A71A-5F460785FACE}"/>
    <cellStyle name="输入 4 4 2 3" xfId="8990" xr:uid="{ED193A74-119A-43FE-888F-4F6E87FA3E5E}"/>
    <cellStyle name="输入 4 4 2 4" xfId="8991" xr:uid="{5D7F59FE-14F1-4918-8590-0E8E3CEC8A30}"/>
    <cellStyle name="输入 4 4 3" xfId="8992" xr:uid="{82107EEF-952D-499A-B81F-9244BE534342}"/>
    <cellStyle name="输入 4 4 4" xfId="8993" xr:uid="{3CAD9F63-C46F-46C6-838C-B95E638473F4}"/>
    <cellStyle name="输入 4 4 5" xfId="8994" xr:uid="{C55E7D34-CA6A-479C-86BE-CCF6F1E035A8}"/>
    <cellStyle name="输入 4 5" xfId="8995" xr:uid="{1BE52356-E4B1-4E8F-B88D-AE5536B74C92}"/>
    <cellStyle name="输入 4 6" xfId="8996" xr:uid="{79C8F2B8-C936-46C5-8570-C217F87331DD}"/>
    <cellStyle name="输入 4 7" xfId="8997" xr:uid="{FB909652-35AC-4FEA-A52F-299CEC72B45D}"/>
    <cellStyle name="输入 4 8" xfId="8998" xr:uid="{640021A4-8533-481D-BBC0-7398B5B1F419}"/>
    <cellStyle name="输入 4 9" xfId="11881" xr:uid="{99BF85A1-C0FD-4D3E-A3D4-B964FCC4F75A}"/>
    <cellStyle name="输入 40" xfId="8961" xr:uid="{3EEDDCDE-E05B-4E54-AA91-FF3F36D88D7B}"/>
    <cellStyle name="输入 40 2" xfId="14192" xr:uid="{8130E769-3358-4808-AB25-630F26794F49}"/>
    <cellStyle name="输入 40 2 2" xfId="26858" xr:uid="{F56EC392-8D1F-493F-8DCF-4D64B0ABE06D}"/>
    <cellStyle name="输入 40 3" xfId="26857" xr:uid="{78A3C623-7909-42AD-8CF8-CC87BB5CFE03}"/>
    <cellStyle name="输入 41" xfId="8963" xr:uid="{2C35C69E-6F31-48EB-8A0C-52A80E03CBD8}"/>
    <cellStyle name="输入 41 2" xfId="14193" xr:uid="{C857855D-388E-4E39-93F6-46AA98D403A4}"/>
    <cellStyle name="输入 41 2 2" xfId="26860" xr:uid="{57974325-D266-40A1-BDA7-10F8BF160BE7}"/>
    <cellStyle name="输入 41 3" xfId="26859" xr:uid="{1E2FC3C8-6AF4-4F5D-A62D-EB3C90543533}"/>
    <cellStyle name="输入 42" xfId="8965" xr:uid="{C59046E6-EF26-4532-A938-66A3E516AFC8}"/>
    <cellStyle name="输入 42 2" xfId="14194" xr:uid="{7CB2B7E7-1639-4319-9D83-F1287C813BA9}"/>
    <cellStyle name="输入 42 2 2" xfId="26862" xr:uid="{6E6D5B9C-FB65-4789-B43C-B842949D92F6}"/>
    <cellStyle name="输入 42 3" xfId="26861" xr:uid="{BFD15ACA-CCAF-4F68-9A31-C8851B6F274E}"/>
    <cellStyle name="输入 43" xfId="8967" xr:uid="{F9C11E6F-E64B-41AF-B5B1-8EAF79368EC9}"/>
    <cellStyle name="输入 43 2" xfId="14195" xr:uid="{F5C9E8E9-F20F-4D08-9310-72DB3E8D81E0}"/>
    <cellStyle name="输入 43 2 2" xfId="26864" xr:uid="{F0E2D9EF-68D5-410A-A9F6-ECB620FE3CE3}"/>
    <cellStyle name="输入 43 3" xfId="26863" xr:uid="{CF718B3D-369D-4C43-B1A4-BF4F6C6B410F}"/>
    <cellStyle name="输入 44" xfId="8969" xr:uid="{FAF829F3-61B6-4E6E-A7E3-F5C1EB44B710}"/>
    <cellStyle name="输入 44 2" xfId="14196" xr:uid="{3734E3B2-2A4C-45BE-9FAF-D4377DEDBEFE}"/>
    <cellStyle name="输入 44 2 2" xfId="26866" xr:uid="{C6DB1460-88FD-4597-8E99-B645991E09A3}"/>
    <cellStyle name="输入 44 3" xfId="26865" xr:uid="{8C160495-5259-41A0-B957-04A4CE7D5031}"/>
    <cellStyle name="输入 45" xfId="8999" xr:uid="{37CF652B-C3F3-4454-B481-BC5AA393AB5D}"/>
    <cellStyle name="输入 45 2" xfId="14197" xr:uid="{B2FAC548-33AF-4EBA-B417-290F3E4F0163}"/>
    <cellStyle name="输入 45 2 2" xfId="26868" xr:uid="{653FC593-8605-46A4-AE83-A739C8710EAE}"/>
    <cellStyle name="输入 45 3" xfId="26867" xr:uid="{F25C9D99-4C9F-4F05-BFC2-2E3568C11034}"/>
    <cellStyle name="输入 46" xfId="9001" xr:uid="{8E764453-BFCC-4CE3-A44D-71384E31115E}"/>
    <cellStyle name="输入 46 2" xfId="14198" xr:uid="{97CCC0EB-1CF9-43FA-96AD-44A9FD22FAD0}"/>
    <cellStyle name="输入 46 2 2" xfId="26870" xr:uid="{6912584C-8A36-4758-B7C3-063B85FD0462}"/>
    <cellStyle name="输入 46 3" xfId="26869" xr:uid="{C9999946-2DF7-4A6F-AA90-E63A65D30A64}"/>
    <cellStyle name="输入 47" xfId="9003" xr:uid="{E600252C-330A-4FDF-83C0-D3557BBE4D17}"/>
    <cellStyle name="输入 47 2" xfId="14199" xr:uid="{5D13BBDC-9C2F-499C-A496-CAD18F44FE6C}"/>
    <cellStyle name="输入 47 3" xfId="26871" xr:uid="{9376F2B7-14DA-48AD-9760-A1D6AB340399}"/>
    <cellStyle name="输入 48" xfId="9005" xr:uid="{974AA331-F4E7-411D-B292-88552DA4D96B}"/>
    <cellStyle name="输入 48 2" xfId="14200" xr:uid="{D039FA69-42B6-4F54-ADAA-6131DDA257E9}"/>
    <cellStyle name="输入 48 3" xfId="26872" xr:uid="{B6A2D2AF-860E-4D31-9E94-FCF9448653CC}"/>
    <cellStyle name="输入 49" xfId="9007" xr:uid="{6C970FE8-137E-4010-86CA-7792CE035130}"/>
    <cellStyle name="输入 49 2" xfId="14201" xr:uid="{AE987C2F-0E68-4A91-BFC8-A4D39A843690}"/>
    <cellStyle name="输入 49 3" xfId="26873" xr:uid="{BAB75098-50B4-4028-B10E-91F38C66D78A}"/>
    <cellStyle name="输入 5" xfId="9009" xr:uid="{C4CCBE23-BFF7-40E6-87F6-485645A3EEE1}"/>
    <cellStyle name="输入 5 10" xfId="26874" xr:uid="{0D6D6A1D-F1E2-4C96-9D06-378C7CE14234}"/>
    <cellStyle name="输入 5 2" xfId="2172" xr:uid="{857A43AA-0C4C-48C1-B8B8-744AC156FC38}"/>
    <cellStyle name="输入 5 2 2" xfId="2174" xr:uid="{9DFAF94B-079B-4EA3-B180-6B8A25662393}"/>
    <cellStyle name="输入 5 2 2 2" xfId="5263" xr:uid="{B285E827-DD7D-4B5F-9FAA-A54AAA6D5D7A}"/>
    <cellStyle name="输入 5 2 2 3" xfId="5266" xr:uid="{BEF65D70-FE24-445C-9FA0-A240DB04EA90}"/>
    <cellStyle name="输入 5 2 2 4" xfId="5269" xr:uid="{6165D8EB-631A-4DDA-9DB1-33456473D783}"/>
    <cellStyle name="输入 5 2 3" xfId="9010" xr:uid="{405704BF-A98D-4A14-B687-210CFEA0C21D}"/>
    <cellStyle name="输入 5 2 4" xfId="9011" xr:uid="{66D705B4-2CC0-4B36-A9DE-C048671D3DA6}"/>
    <cellStyle name="输入 5 2 5" xfId="9012" xr:uid="{E9AFE20B-B3F3-4FE5-8B79-3CBE207758E5}"/>
    <cellStyle name="输入 5 2 6" xfId="11885" xr:uid="{41698778-8B35-455C-A067-139B75A6C5A1}"/>
    <cellStyle name="输入 5 2 7" xfId="26875" xr:uid="{0FDCBD82-C20E-4E2E-8480-216B982E4EA6}"/>
    <cellStyle name="输入 5 3" xfId="2176" xr:uid="{23DDE864-05A4-4E40-9514-8B4DF7D841A6}"/>
    <cellStyle name="输入 5 3 2" xfId="2180" xr:uid="{FC098A09-AA81-42D6-93BE-451E4382F370}"/>
    <cellStyle name="输入 5 3 2 2" xfId="9013" xr:uid="{CFC5F1F1-C923-4B51-BAD0-FBAAA277B075}"/>
    <cellStyle name="输入 5 3 2 3" xfId="9015" xr:uid="{EB2F5F1D-18B3-4ADA-A507-43B56C143F6A}"/>
    <cellStyle name="输入 5 3 2 4" xfId="9017" xr:uid="{DCED74A9-86A7-4D2B-BE2B-E22FA71AFCE5}"/>
    <cellStyle name="输入 5 3 3" xfId="9019" xr:uid="{BCEDBEDD-CBE4-4AE1-A2A9-141E8E52BCAC}"/>
    <cellStyle name="输入 5 3 4" xfId="9021" xr:uid="{6D557F0A-60DE-464B-B8CF-AB0F8F16C4AA}"/>
    <cellStyle name="输入 5 3 5" xfId="9023" xr:uid="{194B194C-0714-41DE-9DF7-ED238248AF95}"/>
    <cellStyle name="输入 5 3 6" xfId="11886" xr:uid="{43DBBE23-8645-45E5-9785-EA024549CC9A}"/>
    <cellStyle name="输入 5 4" xfId="2182" xr:uid="{6016E2F0-1F2F-48AF-8E39-3C56C7B3BD72}"/>
    <cellStyle name="输入 5 4 2" xfId="2184" xr:uid="{85AE05C7-C0B1-4280-8A7E-A46DDBBEDD78}"/>
    <cellStyle name="输入 5 4 2 2" xfId="9025" xr:uid="{6FF71B9B-81F0-4A3F-83B0-CBB46336F9E9}"/>
    <cellStyle name="输入 5 4 2 3" xfId="9026" xr:uid="{A92E26C2-927E-4FA3-A715-3028D528EB7F}"/>
    <cellStyle name="输入 5 4 2 4" xfId="9027" xr:uid="{2B75725D-6932-459F-8AC6-7897F1FA59CE}"/>
    <cellStyle name="输入 5 4 3" xfId="9028" xr:uid="{6CE2CF1D-245A-4C6D-883B-8D1BA405671C}"/>
    <cellStyle name="输入 5 4 4" xfId="9029" xr:uid="{3CC0E584-D4A4-4623-A824-733216E1BA7D}"/>
    <cellStyle name="输入 5 4 5" xfId="9030" xr:uid="{287B08CB-E2CD-4454-A426-0F424C22676C}"/>
    <cellStyle name="输入 5 5" xfId="2186" xr:uid="{18179E76-F87C-44BF-86EE-2F13DF6BC626}"/>
    <cellStyle name="输入 5 6" xfId="2190" xr:uid="{293EF4FC-9C26-4A24-A933-FB548CB5AE39}"/>
    <cellStyle name="输入 5 7" xfId="2194" xr:uid="{00D1A9DD-3FBC-4C7C-BF65-662053546306}"/>
    <cellStyle name="输入 5 8" xfId="2199" xr:uid="{A83B1A64-F39A-41A4-8AC8-FCAC5D1D92F9}"/>
    <cellStyle name="输入 5 9" xfId="11884" xr:uid="{701F362C-6F12-46E2-ADF5-885EEDA9800D}"/>
    <cellStyle name="输入 50" xfId="9000" xr:uid="{98095BEE-92B1-4D8D-9BB5-AAB3BCC0EC8C}"/>
    <cellStyle name="输入 50 2" xfId="14202" xr:uid="{36F8DFAC-C236-4389-B7AF-A248801218F8}"/>
    <cellStyle name="输入 50 3" xfId="26876" xr:uid="{328E49FE-2B10-46BF-809A-8183C5669E8F}"/>
    <cellStyle name="输入 51" xfId="9002" xr:uid="{3798C4F5-2A29-46CC-A7DC-0D4281D7F90C}"/>
    <cellStyle name="输入 51 2" xfId="14203" xr:uid="{E7921448-C0F4-4738-B015-76826D97916C}"/>
    <cellStyle name="输入 51 3" xfId="26877" xr:uid="{DD6AE08C-095A-4099-95E0-D86A9D25B0B1}"/>
    <cellStyle name="输入 52" xfId="9004" xr:uid="{35971681-8B0C-41B8-A18D-1E8B4A6FEF4A}"/>
    <cellStyle name="输入 52 2" xfId="14204" xr:uid="{C4A0706E-3B16-47CA-9364-8955F5D80A20}"/>
    <cellStyle name="输入 52 3" xfId="26878" xr:uid="{35E7B67E-958E-4A93-945F-03B01E0900DE}"/>
    <cellStyle name="输入 53" xfId="9006" xr:uid="{7F538619-1483-4FE1-9F61-0867E21B1FF8}"/>
    <cellStyle name="输入 53 2" xfId="14205" xr:uid="{7BCC0E59-5FA0-4E1C-8ED7-ECD41493AF62}"/>
    <cellStyle name="输入 53 3" xfId="26879" xr:uid="{EF011A2D-61FB-4C06-A254-9C6DD009C3D3}"/>
    <cellStyle name="输入 54" xfId="9008" xr:uid="{44A882E0-7F2C-4EBB-AFF3-40E3C0E81527}"/>
    <cellStyle name="输入 54 2" xfId="14206" xr:uid="{80377F38-C84E-4859-A1D4-155FBE0AD63A}"/>
    <cellStyle name="输入 54 3" xfId="26880" xr:uid="{842E8789-187F-454D-B597-D12E6CA7062D}"/>
    <cellStyle name="输入 55" xfId="9031" xr:uid="{7C388B12-816F-4F1E-BA2B-7C15A40CCA5C}"/>
    <cellStyle name="输入 55 2" xfId="14207" xr:uid="{FDA20A3C-94EB-40C7-A626-1A5082693322}"/>
    <cellStyle name="输入 55 3" xfId="26881" xr:uid="{037A4328-921C-42C1-A7D2-96683A71C9AF}"/>
    <cellStyle name="输入 56" xfId="9033" xr:uid="{899236B3-6FA2-422B-AD8A-11B08A4B2E0B}"/>
    <cellStyle name="输入 56 2" xfId="14208" xr:uid="{767C3637-4092-401E-9A86-B3A734680125}"/>
    <cellStyle name="输入 56 3" xfId="26882" xr:uid="{4FEBB06D-FBBD-4275-9EE3-D9DC1E1756E1}"/>
    <cellStyle name="输入 57" xfId="9035" xr:uid="{76167585-DAC0-4894-99FD-023FB6C5CDA5}"/>
    <cellStyle name="输入 57 2" xfId="14209" xr:uid="{E06E015D-C284-4965-A003-FE824AAF1DB3}"/>
    <cellStyle name="输入 58" xfId="9037" xr:uid="{6BE274F7-45AA-423D-BF65-D8E6B7206E9F}"/>
    <cellStyle name="输入 58 2" xfId="14210" xr:uid="{4544C39C-B547-4CAB-AD6E-34AE1FA2A15E}"/>
    <cellStyle name="输入 59" xfId="9039" xr:uid="{D2EE2DFB-E972-4D31-AA18-25DC0DD5E1F3}"/>
    <cellStyle name="输入 59 2" xfId="14211" xr:uid="{47071836-3F20-4652-94D7-FD2F98730539}"/>
    <cellStyle name="输入 6" xfId="9041" xr:uid="{D98CDD47-37CE-4680-9905-A0BA9D0E5111}"/>
    <cellStyle name="输入 6 2" xfId="9042" xr:uid="{57B803DC-511A-4C29-A722-94FF51B58B9D}"/>
    <cellStyle name="输入 6 2 2" xfId="11888" xr:uid="{4F1547A8-606B-4444-ABAC-F18F160BEC89}"/>
    <cellStyle name="输入 6 2 3" xfId="26884" xr:uid="{1996D78C-13EF-485D-BEE4-8E47B8EE0AC6}"/>
    <cellStyle name="输入 6 3" xfId="11889" xr:uid="{973DCFF3-FF59-4BFA-9A45-E1F1DC5C7B41}"/>
    <cellStyle name="输入 6 4" xfId="11887" xr:uid="{15200327-DBBB-4661-8EA9-61CE774837A5}"/>
    <cellStyle name="输入 6 5" xfId="26883" xr:uid="{F96C36F7-D64E-4800-9ABC-B1625CE7AAE9}"/>
    <cellStyle name="输入 60" xfId="9032" xr:uid="{6FAC5E59-3F97-4072-82D6-855996D5FADB}"/>
    <cellStyle name="输入 60 2" xfId="14212" xr:uid="{EC360A88-68EF-4D64-8FBF-C0640D24E42A}"/>
    <cellStyle name="输入 61" xfId="9034" xr:uid="{3F09E298-91DD-4B1E-A12D-3D983889BF8A}"/>
    <cellStyle name="输入 61 2" xfId="14213" xr:uid="{AE124576-C5DF-4E8E-AF9F-3E115EDF894A}"/>
    <cellStyle name="输入 62" xfId="9036" xr:uid="{1000C021-F3B7-44E6-87E0-7C435D465BC9}"/>
    <cellStyle name="输入 62 2" xfId="14214" xr:uid="{B49C3A39-AE80-4186-BA9E-F2092E15577E}"/>
    <cellStyle name="输入 63" xfId="9038" xr:uid="{5D44A9DD-18AB-48CC-B02F-B3DF0404A858}"/>
    <cellStyle name="输入 63 2" xfId="14215" xr:uid="{9A186619-357B-46CE-BCAB-B0DD812B1C62}"/>
    <cellStyle name="输入 64" xfId="9040" xr:uid="{F20313C4-64A4-4B00-89A0-D629D92B3E59}"/>
    <cellStyle name="输入 64 2" xfId="14216" xr:uid="{5744490E-E8E0-491E-89CE-8F149CF610D6}"/>
    <cellStyle name="输入 65" xfId="4306" xr:uid="{073260EC-26BF-476E-8033-E5D78011ED59}"/>
    <cellStyle name="输入 65 2" xfId="14217" xr:uid="{C16CFEA8-0101-433D-8860-0BDB386DEC98}"/>
    <cellStyle name="输入 66" xfId="9043" xr:uid="{1C413F9D-FAE2-43EA-9871-62A76F8AE7F2}"/>
    <cellStyle name="输入 66 2" xfId="14218" xr:uid="{4AB4B9E0-ACB1-4CA4-A984-17387549BC2B}"/>
    <cellStyle name="输入 67" xfId="9045" xr:uid="{70B4C757-67A6-4239-851F-74BA5D9E606B}"/>
    <cellStyle name="输入 67 2" xfId="14219" xr:uid="{CF52C8CB-A5F9-4045-8CD9-E0B268A45213}"/>
    <cellStyle name="输入 68" xfId="9047" xr:uid="{D81987DE-BEFD-40C3-8464-96FF5F97E7A5}"/>
    <cellStyle name="输入 68 2" xfId="14220" xr:uid="{5A496B4D-C526-421E-8D4A-443A7F4384D0}"/>
    <cellStyle name="输入 69" xfId="9049" xr:uid="{C930A860-7B95-4285-B79B-3D3B75272127}"/>
    <cellStyle name="输入 69 2" xfId="14221" xr:uid="{2DBD6C2F-8F39-45F1-A9AD-ED309D270FA9}"/>
    <cellStyle name="输入 7" xfId="9051" xr:uid="{752014BD-EEBA-4CE9-8F5A-F514C4C2786B}"/>
    <cellStyle name="输入 7 2" xfId="9052" xr:uid="{FE4B91E2-E6FA-4756-8E51-826B0F540FD9}"/>
    <cellStyle name="输入 7 2 2" xfId="11891" xr:uid="{3ECFEA22-CC53-4835-8802-6D8836E66BC3}"/>
    <cellStyle name="输入 7 2 3" xfId="26886" xr:uid="{19BCF813-D02C-4CA4-8221-FAE271FCCF12}"/>
    <cellStyle name="输入 7 3" xfId="11892" xr:uid="{65713BAF-5B33-4ABE-BB86-6A1445183600}"/>
    <cellStyle name="输入 7 4" xfId="11890" xr:uid="{9473D6F4-8B20-45AD-B62F-D7BA2DFC6445}"/>
    <cellStyle name="输入 7 5" xfId="26885" xr:uid="{54AACB8B-1FCA-4364-B332-0F25573A938A}"/>
    <cellStyle name="输入 70" xfId="4307" xr:uid="{B8895D68-C602-40C0-9916-D33F20E3D873}"/>
    <cellStyle name="输入 70 2" xfId="14222" xr:uid="{FBD5A696-D4BE-4E42-919C-502B3146B712}"/>
    <cellStyle name="输入 71" xfId="9044" xr:uid="{9DAC0699-4DB1-4FFE-8849-8CFFE2ECBCA1}"/>
    <cellStyle name="输入 71 2" xfId="14223" xr:uid="{5A737177-2683-49D0-A88B-72CFA8AF24C6}"/>
    <cellStyle name="输入 72" xfId="9046" xr:uid="{F9B91816-A62A-4E7C-9A46-3F6AB8D3B905}"/>
    <cellStyle name="输入 72 2" xfId="14224" xr:uid="{CE083A2E-45D3-4ADC-942E-5BA97CF143F8}"/>
    <cellStyle name="输入 73" xfId="9048" xr:uid="{8BBA18FC-659C-4025-8D07-DAC0A87B0854}"/>
    <cellStyle name="输入 73 2" xfId="14225" xr:uid="{2D23124D-2114-483F-B08C-ADB5E60F72A5}"/>
    <cellStyle name="输入 74" xfId="9050" xr:uid="{1B1AEDF7-88DF-4A99-B0DB-3492ACBEBC55}"/>
    <cellStyle name="输入 74 2" xfId="14226" xr:uid="{7BBFB186-114C-4984-9303-A0BD99E5AE4E}"/>
    <cellStyle name="输入 75" xfId="9054" xr:uid="{4B34A758-0D28-40DC-9FC3-A11D25B79480}"/>
    <cellStyle name="输入 75 2" xfId="14227" xr:uid="{71FED2A5-1F66-422E-AD96-B6A1846190E2}"/>
    <cellStyle name="输入 76" xfId="9056" xr:uid="{1D0D9787-4F7E-4585-9866-4A315B91A403}"/>
    <cellStyle name="输入 76 2" xfId="14228" xr:uid="{DBA71A07-9324-4B6B-9123-49603DF33AEA}"/>
    <cellStyle name="输入 77" xfId="9058" xr:uid="{97484E36-8132-4C42-9745-30815B85F82F}"/>
    <cellStyle name="输入 77 2" xfId="14229" xr:uid="{E1BFA3DC-243D-4525-AB2A-1D19806258B3}"/>
    <cellStyle name="输入 78" xfId="9060" xr:uid="{4FF26ECE-A4A2-4F69-9C63-1F9595DA3BE1}"/>
    <cellStyle name="输入 78 2" xfId="14230" xr:uid="{D712149D-A22E-4D1D-BEC7-BAA16210436D}"/>
    <cellStyle name="输入 79" xfId="9062" xr:uid="{6C4670E3-465E-447B-BC8A-FE89E2692225}"/>
    <cellStyle name="输入 79 2" xfId="14231" xr:uid="{D154E082-1034-4E74-B081-5066E7B9FEEF}"/>
    <cellStyle name="输入 8" xfId="9064" xr:uid="{2682E374-1D53-4702-88AF-2F13A59424CD}"/>
    <cellStyle name="输入 8 2" xfId="9065" xr:uid="{E02F4DE5-F09D-40D3-ABB5-288F2C7BA41C}"/>
    <cellStyle name="输入 8 2 2" xfId="11894" xr:uid="{3B098DA7-3E2B-41F8-AE3E-D7C1E588FBFF}"/>
    <cellStyle name="输入 8 2 3" xfId="26888" xr:uid="{F10CDE73-72C0-4886-A9AA-A9DCDA2C1411}"/>
    <cellStyle name="输入 8 3" xfId="11895" xr:uid="{F274730F-9738-4FBA-9F65-FDD6340DBF3F}"/>
    <cellStyle name="输入 8 4" xfId="11893" xr:uid="{18F3630B-A641-4EEF-BD53-C1041D5D740D}"/>
    <cellStyle name="输入 8 5" xfId="26887" xr:uid="{B14EE7C3-62BD-4577-9434-7B51A903B20A}"/>
    <cellStyle name="输入 80" xfId="9055" xr:uid="{F38F5D8E-83FE-4AF2-9178-8875157EDA10}"/>
    <cellStyle name="输入 80 2" xfId="14232" xr:uid="{8E8E981B-9BFC-44CB-AEF3-B603D0DC64F3}"/>
    <cellStyle name="输入 81" xfId="9057" xr:uid="{8EC7AAA5-6974-4B05-A3AD-CF748F7E3789}"/>
    <cellStyle name="输入 81 2" xfId="14233" xr:uid="{9D8B87B7-2F8F-42B4-93BA-12F38AC1F054}"/>
    <cellStyle name="输入 82" xfId="9059" xr:uid="{C3463CF2-F537-4EF4-A26D-B91B787D0882}"/>
    <cellStyle name="输入 82 2" xfId="14234" xr:uid="{65F72705-098C-4CE3-AF52-EC07B0C721AD}"/>
    <cellStyle name="输入 83" xfId="9061" xr:uid="{D7982C34-BC3E-462F-A8C8-6E10928B0C55}"/>
    <cellStyle name="输入 83 2" xfId="14235" xr:uid="{0C320E24-DB98-4C84-B3A0-846E54566795}"/>
    <cellStyle name="输入 84" xfId="9063" xr:uid="{FF3BD6AA-7706-4FC4-AF9D-345953E6FB31}"/>
    <cellStyle name="输入 84 2" xfId="14236" xr:uid="{92870FFD-13A4-48DB-BAA4-C3584A018950}"/>
    <cellStyle name="输入 85" xfId="9327" xr:uid="{AF11170C-375E-41FB-8922-D8EDB9845A96}"/>
    <cellStyle name="输入 86" xfId="11845" xr:uid="{2EB4A922-6EFC-45A4-849A-27FDF93B7119}"/>
    <cellStyle name="输入 87" xfId="13543" xr:uid="{0B08184B-6101-44FC-830F-792A53545226}"/>
    <cellStyle name="输入 88" xfId="27234" xr:uid="{95B1C7A7-1BB4-4A78-8DE1-C46229C11E90}"/>
    <cellStyle name="输入 89" xfId="27200" xr:uid="{B42B10B9-92FF-4AD2-8CE4-4B861AB601BA}"/>
    <cellStyle name="输入 9" xfId="9066" xr:uid="{54892FD3-FA06-42F5-BF2B-B4EA1D94F584}"/>
    <cellStyle name="输入 9 2" xfId="11897" xr:uid="{AC66F6EB-EDC2-47F9-B7B7-1503A44EFFE6}"/>
    <cellStyle name="输入 9 2 2" xfId="26890" xr:uid="{FBB4CEB4-36C4-4979-8CF0-61F5A2D1739D}"/>
    <cellStyle name="输入 9 3" xfId="11898" xr:uid="{DAF259FD-F9BF-4739-B2E9-1E1AFE89ECE0}"/>
    <cellStyle name="输入 9 4" xfId="11896" xr:uid="{7B2D2DA4-BE79-4D02-8049-5838288E2CFA}"/>
    <cellStyle name="输入 9 5" xfId="26889" xr:uid="{38372172-F8BF-43A8-801D-74DAD1EE0168}"/>
    <cellStyle name="输入 90" xfId="27225" xr:uid="{72E8B93D-B5E6-4267-A772-238C5A1E6E25}"/>
    <cellStyle name="输入 91" xfId="8899" xr:uid="{29AE26FE-DD59-4BBB-8690-A7272FAC9DD6}"/>
    <cellStyle name="数量" xfId="26891" xr:uid="{41BBBBCC-4C87-4F81-87C6-A6988811D9D9}"/>
    <cellStyle name="数量 2" xfId="26892" xr:uid="{DAB1B2EA-6D7B-432E-9B84-5A86DE2178B4}"/>
    <cellStyle name="数量 2 2" xfId="26893" xr:uid="{C6390B32-115B-4CD3-98CE-522FCE8833FA}"/>
    <cellStyle name="数量 2 3" xfId="26894" xr:uid="{4D675D40-5A68-48BC-86F8-3E94D832D2DD}"/>
    <cellStyle name="数量 2 4" xfId="26895" xr:uid="{05CCC869-F54E-45A4-8EDC-F0789C6B6603}"/>
    <cellStyle name="数量 2 5" xfId="26896" xr:uid="{07FDAEC1-6C8C-426B-8681-9EB31FCF3FDC}"/>
    <cellStyle name="数量 2 6" xfId="26897" xr:uid="{2E1A2486-0A77-4236-B6A6-F1695E82B6FE}"/>
    <cellStyle name="数量 2 7" xfId="26898" xr:uid="{C779A88D-25F4-41DE-8748-A8240F85B167}"/>
    <cellStyle name="数量 2 8" xfId="26899" xr:uid="{6B4B082F-771B-4864-8FD4-6BC456906DC3}"/>
    <cellStyle name="数量 2_动力部" xfId="26900" xr:uid="{2DC0CC60-0ED3-4A66-9951-F9BDDBE71211}"/>
    <cellStyle name="数量 3" xfId="26901" xr:uid="{01B37E3F-2380-49E7-8401-169922D0B59E}"/>
    <cellStyle name="数量_动力部" xfId="26902" xr:uid="{66BE9D8F-AB12-4DF4-8FF5-ED89BF622D76}"/>
    <cellStyle name="样式 1" xfId="9067" xr:uid="{1A9C9534-1917-4149-A5B8-1A30D3DDE410}"/>
    <cellStyle name="样式 1 2" xfId="9068" xr:uid="{A63EEA85-D808-4F14-BE08-C23C8C0A65B4}"/>
    <cellStyle name="样式 1 2 2" xfId="26904" xr:uid="{6E3A2612-D798-4040-818F-04CAAB6CA859}"/>
    <cellStyle name="样式 1 2 3" xfId="26905" xr:uid="{60446506-8A64-461B-ABE4-0840D610862A}"/>
    <cellStyle name="样式 1 2 4" xfId="26906" xr:uid="{CB619235-5777-4C7E-9F10-B16F298EB748}"/>
    <cellStyle name="样式 1 2 5" xfId="26907" xr:uid="{CDF0E21F-89A6-45CE-91E2-61B07A819A17}"/>
    <cellStyle name="样式 1 2 6" xfId="26903" xr:uid="{2F57A1C2-F6B1-4E60-836A-3D1F5F1DD794}"/>
    <cellStyle name="样式 1 3" xfId="11899" xr:uid="{21991186-D4C1-4A67-934C-5838A7429982}"/>
    <cellStyle name="样式 1 4" xfId="12602" xr:uid="{E09A7442-8FC3-4239-8901-868A5C15D184}"/>
    <cellStyle name="样式 1 4 2" xfId="26908" xr:uid="{55039671-CE7C-4B49-BADB-37F6819EA88E}"/>
    <cellStyle name="样式 1 5" xfId="26909" xr:uid="{C3651873-6DB9-463B-932C-B6385CDE13D1}"/>
    <cellStyle name="样式 1 7" xfId="26910" xr:uid="{6A0992C0-99C4-4DD0-A9B8-65E4356DEC72}"/>
    <cellStyle name="样式 1_2017年12月财务报表（山西太钢鑫磊资源有限公司）12" xfId="26911" xr:uid="{39294518-0955-4FD6-8CD2-6EC3F77E2004}"/>
    <cellStyle name="一般_laroux" xfId="7318" xr:uid="{666A0797-CAB3-4529-B3C5-592552BDB11D}"/>
    <cellStyle name="億啟[0]_laroux" xfId="9069" xr:uid="{58CDD2F0-DFF5-44F2-ADD5-DBD81BC37CC2}"/>
    <cellStyle name="億啟_laroux" xfId="9070" xr:uid="{46073C0F-59AC-41F1-B9F3-8EF96817EC3A}"/>
    <cellStyle name="믅됞 [0.00]_PRODUCT DETAIL Q1" xfId="26912" xr:uid="{568BEDC9-37FD-49AD-83E8-E219369F20B4}"/>
    <cellStyle name="믅됞_PRODUCT DETAIL Q1" xfId="26913" xr:uid="{D029798D-FE22-4CDD-990D-6B56B35A59D9}"/>
    <cellStyle name="백분율_HOBONG" xfId="26914" xr:uid="{7602896F-9D61-433C-912B-6E709B10668B}"/>
    <cellStyle name="昗弨_BOOKSHIP" xfId="9071" xr:uid="{2038C9D0-317C-4ACC-BB7B-15EDD6992FE1}"/>
    <cellStyle name="着色 1" xfId="27822" builtinId="29" customBuiltin="1"/>
    <cellStyle name="着色 1 2" xfId="26916" xr:uid="{77DD43AC-2F90-4DE8-94DA-A74A2C68220C}"/>
    <cellStyle name="着色 1 2 2" xfId="27794" xr:uid="{2A9E8347-DEEE-48E6-B118-606B6DD00E59}"/>
    <cellStyle name="着色 1 3" xfId="26917" xr:uid="{52B8E376-8C63-409D-B177-B7B9583DCC86}"/>
    <cellStyle name="着色 1 4" xfId="26915" xr:uid="{DC0830AE-151C-4466-B137-DDC66F84BBC5}"/>
    <cellStyle name="着色 2" xfId="27826" builtinId="33" customBuiltin="1"/>
    <cellStyle name="着色 2 2" xfId="26919" xr:uid="{8B740D7B-2C43-401C-8C26-DEE0E977DD03}"/>
    <cellStyle name="着色 2 2 2" xfId="27795" xr:uid="{8F201415-C387-4968-A349-D1065E509B11}"/>
    <cellStyle name="着色 2 3" xfId="26920" xr:uid="{2C8D5DA6-2BBF-4225-8F99-04BCF7EFCA61}"/>
    <cellStyle name="着色 2 4" xfId="26918" xr:uid="{3CC96A81-10C6-4E78-9917-60F485A3E2C2}"/>
    <cellStyle name="着色 3" xfId="27830" builtinId="37" customBuiltin="1"/>
    <cellStyle name="着色 3 2" xfId="26922" xr:uid="{9D52CE3A-9A76-4406-9CDB-1A068320B889}"/>
    <cellStyle name="着色 3 2 2" xfId="27796" xr:uid="{D28D8CDA-02B9-442C-A01E-DA4AF320C60F}"/>
    <cellStyle name="着色 3 3" xfId="26923" xr:uid="{F54C91DE-AEDA-4FD9-B224-D376C855D816}"/>
    <cellStyle name="着色 3 4" xfId="26921" xr:uid="{AFEEFCFE-DF72-4E0E-97D6-D33127C18F94}"/>
    <cellStyle name="着色 4" xfId="27834" builtinId="41" customBuiltin="1"/>
    <cellStyle name="着色 4 2" xfId="26925" xr:uid="{A5F8C4C2-E021-4B52-BB43-D5EF12955118}"/>
    <cellStyle name="着色 4 2 2" xfId="27797" xr:uid="{C420F3DD-07F7-4E79-8FE1-44721CFBAC84}"/>
    <cellStyle name="着色 4 3" xfId="26926" xr:uid="{662CAD06-32DC-47C7-9394-FC7ED0278666}"/>
    <cellStyle name="着色 4 4" xfId="26924" xr:uid="{2A6A8617-7F12-450A-8971-8BB55A954F18}"/>
    <cellStyle name="着色 5" xfId="27838" builtinId="45" customBuiltin="1"/>
    <cellStyle name="着色 5 2" xfId="26928" xr:uid="{0A0A5E31-F18A-4D6B-89C1-D8C3FF97D973}"/>
    <cellStyle name="着色 5 2 2" xfId="27798" xr:uid="{68B6AB23-D656-4613-9A24-F9C543B753CF}"/>
    <cellStyle name="着色 5 3" xfId="26929" xr:uid="{7F545A80-5033-4B2A-88EB-B7CD00596A26}"/>
    <cellStyle name="着色 5 4" xfId="26927" xr:uid="{8845374C-EF89-4C58-9A15-D664D3DCB846}"/>
    <cellStyle name="着色 6" xfId="27842" builtinId="49" customBuiltin="1"/>
    <cellStyle name="着色 6 2" xfId="26931" xr:uid="{C4AE560C-D888-40BA-A26D-DA71B88C208E}"/>
    <cellStyle name="着色 6 2 2" xfId="27799" xr:uid="{0B318E5C-33B3-435F-AEF0-314FB5041AF4}"/>
    <cellStyle name="着色 6 3" xfId="26932" xr:uid="{5A136452-AD96-4EFE-9431-10A3E0DF5E73}"/>
    <cellStyle name="着色 6 4" xfId="26930" xr:uid="{B7EC9A95-1646-495B-8890-FE51E3C618C6}"/>
    <cellStyle name="寘嬫愗傝 [0.00]_PRODUCT DETAIL Q1" xfId="9072" xr:uid="{3EDBE738-C09B-42CE-98D2-0308D498A485}"/>
    <cellStyle name="寘嬫愗傝_PRODUCT DETAIL Q1" xfId="9073" xr:uid="{0525A381-D82D-4F5D-B4F0-5F20FF9BAF1C}"/>
    <cellStyle name="注释 10" xfId="9075" xr:uid="{3CE0DCF8-7719-4054-908C-21E489CFD0BE}"/>
    <cellStyle name="注释 10 2" xfId="9076" xr:uid="{AA595010-7AA0-4267-B7C0-9444CC68070A}"/>
    <cellStyle name="注释 10 2 2" xfId="9077" xr:uid="{20C0224F-7E17-4BB4-B27A-E321EF095ADD}"/>
    <cellStyle name="注释 10 2 3" xfId="11902" xr:uid="{595C9ADB-DBD6-4763-AE94-B828F23CE20E}"/>
    <cellStyle name="注释 10 2 4" xfId="26934" xr:uid="{030B4F51-541E-4B57-93F9-3709AA95B228}"/>
    <cellStyle name="注释 10 3" xfId="9078" xr:uid="{A6D584BB-4465-4990-9416-8EB4064B6AFB}"/>
    <cellStyle name="注释 10 3 2" xfId="11903" xr:uid="{9F3D9C6F-C644-4342-94E8-65AAA1FF0A30}"/>
    <cellStyle name="注释 10 3 3" xfId="26935" xr:uid="{8270D89C-7029-4C2A-B3A8-3E0773C7A734}"/>
    <cellStyle name="注释 10 4" xfId="9079" xr:uid="{399FA8D1-5F0F-4EFD-803E-36BE2B0CA2F1}"/>
    <cellStyle name="注释 10 4 2" xfId="1301" xr:uid="{BC35D32D-A3DC-4B55-BCEE-F914BE995DCF}"/>
    <cellStyle name="注释 10 4 3" xfId="26936" xr:uid="{948A451D-BC1D-43C7-8DA3-6A5F14A15537}"/>
    <cellStyle name="注释 10 5" xfId="9080" xr:uid="{F7C7478F-A521-430D-B4EA-D53BD2FE985C}"/>
    <cellStyle name="注释 10 5 2" xfId="9081" xr:uid="{E0B57BAE-F668-41ED-92A6-05646DB1F7A2}"/>
    <cellStyle name="注释 10 6" xfId="9082" xr:uid="{2213AD44-15FC-4A1D-820E-054B3ADA0582}"/>
    <cellStyle name="注释 10 7" xfId="11901" xr:uid="{262427E1-49A4-43B4-A143-E78431F3A99A}"/>
    <cellStyle name="注释 10 8" xfId="13303" xr:uid="{7BFB3593-03B1-44D9-873D-781EBAA76984}"/>
    <cellStyle name="注释 10 9" xfId="26933" xr:uid="{B05124D7-769E-47D6-9E05-2261447CAAF0}"/>
    <cellStyle name="注释 11" xfId="9083" xr:uid="{A462A3AE-A9CA-46CE-91AB-91FD159E071D}"/>
    <cellStyle name="注释 11 2" xfId="9084" xr:uid="{907849FE-9B16-4246-8B2A-1B44B2FF65B9}"/>
    <cellStyle name="注释 11 2 2" xfId="6859" xr:uid="{9E4628A0-ED26-46E6-AAC3-0EE7AFB9CF12}"/>
    <cellStyle name="注释 11 2 3" xfId="11905" xr:uid="{8FA46369-FD51-4046-BD6E-5B23365AFCEE}"/>
    <cellStyle name="注释 11 2 4" xfId="26938" xr:uid="{EF71993A-8D9F-49E4-B4F3-27CB3C357B55}"/>
    <cellStyle name="注释 11 3" xfId="9085" xr:uid="{A9F82F03-82D7-4578-8940-EC607BDF7CFD}"/>
    <cellStyle name="注释 11 3 2" xfId="11906" xr:uid="{E875D423-5C58-4667-8EFD-4701126ABEDA}"/>
    <cellStyle name="注释 11 3 3" xfId="26939" xr:uid="{FCA5229C-7155-4BCE-991E-A000B3006B0F}"/>
    <cellStyle name="注释 11 4" xfId="9086" xr:uid="{31DF990F-E533-4DEB-A0F6-0682CD0FD08D}"/>
    <cellStyle name="注释 11 4 2" xfId="6909" xr:uid="{BED8FC07-C852-4B7F-A281-A15893756B6E}"/>
    <cellStyle name="注释 11 4 3" xfId="26940" xr:uid="{117BAAB1-FA16-450A-8014-AD6AE12E88C0}"/>
    <cellStyle name="注释 11 5" xfId="9087" xr:uid="{5B0430C5-44EA-4DD3-BF87-4845DE04B3E9}"/>
    <cellStyle name="注释 11 5 2" xfId="9088" xr:uid="{4F1F7851-8AF1-444D-AF60-ACAD21E488A4}"/>
    <cellStyle name="注释 11 6" xfId="9089" xr:uid="{16A0F9FF-A925-417B-902F-9F42F5E7C0A4}"/>
    <cellStyle name="注释 11 7" xfId="11904" xr:uid="{F7F5F665-6697-4A6D-AE82-167D4ECED0F6}"/>
    <cellStyle name="注释 11 8" xfId="13295" xr:uid="{449CB3C7-5EA4-42DB-BEEB-D0E9B31843DE}"/>
    <cellStyle name="注释 11 9" xfId="26937" xr:uid="{69B02D78-CDA4-4B33-934A-5C3117970871}"/>
    <cellStyle name="注释 12" xfId="9090" xr:uid="{E830E23E-80DA-4489-AF70-DECBCA59A499}"/>
    <cellStyle name="注释 12 2" xfId="3540" xr:uid="{03AE7C66-D0A8-480C-B8EC-7FAB43A04146}"/>
    <cellStyle name="注释 12 2 2" xfId="9091" xr:uid="{049957E9-046A-4829-946A-E2587CB86C49}"/>
    <cellStyle name="注释 12 2 3" xfId="11908" xr:uid="{B6FDE36F-B451-47E2-985B-ECE0D4A7E7D6}"/>
    <cellStyle name="注释 12 2 4" xfId="26942" xr:uid="{025B4F92-E7EE-4ADC-91ED-6E839BCDDB12}"/>
    <cellStyle name="注释 12 3" xfId="3543" xr:uid="{E20A8866-5EE3-445C-9430-D17E65A1E64A}"/>
    <cellStyle name="注释 12 3 2" xfId="11909" xr:uid="{FA92A1E0-C52E-4438-AFA4-285783F7B60F}"/>
    <cellStyle name="注释 12 3 3" xfId="26943" xr:uid="{BDBA6E7B-6855-4D07-844B-74DE97F97E90}"/>
    <cellStyle name="注释 12 4" xfId="3547" xr:uid="{B30F765E-40AA-4C60-B74B-C6B59E62ACB8}"/>
    <cellStyle name="注释 12 4 2" xfId="8778" xr:uid="{F8BFB8FC-26DC-492C-9C6C-2B7233759F22}"/>
    <cellStyle name="注释 12 4 3" xfId="26944" xr:uid="{23ED54CB-4DC6-41E6-8841-B80B76D222F3}"/>
    <cellStyle name="注释 12 5" xfId="3551" xr:uid="{F60B3B7E-1DD1-4D42-B6D1-8D5743DA1024}"/>
    <cellStyle name="注释 12 5 2" xfId="8893" xr:uid="{2C8E0D48-AEFA-4564-8DFA-8959E8A699F7}"/>
    <cellStyle name="注释 12 6" xfId="3572" xr:uid="{45CEF816-13DE-42EF-9FF9-02710009079C}"/>
    <cellStyle name="注释 12 7" xfId="11907" xr:uid="{9AF51E4E-B438-4B1C-90E8-77E3844783B0}"/>
    <cellStyle name="注释 12 8" xfId="13267" xr:uid="{93D53C4E-2AC4-4A44-AA62-CAE88BE6A0A6}"/>
    <cellStyle name="注释 12 9" xfId="26941" xr:uid="{A523B07B-4580-41E9-AC9D-D31DD380F8B4}"/>
    <cellStyle name="注释 13" xfId="9092" xr:uid="{279ADA2F-9861-4A85-A9AD-36EA55781A46}"/>
    <cellStyle name="注释 13 2" xfId="3673" xr:uid="{DC39765E-F51D-41DF-8870-2C4FDBC84A08}"/>
    <cellStyle name="注释 13 2 2" xfId="9093" xr:uid="{4F6C8D7D-9FCA-41D8-B80D-CAED00FAF9B5}"/>
    <cellStyle name="注释 13 2 3" xfId="11911" xr:uid="{34FE71CD-9DCC-44BE-A444-13F65C61BD83}"/>
    <cellStyle name="注释 13 2 4" xfId="26946" xr:uid="{78D75BCB-47BF-4ACF-B1CD-077D9D8BF3B7}"/>
    <cellStyle name="注释 13 3" xfId="3677" xr:uid="{9D1963B8-2A8B-4F24-A033-2DD47C6B835F}"/>
    <cellStyle name="注释 13 3 2" xfId="11912" xr:uid="{BCD98FDD-978A-4E25-9F46-088659D649D2}"/>
    <cellStyle name="注释 13 3 3" xfId="26947" xr:uid="{5407927E-CF63-4397-849B-88C383E9B048}"/>
    <cellStyle name="注释 13 4" xfId="3683" xr:uid="{540F0C2D-94F7-4E0E-8C5C-5031EACBF014}"/>
    <cellStyle name="注释 13 4 2" xfId="9094" xr:uid="{C3AE4E00-3242-4153-99A7-D87C3D47B3B6}"/>
    <cellStyle name="注释 13 4 3" xfId="26948" xr:uid="{1674C0F9-C2FB-4B7B-B7A0-F5F404946C0D}"/>
    <cellStyle name="注释 13 5" xfId="3687" xr:uid="{33F8FA49-98B3-4103-B4C4-8A556948797C}"/>
    <cellStyle name="注释 13 5 2" xfId="7834" xr:uid="{12C6401B-03AF-422E-9C4B-C2C5BF614BF8}"/>
    <cellStyle name="注释 13 6" xfId="3696" xr:uid="{C198C7CD-93E4-4E42-A730-7DC96D5E8330}"/>
    <cellStyle name="注释 13 7" xfId="11910" xr:uid="{63C4BAE7-A010-4CFB-8787-F1AA15A63D31}"/>
    <cellStyle name="注释 13 8" xfId="13254" xr:uid="{AA183BE9-7C62-4EEB-AD2E-BF01D1720FA8}"/>
    <cellStyle name="注释 13 9" xfId="26945" xr:uid="{2B233874-EECE-45E1-8CBD-12D86161516C}"/>
    <cellStyle name="注释 14" xfId="9095" xr:uid="{72BB3E85-8C55-46D5-9D16-8957B9320B76}"/>
    <cellStyle name="注释 14 2" xfId="9096" xr:uid="{72C4EE99-D872-40FD-B06C-F4B5CF6F213C}"/>
    <cellStyle name="注释 14 2 2" xfId="9097" xr:uid="{991908A4-A49E-4C68-A53C-148D95361DBA}"/>
    <cellStyle name="注释 14 2 3" xfId="11914" xr:uid="{E1D3F6FA-587C-4533-B1DA-1B73F4E323F8}"/>
    <cellStyle name="注释 14 2 4" xfId="26950" xr:uid="{708E3A27-AB83-4652-9814-1D3333E4BCB3}"/>
    <cellStyle name="注释 14 3" xfId="9098" xr:uid="{53408265-CD1B-4970-8284-CF58B3882B8F}"/>
    <cellStyle name="注释 14 3 2" xfId="11915" xr:uid="{73E0092D-B852-4286-8B19-E050223EB29F}"/>
    <cellStyle name="注释 14 3 3" xfId="26951" xr:uid="{8DE4EE88-502E-4EAF-8DD3-E48BFE2EE8C8}"/>
    <cellStyle name="注释 14 4" xfId="9099" xr:uid="{38D45E06-989A-49E5-8FC4-AC6567B96EA2}"/>
    <cellStyle name="注释 14 4 2" xfId="9100" xr:uid="{65B3CDA5-91DA-47F1-9529-FCD6154AFFAD}"/>
    <cellStyle name="注释 14 4 3" xfId="26952" xr:uid="{36FDB3A7-3F87-469F-8135-DF52D8F292F6}"/>
    <cellStyle name="注释 14 5" xfId="9101" xr:uid="{4BA3180B-66B7-414D-BC30-5E77558905D2}"/>
    <cellStyle name="注释 14 5 2" xfId="9102" xr:uid="{E99EECC2-793F-48AA-A737-B6D30A155E85}"/>
    <cellStyle name="注释 14 6" xfId="5695" xr:uid="{BE4857DB-C5F6-4976-89C4-2E0E17CCCC28}"/>
    <cellStyle name="注释 14 7" xfId="11913" xr:uid="{7EBD941A-8F7A-4F73-99EC-6C593F63E5B5}"/>
    <cellStyle name="注释 14 8" xfId="13241" xr:uid="{B543E3F7-B127-40CA-8804-EC4B31FE0133}"/>
    <cellStyle name="注释 14 9" xfId="26949" xr:uid="{B1D4A416-D275-46BF-9B5B-38BB5DAC7037}"/>
    <cellStyle name="注释 15" xfId="9103" xr:uid="{988C39C5-B508-4D8F-A024-EDB90E961393}"/>
    <cellStyle name="注释 15 2" xfId="9105" xr:uid="{EA7F3D1A-8CA5-4A44-8C85-0DC542B293B8}"/>
    <cellStyle name="注释 15 2 2" xfId="11917" xr:uid="{9EDEC63B-0DE5-4F0B-86C0-E81A3821EAF6}"/>
    <cellStyle name="注释 15 2 3" xfId="26954" xr:uid="{7A594F5A-3F56-4E02-805B-2E479B67056A}"/>
    <cellStyle name="注释 15 3" xfId="9107" xr:uid="{0B0E3AF1-388E-491A-99C2-2A8E17AF344F}"/>
    <cellStyle name="注释 15 3 2" xfId="9108" xr:uid="{28D69204-C852-4488-9763-05AD2F142397}"/>
    <cellStyle name="注释 15 3 3" xfId="11918" xr:uid="{3850C1C7-8B86-44F4-911F-0640A9A3607C}"/>
    <cellStyle name="注释 15 3 4" xfId="26955" xr:uid="{675ED26D-8249-498C-BCB1-D698DDBE835D}"/>
    <cellStyle name="注释 15 4" xfId="9109" xr:uid="{98234A00-6C7B-4D79-8EDC-DE6EA3F889D4}"/>
    <cellStyle name="注释 15 4 2" xfId="9110" xr:uid="{C401C8FD-6549-400D-87C4-6B607984DC9A}"/>
    <cellStyle name="注释 15 4 3" xfId="26956" xr:uid="{1F6C8E5D-91E9-491E-8B74-619553DB5FCA}"/>
    <cellStyle name="注释 15 5" xfId="9111" xr:uid="{9549C7A8-AF4A-46B7-87FD-939BA6AE6865}"/>
    <cellStyle name="注释 15 6" xfId="11916" xr:uid="{52B47A0D-4C7F-4431-8DC7-38D4A29DE9E9}"/>
    <cellStyle name="注释 15 7" xfId="13228" xr:uid="{2C9DF966-7224-4D9C-B135-90F7166DD55C}"/>
    <cellStyle name="注释 15 8" xfId="26953" xr:uid="{55A1B21A-AA9C-4973-B3A9-41F7DE59F9D6}"/>
    <cellStyle name="注释 16" xfId="9112" xr:uid="{D070D1F0-79E5-434E-A0E9-42907CFE548C}"/>
    <cellStyle name="注释 16 2" xfId="9114" xr:uid="{E3CEA945-2C3B-4E0B-B20B-8FDC4E8194B7}"/>
    <cellStyle name="注释 16 2 2" xfId="11920" xr:uid="{C1A5A226-B336-40E8-AD84-DABB2AEB5A3A}"/>
    <cellStyle name="注释 16 2 3" xfId="26958" xr:uid="{8C2263E8-9556-49DB-BE59-FECCF3DE339F}"/>
    <cellStyle name="注释 16 3" xfId="9116" xr:uid="{AE10E606-1AA6-4AB0-BD05-81E55F9145D7}"/>
    <cellStyle name="注释 16 3 2" xfId="9117" xr:uid="{F6EC113B-7C7A-433B-B6DF-3588DA67553E}"/>
    <cellStyle name="注释 16 3 3" xfId="11921" xr:uid="{0AFE6EF7-98D6-4A62-B912-58E287A8B51F}"/>
    <cellStyle name="注释 16 3 4" xfId="26959" xr:uid="{B88B3180-A100-486B-AF59-B42DD2A12E1A}"/>
    <cellStyle name="注释 16 4" xfId="9118" xr:uid="{244ADD66-1380-412A-97B8-78A545FD5DC9}"/>
    <cellStyle name="注释 16 4 2" xfId="9119" xr:uid="{3B5756E2-ABC0-4E71-9D7C-C9D37F6BF7F7}"/>
    <cellStyle name="注释 16 4 3" xfId="26960" xr:uid="{EF88FDEE-AA3D-4029-AAD5-825635243FE4}"/>
    <cellStyle name="注释 16 5" xfId="9120" xr:uid="{7F6B834C-9A30-42F0-9663-DC6A2CAC9BC9}"/>
    <cellStyle name="注释 16 6" xfId="11919" xr:uid="{1BF7E156-28E6-4DEC-8D3E-78E41A3D242A}"/>
    <cellStyle name="注释 16 7" xfId="13215" xr:uid="{98872D21-6DD8-490D-9686-BFC9CC7A6CFD}"/>
    <cellStyle name="注释 16 8" xfId="26957" xr:uid="{78FEB7B7-7D05-4165-8EDE-479DE3F3F724}"/>
    <cellStyle name="注释 17" xfId="9121" xr:uid="{CE88CBCB-A129-4A66-A3E9-7DE4A6C1054A}"/>
    <cellStyle name="注释 17 2" xfId="9123" xr:uid="{3BE4BB3E-AD97-4687-930F-CC4577A7B112}"/>
    <cellStyle name="注释 17 2 2" xfId="9125" xr:uid="{90108BED-3DA4-42F3-9AB2-C6C1F137F0A3}"/>
    <cellStyle name="注释 17 2 3" xfId="11923" xr:uid="{E87AEFCF-63BE-47E2-9E66-2F55BAF6B89D}"/>
    <cellStyle name="注释 17 2 4" xfId="26962" xr:uid="{09CDCE96-0C1B-4E81-83C0-09B76DF029C0}"/>
    <cellStyle name="注释 17 3" xfId="9127" xr:uid="{4606FE5D-0F59-46F4-87D5-217174DE531D}"/>
    <cellStyle name="注释 17 3 2" xfId="9128" xr:uid="{D32DEBDF-B3AD-4037-B35F-3DC5AD639AF2}"/>
    <cellStyle name="注释 17 3 3" xfId="11924" xr:uid="{52F6A5B1-7503-45AA-B6CE-61B302DF445D}"/>
    <cellStyle name="注释 17 3 4" xfId="26963" xr:uid="{D27B0E95-664E-447D-BA9C-E21B17ADC335}"/>
    <cellStyle name="注释 17 4" xfId="11922" xr:uid="{210D093F-769A-4079-86F7-2C6A19EFF629}"/>
    <cellStyle name="注释 17 4 2" xfId="26964" xr:uid="{8627011D-F44F-4F5A-9D59-092395ABAB0E}"/>
    <cellStyle name="注释 17 5" xfId="13197" xr:uid="{1429AF43-5A90-41D2-B487-3FE8061BC1E0}"/>
    <cellStyle name="注释 17 6" xfId="26961" xr:uid="{1BD8600A-ADAA-486A-8B7F-C3B1141F75BE}"/>
    <cellStyle name="注释 18" xfId="9129" xr:uid="{7F3A3B65-6521-45DD-8C3A-9DED4E3EDB07}"/>
    <cellStyle name="注释 18 2" xfId="5496" xr:uid="{A22C5AE2-6ABC-4770-A104-CE9BACEF9BB5}"/>
    <cellStyle name="注释 18 2 2" xfId="5499" xr:uid="{63FB99E5-B7D9-413E-8F36-C595C7C65E0E}"/>
    <cellStyle name="注释 18 2 3" xfId="26966" xr:uid="{A3D495E9-ACAB-44B3-9B33-B461174FE76A}"/>
    <cellStyle name="注释 18 3" xfId="5508" xr:uid="{FCAF861B-7EEE-43A3-A390-C86666487BD6}"/>
    <cellStyle name="注释 18 3 2" xfId="5510" xr:uid="{95309E4A-E90E-4994-A5E6-16C6219B5134}"/>
    <cellStyle name="注释 18 3 3" xfId="26967" xr:uid="{F9ADD674-63C5-4B12-921A-C1B67ED42C0B}"/>
    <cellStyle name="注释 18 4" xfId="11925" xr:uid="{A88D2F02-3A43-4586-A6FF-591B7C42679D}"/>
    <cellStyle name="注释 18 4 2" xfId="26968" xr:uid="{4C3732C9-BA57-481B-A335-317B074554C4}"/>
    <cellStyle name="注释 18 5" xfId="13199" xr:uid="{28F0B173-F989-4F0E-AFD7-E5CF8A4391D7}"/>
    <cellStyle name="注释 18 6" xfId="26965" xr:uid="{9A4042CE-6006-44C2-A7AF-45267014ED6B}"/>
    <cellStyle name="注释 19" xfId="9131" xr:uid="{FE230EAD-6885-4E8F-A2C3-61B4FBA25060}"/>
    <cellStyle name="注释 19 2" xfId="9133" xr:uid="{64E2DE01-EB26-40BA-9BFE-9F789F0B8045}"/>
    <cellStyle name="注释 19 2 2" xfId="9134" xr:uid="{0C7E2289-DE90-42DF-B93B-0AD7749C78C0}"/>
    <cellStyle name="注释 19 2 3" xfId="26970" xr:uid="{DF2F5694-F988-4E70-8DE9-7E1AC80BAC16}"/>
    <cellStyle name="注释 19 3" xfId="11926" xr:uid="{94DA6B95-09DE-465E-A2BC-40CA5BDEC222}"/>
    <cellStyle name="注释 19 3 2" xfId="26971" xr:uid="{AD509439-A90F-45D1-8382-9568461C1617}"/>
    <cellStyle name="注释 19 4" xfId="13174" xr:uid="{F9258D89-7A61-4429-AE69-D59057E08C16}"/>
    <cellStyle name="注释 19 4 2" xfId="26972" xr:uid="{446F689A-9E79-4748-B498-57613D09FF68}"/>
    <cellStyle name="注释 19 5" xfId="26969" xr:uid="{FAF5773F-C950-47C3-874A-BF6EB741775C}"/>
    <cellStyle name="注释 2" xfId="9135" xr:uid="{BD828B9D-55BE-42B6-BEDA-3A7DDF6537AC}"/>
    <cellStyle name="注释 2 10" xfId="2812" xr:uid="{4CBB9476-5369-4E79-BC3E-45587ADC73B6}"/>
    <cellStyle name="注释 2 10 2" xfId="9136" xr:uid="{629E74AE-0AAC-4808-A5FE-F6747D6A760C}"/>
    <cellStyle name="注释 2 10 3" xfId="9137" xr:uid="{867187A6-CD66-4A5D-A38B-35FD494446B7}"/>
    <cellStyle name="注释 2 10 4" xfId="26974" xr:uid="{C1766763-879E-496E-8387-024E44C74E3D}"/>
    <cellStyle name="注释 2 11" xfId="2858" xr:uid="{35A6CFC4-E3A4-42B9-991F-4003759D1622}"/>
    <cellStyle name="注释 2 11 2" xfId="9138" xr:uid="{107655E2-DC4B-40B9-B155-CC6BAB540314}"/>
    <cellStyle name="注释 2 11 3" xfId="9139" xr:uid="{485BFF91-A65E-435B-A5F8-54A0C8A90F75}"/>
    <cellStyle name="注释 2 11 4" xfId="26975" xr:uid="{FB011669-9295-4574-A39D-0B351C30DD75}"/>
    <cellStyle name="注释 2 12" xfId="2864" xr:uid="{112A622D-9313-4E15-9A18-D0E614D0C18E}"/>
    <cellStyle name="注释 2 13" xfId="386" xr:uid="{B42CC99D-2D3C-48B3-89BD-8A541BE51FF3}"/>
    <cellStyle name="注释 2 14" xfId="1310" xr:uid="{29F156D4-9891-4024-8A29-7134D29830A9}"/>
    <cellStyle name="注释 2 15" xfId="1317" xr:uid="{3BD40CC2-2885-4784-A55D-C6A985E3581F}"/>
    <cellStyle name="注释 2 16" xfId="1326" xr:uid="{3ADB61B1-6CBD-44AC-B092-7BE2FAA045A4}"/>
    <cellStyle name="注释 2 16 2" xfId="9140" xr:uid="{88043D46-26C1-4838-B95A-052875685BAE}"/>
    <cellStyle name="注释 2 17" xfId="1336" xr:uid="{DAA27263-7B5C-40EF-9E8D-1B09F2D3525F}"/>
    <cellStyle name="注释 2 17 2" xfId="9142" xr:uid="{67B18933-FCA8-46F9-A0C3-EE2B3F8EE720}"/>
    <cellStyle name="注释 2 18" xfId="2902" xr:uid="{9BACE2A2-E0F4-4F6B-A27E-4375A8FA6DF3}"/>
    <cellStyle name="注释 2 18 2" xfId="9144" xr:uid="{D07A5232-5452-4254-8B2A-B0DA8E46ECFD}"/>
    <cellStyle name="注释 2 19" xfId="2907" xr:uid="{FCD6CE57-1916-4BD2-89A7-8CFE61A60F04}"/>
    <cellStyle name="注释 2 2" xfId="9145" xr:uid="{6B98C137-C06B-4091-8D89-F7C705E34F54}"/>
    <cellStyle name="注释 2 2 2" xfId="9146" xr:uid="{3E705A73-F35F-44E6-8B17-696B6671E847}"/>
    <cellStyle name="注释 2 2 2 2" xfId="9147" xr:uid="{F0825A37-D4AB-4D1D-BC60-54E3BADD36C2}"/>
    <cellStyle name="注释 2 2 2 2 2" xfId="26978" xr:uid="{CC709B8F-A349-456D-88E8-7B9303374F14}"/>
    <cellStyle name="注释 2 2 2 3" xfId="26977" xr:uid="{5ED33D2F-B8E2-477F-A302-F9300B64FCCA}"/>
    <cellStyle name="注释 2 2 3" xfId="9148" xr:uid="{AEE3AB0A-C336-4CEA-8010-41F586F1D678}"/>
    <cellStyle name="注释 2 2 3 2" xfId="9149" xr:uid="{F59F7191-AACD-4C6C-9788-9BB2164198D6}"/>
    <cellStyle name="注释 2 2 3 3" xfId="26979" xr:uid="{A1EE67DE-9268-4C60-A9BB-A4C6BFCFE30E}"/>
    <cellStyle name="注释 2 2 4" xfId="11928" xr:uid="{C571BFDE-9298-4D55-916E-B22E35A81D6B}"/>
    <cellStyle name="注释 2 2 4 2" xfId="26980" xr:uid="{A22E8A4C-5D27-49D9-974E-87E9C48EDD3D}"/>
    <cellStyle name="注释 2 2 5" xfId="13359" xr:uid="{9B0B3E24-0E5F-4A9F-BF69-3F0E7DE10A90}"/>
    <cellStyle name="注释 2 2 6" xfId="26976" xr:uid="{83350E60-99A8-4B5A-BE99-037360106046}"/>
    <cellStyle name="注释 2 2 7" xfId="27663" xr:uid="{563E6EFB-0556-461F-B60E-DF62260BE62E}"/>
    <cellStyle name="注释 2 2_动力部" xfId="26981" xr:uid="{E20D9AC4-1E4A-442A-9A7A-127B39338ACC}"/>
    <cellStyle name="注释 2 20" xfId="1316" xr:uid="{EA5B2766-A9B4-4E35-A1C0-15846DA9534E}"/>
    <cellStyle name="注释 2 20 2" xfId="9150" xr:uid="{5E3BE740-42FA-4723-9EE4-B243971B2510}"/>
    <cellStyle name="注释 2 21" xfId="1325" xr:uid="{03C29AD1-2BD3-444D-9030-F52B23ABBFFD}"/>
    <cellStyle name="注释 2 21 2" xfId="9141" xr:uid="{D8258993-58EE-4881-B80C-B5974E84A3C8}"/>
    <cellStyle name="注释 2 22" xfId="1335" xr:uid="{DC2E92DB-B95C-4765-80C3-AFF18365809C}"/>
    <cellStyle name="注释 2 22 2" xfId="9143" xr:uid="{C190EF28-2696-41D7-9B4A-1960F4029918}"/>
    <cellStyle name="注释 2 23" xfId="11927" xr:uid="{BCC6A3DC-1FBF-4223-84B8-D46DC7480D8E}"/>
    <cellStyle name="注释 2 24" xfId="13426" xr:uid="{8776A22C-6C0A-4E05-98F9-B3CBFE1B85B2}"/>
    <cellStyle name="注释 2 25" xfId="13420" xr:uid="{B7FFFBFD-37BF-4E5C-A0E2-BE89CE7CA999}"/>
    <cellStyle name="注释 2 26" xfId="26973" xr:uid="{F446CF50-5460-4FE9-80F8-D2387333836D}"/>
    <cellStyle name="注释 2 3" xfId="9151" xr:uid="{4B291B35-F1BB-459C-9614-02DD3CBAE21F}"/>
    <cellStyle name="注释 2 3 2" xfId="11929" xr:uid="{CB2B9CA5-D846-4E7B-B1D6-0CAC57961418}"/>
    <cellStyle name="注释 2 3 3" xfId="13338" xr:uid="{783E4C86-3A54-43D9-8282-D746BB645E94}"/>
    <cellStyle name="注释 2 3 4" xfId="26982" xr:uid="{BF2227AE-5A7B-45CF-BAC4-F1E496246F98}"/>
    <cellStyle name="注释 2 3 5" xfId="27664" xr:uid="{C1145F47-19D8-478D-BF8C-B9752D37FD84}"/>
    <cellStyle name="注释 2 4" xfId="9152" xr:uid="{F819E567-B41C-48FE-B3B9-A3FC661DDE65}"/>
    <cellStyle name="注释 2 4 2" xfId="5601" xr:uid="{69EB138D-AA92-4B44-B907-03FC7EFD378D}"/>
    <cellStyle name="注释 2 4 3" xfId="2069" xr:uid="{838BE60F-1A0E-4F8E-AE8C-2F3953511BF0}"/>
    <cellStyle name="注释 2 4 4" xfId="13319" xr:uid="{4931528B-6AC3-4E66-91B0-813D215DB724}"/>
    <cellStyle name="注释 2 4 5" xfId="12403" xr:uid="{0FEE87F6-8448-48BA-9E8C-E051F866EC08}"/>
    <cellStyle name="注释 2 4 6" xfId="26983" xr:uid="{116DB74E-3F91-49C5-99E3-CDF7793ABBB5}"/>
    <cellStyle name="注释 2 5" xfId="9153" xr:uid="{BE7C6F91-1CD1-41A3-AE8F-43CA6A0AF863}"/>
    <cellStyle name="注释 2 5 2" xfId="4081" xr:uid="{A7237654-F1BB-4DAE-8B97-DBE93CEF3008}"/>
    <cellStyle name="注释 2 5 3" xfId="4088" xr:uid="{420D0718-A6EE-4796-B3E5-F55F6B84558C}"/>
    <cellStyle name="注释 2 5 4" xfId="26984" xr:uid="{E69199F3-B091-46BF-8FCD-C0DB9FF50FB2}"/>
    <cellStyle name="注释 2 5 5" xfId="27800" xr:uid="{75C12EC8-F432-4F41-9F4B-4B450D02E94A}"/>
    <cellStyle name="注释 2 6" xfId="9154" xr:uid="{A0406192-A389-4ACC-BC28-AEF2C93F8AB5}"/>
    <cellStyle name="注释 2 6 2" xfId="9155" xr:uid="{2A2E65B6-F38D-4125-82E3-9C857C0CB83C}"/>
    <cellStyle name="注释 2 6 3" xfId="9156" xr:uid="{DF65F552-1823-4758-8C06-E2695A624740}"/>
    <cellStyle name="注释 2 6 4" xfId="26985" xr:uid="{5D3D3B30-923B-403D-9CC9-ADEB5DC08D8C}"/>
    <cellStyle name="注释 2 7" xfId="9157" xr:uid="{7917389F-838E-4691-8DBE-CBEFB22EBDF0}"/>
    <cellStyle name="注释 2 7 2" xfId="9158" xr:uid="{7B4F1309-6C07-4C35-B12D-01D2050E1118}"/>
    <cellStyle name="注释 2 7 3" xfId="9159" xr:uid="{470025FF-7CCE-453E-A79A-2693F0A5F980}"/>
    <cellStyle name="注释 2 7 4" xfId="26986" xr:uid="{288A7AE6-1187-490B-A7FA-A17A23E5D698}"/>
    <cellStyle name="注释 2 8" xfId="9160" xr:uid="{71388393-6565-4F47-9386-099F8863EB5A}"/>
    <cellStyle name="注释 2 8 2" xfId="9161" xr:uid="{41034C7E-6C80-4940-87F6-3FAFCA425CA1}"/>
    <cellStyle name="注释 2 8 3" xfId="9162" xr:uid="{40D76EB9-6176-45FB-A303-5DB3C0E1A76A}"/>
    <cellStyle name="注释 2 8 4" xfId="26987" xr:uid="{E87A47DA-9687-4CE7-A9BD-DFBB8B51CE25}"/>
    <cellStyle name="注释 2 9" xfId="9163" xr:uid="{5CCB6047-EB87-4A10-81BA-6A8284E3D3EA}"/>
    <cellStyle name="注释 2 9 2" xfId="9164" xr:uid="{1D92CCE4-209F-4EFF-A010-D6C9881283E0}"/>
    <cellStyle name="注释 2 9 3" xfId="9165" xr:uid="{C7A1BD3C-E422-46C3-B722-E83899ADFA00}"/>
    <cellStyle name="注释 2 9 4" xfId="26988" xr:uid="{3608C349-02A1-482E-A244-19B1DAE11940}"/>
    <cellStyle name="注释 2_动力部" xfId="26989" xr:uid="{F4EEF3C3-7E25-4C24-AED6-F8A9703FBEA9}"/>
    <cellStyle name="注释 20" xfId="9104" xr:uid="{B598C69B-0CC6-4E73-8493-E1277A52645E}"/>
    <cellStyle name="注释 20 2" xfId="9106" xr:uid="{D14018D6-D049-4000-A5DD-EE3C9BAC9B6A}"/>
    <cellStyle name="注释 20 2 2" xfId="9166" xr:uid="{E56D867D-F393-4B52-8602-429D09FE3808}"/>
    <cellStyle name="注释 20 2 3" xfId="26991" xr:uid="{641381B8-41A3-4E84-A258-74715AF48AD2}"/>
    <cellStyle name="注释 20 3" xfId="11930" xr:uid="{7A8F237D-8C41-465C-A630-985FB36E4728}"/>
    <cellStyle name="注释 20 3 2" xfId="26992" xr:uid="{F34AC7E5-B2D9-41F9-A834-65E2D0F6FB10}"/>
    <cellStyle name="注释 20 4" xfId="13158" xr:uid="{94E0F6B3-422A-4C52-B3A9-D80A0D1D6C87}"/>
    <cellStyle name="注释 20 4 2" xfId="26993" xr:uid="{B0F111CE-F5F6-493C-90EF-B89172A82AD8}"/>
    <cellStyle name="注释 20 5" xfId="26990" xr:uid="{C2417E29-644F-437F-A085-FE565DABFAFB}"/>
    <cellStyle name="注释 21" xfId="9113" xr:uid="{F516DA89-8426-485C-9349-15FE29467DB7}"/>
    <cellStyle name="注释 21 2" xfId="9115" xr:uid="{76ACA633-E433-4952-8C76-3558C0C8E74E}"/>
    <cellStyle name="注释 21 2 2" xfId="9167" xr:uid="{31A0D312-08F7-4B29-ACC1-3A9F33C1CCC4}"/>
    <cellStyle name="注释 21 2 3" xfId="26995" xr:uid="{E48F9948-9AC7-48FD-8D26-F072DA6E7FAF}"/>
    <cellStyle name="注释 21 3" xfId="11931" xr:uid="{7BB7FFD0-ED78-46DA-BEEC-3D71F4C93503}"/>
    <cellStyle name="注释 21 3 2" xfId="26996" xr:uid="{80A4D5CA-1267-4766-B87F-B2F75C46C75E}"/>
    <cellStyle name="注释 21 4" xfId="13159" xr:uid="{B88BA7B2-EE88-4FEA-BB75-BEEF2F9A5257}"/>
    <cellStyle name="注释 21 4 2" xfId="26997" xr:uid="{1E3C8985-2B7C-4C81-8882-9B02E53B30F9}"/>
    <cellStyle name="注释 21 5" xfId="26994" xr:uid="{3DBAEFFE-0A23-411A-B544-4AB044D9BF03}"/>
    <cellStyle name="注释 22" xfId="9122" xr:uid="{85F858FE-342E-407A-AC0B-A891A12B8DA7}"/>
    <cellStyle name="注释 22 2" xfId="9124" xr:uid="{DDA43154-21AC-4148-BB66-22236CA702A5}"/>
    <cellStyle name="注释 22 2 2" xfId="9126" xr:uid="{BB7306E0-7A73-41CC-A65A-8D866B2D57C5}"/>
    <cellStyle name="注释 22 2 3" xfId="26999" xr:uid="{139A13AD-18F3-46B4-BF51-9532729486E4}"/>
    <cellStyle name="注释 22 3" xfId="11932" xr:uid="{CFBBDDDF-BA63-47FD-9F2F-199502229625}"/>
    <cellStyle name="注释 22 3 2" xfId="27000" xr:uid="{9891E98D-8842-4F18-9C07-2B47B9243C52}"/>
    <cellStyle name="注释 22 4" xfId="13134" xr:uid="{512ADFD5-21AD-4E9D-9BE6-44E3AC40250D}"/>
    <cellStyle name="注释 22 4 2" xfId="27001" xr:uid="{D0C9319A-31B6-4EDA-845E-044C23C83091}"/>
    <cellStyle name="注释 22 5" xfId="26998" xr:uid="{97184E2A-649F-4A50-8382-311478DA7B00}"/>
    <cellStyle name="注释 23" xfId="9130" xr:uid="{26DE48BA-8ECC-4B6D-B36B-2E3DE734AABF}"/>
    <cellStyle name="注释 23 2" xfId="5497" xr:uid="{8899182B-684C-4F31-B7B5-E5F3086A305E}"/>
    <cellStyle name="注释 23 2 2" xfId="5500" xr:uid="{468B897C-AD2B-4089-BCE2-57C32FB1858B}"/>
    <cellStyle name="注释 23 2 3" xfId="27003" xr:uid="{528E9936-F3FC-4042-8B99-23471299D11B}"/>
    <cellStyle name="注释 23 3" xfId="13121" xr:uid="{12BBF29D-136B-4887-81BE-AA55A3598F28}"/>
    <cellStyle name="注释 23 3 2" xfId="27004" xr:uid="{B2B5AECE-4459-4606-9479-BCE58DF9F5A6}"/>
    <cellStyle name="注释 23 4" xfId="27005" xr:uid="{42EB6DB9-9048-4157-8BCF-1ACFB969F351}"/>
    <cellStyle name="注释 23 5" xfId="27002" xr:uid="{DCCE37CA-232B-46C9-A88C-45517698DF3B}"/>
    <cellStyle name="注释 24" xfId="9132" xr:uid="{06B06144-8953-42B1-A4B7-E098CEA1B996}"/>
    <cellStyle name="注释 24 2" xfId="13105" xr:uid="{3DCEE7C5-296B-4AE7-ADBD-B6EC5B1A89B5}"/>
    <cellStyle name="注释 24 2 2" xfId="27007" xr:uid="{D02F3F85-9F12-4185-8EB6-EAD1CC8AAF66}"/>
    <cellStyle name="注释 24 3" xfId="27008" xr:uid="{5B20B2FC-A953-4590-934C-77BF818C253C}"/>
    <cellStyle name="注释 24 4" xfId="27009" xr:uid="{CBAA42AD-C1D0-44D9-A8E1-8DBE29ADEAA5}"/>
    <cellStyle name="注释 24 5" xfId="27006" xr:uid="{FBABF891-6EED-4FC0-A0ED-4CF725437271}"/>
    <cellStyle name="注释 25" xfId="9168" xr:uid="{5EC4A002-45C5-41C1-B85C-15536FBD7E12}"/>
    <cellStyle name="注释 25 2" xfId="13106" xr:uid="{D67E6F04-D045-4923-97CC-F87DE17C10D6}"/>
    <cellStyle name="注释 25 2 2" xfId="27011" xr:uid="{19A6556E-1251-46E5-8DBB-46BC0A20F65F}"/>
    <cellStyle name="注释 25 3" xfId="27012" xr:uid="{666293B1-3FD3-4848-BA82-6A2338CBF7A1}"/>
    <cellStyle name="注释 25 4" xfId="27013" xr:uid="{BFE93C41-3A3E-4704-8AA5-1D3C52BF5482}"/>
    <cellStyle name="注释 25 5" xfId="27010" xr:uid="{F7CE24D0-877A-44F2-AE61-A40F1E79C26D}"/>
    <cellStyle name="注释 26" xfId="9170" xr:uid="{D560CF01-3CA1-43F0-A194-8E3DD1E7C33F}"/>
    <cellStyle name="注释 26 2" xfId="13031" xr:uid="{5DD9DFC0-D5FC-4BC8-AA61-EBD84CCEF2A4}"/>
    <cellStyle name="注释 26 2 2" xfId="27015" xr:uid="{D2CF108D-BF94-45C9-99D3-470E8FF63FD4}"/>
    <cellStyle name="注释 26 3" xfId="27016" xr:uid="{9700164A-F007-451E-B645-27C7409D5EB5}"/>
    <cellStyle name="注释 26 4" xfId="27017" xr:uid="{4426BA13-E29A-48F5-B993-0D4B2D086875}"/>
    <cellStyle name="注释 26 5" xfId="27014" xr:uid="{7F09CA94-5361-4AD3-A6A3-DBDE89181B56}"/>
    <cellStyle name="注释 27" xfId="5697" xr:uid="{454A076B-9EEF-4A6F-9C12-060A7FF3A5F3}"/>
    <cellStyle name="注释 27 2" xfId="27019" xr:uid="{F3DA619D-824B-4804-A244-7522CB7F3F87}"/>
    <cellStyle name="注释 27 3" xfId="27020" xr:uid="{E54D8922-FF01-4513-A346-DDA300267384}"/>
    <cellStyle name="注释 27 4" xfId="27021" xr:uid="{B2C5C230-F398-41FF-AE93-0BCE54144DCD}"/>
    <cellStyle name="注释 27 5" xfId="27018" xr:uid="{8A719338-0300-47E2-8990-CDA5237E3035}"/>
    <cellStyle name="注释 28" xfId="5713" xr:uid="{FFE33142-7046-4C92-BD6A-AE97060F99F6}"/>
    <cellStyle name="注释 28 2" xfId="27023" xr:uid="{7006C5CB-56E7-47C6-8474-FC27FBD43931}"/>
    <cellStyle name="注释 28 3" xfId="27022" xr:uid="{16CCD9AC-FFB6-44C2-8F0C-D7CABA2909FA}"/>
    <cellStyle name="注释 29" xfId="5722" xr:uid="{9F21F48B-AB5F-4D23-BA56-4210F801ACB9}"/>
    <cellStyle name="注释 29 2" xfId="27025" xr:uid="{CE369725-F30D-4BDB-98A3-FB80FB314D10}"/>
    <cellStyle name="注释 29 3" xfId="27024" xr:uid="{6D00A8EA-4E67-4750-BDC2-F1BE8E74BA3B}"/>
    <cellStyle name="注释 3" xfId="9053" xr:uid="{D2DF6C4E-D319-4D28-B00C-E35B8123E72A}"/>
    <cellStyle name="注释 3 10" xfId="3253" xr:uid="{37695E3D-619C-44F2-B895-147CBBCB5D7B}"/>
    <cellStyle name="注释 3 10 2" xfId="9172" xr:uid="{349549BB-C82B-47F1-BAF9-61C7D366394F}"/>
    <cellStyle name="注释 3 11" xfId="3281" xr:uid="{824418B1-CBDC-4E5B-9BB2-E86FEFBD9D06}"/>
    <cellStyle name="注释 3 11 2" xfId="9173" xr:uid="{7112A275-24BA-4B78-A54A-58F998417FD5}"/>
    <cellStyle name="注释 3 12" xfId="1796" xr:uid="{E817A0F7-77EF-4CA2-A00B-1B55D8F651DC}"/>
    <cellStyle name="注释 3 12 2" xfId="9174" xr:uid="{B67A2EF0-3E48-4D31-812D-6E3F4CE034D2}"/>
    <cellStyle name="注释 3 13" xfId="3284" xr:uid="{E80BAC9D-7218-4741-839B-BAD08367CA8D}"/>
    <cellStyle name="注释 3 14" xfId="3287" xr:uid="{49722901-1FA4-424B-8F8A-F28359670107}"/>
    <cellStyle name="注释 3 14 2" xfId="9175" xr:uid="{182A9DDA-EDE1-4FC1-9188-B748C6BD929A}"/>
    <cellStyle name="注释 3 15" xfId="3290" xr:uid="{6CE1A12A-AEDF-423F-ADFF-CD51316F5E2D}"/>
    <cellStyle name="注释 3 15 2" xfId="9176" xr:uid="{B962840F-792B-485C-BDFC-23C806B476C2}"/>
    <cellStyle name="注释 3 16" xfId="3324" xr:uid="{07340BCB-44F4-40B7-91EF-970FAAA47486}"/>
    <cellStyle name="注释 3 17" xfId="11933" xr:uid="{FAF6BEAB-2DF2-4C14-BF1F-52D528B75558}"/>
    <cellStyle name="注释 3 18" xfId="13419" xr:uid="{D428B9FF-B986-4FD4-8C66-FBE52FAEBABE}"/>
    <cellStyle name="注释 3 19" xfId="27026" xr:uid="{FF32C33D-DD01-4A74-9A65-E7814C29B596}"/>
    <cellStyle name="注释 3 2" xfId="9177" xr:uid="{6E1239B7-BD1B-46C2-B045-47038C1139E2}"/>
    <cellStyle name="注释 3 2 2" xfId="9178" xr:uid="{6A7ED82A-4A12-401B-B15E-5241F4CBD4FB}"/>
    <cellStyle name="注释 3 2 2 2" xfId="27028" xr:uid="{C9CCD165-F844-446B-AB54-AC37E0BCA69A}"/>
    <cellStyle name="注释 3 2 3" xfId="11934" xr:uid="{BFEDBC0B-68A7-4313-954F-F222A938D932}"/>
    <cellStyle name="注释 3 2 4" xfId="27027" xr:uid="{61602AD9-5E89-4A30-8A6C-6A522FB4EB9F}"/>
    <cellStyle name="注释 3 2 5" xfId="27665" xr:uid="{BE6B2BD8-AC40-412C-B5A5-D987AA50548C}"/>
    <cellStyle name="注释 3 3" xfId="9179" xr:uid="{D36DA7C7-9BED-4862-BE05-741DFF886418}"/>
    <cellStyle name="注释 3 3 2" xfId="9180" xr:uid="{3F7F42A5-EE6F-43AA-AFDD-528A96C1AF9C}"/>
    <cellStyle name="注释 3 3 3" xfId="11935" xr:uid="{54549F1D-B4FD-4E9D-8482-999F7FF3B24A}"/>
    <cellStyle name="注释 3 3 4" xfId="27029" xr:uid="{C1F831E0-5FB2-4362-BCEA-BE42B86CD54F}"/>
    <cellStyle name="注释 3 3 5" xfId="27666" xr:uid="{F5B289E9-4B6F-4280-9DFE-D48288F63B88}"/>
    <cellStyle name="注释 3 4" xfId="9181" xr:uid="{6D9E7A38-BE6B-4723-A37F-A06CFE6A1E80}"/>
    <cellStyle name="注释 3 4 2" xfId="9182" xr:uid="{AF1507B9-A7E6-4BCF-A7F3-BCD1A66FCE5A}"/>
    <cellStyle name="注释 3 4 3" xfId="27030" xr:uid="{7818D96B-E2A8-4CB6-952C-1C8FC2612D66}"/>
    <cellStyle name="注释 3 5" xfId="9183" xr:uid="{E9069361-DAC8-4B60-BA78-960C14D54625}"/>
    <cellStyle name="注释 3 5 2" xfId="9184" xr:uid="{259A9EE0-855E-4320-A38B-FABF79C4E9C0}"/>
    <cellStyle name="注释 3 5 3" xfId="27031" xr:uid="{056D8525-B97F-4946-B409-02158E68485D}"/>
    <cellStyle name="注释 3 6" xfId="9185" xr:uid="{CC8B3C34-4223-4213-9912-A90A9401FFFA}"/>
    <cellStyle name="注释 3 6 2" xfId="9186" xr:uid="{1D93B00C-3292-494E-853F-6EFB1817962D}"/>
    <cellStyle name="注释 3 6 3" xfId="27032" xr:uid="{53BB12BD-7DBB-4C78-9DFB-FEF3A5B83BD2}"/>
    <cellStyle name="注释 3 7" xfId="6630" xr:uid="{FCB2D1FB-8839-4B49-96F0-174C81CFDA1A}"/>
    <cellStyle name="注释 3 7 2" xfId="9187" xr:uid="{EA034EAF-9DBF-4CEC-844E-85E80A23C15C}"/>
    <cellStyle name="注释 3 8" xfId="9188" xr:uid="{3C3F0B15-B26D-4A8A-AF3F-40CF1CE5C5FF}"/>
    <cellStyle name="注释 3 8 2" xfId="9189" xr:uid="{F253F9F3-3A5F-4A64-AB9F-EDC6920B72BF}"/>
    <cellStyle name="注释 3 9" xfId="9190" xr:uid="{1A25F074-924A-402F-B837-A5671814758B}"/>
    <cellStyle name="注释 3 9 2" xfId="9191" xr:uid="{5B481F1B-041E-428A-853D-E0952FB99E68}"/>
    <cellStyle name="注释 3_动力部" xfId="27033" xr:uid="{450D49D7-C60D-4F23-98A7-47220D01DB88}"/>
    <cellStyle name="注释 30" xfId="9169" xr:uid="{479B2401-11AF-4B6D-8712-91C6C2492FD0}"/>
    <cellStyle name="注释 30 2" xfId="27035" xr:uid="{A5885165-A9F7-4DAC-93CC-316710927384}"/>
    <cellStyle name="注释 30 3" xfId="27034" xr:uid="{3CFB9D0B-80E6-4F8D-81DF-B811A41F6CC1}"/>
    <cellStyle name="注释 31" xfId="9171" xr:uid="{AB0F0F66-85A0-4CAB-9EB6-E69647572D3F}"/>
    <cellStyle name="注释 31 2" xfId="27037" xr:uid="{F0D420DB-4A17-4FC6-8505-2B4DB51E7FC7}"/>
    <cellStyle name="注释 31 3" xfId="27036" xr:uid="{88CB88DB-5164-4D2B-B131-44F736A29134}"/>
    <cellStyle name="注释 32" xfId="5698" xr:uid="{762B6530-40FA-41BD-9B37-608ACA2DF5F5}"/>
    <cellStyle name="注释 32 2" xfId="27039" xr:uid="{5AE70C02-4EAA-4831-866E-AF4281C4CA2E}"/>
    <cellStyle name="注释 32 3" xfId="27038" xr:uid="{D6D32D1F-E993-46B9-B67A-9168853C5909}"/>
    <cellStyle name="注释 33" xfId="5714" xr:uid="{207F531C-089C-4E2C-A663-2768B5E1D255}"/>
    <cellStyle name="注释 33 2" xfId="27041" xr:uid="{0877BF75-07D2-46DD-9E0F-7791A5ABA8EB}"/>
    <cellStyle name="注释 33 3" xfId="27040" xr:uid="{2A4D6EC6-E5AD-49FA-8702-4C4CEC8725DE}"/>
    <cellStyle name="注释 34" xfId="5723" xr:uid="{F00F9AF4-8046-41EB-B3E3-7A88A6CD550A}"/>
    <cellStyle name="注释 34 2" xfId="14237" xr:uid="{B7901DC5-494C-46FA-8DFC-996F372C8966}"/>
    <cellStyle name="注释 34 2 2" xfId="27043" xr:uid="{5BDF0058-E1BB-43DC-A299-22F826CA231E}"/>
    <cellStyle name="注释 34 3" xfId="27044" xr:uid="{AD85BBEF-7BCF-4350-A9F3-8D589EE3D83D}"/>
    <cellStyle name="注释 34 4" xfId="27042" xr:uid="{07C66477-FB0F-4FB9-8F36-E8A3CBD8E29D}"/>
    <cellStyle name="注释 35" xfId="5728" xr:uid="{65C72168-5EE1-475E-A1C0-3125B9F993B0}"/>
    <cellStyle name="注释 35 2" xfId="14238" xr:uid="{3C3D6236-F148-444D-95FD-F91E5E0D8F8A}"/>
    <cellStyle name="注释 35 2 2" xfId="27046" xr:uid="{50F0BC64-8773-4AAC-A084-D32B256C6D88}"/>
    <cellStyle name="注释 35 3" xfId="27045" xr:uid="{F720649A-3799-4B74-8C93-B8FD7790A544}"/>
    <cellStyle name="注释 36" xfId="1464" xr:uid="{7977BC47-9198-4C39-8D08-6A6B9CDB07AE}"/>
    <cellStyle name="注释 36 2" xfId="14239" xr:uid="{A4243FC3-C84C-43F8-A6E9-C4816C0E3162}"/>
    <cellStyle name="注释 36 2 2" xfId="27048" xr:uid="{402BA9CF-9423-465B-B678-4F98C6A4EADE}"/>
    <cellStyle name="注释 36 3" xfId="27047" xr:uid="{099B6119-E770-4546-878A-8B721A7687F6}"/>
    <cellStyle name="注释 37" xfId="4214" xr:uid="{6B4D9EA1-3604-4EBF-A2D4-A22F60D0B51D}"/>
    <cellStyle name="注释 37 2" xfId="14240" xr:uid="{54ECF162-C7AB-496E-8D33-1404FE7CCE8F}"/>
    <cellStyle name="注释 37 2 2" xfId="27050" xr:uid="{6F7FC554-E7E9-449C-968E-09AB770775C7}"/>
    <cellStyle name="注释 37 3" xfId="27049" xr:uid="{E8EF0C19-8B1D-432F-87E5-5DDF0C0EA19D}"/>
    <cellStyle name="注释 38" xfId="4218" xr:uid="{4FA301BB-5562-4656-9243-EAA722ED6933}"/>
    <cellStyle name="注释 38 2" xfId="14241" xr:uid="{4D8E50C8-A0A4-43EC-8344-9A920D909124}"/>
    <cellStyle name="注释 38 2 2" xfId="27052" xr:uid="{1D26DAD6-FADC-4F44-BE20-C9F364541B65}"/>
    <cellStyle name="注释 38 3" xfId="27051" xr:uid="{B113C766-33B1-437A-92E6-EB9AC6689B83}"/>
    <cellStyle name="注释 39" xfId="4222" xr:uid="{90ED1040-D0B7-41A1-9525-D5325B034F32}"/>
    <cellStyle name="注释 39 2" xfId="14242" xr:uid="{4681EA63-33EA-457C-B398-9323762ED1BC}"/>
    <cellStyle name="注释 39 2 2" xfId="27054" xr:uid="{26E30CB3-9F17-43D7-A79A-EEEE6C15ED57}"/>
    <cellStyle name="注释 39 3" xfId="27053" xr:uid="{656250AA-5B36-4EF7-9FD4-8BFB2F6103A8}"/>
    <cellStyle name="注释 4" xfId="2179" xr:uid="{2B3BA064-AC3B-4FD8-86BB-F9CE70F3FEC4}"/>
    <cellStyle name="注释 4 10" xfId="3582" xr:uid="{353746C9-E15B-4386-BF06-870FDE2E89FF}"/>
    <cellStyle name="注释 4 10 2" xfId="9192" xr:uid="{578528E8-2250-48B2-8DD8-B23C0424808D}"/>
    <cellStyle name="注释 4 11" xfId="1042" xr:uid="{20EB88FA-28EB-4B30-9CF4-BBCD0C8A3764}"/>
    <cellStyle name="注释 4 11 2" xfId="9193" xr:uid="{45A069C5-ABC4-4966-9B65-D6820216BE84}"/>
    <cellStyle name="注释 4 12" xfId="3606" xr:uid="{79C940F8-96F9-4CF6-818C-5E783465CC37}"/>
    <cellStyle name="注释 4 12 2" xfId="9194" xr:uid="{568C8EE0-776B-4880-B8B8-38EE455A7BF4}"/>
    <cellStyle name="注释 4 13" xfId="3609" xr:uid="{522EAD0C-D865-4E24-B51B-B7A191EA481E}"/>
    <cellStyle name="注释 4 13 2" xfId="9195" xr:uid="{E5C6B14F-044A-4D93-A3B6-EE7F8A79752D}"/>
    <cellStyle name="注释 4 14" xfId="11936" xr:uid="{434E0D7B-5102-4C33-9BB1-759F34D60137}"/>
    <cellStyle name="注释 4 15" xfId="13422" xr:uid="{ADCF0527-2B0B-4807-9B00-918F154B42CB}"/>
    <cellStyle name="注释 4 16" xfId="27055" xr:uid="{67F426F9-55A3-43A9-B4E5-0590057DF8A6}"/>
    <cellStyle name="注释 4 2" xfId="9014" xr:uid="{F2FF1B26-C214-4EEF-B7F8-0385E5509D21}"/>
    <cellStyle name="注释 4 2 2" xfId="9196" xr:uid="{281E0F29-BB3C-4E24-AF13-31C22E8D1740}"/>
    <cellStyle name="注释 4 2 2 2" xfId="9197" xr:uid="{21B0345D-07F4-4797-B3A0-381469B9809D}"/>
    <cellStyle name="注释 4 2 2 3" xfId="9198" xr:uid="{5560A82C-DB00-401D-8DAD-04F9E8468EA1}"/>
    <cellStyle name="注释 4 2 2 4" xfId="9199" xr:uid="{61F153F5-D42A-45CB-ACDE-B3584BF1D4FC}"/>
    <cellStyle name="注释 4 2 3" xfId="2118" xr:uid="{6911A13D-4D0B-4CE1-8B5C-D909B9F29DA9}"/>
    <cellStyle name="注释 4 2 4" xfId="9200" xr:uid="{110E155E-B27C-490A-A36C-3C89685DD4DF}"/>
    <cellStyle name="注释 4 2 5" xfId="3117" xr:uid="{C2683F66-A049-480C-B209-064A031BD139}"/>
    <cellStyle name="注释 4 2 6" xfId="11937" xr:uid="{3FB1BB58-DF9B-4957-B71D-5596CB64F4DB}"/>
    <cellStyle name="注释 4 2 7" xfId="27056" xr:uid="{8BF952C7-0C7B-4185-BBD2-2D925A1C9552}"/>
    <cellStyle name="注释 4 3" xfId="9016" xr:uid="{AA5D3583-F06C-4C83-8209-E1FC42C8B4D3}"/>
    <cellStyle name="注释 4 3 2" xfId="9201" xr:uid="{65C7112E-781D-4A25-BB1F-57FDF880BA9F}"/>
    <cellStyle name="注释 4 3 2 2" xfId="2607" xr:uid="{9C14698A-DAA9-4EA8-9DB8-00186FCCC7A5}"/>
    <cellStyle name="注释 4 3 2 3" xfId="2610" xr:uid="{09F8BF0C-66FF-40C6-9D1B-ACE40AF5B10E}"/>
    <cellStyle name="注释 4 3 2 4" xfId="2340" xr:uid="{E6C06E57-2E15-4FD2-975C-F06BFA3476F6}"/>
    <cellStyle name="注释 4 3 3" xfId="2121" xr:uid="{E69C4484-D13E-413E-BAE3-7BCF0314489B}"/>
    <cellStyle name="注释 4 3 4" xfId="9202" xr:uid="{CC6994A5-9570-4DDC-BDF1-313C601DD7EE}"/>
    <cellStyle name="注释 4 3 5" xfId="3121" xr:uid="{1C0A2C93-FA4E-48C2-B902-34416D96EB86}"/>
    <cellStyle name="注释 4 3 6" xfId="11938" xr:uid="{9B87AD5B-57D1-4C2C-90FE-65DFF9088512}"/>
    <cellStyle name="注释 4 3 7" xfId="27057" xr:uid="{EE0CCE43-61F8-448D-85A7-607C625D099F}"/>
    <cellStyle name="注释 4 4" xfId="9018" xr:uid="{8BB39BE6-1D6C-4549-8CAA-C963F108F45A}"/>
    <cellStyle name="注释 4 4 2" xfId="9203" xr:uid="{ABBB98BD-4548-4E7D-938C-34E718B58945}"/>
    <cellStyle name="注释 4 4 2 2" xfId="7084" xr:uid="{357AC01C-849E-45FB-BD51-60996108FEB5}"/>
    <cellStyle name="注释 4 4 2 3" xfId="7086" xr:uid="{FE90CB7C-C10C-484F-B733-B7AEBF14C96D}"/>
    <cellStyle name="注释 4 4 2 4" xfId="7089" xr:uid="{EB9F3C82-2F46-4F4E-9118-036A226BBFB7}"/>
    <cellStyle name="注释 4 4 3" xfId="2211" xr:uid="{0DFE118F-DB57-4F01-AFFE-295312D95C50}"/>
    <cellStyle name="注释 4 4 4" xfId="2217" xr:uid="{C1EDDCCE-B48F-4DE7-A550-FDCEE6E38708}"/>
    <cellStyle name="注释 4 4 5" xfId="2221" xr:uid="{B5E502EB-C5DE-4AD4-9743-3C85207C6B94}"/>
    <cellStyle name="注释 4 4 6" xfId="27058" xr:uid="{55F5FC72-694E-491E-BDA0-5CF9916F4CBB}"/>
    <cellStyle name="注释 4 5" xfId="9204" xr:uid="{46447627-246E-41CA-B1DB-8A48B0A8D086}"/>
    <cellStyle name="注释 4 5 2" xfId="9205" xr:uid="{2380A7CC-7B67-4AD1-A6CB-424ABACB651F}"/>
    <cellStyle name="注释 4 5 3" xfId="5834" xr:uid="{21EBC746-F668-404B-904F-7535593240E0}"/>
    <cellStyle name="注释 4 5 4" xfId="9206" xr:uid="{A510D970-6DB5-4C29-9493-3D931AED32D3}"/>
    <cellStyle name="注释 4 5 5" xfId="27059" xr:uid="{4B4931A6-6F9A-4076-BF71-95DA8C767CBC}"/>
    <cellStyle name="注释 4 6" xfId="9207" xr:uid="{B3A9D6A9-19C8-4E28-AB00-F5FC4374C04F}"/>
    <cellStyle name="注释 4 7" xfId="9208" xr:uid="{4406ACC5-A4C5-40F9-BD5A-134BBD819034}"/>
    <cellStyle name="注释 4 8" xfId="9209" xr:uid="{EC1F275A-2D22-4222-BD32-4C46168DD19B}"/>
    <cellStyle name="注释 4 9" xfId="9210" xr:uid="{7D4DD572-A677-4734-8106-02C8BD8707D2}"/>
    <cellStyle name="注释 4 9 2" xfId="5795" xr:uid="{CBD800D3-0D40-4990-86D9-0811D2EAB125}"/>
    <cellStyle name="注释 4_动力部" xfId="27060" xr:uid="{791B4D82-0204-4D23-B462-3651F04BA491}"/>
    <cellStyle name="注释 40" xfId="5729" xr:uid="{2EEF3708-18BB-422C-A107-CF5F822CAD09}"/>
    <cellStyle name="注释 40 2" xfId="14243" xr:uid="{9CD4EF29-FD8B-4775-A8EB-504A0778C517}"/>
    <cellStyle name="注释 40 2 2" xfId="27062" xr:uid="{0F33AC31-9DA2-430B-ACE9-C7A6E264E818}"/>
    <cellStyle name="注释 40 3" xfId="27061" xr:uid="{91A434B9-7843-4F26-99C0-8088623E952D}"/>
    <cellStyle name="注释 41" xfId="1463" xr:uid="{8EDFB630-212B-4F08-A7C0-58F249BB89D2}"/>
    <cellStyle name="注释 41 2" xfId="14244" xr:uid="{81745A03-747D-4AC2-9322-E43D7A73921E}"/>
    <cellStyle name="注释 41 2 2" xfId="27064" xr:uid="{9FC5D1A7-FF12-45F4-A9A3-D7B9BDC224B6}"/>
    <cellStyle name="注释 41 3" xfId="27063" xr:uid="{B7376A5E-1A4C-456C-A346-1DDAD0C4F24D}"/>
    <cellStyle name="注释 42" xfId="4215" xr:uid="{6F165E4C-47E0-4716-8070-770B97A6FC01}"/>
    <cellStyle name="注释 42 2" xfId="14245" xr:uid="{5988644A-7849-4F54-AC1B-CE5DD8D8A716}"/>
    <cellStyle name="注释 42 2 2" xfId="27066" xr:uid="{172B19EE-ECEA-4B77-A5E6-D27AF7BAB744}"/>
    <cellStyle name="注释 42 3" xfId="27065" xr:uid="{60CFFB72-2DE5-431E-9D15-A940028C61AC}"/>
    <cellStyle name="注释 43" xfId="4219" xr:uid="{C80FBAA6-63BB-4BFF-837C-5101BCD57F04}"/>
    <cellStyle name="注释 43 2" xfId="14246" xr:uid="{0549C3BF-F6DC-4F06-8537-9E953CD93B2C}"/>
    <cellStyle name="注释 43 2 2" xfId="27068" xr:uid="{D1957CB7-9BA0-4105-BACE-FB2AC09EE822}"/>
    <cellStyle name="注释 43 3" xfId="27067" xr:uid="{C195B137-2019-4748-89E1-9FC92319D15F}"/>
    <cellStyle name="注释 44" xfId="4223" xr:uid="{17AB1BF1-13E3-4478-90BA-EEDC437A26D7}"/>
    <cellStyle name="注释 44 2" xfId="14247" xr:uid="{D7B0A5E9-370F-48FE-90E8-6C2B6FA839D3}"/>
    <cellStyle name="注释 44 2 2" xfId="27070" xr:uid="{7CE08EF8-EAAB-4F7F-BAF0-CFF418B8A2AB}"/>
    <cellStyle name="注释 44 3" xfId="27069" xr:uid="{CBF17EDB-F06B-4E36-8BDC-886D08105EFA}"/>
    <cellStyle name="注释 45" xfId="4226" xr:uid="{8839B5EA-56B5-4782-9A02-A171C9FFBD4E}"/>
    <cellStyle name="注释 45 2" xfId="14248" xr:uid="{E01BF5DC-4147-41AB-A09E-677CBFBA0D1C}"/>
    <cellStyle name="注释 45 2 2" xfId="27072" xr:uid="{B8CDD689-E0EB-4D91-BC47-18A2106912B6}"/>
    <cellStyle name="注释 45 3" xfId="27071" xr:uid="{BA9F17E2-1090-4079-9520-1DCE23C2AFFC}"/>
    <cellStyle name="注释 46" xfId="4230" xr:uid="{796BE2D2-3BB7-4092-989F-465C1D760AD6}"/>
    <cellStyle name="注释 46 2" xfId="14249" xr:uid="{4D1DE679-3074-43D0-9A93-80E086224A8B}"/>
    <cellStyle name="注释 46 2 2" xfId="27074" xr:uid="{71F80776-CAFB-4E82-A73A-93A495E3A334}"/>
    <cellStyle name="注释 46 3" xfId="27073" xr:uid="{B9F300CE-EEA4-473E-8F1C-C9AEEF3E3784}"/>
    <cellStyle name="注释 47" xfId="9211" xr:uid="{769A1296-0723-4ABC-A0A2-ABBB11628F6E}"/>
    <cellStyle name="注释 47 2" xfId="14250" xr:uid="{25EBB358-DF37-4D3D-ACF1-EF135925E279}"/>
    <cellStyle name="注释 47 3" xfId="27075" xr:uid="{6474814C-7C94-4F84-920D-648997FC39C2}"/>
    <cellStyle name="注释 48" xfId="9213" xr:uid="{68B150EA-43C0-46F8-93AC-169D655B8E35}"/>
    <cellStyle name="注释 48 2" xfId="14251" xr:uid="{3C38D88E-1860-43A3-B0DD-043741C365CF}"/>
    <cellStyle name="注释 48 3" xfId="27076" xr:uid="{4AFE0257-40AD-4E7B-8BA8-6330A6124B20}"/>
    <cellStyle name="注释 49" xfId="9215" xr:uid="{825937E6-A6BD-4EED-A0EF-81A28347E3CA}"/>
    <cellStyle name="注释 49 2" xfId="14252" xr:uid="{D224D5AC-61F7-448B-B138-38A8829EE505}"/>
    <cellStyle name="注释 49 3" xfId="27077" xr:uid="{7AF3A7BE-3DDF-45B9-8876-E4677A39D2A5}"/>
    <cellStyle name="注释 5" xfId="9020" xr:uid="{602509F5-69AB-40E2-B211-EF61D07EA740}"/>
    <cellStyle name="注释 5 10" xfId="9217" xr:uid="{E1A674DB-F59F-4D68-B6C8-16965945E338}"/>
    <cellStyle name="注释 5 10 2" xfId="9218" xr:uid="{D65810AE-C2A2-4AD3-BEC4-6F6F0F71B060}"/>
    <cellStyle name="注释 5 10 3" xfId="27079" xr:uid="{AFCE2D3F-84C6-42F9-9983-6952AA598264}"/>
    <cellStyle name="注释 5 11" xfId="9219" xr:uid="{AAB1B120-364D-4D05-AD19-F282F1F2E60E}"/>
    <cellStyle name="注释 5 11 2" xfId="9220" xr:uid="{3B087311-2264-483E-B5B8-6B6B0BBF516A}"/>
    <cellStyle name="注释 5 11 3" xfId="27080" xr:uid="{23846196-8C80-40E9-99E2-F95994077354}"/>
    <cellStyle name="注释 5 12" xfId="9221" xr:uid="{F8B189F6-1B6A-485A-A81B-DD9F3096ED05}"/>
    <cellStyle name="注释 5 12 2" xfId="9222" xr:uid="{B94EC521-B6D4-481F-A7D4-5BAA25EF77D0}"/>
    <cellStyle name="注释 5 12 3" xfId="27081" xr:uid="{5BB0C83C-CD74-4FA5-9E92-F784B3E30025}"/>
    <cellStyle name="注释 5 13" xfId="9223" xr:uid="{091EA8B2-1A46-4C94-81EC-5EE06836E524}"/>
    <cellStyle name="注释 5 13 2" xfId="9224" xr:uid="{98D54A07-65FA-4201-A3D8-ECD22DE57EE0}"/>
    <cellStyle name="注释 5 13 3" xfId="27082" xr:uid="{6B189DAC-966B-4E13-A274-0106A68CEE1F}"/>
    <cellStyle name="注释 5 14" xfId="11939" xr:uid="{26056C27-74C1-425A-AB3F-2AF46C111DB4}"/>
    <cellStyle name="注释 5 14 2" xfId="27083" xr:uid="{8387078D-1C2C-4400-9184-36F70B24F72D}"/>
    <cellStyle name="注释 5 15" xfId="13413" xr:uid="{76D0728E-A2CB-4A87-95B2-D863B4A76060}"/>
    <cellStyle name="注释 5 16" xfId="27084" xr:uid="{F2A54E15-DEEC-4584-B388-8ABD1178E23D}"/>
    <cellStyle name="注释 5 17" xfId="27078" xr:uid="{E5FC362F-6062-4A6E-9C18-DC761FB3C3E0}"/>
    <cellStyle name="注释 5 2" xfId="9225" xr:uid="{F75A0530-14BA-4DAF-8CEC-18FF76BD0E23}"/>
    <cellStyle name="注释 5 2 2" xfId="9226" xr:uid="{4BB986B1-A518-4A5D-900C-F00D194881FD}"/>
    <cellStyle name="注释 5 2 2 2" xfId="6373" xr:uid="{40A5EC6E-75E2-4093-B7D0-2B0A4115E07C}"/>
    <cellStyle name="注释 5 2 2 3" xfId="6375" xr:uid="{013AA41F-BA7C-4F6A-9A0C-8AA63230CBF5}"/>
    <cellStyle name="注释 5 2 2 4" xfId="9227" xr:uid="{EE463C13-E78A-4582-BF06-4C81ACFE189D}"/>
    <cellStyle name="注释 5 2 3" xfId="714" xr:uid="{65F79DB9-AA20-4074-AF9C-D0441641CC8D}"/>
    <cellStyle name="注释 5 2 4" xfId="4998" xr:uid="{E1835A5E-0859-4FC8-9922-BBD1D6E14783}"/>
    <cellStyle name="注释 5 2 5" xfId="725" xr:uid="{6D0A8DF0-B7E6-4C26-B107-4185CD7CDFE1}"/>
    <cellStyle name="注释 5 2 6" xfId="11940" xr:uid="{7FD33177-69C3-459B-BE3D-089F6CE08AA4}"/>
    <cellStyle name="注释 5 2 7" xfId="27085" xr:uid="{4BFAC437-3A11-4721-8632-BE52D76412B3}"/>
    <cellStyle name="注释 5 3" xfId="9228" xr:uid="{CA0DA951-44BE-4DEA-A260-7D9C0C2A89E5}"/>
    <cellStyle name="注释 5 3 2" xfId="5059" xr:uid="{1D66845E-6751-4A49-8D8C-8E18EC2146D5}"/>
    <cellStyle name="注释 5 3 2 2" xfId="9229" xr:uid="{0436866E-97B8-488B-9693-96AB1453E027}"/>
    <cellStyle name="注释 5 3 2 3" xfId="9230" xr:uid="{00BC3008-034A-4DBA-B184-04BBBDD54E85}"/>
    <cellStyle name="注释 5 3 2 4" xfId="9231" xr:uid="{31F8E93B-7A1D-4AFD-B4F1-53A2DF80144C}"/>
    <cellStyle name="注释 5 3 3" xfId="5062" xr:uid="{91E6FB7A-AD67-42DC-AFC3-EFD493220E02}"/>
    <cellStyle name="注释 5 3 4" xfId="5067" xr:uid="{27EB210E-B054-4583-BE08-998C3095CDCD}"/>
    <cellStyle name="注释 5 3 5" xfId="5070" xr:uid="{F5D85B39-8192-48AA-AC1A-695526612D30}"/>
    <cellStyle name="注释 5 3 6" xfId="11941" xr:uid="{45129FFB-F0E3-4C12-BA23-9FD521E3473D}"/>
    <cellStyle name="注释 5 3 7" xfId="27086" xr:uid="{03C9EF6F-EDDF-4345-B524-1DA5608E370A}"/>
    <cellStyle name="注释 5 4" xfId="9232" xr:uid="{B92B102F-7FC5-4143-9FC2-0AD0C5AE5A13}"/>
    <cellStyle name="注释 5 4 2" xfId="9233" xr:uid="{39809DD7-7B2B-454D-8124-C946DCC13F48}"/>
    <cellStyle name="注释 5 4 2 2" xfId="9234" xr:uid="{BB5E57CB-2F76-4D14-9D94-88131AD3258A}"/>
    <cellStyle name="注释 5 4 2 3" xfId="9235" xr:uid="{C207CE05-B679-45EA-B878-18331853E114}"/>
    <cellStyle name="注释 5 4 2 4" xfId="9236" xr:uid="{E2D56EEF-F44C-459E-865B-9E222590D8F8}"/>
    <cellStyle name="注释 5 4 3" xfId="9237" xr:uid="{87FD2EA8-F376-4A41-8556-E9B732BDE031}"/>
    <cellStyle name="注释 5 4 4" xfId="9238" xr:uid="{EA01325A-27EB-41A8-A01C-B4A659676919}"/>
    <cellStyle name="注释 5 4 5" xfId="9239" xr:uid="{3C2E4AE4-FE54-425C-A8FF-929DF41B98EB}"/>
    <cellStyle name="注释 5 4 6" xfId="27087" xr:uid="{131F3829-F575-45D4-A3E7-BEFB7F941942}"/>
    <cellStyle name="注释 5 5" xfId="9240" xr:uid="{97885C34-6B89-490F-84BB-F25C75F5AD75}"/>
    <cellStyle name="注释 5 5 2" xfId="9241" xr:uid="{9BD9A485-0942-4A59-8AD0-DEBA6A19B9B7}"/>
    <cellStyle name="注释 5 5 3" xfId="9242" xr:uid="{6FED4B9A-0B49-402D-8B40-131340A021D5}"/>
    <cellStyle name="注释 5 5 4" xfId="9243" xr:uid="{07E5E9EA-E413-451D-8571-0D29174CE3B8}"/>
    <cellStyle name="注释 5 5 5" xfId="27088" xr:uid="{2C358F31-39F0-4465-92CD-14D7E3F1A3DE}"/>
    <cellStyle name="注释 5 6" xfId="9244" xr:uid="{D0EB3210-63FD-4545-A1AE-E079EB4D2CB7}"/>
    <cellStyle name="注释 5 6 2" xfId="27089" xr:uid="{2AC4F053-328E-400E-B263-D076E06C7A75}"/>
    <cellStyle name="注释 5 7" xfId="9245" xr:uid="{CD656EDC-26B3-47C4-A8AC-A65DADEC8B64}"/>
    <cellStyle name="注释 5 7 2" xfId="27090" xr:uid="{39C3D13F-FF88-4E60-AC48-89D1FC2A13D2}"/>
    <cellStyle name="注释 5 8" xfId="9246" xr:uid="{3D5D8B39-309B-49CD-A48B-5362012CB48C}"/>
    <cellStyle name="注释 5 8 2" xfId="27091" xr:uid="{38FAE208-AAB2-497F-B393-5D194D68F7EE}"/>
    <cellStyle name="注释 5 9" xfId="9247" xr:uid="{F6BEC6A2-BB1C-4955-8C42-8A53C5B103EA}"/>
    <cellStyle name="注释 5 9 2" xfId="9248" xr:uid="{8F7E1B03-6DF5-4E5B-9C18-20C7EA0F252B}"/>
    <cellStyle name="注释 5 9 3" xfId="27092" xr:uid="{4AA4C5E7-3177-441C-AA98-1C3E0C1CAD10}"/>
    <cellStyle name="注释 50" xfId="4227" xr:uid="{081EE570-34E0-49A9-9DD8-5F16D530B079}"/>
    <cellStyle name="注释 50 2" xfId="14253" xr:uid="{1A3A1FF7-7234-418D-B5DA-AA12AA061233}"/>
    <cellStyle name="注释 50 3" xfId="27093" xr:uid="{C0DD96CE-5877-4CB5-8798-834F9DA3F8D8}"/>
    <cellStyle name="注释 51" xfId="4231" xr:uid="{004557AE-8A09-48FD-A3D7-EF5A3B8CA21E}"/>
    <cellStyle name="注释 51 2" xfId="14254" xr:uid="{B2453D1A-5D79-4CAA-8A8A-55E6F04BE315}"/>
    <cellStyle name="注释 51 3" xfId="27094" xr:uid="{C21AE87D-7948-4E52-A920-1F7E1A1F7230}"/>
    <cellStyle name="注释 52" xfId="9212" xr:uid="{84D7C333-3211-437C-AFC8-35B32752F213}"/>
    <cellStyle name="注释 52 2" xfId="14255" xr:uid="{175FCD54-180A-42D6-9E0A-D51852D90265}"/>
    <cellStyle name="注释 52 3" xfId="27095" xr:uid="{6A81309A-DEC8-4117-87DC-B8A57334DC12}"/>
    <cellStyle name="注释 53" xfId="9214" xr:uid="{401AC36E-B605-48C1-B8F2-828CDD557423}"/>
    <cellStyle name="注释 53 2" xfId="14256" xr:uid="{B12CBC9B-BDF1-4C8D-8055-68C027409880}"/>
    <cellStyle name="注释 53 3" xfId="27096" xr:uid="{24A6D7A8-1657-4C1C-A40A-7D86D6D8D732}"/>
    <cellStyle name="注释 54" xfId="9216" xr:uid="{A4E7C99E-2A9E-4645-8AE2-6E25FE650AFF}"/>
    <cellStyle name="注释 54 2" xfId="14257" xr:uid="{B872F917-012A-44FD-B326-3FB3D2D23D77}"/>
    <cellStyle name="注释 54 3" xfId="27097" xr:uid="{A55A2E55-5C5F-4AF4-B59C-CC80A66B4640}"/>
    <cellStyle name="注释 55" xfId="9249" xr:uid="{20382737-648C-4C3A-AA73-2ABD37E05305}"/>
    <cellStyle name="注释 55 2" xfId="14258" xr:uid="{6B6397DA-107D-46B3-BA6B-8A8E9393D3A3}"/>
    <cellStyle name="注释 55 3" xfId="27098" xr:uid="{1289B1B7-F43B-49C6-A143-B1F21308200D}"/>
    <cellStyle name="注释 56" xfId="9251" xr:uid="{F8E13FC4-6EB6-404A-8BA0-249D4EE82DFD}"/>
    <cellStyle name="注释 56 2" xfId="14259" xr:uid="{BDBE14AD-2B38-436A-B5D8-4C7DDC001D14}"/>
    <cellStyle name="注释 56 3" xfId="27099" xr:uid="{B89E5049-0DE4-4ED2-8078-9BE0772333E9}"/>
    <cellStyle name="注释 57" xfId="9253" xr:uid="{A8CE7E2D-C9AC-4FC7-96BE-CF01DD415791}"/>
    <cellStyle name="注释 57 2" xfId="14260" xr:uid="{61F829C5-B242-4E81-8368-60C6158A0274}"/>
    <cellStyle name="注释 58" xfId="9255" xr:uid="{D4DB5AC7-FB67-4ACC-B4A2-E9A4CEE05E59}"/>
    <cellStyle name="注释 58 2" xfId="14261" xr:uid="{87BC1320-8521-4815-AC73-90FD5F4205C8}"/>
    <cellStyle name="注释 59" xfId="9257" xr:uid="{46B2A613-221A-4DAF-9F71-5806661A0ED6}"/>
    <cellStyle name="注释 59 2" xfId="14262" xr:uid="{7283E910-5DFF-47F8-BD1F-900566B7DBD7}"/>
    <cellStyle name="注释 6" xfId="9022" xr:uid="{BBD7F404-453E-48F5-82C2-D95E0A04CCF0}"/>
    <cellStyle name="注释 6 10" xfId="13380" xr:uid="{6FB16494-2231-4858-A039-45A6805AE701}"/>
    <cellStyle name="注释 6 11" xfId="27101" xr:uid="{20412F6F-0043-48E6-8DEF-B8B9CD81EBC3}"/>
    <cellStyle name="注释 6 12" xfId="27102" xr:uid="{4194DA46-D9BC-4D56-9F58-30F96659A1A1}"/>
    <cellStyle name="注释 6 13" xfId="27103" xr:uid="{9798697B-0A79-4944-A318-758912161544}"/>
    <cellStyle name="注释 6 14" xfId="27104" xr:uid="{173D7BFE-950B-4032-AB87-8C0957B94DE2}"/>
    <cellStyle name="注释 6 15" xfId="27105" xr:uid="{BCA6CCA9-190B-4BCB-8678-6CACBF95284F}"/>
    <cellStyle name="注释 6 16" xfId="27106" xr:uid="{648956CA-863E-4357-9F53-034EC4B45662}"/>
    <cellStyle name="注释 6 17" xfId="27100" xr:uid="{409BC76C-E3CA-4B27-BE27-CB65B27E43F4}"/>
    <cellStyle name="注释 6 2" xfId="9259" xr:uid="{5A339837-5EFE-49A0-8540-502F49892231}"/>
    <cellStyle name="注释 6 2 2" xfId="9260" xr:uid="{90E5BDB3-256F-4D55-82C6-2DE15CDDE35A}"/>
    <cellStyle name="注释 6 2 3" xfId="11943" xr:uid="{8EC3F4A7-739F-4556-961E-1513C9C9FF1B}"/>
    <cellStyle name="注释 6 2 4" xfId="27107" xr:uid="{6FB0BA44-0A90-4525-B1A6-E6DD7934A296}"/>
    <cellStyle name="注释 6 3" xfId="9261" xr:uid="{18D65C1D-29BA-4A55-8099-8704391CCD1C}"/>
    <cellStyle name="注释 6 3 2" xfId="4614" xr:uid="{E5BE15F0-E31A-45C7-9518-68C2968B295D}"/>
    <cellStyle name="注释 6 3 3" xfId="11944" xr:uid="{C4B31735-D8B9-4FA9-9027-9F6656C95455}"/>
    <cellStyle name="注释 6 3 4" xfId="27108" xr:uid="{4025EBB0-2795-4E68-B1B2-5C7606E759F4}"/>
    <cellStyle name="注释 6 4" xfId="9262" xr:uid="{36D2F4EC-3935-4AA2-B4D1-F485161CAEF1}"/>
    <cellStyle name="注释 6 4 2" xfId="9263" xr:uid="{4B52FC09-0DD8-4265-BD26-F6E58A574162}"/>
    <cellStyle name="注释 6 4 3" xfId="27109" xr:uid="{7B24E304-C7D5-4772-AFB8-F0D9BBC5EAD0}"/>
    <cellStyle name="注释 6 5" xfId="9264" xr:uid="{4BFB2AD0-EDCF-4763-859E-75264C81CDF4}"/>
    <cellStyle name="注释 6 5 2" xfId="27110" xr:uid="{2E49FAB7-2B35-4313-ADCB-E4F1C5360576}"/>
    <cellStyle name="注释 6 6" xfId="9265" xr:uid="{DBB8724C-FEF3-4996-A45D-05585289FC0E}"/>
    <cellStyle name="注释 6 6 2" xfId="9266" xr:uid="{DDE6CF50-E4A6-44A3-AFAB-C5DE77DD4877}"/>
    <cellStyle name="注释 6 6 3" xfId="27111" xr:uid="{E9B5784E-8E6A-456A-9C88-7B7DA7EF50FD}"/>
    <cellStyle name="注释 6 7" xfId="9267" xr:uid="{61D0845D-1615-48D5-907F-4B3E6F55A0F5}"/>
    <cellStyle name="注释 6 7 2" xfId="9268" xr:uid="{679B296C-2710-46F9-83E2-0048B3962554}"/>
    <cellStyle name="注释 6 7 3" xfId="27112" xr:uid="{990DE57A-39DE-41EE-9EBA-52A61C0DEC20}"/>
    <cellStyle name="注释 6 8" xfId="9269" xr:uid="{44F91BB4-B2A2-491B-90E1-134169E86585}"/>
    <cellStyle name="注释 6 8 2" xfId="27113" xr:uid="{2B847248-000C-4785-A441-D70BCAD3D734}"/>
    <cellStyle name="注释 6 9" xfId="11942" xr:uid="{309C18C5-340E-4F3F-AB93-97D2C9609E7F}"/>
    <cellStyle name="注释 6 9 2" xfId="27114" xr:uid="{99521AA6-CE3C-4E31-AFFD-5262430B21E7}"/>
    <cellStyle name="注释 60" xfId="9250" xr:uid="{BB229BD8-793F-49D7-B2BE-C1DA6673D9C3}"/>
    <cellStyle name="注释 60 2" xfId="14263" xr:uid="{FDBFB899-D35A-4021-8BAC-BF9918FFD420}"/>
    <cellStyle name="注释 61" xfId="9252" xr:uid="{40B736C5-1E50-4489-9E90-642F3A9F8EF3}"/>
    <cellStyle name="注释 61 2" xfId="14264" xr:uid="{0F79FC17-3205-4F2A-86A8-A79C16EC848F}"/>
    <cellStyle name="注释 62" xfId="9254" xr:uid="{D96E3E49-6BF5-4C3F-A21E-DAA7D66DAA71}"/>
    <cellStyle name="注释 62 2" xfId="14265" xr:uid="{2239BABA-841A-4752-86FF-53C13B4F63B9}"/>
    <cellStyle name="注释 63" xfId="9256" xr:uid="{CF14C372-B59E-4279-9C65-36A89DB33748}"/>
    <cellStyle name="注释 63 2" xfId="14266" xr:uid="{EFE215BC-DB88-4F5F-B0DC-63F5DF6F1AD3}"/>
    <cellStyle name="注释 64" xfId="9258" xr:uid="{9002099C-8239-47A4-94D8-D8EFACF7AB7F}"/>
    <cellStyle name="注释 64 2" xfId="14267" xr:uid="{F4489EF6-8490-4D40-B8B3-61EF736CDE03}"/>
    <cellStyle name="注释 65" xfId="9270" xr:uid="{BC02C8D0-987C-4179-9B76-FC810B4049AF}"/>
    <cellStyle name="注释 65 2" xfId="14268" xr:uid="{2B16B913-0909-4079-867A-FD104FC883C2}"/>
    <cellStyle name="注释 66" xfId="9272" xr:uid="{384B4C72-D462-43FA-A9D5-95D41D9253A0}"/>
    <cellStyle name="注释 66 2" xfId="14269" xr:uid="{10CA1F88-E249-4106-BA30-E19A101848A1}"/>
    <cellStyle name="注释 67" xfId="9274" xr:uid="{24FF54EB-CD08-4BE1-9840-470E92FE7AB1}"/>
    <cellStyle name="注释 67 2" xfId="14270" xr:uid="{C8316F57-D177-4F09-8D8E-148A3808B611}"/>
    <cellStyle name="注释 68" xfId="9276" xr:uid="{8125D341-8A78-4068-8533-6A4DBE50F157}"/>
    <cellStyle name="注释 68 2" xfId="14271" xr:uid="{65FF8385-38F8-4A76-AB1D-B32953436EA9}"/>
    <cellStyle name="注释 69" xfId="9278" xr:uid="{FA372E9E-1781-4AAC-9041-E117CA785588}"/>
    <cellStyle name="注释 69 2" xfId="14272" xr:uid="{99811E96-B010-4E5B-BAC5-6FF2AABFCA37}"/>
    <cellStyle name="注释 7" xfId="9024" xr:uid="{1886C986-83DF-411A-AC2E-A7494ECFF1B0}"/>
    <cellStyle name="注释 7 10" xfId="27115" xr:uid="{3F796179-23BF-46D1-B100-5DB4AA388120}"/>
    <cellStyle name="注释 7 2" xfId="9280" xr:uid="{8C441622-2912-4907-AE36-8AC245BC8235}"/>
    <cellStyle name="注释 7 2 2" xfId="5907" xr:uid="{F933ACD2-B2E3-4B13-9401-5E59D1C9B7B1}"/>
    <cellStyle name="注释 7 2 3" xfId="11946" xr:uid="{FA6C9B3A-594E-4DA8-835E-47BD3E0A628C}"/>
    <cellStyle name="注释 7 2 4" xfId="27116" xr:uid="{B8005797-164F-4546-B20B-D0119E91250B}"/>
    <cellStyle name="注释 7 3" xfId="9281" xr:uid="{A17FAC14-D8C1-48B8-BB6A-B5DD6B4675A4}"/>
    <cellStyle name="注释 7 3 2" xfId="5916" xr:uid="{DE4845A2-8AA2-42B6-96B7-A3194381BBA7}"/>
    <cellStyle name="注释 7 3 3" xfId="11947" xr:uid="{1E942457-C2A2-4CE8-961B-AE8E93762460}"/>
    <cellStyle name="注释 7 3 4" xfId="27117" xr:uid="{CFE0A719-4294-4EA1-8FE2-F7D785F88153}"/>
    <cellStyle name="注释 7 4" xfId="9282" xr:uid="{189EA3E0-A692-4F48-8B80-F8B525DAAFE7}"/>
    <cellStyle name="注释 7 4 2" xfId="27118" xr:uid="{5134FBC0-F6FE-4E4E-AFF6-8F50977981F6}"/>
    <cellStyle name="注释 7 5" xfId="9283" xr:uid="{36701F24-1D7E-4A00-85B0-21928ABFCB3B}"/>
    <cellStyle name="注释 7 5 2" xfId="9284" xr:uid="{16C2E3D0-75C8-43C2-BA11-CE9ED595F261}"/>
    <cellStyle name="注释 7 6" xfId="9285" xr:uid="{9BD9D2CF-BAE3-4671-88FE-808B26BE28F9}"/>
    <cellStyle name="注释 7 6 2" xfId="7777" xr:uid="{634C99B1-909F-4E71-9DEF-C5076BA19ECC}"/>
    <cellStyle name="注释 7 7" xfId="608" xr:uid="{195E238E-F8AF-4A63-A045-2404FC150AF7}"/>
    <cellStyle name="注释 7 8" xfId="11945" xr:uid="{A22E81E6-185D-44D2-B52B-F69C2C58ED5E}"/>
    <cellStyle name="注释 7 9" xfId="13382" xr:uid="{8FE5EE6C-11F7-4FBC-9AA2-B9F07170C486}"/>
    <cellStyle name="注释 70" xfId="9271" xr:uid="{FA339ADB-C65D-479E-9EEC-8BD069382FAB}"/>
    <cellStyle name="注释 70 2" xfId="14273" xr:uid="{520A84EE-B7CF-4FB4-A312-B4B9AFCB2560}"/>
    <cellStyle name="注释 71" xfId="9273" xr:uid="{AD5086A6-D9D2-49F5-90B8-E1FCD56C7D17}"/>
    <cellStyle name="注释 71 2" xfId="14274" xr:uid="{71EE56E2-906B-4923-A6C0-621BF762A1EF}"/>
    <cellStyle name="注释 72" xfId="9275" xr:uid="{CC0D7484-0A6A-45B1-A86A-68F8053BCACF}"/>
    <cellStyle name="注释 72 2" xfId="14275" xr:uid="{5619BE1D-8E4A-4740-AE19-75BD91F5B056}"/>
    <cellStyle name="注释 73" xfId="9277" xr:uid="{ECD3D4C0-3605-4655-986E-F9FCB5AD0578}"/>
    <cellStyle name="注释 73 2" xfId="14276" xr:uid="{2AEA281F-E55E-42AA-B7CC-9CB382CBFBF5}"/>
    <cellStyle name="注释 74" xfId="9279" xr:uid="{8F9F928B-2C7B-4B1D-9416-14C3CD757078}"/>
    <cellStyle name="注释 74 2" xfId="14277" xr:uid="{5E27CE8D-D6ED-4710-8BCC-25313A797E5B}"/>
    <cellStyle name="注释 75" xfId="9286" xr:uid="{5959842C-F934-43D1-84BC-5D077BCE9FCB}"/>
    <cellStyle name="注释 75 2" xfId="14278" xr:uid="{A307A9B8-757F-45B6-BA5A-73814DB2E6F0}"/>
    <cellStyle name="注释 76" xfId="9288" xr:uid="{52B98B6E-404E-4200-9165-E52236AC90BD}"/>
    <cellStyle name="注释 76 2" xfId="14279" xr:uid="{324A7027-6A3D-4FFD-B3CB-A49F83295845}"/>
    <cellStyle name="注释 77" xfId="9290" xr:uid="{ABB964A2-B83E-4B23-9AF6-738EB8F70358}"/>
    <cellStyle name="注释 77 2" xfId="14280" xr:uid="{3A1B616F-3FA7-4BE9-8FE5-DF90ABBCC954}"/>
    <cellStyle name="注释 78" xfId="9292" xr:uid="{3E13F78A-9B2E-4757-8E18-EA9003BA96B8}"/>
    <cellStyle name="注释 78 2" xfId="14281" xr:uid="{5F92CF76-36D1-452D-88AE-DBE4E862FACD}"/>
    <cellStyle name="注释 79" xfId="9294" xr:uid="{E4F69E73-5F35-4382-8BD9-DB347814AE56}"/>
    <cellStyle name="注释 79 2" xfId="14282" xr:uid="{1E4978D7-4F3D-4A7B-A8C2-E7AA8448DEEF}"/>
    <cellStyle name="注释 8" xfId="9296" xr:uid="{2B8842EC-7855-4452-B011-5021D5743A15}"/>
    <cellStyle name="注释 8 2" xfId="9297" xr:uid="{ED7EB373-FF83-42D6-AA52-29D9160A7243}"/>
    <cellStyle name="注释 8 2 2" xfId="9298" xr:uid="{192CF7F2-8912-476A-B774-90A458B06251}"/>
    <cellStyle name="注释 8 2 3" xfId="11949" xr:uid="{300CD2A3-4089-462C-B2AF-154E06A227F4}"/>
    <cellStyle name="注释 8 2 4" xfId="27120" xr:uid="{57658CD0-F81D-4B7B-81D7-52D7D76DC782}"/>
    <cellStyle name="注释 8 3" xfId="9299" xr:uid="{4E4C4FC0-54F5-4CE5-9A6C-EF37F5B11BCD}"/>
    <cellStyle name="注释 8 3 2" xfId="11950" xr:uid="{A7BA122D-987D-4E20-A988-524F6B438B7B}"/>
    <cellStyle name="注释 8 3 3" xfId="27121" xr:uid="{3F891736-49F3-43AB-BEDE-8F864A6FC17B}"/>
    <cellStyle name="注释 8 4" xfId="9300" xr:uid="{AEFE5CC6-6407-4C96-BC5D-8DF62E3E96E3}"/>
    <cellStyle name="注释 8 4 2" xfId="9301" xr:uid="{64214DB6-40CB-4645-8A42-FFF94F02C286}"/>
    <cellStyle name="注释 8 4 3" xfId="27122" xr:uid="{9828E90D-14DD-49F5-9BE5-F953ABC099AB}"/>
    <cellStyle name="注释 8 5" xfId="9302" xr:uid="{BE3F1000-0DFE-400F-9544-2EB20AB33AB7}"/>
    <cellStyle name="注释 8 5 2" xfId="9303" xr:uid="{4E4C38E4-9FF9-4FE3-9FB2-BF28D1A14686}"/>
    <cellStyle name="注释 8 6" xfId="9304" xr:uid="{3BE6BDC4-B5FC-4D54-8679-9D4E53406CD9}"/>
    <cellStyle name="注释 8 7" xfId="11948" xr:uid="{5F0CBE8B-BF85-420E-B2A7-B936BC7ADB3E}"/>
    <cellStyle name="注释 8 8" xfId="13373" xr:uid="{090C98FC-0725-4EE2-B3DF-3D7E1E41258A}"/>
    <cellStyle name="注释 8 9" xfId="27119" xr:uid="{E42A9D58-03EB-4DFF-9D6C-FE849BFC8738}"/>
    <cellStyle name="注释 80" xfId="9287" xr:uid="{012B0195-22BE-49BD-8AF0-A8A3B25AA571}"/>
    <cellStyle name="注释 80 2" xfId="14283" xr:uid="{8754C89C-CCB7-47D3-A63E-75DCAE19DF9E}"/>
    <cellStyle name="注释 81" xfId="9289" xr:uid="{D6669769-0910-4168-9BC7-6CA611790104}"/>
    <cellStyle name="注释 81 2" xfId="14284" xr:uid="{E81EA0A2-FA1F-45EC-BA35-50AB10986039}"/>
    <cellStyle name="注释 82" xfId="9291" xr:uid="{8C4A3343-F39B-47E8-BC00-194180D190E0}"/>
    <cellStyle name="注释 82 2" xfId="14285" xr:uid="{3DA0E691-866B-4C27-879F-C29B430C94BE}"/>
    <cellStyle name="注释 83" xfId="9293" xr:uid="{DFA536EE-A48C-4CDD-8E26-CCA5CF90982E}"/>
    <cellStyle name="注释 83 2" xfId="14286" xr:uid="{D6EDDBEC-5507-4839-91FC-FB58E4DBE522}"/>
    <cellStyle name="注释 84" xfId="9295" xr:uid="{4AB8A652-F695-4689-B1ED-4A65B2E74857}"/>
    <cellStyle name="注释 84 2" xfId="14287" xr:uid="{C2AB23A1-DB10-4556-A26B-F884D2ACFAAD}"/>
    <cellStyle name="注释 85" xfId="9305" xr:uid="{BA977ABC-7BF1-4536-A544-0F2ED2022686}"/>
    <cellStyle name="注释 86" xfId="9307" xr:uid="{FE0B0CF5-0496-42EC-9915-527EF815DF4D}"/>
    <cellStyle name="注释 86 2" xfId="9308" xr:uid="{1A8D5043-A537-4F52-8B14-730E6262B6FA}"/>
    <cellStyle name="注释 87" xfId="9309" xr:uid="{2E44D114-425B-48E7-BE43-9F4E8D8EE94F}"/>
    <cellStyle name="注释 87 2" xfId="9310" xr:uid="{8373F408-72E7-4776-A312-923C6886E809}"/>
    <cellStyle name="注释 88" xfId="9311" xr:uid="{04934276-772E-4C1F-953E-C0898AAD93D1}"/>
    <cellStyle name="注释 89" xfId="9312" xr:uid="{F9BB0C0E-7A57-4F30-A639-7E20E0407616}"/>
    <cellStyle name="注释 9" xfId="9313" xr:uid="{CBE575FE-77D7-41A5-A151-BB90122D9256}"/>
    <cellStyle name="注释 9 2" xfId="5589" xr:uid="{2FB938DC-DCF4-4F7B-8024-9F71519E11F2}"/>
    <cellStyle name="注释 9 2 2" xfId="9314" xr:uid="{6FD40C09-22D3-4D84-B4D9-DDA584A229B7}"/>
    <cellStyle name="注释 9 2 3" xfId="11952" xr:uid="{A7E86D77-B9DC-45BD-A520-2F85C325CB15}"/>
    <cellStyle name="注释 9 2 4" xfId="27124" xr:uid="{A4E211DE-20E3-4AD6-B2A6-358DD795B74D}"/>
    <cellStyle name="注释 9 3" xfId="5591" xr:uid="{8C23B9BC-56F0-4427-9494-FBBEE4F22E29}"/>
    <cellStyle name="注释 9 3 2" xfId="11953" xr:uid="{B3292715-94CE-4985-90EF-C8731B480422}"/>
    <cellStyle name="注释 9 3 3" xfId="27125" xr:uid="{F5C9364D-75A3-42C3-8407-9F2C5D7A7511}"/>
    <cellStyle name="注释 9 4" xfId="5593" xr:uid="{AB93BD13-9312-4DED-94AC-347CDA391034}"/>
    <cellStyle name="注释 9 4 2" xfId="9315" xr:uid="{2385860C-00A7-4D39-B0EB-4207D9290C72}"/>
    <cellStyle name="注释 9 4 3" xfId="27126" xr:uid="{BA9A0DD3-9CA2-40A6-BB3D-5C544F872CB4}"/>
    <cellStyle name="注释 9 5" xfId="5595" xr:uid="{2E74E37F-F57E-4109-960B-51A8AD2FE08D}"/>
    <cellStyle name="注释 9 5 2" xfId="9316" xr:uid="{5BF7A3DA-2358-4C9F-A937-6DE9ECFD92C9}"/>
    <cellStyle name="注释 9 6" xfId="9317" xr:uid="{E0878BC4-FAB1-4C28-AC34-2D416B953E17}"/>
    <cellStyle name="注释 9 7" xfId="11951" xr:uid="{1B93C1DB-DF5A-4B7B-8A72-C1350343CBF9}"/>
    <cellStyle name="注释 9 8" xfId="13301" xr:uid="{CE0904B9-F3E3-4A03-8252-65B3FAF2ABA1}"/>
    <cellStyle name="注释 9 9" xfId="27123" xr:uid="{EAC265BA-4A57-432B-959F-445B105408A3}"/>
    <cellStyle name="注释 90" xfId="9306" xr:uid="{6BD0B06B-4489-4E26-9914-BC22E7504C2A}"/>
    <cellStyle name="注释 91" xfId="9333" xr:uid="{59B82F1B-4F4A-4DF6-84F0-B97559CDA0E2}"/>
    <cellStyle name="注释 91 2" xfId="27157" xr:uid="{313400EB-ED51-4C42-9D6B-0F94EF038D5D}"/>
    <cellStyle name="注释 92" xfId="11900" xr:uid="{B579C80A-AB3B-49AD-8FAC-45EB9184B642}"/>
    <cellStyle name="注释 93" xfId="13537" xr:uid="{15D4D52A-1104-45F2-AD86-64269149D1F7}"/>
    <cellStyle name="注释 94" xfId="9074" xr:uid="{61CBB2DF-9CB5-47B7-ACE3-99321BD3C30C}"/>
    <cellStyle name="뷭?_BOOKSHIP" xfId="27127" xr:uid="{DFFEA8AC-B065-4F9A-9615-3E478114FF40}"/>
    <cellStyle name="쉼표 [0]_Sheet1" xfId="27803" xr:uid="{F3BC6FC7-C42A-44F6-9003-113181F94D7D}"/>
    <cellStyle name="콤마 [0]_1202" xfId="27128" xr:uid="{06E7999C-A7F7-44BE-99A4-9DCAE4A405EC}"/>
    <cellStyle name="콤마_1202" xfId="27129" xr:uid="{3C580190-683A-4230-A494-25879A2DC7ED}"/>
    <cellStyle name="통화 [0]_1202" xfId="27130" xr:uid="{16090697-C500-4E3D-A976-444922ABA90F}"/>
    <cellStyle name="통화_1202" xfId="27131" xr:uid="{6CE18F93-E70F-49D5-8B49-333458BFBC25}"/>
    <cellStyle name="표준_(정보부문)월별인원계획" xfId="27132" xr:uid="{AD4116E2-3676-4F11-A6E2-6F45F6F7E0B4}"/>
  </cellStyles>
  <dxfs count="0"/>
  <tableStyles count="0" defaultTableStyle="TableStyleMedium2" defaultPivotStyle="PivotStyleLight16"/>
  <colors>
    <mruColors>
      <color rgb="FFFFFF00"/>
      <color rgb="FFFFCCCC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 b="1"/>
              <a:t>营业收入（亿元）</a:t>
            </a:r>
            <a:endParaRPr lang="en-US" altLang="zh-CN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032979327253402E-2"/>
                  <c:y val="4.3118990826497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8D-4BFB-8E2D-B082573FA205}"/>
                </c:ext>
              </c:extLst>
            </c:dLbl>
            <c:dLbl>
              <c:idx val="3"/>
              <c:layout>
                <c:manualLayout>
                  <c:x val="-4.4044811132487899E-2"/>
                  <c:y val="6.17954064840985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8D-4BFB-8E2D-B082573FA2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画图!$C$7:$P$7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画图!$C$8:$P$8</c:f>
              <c:numCache>
                <c:formatCode>0.0</c:formatCode>
                <c:ptCount val="9"/>
                <c:pt idx="0">
                  <c:v>66.426666666666662</c:v>
                </c:pt>
                <c:pt idx="1">
                  <c:v>52.939270264399994</c:v>
                </c:pt>
                <c:pt idx="2">
                  <c:v>55.13407661610001</c:v>
                </c:pt>
                <c:pt idx="3">
                  <c:v>67.980364975299963</c:v>
                </c:pt>
                <c:pt idx="4">
                  <c:v>71.476894150200025</c:v>
                </c:pt>
                <c:pt idx="5">
                  <c:v>62.5178120753</c:v>
                </c:pt>
                <c:pt idx="6">
                  <c:v>63.885651619400001</c:v>
                </c:pt>
                <c:pt idx="7">
                  <c:v>61.782120516000013</c:v>
                </c:pt>
                <c:pt idx="8">
                  <c:v>62.042138894799997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8D-4BFB-8E2D-B082573FA2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画图!$C$7:$P$7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画图!$C$9:$P$9</c:f>
              <c:numCache>
                <c:formatCode>0.0</c:formatCode>
                <c:ptCount val="9"/>
                <c:pt idx="1">
                  <c:v>71.666666666666671</c:v>
                </c:pt>
                <c:pt idx="2">
                  <c:v>71.666666666666671</c:v>
                </c:pt>
                <c:pt idx="3">
                  <c:v>71.666666666666671</c:v>
                </c:pt>
                <c:pt idx="4">
                  <c:v>71.666666666666671</c:v>
                </c:pt>
                <c:pt idx="5">
                  <c:v>71.666666666666671</c:v>
                </c:pt>
                <c:pt idx="6">
                  <c:v>71.666666666666671</c:v>
                </c:pt>
                <c:pt idx="7">
                  <c:v>71.666666666666671</c:v>
                </c:pt>
                <c:pt idx="8">
                  <c:v>71.666666666666657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8D-4BFB-8E2D-B082573FA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937392"/>
        <c:axId val="217791248"/>
      </c:lineChart>
      <c:catAx>
        <c:axId val="3559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7791248"/>
        <c:crosses val="autoZero"/>
        <c:auto val="1"/>
        <c:lblAlgn val="ctr"/>
        <c:lblOffset val="100"/>
        <c:noMultiLvlLbl val="0"/>
      </c:catAx>
      <c:valAx>
        <c:axId val="217791248"/>
        <c:scaling>
          <c:orientation val="minMax"/>
          <c:min val="5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9373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 b="1"/>
              <a:t>钢材收入（亿元）</a:t>
            </a:r>
            <a:endParaRPr lang="en-US" altLang="zh-CN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2535124285934799E-2"/>
                  <c:y val="6.91665066256962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040-491F-B99F-DD29912563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画图!$C$7:$P$7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画图!$C$13:$P$13</c:f>
              <c:numCache>
                <c:formatCode>0.0</c:formatCode>
                <c:ptCount val="9"/>
                <c:pt idx="0">
                  <c:v>56.567499999999995</c:v>
                </c:pt>
                <c:pt idx="1">
                  <c:v>44.497707406871257</c:v>
                </c:pt>
                <c:pt idx="2">
                  <c:v>47.023041273647394</c:v>
                </c:pt>
                <c:pt idx="3">
                  <c:v>57.380730995625456</c:v>
                </c:pt>
                <c:pt idx="4">
                  <c:v>60.411876544767537</c:v>
                </c:pt>
                <c:pt idx="5">
                  <c:v>54.908431283043676</c:v>
                </c:pt>
                <c:pt idx="6">
                  <c:v>48.948131189909013</c:v>
                </c:pt>
                <c:pt idx="7">
                  <c:v>48.157807817844613</c:v>
                </c:pt>
                <c:pt idx="8">
                  <c:v>51.322153512259469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0-491F-B99F-DD29912563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画图!$C$7:$P$7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画图!$C$14:$P$14</c:f>
              <c:numCache>
                <c:formatCode>0.0</c:formatCode>
                <c:ptCount val="9"/>
                <c:pt idx="1">
                  <c:v>57.666666666666664</c:v>
                </c:pt>
                <c:pt idx="2">
                  <c:v>57.666666666666664</c:v>
                </c:pt>
                <c:pt idx="3">
                  <c:v>57.666666666666664</c:v>
                </c:pt>
                <c:pt idx="4">
                  <c:v>57.666666666666664</c:v>
                </c:pt>
                <c:pt idx="5">
                  <c:v>57.666666666666664</c:v>
                </c:pt>
                <c:pt idx="6">
                  <c:v>57.666666666666664</c:v>
                </c:pt>
                <c:pt idx="7">
                  <c:v>57.666666666666664</c:v>
                </c:pt>
                <c:pt idx="8">
                  <c:v>57.666666666666664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40-491F-B99F-DD2991256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794048"/>
        <c:axId val="217794608"/>
      </c:lineChart>
      <c:catAx>
        <c:axId val="21779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7794608"/>
        <c:crosses val="autoZero"/>
        <c:auto val="1"/>
        <c:lblAlgn val="ctr"/>
        <c:lblOffset val="100"/>
        <c:noMultiLvlLbl val="0"/>
      </c:catAx>
      <c:valAx>
        <c:axId val="217794608"/>
        <c:scaling>
          <c:orientation val="minMax"/>
          <c:min val="35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779404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 b="1"/>
              <a:t>贸易收入（亿元）</a:t>
            </a:r>
            <a:endParaRPr lang="en-US" altLang="zh-CN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82430659005498E-2"/>
                  <c:y val="2.85161001216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E4A-4359-9FB4-E11859F99442}"/>
                </c:ext>
              </c:extLst>
            </c:dLbl>
            <c:dLbl>
              <c:idx val="2"/>
              <c:layout>
                <c:manualLayout>
                  <c:x val="-5.2535124285934799E-2"/>
                  <c:y val="6.91665066256962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4A-4359-9FB4-E11859F99442}"/>
                </c:ext>
              </c:extLst>
            </c:dLbl>
            <c:dLbl>
              <c:idx val="3"/>
              <c:layout>
                <c:manualLayout>
                  <c:x val="-3.6959544129924297E-2"/>
                  <c:y val="6.11695449295045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4A-4359-9FB4-E11859F994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画图!$C$7:$P$7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画图!$C$18:$P$18</c:f>
              <c:numCache>
                <c:formatCode>0.0</c:formatCode>
                <c:ptCount val="9"/>
                <c:pt idx="0">
                  <c:v>4.6766666666666667</c:v>
                </c:pt>
                <c:pt idx="1">
                  <c:v>3.5971691461000002</c:v>
                </c:pt>
                <c:pt idx="2">
                  <c:v>4.7229868757067965</c:v>
                </c:pt>
                <c:pt idx="3">
                  <c:v>6.0628001216760623</c:v>
                </c:pt>
                <c:pt idx="4">
                  <c:v>5.7482377661999999</c:v>
                </c:pt>
                <c:pt idx="5">
                  <c:v>3.151112146319774</c:v>
                </c:pt>
                <c:pt idx="6">
                  <c:v>6.5289499042435404</c:v>
                </c:pt>
                <c:pt idx="7">
                  <c:v>4.9086885745445628</c:v>
                </c:pt>
                <c:pt idx="8">
                  <c:v>4.8507510795235982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4A-4359-9FB4-E11859F994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画图!$C$7:$P$7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画图!$C$19:$P$19</c:f>
              <c:numCache>
                <c:formatCode>0.0</c:formatCode>
                <c:ptCount val="9"/>
                <c:pt idx="1">
                  <c:v>7.6666666666666696</c:v>
                </c:pt>
                <c:pt idx="2">
                  <c:v>7.6666666666666696</c:v>
                </c:pt>
                <c:pt idx="3">
                  <c:v>7.6666666666666696</c:v>
                </c:pt>
                <c:pt idx="4">
                  <c:v>7.6666666666666696</c:v>
                </c:pt>
                <c:pt idx="5">
                  <c:v>7.6666666666666696</c:v>
                </c:pt>
                <c:pt idx="6">
                  <c:v>7.6666666666666696</c:v>
                </c:pt>
                <c:pt idx="7">
                  <c:v>7.6666666666666696</c:v>
                </c:pt>
                <c:pt idx="8">
                  <c:v>7.6666666666666696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4A-4359-9FB4-E11859F99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421424"/>
        <c:axId val="219421984"/>
      </c:lineChart>
      <c:catAx>
        <c:axId val="2194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9421984"/>
        <c:crosses val="autoZero"/>
        <c:auto val="1"/>
        <c:lblAlgn val="ctr"/>
        <c:lblOffset val="100"/>
        <c:noMultiLvlLbl val="0"/>
      </c:catAx>
      <c:valAx>
        <c:axId val="219421984"/>
        <c:scaling>
          <c:orientation val="minMax"/>
          <c:max val="8"/>
          <c:min val="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942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宋体" panose="02010600030101010101" pitchFamily="7" charset="-122"/>
                <a:ea typeface="宋体" panose="02010600030101010101" pitchFamily="7" charset="-122"/>
                <a:cs typeface="+mn-cs"/>
              </a:defRPr>
            </a:pPr>
            <a:r>
              <a:rPr lang="zh-CN" altLang="zh-CN" sz="1100" b="0" i="0" baseline="0">
                <a:effectLst/>
                <a:latin typeface="宋体" panose="02010600030101010101" pitchFamily="7" charset="-122"/>
                <a:ea typeface="宋体" panose="02010600030101010101" pitchFamily="7" charset="-122"/>
              </a:rPr>
              <a:t>太钢不锈</a:t>
            </a:r>
            <a:r>
              <a:rPr lang="zh-CN" altLang="en-US" sz="1100" b="0" i="0" baseline="0">
                <a:effectLst/>
                <a:latin typeface="宋体" panose="02010600030101010101" pitchFamily="7" charset="-122"/>
                <a:ea typeface="宋体" panose="02010600030101010101" pitchFamily="7" charset="-122"/>
              </a:rPr>
              <a:t>经营利润</a:t>
            </a:r>
            <a:r>
              <a:rPr lang="zh-CN" altLang="zh-CN" sz="1100" b="0" i="0" baseline="0">
                <a:effectLst/>
                <a:latin typeface="宋体" panose="02010600030101010101" pitchFamily="7" charset="-122"/>
                <a:ea typeface="宋体" panose="02010600030101010101" pitchFamily="7" charset="-122"/>
              </a:rPr>
              <a:t>（</a:t>
            </a:r>
            <a:r>
              <a:rPr lang="zh-CN" altLang="en-US" sz="1100" b="0" i="0" baseline="0">
                <a:effectLst/>
                <a:latin typeface="宋体" panose="02010600030101010101" pitchFamily="7" charset="-122"/>
                <a:ea typeface="宋体" panose="02010600030101010101" pitchFamily="7" charset="-122"/>
              </a:rPr>
              <a:t>亿元</a:t>
            </a:r>
            <a:r>
              <a:rPr lang="zh-CN" altLang="zh-CN" sz="1100" b="0" i="0" baseline="0">
                <a:effectLst/>
                <a:latin typeface="宋体" panose="02010600030101010101" pitchFamily="7" charset="-122"/>
                <a:ea typeface="宋体" panose="02010600030101010101" pitchFamily="7" charset="-122"/>
              </a:rPr>
              <a:t>）</a:t>
            </a:r>
            <a:endParaRPr lang="zh-CN" altLang="zh-CN" sz="1100" b="0">
              <a:effectLst/>
              <a:latin typeface="宋体" panose="02010600030101010101" pitchFamily="7" charset="-122"/>
              <a:ea typeface="宋体" panose="02010600030101010101" pitchFamily="7" charset="-122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宋体" panose="02010600030101010101" pitchFamily="7" charset="-122"/>
              <a:ea typeface="宋体" panose="02010600030101010101" pitchFamily="7" charset="-122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1380077907623801E-2"/>
                  <c:y val="8.53050380897509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E9A-4BD3-9014-C6124EFE83E1}"/>
                </c:ext>
              </c:extLst>
            </c:dLbl>
            <c:dLbl>
              <c:idx val="4"/>
              <c:layout>
                <c:manualLayout>
                  <c:x val="-4.1903171953255401E-2"/>
                  <c:y val="-7.7296587926509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E9A-4BD3-9014-C6124EFE83E1}"/>
                </c:ext>
              </c:extLst>
            </c:dLbl>
            <c:dLbl>
              <c:idx val="5"/>
              <c:layout>
                <c:manualLayout>
                  <c:x val="-2.9994435169727302E-2"/>
                  <c:y val="-7.7296587926509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E9A-4BD3-9014-C6124EFE83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画图!$C$7:$P$7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画图!$C$27:$P$27</c:f>
              <c:numCache>
                <c:formatCode>0.00</c:formatCode>
                <c:ptCount val="9"/>
                <c:pt idx="0">
                  <c:v>1.8376666666666666</c:v>
                </c:pt>
                <c:pt idx="1">
                  <c:v>9.9000000000000005E-2</c:v>
                </c:pt>
                <c:pt idx="2">
                  <c:v>-0.57799999999999996</c:v>
                </c:pt>
                <c:pt idx="3">
                  <c:v>-7.2900000000000006E-2</c:v>
                </c:pt>
                <c:pt idx="4">
                  <c:v>-0.59850000000000003</c:v>
                </c:pt>
                <c:pt idx="5">
                  <c:v>0.81569999999999998</c:v>
                </c:pt>
                <c:pt idx="6">
                  <c:v>0.63729999999999998</c:v>
                </c:pt>
                <c:pt idx="7">
                  <c:v>0.65310000000000001</c:v>
                </c:pt>
                <c:pt idx="8" formatCode="0">
                  <c:v>0.13652857142857144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9A-4BD3-9014-C6124EFE83E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3389462296942601E-2"/>
                  <c:y val="-5.27847128864989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E9A-4BD3-9014-C6124EFE83E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E9A-4BD3-9014-C6124EFE83E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E9A-4BD3-9014-C6124EFE83E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E9A-4BD3-9014-C6124EFE83E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E9A-4BD3-9014-C6124EFE83E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E9A-4BD3-9014-C6124EFE83E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E9A-4BD3-9014-C6124EFE83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画图!$C$7:$P$7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画图!$D$28:$P$28</c:f>
              <c:numCache>
                <c:formatCode>0.00</c:formatCode>
                <c:ptCount val="8"/>
                <c:pt idx="0">
                  <c:v>1.4166666666666667</c:v>
                </c:pt>
                <c:pt idx="1">
                  <c:v>1.4166666666666667</c:v>
                </c:pt>
                <c:pt idx="2">
                  <c:v>1.4166666666666667</c:v>
                </c:pt>
                <c:pt idx="3">
                  <c:v>1.4166666666666667</c:v>
                </c:pt>
                <c:pt idx="4">
                  <c:v>1.4166666666666667</c:v>
                </c:pt>
                <c:pt idx="5">
                  <c:v>1.4166666666666667</c:v>
                </c:pt>
                <c:pt idx="6">
                  <c:v>1.4166666666666667</c:v>
                </c:pt>
                <c:pt idx="7">
                  <c:v>1.4166666666666667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9A-4BD3-9014-C6124EFE8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506208"/>
        <c:axId val="223506768"/>
      </c:lineChart>
      <c:catAx>
        <c:axId val="22350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3506768"/>
        <c:crossesAt val="-3"/>
        <c:auto val="1"/>
        <c:lblAlgn val="ctr"/>
        <c:lblOffset val="100"/>
        <c:noMultiLvlLbl val="0"/>
      </c:catAx>
      <c:valAx>
        <c:axId val="223506768"/>
        <c:scaling>
          <c:orientation val="minMax"/>
          <c:min val="-3"/>
        </c:scaling>
        <c:delete val="0"/>
        <c:axPos val="l"/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350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 b="1"/>
              <a:t>太钢万邦利润总额（万元）</a:t>
            </a:r>
          </a:p>
        </c:rich>
      </c:tx>
      <c:layout>
        <c:manualLayout>
          <c:xMode val="edge"/>
          <c:yMode val="edge"/>
          <c:x val="0.29330759330759298"/>
          <c:y val="5.291005291005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画图!$C$33:$P$33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画图!$C$34:$P$34</c:f>
              <c:numCache>
                <c:formatCode>0</c:formatCode>
                <c:ptCount val="9"/>
                <c:pt idx="0">
                  <c:v>-1489.6666666666667</c:v>
                </c:pt>
                <c:pt idx="1">
                  <c:v>-2346.7800889999999</c:v>
                </c:pt>
                <c:pt idx="2">
                  <c:v>-2101.2988580000001</c:v>
                </c:pt>
                <c:pt idx="3">
                  <c:v>-2690.1583959999998</c:v>
                </c:pt>
                <c:pt idx="4">
                  <c:v>-1188.735353</c:v>
                </c:pt>
                <c:pt idx="5">
                  <c:v>-1442.7569229999999</c:v>
                </c:pt>
                <c:pt idx="6">
                  <c:v>146.722205</c:v>
                </c:pt>
                <c:pt idx="7">
                  <c:v>-1013.8467460000001</c:v>
                </c:pt>
                <c:pt idx="8">
                  <c:v>-1519.5505942857144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DD-4704-AD66-CB926560E94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画图!$C$33:$P$33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画图!$C$35:$P$35</c:f>
              <c:numCache>
                <c:formatCode>0</c:formatCode>
                <c:ptCount val="9"/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10.833333333333334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DD-4704-AD66-CB926560E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878336"/>
        <c:axId val="218878896"/>
      </c:lineChart>
      <c:catAx>
        <c:axId val="21887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8878896"/>
        <c:crossesAt val="-3000"/>
        <c:auto val="1"/>
        <c:lblAlgn val="ctr"/>
        <c:lblOffset val="100"/>
        <c:noMultiLvlLbl val="0"/>
      </c:catAx>
      <c:valAx>
        <c:axId val="218878896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887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 b="1" i="0" baseline="0">
                <a:effectLst/>
              </a:rPr>
              <a:t>耐材公司</a:t>
            </a:r>
            <a:r>
              <a:rPr lang="zh-CN" altLang="zh-CN" sz="1000" b="1" i="0" baseline="0">
                <a:effectLst/>
              </a:rPr>
              <a:t>利润总额（万元）</a:t>
            </a:r>
            <a:endParaRPr lang="zh-CN" altLang="zh-CN" sz="1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9947828826990099E-2"/>
                  <c:y val="-4.62616871686220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319553805774301E-2"/>
                      <c:h val="6.93751822688831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488D-4A88-817E-1F69EFB00AB0}"/>
                </c:ext>
              </c:extLst>
            </c:dLbl>
            <c:dLbl>
              <c:idx val="2"/>
              <c:layout>
                <c:manualLayout>
                  <c:x val="-1.8659886264217E-2"/>
                  <c:y val="-3.468759113444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88D-4A88-817E-1F69EFB00A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画图!$C$40:$P$40</c:f>
              <c:numCache>
                <c:formatCode>0</c:formatCode>
                <c:ptCount val="9"/>
                <c:pt idx="0">
                  <c:v>-105.08333333333333</c:v>
                </c:pt>
                <c:pt idx="1">
                  <c:v>-322.66976099999999</c:v>
                </c:pt>
                <c:pt idx="2">
                  <c:v>-848.23684900000001</c:v>
                </c:pt>
                <c:pt idx="3">
                  <c:v>-538.53549099999998</c:v>
                </c:pt>
                <c:pt idx="4">
                  <c:v>-629</c:v>
                </c:pt>
                <c:pt idx="5">
                  <c:v>-383.79996499999999</c:v>
                </c:pt>
                <c:pt idx="6">
                  <c:v>-367.14619599999997</c:v>
                </c:pt>
                <c:pt idx="7">
                  <c:v>-543.35842100000002</c:v>
                </c:pt>
                <c:pt idx="8">
                  <c:v>-518.9638118571429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D-4A88-817E-1F69EFB00A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画图!$C$41:$P$41</c:f>
              <c:numCache>
                <c:formatCode>General</c:formatCode>
                <c:ptCount val="9"/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8D-4A88-817E-1F69EFB0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439856"/>
        <c:axId val="303440416"/>
      </c:lineChart>
      <c:catAx>
        <c:axId val="30343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3440416"/>
        <c:crossesAt val="-1000"/>
        <c:auto val="1"/>
        <c:lblAlgn val="ctr"/>
        <c:lblOffset val="100"/>
        <c:noMultiLvlLbl val="0"/>
      </c:catAx>
      <c:valAx>
        <c:axId val="303440416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343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 lang="zh-CN" sz="1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 b="1" i="0" baseline="0">
                <a:effectLst/>
              </a:rPr>
              <a:t>修建</a:t>
            </a:r>
            <a:r>
              <a:rPr lang="zh-CN" altLang="zh-CN" sz="1000" b="1" i="0" baseline="0">
                <a:effectLst/>
              </a:rPr>
              <a:t>公司利润总额（万元）</a:t>
            </a:r>
            <a:endParaRPr lang="zh-CN" alt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 lang="zh-CN" sz="1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画图!$D$46:$P$46</c:f>
              <c:strCache>
                <c:ptCount val="8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本年
月均</c:v>
                </c:pt>
              </c:strCache>
            </c:strRef>
          </c:cat>
          <c:val>
            <c:numRef>
              <c:f>画图!$D$47:$P$47</c:f>
              <c:numCache>
                <c:formatCode>0</c:formatCode>
                <c:ptCount val="8"/>
                <c:pt idx="0">
                  <c:v>-248.66205500000001</c:v>
                </c:pt>
                <c:pt idx="1">
                  <c:v>-84.564808999999997</c:v>
                </c:pt>
                <c:pt idx="2">
                  <c:v>-44.905551000000003</c:v>
                </c:pt>
                <c:pt idx="3">
                  <c:v>-38.425776999999997</c:v>
                </c:pt>
                <c:pt idx="4">
                  <c:v>-34.706012999999999</c:v>
                </c:pt>
                <c:pt idx="5">
                  <c:v>-10.648019</c:v>
                </c:pt>
                <c:pt idx="6">
                  <c:v>1.8426210000000001</c:v>
                </c:pt>
                <c:pt idx="7">
                  <c:v>-56.49160337499999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9-4E49-925F-21EB40011A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画图!$D$46:$P$46</c:f>
              <c:strCache>
                <c:ptCount val="8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本年
月均</c:v>
                </c:pt>
              </c:strCache>
            </c:strRef>
          </c:cat>
          <c:val>
            <c:numRef>
              <c:f>画图!$D$48:$P$48</c:f>
              <c:numCache>
                <c:formatCode>General</c:formatCode>
                <c:ptCount val="8"/>
                <c:pt idx="0">
                  <c:v>2.5</c:v>
                </c:pt>
                <c:pt idx="1">
                  <c:v>2.5</c:v>
                </c:pt>
                <c:pt idx="2">
                  <c:v>2.5</c:v>
                </c:pt>
                <c:pt idx="3">
                  <c:v>2.5</c:v>
                </c:pt>
                <c:pt idx="4">
                  <c:v>2.5</c:v>
                </c:pt>
                <c:pt idx="5">
                  <c:v>2.5</c:v>
                </c:pt>
                <c:pt idx="6">
                  <c:v>2.5</c:v>
                </c:pt>
                <c:pt idx="7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9-4E49-925F-21EB40011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007168"/>
        <c:axId val="300007728"/>
      </c:lineChart>
      <c:catAx>
        <c:axId val="30000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0007728"/>
        <c:crossesAt val="-300"/>
        <c:auto val="1"/>
        <c:lblAlgn val="ctr"/>
        <c:lblOffset val="100"/>
        <c:noMultiLvlLbl val="0"/>
      </c:catAx>
      <c:valAx>
        <c:axId val="300007728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000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 b="1" i="0" baseline="0">
                <a:effectLst/>
              </a:rPr>
              <a:t>世茂公司</a:t>
            </a:r>
            <a:r>
              <a:rPr lang="zh-CN" altLang="zh-CN" sz="1000" b="1" i="0" baseline="0">
                <a:effectLst/>
              </a:rPr>
              <a:t>利润总额（万元）</a:t>
            </a:r>
            <a:endParaRPr lang="zh-CN" altLang="zh-CN" sz="1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9947828826990099E-2"/>
                  <c:y val="-4.62616871686220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319553805774301E-2"/>
                      <c:h val="6.93751822688831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EAC-495A-B8E0-61386AAEC40B}"/>
                </c:ext>
              </c:extLst>
            </c:dLbl>
            <c:dLbl>
              <c:idx val="2"/>
              <c:layout>
                <c:manualLayout>
                  <c:x val="-1.8659886264217E-2"/>
                  <c:y val="-3.468759113444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AC-495A-B8E0-61386AAEC4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画图!$C$53:$P$53</c:f>
              <c:numCache>
                <c:formatCode>0</c:formatCode>
                <c:ptCount val="9"/>
                <c:pt idx="0">
                  <c:v>-204.41666666666666</c:v>
                </c:pt>
                <c:pt idx="1">
                  <c:v>-320.088548</c:v>
                </c:pt>
                <c:pt idx="2">
                  <c:v>-434.05604299999999</c:v>
                </c:pt>
                <c:pt idx="3">
                  <c:v>-322.10717</c:v>
                </c:pt>
                <c:pt idx="4">
                  <c:v>-358.80783400000001</c:v>
                </c:pt>
                <c:pt idx="5">
                  <c:v>-321.58685600000001</c:v>
                </c:pt>
                <c:pt idx="6">
                  <c:v>-304.48615000000001</c:v>
                </c:pt>
                <c:pt idx="7">
                  <c:v>-169.46757099999999</c:v>
                </c:pt>
                <c:pt idx="8">
                  <c:v>-297.09174862500004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AC-495A-B8E0-61386AAEC4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画图!$C$54:$P$54</c:f>
              <c:numCache>
                <c:formatCode>General</c:formatCode>
                <c:ptCount val="9"/>
                <c:pt idx="1">
                  <c:v>-90</c:v>
                </c:pt>
                <c:pt idx="2">
                  <c:v>-90</c:v>
                </c:pt>
                <c:pt idx="3">
                  <c:v>-90</c:v>
                </c:pt>
                <c:pt idx="4">
                  <c:v>-90</c:v>
                </c:pt>
                <c:pt idx="5">
                  <c:v>-90</c:v>
                </c:pt>
                <c:pt idx="6">
                  <c:v>-90</c:v>
                </c:pt>
                <c:pt idx="7">
                  <c:v>-90</c:v>
                </c:pt>
                <c:pt idx="8">
                  <c:v>-90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AC-495A-B8E0-61386AAEC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010528"/>
        <c:axId val="300011088"/>
      </c:lineChart>
      <c:catAx>
        <c:axId val="30001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0011088"/>
        <c:crossesAt val="-1000"/>
        <c:auto val="1"/>
        <c:lblAlgn val="ctr"/>
        <c:lblOffset val="100"/>
        <c:noMultiLvlLbl val="0"/>
      </c:catAx>
      <c:valAx>
        <c:axId val="300011088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001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 b="1" i="0" baseline="0">
                <a:effectLst/>
              </a:rPr>
              <a:t>综合利用公司</a:t>
            </a:r>
            <a:r>
              <a:rPr lang="zh-CN" altLang="zh-CN" sz="1000" b="1" i="0" baseline="0">
                <a:effectLst/>
              </a:rPr>
              <a:t>利润总额（万元）</a:t>
            </a:r>
            <a:endParaRPr lang="zh-CN" altLang="zh-CN" sz="1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9947828826990099E-2"/>
                  <c:y val="-4.62616871686220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319553805774301E-2"/>
                      <c:h val="6.93751822688831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396-4456-8BE2-9AC1F4A8492A}"/>
                </c:ext>
              </c:extLst>
            </c:dLbl>
            <c:dLbl>
              <c:idx val="2"/>
              <c:layout>
                <c:manualLayout>
                  <c:x val="-1.8659886264217E-2"/>
                  <c:y val="-3.468759113444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96-4456-8BE2-9AC1F4A849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画图!$C$59:$P$59</c:f>
              <c:numCache>
                <c:formatCode>0</c:formatCode>
                <c:ptCount val="9"/>
                <c:pt idx="0">
                  <c:v>111.16666666666667</c:v>
                </c:pt>
                <c:pt idx="1">
                  <c:v>-265.46408200000002</c:v>
                </c:pt>
                <c:pt idx="2">
                  <c:v>-141.496049</c:v>
                </c:pt>
                <c:pt idx="3">
                  <c:v>-250.286295</c:v>
                </c:pt>
                <c:pt idx="4">
                  <c:v>242.671448</c:v>
                </c:pt>
                <c:pt idx="5">
                  <c:v>386.76842499999998</c:v>
                </c:pt>
                <c:pt idx="6">
                  <c:v>650.96035700000004</c:v>
                </c:pt>
                <c:pt idx="7">
                  <c:v>247.233439</c:v>
                </c:pt>
                <c:pt idx="8">
                  <c:v>135.22989125000001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96-4456-8BE2-9AC1F4A8492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画图!$C$60:$P$60</c:f>
              <c:numCache>
                <c:formatCode>General</c:formatCode>
                <c:ptCount val="9"/>
                <c:pt idx="1">
                  <c:v>175</c:v>
                </c:pt>
                <c:pt idx="2">
                  <c:v>175</c:v>
                </c:pt>
                <c:pt idx="3">
                  <c:v>175</c:v>
                </c:pt>
                <c:pt idx="4">
                  <c:v>175</c:v>
                </c:pt>
                <c:pt idx="5">
                  <c:v>175</c:v>
                </c:pt>
                <c:pt idx="6">
                  <c:v>175</c:v>
                </c:pt>
                <c:pt idx="7">
                  <c:v>175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96-4456-8BE2-9AC1F4A8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013888"/>
        <c:axId val="300014448"/>
      </c:lineChart>
      <c:catAx>
        <c:axId val="3000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0014448"/>
        <c:crossesAt val="-1000"/>
        <c:auto val="1"/>
        <c:lblAlgn val="ctr"/>
        <c:lblOffset val="100"/>
        <c:noMultiLvlLbl val="0"/>
      </c:catAx>
      <c:valAx>
        <c:axId val="300014448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001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 b="1" i="0" baseline="0">
                <a:effectLst/>
              </a:rPr>
              <a:t>电气公司</a:t>
            </a:r>
            <a:r>
              <a:rPr lang="zh-CN" altLang="zh-CN" sz="1000" b="1" i="0" baseline="0">
                <a:effectLst/>
              </a:rPr>
              <a:t>利润总额（万元）</a:t>
            </a:r>
            <a:endParaRPr lang="zh-CN" altLang="zh-CN" sz="1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9947828826990099E-2"/>
                  <c:y val="-4.62616871686220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319553805774301E-2"/>
                      <c:h val="6.93751822688831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ABA3-46A5-A0A2-65D84288D4A7}"/>
                </c:ext>
              </c:extLst>
            </c:dLbl>
            <c:dLbl>
              <c:idx val="2"/>
              <c:layout>
                <c:manualLayout>
                  <c:x val="-1.8659886264217E-2"/>
                  <c:y val="-3.468759113444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A3-46A5-A0A2-65D84288D4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画图!$C$66:$P$66</c:f>
              <c:numCache>
                <c:formatCode>0</c:formatCode>
                <c:ptCount val="9"/>
                <c:pt idx="0" formatCode="General">
                  <c:v>10</c:v>
                </c:pt>
                <c:pt idx="1">
                  <c:v>-111.484337</c:v>
                </c:pt>
                <c:pt idx="2">
                  <c:v>-43.203899999999997</c:v>
                </c:pt>
                <c:pt idx="3">
                  <c:v>13.588082999999999</c:v>
                </c:pt>
                <c:pt idx="4">
                  <c:v>17.928792999999999</c:v>
                </c:pt>
                <c:pt idx="5">
                  <c:v>-37.908216000000003</c:v>
                </c:pt>
                <c:pt idx="6">
                  <c:v>15.250419000000001</c:v>
                </c:pt>
                <c:pt idx="7">
                  <c:v>-130.38083399999999</c:v>
                </c:pt>
                <c:pt idx="8">
                  <c:v>-30.429132499999994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A3-46A5-A0A2-65D84288D4A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画图!$C$67:$P$67</c:f>
              <c:numCache>
                <c:formatCode>0</c:formatCode>
                <c:ptCount val="9"/>
                <c:pt idx="1">
                  <c:v>56.666666666666664</c:v>
                </c:pt>
                <c:pt idx="2">
                  <c:v>56.666666666666664</c:v>
                </c:pt>
                <c:pt idx="3">
                  <c:v>56.666666666666664</c:v>
                </c:pt>
                <c:pt idx="4">
                  <c:v>56.666666666666664</c:v>
                </c:pt>
                <c:pt idx="5">
                  <c:v>56.666666666666664</c:v>
                </c:pt>
                <c:pt idx="6">
                  <c:v>56.666666666666664</c:v>
                </c:pt>
                <c:pt idx="7">
                  <c:v>56.666666666666664</c:v>
                </c:pt>
                <c:pt idx="8">
                  <c:v>56.666666666666664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A3-46A5-A0A2-65D84288D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790416"/>
        <c:axId val="536790976"/>
      </c:lineChart>
      <c:catAx>
        <c:axId val="53679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6790976"/>
        <c:crossesAt val="-1000"/>
        <c:auto val="1"/>
        <c:lblAlgn val="ctr"/>
        <c:lblOffset val="100"/>
        <c:noMultiLvlLbl val="0"/>
      </c:catAx>
      <c:valAx>
        <c:axId val="536790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679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 b="1" i="0" baseline="0">
                <a:effectLst/>
              </a:rPr>
              <a:t>钢科公司</a:t>
            </a:r>
            <a:r>
              <a:rPr lang="zh-CN" altLang="zh-CN" sz="1000" b="1" i="0" baseline="0">
                <a:effectLst/>
              </a:rPr>
              <a:t>利润总额（万元）</a:t>
            </a:r>
            <a:endParaRPr lang="zh-CN" altLang="zh-CN" sz="1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9947828826990099E-2"/>
                  <c:y val="-4.62616871686220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319553805774301E-2"/>
                      <c:h val="6.93751822688831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E1B3-48C5-9CA6-B5EE2DA10A30}"/>
                </c:ext>
              </c:extLst>
            </c:dLbl>
            <c:dLbl>
              <c:idx val="2"/>
              <c:layout>
                <c:manualLayout>
                  <c:x val="-1.8659886264217E-2"/>
                  <c:y val="-3.468759113444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1B3-48C5-9CA6-B5EE2DA10A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画图!$C$70:$P$70</c:f>
              <c:numCache>
                <c:formatCode>0</c:formatCode>
                <c:ptCount val="9"/>
                <c:pt idx="0">
                  <c:v>94.166666666666671</c:v>
                </c:pt>
                <c:pt idx="1">
                  <c:v>-449.27105999999998</c:v>
                </c:pt>
                <c:pt idx="2">
                  <c:v>419.58144600000003</c:v>
                </c:pt>
                <c:pt idx="3">
                  <c:v>-418.779358</c:v>
                </c:pt>
                <c:pt idx="4">
                  <c:v>-394.57532500000002</c:v>
                </c:pt>
                <c:pt idx="5">
                  <c:v>-305.05782900000003</c:v>
                </c:pt>
                <c:pt idx="6">
                  <c:v>1299.1330539999999</c:v>
                </c:pt>
                <c:pt idx="7">
                  <c:v>-24.681778000000001</c:v>
                </c:pt>
                <c:pt idx="8">
                  <c:v>5.7252479999999863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3-48C5-9CA6-B5EE2DA10A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画图!$C$71:$P$71</c:f>
              <c:numCache>
                <c:formatCode>0</c:formatCode>
                <c:ptCount val="9"/>
                <c:pt idx="1">
                  <c:v>14.333333333333334</c:v>
                </c:pt>
                <c:pt idx="2">
                  <c:v>14.333333333333334</c:v>
                </c:pt>
                <c:pt idx="3">
                  <c:v>14.333333333333334</c:v>
                </c:pt>
                <c:pt idx="4">
                  <c:v>14.333333333333334</c:v>
                </c:pt>
                <c:pt idx="5">
                  <c:v>14.333333333333334</c:v>
                </c:pt>
                <c:pt idx="6">
                  <c:v>14.333333333333334</c:v>
                </c:pt>
                <c:pt idx="7">
                  <c:v>14.333333333333334</c:v>
                </c:pt>
                <c:pt idx="8">
                  <c:v>14.333333333333334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3-48C5-9CA6-B5EE2DA10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793776"/>
        <c:axId val="536794336"/>
      </c:lineChart>
      <c:catAx>
        <c:axId val="53679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6794336"/>
        <c:crossesAt val="-1000"/>
        <c:auto val="1"/>
        <c:lblAlgn val="ctr"/>
        <c:lblOffset val="100"/>
        <c:noMultiLvlLbl val="0"/>
      </c:catAx>
      <c:valAx>
        <c:axId val="536794336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679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 b="1" i="0" baseline="0">
                <a:effectLst/>
              </a:rPr>
              <a:t>临钢公司</a:t>
            </a:r>
            <a:r>
              <a:rPr lang="zh-CN" altLang="zh-CN" sz="1000" b="1" i="0" baseline="0">
                <a:effectLst/>
              </a:rPr>
              <a:t>利润总额（万元）</a:t>
            </a:r>
            <a:endParaRPr lang="zh-CN" altLang="zh-CN" sz="1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9947828826990099E-2"/>
                  <c:y val="-4.62616871686220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319553805774301E-2"/>
                      <c:h val="6.937518226888310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AD4-4417-A072-712CAE22C680}"/>
                </c:ext>
              </c:extLst>
            </c:dLbl>
            <c:dLbl>
              <c:idx val="2"/>
              <c:layout>
                <c:manualLayout>
                  <c:x val="-1.8659886264217E-2"/>
                  <c:y val="-3.468759113444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D4-4417-A072-712CAE22C6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画图!$C$75:$P$75</c:f>
              <c:numCache>
                <c:formatCode>0</c:formatCode>
                <c:ptCount val="9"/>
                <c:pt idx="0">
                  <c:v>152.03825224999994</c:v>
                </c:pt>
                <c:pt idx="1">
                  <c:v>25.613965</c:v>
                </c:pt>
                <c:pt idx="2">
                  <c:v>-83.89</c:v>
                </c:pt>
                <c:pt idx="3">
                  <c:v>-182.09481400000001</c:v>
                </c:pt>
                <c:pt idx="4">
                  <c:v>-17.245183000000001</c:v>
                </c:pt>
                <c:pt idx="5">
                  <c:v>308.76119299999999</c:v>
                </c:pt>
                <c:pt idx="6">
                  <c:v>1997.784095</c:v>
                </c:pt>
                <c:pt idx="7">
                  <c:v>26.059640999999999</c:v>
                </c:pt>
                <c:pt idx="8">
                  <c:v>261.53537062499998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D4-4417-A072-712CAE22C6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画图!$C$39:$P$39</c:f>
              <c:strCache>
                <c:ptCount val="9"/>
                <c:pt idx="0">
                  <c:v>上年
月均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本年
月均</c:v>
                </c:pt>
              </c:strCache>
            </c:strRef>
          </c:cat>
          <c:val>
            <c:numRef>
              <c:f>画图!$C$76:$P$76</c:f>
              <c:numCache>
                <c:formatCode>0</c:formatCode>
                <c:ptCount val="9"/>
                <c:pt idx="1">
                  <c:v>172.08333333333334</c:v>
                </c:pt>
                <c:pt idx="2">
                  <c:v>172.08333333333334</c:v>
                </c:pt>
                <c:pt idx="3">
                  <c:v>172.08333333333334</c:v>
                </c:pt>
                <c:pt idx="4">
                  <c:v>172.08333333333334</c:v>
                </c:pt>
                <c:pt idx="5">
                  <c:v>172.08333333333334</c:v>
                </c:pt>
                <c:pt idx="6">
                  <c:v>172.08333333333334</c:v>
                </c:pt>
                <c:pt idx="7">
                  <c:v>172.08333333333334</c:v>
                </c:pt>
                <c:pt idx="8">
                  <c:v>172.08333333333334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D4-4417-A072-712CAE22C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446096"/>
        <c:axId val="536446656"/>
      </c:lineChart>
      <c:catAx>
        <c:axId val="53644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6446656"/>
        <c:crossesAt val="-1000"/>
        <c:auto val="1"/>
        <c:lblAlgn val="ctr"/>
        <c:lblOffset val="100"/>
        <c:noMultiLvlLbl val="0"/>
      </c:catAx>
      <c:valAx>
        <c:axId val="53644665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644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baseline="0">
                <a:effectLst/>
              </a:rPr>
              <a:t>碳</a:t>
            </a:r>
            <a:r>
              <a:rPr lang="zh-CN" altLang="zh-CN" sz="1400" b="0" i="0" baseline="0">
                <a:effectLst/>
              </a:rPr>
              <a:t>钢轧后废品率（</a:t>
            </a:r>
            <a:r>
              <a:rPr lang="en-US" altLang="zh-CN" sz="1400" b="0" i="0" baseline="0">
                <a:effectLst/>
              </a:rPr>
              <a:t>%</a:t>
            </a:r>
            <a:r>
              <a:rPr lang="zh-CN" altLang="zh-CN" sz="1400" b="0" i="0" baseline="0">
                <a:effectLst/>
              </a:rPr>
              <a:t>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产品质量!$D$18:$Q$18</c:f>
              <c:strCache>
                <c:ptCount val="14"/>
                <c:pt idx="0">
                  <c:v>上年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8月</c:v>
                </c:pt>
                <c:pt idx="9">
                  <c:v>9月</c:v>
                </c:pt>
                <c:pt idx="10">
                  <c:v>10月</c:v>
                </c:pt>
                <c:pt idx="11">
                  <c:v>11月</c:v>
                </c:pt>
                <c:pt idx="12">
                  <c:v>12月</c:v>
                </c:pt>
                <c:pt idx="13">
                  <c:v>月均</c:v>
                </c:pt>
              </c:strCache>
            </c:strRef>
          </c:cat>
          <c:val>
            <c:numRef>
              <c:f>产品质量!$D$19:$Q$19</c:f>
              <c:numCache>
                <c:formatCode>0.00_ </c:formatCode>
                <c:ptCount val="14"/>
                <c:pt idx="0" formatCode="0.00">
                  <c:v>0.18359495392730901</c:v>
                </c:pt>
                <c:pt idx="1">
                  <c:v>0.15609940416482401</c:v>
                </c:pt>
                <c:pt idx="2">
                  <c:v>0.17302516964999601</c:v>
                </c:pt>
                <c:pt idx="3">
                  <c:v>0.160744781728383</c:v>
                </c:pt>
                <c:pt idx="4">
                  <c:v>0.14004574680976201</c:v>
                </c:pt>
                <c:pt idx="5">
                  <c:v>0.13650922572916799</c:v>
                </c:pt>
                <c:pt idx="6">
                  <c:v>0.166517538064889</c:v>
                </c:pt>
                <c:pt idx="7">
                  <c:v>0.17699999999999999</c:v>
                </c:pt>
                <c:pt idx="8">
                  <c:v>0.17578450466291101</c:v>
                </c:pt>
                <c:pt idx="9">
                  <c:v>0.14471424341293371</c:v>
                </c:pt>
                <c:pt idx="10">
                  <c:v>0.17067139708649143</c:v>
                </c:pt>
                <c:pt idx="11">
                  <c:v>0.16379432891945209</c:v>
                </c:pt>
                <c:pt idx="12">
                  <c:v>0.16333834987082074</c:v>
                </c:pt>
                <c:pt idx="13">
                  <c:v>0.16068705750830259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6-4AAE-9BCB-F6F4A4F6776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76528871391076E-2"/>
                  <c:y val="-5.0802188458837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D86-4AAE-9BCB-F6F4A4F6776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D86-4AAE-9BCB-F6F4A4F6776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D86-4AAE-9BCB-F6F4A4F6776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D86-4AAE-9BCB-F6F4A4F6776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D86-4AAE-9BCB-F6F4A4F6776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D86-4AAE-9BCB-F6F4A4F6776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D86-4AAE-9BCB-F6F4A4F6776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D86-4AAE-9BCB-F6F4A4F6776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D86-4AAE-9BCB-F6F4A4F6776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D86-4AAE-9BCB-F6F4A4F6776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D86-4AAE-9BCB-F6F4A4F6776D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D86-4AAE-9BCB-F6F4A4F6776D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D86-4AAE-9BCB-F6F4A4F6776D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D86-4AAE-9BCB-F6F4A4F677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产品质量!$D$18:$Q$18</c:f>
              <c:strCache>
                <c:ptCount val="14"/>
                <c:pt idx="0">
                  <c:v>上年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8月</c:v>
                </c:pt>
                <c:pt idx="9">
                  <c:v>9月</c:v>
                </c:pt>
                <c:pt idx="10">
                  <c:v>10月</c:v>
                </c:pt>
                <c:pt idx="11">
                  <c:v>11月</c:v>
                </c:pt>
                <c:pt idx="12">
                  <c:v>12月</c:v>
                </c:pt>
                <c:pt idx="13">
                  <c:v>月均</c:v>
                </c:pt>
              </c:strCache>
            </c:strRef>
          </c:cat>
          <c:val>
            <c:numRef>
              <c:f>产品质量!$D$20:$Q$20</c:f>
              <c:numCache>
                <c:formatCode>General</c:formatCode>
                <c:ptCount val="14"/>
                <c:pt idx="0">
                  <c:v>0.152</c:v>
                </c:pt>
                <c:pt idx="1">
                  <c:v>0.152</c:v>
                </c:pt>
                <c:pt idx="2">
                  <c:v>0.152</c:v>
                </c:pt>
                <c:pt idx="3">
                  <c:v>0.152</c:v>
                </c:pt>
                <c:pt idx="4">
                  <c:v>0.152</c:v>
                </c:pt>
                <c:pt idx="5">
                  <c:v>0.152</c:v>
                </c:pt>
                <c:pt idx="6">
                  <c:v>0.152</c:v>
                </c:pt>
                <c:pt idx="7">
                  <c:v>0.152</c:v>
                </c:pt>
                <c:pt idx="8">
                  <c:v>0.152</c:v>
                </c:pt>
                <c:pt idx="9">
                  <c:v>0.152</c:v>
                </c:pt>
                <c:pt idx="10">
                  <c:v>0.152</c:v>
                </c:pt>
                <c:pt idx="11">
                  <c:v>0.152</c:v>
                </c:pt>
                <c:pt idx="12">
                  <c:v>0.152</c:v>
                </c:pt>
                <c:pt idx="13" formatCode="0.00_ ">
                  <c:v>0.15199999999999997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D86-4AAE-9BCB-F6F4A4F677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36449456"/>
        <c:axId val="536450016"/>
      </c:lineChart>
      <c:catAx>
        <c:axId val="5364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6450016"/>
        <c:crosses val="autoZero"/>
        <c:auto val="1"/>
        <c:lblAlgn val="ctr"/>
        <c:lblOffset val="100"/>
        <c:noMultiLvlLbl val="0"/>
      </c:catAx>
      <c:valAx>
        <c:axId val="536450016"/>
        <c:scaling>
          <c:orientation val="minMax"/>
          <c:max val="0.3"/>
          <c:min val="0.1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644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不锈钢轧后废品率（</a:t>
            </a:r>
            <a:r>
              <a:rPr lang="en-US" altLang="zh-CN"/>
              <a:t>%</a:t>
            </a:r>
            <a:r>
              <a:rPr lang="zh-CN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产品质量!$D$23:$Q$23</c:f>
              <c:strCache>
                <c:ptCount val="14"/>
                <c:pt idx="0">
                  <c:v>上年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8月</c:v>
                </c:pt>
                <c:pt idx="9">
                  <c:v>9月</c:v>
                </c:pt>
                <c:pt idx="10">
                  <c:v>10月</c:v>
                </c:pt>
                <c:pt idx="11">
                  <c:v>11月</c:v>
                </c:pt>
                <c:pt idx="12">
                  <c:v>12月</c:v>
                </c:pt>
                <c:pt idx="13">
                  <c:v>月均</c:v>
                </c:pt>
              </c:strCache>
            </c:strRef>
          </c:cat>
          <c:val>
            <c:numRef>
              <c:f>产品质量!$D$24:$Q$24</c:f>
              <c:numCache>
                <c:formatCode>0.00_ </c:formatCode>
                <c:ptCount val="14"/>
                <c:pt idx="0" formatCode="0.00">
                  <c:v>0.47543060923687103</c:v>
                </c:pt>
                <c:pt idx="1">
                  <c:v>0.578641252580538</c:v>
                </c:pt>
                <c:pt idx="2">
                  <c:v>0.44726366560540998</c:v>
                </c:pt>
                <c:pt idx="3">
                  <c:v>0.54494834304072004</c:v>
                </c:pt>
                <c:pt idx="4">
                  <c:v>0.55090174758176902</c:v>
                </c:pt>
                <c:pt idx="5">
                  <c:v>0.30265343358945201</c:v>
                </c:pt>
                <c:pt idx="6">
                  <c:v>0.45580243542013199</c:v>
                </c:pt>
                <c:pt idx="7">
                  <c:v>0.65814335755391928</c:v>
                </c:pt>
                <c:pt idx="8">
                  <c:v>0.61980971887986624</c:v>
                </c:pt>
                <c:pt idx="9">
                  <c:v>0.4790191913315629</c:v>
                </c:pt>
                <c:pt idx="10">
                  <c:v>0.36026893071180971</c:v>
                </c:pt>
                <c:pt idx="11">
                  <c:v>0.39226228117828194</c:v>
                </c:pt>
                <c:pt idx="12">
                  <c:v>0.45687535749470004</c:v>
                </c:pt>
                <c:pt idx="13">
                  <c:v>0.48721580958068006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7-4510-B500-66E32D96C1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6875109361329799E-2"/>
                  <c:y val="-4.60462389009885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FF7-4510-B500-66E32D96C16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FF7-4510-B500-66E32D96C16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FF7-4510-B500-66E32D96C16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FF7-4510-B500-66E32D96C16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FF7-4510-B500-66E32D96C16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FF7-4510-B500-66E32D96C16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FF7-4510-B500-66E32D96C16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FF7-4510-B500-66E32D96C16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FF7-4510-B500-66E32D96C16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FF7-4510-B500-66E32D96C16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FF7-4510-B500-66E32D96C16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FF7-4510-B500-66E32D96C168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FF7-4510-B500-66E32D96C16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FF7-4510-B500-66E32D96C1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产品质量!$D$23:$Q$23</c:f>
              <c:strCache>
                <c:ptCount val="14"/>
                <c:pt idx="0">
                  <c:v>上年</c:v>
                </c:pt>
                <c:pt idx="1">
                  <c:v>1月</c:v>
                </c:pt>
                <c:pt idx="2">
                  <c:v>2月</c:v>
                </c:pt>
                <c:pt idx="3">
                  <c:v>3月</c:v>
                </c:pt>
                <c:pt idx="4">
                  <c:v>4月</c:v>
                </c:pt>
                <c:pt idx="5">
                  <c:v>5月</c:v>
                </c:pt>
                <c:pt idx="6">
                  <c:v>6月</c:v>
                </c:pt>
                <c:pt idx="7">
                  <c:v>7月</c:v>
                </c:pt>
                <c:pt idx="8">
                  <c:v>8月</c:v>
                </c:pt>
                <c:pt idx="9">
                  <c:v>9月</c:v>
                </c:pt>
                <c:pt idx="10">
                  <c:v>10月</c:v>
                </c:pt>
                <c:pt idx="11">
                  <c:v>11月</c:v>
                </c:pt>
                <c:pt idx="12">
                  <c:v>12月</c:v>
                </c:pt>
                <c:pt idx="13">
                  <c:v>月均</c:v>
                </c:pt>
              </c:strCache>
            </c:strRef>
          </c:cat>
          <c:val>
            <c:numRef>
              <c:f>产品质量!$D$25:$Q$25</c:f>
              <c:numCache>
                <c:formatCode>General</c:formatCode>
                <c:ptCount val="14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 formatCode="0.00_ ">
                  <c:v>0.35000000000000003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7-4510-B500-66E32D96C1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97513184"/>
        <c:axId val="297513744"/>
      </c:lineChart>
      <c:catAx>
        <c:axId val="2975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7513744"/>
        <c:crosses val="autoZero"/>
        <c:auto val="1"/>
        <c:lblAlgn val="ctr"/>
        <c:lblOffset val="100"/>
        <c:noMultiLvlLbl val="0"/>
      </c:catAx>
      <c:valAx>
        <c:axId val="297513744"/>
        <c:scaling>
          <c:orientation val="minMax"/>
          <c:min val="0.25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751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213360</xdr:colOff>
      <xdr:row>0</xdr:row>
      <xdr:rowOff>45720</xdr:rowOff>
    </xdr:from>
    <xdr:to>
      <xdr:col>23</xdr:col>
      <xdr:colOff>160020</xdr:colOff>
      <xdr:row>6</xdr:row>
      <xdr:rowOff>312420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121920</xdr:colOff>
      <xdr:row>7</xdr:row>
      <xdr:rowOff>60960</xdr:rowOff>
    </xdr:from>
    <xdr:to>
      <xdr:col>23</xdr:col>
      <xdr:colOff>83820</xdr:colOff>
      <xdr:row>14</xdr:row>
      <xdr:rowOff>129540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114300</xdr:colOff>
      <xdr:row>14</xdr:row>
      <xdr:rowOff>106680</xdr:rowOff>
    </xdr:from>
    <xdr:to>
      <xdr:col>23</xdr:col>
      <xdr:colOff>144780</xdr:colOff>
      <xdr:row>22</xdr:row>
      <xdr:rowOff>22860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30480</xdr:colOff>
      <xdr:row>22</xdr:row>
      <xdr:rowOff>91440</xdr:rowOff>
    </xdr:from>
    <xdr:to>
      <xdr:col>24</xdr:col>
      <xdr:colOff>274320</xdr:colOff>
      <xdr:row>29</xdr:row>
      <xdr:rowOff>152400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30</xdr:row>
      <xdr:rowOff>68580</xdr:rowOff>
    </xdr:from>
    <xdr:to>
      <xdr:col>23</xdr:col>
      <xdr:colOff>243840</xdr:colOff>
      <xdr:row>36</xdr:row>
      <xdr:rowOff>68580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609600</xdr:colOff>
      <xdr:row>36</xdr:row>
      <xdr:rowOff>137160</xdr:rowOff>
    </xdr:from>
    <xdr:to>
      <xdr:col>23</xdr:col>
      <xdr:colOff>273326</xdr:colOff>
      <xdr:row>43</xdr:row>
      <xdr:rowOff>175260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15240</xdr:colOff>
      <xdr:row>44</xdr:row>
      <xdr:rowOff>53340</xdr:rowOff>
    </xdr:from>
    <xdr:to>
      <xdr:col>23</xdr:col>
      <xdr:colOff>107674</xdr:colOff>
      <xdr:row>49</xdr:row>
      <xdr:rowOff>15240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7620</xdr:colOff>
      <xdr:row>49</xdr:row>
      <xdr:rowOff>160020</xdr:rowOff>
    </xdr:from>
    <xdr:to>
      <xdr:col>23</xdr:col>
      <xdr:colOff>49696</xdr:colOff>
      <xdr:row>56</xdr:row>
      <xdr:rowOff>45720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60960</xdr:colOff>
      <xdr:row>56</xdr:row>
      <xdr:rowOff>129540</xdr:rowOff>
    </xdr:from>
    <xdr:to>
      <xdr:col>24</xdr:col>
      <xdr:colOff>403860</xdr:colOff>
      <xdr:row>63</xdr:row>
      <xdr:rowOff>15240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38100</xdr:colOff>
      <xdr:row>64</xdr:row>
      <xdr:rowOff>0</xdr:rowOff>
    </xdr:from>
    <xdr:to>
      <xdr:col>24</xdr:col>
      <xdr:colOff>381000</xdr:colOff>
      <xdr:row>70</xdr:row>
      <xdr:rowOff>68580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66261</xdr:colOff>
      <xdr:row>71</xdr:row>
      <xdr:rowOff>74543</xdr:rowOff>
    </xdr:from>
    <xdr:to>
      <xdr:col>24</xdr:col>
      <xdr:colOff>409161</xdr:colOff>
      <xdr:row>79</xdr:row>
      <xdr:rowOff>143124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142875</xdr:colOff>
      <xdr:row>81</xdr:row>
      <xdr:rowOff>95250</xdr:rowOff>
    </xdr:from>
    <xdr:to>
      <xdr:col>24</xdr:col>
      <xdr:colOff>485775</xdr:colOff>
      <xdr:row>90</xdr:row>
      <xdr:rowOff>163831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533400</xdr:colOff>
      <xdr:row>15</xdr:row>
      <xdr:rowOff>167640</xdr:rowOff>
    </xdr:from>
    <xdr:to>
      <xdr:col>25</xdr:col>
      <xdr:colOff>137160</xdr:colOff>
      <xdr:row>24</xdr:row>
      <xdr:rowOff>144780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518160</xdr:colOff>
      <xdr:row>35</xdr:row>
      <xdr:rowOff>167640</xdr:rowOff>
    </xdr:from>
    <xdr:to>
      <xdr:col>17</xdr:col>
      <xdr:colOff>556260</xdr:colOff>
      <xdr:row>45</xdr:row>
      <xdr:rowOff>129540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3" Type="http://schemas.openxmlformats.org/officeDocument/2006/relationships/printerSettings" Target="../printerSettings/printerSettings3.bin"/><Relationship Id="rId21" Type="http://schemas.openxmlformats.org/officeDocument/2006/relationships/vmlDrawing" Target="../drawings/vmlDrawing1.vml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0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19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Relationship Id="rId2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.bin"/><Relationship Id="rId13" Type="http://schemas.openxmlformats.org/officeDocument/2006/relationships/printerSettings" Target="../printerSettings/printerSettings33.bin"/><Relationship Id="rId3" Type="http://schemas.openxmlformats.org/officeDocument/2006/relationships/printerSettings" Target="../printerSettings/printerSettings23.bin"/><Relationship Id="rId7" Type="http://schemas.openxmlformats.org/officeDocument/2006/relationships/printerSettings" Target="../printerSettings/printerSettings27.bin"/><Relationship Id="rId12" Type="http://schemas.openxmlformats.org/officeDocument/2006/relationships/printerSettings" Target="../printerSettings/printerSettings32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6" Type="http://schemas.openxmlformats.org/officeDocument/2006/relationships/printerSettings" Target="../printerSettings/printerSettings26.bin"/><Relationship Id="rId11" Type="http://schemas.openxmlformats.org/officeDocument/2006/relationships/printerSettings" Target="../printerSettings/printerSettings31.bin"/><Relationship Id="rId5" Type="http://schemas.openxmlformats.org/officeDocument/2006/relationships/printerSettings" Target="../printerSettings/printerSettings25.bin"/><Relationship Id="rId15" Type="http://schemas.openxmlformats.org/officeDocument/2006/relationships/printerSettings" Target="../printerSettings/printerSettings35.bin"/><Relationship Id="rId10" Type="http://schemas.openxmlformats.org/officeDocument/2006/relationships/printerSettings" Target="../printerSettings/printerSettings30.bin"/><Relationship Id="rId4" Type="http://schemas.openxmlformats.org/officeDocument/2006/relationships/printerSettings" Target="../printerSettings/printerSettings24.bin"/><Relationship Id="rId9" Type="http://schemas.openxmlformats.org/officeDocument/2006/relationships/printerSettings" Target="../printerSettings/printerSettings29.bin"/><Relationship Id="rId14" Type="http://schemas.openxmlformats.org/officeDocument/2006/relationships/printerSettings" Target="../printerSettings/printerSettings34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3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7.bin"/><Relationship Id="rId1" Type="http://schemas.openxmlformats.org/officeDocument/2006/relationships/printerSettings" Target="../printerSettings/printerSettings36.bin"/><Relationship Id="rId6" Type="http://schemas.openxmlformats.org/officeDocument/2006/relationships/printerSettings" Target="../printerSettings/printerSettings41.bin"/><Relationship Id="rId5" Type="http://schemas.openxmlformats.org/officeDocument/2006/relationships/printerSettings" Target="../printerSettings/printerSettings40.bin"/><Relationship Id="rId4" Type="http://schemas.openxmlformats.org/officeDocument/2006/relationships/printerSettings" Target="../printerSettings/printerSettings39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9.bin"/><Relationship Id="rId3" Type="http://schemas.openxmlformats.org/officeDocument/2006/relationships/printerSettings" Target="../printerSettings/printerSettings44.bin"/><Relationship Id="rId7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3.bin"/><Relationship Id="rId1" Type="http://schemas.openxmlformats.org/officeDocument/2006/relationships/printerSettings" Target="../printerSettings/printerSettings42.bin"/><Relationship Id="rId6" Type="http://schemas.openxmlformats.org/officeDocument/2006/relationships/printerSettings" Target="../printerSettings/printerSettings47.bin"/><Relationship Id="rId5" Type="http://schemas.openxmlformats.org/officeDocument/2006/relationships/printerSettings" Target="../printerSettings/printerSettings46.bin"/><Relationship Id="rId4" Type="http://schemas.openxmlformats.org/officeDocument/2006/relationships/printerSettings" Target="../printerSettings/printerSettings45.bin"/><Relationship Id="rId9" Type="http://schemas.openxmlformats.org/officeDocument/2006/relationships/printerSettings" Target="../printerSettings/printerSettings50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8.bin"/><Relationship Id="rId13" Type="http://schemas.openxmlformats.org/officeDocument/2006/relationships/comments" Target="../comments3.xml"/><Relationship Id="rId3" Type="http://schemas.openxmlformats.org/officeDocument/2006/relationships/printerSettings" Target="../printerSettings/printerSettings53.bin"/><Relationship Id="rId7" Type="http://schemas.openxmlformats.org/officeDocument/2006/relationships/printerSettings" Target="../printerSettings/printerSettings57.bin"/><Relationship Id="rId12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Relationship Id="rId6" Type="http://schemas.openxmlformats.org/officeDocument/2006/relationships/printerSettings" Target="../printerSettings/printerSettings56.bin"/><Relationship Id="rId11" Type="http://schemas.openxmlformats.org/officeDocument/2006/relationships/printerSettings" Target="../printerSettings/printerSettings61.bin"/><Relationship Id="rId5" Type="http://schemas.openxmlformats.org/officeDocument/2006/relationships/printerSettings" Target="../printerSettings/printerSettings55.bin"/><Relationship Id="rId10" Type="http://schemas.openxmlformats.org/officeDocument/2006/relationships/printerSettings" Target="../printerSettings/printerSettings60.bin"/><Relationship Id="rId4" Type="http://schemas.openxmlformats.org/officeDocument/2006/relationships/printerSettings" Target="../printerSettings/printerSettings54.bin"/><Relationship Id="rId9" Type="http://schemas.openxmlformats.org/officeDocument/2006/relationships/printerSettings" Target="../printerSettings/printerSettings59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.bin"/><Relationship Id="rId7" Type="http://schemas.openxmlformats.org/officeDocument/2006/relationships/comments" Target="../comments4.xml"/><Relationship Id="rId2" Type="http://schemas.openxmlformats.org/officeDocument/2006/relationships/printerSettings" Target="../printerSettings/printerSettings63.bin"/><Relationship Id="rId1" Type="http://schemas.openxmlformats.org/officeDocument/2006/relationships/printerSettings" Target="../printerSettings/printerSettings62.bin"/><Relationship Id="rId6" Type="http://schemas.openxmlformats.org/officeDocument/2006/relationships/vmlDrawing" Target="../drawings/vmlDrawing4.vml"/><Relationship Id="rId5" Type="http://schemas.openxmlformats.org/officeDocument/2006/relationships/printerSettings" Target="../printerSettings/printerSettings66.bin"/><Relationship Id="rId4" Type="http://schemas.openxmlformats.org/officeDocument/2006/relationships/printerSettings" Target="../printerSettings/printerSettings65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4.bin"/><Relationship Id="rId13" Type="http://schemas.openxmlformats.org/officeDocument/2006/relationships/printerSettings" Target="../printerSettings/printerSettings79.bin"/><Relationship Id="rId18" Type="http://schemas.openxmlformats.org/officeDocument/2006/relationships/printerSettings" Target="../printerSettings/printerSettings84.bin"/><Relationship Id="rId3" Type="http://schemas.openxmlformats.org/officeDocument/2006/relationships/printerSettings" Target="../printerSettings/printerSettings69.bin"/><Relationship Id="rId7" Type="http://schemas.openxmlformats.org/officeDocument/2006/relationships/printerSettings" Target="../printerSettings/printerSettings73.bin"/><Relationship Id="rId12" Type="http://schemas.openxmlformats.org/officeDocument/2006/relationships/printerSettings" Target="../printerSettings/printerSettings78.bin"/><Relationship Id="rId17" Type="http://schemas.openxmlformats.org/officeDocument/2006/relationships/printerSettings" Target="../printerSettings/printerSettings83.bin"/><Relationship Id="rId2" Type="http://schemas.openxmlformats.org/officeDocument/2006/relationships/printerSettings" Target="../printerSettings/printerSettings68.bin"/><Relationship Id="rId16" Type="http://schemas.openxmlformats.org/officeDocument/2006/relationships/printerSettings" Target="../printerSettings/printerSettings82.bin"/><Relationship Id="rId20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67.bin"/><Relationship Id="rId6" Type="http://schemas.openxmlformats.org/officeDocument/2006/relationships/printerSettings" Target="../printerSettings/printerSettings72.bin"/><Relationship Id="rId11" Type="http://schemas.openxmlformats.org/officeDocument/2006/relationships/printerSettings" Target="../printerSettings/printerSettings77.bin"/><Relationship Id="rId5" Type="http://schemas.openxmlformats.org/officeDocument/2006/relationships/printerSettings" Target="../printerSettings/printerSettings71.bin"/><Relationship Id="rId15" Type="http://schemas.openxmlformats.org/officeDocument/2006/relationships/printerSettings" Target="../printerSettings/printerSettings81.bin"/><Relationship Id="rId10" Type="http://schemas.openxmlformats.org/officeDocument/2006/relationships/printerSettings" Target="../printerSettings/printerSettings76.bin"/><Relationship Id="rId19" Type="http://schemas.openxmlformats.org/officeDocument/2006/relationships/printerSettings" Target="../printerSettings/printerSettings85.bin"/><Relationship Id="rId4" Type="http://schemas.openxmlformats.org/officeDocument/2006/relationships/printerSettings" Target="../printerSettings/printerSettings70.bin"/><Relationship Id="rId9" Type="http://schemas.openxmlformats.org/officeDocument/2006/relationships/printerSettings" Target="../printerSettings/printerSettings75.bin"/><Relationship Id="rId14" Type="http://schemas.openxmlformats.org/officeDocument/2006/relationships/printerSettings" Target="../printerSettings/printerSettings80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9.bin"/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printerSettings" Target="../printerSettings/printerSettings90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3.bin"/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Relationship Id="rId4" Type="http://schemas.openxmlformats.org/officeDocument/2006/relationships/printerSettings" Target="../printerSettings/printerSettings9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4" Type="http://schemas.openxmlformats.org/officeDocument/2006/relationships/printerSettings" Target="../printerSettings/printerSettings9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1.bin"/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10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10.bin"/><Relationship Id="rId13" Type="http://schemas.openxmlformats.org/officeDocument/2006/relationships/printerSettings" Target="../printerSettings/printerSettings115.bin"/><Relationship Id="rId18" Type="http://schemas.openxmlformats.org/officeDocument/2006/relationships/printerSettings" Target="../printerSettings/printerSettings120.bin"/><Relationship Id="rId3" Type="http://schemas.openxmlformats.org/officeDocument/2006/relationships/printerSettings" Target="../printerSettings/printerSettings105.bin"/><Relationship Id="rId21" Type="http://schemas.openxmlformats.org/officeDocument/2006/relationships/vmlDrawing" Target="../drawings/vmlDrawing6.vml"/><Relationship Id="rId7" Type="http://schemas.openxmlformats.org/officeDocument/2006/relationships/printerSettings" Target="../printerSettings/printerSettings109.bin"/><Relationship Id="rId12" Type="http://schemas.openxmlformats.org/officeDocument/2006/relationships/printerSettings" Target="../printerSettings/printerSettings114.bin"/><Relationship Id="rId17" Type="http://schemas.openxmlformats.org/officeDocument/2006/relationships/printerSettings" Target="../printerSettings/printerSettings119.bin"/><Relationship Id="rId2" Type="http://schemas.openxmlformats.org/officeDocument/2006/relationships/printerSettings" Target="../printerSettings/printerSettings104.bin"/><Relationship Id="rId16" Type="http://schemas.openxmlformats.org/officeDocument/2006/relationships/printerSettings" Target="../printerSettings/printerSettings118.bin"/><Relationship Id="rId20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03.bin"/><Relationship Id="rId6" Type="http://schemas.openxmlformats.org/officeDocument/2006/relationships/printerSettings" Target="../printerSettings/printerSettings108.bin"/><Relationship Id="rId11" Type="http://schemas.openxmlformats.org/officeDocument/2006/relationships/printerSettings" Target="../printerSettings/printerSettings113.bin"/><Relationship Id="rId5" Type="http://schemas.openxmlformats.org/officeDocument/2006/relationships/printerSettings" Target="../printerSettings/printerSettings107.bin"/><Relationship Id="rId15" Type="http://schemas.openxmlformats.org/officeDocument/2006/relationships/printerSettings" Target="../printerSettings/printerSettings117.bin"/><Relationship Id="rId10" Type="http://schemas.openxmlformats.org/officeDocument/2006/relationships/printerSettings" Target="../printerSettings/printerSettings112.bin"/><Relationship Id="rId19" Type="http://schemas.openxmlformats.org/officeDocument/2006/relationships/printerSettings" Target="../printerSettings/printerSettings121.bin"/><Relationship Id="rId4" Type="http://schemas.openxmlformats.org/officeDocument/2006/relationships/printerSettings" Target="../printerSettings/printerSettings106.bin"/><Relationship Id="rId9" Type="http://schemas.openxmlformats.org/officeDocument/2006/relationships/printerSettings" Target="../printerSettings/printerSettings111.bin"/><Relationship Id="rId14" Type="http://schemas.openxmlformats.org/officeDocument/2006/relationships/printerSettings" Target="../printerSettings/printerSettings116.bin"/><Relationship Id="rId22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5.bin"/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Relationship Id="rId6" Type="http://schemas.openxmlformats.org/officeDocument/2006/relationships/comments" Target="../comments7.xml"/><Relationship Id="rId5" Type="http://schemas.openxmlformats.org/officeDocument/2006/relationships/vmlDrawing" Target="../drawings/vmlDrawing7.vml"/><Relationship Id="rId4" Type="http://schemas.openxmlformats.org/officeDocument/2006/relationships/printerSettings" Target="../printerSettings/printerSettings12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9.bin"/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Relationship Id="rId6" Type="http://schemas.openxmlformats.org/officeDocument/2006/relationships/comments" Target="../comments8.xml"/><Relationship Id="rId5" Type="http://schemas.openxmlformats.org/officeDocument/2006/relationships/vmlDrawing" Target="../drawings/vmlDrawing8.vml"/><Relationship Id="rId4" Type="http://schemas.openxmlformats.org/officeDocument/2006/relationships/printerSettings" Target="../printerSettings/printerSettings130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38.bin"/><Relationship Id="rId13" Type="http://schemas.openxmlformats.org/officeDocument/2006/relationships/printerSettings" Target="../printerSettings/printerSettings143.bin"/><Relationship Id="rId18" Type="http://schemas.openxmlformats.org/officeDocument/2006/relationships/printerSettings" Target="../printerSettings/printerSettings148.bin"/><Relationship Id="rId3" Type="http://schemas.openxmlformats.org/officeDocument/2006/relationships/printerSettings" Target="../printerSettings/printerSettings133.bin"/><Relationship Id="rId7" Type="http://schemas.openxmlformats.org/officeDocument/2006/relationships/printerSettings" Target="../printerSettings/printerSettings137.bin"/><Relationship Id="rId12" Type="http://schemas.openxmlformats.org/officeDocument/2006/relationships/printerSettings" Target="../printerSettings/printerSettings142.bin"/><Relationship Id="rId17" Type="http://schemas.openxmlformats.org/officeDocument/2006/relationships/printerSettings" Target="../printerSettings/printerSettings147.bin"/><Relationship Id="rId2" Type="http://schemas.openxmlformats.org/officeDocument/2006/relationships/printerSettings" Target="../printerSettings/printerSettings132.bin"/><Relationship Id="rId16" Type="http://schemas.openxmlformats.org/officeDocument/2006/relationships/printerSettings" Target="../printerSettings/printerSettings146.bin"/><Relationship Id="rId20" Type="http://schemas.openxmlformats.org/officeDocument/2006/relationships/comments" Target="../comments9.xml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11" Type="http://schemas.openxmlformats.org/officeDocument/2006/relationships/printerSettings" Target="../printerSettings/printerSettings141.bin"/><Relationship Id="rId5" Type="http://schemas.openxmlformats.org/officeDocument/2006/relationships/printerSettings" Target="../printerSettings/printerSettings135.bin"/><Relationship Id="rId15" Type="http://schemas.openxmlformats.org/officeDocument/2006/relationships/printerSettings" Target="../printerSettings/printerSettings145.bin"/><Relationship Id="rId10" Type="http://schemas.openxmlformats.org/officeDocument/2006/relationships/printerSettings" Target="../printerSettings/printerSettings140.bin"/><Relationship Id="rId19" Type="http://schemas.openxmlformats.org/officeDocument/2006/relationships/vmlDrawing" Target="../drawings/vmlDrawing9.vml"/><Relationship Id="rId4" Type="http://schemas.openxmlformats.org/officeDocument/2006/relationships/printerSettings" Target="../printerSettings/printerSettings134.bin"/><Relationship Id="rId9" Type="http://schemas.openxmlformats.org/officeDocument/2006/relationships/printerSettings" Target="../printerSettings/printerSettings139.bin"/><Relationship Id="rId14" Type="http://schemas.openxmlformats.org/officeDocument/2006/relationships/printerSettings" Target="../printerSettings/printerSettings144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56.bin"/><Relationship Id="rId13" Type="http://schemas.openxmlformats.org/officeDocument/2006/relationships/printerSettings" Target="../printerSettings/printerSettings161.bin"/><Relationship Id="rId18" Type="http://schemas.openxmlformats.org/officeDocument/2006/relationships/printerSettings" Target="../printerSettings/printerSettings166.bin"/><Relationship Id="rId3" Type="http://schemas.openxmlformats.org/officeDocument/2006/relationships/printerSettings" Target="../printerSettings/printerSettings151.bin"/><Relationship Id="rId21" Type="http://schemas.openxmlformats.org/officeDocument/2006/relationships/vmlDrawing" Target="../drawings/vmlDrawing10.vml"/><Relationship Id="rId7" Type="http://schemas.openxmlformats.org/officeDocument/2006/relationships/printerSettings" Target="../printerSettings/printerSettings155.bin"/><Relationship Id="rId12" Type="http://schemas.openxmlformats.org/officeDocument/2006/relationships/printerSettings" Target="../printerSettings/printerSettings160.bin"/><Relationship Id="rId17" Type="http://schemas.openxmlformats.org/officeDocument/2006/relationships/printerSettings" Target="../printerSettings/printerSettings165.bin"/><Relationship Id="rId2" Type="http://schemas.openxmlformats.org/officeDocument/2006/relationships/printerSettings" Target="../printerSettings/printerSettings150.bin"/><Relationship Id="rId16" Type="http://schemas.openxmlformats.org/officeDocument/2006/relationships/printerSettings" Target="../printerSettings/printerSettings164.bin"/><Relationship Id="rId20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11" Type="http://schemas.openxmlformats.org/officeDocument/2006/relationships/printerSettings" Target="../printerSettings/printerSettings159.bin"/><Relationship Id="rId5" Type="http://schemas.openxmlformats.org/officeDocument/2006/relationships/printerSettings" Target="../printerSettings/printerSettings153.bin"/><Relationship Id="rId15" Type="http://schemas.openxmlformats.org/officeDocument/2006/relationships/printerSettings" Target="../printerSettings/printerSettings163.bin"/><Relationship Id="rId10" Type="http://schemas.openxmlformats.org/officeDocument/2006/relationships/printerSettings" Target="../printerSettings/printerSettings158.bin"/><Relationship Id="rId19" Type="http://schemas.openxmlformats.org/officeDocument/2006/relationships/printerSettings" Target="../printerSettings/printerSettings167.bin"/><Relationship Id="rId4" Type="http://schemas.openxmlformats.org/officeDocument/2006/relationships/printerSettings" Target="../printerSettings/printerSettings152.bin"/><Relationship Id="rId9" Type="http://schemas.openxmlformats.org/officeDocument/2006/relationships/printerSettings" Target="../printerSettings/printerSettings157.bin"/><Relationship Id="rId14" Type="http://schemas.openxmlformats.org/officeDocument/2006/relationships/printerSettings" Target="../printerSettings/printerSettings162.bin"/><Relationship Id="rId22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76.bin"/><Relationship Id="rId13" Type="http://schemas.openxmlformats.org/officeDocument/2006/relationships/printerSettings" Target="../printerSettings/printerSettings181.bin"/><Relationship Id="rId18" Type="http://schemas.openxmlformats.org/officeDocument/2006/relationships/printerSettings" Target="../printerSettings/printerSettings186.bin"/><Relationship Id="rId3" Type="http://schemas.openxmlformats.org/officeDocument/2006/relationships/printerSettings" Target="../printerSettings/printerSettings171.bin"/><Relationship Id="rId7" Type="http://schemas.openxmlformats.org/officeDocument/2006/relationships/printerSettings" Target="../printerSettings/printerSettings175.bin"/><Relationship Id="rId12" Type="http://schemas.openxmlformats.org/officeDocument/2006/relationships/printerSettings" Target="../printerSettings/printerSettings180.bin"/><Relationship Id="rId17" Type="http://schemas.openxmlformats.org/officeDocument/2006/relationships/printerSettings" Target="../printerSettings/printerSettings185.bin"/><Relationship Id="rId2" Type="http://schemas.openxmlformats.org/officeDocument/2006/relationships/printerSettings" Target="../printerSettings/printerSettings170.bin"/><Relationship Id="rId16" Type="http://schemas.openxmlformats.org/officeDocument/2006/relationships/printerSettings" Target="../printerSettings/printerSettings184.bin"/><Relationship Id="rId20" Type="http://schemas.openxmlformats.org/officeDocument/2006/relationships/printerSettings" Target="../printerSettings/printerSettings188.bin"/><Relationship Id="rId1" Type="http://schemas.openxmlformats.org/officeDocument/2006/relationships/printerSettings" Target="../printerSettings/printerSettings169.bin"/><Relationship Id="rId6" Type="http://schemas.openxmlformats.org/officeDocument/2006/relationships/printerSettings" Target="../printerSettings/printerSettings174.bin"/><Relationship Id="rId11" Type="http://schemas.openxmlformats.org/officeDocument/2006/relationships/printerSettings" Target="../printerSettings/printerSettings179.bin"/><Relationship Id="rId5" Type="http://schemas.openxmlformats.org/officeDocument/2006/relationships/printerSettings" Target="../printerSettings/printerSettings173.bin"/><Relationship Id="rId15" Type="http://schemas.openxmlformats.org/officeDocument/2006/relationships/printerSettings" Target="../printerSettings/printerSettings183.bin"/><Relationship Id="rId10" Type="http://schemas.openxmlformats.org/officeDocument/2006/relationships/printerSettings" Target="../printerSettings/printerSettings178.bin"/><Relationship Id="rId19" Type="http://schemas.openxmlformats.org/officeDocument/2006/relationships/printerSettings" Target="../printerSettings/printerSettings187.bin"/><Relationship Id="rId4" Type="http://schemas.openxmlformats.org/officeDocument/2006/relationships/printerSettings" Target="../printerSettings/printerSettings172.bin"/><Relationship Id="rId9" Type="http://schemas.openxmlformats.org/officeDocument/2006/relationships/printerSettings" Target="../printerSettings/printerSettings177.bin"/><Relationship Id="rId14" Type="http://schemas.openxmlformats.org/officeDocument/2006/relationships/printerSettings" Target="../printerSettings/printerSettings182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6.bin"/><Relationship Id="rId13" Type="http://schemas.openxmlformats.org/officeDocument/2006/relationships/printerSettings" Target="../printerSettings/printerSettings201.bin"/><Relationship Id="rId18" Type="http://schemas.openxmlformats.org/officeDocument/2006/relationships/printerSettings" Target="../printerSettings/printerSettings206.bin"/><Relationship Id="rId3" Type="http://schemas.openxmlformats.org/officeDocument/2006/relationships/printerSettings" Target="../printerSettings/printerSettings191.bin"/><Relationship Id="rId21" Type="http://schemas.openxmlformats.org/officeDocument/2006/relationships/vmlDrawing" Target="../drawings/vmlDrawing11.vml"/><Relationship Id="rId7" Type="http://schemas.openxmlformats.org/officeDocument/2006/relationships/printerSettings" Target="../printerSettings/printerSettings195.bin"/><Relationship Id="rId12" Type="http://schemas.openxmlformats.org/officeDocument/2006/relationships/printerSettings" Target="../printerSettings/printerSettings200.bin"/><Relationship Id="rId17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190.bin"/><Relationship Id="rId16" Type="http://schemas.openxmlformats.org/officeDocument/2006/relationships/printerSettings" Target="../printerSettings/printerSettings204.bin"/><Relationship Id="rId20" Type="http://schemas.openxmlformats.org/officeDocument/2006/relationships/printerSettings" Target="../printerSettings/printerSettings208.bin"/><Relationship Id="rId1" Type="http://schemas.openxmlformats.org/officeDocument/2006/relationships/printerSettings" Target="../printerSettings/printerSettings189.bin"/><Relationship Id="rId6" Type="http://schemas.openxmlformats.org/officeDocument/2006/relationships/printerSettings" Target="../printerSettings/printerSettings194.bin"/><Relationship Id="rId11" Type="http://schemas.openxmlformats.org/officeDocument/2006/relationships/printerSettings" Target="../printerSettings/printerSettings199.bin"/><Relationship Id="rId5" Type="http://schemas.openxmlformats.org/officeDocument/2006/relationships/printerSettings" Target="../printerSettings/printerSettings193.bin"/><Relationship Id="rId15" Type="http://schemas.openxmlformats.org/officeDocument/2006/relationships/printerSettings" Target="../printerSettings/printerSettings203.bin"/><Relationship Id="rId10" Type="http://schemas.openxmlformats.org/officeDocument/2006/relationships/printerSettings" Target="../printerSettings/printerSettings198.bin"/><Relationship Id="rId19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192.bin"/><Relationship Id="rId9" Type="http://schemas.openxmlformats.org/officeDocument/2006/relationships/printerSettings" Target="../printerSettings/printerSettings197.bin"/><Relationship Id="rId14" Type="http://schemas.openxmlformats.org/officeDocument/2006/relationships/printerSettings" Target="../printerSettings/printerSettings202.bin"/><Relationship Id="rId22" Type="http://schemas.openxmlformats.org/officeDocument/2006/relationships/comments" Target="../comments11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6.bin"/><Relationship Id="rId13" Type="http://schemas.openxmlformats.org/officeDocument/2006/relationships/printerSettings" Target="../printerSettings/printerSettings221.bin"/><Relationship Id="rId18" Type="http://schemas.openxmlformats.org/officeDocument/2006/relationships/printerSettings" Target="../printerSettings/printerSettings226.bin"/><Relationship Id="rId3" Type="http://schemas.openxmlformats.org/officeDocument/2006/relationships/printerSettings" Target="../printerSettings/printerSettings211.bin"/><Relationship Id="rId21" Type="http://schemas.openxmlformats.org/officeDocument/2006/relationships/vmlDrawing" Target="../drawings/vmlDrawing12.vml"/><Relationship Id="rId7" Type="http://schemas.openxmlformats.org/officeDocument/2006/relationships/printerSettings" Target="../printerSettings/printerSettings215.bin"/><Relationship Id="rId12" Type="http://schemas.openxmlformats.org/officeDocument/2006/relationships/printerSettings" Target="../printerSettings/printerSettings220.bin"/><Relationship Id="rId17" Type="http://schemas.openxmlformats.org/officeDocument/2006/relationships/printerSettings" Target="../printerSettings/printerSettings225.bin"/><Relationship Id="rId2" Type="http://schemas.openxmlformats.org/officeDocument/2006/relationships/printerSettings" Target="../printerSettings/printerSettings210.bin"/><Relationship Id="rId16" Type="http://schemas.openxmlformats.org/officeDocument/2006/relationships/printerSettings" Target="../printerSettings/printerSettings224.bin"/><Relationship Id="rId20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11" Type="http://schemas.openxmlformats.org/officeDocument/2006/relationships/printerSettings" Target="../printerSettings/printerSettings219.bin"/><Relationship Id="rId5" Type="http://schemas.openxmlformats.org/officeDocument/2006/relationships/printerSettings" Target="../printerSettings/printerSettings213.bin"/><Relationship Id="rId15" Type="http://schemas.openxmlformats.org/officeDocument/2006/relationships/printerSettings" Target="../printerSettings/printerSettings223.bin"/><Relationship Id="rId10" Type="http://schemas.openxmlformats.org/officeDocument/2006/relationships/printerSettings" Target="../printerSettings/printerSettings218.bin"/><Relationship Id="rId19" Type="http://schemas.openxmlformats.org/officeDocument/2006/relationships/printerSettings" Target="../printerSettings/printerSettings227.bin"/><Relationship Id="rId4" Type="http://schemas.openxmlformats.org/officeDocument/2006/relationships/printerSettings" Target="../printerSettings/printerSettings212.bin"/><Relationship Id="rId9" Type="http://schemas.openxmlformats.org/officeDocument/2006/relationships/printerSettings" Target="../printerSettings/printerSettings217.bin"/><Relationship Id="rId14" Type="http://schemas.openxmlformats.org/officeDocument/2006/relationships/printerSettings" Target="../printerSettings/printerSettings222.bin"/><Relationship Id="rId22" Type="http://schemas.openxmlformats.org/officeDocument/2006/relationships/comments" Target="../comments12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36.bin"/><Relationship Id="rId3" Type="http://schemas.openxmlformats.org/officeDocument/2006/relationships/printerSettings" Target="../printerSettings/printerSettings231.bin"/><Relationship Id="rId7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0.bin"/><Relationship Id="rId1" Type="http://schemas.openxmlformats.org/officeDocument/2006/relationships/printerSettings" Target="../printerSettings/printerSettings229.bin"/><Relationship Id="rId6" Type="http://schemas.openxmlformats.org/officeDocument/2006/relationships/printerSettings" Target="../printerSettings/printerSettings234.bin"/><Relationship Id="rId5" Type="http://schemas.openxmlformats.org/officeDocument/2006/relationships/printerSettings" Target="../printerSettings/printerSettings233.bin"/><Relationship Id="rId10" Type="http://schemas.openxmlformats.org/officeDocument/2006/relationships/comments" Target="../comments13.xml"/><Relationship Id="rId4" Type="http://schemas.openxmlformats.org/officeDocument/2006/relationships/printerSettings" Target="../printerSettings/printerSettings232.bin"/><Relationship Id="rId9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9.bin"/><Relationship Id="rId2" Type="http://schemas.openxmlformats.org/officeDocument/2006/relationships/printerSettings" Target="../printerSettings/printerSettings238.bin"/><Relationship Id="rId1" Type="http://schemas.openxmlformats.org/officeDocument/2006/relationships/printerSettings" Target="../printerSettings/printerSettings237.bin"/><Relationship Id="rId5" Type="http://schemas.openxmlformats.org/officeDocument/2006/relationships/printerSettings" Target="../printerSettings/printerSettings241.bin"/><Relationship Id="rId4" Type="http://schemas.openxmlformats.org/officeDocument/2006/relationships/printerSettings" Target="../printerSettings/printerSettings240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49.bin"/><Relationship Id="rId13" Type="http://schemas.openxmlformats.org/officeDocument/2006/relationships/printerSettings" Target="../printerSettings/printerSettings254.bin"/><Relationship Id="rId3" Type="http://schemas.openxmlformats.org/officeDocument/2006/relationships/printerSettings" Target="../printerSettings/printerSettings244.bin"/><Relationship Id="rId7" Type="http://schemas.openxmlformats.org/officeDocument/2006/relationships/printerSettings" Target="../printerSettings/printerSettings248.bin"/><Relationship Id="rId12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43.bin"/><Relationship Id="rId1" Type="http://schemas.openxmlformats.org/officeDocument/2006/relationships/printerSettings" Target="../printerSettings/printerSettings242.bin"/><Relationship Id="rId6" Type="http://schemas.openxmlformats.org/officeDocument/2006/relationships/printerSettings" Target="../printerSettings/printerSettings247.bin"/><Relationship Id="rId11" Type="http://schemas.openxmlformats.org/officeDocument/2006/relationships/printerSettings" Target="../printerSettings/printerSettings252.bin"/><Relationship Id="rId5" Type="http://schemas.openxmlformats.org/officeDocument/2006/relationships/printerSettings" Target="../printerSettings/printerSettings246.bin"/><Relationship Id="rId15" Type="http://schemas.openxmlformats.org/officeDocument/2006/relationships/printerSettings" Target="../printerSettings/printerSettings256.bin"/><Relationship Id="rId10" Type="http://schemas.openxmlformats.org/officeDocument/2006/relationships/printerSettings" Target="../printerSettings/printerSettings251.bin"/><Relationship Id="rId4" Type="http://schemas.openxmlformats.org/officeDocument/2006/relationships/printerSettings" Target="../printerSettings/printerSettings245.bin"/><Relationship Id="rId9" Type="http://schemas.openxmlformats.org/officeDocument/2006/relationships/printerSettings" Target="../printerSettings/printerSettings250.bin"/><Relationship Id="rId14" Type="http://schemas.openxmlformats.org/officeDocument/2006/relationships/printerSettings" Target="../printerSettings/printerSettings255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64.bin"/><Relationship Id="rId13" Type="http://schemas.openxmlformats.org/officeDocument/2006/relationships/printerSettings" Target="../printerSettings/printerSettings269.bin"/><Relationship Id="rId18" Type="http://schemas.openxmlformats.org/officeDocument/2006/relationships/printerSettings" Target="../printerSettings/printerSettings274.bin"/><Relationship Id="rId3" Type="http://schemas.openxmlformats.org/officeDocument/2006/relationships/printerSettings" Target="../printerSettings/printerSettings259.bin"/><Relationship Id="rId7" Type="http://schemas.openxmlformats.org/officeDocument/2006/relationships/printerSettings" Target="../printerSettings/printerSettings263.bin"/><Relationship Id="rId12" Type="http://schemas.openxmlformats.org/officeDocument/2006/relationships/printerSettings" Target="../printerSettings/printerSettings268.bin"/><Relationship Id="rId17" Type="http://schemas.openxmlformats.org/officeDocument/2006/relationships/printerSettings" Target="../printerSettings/printerSettings273.bin"/><Relationship Id="rId2" Type="http://schemas.openxmlformats.org/officeDocument/2006/relationships/printerSettings" Target="../printerSettings/printerSettings258.bin"/><Relationship Id="rId16" Type="http://schemas.openxmlformats.org/officeDocument/2006/relationships/printerSettings" Target="../printerSettings/printerSettings272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11" Type="http://schemas.openxmlformats.org/officeDocument/2006/relationships/printerSettings" Target="../printerSettings/printerSettings267.bin"/><Relationship Id="rId5" Type="http://schemas.openxmlformats.org/officeDocument/2006/relationships/printerSettings" Target="../printerSettings/printerSettings261.bin"/><Relationship Id="rId15" Type="http://schemas.openxmlformats.org/officeDocument/2006/relationships/printerSettings" Target="../printerSettings/printerSettings271.bin"/><Relationship Id="rId10" Type="http://schemas.openxmlformats.org/officeDocument/2006/relationships/printerSettings" Target="../printerSettings/printerSettings266.bin"/><Relationship Id="rId19" Type="http://schemas.openxmlformats.org/officeDocument/2006/relationships/printerSettings" Target="../printerSettings/printerSettings275.bin"/><Relationship Id="rId4" Type="http://schemas.openxmlformats.org/officeDocument/2006/relationships/printerSettings" Target="../printerSettings/printerSettings260.bin"/><Relationship Id="rId9" Type="http://schemas.openxmlformats.org/officeDocument/2006/relationships/printerSettings" Target="../printerSettings/printerSettings265.bin"/><Relationship Id="rId14" Type="http://schemas.openxmlformats.org/officeDocument/2006/relationships/printerSettings" Target="../printerSettings/printerSettings270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8.bin"/><Relationship Id="rId2" Type="http://schemas.openxmlformats.org/officeDocument/2006/relationships/printerSettings" Target="../printerSettings/printerSettings277.bin"/><Relationship Id="rId1" Type="http://schemas.openxmlformats.org/officeDocument/2006/relationships/printerSettings" Target="../printerSettings/printerSettings276.bin"/><Relationship Id="rId4" Type="http://schemas.openxmlformats.org/officeDocument/2006/relationships/printerSettings" Target="../printerSettings/printerSettings279.bin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7.bin"/><Relationship Id="rId3" Type="http://schemas.openxmlformats.org/officeDocument/2006/relationships/printerSettings" Target="../printerSettings/printerSettings282.bin"/><Relationship Id="rId7" Type="http://schemas.openxmlformats.org/officeDocument/2006/relationships/printerSettings" Target="../printerSettings/printerSettings286.bin"/><Relationship Id="rId2" Type="http://schemas.openxmlformats.org/officeDocument/2006/relationships/printerSettings" Target="../printerSettings/printerSettings281.bin"/><Relationship Id="rId1" Type="http://schemas.openxmlformats.org/officeDocument/2006/relationships/printerSettings" Target="../printerSettings/printerSettings280.bin"/><Relationship Id="rId6" Type="http://schemas.openxmlformats.org/officeDocument/2006/relationships/printerSettings" Target="../printerSettings/printerSettings285.bin"/><Relationship Id="rId5" Type="http://schemas.openxmlformats.org/officeDocument/2006/relationships/printerSettings" Target="../printerSettings/printerSettings284.bin"/><Relationship Id="rId4" Type="http://schemas.openxmlformats.org/officeDocument/2006/relationships/printerSettings" Target="../printerSettings/printerSettings283.bin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95.bin"/><Relationship Id="rId13" Type="http://schemas.openxmlformats.org/officeDocument/2006/relationships/printerSettings" Target="../printerSettings/printerSettings300.bin"/><Relationship Id="rId18" Type="http://schemas.openxmlformats.org/officeDocument/2006/relationships/printerSettings" Target="../printerSettings/printerSettings305.bin"/><Relationship Id="rId3" Type="http://schemas.openxmlformats.org/officeDocument/2006/relationships/printerSettings" Target="../printerSettings/printerSettings290.bin"/><Relationship Id="rId7" Type="http://schemas.openxmlformats.org/officeDocument/2006/relationships/printerSettings" Target="../printerSettings/printerSettings294.bin"/><Relationship Id="rId12" Type="http://schemas.openxmlformats.org/officeDocument/2006/relationships/printerSettings" Target="../printerSettings/printerSettings299.bin"/><Relationship Id="rId17" Type="http://schemas.openxmlformats.org/officeDocument/2006/relationships/printerSettings" Target="../printerSettings/printerSettings304.bin"/><Relationship Id="rId2" Type="http://schemas.openxmlformats.org/officeDocument/2006/relationships/printerSettings" Target="../printerSettings/printerSettings289.bin"/><Relationship Id="rId16" Type="http://schemas.openxmlformats.org/officeDocument/2006/relationships/printerSettings" Target="../printerSettings/printerSettings303.bin"/><Relationship Id="rId20" Type="http://schemas.openxmlformats.org/officeDocument/2006/relationships/printerSettings" Target="../printerSettings/printerSettings307.bin"/><Relationship Id="rId1" Type="http://schemas.openxmlformats.org/officeDocument/2006/relationships/printerSettings" Target="../printerSettings/printerSettings288.bin"/><Relationship Id="rId6" Type="http://schemas.openxmlformats.org/officeDocument/2006/relationships/printerSettings" Target="../printerSettings/printerSettings293.bin"/><Relationship Id="rId11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2.bin"/><Relationship Id="rId15" Type="http://schemas.openxmlformats.org/officeDocument/2006/relationships/printerSettings" Target="../printerSettings/printerSettings302.bin"/><Relationship Id="rId10" Type="http://schemas.openxmlformats.org/officeDocument/2006/relationships/printerSettings" Target="../printerSettings/printerSettings297.bin"/><Relationship Id="rId19" Type="http://schemas.openxmlformats.org/officeDocument/2006/relationships/printerSettings" Target="../printerSettings/printerSettings306.bin"/><Relationship Id="rId4" Type="http://schemas.openxmlformats.org/officeDocument/2006/relationships/printerSettings" Target="../printerSettings/printerSettings291.bin"/><Relationship Id="rId9" Type="http://schemas.openxmlformats.org/officeDocument/2006/relationships/printerSettings" Target="../printerSettings/printerSettings296.bin"/><Relationship Id="rId14" Type="http://schemas.openxmlformats.org/officeDocument/2006/relationships/printerSettings" Target="../printerSettings/printerSettings301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0.bin"/><Relationship Id="rId2" Type="http://schemas.openxmlformats.org/officeDocument/2006/relationships/printerSettings" Target="../printerSettings/printerSettings309.bin"/><Relationship Id="rId1" Type="http://schemas.openxmlformats.org/officeDocument/2006/relationships/printerSettings" Target="../printerSettings/printerSettings308.bin"/><Relationship Id="rId4" Type="http://schemas.openxmlformats.org/officeDocument/2006/relationships/printerSettings" Target="../printerSettings/printerSettings311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19.bin"/><Relationship Id="rId13" Type="http://schemas.openxmlformats.org/officeDocument/2006/relationships/printerSettings" Target="../printerSettings/printerSettings324.bin"/><Relationship Id="rId18" Type="http://schemas.openxmlformats.org/officeDocument/2006/relationships/printerSettings" Target="../printerSettings/printerSettings329.bin"/><Relationship Id="rId3" Type="http://schemas.openxmlformats.org/officeDocument/2006/relationships/printerSettings" Target="../printerSettings/printerSettings314.bin"/><Relationship Id="rId7" Type="http://schemas.openxmlformats.org/officeDocument/2006/relationships/printerSettings" Target="../printerSettings/printerSettings318.bin"/><Relationship Id="rId12" Type="http://schemas.openxmlformats.org/officeDocument/2006/relationships/printerSettings" Target="../printerSettings/printerSettings323.bin"/><Relationship Id="rId17" Type="http://schemas.openxmlformats.org/officeDocument/2006/relationships/printerSettings" Target="../printerSettings/printerSettings328.bin"/><Relationship Id="rId2" Type="http://schemas.openxmlformats.org/officeDocument/2006/relationships/printerSettings" Target="../printerSettings/printerSettings313.bin"/><Relationship Id="rId16" Type="http://schemas.openxmlformats.org/officeDocument/2006/relationships/printerSettings" Target="../printerSettings/printerSettings327.bin"/><Relationship Id="rId20" Type="http://schemas.openxmlformats.org/officeDocument/2006/relationships/printerSettings" Target="../printerSettings/printerSettings331.bin"/><Relationship Id="rId1" Type="http://schemas.openxmlformats.org/officeDocument/2006/relationships/printerSettings" Target="../printerSettings/printerSettings312.bin"/><Relationship Id="rId6" Type="http://schemas.openxmlformats.org/officeDocument/2006/relationships/printerSettings" Target="../printerSettings/printerSettings317.bin"/><Relationship Id="rId11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16.bin"/><Relationship Id="rId15" Type="http://schemas.openxmlformats.org/officeDocument/2006/relationships/printerSettings" Target="../printerSettings/printerSettings326.bin"/><Relationship Id="rId10" Type="http://schemas.openxmlformats.org/officeDocument/2006/relationships/printerSettings" Target="../printerSettings/printerSettings321.bin"/><Relationship Id="rId19" Type="http://schemas.openxmlformats.org/officeDocument/2006/relationships/printerSettings" Target="../printerSettings/printerSettings330.bin"/><Relationship Id="rId4" Type="http://schemas.openxmlformats.org/officeDocument/2006/relationships/printerSettings" Target="../printerSettings/printerSettings315.bin"/><Relationship Id="rId9" Type="http://schemas.openxmlformats.org/officeDocument/2006/relationships/printerSettings" Target="../printerSettings/printerSettings320.bin"/><Relationship Id="rId14" Type="http://schemas.openxmlformats.org/officeDocument/2006/relationships/printerSettings" Target="../printerSettings/printerSettings325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39.bin"/><Relationship Id="rId3" Type="http://schemas.openxmlformats.org/officeDocument/2006/relationships/printerSettings" Target="../printerSettings/printerSettings334.bin"/><Relationship Id="rId7" Type="http://schemas.openxmlformats.org/officeDocument/2006/relationships/printerSettings" Target="../printerSettings/printerSettings338.bin"/><Relationship Id="rId12" Type="http://schemas.openxmlformats.org/officeDocument/2006/relationships/comments" Target="../comments14.xml"/><Relationship Id="rId2" Type="http://schemas.openxmlformats.org/officeDocument/2006/relationships/printerSettings" Target="../printerSettings/printerSettings333.bin"/><Relationship Id="rId1" Type="http://schemas.openxmlformats.org/officeDocument/2006/relationships/printerSettings" Target="../printerSettings/printerSettings332.bin"/><Relationship Id="rId6" Type="http://schemas.openxmlformats.org/officeDocument/2006/relationships/printerSettings" Target="../printerSettings/printerSettings337.bin"/><Relationship Id="rId11" Type="http://schemas.openxmlformats.org/officeDocument/2006/relationships/vmlDrawing" Target="../drawings/vmlDrawing14.vml"/><Relationship Id="rId5" Type="http://schemas.openxmlformats.org/officeDocument/2006/relationships/printerSettings" Target="../printerSettings/printerSettings336.bin"/><Relationship Id="rId10" Type="http://schemas.openxmlformats.org/officeDocument/2006/relationships/printerSettings" Target="../printerSettings/printerSettings341.bin"/><Relationship Id="rId4" Type="http://schemas.openxmlformats.org/officeDocument/2006/relationships/printerSettings" Target="../printerSettings/printerSettings335.bin"/><Relationship Id="rId9" Type="http://schemas.openxmlformats.org/officeDocument/2006/relationships/printerSettings" Target="../printerSettings/printerSettings34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4.bin"/><Relationship Id="rId2" Type="http://schemas.openxmlformats.org/officeDocument/2006/relationships/printerSettings" Target="../printerSettings/printerSettings343.bin"/><Relationship Id="rId1" Type="http://schemas.openxmlformats.org/officeDocument/2006/relationships/printerSettings" Target="../printerSettings/printerSettings342.bin"/><Relationship Id="rId6" Type="http://schemas.openxmlformats.org/officeDocument/2006/relationships/comments" Target="../comments15.xml"/><Relationship Id="rId5" Type="http://schemas.openxmlformats.org/officeDocument/2006/relationships/vmlDrawing" Target="../drawings/vmlDrawing15.vml"/><Relationship Id="rId4" Type="http://schemas.openxmlformats.org/officeDocument/2006/relationships/printerSettings" Target="../printerSettings/printerSettings345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8.bin"/><Relationship Id="rId2" Type="http://schemas.openxmlformats.org/officeDocument/2006/relationships/printerSettings" Target="../printerSettings/printerSettings347.bin"/><Relationship Id="rId1" Type="http://schemas.openxmlformats.org/officeDocument/2006/relationships/printerSettings" Target="../printerSettings/printerSettings346.bin"/><Relationship Id="rId6" Type="http://schemas.openxmlformats.org/officeDocument/2006/relationships/comments" Target="../comments16.xml"/><Relationship Id="rId5" Type="http://schemas.openxmlformats.org/officeDocument/2006/relationships/vmlDrawing" Target="../drawings/vmlDrawing16.vml"/><Relationship Id="rId4" Type="http://schemas.openxmlformats.org/officeDocument/2006/relationships/printerSettings" Target="../printerSettings/printerSettings349.bin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7.bin"/><Relationship Id="rId13" Type="http://schemas.openxmlformats.org/officeDocument/2006/relationships/printerSettings" Target="../printerSettings/printerSettings362.bin"/><Relationship Id="rId18" Type="http://schemas.openxmlformats.org/officeDocument/2006/relationships/printerSettings" Target="../printerSettings/printerSettings367.bin"/><Relationship Id="rId3" Type="http://schemas.openxmlformats.org/officeDocument/2006/relationships/printerSettings" Target="../printerSettings/printerSettings352.bin"/><Relationship Id="rId7" Type="http://schemas.openxmlformats.org/officeDocument/2006/relationships/printerSettings" Target="../printerSettings/printerSettings356.bin"/><Relationship Id="rId12" Type="http://schemas.openxmlformats.org/officeDocument/2006/relationships/printerSettings" Target="../printerSettings/printerSettings361.bin"/><Relationship Id="rId17" Type="http://schemas.openxmlformats.org/officeDocument/2006/relationships/printerSettings" Target="../printerSettings/printerSettings366.bin"/><Relationship Id="rId2" Type="http://schemas.openxmlformats.org/officeDocument/2006/relationships/printerSettings" Target="../printerSettings/printerSettings351.bin"/><Relationship Id="rId16" Type="http://schemas.openxmlformats.org/officeDocument/2006/relationships/printerSettings" Target="../printerSettings/printerSettings365.bin"/><Relationship Id="rId1" Type="http://schemas.openxmlformats.org/officeDocument/2006/relationships/printerSettings" Target="../printerSettings/printerSettings350.bin"/><Relationship Id="rId6" Type="http://schemas.openxmlformats.org/officeDocument/2006/relationships/printerSettings" Target="../printerSettings/printerSettings355.bin"/><Relationship Id="rId11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4.bin"/><Relationship Id="rId15" Type="http://schemas.openxmlformats.org/officeDocument/2006/relationships/printerSettings" Target="../printerSettings/printerSettings364.bin"/><Relationship Id="rId10" Type="http://schemas.openxmlformats.org/officeDocument/2006/relationships/printerSettings" Target="../printerSettings/printerSettings359.bin"/><Relationship Id="rId19" Type="http://schemas.openxmlformats.org/officeDocument/2006/relationships/printerSettings" Target="../printerSettings/printerSettings368.bin"/><Relationship Id="rId4" Type="http://schemas.openxmlformats.org/officeDocument/2006/relationships/printerSettings" Target="../printerSettings/printerSettings353.bin"/><Relationship Id="rId9" Type="http://schemas.openxmlformats.org/officeDocument/2006/relationships/printerSettings" Target="../printerSettings/printerSettings358.bin"/><Relationship Id="rId14" Type="http://schemas.openxmlformats.org/officeDocument/2006/relationships/printerSettings" Target="../printerSettings/printerSettings363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1.bin"/><Relationship Id="rId2" Type="http://schemas.openxmlformats.org/officeDocument/2006/relationships/printerSettings" Target="../printerSettings/printerSettings370.bin"/><Relationship Id="rId1" Type="http://schemas.openxmlformats.org/officeDocument/2006/relationships/printerSettings" Target="../printerSettings/printerSettings369.bin"/><Relationship Id="rId6" Type="http://schemas.openxmlformats.org/officeDocument/2006/relationships/comments" Target="../comments17.xml"/><Relationship Id="rId5" Type="http://schemas.openxmlformats.org/officeDocument/2006/relationships/vmlDrawing" Target="../drawings/vmlDrawing17.vml"/><Relationship Id="rId4" Type="http://schemas.openxmlformats.org/officeDocument/2006/relationships/printerSettings" Target="../printerSettings/printerSettings372.bin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80.bin"/><Relationship Id="rId13" Type="http://schemas.openxmlformats.org/officeDocument/2006/relationships/printerSettings" Target="../printerSettings/printerSettings385.bin"/><Relationship Id="rId18" Type="http://schemas.openxmlformats.org/officeDocument/2006/relationships/printerSettings" Target="../printerSettings/printerSettings390.bin"/><Relationship Id="rId3" Type="http://schemas.openxmlformats.org/officeDocument/2006/relationships/printerSettings" Target="../printerSettings/printerSettings375.bin"/><Relationship Id="rId7" Type="http://schemas.openxmlformats.org/officeDocument/2006/relationships/printerSettings" Target="../printerSettings/printerSettings379.bin"/><Relationship Id="rId12" Type="http://schemas.openxmlformats.org/officeDocument/2006/relationships/printerSettings" Target="../printerSettings/printerSettings384.bin"/><Relationship Id="rId17" Type="http://schemas.openxmlformats.org/officeDocument/2006/relationships/printerSettings" Target="../printerSettings/printerSettings389.bin"/><Relationship Id="rId2" Type="http://schemas.openxmlformats.org/officeDocument/2006/relationships/printerSettings" Target="../printerSettings/printerSettings374.bin"/><Relationship Id="rId16" Type="http://schemas.openxmlformats.org/officeDocument/2006/relationships/printerSettings" Target="../printerSettings/printerSettings388.bin"/><Relationship Id="rId20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11" Type="http://schemas.openxmlformats.org/officeDocument/2006/relationships/printerSettings" Target="../printerSettings/printerSettings383.bin"/><Relationship Id="rId5" Type="http://schemas.openxmlformats.org/officeDocument/2006/relationships/printerSettings" Target="../printerSettings/printerSettings377.bin"/><Relationship Id="rId15" Type="http://schemas.openxmlformats.org/officeDocument/2006/relationships/printerSettings" Target="../printerSettings/printerSettings387.bin"/><Relationship Id="rId10" Type="http://schemas.openxmlformats.org/officeDocument/2006/relationships/printerSettings" Target="../printerSettings/printerSettings382.bin"/><Relationship Id="rId19" Type="http://schemas.openxmlformats.org/officeDocument/2006/relationships/printerSettings" Target="../printerSettings/printerSettings391.bin"/><Relationship Id="rId4" Type="http://schemas.openxmlformats.org/officeDocument/2006/relationships/printerSettings" Target="../printerSettings/printerSettings376.bin"/><Relationship Id="rId9" Type="http://schemas.openxmlformats.org/officeDocument/2006/relationships/printerSettings" Target="../printerSettings/printerSettings381.bin"/><Relationship Id="rId14" Type="http://schemas.openxmlformats.org/officeDocument/2006/relationships/printerSettings" Target="../printerSettings/printerSettings386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5.bin"/><Relationship Id="rId2" Type="http://schemas.openxmlformats.org/officeDocument/2006/relationships/printerSettings" Target="../printerSettings/printerSettings394.bin"/><Relationship Id="rId1" Type="http://schemas.openxmlformats.org/officeDocument/2006/relationships/printerSettings" Target="../printerSettings/printerSettings393.bin"/><Relationship Id="rId6" Type="http://schemas.openxmlformats.org/officeDocument/2006/relationships/comments" Target="../comments18.xml"/><Relationship Id="rId5" Type="http://schemas.openxmlformats.org/officeDocument/2006/relationships/vmlDrawing" Target="../drawings/vmlDrawing18.vml"/><Relationship Id="rId4" Type="http://schemas.openxmlformats.org/officeDocument/2006/relationships/printerSettings" Target="../printerSettings/printerSettings39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9.bin"/><Relationship Id="rId7" Type="http://schemas.openxmlformats.org/officeDocument/2006/relationships/drawing" Target="../drawings/drawing1.x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5.bin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4" Type="http://schemas.openxmlformats.org/officeDocument/2006/relationships/printerSettings" Target="../printerSettings/printerSettings406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9.bin"/><Relationship Id="rId2" Type="http://schemas.openxmlformats.org/officeDocument/2006/relationships/printerSettings" Target="../printerSettings/printerSettings408.bin"/><Relationship Id="rId1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10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3.bin"/><Relationship Id="rId2" Type="http://schemas.openxmlformats.org/officeDocument/2006/relationships/printerSettings" Target="../printerSettings/printerSettings412.bin"/><Relationship Id="rId1" Type="http://schemas.openxmlformats.org/officeDocument/2006/relationships/printerSettings" Target="../printerSettings/printerSettings411.bin"/><Relationship Id="rId4" Type="http://schemas.openxmlformats.org/officeDocument/2006/relationships/printerSettings" Target="../printerSettings/printerSettings414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7.bin"/><Relationship Id="rId7" Type="http://schemas.openxmlformats.org/officeDocument/2006/relationships/comments" Target="../comments19.xml"/><Relationship Id="rId2" Type="http://schemas.openxmlformats.org/officeDocument/2006/relationships/printerSettings" Target="../printerSettings/printerSettings416.bin"/><Relationship Id="rId1" Type="http://schemas.openxmlformats.org/officeDocument/2006/relationships/printerSettings" Target="../printerSettings/printerSettings415.bin"/><Relationship Id="rId6" Type="http://schemas.openxmlformats.org/officeDocument/2006/relationships/vmlDrawing" Target="../drawings/vmlDrawing19.v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418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26.bin"/><Relationship Id="rId13" Type="http://schemas.openxmlformats.org/officeDocument/2006/relationships/printerSettings" Target="../printerSettings/printerSettings431.bin"/><Relationship Id="rId18" Type="http://schemas.openxmlformats.org/officeDocument/2006/relationships/printerSettings" Target="../printerSettings/printerSettings436.bin"/><Relationship Id="rId3" Type="http://schemas.openxmlformats.org/officeDocument/2006/relationships/printerSettings" Target="../printerSettings/printerSettings421.bin"/><Relationship Id="rId7" Type="http://schemas.openxmlformats.org/officeDocument/2006/relationships/printerSettings" Target="../printerSettings/printerSettings425.bin"/><Relationship Id="rId12" Type="http://schemas.openxmlformats.org/officeDocument/2006/relationships/printerSettings" Target="../printerSettings/printerSettings430.bin"/><Relationship Id="rId17" Type="http://schemas.openxmlformats.org/officeDocument/2006/relationships/printerSettings" Target="../printerSettings/printerSettings435.bin"/><Relationship Id="rId2" Type="http://schemas.openxmlformats.org/officeDocument/2006/relationships/printerSettings" Target="../printerSettings/printerSettings420.bin"/><Relationship Id="rId16" Type="http://schemas.openxmlformats.org/officeDocument/2006/relationships/printerSettings" Target="../printerSettings/printerSettings434.bin"/><Relationship Id="rId20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11" Type="http://schemas.openxmlformats.org/officeDocument/2006/relationships/printerSettings" Target="../printerSettings/printerSettings429.bin"/><Relationship Id="rId5" Type="http://schemas.openxmlformats.org/officeDocument/2006/relationships/printerSettings" Target="../printerSettings/printerSettings423.bin"/><Relationship Id="rId15" Type="http://schemas.openxmlformats.org/officeDocument/2006/relationships/printerSettings" Target="../printerSettings/printerSettings433.bin"/><Relationship Id="rId10" Type="http://schemas.openxmlformats.org/officeDocument/2006/relationships/printerSettings" Target="../printerSettings/printerSettings428.bin"/><Relationship Id="rId19" Type="http://schemas.openxmlformats.org/officeDocument/2006/relationships/printerSettings" Target="../printerSettings/printerSettings437.bin"/><Relationship Id="rId4" Type="http://schemas.openxmlformats.org/officeDocument/2006/relationships/printerSettings" Target="../printerSettings/printerSettings422.bin"/><Relationship Id="rId9" Type="http://schemas.openxmlformats.org/officeDocument/2006/relationships/printerSettings" Target="../printerSettings/printerSettings427.bin"/><Relationship Id="rId14" Type="http://schemas.openxmlformats.org/officeDocument/2006/relationships/printerSettings" Target="../printerSettings/printerSettings432.bin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46.bin"/><Relationship Id="rId13" Type="http://schemas.openxmlformats.org/officeDocument/2006/relationships/printerSettings" Target="../printerSettings/printerSettings451.bin"/><Relationship Id="rId18" Type="http://schemas.openxmlformats.org/officeDocument/2006/relationships/printerSettings" Target="../printerSettings/printerSettings456.bin"/><Relationship Id="rId3" Type="http://schemas.openxmlformats.org/officeDocument/2006/relationships/printerSettings" Target="../printerSettings/printerSettings441.bin"/><Relationship Id="rId7" Type="http://schemas.openxmlformats.org/officeDocument/2006/relationships/printerSettings" Target="../printerSettings/printerSettings445.bin"/><Relationship Id="rId12" Type="http://schemas.openxmlformats.org/officeDocument/2006/relationships/printerSettings" Target="../printerSettings/printerSettings450.bin"/><Relationship Id="rId17" Type="http://schemas.openxmlformats.org/officeDocument/2006/relationships/printerSettings" Target="../printerSettings/printerSettings455.bin"/><Relationship Id="rId2" Type="http://schemas.openxmlformats.org/officeDocument/2006/relationships/printerSettings" Target="../printerSettings/printerSettings440.bin"/><Relationship Id="rId16" Type="http://schemas.openxmlformats.org/officeDocument/2006/relationships/printerSettings" Target="../printerSettings/printerSettings454.bin"/><Relationship Id="rId20" Type="http://schemas.openxmlformats.org/officeDocument/2006/relationships/printerSettings" Target="../printerSettings/printerSettings458.bin"/><Relationship Id="rId1" Type="http://schemas.openxmlformats.org/officeDocument/2006/relationships/printerSettings" Target="../printerSettings/printerSettings439.bin"/><Relationship Id="rId6" Type="http://schemas.openxmlformats.org/officeDocument/2006/relationships/printerSettings" Target="../printerSettings/printerSettings444.bin"/><Relationship Id="rId11" Type="http://schemas.openxmlformats.org/officeDocument/2006/relationships/printerSettings" Target="../printerSettings/printerSettings449.bin"/><Relationship Id="rId5" Type="http://schemas.openxmlformats.org/officeDocument/2006/relationships/printerSettings" Target="../printerSettings/printerSettings443.bin"/><Relationship Id="rId15" Type="http://schemas.openxmlformats.org/officeDocument/2006/relationships/printerSettings" Target="../printerSettings/printerSettings453.bin"/><Relationship Id="rId10" Type="http://schemas.openxmlformats.org/officeDocument/2006/relationships/printerSettings" Target="../printerSettings/printerSettings448.bin"/><Relationship Id="rId19" Type="http://schemas.openxmlformats.org/officeDocument/2006/relationships/printerSettings" Target="../printerSettings/printerSettings457.bin"/><Relationship Id="rId4" Type="http://schemas.openxmlformats.org/officeDocument/2006/relationships/printerSettings" Target="../printerSettings/printerSettings442.bin"/><Relationship Id="rId9" Type="http://schemas.openxmlformats.org/officeDocument/2006/relationships/printerSettings" Target="../printerSettings/printerSettings447.bin"/><Relationship Id="rId14" Type="http://schemas.openxmlformats.org/officeDocument/2006/relationships/printerSettings" Target="../printerSettings/printerSettings452.bin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66.bin"/><Relationship Id="rId13" Type="http://schemas.openxmlformats.org/officeDocument/2006/relationships/printerSettings" Target="../printerSettings/printerSettings471.bin"/><Relationship Id="rId18" Type="http://schemas.openxmlformats.org/officeDocument/2006/relationships/printerSettings" Target="../printerSettings/printerSettings476.bin"/><Relationship Id="rId3" Type="http://schemas.openxmlformats.org/officeDocument/2006/relationships/printerSettings" Target="../printerSettings/printerSettings461.bin"/><Relationship Id="rId7" Type="http://schemas.openxmlformats.org/officeDocument/2006/relationships/printerSettings" Target="../printerSettings/printerSettings465.bin"/><Relationship Id="rId12" Type="http://schemas.openxmlformats.org/officeDocument/2006/relationships/printerSettings" Target="../printerSettings/printerSettings470.bin"/><Relationship Id="rId17" Type="http://schemas.openxmlformats.org/officeDocument/2006/relationships/printerSettings" Target="../printerSettings/printerSettings475.bin"/><Relationship Id="rId2" Type="http://schemas.openxmlformats.org/officeDocument/2006/relationships/printerSettings" Target="../printerSettings/printerSettings460.bin"/><Relationship Id="rId16" Type="http://schemas.openxmlformats.org/officeDocument/2006/relationships/printerSettings" Target="../printerSettings/printerSettings474.bin"/><Relationship Id="rId20" Type="http://schemas.openxmlformats.org/officeDocument/2006/relationships/printerSettings" Target="../printerSettings/printerSettings478.bin"/><Relationship Id="rId1" Type="http://schemas.openxmlformats.org/officeDocument/2006/relationships/printerSettings" Target="../printerSettings/printerSettings459.bin"/><Relationship Id="rId6" Type="http://schemas.openxmlformats.org/officeDocument/2006/relationships/printerSettings" Target="../printerSettings/printerSettings464.bin"/><Relationship Id="rId11" Type="http://schemas.openxmlformats.org/officeDocument/2006/relationships/printerSettings" Target="../printerSettings/printerSettings469.bin"/><Relationship Id="rId5" Type="http://schemas.openxmlformats.org/officeDocument/2006/relationships/printerSettings" Target="../printerSettings/printerSettings463.bin"/><Relationship Id="rId15" Type="http://schemas.openxmlformats.org/officeDocument/2006/relationships/printerSettings" Target="../printerSettings/printerSettings473.bin"/><Relationship Id="rId10" Type="http://schemas.openxmlformats.org/officeDocument/2006/relationships/printerSettings" Target="../printerSettings/printerSettings468.bin"/><Relationship Id="rId19" Type="http://schemas.openxmlformats.org/officeDocument/2006/relationships/printerSettings" Target="../printerSettings/printerSettings477.bin"/><Relationship Id="rId4" Type="http://schemas.openxmlformats.org/officeDocument/2006/relationships/printerSettings" Target="../printerSettings/printerSettings462.bin"/><Relationship Id="rId9" Type="http://schemas.openxmlformats.org/officeDocument/2006/relationships/printerSettings" Target="../printerSettings/printerSettings467.bin"/><Relationship Id="rId14" Type="http://schemas.openxmlformats.org/officeDocument/2006/relationships/printerSettings" Target="../printerSettings/printerSettings472.bin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86.bin"/><Relationship Id="rId13" Type="http://schemas.openxmlformats.org/officeDocument/2006/relationships/printerSettings" Target="../printerSettings/printerSettings491.bin"/><Relationship Id="rId18" Type="http://schemas.openxmlformats.org/officeDocument/2006/relationships/printerSettings" Target="../printerSettings/printerSettings496.bin"/><Relationship Id="rId3" Type="http://schemas.openxmlformats.org/officeDocument/2006/relationships/printerSettings" Target="../printerSettings/printerSettings481.bin"/><Relationship Id="rId7" Type="http://schemas.openxmlformats.org/officeDocument/2006/relationships/printerSettings" Target="../printerSettings/printerSettings485.bin"/><Relationship Id="rId12" Type="http://schemas.openxmlformats.org/officeDocument/2006/relationships/printerSettings" Target="../printerSettings/printerSettings490.bin"/><Relationship Id="rId17" Type="http://schemas.openxmlformats.org/officeDocument/2006/relationships/printerSettings" Target="../printerSettings/printerSettings495.bin"/><Relationship Id="rId2" Type="http://schemas.openxmlformats.org/officeDocument/2006/relationships/printerSettings" Target="../printerSettings/printerSettings480.bin"/><Relationship Id="rId16" Type="http://schemas.openxmlformats.org/officeDocument/2006/relationships/printerSettings" Target="../printerSettings/printerSettings494.bin"/><Relationship Id="rId20" Type="http://schemas.openxmlformats.org/officeDocument/2006/relationships/printerSettings" Target="../printerSettings/printerSettings498.bin"/><Relationship Id="rId1" Type="http://schemas.openxmlformats.org/officeDocument/2006/relationships/printerSettings" Target="../printerSettings/printerSettings479.bin"/><Relationship Id="rId6" Type="http://schemas.openxmlformats.org/officeDocument/2006/relationships/printerSettings" Target="../printerSettings/printerSettings484.bin"/><Relationship Id="rId11" Type="http://schemas.openxmlformats.org/officeDocument/2006/relationships/printerSettings" Target="../printerSettings/printerSettings489.bin"/><Relationship Id="rId5" Type="http://schemas.openxmlformats.org/officeDocument/2006/relationships/printerSettings" Target="../printerSettings/printerSettings483.bin"/><Relationship Id="rId15" Type="http://schemas.openxmlformats.org/officeDocument/2006/relationships/printerSettings" Target="../printerSettings/printerSettings493.bin"/><Relationship Id="rId10" Type="http://schemas.openxmlformats.org/officeDocument/2006/relationships/printerSettings" Target="../printerSettings/printerSettings488.bin"/><Relationship Id="rId19" Type="http://schemas.openxmlformats.org/officeDocument/2006/relationships/printerSettings" Target="../printerSettings/printerSettings497.bin"/><Relationship Id="rId4" Type="http://schemas.openxmlformats.org/officeDocument/2006/relationships/printerSettings" Target="../printerSettings/printerSettings482.bin"/><Relationship Id="rId9" Type="http://schemas.openxmlformats.org/officeDocument/2006/relationships/printerSettings" Target="../printerSettings/printerSettings487.bin"/><Relationship Id="rId14" Type="http://schemas.openxmlformats.org/officeDocument/2006/relationships/printerSettings" Target="../printerSettings/printerSettings492.bin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06.bin"/><Relationship Id="rId13" Type="http://schemas.openxmlformats.org/officeDocument/2006/relationships/printerSettings" Target="../printerSettings/printerSettings511.bin"/><Relationship Id="rId18" Type="http://schemas.openxmlformats.org/officeDocument/2006/relationships/printerSettings" Target="../printerSettings/printerSettings516.bin"/><Relationship Id="rId3" Type="http://schemas.openxmlformats.org/officeDocument/2006/relationships/printerSettings" Target="../printerSettings/printerSettings501.bin"/><Relationship Id="rId7" Type="http://schemas.openxmlformats.org/officeDocument/2006/relationships/printerSettings" Target="../printerSettings/printerSettings505.bin"/><Relationship Id="rId12" Type="http://schemas.openxmlformats.org/officeDocument/2006/relationships/printerSettings" Target="../printerSettings/printerSettings510.bin"/><Relationship Id="rId17" Type="http://schemas.openxmlformats.org/officeDocument/2006/relationships/printerSettings" Target="../printerSettings/printerSettings515.bin"/><Relationship Id="rId2" Type="http://schemas.openxmlformats.org/officeDocument/2006/relationships/printerSettings" Target="../printerSettings/printerSettings500.bin"/><Relationship Id="rId16" Type="http://schemas.openxmlformats.org/officeDocument/2006/relationships/printerSettings" Target="../printerSettings/printerSettings514.bin"/><Relationship Id="rId20" Type="http://schemas.openxmlformats.org/officeDocument/2006/relationships/printerSettings" Target="../printerSettings/printerSettings518.bin"/><Relationship Id="rId1" Type="http://schemas.openxmlformats.org/officeDocument/2006/relationships/printerSettings" Target="../printerSettings/printerSettings499.bin"/><Relationship Id="rId6" Type="http://schemas.openxmlformats.org/officeDocument/2006/relationships/printerSettings" Target="../printerSettings/printerSettings504.bin"/><Relationship Id="rId11" Type="http://schemas.openxmlformats.org/officeDocument/2006/relationships/printerSettings" Target="../printerSettings/printerSettings509.bin"/><Relationship Id="rId5" Type="http://schemas.openxmlformats.org/officeDocument/2006/relationships/printerSettings" Target="../printerSettings/printerSettings503.bin"/><Relationship Id="rId15" Type="http://schemas.openxmlformats.org/officeDocument/2006/relationships/printerSettings" Target="../printerSettings/printerSettings513.bin"/><Relationship Id="rId10" Type="http://schemas.openxmlformats.org/officeDocument/2006/relationships/printerSettings" Target="../printerSettings/printerSettings508.bin"/><Relationship Id="rId19" Type="http://schemas.openxmlformats.org/officeDocument/2006/relationships/printerSettings" Target="../printerSettings/printerSettings517.bin"/><Relationship Id="rId4" Type="http://schemas.openxmlformats.org/officeDocument/2006/relationships/printerSettings" Target="../printerSettings/printerSettings502.bin"/><Relationship Id="rId9" Type="http://schemas.openxmlformats.org/officeDocument/2006/relationships/printerSettings" Target="../printerSettings/printerSettings507.bin"/><Relationship Id="rId14" Type="http://schemas.openxmlformats.org/officeDocument/2006/relationships/printerSettings" Target="../printerSettings/printerSettings512.bin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26.bin"/><Relationship Id="rId3" Type="http://schemas.openxmlformats.org/officeDocument/2006/relationships/printerSettings" Target="../printerSettings/printerSettings521.bin"/><Relationship Id="rId7" Type="http://schemas.openxmlformats.org/officeDocument/2006/relationships/printerSettings" Target="../printerSettings/printerSettings525.bin"/><Relationship Id="rId12" Type="http://schemas.openxmlformats.org/officeDocument/2006/relationships/printerSettings" Target="../printerSettings/printerSettings530.bin"/><Relationship Id="rId2" Type="http://schemas.openxmlformats.org/officeDocument/2006/relationships/printerSettings" Target="../printerSettings/printerSettings520.bin"/><Relationship Id="rId1" Type="http://schemas.openxmlformats.org/officeDocument/2006/relationships/printerSettings" Target="../printerSettings/printerSettings519.bin"/><Relationship Id="rId6" Type="http://schemas.openxmlformats.org/officeDocument/2006/relationships/printerSettings" Target="../printerSettings/printerSettings524.bin"/><Relationship Id="rId11" Type="http://schemas.openxmlformats.org/officeDocument/2006/relationships/printerSettings" Target="../printerSettings/printerSettings529.bin"/><Relationship Id="rId5" Type="http://schemas.openxmlformats.org/officeDocument/2006/relationships/printerSettings" Target="../printerSettings/printerSettings523.bin"/><Relationship Id="rId10" Type="http://schemas.openxmlformats.org/officeDocument/2006/relationships/printerSettings" Target="../printerSettings/printerSettings528.bin"/><Relationship Id="rId4" Type="http://schemas.openxmlformats.org/officeDocument/2006/relationships/printerSettings" Target="../printerSettings/printerSettings522.bin"/><Relationship Id="rId9" Type="http://schemas.openxmlformats.org/officeDocument/2006/relationships/printerSettings" Target="../printerSettings/printerSettings52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B209"/>
  <sheetViews>
    <sheetView topLeftCell="A58" zoomScaleNormal="85" workbookViewId="0">
      <selection activeCell="I48" sqref="I48"/>
    </sheetView>
  </sheetViews>
  <sheetFormatPr defaultColWidth="9" defaultRowHeight="13.5"/>
  <cols>
    <col min="1" max="1" width="9" style="987"/>
    <col min="2" max="2" width="16.125" style="987" customWidth="1"/>
    <col min="3" max="3" width="20.375" style="987" customWidth="1"/>
    <col min="4" max="4" width="14.125" style="987" customWidth="1"/>
    <col min="5" max="5" width="13.25" style="987" customWidth="1"/>
    <col min="6" max="7" width="14" style="987" customWidth="1"/>
    <col min="8" max="8" width="14.625" style="987" customWidth="1"/>
    <col min="9" max="9" width="15.375" style="987" customWidth="1"/>
    <col min="10" max="11" width="14" style="987" customWidth="1"/>
    <col min="12" max="12" width="12.75" style="987" customWidth="1"/>
    <col min="13" max="13" width="13.375" style="987" customWidth="1"/>
    <col min="14" max="15" width="14" style="987" customWidth="1"/>
    <col min="16" max="16" width="12.625" style="987" customWidth="1"/>
    <col min="17" max="17" width="15.375" style="987" customWidth="1"/>
    <col min="18" max="18" width="9.5" style="987" bestFit="1" customWidth="1"/>
    <col min="19" max="19" width="13.875" style="987" customWidth="1"/>
    <col min="20" max="20" width="9" style="987"/>
    <col min="21" max="21" width="11.25" style="987" bestFit="1" customWidth="1"/>
    <col min="22" max="22" width="15.625" style="987" customWidth="1"/>
    <col min="23" max="16384" width="9" style="987"/>
  </cols>
  <sheetData>
    <row r="1" spans="1:14" s="153" customFormat="1" ht="20.25" customHeight="1" thickTop="1">
      <c r="A1" s="153" t="s">
        <v>0</v>
      </c>
      <c r="B1" s="153">
        <v>2021</v>
      </c>
      <c r="E1" s="180"/>
      <c r="F1" s="180"/>
      <c r="H1" s="153">
        <f>IF(B2=1,B1-1,B1)</f>
        <v>2021</v>
      </c>
      <c r="J1" s="2616" t="s">
        <v>1110</v>
      </c>
      <c r="K1" s="2617"/>
      <c r="L1" s="2617"/>
      <c r="M1" s="2617"/>
      <c r="N1" s="2618"/>
    </row>
    <row r="2" spans="1:14" s="153" customFormat="1" ht="15" customHeight="1" thickBot="1">
      <c r="A2" s="153" t="s">
        <v>1</v>
      </c>
      <c r="B2" s="153">
        <v>8</v>
      </c>
      <c r="D2" s="180"/>
      <c r="E2" s="180"/>
      <c r="F2" s="180"/>
      <c r="H2" s="153">
        <f>IF(B2=1,12,B2-1)</f>
        <v>7</v>
      </c>
      <c r="J2" s="2619"/>
      <c r="K2" s="2620"/>
      <c r="L2" s="2620"/>
      <c r="M2" s="2620"/>
      <c r="N2" s="2621"/>
    </row>
    <row r="3" spans="1:14" ht="14.25" thickTop="1"/>
    <row r="5" spans="1:14">
      <c r="A5" s="151" t="s">
        <v>1241</v>
      </c>
      <c r="B5" s="1889" t="s">
        <v>1187</v>
      </c>
      <c r="C5" s="1889" t="s">
        <v>1245</v>
      </c>
      <c r="D5" s="1889" t="s">
        <v>1244</v>
      </c>
      <c r="E5" s="1889" t="s">
        <v>1233</v>
      </c>
      <c r="F5" s="1889" t="s">
        <v>1234</v>
      </c>
      <c r="G5" s="1889" t="s">
        <v>1198</v>
      </c>
    </row>
    <row r="6" spans="1:14">
      <c r="B6" s="1685" t="s">
        <v>1251</v>
      </c>
      <c r="C6" s="1889" t="s">
        <v>1246</v>
      </c>
      <c r="D6" s="1833">
        <f>I33</f>
        <v>118.05</v>
      </c>
      <c r="E6" s="1902" t="s">
        <v>1250</v>
      </c>
      <c r="F6" s="1902" t="s">
        <v>1250</v>
      </c>
      <c r="G6" s="1833">
        <f>SUM(D6:F6)</f>
        <v>118.05</v>
      </c>
    </row>
    <row r="7" spans="1:14">
      <c r="B7" s="1685" t="s">
        <v>1252</v>
      </c>
      <c r="C7" s="1889" t="s">
        <v>1246</v>
      </c>
      <c r="D7" s="1833">
        <f>I42</f>
        <v>41.4</v>
      </c>
      <c r="E7" s="1902" t="s">
        <v>1250</v>
      </c>
      <c r="F7" s="1902" t="s">
        <v>1250</v>
      </c>
      <c r="G7" s="1833">
        <f t="shared" ref="G7:G16" si="0">SUM(D7:F7)</f>
        <v>41.4</v>
      </c>
    </row>
    <row r="8" spans="1:14">
      <c r="B8" s="1685" t="s">
        <v>1253</v>
      </c>
      <c r="C8" s="1889" t="s">
        <v>1246</v>
      </c>
      <c r="D8" s="1833">
        <f>I54</f>
        <v>81.5</v>
      </c>
      <c r="E8" s="1902">
        <f>I55</f>
        <v>11.63</v>
      </c>
      <c r="F8" s="1902" t="s">
        <v>1250</v>
      </c>
      <c r="G8" s="1833">
        <f t="shared" si="0"/>
        <v>93.13</v>
      </c>
    </row>
    <row r="9" spans="1:14">
      <c r="B9" s="1685" t="s">
        <v>1254</v>
      </c>
      <c r="C9" s="1889" t="s">
        <v>1246</v>
      </c>
      <c r="D9" s="1833">
        <f>I57</f>
        <v>110</v>
      </c>
      <c r="E9" s="1902">
        <f>I58</f>
        <v>15.26</v>
      </c>
      <c r="F9" s="1902" t="s">
        <v>1250</v>
      </c>
      <c r="G9" s="1833">
        <f t="shared" si="0"/>
        <v>125.26</v>
      </c>
    </row>
    <row r="10" spans="1:14">
      <c r="B10" s="1698" t="s">
        <v>1248</v>
      </c>
      <c r="C10" s="1741" t="s">
        <v>1246</v>
      </c>
      <c r="D10" s="1727">
        <f>I60</f>
        <v>38.5</v>
      </c>
      <c r="E10" s="1900">
        <f>I61</f>
        <v>15.26</v>
      </c>
      <c r="F10" s="1900" t="s">
        <v>1250</v>
      </c>
      <c r="G10" s="1727">
        <f t="shared" si="0"/>
        <v>53.76</v>
      </c>
    </row>
    <row r="11" spans="1:14">
      <c r="B11" s="1685" t="s">
        <v>1255</v>
      </c>
      <c r="C11" s="1889" t="s">
        <v>1246</v>
      </c>
      <c r="D11" s="1833">
        <f>I63</f>
        <v>105.05</v>
      </c>
      <c r="E11" s="1902">
        <f>I64</f>
        <v>14.95</v>
      </c>
      <c r="F11" s="1902">
        <f>I65</f>
        <v>5.9</v>
      </c>
      <c r="G11" s="1833">
        <f>SUM(D11:F11)+I66</f>
        <v>123.9</v>
      </c>
    </row>
    <row r="12" spans="1:14">
      <c r="B12" s="1698" t="s">
        <v>1249</v>
      </c>
      <c r="C12" s="1741" t="s">
        <v>1246</v>
      </c>
      <c r="D12" s="1727">
        <f>I68</f>
        <v>34.65</v>
      </c>
      <c r="E12" s="1900">
        <f>I69</f>
        <v>14.95</v>
      </c>
      <c r="F12" s="1727">
        <f>I70</f>
        <v>5.9</v>
      </c>
      <c r="G12" s="1727">
        <f>SUM(D12:F12)+I84</f>
        <v>53.499999999999993</v>
      </c>
    </row>
    <row r="13" spans="1:14">
      <c r="B13" s="1860" t="s">
        <v>1256</v>
      </c>
      <c r="C13" s="1889" t="s">
        <v>1246</v>
      </c>
      <c r="D13" s="1833">
        <f>I76</f>
        <v>104.9</v>
      </c>
      <c r="E13" s="1833">
        <f>I77</f>
        <v>15.55</v>
      </c>
      <c r="F13" s="1837">
        <f>I78</f>
        <v>5.9</v>
      </c>
      <c r="G13" s="1833">
        <f>SUM(D13:F13)+I79</f>
        <v>124.35000000000001</v>
      </c>
    </row>
    <row r="14" spans="1:14">
      <c r="B14" s="1901" t="s">
        <v>1257</v>
      </c>
      <c r="C14" s="1741" t="s">
        <v>1246</v>
      </c>
      <c r="D14" s="1727">
        <f>I81</f>
        <v>34.9</v>
      </c>
      <c r="E14" s="1727">
        <f>I82</f>
        <v>15.55</v>
      </c>
      <c r="F14" s="1777">
        <f>I83</f>
        <v>5.9</v>
      </c>
      <c r="G14" s="1727">
        <f>SUM(D14:F14)+I84</f>
        <v>54.35</v>
      </c>
    </row>
    <row r="15" spans="1:14">
      <c r="B15" s="1685" t="s">
        <v>1242</v>
      </c>
      <c r="C15" s="1889" t="s">
        <v>1247</v>
      </c>
      <c r="D15" s="1833">
        <f>I120</f>
        <v>105.25427474148199</v>
      </c>
      <c r="E15" s="1833">
        <f>I125</f>
        <v>16.680099999999999</v>
      </c>
      <c r="F15" s="1902">
        <f>I126</f>
        <v>7.2</v>
      </c>
      <c r="G15" s="1833">
        <f t="shared" si="0"/>
        <v>129.13437474148199</v>
      </c>
    </row>
    <row r="16" spans="1:14">
      <c r="B16" s="1899" t="s">
        <v>1243</v>
      </c>
      <c r="C16" s="1889" t="s">
        <v>1247</v>
      </c>
      <c r="D16" s="1833">
        <f>'@预测#经营利润#'!E6/10000</f>
        <v>19.180672878146151</v>
      </c>
      <c r="E16" s="1833">
        <f>'@预测#经营利润#'!E49/10000</f>
        <v>0.1028</v>
      </c>
      <c r="F16" s="1902">
        <f>'@预测#利润建议# '!E50/10000</f>
        <v>0.2</v>
      </c>
      <c r="G16" s="1833">
        <f t="shared" si="0"/>
        <v>19.483472878146149</v>
      </c>
    </row>
    <row r="17" spans="1:22">
      <c r="B17" s="2087"/>
      <c r="C17" s="1690"/>
      <c r="D17" s="2088"/>
      <c r="E17" s="2088"/>
      <c r="F17" s="2089"/>
      <c r="G17" s="2088"/>
    </row>
    <row r="18" spans="1:22">
      <c r="B18" s="2085" t="s">
        <v>1187</v>
      </c>
      <c r="C18" s="2085" t="s">
        <v>1245</v>
      </c>
      <c r="D18" s="2085" t="s">
        <v>1244</v>
      </c>
      <c r="E18" s="2085" t="s">
        <v>1233</v>
      </c>
      <c r="F18" s="2085" t="s">
        <v>1234</v>
      </c>
      <c r="G18" s="2085" t="s">
        <v>1198</v>
      </c>
    </row>
    <row r="19" spans="1:22">
      <c r="B19" s="1685" t="s">
        <v>1251</v>
      </c>
      <c r="C19" s="2085" t="s">
        <v>1246</v>
      </c>
      <c r="D19" s="1833">
        <f>M33</f>
        <v>948.97691627236986</v>
      </c>
      <c r="E19" s="1902" t="s">
        <v>186</v>
      </c>
      <c r="F19" s="1902" t="s">
        <v>186</v>
      </c>
      <c r="G19" s="1833">
        <f>SUM(D19:F19)</f>
        <v>948.97691627236986</v>
      </c>
    </row>
    <row r="20" spans="1:22">
      <c r="B20" s="1685" t="s">
        <v>1252</v>
      </c>
      <c r="C20" s="2085" t="s">
        <v>1246</v>
      </c>
      <c r="D20" s="1833">
        <f>M42</f>
        <v>305.88779999999997</v>
      </c>
      <c r="E20" s="1902" t="s">
        <v>186</v>
      </c>
      <c r="F20" s="1902" t="s">
        <v>186</v>
      </c>
      <c r="G20" s="1833">
        <f t="shared" ref="G20:G29" si="1">SUM(D20:F20)</f>
        <v>305.88779999999997</v>
      </c>
    </row>
    <row r="21" spans="1:22">
      <c r="B21" s="1685" t="s">
        <v>1253</v>
      </c>
      <c r="C21" s="2085" t="s">
        <v>1246</v>
      </c>
      <c r="D21" s="1833">
        <f>M54</f>
        <v>629.81799999999998</v>
      </c>
      <c r="E21" s="1833">
        <f>M55</f>
        <v>98.192799999999991</v>
      </c>
      <c r="F21" s="1902" t="s">
        <v>186</v>
      </c>
      <c r="G21" s="1833">
        <f t="shared" si="1"/>
        <v>728.01080000000002</v>
      </c>
    </row>
    <row r="22" spans="1:22">
      <c r="B22" s="1685" t="s">
        <v>1254</v>
      </c>
      <c r="C22" s="2085" t="s">
        <v>1246</v>
      </c>
      <c r="D22" s="1833">
        <f>M57</f>
        <v>843.98829069999988</v>
      </c>
      <c r="E22" s="1833">
        <f>M58</f>
        <v>127.93100000000001</v>
      </c>
      <c r="F22" s="1902" t="s">
        <v>186</v>
      </c>
      <c r="G22" s="1833">
        <f t="shared" si="1"/>
        <v>971.91929069999992</v>
      </c>
    </row>
    <row r="23" spans="1:22">
      <c r="B23" s="1698" t="s">
        <v>1248</v>
      </c>
      <c r="C23" s="1741" t="s">
        <v>1246</v>
      </c>
      <c r="D23" s="1727">
        <f>M60</f>
        <v>295.47094170000003</v>
      </c>
      <c r="E23" s="1727">
        <f>M61</f>
        <v>105.9881</v>
      </c>
      <c r="F23" s="1900" t="s">
        <v>186</v>
      </c>
      <c r="G23" s="1727">
        <f t="shared" si="1"/>
        <v>401.45904170000006</v>
      </c>
    </row>
    <row r="24" spans="1:22">
      <c r="B24" s="1685" t="s">
        <v>1255</v>
      </c>
      <c r="C24" s="2085" t="s">
        <v>1246</v>
      </c>
      <c r="D24" s="1833">
        <f>M63</f>
        <v>801.6941086999999</v>
      </c>
      <c r="E24" s="1833">
        <f>M64</f>
        <v>126.91630640000001</v>
      </c>
      <c r="F24" s="1833">
        <f>M65</f>
        <v>46.843850400000001</v>
      </c>
      <c r="G24" s="1833">
        <f>SUM(D24:F24)+M66</f>
        <v>958.29329979999989</v>
      </c>
    </row>
    <row r="25" spans="1:22">
      <c r="B25" s="1698" t="s">
        <v>1249</v>
      </c>
      <c r="C25" s="1741" t="s">
        <v>1246</v>
      </c>
      <c r="D25" s="1727">
        <f>M68</f>
        <v>274.86745210000004</v>
      </c>
      <c r="E25" s="1727">
        <f>M69</f>
        <v>105.6942064</v>
      </c>
      <c r="F25" s="1727">
        <f>M70</f>
        <v>46.843850400000001</v>
      </c>
      <c r="G25" s="1727">
        <f>SUM(D25:F25)+M71</f>
        <v>412.31850920000005</v>
      </c>
    </row>
    <row r="26" spans="1:22">
      <c r="B26" s="1860" t="s">
        <v>1256</v>
      </c>
      <c r="C26" s="2085" t="s">
        <v>1246</v>
      </c>
      <c r="D26" s="1833">
        <f>M76</f>
        <v>803.34760282023592</v>
      </c>
      <c r="E26" s="1833">
        <f>M77</f>
        <v>127.9593</v>
      </c>
      <c r="F26" s="1833">
        <f>M78</f>
        <v>47.115899999999996</v>
      </c>
      <c r="G26" s="1833">
        <f>SUM(D26:F26)+M79</f>
        <v>963.33580312023594</v>
      </c>
    </row>
    <row r="27" spans="1:22">
      <c r="B27" s="1901" t="s">
        <v>1257</v>
      </c>
      <c r="C27" s="1741" t="s">
        <v>1246</v>
      </c>
      <c r="D27" s="1727">
        <f>M81</f>
        <v>275.48764372023595</v>
      </c>
      <c r="E27" s="1727">
        <f>M82</f>
        <v>106.8193</v>
      </c>
      <c r="F27" s="1727">
        <f>M83</f>
        <v>47.115899999999996</v>
      </c>
      <c r="G27" s="1727">
        <f>SUM(D27:F27)+M84</f>
        <v>414.33584402023598</v>
      </c>
    </row>
    <row r="28" spans="1:22">
      <c r="B28" s="1685" t="s">
        <v>1242</v>
      </c>
      <c r="C28" s="2085" t="s">
        <v>1247</v>
      </c>
      <c r="D28" s="1833">
        <f>M120</f>
        <v>761.37628818108203</v>
      </c>
      <c r="E28" s="2090">
        <f>M125</f>
        <v>97.775129136899992</v>
      </c>
      <c r="F28" s="2090">
        <f>M126</f>
        <v>58.547162606400001</v>
      </c>
      <c r="G28" s="1833">
        <f t="shared" si="1"/>
        <v>917.69857992438199</v>
      </c>
    </row>
    <row r="29" spans="1:22">
      <c r="B29" s="1899" t="s">
        <v>1243</v>
      </c>
      <c r="C29" s="2085" t="s">
        <v>1247</v>
      </c>
      <c r="D29" s="1833">
        <f>'@预测#利润分析#'!J68/10000</f>
        <v>168.34527456436314</v>
      </c>
      <c r="E29" s="1833">
        <f>'@预测#利润分析#'!J7/10000</f>
        <v>0.45373142199999755</v>
      </c>
      <c r="F29" s="1833">
        <f>'@预测#利润分析#'!J8/10000</f>
        <v>3.3144370124000009</v>
      </c>
      <c r="G29" s="1833">
        <f t="shared" si="1"/>
        <v>172.11344299876313</v>
      </c>
    </row>
    <row r="31" spans="1:22" ht="18" customHeight="1">
      <c r="A31" s="151" t="s">
        <v>2</v>
      </c>
      <c r="B31" s="2622" t="s">
        <v>3</v>
      </c>
      <c r="C31" s="2622"/>
      <c r="D31" s="2624" t="str">
        <f>B1-1&amp;"年"</f>
        <v>2020年</v>
      </c>
      <c r="E31" s="2625"/>
      <c r="F31" s="2626"/>
      <c r="G31" s="2624" t="str">
        <f>B1&amp;"年"</f>
        <v>2021年</v>
      </c>
      <c r="H31" s="2625"/>
      <c r="I31" s="2625"/>
      <c r="J31" s="2625"/>
      <c r="K31" s="2625"/>
      <c r="L31" s="2625"/>
      <c r="M31" s="2625"/>
      <c r="N31" s="2625"/>
      <c r="O31" s="2626"/>
    </row>
    <row r="32" spans="1:22" ht="30" customHeight="1">
      <c r="B32" s="2622"/>
      <c r="C32" s="2622"/>
      <c r="D32" s="393" t="s">
        <v>4</v>
      </c>
      <c r="E32" s="393" t="str">
        <f>B2&amp;"月"</f>
        <v>8月</v>
      </c>
      <c r="F32" s="393" t="s">
        <v>5</v>
      </c>
      <c r="G32" s="393" t="s">
        <v>6</v>
      </c>
      <c r="H32" s="393" t="str">
        <f>H2&amp;"月"</f>
        <v>7月</v>
      </c>
      <c r="I32" s="393" t="str">
        <f>B2&amp;"月"</f>
        <v>8月</v>
      </c>
      <c r="J32" s="393" t="s">
        <v>7</v>
      </c>
      <c r="K32" s="393" t="s">
        <v>8</v>
      </c>
      <c r="L32" s="393" t="s">
        <v>9</v>
      </c>
      <c r="M32" s="393" t="s">
        <v>5</v>
      </c>
      <c r="N32" s="954" t="s">
        <v>10</v>
      </c>
      <c r="O32" s="954" t="s">
        <v>11</v>
      </c>
      <c r="Q32" s="393" t="str">
        <f>"1-"&amp;B2-1&amp;"月累计"</f>
        <v>1-7月累计</v>
      </c>
      <c r="U32" s="987" t="s">
        <v>1333</v>
      </c>
      <c r="V32" s="987" t="s">
        <v>1334</v>
      </c>
    </row>
    <row r="33" spans="2:22" ht="14.25">
      <c r="B33" s="2630" t="s">
        <v>12</v>
      </c>
      <c r="C33" s="394" t="s">
        <v>13</v>
      </c>
      <c r="D33" s="928">
        <v>1291.7342967212801</v>
      </c>
      <c r="E33" s="928">
        <f>E34+E38+E39</f>
        <v>109.19611380000001</v>
      </c>
      <c r="F33" s="928">
        <f>F34+F38+F39</f>
        <v>863.39394432128006</v>
      </c>
      <c r="G33" s="928">
        <f>G34+G38+G39</f>
        <v>1395</v>
      </c>
      <c r="H33" s="928">
        <f>H34+H38+H39</f>
        <v>111.71344400000001</v>
      </c>
      <c r="I33" s="928">
        <f>I34+I38+I39</f>
        <v>118.05</v>
      </c>
      <c r="J33" s="1470">
        <f t="shared" ref="J33:J92" si="2">I33-H33</f>
        <v>6.3365559999999874</v>
      </c>
      <c r="K33" s="1470">
        <f t="shared" ref="K33:K92" si="3">I33-E33</f>
        <v>8.8538861999999909</v>
      </c>
      <c r="L33" s="1470">
        <f t="shared" ref="L33:L92" si="4">I33-G33/12</f>
        <v>1.7999999999999972</v>
      </c>
      <c r="M33" s="928">
        <f>M34+M38+M39</f>
        <v>948.97691627236986</v>
      </c>
      <c r="N33" s="1470">
        <f t="shared" ref="N33:N92" si="5">M33-F33</f>
        <v>85.582971951089803</v>
      </c>
      <c r="O33" s="1470">
        <f t="shared" ref="O33:O92" si="6">M33-G33/12*$B$2</f>
        <v>18.976916272369863</v>
      </c>
      <c r="Q33" s="1833">
        <f>SUM(Q34:Q39)-Q35-Q36-Q37</f>
        <v>830.92691627236968</v>
      </c>
      <c r="R33" s="1683"/>
      <c r="S33" s="1473">
        <f>M33-I33-H33</f>
        <v>719.21347227236993</v>
      </c>
      <c r="U33" s="2100">
        <f t="shared" ref="U33:U67" si="7">J33/H33</f>
        <v>5.6721516883858555E-2</v>
      </c>
      <c r="V33" s="2100">
        <f t="shared" ref="V33:V67" si="8">K33/E33</f>
        <v>8.1082429510417164E-2</v>
      </c>
    </row>
    <row r="34" spans="2:22" ht="14.25">
      <c r="B34" s="2631"/>
      <c r="C34" s="1466" t="s">
        <v>14</v>
      </c>
      <c r="D34" s="929">
        <v>826.22927702128004</v>
      </c>
      <c r="E34" s="929">
        <f>SUMIFS('#产量数据'!163:163,'#产量数据'!$1:$1,$B$1-1,'#产量数据'!$2:$2,$B$2)/10000</f>
        <v>70.8185</v>
      </c>
      <c r="F34" s="929">
        <f>SUMIFS('#产量数据'!163:163,'#产量数据'!$1:$1,$B$1-1,'#产量数据'!$2:$2,"&lt;="&amp;$B$2)/10000</f>
        <v>552.17901002128008</v>
      </c>
      <c r="G34" s="397">
        <v>900</v>
      </c>
      <c r="H34" s="929">
        <f>SUMIFS('#产量数据'!163:163,'#产量数据'!$1:$1,$H$1,'#产量数据'!$2:$2,$H$2)/10000</f>
        <v>76.156000000000006</v>
      </c>
      <c r="I34" s="929">
        <f>I35+I36+I37</f>
        <v>79</v>
      </c>
      <c r="J34" s="986">
        <f t="shared" si="2"/>
        <v>2.8439999999999941</v>
      </c>
      <c r="K34" s="986">
        <f t="shared" si="3"/>
        <v>8.1814999999999998</v>
      </c>
      <c r="L34" s="986">
        <f t="shared" si="4"/>
        <v>4</v>
      </c>
      <c r="M34" s="929">
        <f t="shared" ref="M34:M41" si="9">I34+Q34</f>
        <v>617.41210000000001</v>
      </c>
      <c r="N34" s="986">
        <f t="shared" si="5"/>
        <v>65.233089978719931</v>
      </c>
      <c r="O34" s="986">
        <f t="shared" si="6"/>
        <v>17.412100000000009</v>
      </c>
      <c r="Q34" s="1727">
        <f>SUMIFS('#产量数据'!163:163,'#产量数据'!$1:$1,$B$1,'#产量数据'!$2:$2,"&lt;="&amp;$B$2-1)/10000</f>
        <v>538.41210000000001</v>
      </c>
      <c r="R34" s="1683"/>
      <c r="S34" s="1473">
        <f t="shared" ref="S34:S91" si="10">M34-I34-H34</f>
        <v>462.2561</v>
      </c>
      <c r="U34" s="2100">
        <f t="shared" si="7"/>
        <v>3.7344398340248885E-2</v>
      </c>
      <c r="V34" s="2100">
        <f t="shared" si="8"/>
        <v>0.11552772227595896</v>
      </c>
    </row>
    <row r="35" spans="2:22" ht="14.25">
      <c r="B35" s="2631"/>
      <c r="C35" s="396" t="s">
        <v>614</v>
      </c>
      <c r="D35" s="929">
        <v>751.67010802127993</v>
      </c>
      <c r="E35" s="929">
        <f>SUMIFS('#产量数据'!164:164,'#产量数据'!$1:$1,$B$1-1,'#产量数据'!$2:$2,$B$2)/10000</f>
        <v>65.712699999999998</v>
      </c>
      <c r="F35" s="929">
        <f>SUMIFS('#产量数据'!164:164,'#产量数据'!$1:$1,$B$1-1,'#产量数据'!$2:$2,"&lt;="&amp;$B$2)/10000</f>
        <v>521.62150802127996</v>
      </c>
      <c r="G35" s="397">
        <v>675</v>
      </c>
      <c r="H35" s="929">
        <f>SUMIFS('#产量数据'!164:164,'#产量数据'!$1:$1,$H$1,'#产量数据'!$2:$2,$H$2)/10000</f>
        <v>69.357100000000003</v>
      </c>
      <c r="I35" s="1471">
        <v>49</v>
      </c>
      <c r="J35" s="986">
        <f t="shared" si="2"/>
        <v>-20.357100000000003</v>
      </c>
      <c r="K35" s="986">
        <f t="shared" si="3"/>
        <v>-16.712699999999998</v>
      </c>
      <c r="L35" s="986">
        <f t="shared" si="4"/>
        <v>-7.25</v>
      </c>
      <c r="M35" s="929">
        <f t="shared" si="9"/>
        <v>511.6508</v>
      </c>
      <c r="N35" s="986">
        <f t="shared" si="5"/>
        <v>-9.970708021279961</v>
      </c>
      <c r="O35" s="986">
        <f t="shared" si="6"/>
        <v>61.650800000000004</v>
      </c>
      <c r="Q35" s="1727">
        <f>SUMIFS('#产量数据'!164:164,'#产量数据'!$1:$1,$B$1,'#产量数据'!$2:$2,"&lt;="&amp;$B$2-1)/10000</f>
        <v>462.6508</v>
      </c>
      <c r="R35" s="1683"/>
      <c r="S35" s="1473">
        <f t="shared" si="10"/>
        <v>393.2937</v>
      </c>
      <c r="U35" s="2100">
        <f t="shared" si="7"/>
        <v>-0.29351140690715155</v>
      </c>
      <c r="V35" s="2100">
        <f t="shared" si="8"/>
        <v>-0.25432983274161614</v>
      </c>
    </row>
    <row r="36" spans="2:22" ht="14.25">
      <c r="B36" s="2631"/>
      <c r="C36" s="396" t="s">
        <v>615</v>
      </c>
      <c r="D36" s="929">
        <v>22.763999999999999</v>
      </c>
      <c r="E36" s="929">
        <f>SUMIFS('#产量数据'!165:165,'#产量数据'!$1:$1,$B$1-1,'#产量数据'!$2:$2,$B$2)/10000</f>
        <v>0</v>
      </c>
      <c r="F36" s="929">
        <f>SUMIFS('#产量数据'!165:165,'#产量数据'!$1:$1,$B$1-1,'#产量数据'!$2:$2,"&lt;="&amp;$B$2)/10000</f>
        <v>1.4734</v>
      </c>
      <c r="G36" s="397">
        <v>120</v>
      </c>
      <c r="H36" s="929">
        <f>SUMIFS('#产量数据'!165:165,'#产量数据'!$1:$1,$H$1,'#产量数据'!$2:$2,$H$2)/10000</f>
        <v>0</v>
      </c>
      <c r="I36" s="1471">
        <v>20</v>
      </c>
      <c r="J36" s="986">
        <f t="shared" si="2"/>
        <v>20</v>
      </c>
      <c r="K36" s="986">
        <f t="shared" si="3"/>
        <v>20</v>
      </c>
      <c r="L36" s="986">
        <f t="shared" si="4"/>
        <v>10</v>
      </c>
      <c r="M36" s="929">
        <f t="shared" si="9"/>
        <v>36.367599999999996</v>
      </c>
      <c r="N36" s="986">
        <f t="shared" si="5"/>
        <v>34.894199999999998</v>
      </c>
      <c r="O36" s="986">
        <f t="shared" si="6"/>
        <v>-43.632400000000004</v>
      </c>
      <c r="Q36" s="1727">
        <f>SUMIFS('#产量数据'!165:165,'#产量数据'!$1:$1,$B$1,'#产量数据'!$2:$2,"&lt;="&amp;$B$2-1)/10000</f>
        <v>16.367599999999999</v>
      </c>
      <c r="R36" s="1683"/>
      <c r="S36" s="1473">
        <f t="shared" si="10"/>
        <v>16.367599999999996</v>
      </c>
      <c r="U36" s="2100" t="e">
        <f t="shared" si="7"/>
        <v>#DIV/0!</v>
      </c>
      <c r="V36" s="2100" t="e">
        <f t="shared" si="8"/>
        <v>#DIV/0!</v>
      </c>
    </row>
    <row r="37" spans="2:22" ht="14.25">
      <c r="B37" s="2631"/>
      <c r="C37" s="396" t="s">
        <v>616</v>
      </c>
      <c r="D37" s="929">
        <v>51.795169000000001</v>
      </c>
      <c r="E37" s="929">
        <f>SUMIFS('#产量数据'!166:166,'#产量数据'!$1:$1,$B$1-1,'#产量数据'!$2:$2,$B$2)/10000</f>
        <v>5.1058000000000003</v>
      </c>
      <c r="F37" s="929">
        <f>SUMIFS('#产量数据'!166:166,'#产量数据'!$1:$1,$B$1-1,'#产量数据'!$2:$2,"&lt;="&amp;$B$2)/10000</f>
        <v>29.084102000000001</v>
      </c>
      <c r="G37" s="397">
        <v>105</v>
      </c>
      <c r="H37" s="929">
        <f>SUMIFS('#产量数据'!166:166,'#产量数据'!$1:$1,$H$1,'#产量数据'!$2:$2,$H$2)/10000</f>
        <v>6.7988999999999997</v>
      </c>
      <c r="I37" s="1471">
        <v>10</v>
      </c>
      <c r="J37" s="986">
        <f t="shared" si="2"/>
        <v>3.2011000000000003</v>
      </c>
      <c r="K37" s="986">
        <f t="shared" si="3"/>
        <v>4.8941999999999997</v>
      </c>
      <c r="L37" s="986">
        <f t="shared" si="4"/>
        <v>1.25</v>
      </c>
      <c r="M37" s="929">
        <f t="shared" si="9"/>
        <v>69.393699999999995</v>
      </c>
      <c r="N37" s="986">
        <f t="shared" si="5"/>
        <v>40.309597999999994</v>
      </c>
      <c r="O37" s="986">
        <f t="shared" si="6"/>
        <v>-0.6063000000000045</v>
      </c>
      <c r="Q37" s="1727">
        <f>SUMIFS('#产量数据'!166:166,'#产量数据'!$1:$1,$B$1,'#产量数据'!$2:$2,"&lt;="&amp;$B$2-1)/10000</f>
        <v>59.393700000000003</v>
      </c>
      <c r="R37" s="1683"/>
      <c r="S37" s="1473">
        <f t="shared" si="10"/>
        <v>52.594799999999992</v>
      </c>
      <c r="U37" s="2100">
        <f t="shared" si="7"/>
        <v>0.4708261630557885</v>
      </c>
      <c r="V37" s="2100">
        <f t="shared" si="8"/>
        <v>0.95855693525010754</v>
      </c>
    </row>
    <row r="38" spans="2:22" ht="14.25">
      <c r="B38" s="2631"/>
      <c r="C38" s="1466" t="s">
        <v>15</v>
      </c>
      <c r="D38" s="929">
        <v>316.1517197</v>
      </c>
      <c r="E38" s="929">
        <f>SUMIFS('#产量数据'!167:167,'#产量数据'!$1:$1,$B$1-1,'#产量数据'!$2:$2,$B$2)/10000</f>
        <v>24.754110799999999</v>
      </c>
      <c r="F38" s="929">
        <f>SUMIFS('#产量数据'!167:167,'#产量数据'!$1:$1,$B$1-1,'#产量数据'!$2:$2,"&lt;="&amp;$B$2)/10000</f>
        <v>207.3877823</v>
      </c>
      <c r="G38" s="397">
        <v>345</v>
      </c>
      <c r="H38" s="929">
        <f>SUMIFS('#产量数据'!167:167,'#产量数据'!$1:$1,$H$1,'#产量数据'!$2:$2,$H$2)/10000</f>
        <v>31.425944000000001</v>
      </c>
      <c r="I38" s="1471">
        <v>30.55</v>
      </c>
      <c r="J38" s="986">
        <f>I38-H38</f>
        <v>-0.8759440000000005</v>
      </c>
      <c r="K38" s="986">
        <f>I38-E38</f>
        <v>5.7958892000000013</v>
      </c>
      <c r="L38" s="986">
        <f>I38-G38/12</f>
        <v>1.8000000000000007</v>
      </c>
      <c r="M38" s="929">
        <f>I38+Q38</f>
        <v>238.87409727236982</v>
      </c>
      <c r="N38" s="986">
        <f>M38-F38</f>
        <v>31.486314972369826</v>
      </c>
      <c r="O38" s="986">
        <f>M38-G38/12*$B$2</f>
        <v>8.8740972723698235</v>
      </c>
      <c r="Q38" s="1727">
        <f>SUMIFS('#产量数据'!167:167,'#产量数据'!$1:$1,$B$1,'#产量数据'!$2:$2,"&lt;="&amp;$B$2-1)/10000</f>
        <v>208.32409727236981</v>
      </c>
      <c r="R38" s="1683"/>
      <c r="S38" s="1473">
        <f>M38-I38-H38</f>
        <v>176.89815327236983</v>
      </c>
      <c r="U38" s="2100">
        <f>J38/H38</f>
        <v>-2.7873275660390679E-2</v>
      </c>
      <c r="V38" s="2100">
        <f>K38/E38</f>
        <v>0.23413845267267697</v>
      </c>
    </row>
    <row r="39" spans="2:22" ht="14.25">
      <c r="B39" s="2631"/>
      <c r="C39" s="1466" t="s">
        <v>16</v>
      </c>
      <c r="D39" s="929">
        <f>D40+D41</f>
        <v>149.35329999999999</v>
      </c>
      <c r="E39" s="929">
        <f>E40+E41</f>
        <v>13.623502999999999</v>
      </c>
      <c r="F39" s="929">
        <f>F40+F41</f>
        <v>103.827152</v>
      </c>
      <c r="G39" s="397">
        <v>150</v>
      </c>
      <c r="H39" s="929">
        <f>H40+H41</f>
        <v>4.1315</v>
      </c>
      <c r="I39" s="2572">
        <f>I40+I41</f>
        <v>8.5</v>
      </c>
      <c r="J39" s="986">
        <f t="shared" si="2"/>
        <v>4.3685</v>
      </c>
      <c r="K39" s="986">
        <f t="shared" si="3"/>
        <v>-5.1235029999999995</v>
      </c>
      <c r="L39" s="986">
        <f t="shared" si="4"/>
        <v>-4</v>
      </c>
      <c r="M39" s="929">
        <f t="shared" si="9"/>
        <v>92.690719000000001</v>
      </c>
      <c r="N39" s="986">
        <f t="shared" si="5"/>
        <v>-11.136432999999997</v>
      </c>
      <c r="O39" s="986">
        <f t="shared" si="6"/>
        <v>-7.3092809999999986</v>
      </c>
      <c r="Q39" s="1727">
        <f>Q40+Q41</f>
        <v>84.190719000000001</v>
      </c>
      <c r="R39" s="1683"/>
      <c r="S39" s="1473">
        <f t="shared" si="10"/>
        <v>80.059218999999999</v>
      </c>
      <c r="U39" s="2100">
        <f t="shared" si="7"/>
        <v>1.0573641534551617</v>
      </c>
      <c r="V39" s="2100">
        <f t="shared" si="8"/>
        <v>-0.37607823773371646</v>
      </c>
    </row>
    <row r="40" spans="2:22" ht="14.25">
      <c r="B40" s="2631"/>
      <c r="C40" s="396" t="s">
        <v>1709</v>
      </c>
      <c r="D40" s="929">
        <v>149.35329999999999</v>
      </c>
      <c r="E40" s="929">
        <f>SUMIFS('#产量数据'!118:118,'#产量数据'!$1:$1,$B$1-1,'#产量数据'!$2:$2,$B$2)/10000</f>
        <v>12.6265</v>
      </c>
      <c r="F40" s="929">
        <f>SUMIFS('#产量数据'!118:118,'#产量数据'!$1:$1,$B$1-1,'#产量数据'!$2:$2,"&lt;="&amp;$B$2)/10000</f>
        <v>102.3313</v>
      </c>
      <c r="G40" s="397">
        <v>145</v>
      </c>
      <c r="H40" s="929">
        <f>SUMIFS('#产量数据'!118:118,'#产量数据'!$1:$1,$H$1,'#产量数据'!$2:$2,$H$2)/10000</f>
        <v>4.1315</v>
      </c>
      <c r="I40" s="1471">
        <v>8.5</v>
      </c>
      <c r="J40" s="986">
        <f t="shared" si="2"/>
        <v>4.3685</v>
      </c>
      <c r="K40" s="986">
        <f t="shared" si="3"/>
        <v>-4.1265000000000001</v>
      </c>
      <c r="L40" s="986">
        <f t="shared" si="4"/>
        <v>-3.5833333333333339</v>
      </c>
      <c r="M40" s="929">
        <f t="shared" si="9"/>
        <v>89.688400000000001</v>
      </c>
      <c r="N40" s="986">
        <f t="shared" ref="N40:N41" si="11">M40-F40</f>
        <v>-12.642899999999997</v>
      </c>
      <c r="O40" s="986">
        <f t="shared" ref="O40:O41" si="12">M40-G40/12*$B$2</f>
        <v>-6.9782666666666699</v>
      </c>
      <c r="Q40" s="929">
        <f>SUMIFS('#产量数据'!118:118,'#产量数据'!$1:$1,$B$1,'#产量数据'!$2:$2,"&lt;="&amp;$B$2-1)/10000</f>
        <v>81.188400000000001</v>
      </c>
      <c r="R40" s="1683"/>
      <c r="S40" s="1473"/>
      <c r="U40" s="2501">
        <f t="shared" si="7"/>
        <v>1.0573641534551617</v>
      </c>
      <c r="V40" s="2501">
        <f t="shared" si="8"/>
        <v>-0.32681265592206865</v>
      </c>
    </row>
    <row r="41" spans="2:22" ht="14.25">
      <c r="B41" s="2631"/>
      <c r="C41" s="396" t="s">
        <v>616</v>
      </c>
      <c r="D41" s="929">
        <v>0</v>
      </c>
      <c r="E41" s="929">
        <f>SUMIFS('#产量数据'!119:119,'#产量数据'!$1:$1,$B$1-1,'#产量数据'!$2:$2,$B$2)/10000</f>
        <v>0.99700300000000008</v>
      </c>
      <c r="F41" s="929">
        <f>SUMIFS('#产量数据'!119:119,'#产量数据'!$1:$1,$B$1-1,'#产量数据'!$2:$2,"&lt;="&amp;$B$2)/10000</f>
        <v>1.495852</v>
      </c>
      <c r="G41" s="397">
        <v>5</v>
      </c>
      <c r="H41" s="929">
        <f>SUMIFS('#产量数据'!119:119,'#产量数据'!$1:$1,$H$1,'#产量数据'!$2:$2,$H$2)/10000</f>
        <v>0</v>
      </c>
      <c r="I41" s="1471">
        <v>0</v>
      </c>
      <c r="J41" s="986">
        <f t="shared" si="2"/>
        <v>0</v>
      </c>
      <c r="K41" s="986">
        <f t="shared" si="3"/>
        <v>-0.99700300000000008</v>
      </c>
      <c r="L41" s="986">
        <f t="shared" si="4"/>
        <v>-0.41666666666666669</v>
      </c>
      <c r="M41" s="929">
        <f t="shared" si="9"/>
        <v>3.0023190000000004</v>
      </c>
      <c r="N41" s="986">
        <f t="shared" si="11"/>
        <v>1.5064670000000004</v>
      </c>
      <c r="O41" s="986">
        <f t="shared" si="12"/>
        <v>-0.33101433333333308</v>
      </c>
      <c r="Q41" s="929">
        <f>SUMIFS('#产量数据'!119:119,'#产量数据'!$1:$1,$B$1,'#产量数据'!$2:$2,"&lt;="&amp;$B$2-1)/10000</f>
        <v>3.0023190000000004</v>
      </c>
      <c r="R41" s="1683"/>
      <c r="S41" s="1473"/>
      <c r="U41" s="2501" t="e">
        <f t="shared" si="7"/>
        <v>#DIV/0!</v>
      </c>
      <c r="V41" s="2501">
        <f t="shared" si="8"/>
        <v>-1</v>
      </c>
    </row>
    <row r="42" spans="2:22" ht="14.25">
      <c r="B42" s="2631"/>
      <c r="C42" s="394" t="s">
        <v>17</v>
      </c>
      <c r="D42" s="928">
        <v>444.33024660000001</v>
      </c>
      <c r="E42" s="928">
        <f>SUM(E43:E46)-E44-E45</f>
        <v>34.9666</v>
      </c>
      <c r="F42" s="928">
        <f>SUM(F43:F46)-F44-F45</f>
        <v>318.77260799999999</v>
      </c>
      <c r="G42" s="393">
        <f>G43+G46</f>
        <v>470</v>
      </c>
      <c r="H42" s="928">
        <f>SUM(H43:H46)-H44-H45</f>
        <v>22.642500000000002</v>
      </c>
      <c r="I42" s="928">
        <f>SUM(I43:I46)-I44-I45</f>
        <v>41.4</v>
      </c>
      <c r="J42" s="1470">
        <f t="shared" si="2"/>
        <v>18.757499999999997</v>
      </c>
      <c r="K42" s="1470">
        <f t="shared" si="3"/>
        <v>6.4333999999999989</v>
      </c>
      <c r="L42" s="1470">
        <f t="shared" si="4"/>
        <v>2.2333333333333343</v>
      </c>
      <c r="M42" s="928">
        <f>SUM(M43:M46)-M44-M45</f>
        <v>305.88779999999997</v>
      </c>
      <c r="N42" s="1470">
        <f t="shared" si="5"/>
        <v>-12.884808000000021</v>
      </c>
      <c r="O42" s="1470">
        <f t="shared" si="6"/>
        <v>-7.4455333333333442</v>
      </c>
      <c r="Q42" s="1833">
        <f>SUM(Q43:Q46)-Q44-Q45</f>
        <v>264.48779999999999</v>
      </c>
      <c r="R42" s="1683"/>
      <c r="S42" s="1473">
        <f t="shared" si="10"/>
        <v>241.84529999999998</v>
      </c>
      <c r="U42" s="2100">
        <f t="shared" si="7"/>
        <v>0.82842000662470994</v>
      </c>
      <c r="V42" s="2100">
        <f t="shared" si="8"/>
        <v>0.18398700474166774</v>
      </c>
    </row>
    <row r="43" spans="2:22" ht="14.25">
      <c r="B43" s="2631"/>
      <c r="C43" s="930" t="s">
        <v>14</v>
      </c>
      <c r="D43" s="929">
        <v>248.12134660000001</v>
      </c>
      <c r="E43" s="929">
        <f>SUMIFS('#产量数据'!170:170,'#产量数据'!$1:$1,$B$1-1,'#产量数据'!$2:$2,$B$2)/10000</f>
        <v>17.963000000000001</v>
      </c>
      <c r="F43" s="929">
        <f>SUMIFS('#产量数据'!170:170,'#产量数据'!$1:$1,$B$1-1,'#产量数据'!$2:$2,"&lt;="&amp;$B$2)/10000</f>
        <v>177.53330800000001</v>
      </c>
      <c r="G43" s="397">
        <v>260</v>
      </c>
      <c r="H43" s="929">
        <f>SUMIFS('#产量数据'!170:170,'#产量数据'!$1:$1,$H$1,'#产量数据'!$2:$2,$H$2)/10000</f>
        <v>21.617599999999999</v>
      </c>
      <c r="I43" s="1471">
        <v>22.4</v>
      </c>
      <c r="J43" s="986">
        <f t="shared" si="2"/>
        <v>0.7823999999999991</v>
      </c>
      <c r="K43" s="986">
        <f t="shared" si="3"/>
        <v>4.4369999999999976</v>
      </c>
      <c r="L43" s="986">
        <f t="shared" si="4"/>
        <v>0.73333333333333073</v>
      </c>
      <c r="M43" s="929">
        <f>I43+Q43</f>
        <v>176.20860000000002</v>
      </c>
      <c r="N43" s="986">
        <f t="shared" si="5"/>
        <v>-1.3247079999999869</v>
      </c>
      <c r="O43" s="986">
        <f t="shared" si="6"/>
        <v>2.8752666666666755</v>
      </c>
      <c r="Q43" s="1727">
        <f>SUMIFS('#产量数据'!170:170,'#产量数据'!$1:$1,$B$1,'#产量数据'!$2:$2,"&lt;="&amp;$B$2-1)/10000</f>
        <v>153.80860000000001</v>
      </c>
      <c r="R43" s="1683"/>
      <c r="S43" s="1473">
        <f t="shared" si="10"/>
        <v>132.191</v>
      </c>
      <c r="U43" s="2100">
        <f t="shared" si="7"/>
        <v>3.6192731848123709E-2</v>
      </c>
      <c r="V43" s="2100">
        <f t="shared" si="8"/>
        <v>0.24700773812837484</v>
      </c>
    </row>
    <row r="44" spans="2:22" ht="14.25">
      <c r="B44" s="2631"/>
      <c r="C44" s="930" t="s">
        <v>1105</v>
      </c>
      <c r="D44" s="929">
        <v>231.400508</v>
      </c>
      <c r="E44" s="929">
        <f>E43</f>
        <v>17.963000000000001</v>
      </c>
      <c r="F44" s="929">
        <f>F43</f>
        <v>177.53330800000001</v>
      </c>
      <c r="G44" s="397">
        <v>260</v>
      </c>
      <c r="H44" s="929">
        <f>SUMIFS('#产量数据'!171:171,'#产量数据'!$1:$1,$H$1,'#产量数据'!$2:$2,$H$2)/10000</f>
        <v>21.617599999999999</v>
      </c>
      <c r="I44" s="1471"/>
      <c r="J44" s="986">
        <f t="shared" si="2"/>
        <v>-21.617599999999999</v>
      </c>
      <c r="K44" s="986">
        <f t="shared" si="3"/>
        <v>-17.963000000000001</v>
      </c>
      <c r="L44" s="986">
        <f t="shared" si="4"/>
        <v>-21.666666666666668</v>
      </c>
      <c r="M44" s="929">
        <f>I44+Q44</f>
        <v>153.80860000000001</v>
      </c>
      <c r="N44" s="986">
        <f t="shared" si="5"/>
        <v>-23.724707999999993</v>
      </c>
      <c r="O44" s="986">
        <f t="shared" si="6"/>
        <v>-19.52473333333333</v>
      </c>
      <c r="Q44" s="1727">
        <f>SUMIFS('#产量数据'!171:171,'#产量数据'!$1:$1,$B$1,'#产量数据'!$2:$2,"&lt;="&amp;$B$2-1)/10000</f>
        <v>153.80860000000001</v>
      </c>
      <c r="R44" s="1683"/>
      <c r="S44" s="1473">
        <f t="shared" si="10"/>
        <v>132.191</v>
      </c>
      <c r="U44" s="2100">
        <f t="shared" si="7"/>
        <v>-1</v>
      </c>
      <c r="V44" s="2100">
        <f t="shared" si="8"/>
        <v>-1</v>
      </c>
    </row>
    <row r="45" spans="2:22" ht="14.25">
      <c r="B45" s="2631"/>
      <c r="C45" s="930" t="s">
        <v>1104</v>
      </c>
      <c r="D45" s="929">
        <v>16.7208386</v>
      </c>
      <c r="E45" s="929">
        <v>0</v>
      </c>
      <c r="F45" s="929">
        <v>0</v>
      </c>
      <c r="G45" s="397">
        <v>0</v>
      </c>
      <c r="H45" s="929">
        <f>SUMIFS('#产量数据'!172:172,'#产量数据'!$1:$1,$H$1,'#产量数据'!$2:$2,$H$2)/10000</f>
        <v>0</v>
      </c>
      <c r="I45" s="1471"/>
      <c r="J45" s="986">
        <f t="shared" si="2"/>
        <v>0</v>
      </c>
      <c r="K45" s="986">
        <f t="shared" si="3"/>
        <v>0</v>
      </c>
      <c r="L45" s="986">
        <f t="shared" si="4"/>
        <v>0</v>
      </c>
      <c r="M45" s="929">
        <f>I45+Q45</f>
        <v>0</v>
      </c>
      <c r="N45" s="986">
        <f t="shared" si="5"/>
        <v>0</v>
      </c>
      <c r="O45" s="986">
        <f t="shared" si="6"/>
        <v>0</v>
      </c>
      <c r="Q45" s="1727">
        <f>SUMIFS('#产量数据'!172:172,'#产量数据'!$1:$1,$B$1,'#产量数据'!$2:$2,"&lt;="&amp;$B$2-1)/10000</f>
        <v>0</v>
      </c>
      <c r="R45" s="1683"/>
      <c r="S45" s="1473">
        <f t="shared" si="10"/>
        <v>0</v>
      </c>
      <c r="U45" s="2100" t="e">
        <f t="shared" si="7"/>
        <v>#DIV/0!</v>
      </c>
      <c r="V45" s="2100" t="e">
        <f t="shared" si="8"/>
        <v>#DIV/0!</v>
      </c>
    </row>
    <row r="46" spans="2:22" ht="14.25">
      <c r="B46" s="2631"/>
      <c r="C46" s="930" t="s">
        <v>16</v>
      </c>
      <c r="D46" s="929">
        <v>196.2089</v>
      </c>
      <c r="E46" s="929">
        <f>SUMIFS('#产量数据'!173:173,'#产量数据'!$1:$1,$B$1-1,'#产量数据'!$2:$2,$B$2)/10000</f>
        <v>17.003599999999999</v>
      </c>
      <c r="F46" s="929">
        <f>SUMIFS('#产量数据'!173:173,'#产量数据'!$1:$1,$B$1-1,'#产量数据'!$2:$2,"&lt;="&amp;$B$2)/10000</f>
        <v>141.23929999999999</v>
      </c>
      <c r="G46" s="397">
        <v>210</v>
      </c>
      <c r="H46" s="929">
        <f>SUMIFS('#产量数据'!173:173,'#产量数据'!$1:$1,$H$1,'#产量数据'!$2:$2,$H$2)/10000</f>
        <v>1.0248999999999999</v>
      </c>
      <c r="I46" s="1471">
        <v>19</v>
      </c>
      <c r="J46" s="986">
        <f t="shared" si="2"/>
        <v>17.975100000000001</v>
      </c>
      <c r="K46" s="986">
        <f t="shared" si="3"/>
        <v>1.9964000000000013</v>
      </c>
      <c r="L46" s="986">
        <f t="shared" si="4"/>
        <v>1.5</v>
      </c>
      <c r="M46" s="929">
        <f>I46+Q46</f>
        <v>129.67919999999998</v>
      </c>
      <c r="N46" s="986">
        <f t="shared" si="5"/>
        <v>-11.560100000000006</v>
      </c>
      <c r="O46" s="986">
        <f t="shared" si="6"/>
        <v>-10.32080000000002</v>
      </c>
      <c r="Q46" s="1727">
        <f>SUMIFS('#产量数据'!173:173,'#产量数据'!$1:$1,$B$1,'#产量数据'!$2:$2,"&lt;="&amp;$B$2-1)/10000</f>
        <v>110.67919999999999</v>
      </c>
      <c r="R46" s="1683"/>
      <c r="S46" s="1473">
        <f t="shared" si="10"/>
        <v>109.65429999999998</v>
      </c>
      <c r="U46" s="2100">
        <f t="shared" si="7"/>
        <v>17.538393989657528</v>
      </c>
      <c r="V46" s="2100">
        <f t="shared" si="8"/>
        <v>0.11741043073231559</v>
      </c>
    </row>
    <row r="47" spans="2:22" ht="14.25">
      <c r="B47" s="2631"/>
      <c r="C47" s="394" t="s">
        <v>18</v>
      </c>
      <c r="D47" s="928">
        <v>168.58250430000004</v>
      </c>
      <c r="E47" s="928">
        <f>SUM(E48:E49)</f>
        <v>12.206814400000001</v>
      </c>
      <c r="F47" s="928">
        <f>SUM(F48:F49)</f>
        <v>109.81291279999999</v>
      </c>
      <c r="G47" s="393">
        <v>183</v>
      </c>
      <c r="H47" s="928">
        <f>SUM(H48:H49)</f>
        <v>11.888744000000003</v>
      </c>
      <c r="I47" s="928">
        <f>SUM(I48:I49)</f>
        <v>13</v>
      </c>
      <c r="J47" s="1470">
        <f t="shared" si="2"/>
        <v>1.1112559999999974</v>
      </c>
      <c r="K47" s="1470">
        <f t="shared" si="3"/>
        <v>0.79318559999999927</v>
      </c>
      <c r="L47" s="1470">
        <f t="shared" si="4"/>
        <v>-2.25</v>
      </c>
      <c r="M47" s="928">
        <f>SUM(M48:M49)</f>
        <v>118.97369710000001</v>
      </c>
      <c r="N47" s="1470">
        <f t="shared" si="5"/>
        <v>9.1607843000000173</v>
      </c>
      <c r="O47" s="1470">
        <f t="shared" si="6"/>
        <v>-3.0263028999999904</v>
      </c>
      <c r="Q47" s="1833">
        <f>SUM(Q48:Q49)</f>
        <v>105.97369710000001</v>
      </c>
      <c r="R47" s="1683"/>
      <c r="S47" s="1473">
        <f t="shared" si="10"/>
        <v>94.084953100000007</v>
      </c>
      <c r="U47" s="2100">
        <f t="shared" si="7"/>
        <v>9.347126996762628E-2</v>
      </c>
      <c r="V47" s="2100">
        <f t="shared" si="8"/>
        <v>6.4978918660383606E-2</v>
      </c>
    </row>
    <row r="48" spans="2:22" ht="14.25">
      <c r="B48" s="2631"/>
      <c r="C48" s="930" t="s">
        <v>19</v>
      </c>
      <c r="D48" s="929">
        <v>106.02080430000001</v>
      </c>
      <c r="E48" s="929">
        <f>SUMIFS('#产量数据'!175:175,'#产量数据'!$1:$1,$B$1-1,'#产量数据'!$2:$2,$B$2)/10000</f>
        <v>6.8670264000000012</v>
      </c>
      <c r="F48" s="929">
        <f>SUMIFS('#产量数据'!175:175,'#产量数据'!$1:$1,$B$1-1,'#产量数据'!$2:$2,"&lt;="&amp;$B$2)/10000</f>
        <v>67.727307799999991</v>
      </c>
      <c r="G48" s="397">
        <v>108</v>
      </c>
      <c r="H48" s="929">
        <f>SUMIFS('#产量数据'!175:175,'#产量数据'!$1:$1,$H$1,'#产量数据'!$2:$2,$H$2)/10000</f>
        <v>7.7852140000000016</v>
      </c>
      <c r="I48" s="1471">
        <v>8.8000000000000007</v>
      </c>
      <c r="J48" s="986">
        <f t="shared" si="2"/>
        <v>1.0147859999999991</v>
      </c>
      <c r="K48" s="986">
        <f t="shared" si="3"/>
        <v>1.9329735999999995</v>
      </c>
      <c r="L48" s="986">
        <f t="shared" si="4"/>
        <v>-0.19999999999999929</v>
      </c>
      <c r="M48" s="929">
        <f t="shared" ref="M48:M52" si="13">I48+Q48</f>
        <v>75.025277099999997</v>
      </c>
      <c r="N48" s="986">
        <f t="shared" si="5"/>
        <v>7.2979693000000054</v>
      </c>
      <c r="O48" s="986">
        <f t="shared" si="6"/>
        <v>3.0252770999999967</v>
      </c>
      <c r="Q48" s="1727">
        <f>SUMIFS('#产量数据'!175:175,'#产量数据'!$1:$1,$B$1,'#产量数据'!$2:$2,"&lt;="&amp;$B$2-1)/10000</f>
        <v>66.2252771</v>
      </c>
      <c r="R48" s="1683"/>
      <c r="S48" s="1473">
        <f t="shared" si="10"/>
        <v>58.440063099999996</v>
      </c>
      <c r="U48" s="2100">
        <f t="shared" si="7"/>
        <v>0.13034786198555348</v>
      </c>
      <c r="V48" s="2100">
        <f t="shared" si="8"/>
        <v>0.28148626310800251</v>
      </c>
    </row>
    <row r="49" spans="2:22" ht="14.25">
      <c r="B49" s="2631"/>
      <c r="C49" s="930" t="s">
        <v>20</v>
      </c>
      <c r="D49" s="929">
        <v>62.561700000000002</v>
      </c>
      <c r="E49" s="929">
        <f>SUMIFS('#产量数据'!176:176,'#产量数据'!$1:$1,$B$1-1,'#产量数据'!$2:$2,$B$2)/10000</f>
        <v>5.3397879999999995</v>
      </c>
      <c r="F49" s="929">
        <f>SUMIFS('#产量数据'!176:176,'#产量数据'!$1:$1,$B$1-1,'#产量数据'!$2:$2,"&lt;="&amp;$B$2)/10000</f>
        <v>42.085605000000001</v>
      </c>
      <c r="G49" s="397">
        <v>75</v>
      </c>
      <c r="H49" s="929">
        <f>SUMIFS('#产量数据'!176:176,'#产量数据'!$1:$1,$H$1,'#产量数据'!$2:$2,$H$2)/10000</f>
        <v>4.1035300000000001</v>
      </c>
      <c r="I49" s="1471">
        <v>4.2</v>
      </c>
      <c r="J49" s="986">
        <f t="shared" si="2"/>
        <v>9.6470000000000056E-2</v>
      </c>
      <c r="K49" s="986">
        <f t="shared" si="3"/>
        <v>-1.1397879999999994</v>
      </c>
      <c r="L49" s="986">
        <f t="shared" si="4"/>
        <v>-2.0499999999999998</v>
      </c>
      <c r="M49" s="929">
        <f t="shared" si="13"/>
        <v>43.948420000000006</v>
      </c>
      <c r="N49" s="986">
        <f t="shared" si="5"/>
        <v>1.8628150000000048</v>
      </c>
      <c r="O49" s="986">
        <f t="shared" si="6"/>
        <v>-6.0515799999999942</v>
      </c>
      <c r="Q49" s="1727">
        <f>SUMIFS('#产量数据'!176:176,'#产量数据'!$1:$1,$B$1,'#产量数据'!$2:$2,"&lt;="&amp;$B$2-1)/10000</f>
        <v>39.748420000000003</v>
      </c>
      <c r="R49" s="1683"/>
      <c r="S49" s="1473">
        <f t="shared" si="10"/>
        <v>35.644890000000004</v>
      </c>
      <c r="U49" s="2100">
        <f t="shared" si="7"/>
        <v>2.3509027593316013E-2</v>
      </c>
      <c r="V49" s="2100">
        <f t="shared" si="8"/>
        <v>-0.21345191981404496</v>
      </c>
    </row>
    <row r="50" spans="2:22" ht="14.25">
      <c r="B50" s="2631"/>
      <c r="C50" s="394" t="s">
        <v>21</v>
      </c>
      <c r="D50" s="928">
        <v>15.9403416</v>
      </c>
      <c r="E50" s="928">
        <f>SUMIFS('#产量数据'!177:177,'#产量数据'!$1:$1,$B$1-1,'#产量数据'!$2:$2,$B$2)/10000</f>
        <v>1.4001940000000002</v>
      </c>
      <c r="F50" s="928">
        <f>SUMIFS('#产量数据'!177:177,'#产量数据'!$1:$1,$B$1-1,'#产量数据'!$2:$2,"&lt;="&amp;$B$2)/10000</f>
        <v>10.511985699999999</v>
      </c>
      <c r="G50" s="395">
        <v>21</v>
      </c>
      <c r="H50" s="928">
        <f>SUMIFS('#产量数据'!177:177,'#产量数据'!$1:$1,$H$1,'#产量数据'!$2:$2,$H$2)/10000</f>
        <v>1.701986</v>
      </c>
      <c r="I50" s="1472">
        <v>1.7</v>
      </c>
      <c r="J50" s="1470">
        <f t="shared" si="2"/>
        <v>-1.9860000000000433E-3</v>
      </c>
      <c r="K50" s="1470">
        <f t="shared" si="3"/>
        <v>0.29980599999999979</v>
      </c>
      <c r="L50" s="1470">
        <f t="shared" si="4"/>
        <v>-5.0000000000000044E-2</v>
      </c>
      <c r="M50" s="928">
        <f t="shared" si="13"/>
        <v>14.165581</v>
      </c>
      <c r="N50" s="1470">
        <f t="shared" si="5"/>
        <v>3.653595300000001</v>
      </c>
      <c r="O50" s="1470">
        <f t="shared" si="6"/>
        <v>0.16558099999999953</v>
      </c>
      <c r="Q50" s="1833">
        <f>SUMIFS('#产量数据'!177:177,'#产量数据'!$1:$1,$B$1,'#产量数据'!$2:$2,"&lt;="&amp;$B$2-1)/10000</f>
        <v>12.465581</v>
      </c>
      <c r="R50" s="1683"/>
      <c r="S50" s="1473">
        <f t="shared" si="10"/>
        <v>10.763595</v>
      </c>
      <c r="U50" s="2100">
        <f t="shared" si="7"/>
        <v>-1.1668721129316241E-3</v>
      </c>
      <c r="V50" s="2100">
        <f t="shared" si="8"/>
        <v>0.21411747229312492</v>
      </c>
    </row>
    <row r="51" spans="2:22" ht="14.25">
      <c r="B51" s="2631"/>
      <c r="C51" s="394" t="s">
        <v>22</v>
      </c>
      <c r="D51" s="928">
        <v>1.8230809000000001</v>
      </c>
      <c r="E51" s="928">
        <f>SUMIFS('#产量数据'!178:178,'#产量数据'!$1:$1,$B$1-1,'#产量数据'!$2:$2,$B$2)/10000</f>
        <v>0.13811950000000001</v>
      </c>
      <c r="F51" s="928">
        <f>SUMIFS('#产量数据'!178:178,'#产量数据'!$1:$1,$B$1-1,'#产量数据'!$2:$2,"&lt;="&amp;$B$2)/10000</f>
        <v>1.0886802</v>
      </c>
      <c r="G51" s="393">
        <f>'#经营概况'!F105</f>
        <v>2.1</v>
      </c>
      <c r="H51" s="928">
        <f>SUMIFS('#产量数据'!178:178,'#产量数据'!$1:$1,$H$1,'#产量数据'!$2:$2,$H$2)/10000</f>
        <v>0.12619140000000001</v>
      </c>
      <c r="I51" s="1472">
        <v>0.18</v>
      </c>
      <c r="J51" s="1470">
        <f t="shared" si="2"/>
        <v>5.3808599999999984E-2</v>
      </c>
      <c r="K51" s="1470">
        <f t="shared" si="3"/>
        <v>4.1880499999999987E-2</v>
      </c>
      <c r="L51" s="1470">
        <f t="shared" si="4"/>
        <v>4.9999999999999767E-3</v>
      </c>
      <c r="M51" s="928">
        <f t="shared" si="13"/>
        <v>1.3924166999999998</v>
      </c>
      <c r="N51" s="1470">
        <f t="shared" si="5"/>
        <v>0.30373649999999985</v>
      </c>
      <c r="O51" s="1470">
        <f t="shared" si="6"/>
        <v>-7.5833000000002926E-3</v>
      </c>
      <c r="Q51" s="1833">
        <f>SUMIFS('#产量数据'!178:178,'#产量数据'!$1:$1,$B$1,'#产量数据'!$2:$2,"&lt;="&amp;$B$2-1)/10000</f>
        <v>1.2124166999999999</v>
      </c>
      <c r="R51" s="1683"/>
      <c r="S51" s="1473">
        <f t="shared" si="10"/>
        <v>1.0862252999999999</v>
      </c>
      <c r="U51" s="2100">
        <f t="shared" si="7"/>
        <v>0.42640465198103816</v>
      </c>
      <c r="V51" s="2100">
        <f t="shared" si="8"/>
        <v>0.30321931371022909</v>
      </c>
    </row>
    <row r="52" spans="2:22" s="1461" customFormat="1" ht="14.25">
      <c r="B52" s="2632"/>
      <c r="C52" s="394" t="s">
        <v>23</v>
      </c>
      <c r="D52" s="928">
        <v>26.355478000000002</v>
      </c>
      <c r="E52" s="928">
        <f>SUMIFS('#产量数据'!179:179,'#产量数据'!$1:$1,$B$1-1,'#产量数据'!$2:$2,$B$2)/10000</f>
        <v>2.1250070000000001</v>
      </c>
      <c r="F52" s="928">
        <f>SUMIFS('#产量数据'!179:179,'#产量数据'!$1:$1,$B$1-1,'#产量数据'!$2:$2,"&lt;="&amp;$B$2)/10000</f>
        <v>17.332814000000003</v>
      </c>
      <c r="G52" s="393">
        <f>'#经营概况'!F106</f>
        <v>32</v>
      </c>
      <c r="H52" s="928">
        <f>SUMIFS('#产量数据'!179:179,'#产量数据'!$1:$1,$H$1,'#产量数据'!$2:$2,$H$2)/10000</f>
        <v>2.3011619999999997</v>
      </c>
      <c r="I52" s="1472">
        <v>2.4</v>
      </c>
      <c r="J52" s="1470">
        <f t="shared" si="2"/>
        <v>9.8838000000000203E-2</v>
      </c>
      <c r="K52" s="1470">
        <f t="shared" si="3"/>
        <v>0.27499299999999982</v>
      </c>
      <c r="L52" s="1470">
        <f t="shared" si="4"/>
        <v>-0.26666666666666661</v>
      </c>
      <c r="M52" s="928">
        <f t="shared" si="13"/>
        <v>19.108836</v>
      </c>
      <c r="N52" s="1470">
        <f t="shared" si="5"/>
        <v>1.7760219999999975</v>
      </c>
      <c r="O52" s="1470">
        <f t="shared" si="6"/>
        <v>-2.224497333333332</v>
      </c>
      <c r="Q52" s="1833">
        <f>SUMIFS('#产量数据'!179:179,'#产量数据'!$1:$1,$B$1,'#产量数据'!$2:$2,"&lt;="&amp;$B$2-1)/10000</f>
        <v>16.708836000000002</v>
      </c>
      <c r="R52" s="1683"/>
      <c r="S52" s="1473">
        <f t="shared" si="10"/>
        <v>14.407674000000002</v>
      </c>
      <c r="U52" s="2100">
        <f t="shared" si="7"/>
        <v>4.2951343712437549E-2</v>
      </c>
      <c r="V52" s="2100">
        <f t="shared" si="8"/>
        <v>0.12940804430291281</v>
      </c>
    </row>
    <row r="53" spans="2:22" s="1461" customFormat="1" ht="13.5" customHeight="1">
      <c r="B53" s="2630" t="s">
        <v>24</v>
      </c>
      <c r="C53" s="394" t="s">
        <v>25</v>
      </c>
      <c r="D53" s="928">
        <f t="shared" ref="D53:H53" si="14">D54+D55</f>
        <v>905.17</v>
      </c>
      <c r="E53" s="928">
        <f t="shared" si="14"/>
        <v>58.303600000000003</v>
      </c>
      <c r="F53" s="928">
        <f t="shared" si="14"/>
        <v>594.25527999999997</v>
      </c>
      <c r="G53" s="395">
        <f t="shared" si="14"/>
        <v>1149.25</v>
      </c>
      <c r="H53" s="1834">
        <f t="shared" si="14"/>
        <v>92.044600000000003</v>
      </c>
      <c r="I53" s="1834">
        <f>I54+I55</f>
        <v>93.13</v>
      </c>
      <c r="J53" s="1470">
        <f>I53-H53</f>
        <v>1.0853999999999928</v>
      </c>
      <c r="K53" s="1470">
        <f>I53-E53</f>
        <v>34.826399999999992</v>
      </c>
      <c r="L53" s="1470">
        <f>I53-G53/12</f>
        <v>-2.6408333333333331</v>
      </c>
      <c r="M53" s="928">
        <f>I53+Q53</f>
        <v>728.01080000000002</v>
      </c>
      <c r="N53" s="1470">
        <f t="shared" si="5"/>
        <v>133.75552000000005</v>
      </c>
      <c r="O53" s="1470">
        <f t="shared" si="6"/>
        <v>-38.155866666666611</v>
      </c>
      <c r="Q53" s="2090">
        <f>Q54+Q55</f>
        <v>634.88080000000002</v>
      </c>
      <c r="R53" s="1683"/>
      <c r="S53" s="1473">
        <f>M53-I53-H53</f>
        <v>542.83619999999996</v>
      </c>
      <c r="U53" s="2100">
        <f t="shared" si="7"/>
        <v>1.1792109477361984E-2</v>
      </c>
      <c r="V53" s="2100">
        <f t="shared" si="8"/>
        <v>0.59732846685281848</v>
      </c>
    </row>
    <row r="54" spans="2:22" s="1461" customFormat="1" ht="14.25">
      <c r="B54" s="2631"/>
      <c r="C54" s="1780" t="s">
        <v>1226</v>
      </c>
      <c r="D54" s="1727">
        <v>770</v>
      </c>
      <c r="E54" s="929">
        <f>SUMIFS('#产量数据'!182:182,'#产量数据'!$1:$1,$B$1-1,'#产量数据'!$2:$2,$B$2)/10000</f>
        <v>45.523600000000002</v>
      </c>
      <c r="F54" s="929">
        <f>SUMIFS('#产量数据'!182:182,'#产量数据'!$1:$1,$B$1-1,'#产量数据'!$2:$2,"&lt;="&amp;$B$2)/10000</f>
        <v>506.17527999999999</v>
      </c>
      <c r="G54" s="397">
        <v>900</v>
      </c>
      <c r="H54" s="929">
        <f>SUMIFS('#产量数据'!182:182,'#产量数据'!$1:$1,$H$1,'#产量数据'!$2:$2,$H$2)/10000</f>
        <v>80.1083</v>
      </c>
      <c r="I54" s="1733">
        <v>81.5</v>
      </c>
      <c r="J54" s="986">
        <f>I54-H54</f>
        <v>1.3917000000000002</v>
      </c>
      <c r="K54" s="986">
        <f>I54-E54</f>
        <v>35.976399999999998</v>
      </c>
      <c r="L54" s="986">
        <f>I54-G54/12</f>
        <v>6.5</v>
      </c>
      <c r="M54" s="929">
        <f>I54+Q54</f>
        <v>629.81799999999998</v>
      </c>
      <c r="N54" s="986">
        <f t="shared" si="5"/>
        <v>123.64272</v>
      </c>
      <c r="O54" s="986">
        <f t="shared" si="6"/>
        <v>29.817999999999984</v>
      </c>
      <c r="Q54" s="2090">
        <f>SUMIFS('#产量数据'!182:182,'#产量数据'!$1:$1,$B$1,'#产量数据'!$2:$2,"&lt;="&amp;$B$2-1)/10000</f>
        <v>548.31799999999998</v>
      </c>
      <c r="R54" s="1683"/>
      <c r="S54" s="1473">
        <f>M54-I54-H54</f>
        <v>468.2097</v>
      </c>
      <c r="U54" s="2100">
        <f t="shared" si="7"/>
        <v>1.7372731664509172E-2</v>
      </c>
      <c r="V54" s="2100">
        <f t="shared" si="8"/>
        <v>0.79028020631057294</v>
      </c>
    </row>
    <row r="55" spans="2:22" s="1461" customFormat="1" ht="14.25">
      <c r="B55" s="2631"/>
      <c r="C55" s="1780" t="s">
        <v>1228</v>
      </c>
      <c r="D55" s="1727">
        <v>135.16999999999999</v>
      </c>
      <c r="E55" s="1727">
        <f>SUMIFS('#产量数据'!192:192,'#产量数据'!$1:$1,$B$1-1,'#产量数据'!$2:$2,$B$2)/10000</f>
        <v>12.78</v>
      </c>
      <c r="F55" s="1727">
        <f>SUMIFS('#产量数据'!192:192,'#产量数据'!$1:$1,$B$1-1,'#产量数据'!$2:$2,"&lt;="&amp;$B$2)/10000</f>
        <v>88.08</v>
      </c>
      <c r="G55" s="1777">
        <v>249.25</v>
      </c>
      <c r="H55" s="1840">
        <f>SUMIFS('#产量数据'!192:192,'#产量数据'!$1:$1,$H$1,'#产量数据'!$2:$2,$H$2)/10000</f>
        <v>11.936299999999999</v>
      </c>
      <c r="I55" s="1733">
        <v>11.63</v>
      </c>
      <c r="J55" s="986">
        <f t="shared" si="2"/>
        <v>-0.30629999999999846</v>
      </c>
      <c r="K55" s="986">
        <f t="shared" si="3"/>
        <v>-1.1499999999999986</v>
      </c>
      <c r="L55" s="986">
        <f>I55-G55/12</f>
        <v>-9.1408333333333314</v>
      </c>
      <c r="M55" s="929">
        <f>I55+Q55</f>
        <v>98.192799999999991</v>
      </c>
      <c r="N55" s="986">
        <f t="shared" si="5"/>
        <v>10.112799999999993</v>
      </c>
      <c r="O55" s="986">
        <f t="shared" si="6"/>
        <v>-67.973866666666666</v>
      </c>
      <c r="Q55" s="2090">
        <f>SUMIFS('#产量数据'!192:192,'#产量数据'!$1:$1,$B$1,'#产量数据'!$2:$2,"&lt;="&amp;$B$2-1)/10000</f>
        <v>86.562799999999996</v>
      </c>
      <c r="R55" s="1683"/>
      <c r="S55" s="1473">
        <f t="shared" si="10"/>
        <v>74.626499999999993</v>
      </c>
      <c r="U55" s="2100">
        <f t="shared" si="7"/>
        <v>-2.5661218300478246E-2</v>
      </c>
      <c r="V55" s="2100">
        <f t="shared" si="8"/>
        <v>-8.9984350547730726E-2</v>
      </c>
    </row>
    <row r="56" spans="2:22" s="1461" customFormat="1" ht="14.25">
      <c r="B56" s="2631"/>
      <c r="C56" s="394" t="s">
        <v>26</v>
      </c>
      <c r="D56" s="928">
        <f t="shared" ref="D56:I56" si="15">D57+D58</f>
        <v>1251.6799999999998</v>
      </c>
      <c r="E56" s="928">
        <f t="shared" si="15"/>
        <v>93.859820900000003</v>
      </c>
      <c r="F56" s="928">
        <f t="shared" si="15"/>
        <v>818.59694539999998</v>
      </c>
      <c r="G56" s="395">
        <f t="shared" si="15"/>
        <v>1525</v>
      </c>
      <c r="H56" s="395">
        <f t="shared" si="15"/>
        <v>125.35483669999999</v>
      </c>
      <c r="I56" s="1834">
        <f t="shared" si="15"/>
        <v>125.26</v>
      </c>
      <c r="J56" s="1470">
        <f t="shared" si="2"/>
        <v>-9.4836699999987673E-2</v>
      </c>
      <c r="K56" s="1470">
        <f t="shared" si="3"/>
        <v>31.400179100000003</v>
      </c>
      <c r="L56" s="1470">
        <f t="shared" si="4"/>
        <v>-1.8233333333333235</v>
      </c>
      <c r="M56" s="928">
        <f>I56+Q56</f>
        <v>971.91929069999992</v>
      </c>
      <c r="N56" s="1470">
        <f t="shared" si="5"/>
        <v>153.32234529999994</v>
      </c>
      <c r="O56" s="1470">
        <f t="shared" si="6"/>
        <v>-44.747375966666709</v>
      </c>
      <c r="Q56" s="2090">
        <f>Q57+Q58</f>
        <v>846.65929069999993</v>
      </c>
      <c r="R56" s="1683"/>
      <c r="S56" s="1473">
        <f t="shared" si="10"/>
        <v>721.30445399999996</v>
      </c>
      <c r="U56" s="2100">
        <f t="shared" si="7"/>
        <v>-7.5654599771807348E-4</v>
      </c>
      <c r="V56" s="2100">
        <f t="shared" si="8"/>
        <v>0.33454335197863139</v>
      </c>
    </row>
    <row r="57" spans="2:22" s="1461" customFormat="1" ht="14.25">
      <c r="B57" s="2631"/>
      <c r="C57" s="1780" t="s">
        <v>1226</v>
      </c>
      <c r="D57" s="1727">
        <v>1068.8599999999999</v>
      </c>
      <c r="E57" s="929">
        <f>SUMIFS('#产量数据'!183:183,'#产量数据'!$1:$1,$B$1-1,'#产量数据'!$2:$2,$B$2)/10000</f>
        <v>76.139820900000004</v>
      </c>
      <c r="F57" s="929">
        <f>SUMIFS('#产量数据'!183:183,'#产量数据'!$1:$1,$B$1-1,'#产量数据'!$2:$2,"&lt;="&amp;$B$2)/10000</f>
        <v>702.05694540000002</v>
      </c>
      <c r="G57" s="397">
        <v>1200</v>
      </c>
      <c r="H57" s="929">
        <f>SUMIFS('#产量数据'!183:183,'#产量数据'!$1:$1,$H$1,'#产量数据'!$2:$2,$H$2)/10000</f>
        <v>109.99733669999999</v>
      </c>
      <c r="I57" s="1733">
        <v>110</v>
      </c>
      <c r="J57" s="986">
        <f t="shared" si="2"/>
        <v>2.6633000000089169E-3</v>
      </c>
      <c r="K57" s="986">
        <f t="shared" si="3"/>
        <v>33.860179099999996</v>
      </c>
      <c r="L57" s="986">
        <f t="shared" si="4"/>
        <v>10</v>
      </c>
      <c r="M57" s="929">
        <f>I57+Q57</f>
        <v>843.98829069999988</v>
      </c>
      <c r="N57" s="986">
        <f t="shared" si="5"/>
        <v>141.93134529999986</v>
      </c>
      <c r="O57" s="986">
        <f t="shared" si="6"/>
        <v>43.98829069999988</v>
      </c>
      <c r="Q57" s="2090">
        <f>SUMIFS('#产量数据'!183:183,'#产量数据'!$1:$1,$B$1,'#产量数据'!$2:$2,"&lt;="&amp;$B$2-1)/10000</f>
        <v>733.98829069999988</v>
      </c>
      <c r="R57" s="1683"/>
      <c r="S57" s="1473">
        <f t="shared" si="10"/>
        <v>623.99095399999987</v>
      </c>
      <c r="U57" s="2100">
        <f t="shared" si="7"/>
        <v>2.4212404408232523E-5</v>
      </c>
      <c r="V57" s="2100">
        <f t="shared" si="8"/>
        <v>0.44471051678031981</v>
      </c>
    </row>
    <row r="58" spans="2:22" s="1461" customFormat="1" ht="14.25">
      <c r="B58" s="2631"/>
      <c r="C58" s="1780" t="s">
        <v>1228</v>
      </c>
      <c r="D58" s="1727">
        <v>182.82</v>
      </c>
      <c r="E58" s="1727">
        <f>SUMIFS('#产量数据'!193:193,'#产量数据'!$1:$1,$B$1-1,'#产量数据'!$2:$2,$B$2)/10000</f>
        <v>17.72</v>
      </c>
      <c r="F58" s="1727">
        <f>SUMIFS('#产量数据'!193:193,'#产量数据'!$1:$1,$B$1-1,'#产量数据'!$2:$2,"&lt;="&amp;$B$2)/10000</f>
        <v>116.54</v>
      </c>
      <c r="G58" s="1741">
        <v>325</v>
      </c>
      <c r="H58" s="1840">
        <f>SUMIFS('#产量数据'!193:193,'#产量数据'!$1:$1,$H$1,'#产量数据'!$2:$2,$H$2)/10000</f>
        <v>15.3575</v>
      </c>
      <c r="I58" s="1733">
        <v>15.26</v>
      </c>
      <c r="J58" s="986">
        <f t="shared" si="2"/>
        <v>-9.7500000000000142E-2</v>
      </c>
      <c r="K58" s="986">
        <f t="shared" si="3"/>
        <v>-2.4599999999999991</v>
      </c>
      <c r="L58" s="986">
        <f>I58-G58/12</f>
        <v>-11.823333333333332</v>
      </c>
      <c r="M58" s="929">
        <f t="shared" ref="M58:M63" si="16">I58+Q58</f>
        <v>127.93100000000001</v>
      </c>
      <c r="N58" s="986">
        <f t="shared" si="5"/>
        <v>11.391000000000005</v>
      </c>
      <c r="O58" s="986">
        <f t="shared" si="6"/>
        <v>-88.735666666666646</v>
      </c>
      <c r="Q58" s="2090">
        <f>SUMIFS('#产量数据'!193:193,'#产量数据'!$1:$1,$B$1,'#产量数据'!$2:$2,"&lt;="&amp;$B$2-1)/10000</f>
        <v>112.67100000000001</v>
      </c>
      <c r="R58" s="1683"/>
      <c r="S58" s="1473">
        <f t="shared" si="10"/>
        <v>97.313500000000005</v>
      </c>
      <c r="U58" s="2100">
        <f t="shared" si="7"/>
        <v>-6.3486895653589543E-3</v>
      </c>
      <c r="V58" s="2100">
        <f t="shared" si="8"/>
        <v>-0.1388261851015801</v>
      </c>
    </row>
    <row r="59" spans="2:22" ht="14.25">
      <c r="B59" s="2631"/>
      <c r="C59" s="394" t="s">
        <v>1227</v>
      </c>
      <c r="D59" s="1833">
        <f t="shared" ref="D59:I59" si="17">D60+D61</f>
        <v>601.66</v>
      </c>
      <c r="E59" s="1833">
        <f t="shared" si="17"/>
        <v>52.651535600000003</v>
      </c>
      <c r="F59" s="1833">
        <f t="shared" si="17"/>
        <v>387.52067650000004</v>
      </c>
      <c r="G59" s="1837">
        <f t="shared" si="17"/>
        <v>650</v>
      </c>
      <c r="H59" s="2084">
        <f t="shared" si="17"/>
        <v>52.064028499999992</v>
      </c>
      <c r="I59" s="1835">
        <f t="shared" si="17"/>
        <v>53.76</v>
      </c>
      <c r="J59" s="1470">
        <f t="shared" si="2"/>
        <v>1.695971500000006</v>
      </c>
      <c r="K59" s="1470">
        <f t="shared" si="3"/>
        <v>1.1084643999999955</v>
      </c>
      <c r="L59" s="1470">
        <f t="shared" si="4"/>
        <v>-0.40666666666666629</v>
      </c>
      <c r="M59" s="928">
        <f>I59+Q59</f>
        <v>401.4590417</v>
      </c>
      <c r="N59" s="1470">
        <f t="shared" si="5"/>
        <v>13.938365199999964</v>
      </c>
      <c r="O59" s="1470">
        <f t="shared" si="6"/>
        <v>-31.874291633333314</v>
      </c>
      <c r="Q59" s="2092">
        <f>Q60+Q61</f>
        <v>347.69904170000001</v>
      </c>
      <c r="R59" s="1683"/>
      <c r="S59" s="1473">
        <f t="shared" si="10"/>
        <v>295.6350132</v>
      </c>
      <c r="U59" s="2100">
        <f t="shared" si="7"/>
        <v>3.2574726713665778E-2</v>
      </c>
      <c r="V59" s="2100">
        <f t="shared" si="8"/>
        <v>2.1052840859593001E-2</v>
      </c>
    </row>
    <row r="60" spans="2:22" ht="14.25">
      <c r="B60" s="2631"/>
      <c r="C60" s="1780" t="s">
        <v>1226</v>
      </c>
      <c r="D60" s="1727">
        <v>418.84</v>
      </c>
      <c r="E60" s="1727">
        <f>SUMIFS('#产量数据'!184:184,'#产量数据'!$1:$1,$B$1-1,'#产量数据'!$2:$2,$B$2)/10000</f>
        <v>34.931535600000004</v>
      </c>
      <c r="F60" s="1727">
        <f>SUMIFS('#产量数据'!184:184,'#产量数据'!$1:$1,$B$1-1,'#产量数据'!$2:$2,"&lt;="&amp;$B$2)/10000</f>
        <v>270.98067650000002</v>
      </c>
      <c r="G60" s="1741">
        <v>430</v>
      </c>
      <c r="H60" s="1840">
        <f>SUMIFS('#产量数据'!184:184,'#产量数据'!$1:$1,$H$1,'#产量数据'!$2:$2,$H$2)/10000</f>
        <v>38.713328499999996</v>
      </c>
      <c r="I60" s="1733">
        <v>38.5</v>
      </c>
      <c r="J60" s="986">
        <f t="shared" si="2"/>
        <v>-0.21332849999999581</v>
      </c>
      <c r="K60" s="986">
        <f t="shared" si="3"/>
        <v>3.5684643999999963</v>
      </c>
      <c r="L60" s="986">
        <f>I60-G60/12</f>
        <v>2.6666666666666643</v>
      </c>
      <c r="M60" s="929">
        <f>I60+Q60</f>
        <v>295.47094170000003</v>
      </c>
      <c r="N60" s="986">
        <f t="shared" si="5"/>
        <v>24.49026520000001</v>
      </c>
      <c r="O60" s="986">
        <f t="shared" si="6"/>
        <v>8.8042750333333402</v>
      </c>
      <c r="Q60" s="1727">
        <f>SUMIFS('#产量数据'!184:184,'#产量数据'!$1:$1,$B$1,'#产量数据'!$2:$2,"&lt;="&amp;$B$2-1)/10000</f>
        <v>256.97094170000003</v>
      </c>
      <c r="R60" s="1683"/>
      <c r="S60" s="1473">
        <f t="shared" si="10"/>
        <v>218.25761320000004</v>
      </c>
      <c r="U60" s="2100">
        <f t="shared" si="7"/>
        <v>-5.5104665050951596E-3</v>
      </c>
      <c r="V60" s="2100">
        <f t="shared" si="8"/>
        <v>0.10215595560591376</v>
      </c>
    </row>
    <row r="61" spans="2:22" ht="14.25">
      <c r="B61" s="2631"/>
      <c r="C61" s="1780" t="s">
        <v>1228</v>
      </c>
      <c r="D61" s="1727">
        <v>182.82</v>
      </c>
      <c r="E61" s="1727">
        <f>SUMIFS('#产量数据'!194:194,'#产量数据'!$1:$1,$B$1-1,'#产量数据'!$2:$2,$B$2)/10000</f>
        <v>17.72</v>
      </c>
      <c r="F61" s="1727">
        <f>SUMIFS('#产量数据'!194:194,'#产量数据'!$1:$1,$B$1-1,'#产量数据'!$2:$2,"&lt;="&amp;$B$2)/10000</f>
        <v>116.54</v>
      </c>
      <c r="G61" s="1741">
        <v>220</v>
      </c>
      <c r="H61" s="1840">
        <f>SUMIFS('#产量数据'!194:194,'#产量数据'!$1:$1,$H$1,'#产量数据'!$2:$2,$H$2)/10000</f>
        <v>13.3507</v>
      </c>
      <c r="I61" s="1733">
        <v>15.26</v>
      </c>
      <c r="J61" s="986">
        <f t="shared" si="2"/>
        <v>1.9093</v>
      </c>
      <c r="K61" s="986">
        <f t="shared" si="3"/>
        <v>-2.4599999999999991</v>
      </c>
      <c r="L61" s="986">
        <f t="shared" si="4"/>
        <v>-3.0733333333333324</v>
      </c>
      <c r="M61" s="929">
        <f t="shared" si="16"/>
        <v>105.9881</v>
      </c>
      <c r="N61" s="986">
        <f t="shared" si="5"/>
        <v>-10.551900000000003</v>
      </c>
      <c r="O61" s="986">
        <f t="shared" si="6"/>
        <v>-40.678566666666654</v>
      </c>
      <c r="Q61" s="1727">
        <f>SUMIFS('#产量数据'!194:194,'#产量数据'!$1:$1,$B$1,'#产量数据'!$2:$2,"&lt;="&amp;$B$2-1)/10000</f>
        <v>90.728099999999998</v>
      </c>
      <c r="R61" s="1683"/>
      <c r="S61" s="1473">
        <f t="shared" si="10"/>
        <v>77.377399999999994</v>
      </c>
      <c r="U61" s="2100">
        <f t="shared" si="7"/>
        <v>0.14301122787569193</v>
      </c>
      <c r="V61" s="2100">
        <f t="shared" si="8"/>
        <v>-0.1388261851015801</v>
      </c>
    </row>
    <row r="62" spans="2:22" s="1461" customFormat="1" ht="14.25">
      <c r="B62" s="2631"/>
      <c r="C62" s="394" t="s">
        <v>28</v>
      </c>
      <c r="D62" s="1833">
        <f>SUM(D63:D66)</f>
        <v>1227.8500000000001</v>
      </c>
      <c r="E62" s="1833">
        <f>SUM(E63:E66)</f>
        <v>90.322741589999964</v>
      </c>
      <c r="F62" s="1833">
        <f>SUM(F63:F66)</f>
        <v>793.47933876999991</v>
      </c>
      <c r="G62" s="1837">
        <f>SUM(G63:G65)</f>
        <v>1515</v>
      </c>
      <c r="H62" s="2084">
        <f>SUM(H63:H66)</f>
        <v>122.48378013</v>
      </c>
      <c r="I62" s="1835">
        <f>I63+I64+I65+I66</f>
        <v>123.9</v>
      </c>
      <c r="J62" s="1470">
        <f t="shared" si="2"/>
        <v>1.4162198700000062</v>
      </c>
      <c r="K62" s="1470">
        <f t="shared" si="3"/>
        <v>33.577258410000042</v>
      </c>
      <c r="L62" s="1470">
        <f t="shared" si="4"/>
        <v>-2.3499999999999943</v>
      </c>
      <c r="M62" s="928">
        <f t="shared" si="16"/>
        <v>958.29329979999989</v>
      </c>
      <c r="N62" s="1470">
        <f t="shared" si="5"/>
        <v>164.81396102999997</v>
      </c>
      <c r="O62" s="1470">
        <f t="shared" si="6"/>
        <v>-51.706700200000114</v>
      </c>
      <c r="P62" s="2526">
        <f>N62/F62</f>
        <v>0.20771046324342088</v>
      </c>
      <c r="Q62" s="1833">
        <f>Q63+Q64+Q65+Q66</f>
        <v>834.39329979999991</v>
      </c>
      <c r="R62" s="1683"/>
      <c r="S62" s="1473">
        <f t="shared" si="10"/>
        <v>711.9095196699999</v>
      </c>
      <c r="U62" s="2100">
        <f t="shared" si="7"/>
        <v>1.1562509488986052E-2</v>
      </c>
      <c r="V62" s="2100">
        <f t="shared" si="8"/>
        <v>0.37174755569772838</v>
      </c>
    </row>
    <row r="63" spans="2:22" s="1461" customFormat="1" ht="14.25">
      <c r="B63" s="2631"/>
      <c r="C63" s="1780" t="s">
        <v>1226</v>
      </c>
      <c r="D63" s="1727">
        <v>987.64</v>
      </c>
      <c r="E63" s="1727">
        <f>SUMIFS('#产量数据'!186:186,'#产量数据'!$1:$1,$B$1-1,'#产量数据'!$2:$2,$B$2)/10000</f>
        <v>69.268369989999982</v>
      </c>
      <c r="F63" s="1727">
        <f>SUMIFS('#产量数据'!186:186,'#产量数据'!$1:$1,$B$1-1,'#产量数据'!$2:$2,"&lt;="&amp;$B$2)/10000</f>
        <v>642.24241237000001</v>
      </c>
      <c r="G63" s="1741">
        <v>1130</v>
      </c>
      <c r="H63" s="1840">
        <f>SUMIFS('#产量数据'!186:186,'#产量数据'!$1:$1,$H$1,'#产量数据'!$2:$2,$H$2)/10000</f>
        <v>103.97309213</v>
      </c>
      <c r="I63" s="1733">
        <v>105.05</v>
      </c>
      <c r="J63" s="986">
        <f t="shared" si="2"/>
        <v>1.0769078699999994</v>
      </c>
      <c r="K63" s="986">
        <f t="shared" si="3"/>
        <v>35.781630010000015</v>
      </c>
      <c r="L63" s="986">
        <f t="shared" si="4"/>
        <v>10.883333333333326</v>
      </c>
      <c r="M63" s="929">
        <f t="shared" si="16"/>
        <v>801.6941086999999</v>
      </c>
      <c r="N63" s="986">
        <f t="shared" si="5"/>
        <v>159.45169632999989</v>
      </c>
      <c r="O63" s="986">
        <f t="shared" si="6"/>
        <v>48.36077536666653</v>
      </c>
      <c r="P63" s="2526">
        <f t="shared" ref="P63:P85" si="18">N63/F63</f>
        <v>0.24827338285179887</v>
      </c>
      <c r="Q63" s="1833">
        <f>SUMIFS('#产量数据'!186:186,'#产量数据'!$1:$1,$B$1,'#产量数据'!$2:$2,"&lt;="&amp;$B$2-1)/10000</f>
        <v>696.64410869999995</v>
      </c>
      <c r="R63" s="1683"/>
      <c r="S63" s="1473">
        <f t="shared" si="10"/>
        <v>592.67101656999989</v>
      </c>
      <c r="U63" s="2100">
        <f t="shared" si="7"/>
        <v>1.0357563172724692E-2</v>
      </c>
      <c r="V63" s="2100">
        <f t="shared" si="8"/>
        <v>0.51656520884157775</v>
      </c>
    </row>
    <row r="64" spans="2:22" s="1461" customFormat="1" ht="14.25">
      <c r="B64" s="2631"/>
      <c r="C64" s="1780" t="s">
        <v>1228</v>
      </c>
      <c r="D64" s="1727">
        <v>172.51</v>
      </c>
      <c r="E64" s="1727">
        <f>SUMIFS('#产量数据'!195:195,'#产量数据'!$1:$1,$B$1-1,'#产量数据'!$2:$2,$B$2)/10000</f>
        <v>14.61</v>
      </c>
      <c r="F64" s="1727">
        <f>SUMIFS('#产量数据'!195:195,'#产量数据'!$1:$1,$B$1-1,'#产量数据'!$2:$2,"&lt;="&amp;$B$2)/10000</f>
        <v>108.05</v>
      </c>
      <c r="G64" s="1777">
        <v>315</v>
      </c>
      <c r="H64" s="1840">
        <f>SUMIFS('#产量数据'!195:195,'#产量数据'!$1:$1,$H$1,'#产量数据'!$2:$2,$H$2)/10000</f>
        <v>14.828799999999999</v>
      </c>
      <c r="I64" s="1733">
        <v>14.95</v>
      </c>
      <c r="J64" s="986">
        <f t="shared" si="2"/>
        <v>0.12119999999999997</v>
      </c>
      <c r="K64" s="986">
        <f t="shared" si="3"/>
        <v>0.33999999999999986</v>
      </c>
      <c r="L64" s="986">
        <f t="shared" si="4"/>
        <v>-11.3</v>
      </c>
      <c r="M64" s="929">
        <f t="shared" ref="M64:M91" si="19">I64+Q64</f>
        <v>126.91630640000001</v>
      </c>
      <c r="N64" s="986">
        <f t="shared" si="5"/>
        <v>18.866306400000013</v>
      </c>
      <c r="O64" s="986">
        <f t="shared" si="6"/>
        <v>-83.083693599999989</v>
      </c>
      <c r="P64" s="2526">
        <f t="shared" si="18"/>
        <v>0.17460718556223984</v>
      </c>
      <c r="Q64" s="1833">
        <f>SUMIFS('#产量数据'!195:195,'#产量数据'!$1:$1,$B$1,'#产量数据'!$2:$2,"&lt;="&amp;$B$2-1)/10000</f>
        <v>111.96630640000001</v>
      </c>
      <c r="R64" s="1683"/>
      <c r="S64" s="1473">
        <f t="shared" si="10"/>
        <v>97.137506400000007</v>
      </c>
      <c r="U64" s="2100">
        <f t="shared" si="7"/>
        <v>8.1732844195079833E-3</v>
      </c>
      <c r="V64" s="2100">
        <f t="shared" si="8"/>
        <v>2.3271731690622851E-2</v>
      </c>
    </row>
    <row r="65" spans="2:22" s="1461" customFormat="1" ht="14.25">
      <c r="B65" s="2631"/>
      <c r="C65" s="1780" t="s">
        <v>1229</v>
      </c>
      <c r="D65" s="1727">
        <v>67.7</v>
      </c>
      <c r="E65" s="1727">
        <f>SUMIFS('#产量数据'!197:197,'#产量数据'!$1:$1,$B$1-1,'#产量数据'!$2:$2,$B$2)/10000</f>
        <v>6.4443715999999798</v>
      </c>
      <c r="F65" s="1727">
        <f>SUMIFS('#产量数据'!197:197,'#产量数据'!$1:$1,$B$1-1,'#产量数据'!$2:$2,"&lt;="&amp;$B$2)/10000</f>
        <v>43.186926399999948</v>
      </c>
      <c r="G65" s="1741">
        <v>70</v>
      </c>
      <c r="H65" s="1840">
        <f>SUMIFS('#产量数据'!197:197,'#产量数据'!$1:$1,$H$1,'#产量数据'!$2:$2,$H$2)/10000</f>
        <v>5.8933999999999997</v>
      </c>
      <c r="I65" s="1733">
        <v>5.9</v>
      </c>
      <c r="J65" s="986">
        <f t="shared" si="2"/>
        <v>6.6000000000006054E-3</v>
      </c>
      <c r="K65" s="986">
        <f t="shared" si="3"/>
        <v>-0.54437159999997942</v>
      </c>
      <c r="L65" s="986">
        <f t="shared" si="4"/>
        <v>6.6666666666667318E-2</v>
      </c>
      <c r="M65" s="929">
        <f t="shared" si="19"/>
        <v>46.843850400000001</v>
      </c>
      <c r="N65" s="986">
        <f t="shared" si="5"/>
        <v>3.6569240000000534</v>
      </c>
      <c r="O65" s="986">
        <f t="shared" si="6"/>
        <v>0.17718373333333659</v>
      </c>
      <c r="P65" s="2526">
        <f t="shared" si="18"/>
        <v>8.4676644179986327E-2</v>
      </c>
      <c r="Q65" s="1833">
        <f>SUMIFS('#产量数据'!197:197,'#产量数据'!$1:$1,$B$1,'#产量数据'!$2:$2,"&lt;="&amp;$B$2-1)/10000</f>
        <v>40.943850400000002</v>
      </c>
      <c r="R65" s="1683"/>
      <c r="S65" s="1473">
        <f t="shared" si="10"/>
        <v>35.050450400000003</v>
      </c>
      <c r="U65" s="2100">
        <f t="shared" si="7"/>
        <v>1.1198968337463274E-3</v>
      </c>
      <c r="V65" s="2100">
        <f t="shared" si="8"/>
        <v>-8.4472410001928053E-2</v>
      </c>
    </row>
    <row r="66" spans="2:22" s="1461" customFormat="1" ht="14.25">
      <c r="B66" s="2631"/>
      <c r="C66" s="2502" t="s">
        <v>1711</v>
      </c>
      <c r="D66" s="1727">
        <v>0</v>
      </c>
      <c r="E66" s="1727">
        <v>0</v>
      </c>
      <c r="F66" s="1727">
        <v>0</v>
      </c>
      <c r="G66" s="1741">
        <v>0</v>
      </c>
      <c r="H66" s="1840">
        <f>SUMIFS('#产量数据'!199:199,'#产量数据'!$1:$1,$H$1,'#产量数据'!$2:$2,$H$2)/10000</f>
        <v>-2.2115120000000004</v>
      </c>
      <c r="I66" s="1733">
        <v>-2</v>
      </c>
      <c r="J66" s="1714">
        <f t="shared" si="2"/>
        <v>0.21151200000000037</v>
      </c>
      <c r="K66" s="986">
        <f t="shared" si="3"/>
        <v>-2</v>
      </c>
      <c r="L66" s="1714">
        <f t="shared" si="4"/>
        <v>-2</v>
      </c>
      <c r="M66" s="929">
        <f>I66+Q66</f>
        <v>-17.160965699999998</v>
      </c>
      <c r="N66" s="986">
        <f t="shared" ref="N66" si="20">M66-F66</f>
        <v>-17.160965699999998</v>
      </c>
      <c r="O66" s="986">
        <f t="shared" ref="O66" si="21">M66-G66/12*$B$2</f>
        <v>-17.160965699999998</v>
      </c>
      <c r="P66" s="2526"/>
      <c r="Q66" s="1833">
        <f>SUMIFS('#产量数据'!199:199,'#产量数据'!$1:$1,$B$1,'#产量数据'!$2:$2,"&lt;="&amp;$B$2)/10000</f>
        <v>-15.1609657</v>
      </c>
      <c r="R66" s="1683"/>
      <c r="S66" s="1473">
        <f>SUMIFS('#产量数据'!199:199,'#产量数据'!$1:$1,$H$1,'#产量数据'!$2:$2,"&lt;="&amp;$H$2)/10000</f>
        <v>-13.0869997</v>
      </c>
      <c r="U66" s="2100">
        <f t="shared" si="7"/>
        <v>-9.5641353065233345E-2</v>
      </c>
      <c r="V66" s="2100"/>
    </row>
    <row r="67" spans="2:22" ht="14.25">
      <c r="B67" s="2631"/>
      <c r="C67" s="394" t="s">
        <v>1230</v>
      </c>
      <c r="D67" s="1833">
        <f>SUM(D68:D71)</f>
        <v>616.53</v>
      </c>
      <c r="E67" s="1833">
        <f>SUM(E68:E71)</f>
        <v>47.768276689999986</v>
      </c>
      <c r="F67" s="1833">
        <f>SUM(F68:F71)</f>
        <v>390.14167136999993</v>
      </c>
      <c r="G67" s="1837">
        <f>SUM(G68:G71)</f>
        <v>671</v>
      </c>
      <c r="H67" s="2084">
        <f>SUM(H68:H71)</f>
        <v>49.779352029999991</v>
      </c>
      <c r="I67" s="1835">
        <f>I68+I69+I70+I71</f>
        <v>53.499999999999993</v>
      </c>
      <c r="J67" s="1470">
        <f t="shared" si="2"/>
        <v>3.7206479700000017</v>
      </c>
      <c r="K67" s="1470">
        <f t="shared" si="3"/>
        <v>5.7317233100000067</v>
      </c>
      <c r="L67" s="1470">
        <f t="shared" si="4"/>
        <v>-2.4166666666666714</v>
      </c>
      <c r="M67" s="928">
        <f t="shared" si="19"/>
        <v>412.31850919999999</v>
      </c>
      <c r="N67" s="1470">
        <f>M67-F67</f>
        <v>22.176837830000068</v>
      </c>
      <c r="O67" s="1470">
        <f t="shared" si="6"/>
        <v>-35.01482413333332</v>
      </c>
      <c r="P67" s="2526">
        <f t="shared" si="18"/>
        <v>5.6843037945998209E-2</v>
      </c>
      <c r="Q67" s="1727">
        <f>Q68+Q69+Q70+Q71</f>
        <v>358.81850919999999</v>
      </c>
      <c r="R67" s="1683"/>
      <c r="S67" s="1473">
        <f t="shared" si="10"/>
        <v>309.03915717000001</v>
      </c>
      <c r="U67" s="2100">
        <f t="shared" si="7"/>
        <v>7.4742796325627511E-2</v>
      </c>
      <c r="V67" s="2100">
        <f t="shared" si="8"/>
        <v>0.11999016307824875</v>
      </c>
    </row>
    <row r="68" spans="2:22" ht="14.25">
      <c r="B68" s="2631"/>
      <c r="C68" s="1780" t="s">
        <v>1226</v>
      </c>
      <c r="D68" s="1727">
        <v>377.9</v>
      </c>
      <c r="E68" s="1727">
        <f>SUMIFS('#产量数据'!187:187,'#产量数据'!$1:$1,$B$1-1,'#产量数据'!$2:$2,$B$2)/10000</f>
        <v>26.713905090000004</v>
      </c>
      <c r="F68" s="1727">
        <f>SUMIFS('#产量数据'!187:187,'#产量数据'!$1:$1,$B$1-1,'#产量数据'!$2:$2,"&lt;="&amp;$B$2)/10000</f>
        <v>238.90474496999997</v>
      </c>
      <c r="G68" s="1741">
        <v>389</v>
      </c>
      <c r="H68" s="1840">
        <f>SUMIFS('#产量数据'!187:187,'#产量数据'!$1:$1,$H$1,'#产量数据'!$2:$2,$H$2)/10000</f>
        <v>35.570664029999989</v>
      </c>
      <c r="I68" s="1733">
        <v>34.65</v>
      </c>
      <c r="J68" s="986">
        <f t="shared" si="2"/>
        <v>-0.92066402999999042</v>
      </c>
      <c r="K68" s="986">
        <f t="shared" si="3"/>
        <v>7.9360949099999942</v>
      </c>
      <c r="L68" s="986">
        <f t="shared" si="4"/>
        <v>2.2333333333333343</v>
      </c>
      <c r="M68" s="929">
        <f t="shared" si="19"/>
        <v>274.86745210000004</v>
      </c>
      <c r="N68" s="986">
        <f t="shared" si="5"/>
        <v>35.962707130000069</v>
      </c>
      <c r="O68" s="986">
        <f t="shared" si="6"/>
        <v>15.534118766666722</v>
      </c>
      <c r="P68" s="2526">
        <f t="shared" si="18"/>
        <v>0.15053157330347716</v>
      </c>
      <c r="Q68" s="1727">
        <f>SUMIFS('#产量数据'!187:187,'#产量数据'!$1:$1,$B$1,'#产量数据'!$2:$2,"&lt;="&amp;$B$2-1)/10000</f>
        <v>240.21745210000003</v>
      </c>
      <c r="R68" s="1683"/>
      <c r="S68" s="1473">
        <f>M68-I68-H68</f>
        <v>204.64678807000004</v>
      </c>
      <c r="U68" s="2100">
        <f t="shared" ref="U68:U92" si="22">J68/H68</f>
        <v>-2.5882677625121375E-2</v>
      </c>
      <c r="V68" s="2100">
        <f t="shared" ref="V68:V92" si="23">K68/E68</f>
        <v>0.29707730424522494</v>
      </c>
    </row>
    <row r="69" spans="2:22" ht="14.25">
      <c r="B69" s="2631"/>
      <c r="C69" s="1780" t="s">
        <v>1228</v>
      </c>
      <c r="D69" s="1727">
        <v>170.93</v>
      </c>
      <c r="E69" s="1727">
        <f>SUMIFS('#产量数据'!196:196,'#产量数据'!$1:$1,$B$1-1,'#产量数据'!$2:$2,$B$2)/10000</f>
        <v>14.61</v>
      </c>
      <c r="F69" s="1727">
        <f>SUMIFS('#产量数据'!196:196,'#产量数据'!$1:$1,$B$1-1,'#产量数据'!$2:$2,"&lt;="&amp;$B$2)/10000</f>
        <v>108.05</v>
      </c>
      <c r="G69" s="1777">
        <v>212</v>
      </c>
      <c r="H69" s="1840">
        <f>SUMIFS('#产量数据'!196:196,'#产量数据'!$1:$1,$H$1,'#产量数据'!$2:$2,$H$2)/10000</f>
        <v>10.5268</v>
      </c>
      <c r="I69" s="1733">
        <v>14.95</v>
      </c>
      <c r="J69" s="986">
        <f t="shared" si="2"/>
        <v>4.4231999999999996</v>
      </c>
      <c r="K69" s="986">
        <f t="shared" si="3"/>
        <v>0.33999999999999986</v>
      </c>
      <c r="L69" s="986">
        <f t="shared" si="4"/>
        <v>-2.7166666666666686</v>
      </c>
      <c r="M69" s="929">
        <f t="shared" si="19"/>
        <v>105.6942064</v>
      </c>
      <c r="N69" s="986">
        <f t="shared" si="5"/>
        <v>-2.3557935999999984</v>
      </c>
      <c r="O69" s="986">
        <f t="shared" si="6"/>
        <v>-35.639126933333344</v>
      </c>
      <c r="P69" s="2526">
        <f t="shared" si="18"/>
        <v>-2.1802809810273008E-2</v>
      </c>
      <c r="Q69" s="1727">
        <f>SUMIFS('#产量数据'!196:196,'#产量数据'!$1:$1,$B$1,'#产量数据'!$2:$2,"&lt;="&amp;$B$2-1)/10000</f>
        <v>90.744206399999996</v>
      </c>
      <c r="R69" s="1683"/>
      <c r="S69" s="1473">
        <f t="shared" si="10"/>
        <v>80.217406400000002</v>
      </c>
      <c r="U69" s="2100">
        <f t="shared" si="22"/>
        <v>0.42018467150511074</v>
      </c>
      <c r="V69" s="2100">
        <f t="shared" si="23"/>
        <v>2.3271731690622851E-2</v>
      </c>
    </row>
    <row r="70" spans="2:22" ht="14.25">
      <c r="B70" s="2631"/>
      <c r="C70" s="1780" t="s">
        <v>1229</v>
      </c>
      <c r="D70" s="1727">
        <v>67.7</v>
      </c>
      <c r="E70" s="1727">
        <f>SUMIFS('#产量数据'!198:198,'#产量数据'!$1:$1,$B$1-1,'#产量数据'!$2:$2,$B$2)/10000</f>
        <v>6.4443715999999798</v>
      </c>
      <c r="F70" s="1727">
        <f>SUMIFS('#产量数据'!198:198,'#产量数据'!$1:$1,$B$1-1,'#产量数据'!$2:$2,"&lt;="&amp;$B$2)/10000</f>
        <v>43.186926399999948</v>
      </c>
      <c r="G70" s="1741">
        <v>70</v>
      </c>
      <c r="H70" s="1840">
        <f>SUMIFS('#产量数据'!198:198,'#产量数据'!$1:$1,$H$1,'#产量数据'!$2:$2,$H$2)/10000</f>
        <v>5.8933999999999997</v>
      </c>
      <c r="I70" s="1733">
        <v>5.9</v>
      </c>
      <c r="J70" s="986">
        <f t="shared" si="2"/>
        <v>6.6000000000006054E-3</v>
      </c>
      <c r="K70" s="986">
        <f t="shared" si="3"/>
        <v>-0.54437159999997942</v>
      </c>
      <c r="L70" s="986">
        <f t="shared" si="4"/>
        <v>6.6666666666667318E-2</v>
      </c>
      <c r="M70" s="929">
        <f t="shared" si="19"/>
        <v>46.843850400000001</v>
      </c>
      <c r="N70" s="986">
        <f t="shared" si="5"/>
        <v>3.6569240000000534</v>
      </c>
      <c r="O70" s="986">
        <f t="shared" si="6"/>
        <v>0.17718373333333659</v>
      </c>
      <c r="P70" s="2526">
        <f t="shared" si="18"/>
        <v>8.4676644179986327E-2</v>
      </c>
      <c r="Q70" s="1727">
        <f>SUMIFS('#产量数据'!198:198,'#产量数据'!$1:$1,$B$1,'#产量数据'!$2:$2,"&lt;="&amp;$B$2-1)/10000</f>
        <v>40.943850400000002</v>
      </c>
      <c r="R70" s="1683"/>
      <c r="S70" s="1473">
        <f t="shared" si="10"/>
        <v>35.050450400000003</v>
      </c>
      <c r="U70" s="2100">
        <f t="shared" si="22"/>
        <v>1.1198968337463274E-3</v>
      </c>
      <c r="V70" s="2100">
        <f t="shared" si="23"/>
        <v>-8.4472410001928053E-2</v>
      </c>
    </row>
    <row r="71" spans="2:22" ht="14.25">
      <c r="B71" s="2632"/>
      <c r="C71" s="2502" t="s">
        <v>1494</v>
      </c>
      <c r="D71" s="1727">
        <v>0</v>
      </c>
      <c r="E71" s="1727">
        <v>0</v>
      </c>
      <c r="F71" s="1727">
        <v>0</v>
      </c>
      <c r="G71" s="1741">
        <v>0</v>
      </c>
      <c r="H71" s="1840">
        <f>SUMIFS('#产量数据'!199:199,'#产量数据'!$1:$1,$H$1,'#产量数据'!$2:$2,$H$2)/10000</f>
        <v>-2.2115120000000004</v>
      </c>
      <c r="I71" s="1733">
        <v>-2</v>
      </c>
      <c r="J71" s="1714">
        <f t="shared" si="2"/>
        <v>0.21151200000000037</v>
      </c>
      <c r="K71" s="986">
        <f t="shared" si="3"/>
        <v>-2</v>
      </c>
      <c r="L71" s="1714">
        <f t="shared" si="4"/>
        <v>-2</v>
      </c>
      <c r="M71" s="929">
        <f t="shared" si="19"/>
        <v>-15.0869997</v>
      </c>
      <c r="N71" s="986">
        <f t="shared" ref="N71" si="24">M71-F71</f>
        <v>-15.0869997</v>
      </c>
      <c r="O71" s="986">
        <f t="shared" ref="O71" si="25">M71-G71/12*$B$2</f>
        <v>-15.0869997</v>
      </c>
      <c r="P71" s="2526"/>
      <c r="Q71" s="1727">
        <f>SUMIFS('#产量数据'!199:199,'#产量数据'!$1:$1,$H$1,'#产量数据'!$2:$2,"&lt;="&amp;$H$2)/10000</f>
        <v>-13.0869997</v>
      </c>
      <c r="R71" s="1683"/>
      <c r="S71" s="1473">
        <f t="shared" si="10"/>
        <v>-10.875487699999999</v>
      </c>
      <c r="U71" s="2100">
        <f t="shared" si="22"/>
        <v>-9.5641353065233345E-2</v>
      </c>
      <c r="V71" s="2100"/>
    </row>
    <row r="72" spans="2:22" ht="14.25">
      <c r="B72" s="2596" t="s">
        <v>30</v>
      </c>
      <c r="C72" s="394" t="s">
        <v>31</v>
      </c>
      <c r="D72" s="1833">
        <f>SUM(D73:D74)</f>
        <v>283</v>
      </c>
      <c r="E72" s="1833">
        <f>E73+E74</f>
        <v>34.757922999999998</v>
      </c>
      <c r="F72" s="1833">
        <f>F73+F74</f>
        <v>182.05215200000001</v>
      </c>
      <c r="G72" s="1832">
        <f>G73+G74</f>
        <v>300</v>
      </c>
      <c r="H72" s="2084">
        <f>H73+H74</f>
        <v>25.358358499999998</v>
      </c>
      <c r="I72" s="1833">
        <f>I73+I74</f>
        <v>24.5</v>
      </c>
      <c r="J72" s="1470">
        <f t="shared" si="2"/>
        <v>-0.8583584999999978</v>
      </c>
      <c r="K72" s="1470">
        <f t="shared" si="3"/>
        <v>-10.257922999999998</v>
      </c>
      <c r="L72" s="1470">
        <f t="shared" si="4"/>
        <v>-0.5</v>
      </c>
      <c r="M72" s="928">
        <f t="shared" si="19"/>
        <v>217.18275929999999</v>
      </c>
      <c r="N72" s="1470">
        <f t="shared" si="5"/>
        <v>35.13060729999998</v>
      </c>
      <c r="O72" s="1470">
        <f t="shared" si="6"/>
        <v>17.182759299999987</v>
      </c>
      <c r="P72" s="2526">
        <f t="shared" si="18"/>
        <v>0.19297001938213826</v>
      </c>
      <c r="Q72" s="1833">
        <f>Q73+Q74</f>
        <v>192.68275929999999</v>
      </c>
      <c r="R72" s="1683"/>
      <c r="S72" s="1473">
        <f t="shared" si="10"/>
        <v>167.32440079999998</v>
      </c>
      <c r="U72" s="2100">
        <f t="shared" si="22"/>
        <v>-3.384913499034245E-2</v>
      </c>
      <c r="V72" s="2100">
        <f t="shared" si="23"/>
        <v>-0.29512474033618175</v>
      </c>
    </row>
    <row r="73" spans="2:22" ht="14.25">
      <c r="B73" s="2596"/>
      <c r="C73" s="930" t="s">
        <v>32</v>
      </c>
      <c r="D73" s="1727">
        <v>283</v>
      </c>
      <c r="E73" s="1727">
        <f>SUMIFS(矿产品购销!3:3,矿产品购销!$1:$1,$B$1-1,矿产品购销!$2:$2,$B$2)/10000</f>
        <v>34.757922999999998</v>
      </c>
      <c r="F73" s="1727">
        <f>SUMIFS(矿产品购销!3:3,矿产品购销!$1:$1,$B$1-1,矿产品购销!$2:$2,"&lt;="&amp;$B$2)/10000</f>
        <v>182.05215200000001</v>
      </c>
      <c r="G73" s="1741">
        <v>300</v>
      </c>
      <c r="H73" s="1840">
        <f>SUMIFS(矿产品购销!3:3,矿产品购销!$1:$1,$H$1,矿产品购销!$2:$2,$H$2)/10000</f>
        <v>25.358358499999998</v>
      </c>
      <c r="I73" s="1733">
        <v>24.5</v>
      </c>
      <c r="J73" s="986">
        <f t="shared" si="2"/>
        <v>-0.8583584999999978</v>
      </c>
      <c r="K73" s="986">
        <f t="shared" si="3"/>
        <v>-10.257922999999998</v>
      </c>
      <c r="L73" s="986">
        <f t="shared" si="4"/>
        <v>-0.5</v>
      </c>
      <c r="M73" s="929">
        <f t="shared" si="19"/>
        <v>217.18275929999999</v>
      </c>
      <c r="N73" s="986">
        <f t="shared" si="5"/>
        <v>35.13060729999998</v>
      </c>
      <c r="O73" s="986">
        <f t="shared" si="6"/>
        <v>17.182759299999987</v>
      </c>
      <c r="P73" s="2526">
        <f t="shared" si="18"/>
        <v>0.19297001938213826</v>
      </c>
      <c r="Q73" s="1727">
        <f>SUMIFS(矿产品购销!3:3,矿产品购销!$1:$1,$B$1,矿产品购销!$2:$2,"&lt;="&amp;$B$2-1)/10000</f>
        <v>192.68275929999999</v>
      </c>
      <c r="R73" s="1683"/>
      <c r="S73" s="1473">
        <f t="shared" si="10"/>
        <v>167.32440079999998</v>
      </c>
      <c r="U73" s="2100">
        <f t="shared" si="22"/>
        <v>-3.384913499034245E-2</v>
      </c>
      <c r="V73" s="2100">
        <f t="shared" si="23"/>
        <v>-0.29512474033618175</v>
      </c>
    </row>
    <row r="74" spans="2:22" ht="14.25">
      <c r="B74" s="2596"/>
      <c r="C74" s="930" t="s">
        <v>33</v>
      </c>
      <c r="D74" s="1727">
        <v>0</v>
      </c>
      <c r="E74" s="1727">
        <f>SUMIFS(矿产品购销!6:6,矿产品购销!$1:$1,$B$1-1,矿产品购销!$2:$2,$B$2)/10000</f>
        <v>0</v>
      </c>
      <c r="F74" s="1727">
        <f>SUMIFS(矿产品购销!6:6,矿产品购销!$1:$1,$B$1-1,矿产品购销!$2:$2,"&lt;="&amp;$B$2)/10000</f>
        <v>0</v>
      </c>
      <c r="G74" s="1741">
        <v>0</v>
      </c>
      <c r="H74" s="1840">
        <f>SUMIFS(矿产品购销!6:6,矿产品购销!$1:$1,$H$1,矿产品购销!$2:$2,$H$2)/10000</f>
        <v>0</v>
      </c>
      <c r="I74" s="1733">
        <v>0</v>
      </c>
      <c r="J74" s="986">
        <f t="shared" si="2"/>
        <v>0</v>
      </c>
      <c r="K74" s="986">
        <f t="shared" si="3"/>
        <v>0</v>
      </c>
      <c r="L74" s="986">
        <f t="shared" si="4"/>
        <v>0</v>
      </c>
      <c r="M74" s="929">
        <f t="shared" si="19"/>
        <v>0</v>
      </c>
      <c r="N74" s="986">
        <f t="shared" si="5"/>
        <v>0</v>
      </c>
      <c r="O74" s="986">
        <f t="shared" si="6"/>
        <v>0</v>
      </c>
      <c r="P74" s="2526" t="e">
        <f t="shared" si="18"/>
        <v>#DIV/0!</v>
      </c>
      <c r="Q74" s="1727">
        <f>SUMIFS(矿产品购销!6:6,矿产品购销!$1:$1,$B$1,矿产品购销!$2:$2,"&lt;="&amp;$B$2-1)/10000</f>
        <v>0</v>
      </c>
      <c r="R74" s="1683"/>
      <c r="S74" s="1473">
        <f t="shared" si="10"/>
        <v>0</v>
      </c>
      <c r="U74" s="2100" t="e">
        <f t="shared" si="22"/>
        <v>#DIV/0!</v>
      </c>
      <c r="V74" s="2100" t="e">
        <f t="shared" si="23"/>
        <v>#DIV/0!</v>
      </c>
    </row>
    <row r="75" spans="2:22" s="1461" customFormat="1" ht="14.25">
      <c r="B75" s="2596"/>
      <c r="C75" s="394" t="s">
        <v>28</v>
      </c>
      <c r="D75" s="1833">
        <f>SUM(D76:D79)</f>
        <v>1234.6500000000001</v>
      </c>
      <c r="E75" s="1833">
        <f t="shared" ref="E75:G75" si="26">SUM(E76:E79)</f>
        <v>93.503549407622501</v>
      </c>
      <c r="F75" s="1833">
        <f t="shared" si="26"/>
        <v>791.02697075225035</v>
      </c>
      <c r="G75" s="1833">
        <f t="shared" si="26"/>
        <v>1515</v>
      </c>
      <c r="H75" s="1833">
        <f>SUM(H76:H79)</f>
        <v>125.36829300000002</v>
      </c>
      <c r="I75" s="1833">
        <f>SUM(I76:I79)</f>
        <v>124.35000000000001</v>
      </c>
      <c r="J75" s="1470">
        <f t="shared" si="2"/>
        <v>-1.0182930000000141</v>
      </c>
      <c r="K75" s="1470">
        <f t="shared" si="3"/>
        <v>30.846450592377508</v>
      </c>
      <c r="L75" s="1470">
        <f t="shared" si="4"/>
        <v>-1.8999999999999915</v>
      </c>
      <c r="M75" s="928">
        <f t="shared" si="19"/>
        <v>963.33580312023605</v>
      </c>
      <c r="N75" s="1470">
        <f t="shared" si="5"/>
        <v>172.3088323679857</v>
      </c>
      <c r="O75" s="1470">
        <f t="shared" si="6"/>
        <v>-46.664196879763949</v>
      </c>
      <c r="P75" s="2526">
        <f t="shared" si="18"/>
        <v>0.21782927604114882</v>
      </c>
      <c r="Q75" s="1833">
        <f>Q76+Q77+Q78+Q79</f>
        <v>838.98580312023603</v>
      </c>
      <c r="R75" s="1683"/>
      <c r="S75" s="1473">
        <f t="shared" si="10"/>
        <v>713.61751012023603</v>
      </c>
      <c r="U75" s="2100">
        <f t="shared" si="22"/>
        <v>-8.1224125784341173E-3</v>
      </c>
      <c r="V75" s="2100">
        <f t="shared" si="23"/>
        <v>0.32989603911081983</v>
      </c>
    </row>
    <row r="76" spans="2:22" s="1461" customFormat="1" ht="14.25">
      <c r="B76" s="2596"/>
      <c r="C76" s="1780" t="s">
        <v>1226</v>
      </c>
      <c r="D76" s="1727">
        <v>986.94</v>
      </c>
      <c r="E76" s="1727">
        <f>SUMIFS('#销量数据'!82:82,'#销量数据'!$1:$1,$B$1-1,'#销量数据'!$2:$2,$B$2,'#销量数据'!$3:$3,"销量")/10000</f>
        <v>71.513095407622501</v>
      </c>
      <c r="F76" s="1727">
        <f>SUMIFS('#销量数据'!82:82,'#销量数据'!$1:$1,$B$1-1,'#销量数据'!$2:$2,"&lt;="&amp;$B$2,'#销量数据'!$3:$3,"销量")/10000</f>
        <v>640.76977055225041</v>
      </c>
      <c r="G76" s="1741">
        <v>1130</v>
      </c>
      <c r="H76" s="1727">
        <f>SUMIFS('#销量数据'!82:82,'#销量数据'!$1:$1,$H$1,'#销量数据'!$2:$2,$H$2,'#销量数据'!$3:$3,"销量")/10000</f>
        <v>104.29980500000002</v>
      </c>
      <c r="I76" s="1733">
        <v>104.9</v>
      </c>
      <c r="J76" s="986">
        <f t="shared" si="2"/>
        <v>0.60019499999998516</v>
      </c>
      <c r="K76" s="986">
        <f t="shared" si="3"/>
        <v>33.386904592377505</v>
      </c>
      <c r="L76" s="986">
        <f t="shared" si="4"/>
        <v>10.733333333333334</v>
      </c>
      <c r="M76" s="929">
        <f t="shared" si="19"/>
        <v>803.34760282023592</v>
      </c>
      <c r="N76" s="986">
        <f t="shared" si="5"/>
        <v>162.57783226798551</v>
      </c>
      <c r="O76" s="986">
        <f t="shared" si="6"/>
        <v>50.014269486902549</v>
      </c>
      <c r="P76" s="2526">
        <f t="shared" si="18"/>
        <v>0.25372269376544876</v>
      </c>
      <c r="Q76" s="1833">
        <f>SUMIFS('#销量数据'!82:82,'#销量数据'!$1:$1,$B$1,'#销量数据'!$2:$2,"&lt;="&amp;$B$2-1,'#销量数据'!$3:$3,"销量")/10000</f>
        <v>698.44760282023594</v>
      </c>
      <c r="R76" s="1683"/>
      <c r="S76" s="1473">
        <f t="shared" si="10"/>
        <v>594.14779782023595</v>
      </c>
      <c r="U76" s="2100">
        <f t="shared" si="22"/>
        <v>5.7545169907075571E-3</v>
      </c>
      <c r="V76" s="2100">
        <f t="shared" si="23"/>
        <v>0.46686420720671018</v>
      </c>
    </row>
    <row r="77" spans="2:22" s="1461" customFormat="1" ht="14.25">
      <c r="B77" s="2596"/>
      <c r="C77" s="1780" t="s">
        <v>1228</v>
      </c>
      <c r="D77" s="1727">
        <v>179.71</v>
      </c>
      <c r="E77" s="1727">
        <f>SUMIFS('#销量数据'!98:98,'#销量数据'!$1:$1,$B$1-1,'#销量数据'!$2:$2,$B$2,'#销量数据'!$3:$3,"销量")/10000</f>
        <v>15.73</v>
      </c>
      <c r="F77" s="1727">
        <f>SUMIFS('#销量数据'!98:98,'#销量数据'!$1:$1,$B$1-1,'#销量数据'!$2:$2,"&lt;="&amp;$B$2,'#销量数据'!$3:$3,"销量")/10000</f>
        <v>107.39</v>
      </c>
      <c r="G77" s="1741">
        <v>315</v>
      </c>
      <c r="H77" s="1840">
        <f>SUMIFS('#销量数据'!98:98,'#销量数据'!$1:$1,$H$1,'#销量数据'!$2:$2,$H$2,'#销量数据'!$3:$3,"销量")/10000</f>
        <v>17.38</v>
      </c>
      <c r="I77" s="1733">
        <v>15.55</v>
      </c>
      <c r="J77" s="986">
        <f t="shared" si="2"/>
        <v>-1.8299999999999983</v>
      </c>
      <c r="K77" s="986">
        <f t="shared" si="3"/>
        <v>-0.17999999999999972</v>
      </c>
      <c r="L77" s="986">
        <f t="shared" si="4"/>
        <v>-10.7</v>
      </c>
      <c r="M77" s="929">
        <f t="shared" si="19"/>
        <v>127.9593</v>
      </c>
      <c r="N77" s="986">
        <f t="shared" si="5"/>
        <v>20.569299999999998</v>
      </c>
      <c r="O77" s="986">
        <f t="shared" si="6"/>
        <v>-82.040700000000001</v>
      </c>
      <c r="P77" s="2526">
        <f t="shared" si="18"/>
        <v>0.19153831827916937</v>
      </c>
      <c r="Q77" s="1833">
        <f>SUMIFS('#销量数据'!98:98,'#销量数据'!$1:$1,$B$1,'#销量数据'!$2:$2,"&lt;="&amp;$B$2-1,'#销量数据'!$3:$3,"销量")/10000</f>
        <v>112.4093</v>
      </c>
      <c r="R77" s="1683"/>
      <c r="S77" s="1473">
        <f t="shared" si="10"/>
        <v>95.029300000000006</v>
      </c>
      <c r="U77" s="2100">
        <f t="shared" si="22"/>
        <v>-0.10529344073647862</v>
      </c>
      <c r="V77" s="2100">
        <f t="shared" si="23"/>
        <v>-1.1443102352193243E-2</v>
      </c>
    </row>
    <row r="78" spans="2:22" s="1461" customFormat="1" ht="14.25">
      <c r="B78" s="2596"/>
      <c r="C78" s="1780" t="s">
        <v>1229</v>
      </c>
      <c r="D78" s="1727">
        <v>68</v>
      </c>
      <c r="E78" s="1727">
        <f>SUMIFS('#销量数据'!99:99,'#销量数据'!$1:$1,$B$1-1,'#销量数据'!$2:$2,$B$2,'#销量数据'!$3:$3,"销量")/10000</f>
        <v>6.2604540000000002</v>
      </c>
      <c r="F78" s="1727">
        <f>SUMIFS('#销量数据'!99:99,'#销量数据'!$1:$1,$B$1-1,'#销量数据'!$2:$2,"&lt;="&amp;$B$2,'#销量数据'!$3:$3,"销量")/10000</f>
        <v>42.867200200000006</v>
      </c>
      <c r="G78" s="1741">
        <v>70</v>
      </c>
      <c r="H78" s="1840">
        <f>SUMIFS('#销量数据'!99:99,'#销量数据'!$1:$1,$H$1,'#销量数据'!$2:$2,$H$2,'#销量数据'!$3:$3,"销量")/10000</f>
        <v>5.9</v>
      </c>
      <c r="I78" s="1733">
        <v>5.9</v>
      </c>
      <c r="J78" s="986">
        <f t="shared" si="2"/>
        <v>0</v>
      </c>
      <c r="K78" s="986">
        <f t="shared" si="3"/>
        <v>-0.36045399999999983</v>
      </c>
      <c r="L78" s="986">
        <f t="shared" si="4"/>
        <v>6.6666666666667318E-2</v>
      </c>
      <c r="M78" s="929">
        <f t="shared" si="19"/>
        <v>47.115899999999996</v>
      </c>
      <c r="N78" s="986">
        <f t="shared" si="5"/>
        <v>4.24869979999999</v>
      </c>
      <c r="O78" s="986">
        <f t="shared" si="6"/>
        <v>0.44923333333333204</v>
      </c>
      <c r="P78" s="2526">
        <f t="shared" si="18"/>
        <v>9.9113069670456092E-2</v>
      </c>
      <c r="Q78" s="1833">
        <f>SUMIFS('#销量数据'!99:99,'#销量数据'!$1:$1,$B$1,'#销量数据'!$2:$2,"&lt;="&amp;$B$2-1,'#销量数据'!$3:$3,"销量")/10000</f>
        <v>41.215899999999998</v>
      </c>
      <c r="R78" s="1683"/>
      <c r="S78" s="1473">
        <f t="shared" si="10"/>
        <v>35.315899999999999</v>
      </c>
      <c r="U78" s="2100">
        <f t="shared" si="22"/>
        <v>0</v>
      </c>
      <c r="V78" s="2100">
        <f t="shared" si="23"/>
        <v>-5.7576335518158876E-2</v>
      </c>
    </row>
    <row r="79" spans="2:22" s="1461" customFormat="1" ht="14.25">
      <c r="B79" s="2596"/>
      <c r="C79" s="2502" t="s">
        <v>1494</v>
      </c>
      <c r="D79" s="1727">
        <v>0</v>
      </c>
      <c r="E79" s="1727">
        <v>0</v>
      </c>
      <c r="F79" s="1727">
        <v>0</v>
      </c>
      <c r="G79" s="1741">
        <v>0</v>
      </c>
      <c r="H79" s="1840">
        <f>H84</f>
        <v>-2.2115120000000004</v>
      </c>
      <c r="I79" s="1733">
        <v>-2</v>
      </c>
      <c r="J79" s="986">
        <f t="shared" ref="J79" si="27">I79-H79</f>
        <v>0.21151200000000037</v>
      </c>
      <c r="K79" s="986">
        <f t="shared" ref="K79" si="28">I79-E79</f>
        <v>-2</v>
      </c>
      <c r="L79" s="986">
        <f t="shared" ref="L79" si="29">I79-G79/12</f>
        <v>-2</v>
      </c>
      <c r="M79" s="929">
        <f t="shared" si="19"/>
        <v>-15.0869997</v>
      </c>
      <c r="N79" s="986">
        <f t="shared" ref="N79" si="30">M79-F79</f>
        <v>-15.0869997</v>
      </c>
      <c r="O79" s="986">
        <f t="shared" ref="O79" si="31">M79-G79/12*$B$2</f>
        <v>-15.0869997</v>
      </c>
      <c r="P79" s="2526"/>
      <c r="Q79" s="1833">
        <f>Q84</f>
        <v>-13.0869997</v>
      </c>
      <c r="R79" s="1683"/>
      <c r="S79" s="1473">
        <f t="shared" si="10"/>
        <v>-10.875487699999999</v>
      </c>
      <c r="U79" s="2100"/>
      <c r="V79" s="2100"/>
    </row>
    <row r="80" spans="2:22" ht="14.25">
      <c r="B80" s="2596"/>
      <c r="C80" s="394" t="s">
        <v>1230</v>
      </c>
      <c r="D80" s="1833">
        <f>SUM(D81:D84)</f>
        <v>624.77</v>
      </c>
      <c r="E80" s="1833">
        <f t="shared" ref="E80:F80" si="32">SUM(E81:E84)</f>
        <v>49.882321307622512</v>
      </c>
      <c r="F80" s="1833">
        <f t="shared" si="32"/>
        <v>392.02531655225044</v>
      </c>
      <c r="G80" s="1837">
        <f>SUM(G81:G84)</f>
        <v>670.7</v>
      </c>
      <c r="H80" s="2084">
        <f>SUM(H81:H84)</f>
        <v>50.16850400000002</v>
      </c>
      <c r="I80" s="1833">
        <f>SUM(I81:I84)</f>
        <v>54.35</v>
      </c>
      <c r="J80" s="1470">
        <f t="shared" si="2"/>
        <v>4.1814959999999814</v>
      </c>
      <c r="K80" s="1470">
        <f t="shared" si="3"/>
        <v>4.4676786923774898</v>
      </c>
      <c r="L80" s="1470">
        <f t="shared" si="4"/>
        <v>-1.5416666666666714</v>
      </c>
      <c r="M80" s="928">
        <f t="shared" si="19"/>
        <v>414.33584402023598</v>
      </c>
      <c r="N80" s="1470">
        <f t="shared" si="5"/>
        <v>22.310527467985537</v>
      </c>
      <c r="O80" s="1470">
        <f t="shared" si="6"/>
        <v>-32.797489313097401</v>
      </c>
      <c r="P80" s="2526">
        <f t="shared" si="18"/>
        <v>5.6910935406417597E-2</v>
      </c>
      <c r="Q80" s="1727">
        <f>Q81+Q82+Q83+Q84</f>
        <v>359.98584402023596</v>
      </c>
      <c r="R80" s="1683"/>
      <c r="S80" s="1473">
        <f t="shared" si="10"/>
        <v>309.81734002023592</v>
      </c>
      <c r="U80" s="2100">
        <f t="shared" si="22"/>
        <v>8.3349027110714319E-2</v>
      </c>
      <c r="V80" s="2100">
        <f t="shared" si="23"/>
        <v>8.9564370206941121E-2</v>
      </c>
    </row>
    <row r="81" spans="2:22" ht="14.25">
      <c r="B81" s="2596"/>
      <c r="C81" s="1780" t="s">
        <v>1226</v>
      </c>
      <c r="D81" s="1727">
        <v>378.38</v>
      </c>
      <c r="E81" s="1727">
        <f>SUMIFS('#销量数据'!83:83,'#销量数据'!$1:$1,$B$1-1,'#销量数据'!$2:$2,$B$2,'#销量数据'!$3:$3,"销量")/10000</f>
        <v>27.891867307622508</v>
      </c>
      <c r="F81" s="1727">
        <f>SUMIFS('#销量数据'!83:83,'#销量数据'!$1:$1,$B$1-1,'#销量数据'!$2:$2,"&lt;="&amp;$B$2,'#销量数据'!$3:$3,"销量")/10000</f>
        <v>241.76811635225042</v>
      </c>
      <c r="G81" s="1741">
        <v>389</v>
      </c>
      <c r="H81" s="1727">
        <f>SUMIFS('#销量数据'!83:83,'#销量数据'!$1:$1,$H$1,'#销量数据'!$2:$2,$H$2,'#销量数据'!$3:$3,"销量")/10000</f>
        <v>37.680016000000016</v>
      </c>
      <c r="I81" s="1733">
        <v>34.9</v>
      </c>
      <c r="J81" s="1470">
        <f t="shared" si="2"/>
        <v>-2.7800160000000176</v>
      </c>
      <c r="K81" s="1470">
        <f t="shared" si="3"/>
        <v>7.0081326923774903</v>
      </c>
      <c r="L81" s="1470">
        <f t="shared" si="4"/>
        <v>2.4833333333333343</v>
      </c>
      <c r="M81" s="929">
        <f t="shared" si="19"/>
        <v>275.48764372023595</v>
      </c>
      <c r="N81" s="1470">
        <f t="shared" si="5"/>
        <v>33.719527367985535</v>
      </c>
      <c r="O81" s="1470">
        <f t="shared" si="6"/>
        <v>16.154310386902637</v>
      </c>
      <c r="P81" s="2526">
        <f t="shared" si="18"/>
        <v>0.13947053017883046</v>
      </c>
      <c r="Q81" s="1727">
        <f>SUMIFS('#销量数据'!83:83,'#销量数据'!$1:$1,$B$1,'#销量数据'!$2:$2,"&lt;="&amp;$B$2-1,'#销量数据'!$3:$3,"销量")/10000</f>
        <v>240.58764372023595</v>
      </c>
      <c r="R81" s="1683"/>
      <c r="S81" s="1473">
        <f t="shared" si="10"/>
        <v>202.90762772023592</v>
      </c>
      <c r="U81" s="2100">
        <f t="shared" si="22"/>
        <v>-7.3779586505483871E-2</v>
      </c>
      <c r="V81" s="2100">
        <f t="shared" si="23"/>
        <v>0.25126079279970809</v>
      </c>
    </row>
    <row r="82" spans="2:22" ht="14.25">
      <c r="B82" s="2596"/>
      <c r="C82" s="1780" t="s">
        <v>1228</v>
      </c>
      <c r="D82" s="1727">
        <v>178.39</v>
      </c>
      <c r="E82" s="1727">
        <f>SUMIFS('#销量数据'!101:101,'#销量数据'!$1:$1,$B$1-1,'#销量数据'!$2:$2,$B$2,'#销量数据'!$3:$3,"销量")/10000</f>
        <v>15.73</v>
      </c>
      <c r="F82" s="1727">
        <f>SUMIFS('#销量数据'!101:101,'#销量数据'!$1:$1,$B$1-1,'#销量数据'!$2:$2,"&lt;="&amp;$B$2,'#销量数据'!$3:$3,"销量")/10000</f>
        <v>107.39</v>
      </c>
      <c r="G82" s="1777">
        <v>211.7</v>
      </c>
      <c r="H82" s="1840">
        <f>SUMIFS('#销量数据'!101:101,'#销量数据'!$1:$1,$H$1,'#销量数据'!$2:$2,$H$2,'#销量数据'!$3:$3,"销量")/10000</f>
        <v>8.8000000000000007</v>
      </c>
      <c r="I82" s="1733">
        <v>15.55</v>
      </c>
      <c r="J82" s="986">
        <f t="shared" si="2"/>
        <v>6.75</v>
      </c>
      <c r="K82" s="986">
        <f t="shared" si="3"/>
        <v>-0.17999999999999972</v>
      </c>
      <c r="L82" s="986">
        <f t="shared" si="4"/>
        <v>-2.091666666666665</v>
      </c>
      <c r="M82" s="929">
        <f>I82+Q82</f>
        <v>106.8193</v>
      </c>
      <c r="N82" s="986">
        <f t="shared" si="5"/>
        <v>-0.57070000000000221</v>
      </c>
      <c r="O82" s="986">
        <f t="shared" si="6"/>
        <v>-34.314033333333327</v>
      </c>
      <c r="P82" s="2526">
        <f t="shared" si="18"/>
        <v>-5.314275072166889E-3</v>
      </c>
      <c r="Q82" s="1727">
        <f>SUMIFS('#销量数据'!101:101,'#销量数据'!$1:$1,$B$1,'#销量数据'!$2:$2,"&lt;="&amp;$B$2-1,'#销量数据'!$3:$3,"销量")/10000</f>
        <v>91.269300000000001</v>
      </c>
      <c r="R82" s="1683"/>
      <c r="S82" s="1473">
        <f t="shared" si="10"/>
        <v>82.469300000000004</v>
      </c>
      <c r="U82" s="2100">
        <f t="shared" si="22"/>
        <v>0.76704545454545447</v>
      </c>
      <c r="V82" s="2100">
        <f t="shared" si="23"/>
        <v>-1.1443102352193243E-2</v>
      </c>
    </row>
    <row r="83" spans="2:22" ht="14.25">
      <c r="B83" s="2596"/>
      <c r="C83" s="1780" t="s">
        <v>1229</v>
      </c>
      <c r="D83" s="1727">
        <v>68</v>
      </c>
      <c r="E83" s="1727">
        <f>SUMIFS('#销量数据'!102:102,'#销量数据'!$1:$1,$B$1-1,'#销量数据'!$2:$2,$B$2,'#销量数据'!$3:$3,"销量")/10000</f>
        <v>6.2604540000000002</v>
      </c>
      <c r="F83" s="1727">
        <f>SUMIFS('#销量数据'!102:102,'#销量数据'!$1:$1,$B$1-1,'#销量数据'!$2:$2,"&lt;="&amp;$B$2,'#销量数据'!$3:$3,"销量")/10000</f>
        <v>42.867200200000006</v>
      </c>
      <c r="G83" s="1741">
        <v>70</v>
      </c>
      <c r="H83" s="1840">
        <f>H78</f>
        <v>5.9</v>
      </c>
      <c r="I83" s="1733">
        <v>5.9</v>
      </c>
      <c r="J83" s="986">
        <f t="shared" si="2"/>
        <v>0</v>
      </c>
      <c r="K83" s="986">
        <f t="shared" si="3"/>
        <v>-0.36045399999999983</v>
      </c>
      <c r="L83" s="986">
        <f t="shared" si="4"/>
        <v>6.6666666666667318E-2</v>
      </c>
      <c r="M83" s="929">
        <f>I83+Q83</f>
        <v>47.115899999999996</v>
      </c>
      <c r="N83" s="986">
        <f t="shared" si="5"/>
        <v>4.24869979999999</v>
      </c>
      <c r="O83" s="986">
        <f t="shared" si="6"/>
        <v>0.44923333333333204</v>
      </c>
      <c r="P83" s="2526">
        <f t="shared" si="18"/>
        <v>9.9113069670456092E-2</v>
      </c>
      <c r="Q83" s="1727">
        <f>SUMIFS('#销量数据'!99:99,'#销量数据'!$1:$1,$B$1,'#销量数据'!$2:$2,"&lt;="&amp;$B$2-1,'#销量数据'!$3:$3,"销量")/10000</f>
        <v>41.215899999999998</v>
      </c>
      <c r="R83" s="1683"/>
      <c r="S83" s="1473">
        <f t="shared" si="10"/>
        <v>35.315899999999999</v>
      </c>
      <c r="U83" s="2100">
        <f t="shared" si="22"/>
        <v>0</v>
      </c>
      <c r="V83" s="2100">
        <f t="shared" si="23"/>
        <v>-5.7576335518158876E-2</v>
      </c>
    </row>
    <row r="84" spans="2:22" ht="14.25">
      <c r="B84" s="2596"/>
      <c r="C84" s="2502" t="s">
        <v>1494</v>
      </c>
      <c r="D84" s="1727">
        <v>0</v>
      </c>
      <c r="E84" s="1727">
        <v>0</v>
      </c>
      <c r="F84" s="1727">
        <v>0</v>
      </c>
      <c r="G84" s="1741">
        <v>0</v>
      </c>
      <c r="H84" s="1840">
        <f>-SUMIFS('#销量数据'!103:103,'#销量数据'!$1:$1,$H$1,'#销量数据'!$2:$2,$H$2,'#销量数据'!$3:$3,"销量")/10000</f>
        <v>-2.2115120000000004</v>
      </c>
      <c r="I84" s="1733">
        <v>-2</v>
      </c>
      <c r="J84" s="1714">
        <f t="shared" si="2"/>
        <v>0.21151200000000037</v>
      </c>
      <c r="K84" s="986">
        <f t="shared" si="3"/>
        <v>-2</v>
      </c>
      <c r="L84" s="1714">
        <f t="shared" si="4"/>
        <v>-2</v>
      </c>
      <c r="M84" s="929">
        <f>I84+Q84</f>
        <v>-15.0869997</v>
      </c>
      <c r="N84" s="986">
        <f t="shared" ref="N84" si="33">M84-F84</f>
        <v>-15.0869997</v>
      </c>
      <c r="O84" s="986">
        <f t="shared" ref="O84" si="34">M84-G84/12*$B$2</f>
        <v>-15.0869997</v>
      </c>
      <c r="P84" s="2526"/>
      <c r="Q84" s="1727">
        <f>-SUMIFS('#销量数据'!103:103,'#销量数据'!$1:$1,$H$1,'#销量数据'!$2:$2,"&lt;="&amp;$H$2,'#销量数据'!$3:$3,"销量")/10000</f>
        <v>-13.0869997</v>
      </c>
      <c r="R84" s="1683"/>
      <c r="S84" s="1473">
        <f t="shared" si="10"/>
        <v>-10.875487699999999</v>
      </c>
      <c r="U84" s="2100">
        <f t="shared" si="22"/>
        <v>-9.5641353065233345E-2</v>
      </c>
      <c r="V84" s="2100"/>
    </row>
    <row r="85" spans="2:22" s="1461" customFormat="1" ht="14.25">
      <c r="B85" s="2596"/>
      <c r="C85" s="394" t="s">
        <v>34</v>
      </c>
      <c r="D85" s="1833">
        <f t="shared" ref="D85:I85" si="35">SUM(D86:D88)</f>
        <v>77.434436200000007</v>
      </c>
      <c r="E85" s="1833">
        <f t="shared" si="35"/>
        <v>2.6873900000000002</v>
      </c>
      <c r="F85" s="1833">
        <f t="shared" si="35"/>
        <v>55.381459500000005</v>
      </c>
      <c r="G85" s="1836">
        <f>SUM(G86:G88)</f>
        <v>85</v>
      </c>
      <c r="H85" s="1833">
        <f t="shared" si="35"/>
        <v>4.7961154999999991</v>
      </c>
      <c r="I85" s="1833">
        <f t="shared" si="35"/>
        <v>5.32</v>
      </c>
      <c r="J85" s="1470">
        <f t="shared" si="2"/>
        <v>0.5238845000000012</v>
      </c>
      <c r="K85" s="1470">
        <f t="shared" si="3"/>
        <v>2.6326100000000001</v>
      </c>
      <c r="L85" s="1470">
        <f t="shared" si="4"/>
        <v>-1.7633333333333328</v>
      </c>
      <c r="M85" s="928">
        <f t="shared" si="19"/>
        <v>48.360843000000003</v>
      </c>
      <c r="N85" s="1470">
        <f t="shared" si="5"/>
        <v>-7.0206165000000027</v>
      </c>
      <c r="O85" s="1470">
        <f t="shared" si="6"/>
        <v>-8.3058236666666616</v>
      </c>
      <c r="P85" s="2526">
        <f t="shared" si="18"/>
        <v>-0.12676835466930952</v>
      </c>
      <c r="Q85" s="1833">
        <f>Q86+Q87+Q88</f>
        <v>43.040843000000002</v>
      </c>
      <c r="R85" s="1683"/>
      <c r="S85" s="1473">
        <f t="shared" si="10"/>
        <v>38.244727500000003</v>
      </c>
      <c r="U85" s="2100">
        <f t="shared" si="22"/>
        <v>0.10923100163038219</v>
      </c>
      <c r="V85" s="2100">
        <f t="shared" si="23"/>
        <v>0.97961590986049663</v>
      </c>
    </row>
    <row r="86" spans="2:22" s="1461" customFormat="1" ht="14.25">
      <c r="B86" s="2596"/>
      <c r="C86" s="1780" t="s">
        <v>1226</v>
      </c>
      <c r="D86" s="1727">
        <v>69.554436199999998</v>
      </c>
      <c r="E86" s="1727">
        <f>SUMIFS('#销量数据'!85:85,'#销量数据'!$1:$1,$B$1-1,'#销量数据'!$2:$2,$B$2,'#销量数据'!$3:$3,"销量")/10000</f>
        <v>2.0539000000000001</v>
      </c>
      <c r="F86" s="1727">
        <f>SUMIFS('#销量数据'!85:85,'#销量数据'!$1:$1,$B$1-1,'#销量数据'!$2:$2,"&lt;="&amp;$B$2,'#销量数据'!$3:$3,"销量")/10000</f>
        <v>50.625100000000003</v>
      </c>
      <c r="G86" s="1741">
        <v>76.5</v>
      </c>
      <c r="H86" s="1727">
        <f>SUMIFS('#销量数据'!85:85,'#销量数据'!$1:$1,$H$1,'#销量数据'!$2:$2,$H$2,'#销量数据'!$3:$3,"销量")/10000</f>
        <v>4.2516999999999996</v>
      </c>
      <c r="I86" s="1733">
        <v>4.57</v>
      </c>
      <c r="J86" s="986">
        <f t="shared" si="2"/>
        <v>0.31830000000000069</v>
      </c>
      <c r="K86" s="986">
        <f t="shared" si="3"/>
        <v>2.5161000000000002</v>
      </c>
      <c r="L86" s="986">
        <f t="shared" si="4"/>
        <v>-1.8049999999999997</v>
      </c>
      <c r="M86" s="929">
        <f t="shared" si="19"/>
        <v>41.879100000000001</v>
      </c>
      <c r="N86" s="986">
        <f t="shared" si="5"/>
        <v>-8.7460000000000022</v>
      </c>
      <c r="O86" s="986">
        <f t="shared" si="6"/>
        <v>-9.1208999999999989</v>
      </c>
      <c r="Q86" s="1833">
        <f>SUMIFS('#销量数据'!85:85,'#销量数据'!$1:$1,$B$1,'#销量数据'!$2:$2,"&lt;="&amp;$B$2-1,'#销量数据'!$3:$3,"销量")/10000</f>
        <v>37.309100000000001</v>
      </c>
      <c r="R86" s="1683"/>
      <c r="S86" s="1473">
        <f t="shared" si="10"/>
        <v>33.057400000000001</v>
      </c>
      <c r="U86" s="2100">
        <f t="shared" si="22"/>
        <v>7.4864171978267682E-2</v>
      </c>
      <c r="V86" s="2100">
        <f t="shared" si="23"/>
        <v>1.2250352987000341</v>
      </c>
    </row>
    <row r="87" spans="2:22" s="1461" customFormat="1" ht="14.25">
      <c r="B87" s="2596"/>
      <c r="C87" s="1780" t="s">
        <v>1228</v>
      </c>
      <c r="D87" s="1727">
        <v>1.26</v>
      </c>
      <c r="E87" s="1727">
        <f>SUMIFS('#销量数据'!86:86,'#销量数据'!$1:$1,$B$1-1,'#销量数据'!$2:$2,$B$2,'#销量数据'!$3:$3,"销量")/10000</f>
        <v>0.12828880000000001</v>
      </c>
      <c r="F87" s="1727">
        <f>SUMIFS('#销量数据'!86:86,'#销量数据'!$1:$1,$B$1-1,'#销量数据'!$2:$2,"&lt;="&amp;$B$2,'#销量数据'!$3:$3,"销量")/10000</f>
        <v>0.57574970000000003</v>
      </c>
      <c r="G87" s="1838">
        <v>1.5</v>
      </c>
      <c r="H87" s="1840">
        <f>SUMIFS('#销量数据'!89:89,'#销量数据'!$1:$1,$H$1,'#销量数据'!$2:$2,$H$2,'#销量数据'!$3:$3,"销量")/10000</f>
        <v>7.0909799999999995E-2</v>
      </c>
      <c r="I87" s="1733">
        <v>0.35</v>
      </c>
      <c r="J87" s="986">
        <f t="shared" si="2"/>
        <v>0.27909019999999995</v>
      </c>
      <c r="K87" s="986">
        <f t="shared" si="3"/>
        <v>0.22171119999999997</v>
      </c>
      <c r="L87" s="986">
        <f t="shared" si="4"/>
        <v>0.22499999999999998</v>
      </c>
      <c r="M87" s="929">
        <f t="shared" si="19"/>
        <v>2.0093784000000001</v>
      </c>
      <c r="N87" s="986">
        <f t="shared" si="5"/>
        <v>1.4336287000000001</v>
      </c>
      <c r="O87" s="986">
        <f t="shared" si="6"/>
        <v>1.0093784000000001</v>
      </c>
      <c r="Q87" s="1833">
        <f>SUMIFS('#销量数据'!89:89,'#销量数据'!$1:$1,$B$1,'#销量数据'!$2:$2,"&lt;="&amp;$B$2-1,'#销量数据'!$3:$3,"销量")/10000</f>
        <v>1.6593784</v>
      </c>
      <c r="R87" s="1683"/>
      <c r="S87" s="1473">
        <f t="shared" si="10"/>
        <v>1.5884686000000001</v>
      </c>
      <c r="U87" s="2100">
        <f t="shared" si="22"/>
        <v>3.9358480774166615</v>
      </c>
      <c r="V87" s="2100">
        <f t="shared" si="23"/>
        <v>1.7282194548549832</v>
      </c>
    </row>
    <row r="88" spans="2:22" s="1461" customFormat="1" ht="14.25">
      <c r="B88" s="2596"/>
      <c r="C88" s="1780" t="s">
        <v>1229</v>
      </c>
      <c r="D88" s="1727">
        <v>6.62</v>
      </c>
      <c r="E88" s="1727">
        <f>SUMIFS('#销量数据'!87:87,'#销量数据'!$1:$1,$B$1-1,'#销量数据'!$2:$2,$B$2,'#销量数据'!$3:$3,"销量")/10000</f>
        <v>0.50520120000000002</v>
      </c>
      <c r="F88" s="1727">
        <f>SUMIFS('#销量数据'!87:87,'#销量数据'!$1:$1,$B$1-1,'#销量数据'!$2:$2,"&lt;="&amp;$B$2,'#销量数据'!$3:$3,"销量")/10000</f>
        <v>4.1806098000000009</v>
      </c>
      <c r="G88" s="1741">
        <v>7</v>
      </c>
      <c r="H88" s="1840">
        <f>SUMIFS('#销量数据'!90:90,'#销量数据'!$1:$1,$H$1,'#销量数据'!$2:$2,$H$2,'#销量数据'!$3:$3,"销量")/10000</f>
        <v>0.47350569999999997</v>
      </c>
      <c r="I88" s="1733">
        <v>0.4</v>
      </c>
      <c r="J88" s="986">
        <f t="shared" si="2"/>
        <v>-7.3505699999999952E-2</v>
      </c>
      <c r="K88" s="986">
        <f t="shared" si="3"/>
        <v>-0.10520119999999999</v>
      </c>
      <c r="L88" s="986">
        <f t="shared" si="4"/>
        <v>-0.18333333333333335</v>
      </c>
      <c r="M88" s="929">
        <f t="shared" si="19"/>
        <v>4.4723646000000006</v>
      </c>
      <c r="N88" s="986">
        <f t="shared" si="5"/>
        <v>0.29175479999999965</v>
      </c>
      <c r="O88" s="986">
        <f t="shared" si="6"/>
        <v>-0.19430206666666638</v>
      </c>
      <c r="Q88" s="1833">
        <f>SUMIFS('#销量数据'!90:90,'#销量数据'!$1:$1,$B$1,'#销量数据'!$2:$2,"&lt;="&amp;$B$2-1,'#销量数据'!$3:$3,"销量")/10000</f>
        <v>4.0723646000000002</v>
      </c>
      <c r="R88" s="1683"/>
      <c r="S88" s="1473">
        <f t="shared" si="10"/>
        <v>3.5988589000000002</v>
      </c>
      <c r="U88" s="2100">
        <f t="shared" si="22"/>
        <v>-0.15523720200200325</v>
      </c>
      <c r="V88" s="2100">
        <f t="shared" si="23"/>
        <v>-0.20823624330266829</v>
      </c>
    </row>
    <row r="89" spans="2:22" ht="14.25">
      <c r="B89" s="2596"/>
      <c r="C89" s="394" t="s">
        <v>1231</v>
      </c>
      <c r="D89" s="1833">
        <f t="shared" ref="D89:I89" si="36">SUM(D90:D92)</f>
        <v>56.140403999999997</v>
      </c>
      <c r="E89" s="1833">
        <f t="shared" si="36"/>
        <v>2.2929900000000001</v>
      </c>
      <c r="F89" s="1833">
        <f t="shared" si="36"/>
        <v>39.8609595</v>
      </c>
      <c r="G89" s="1833">
        <f t="shared" si="36"/>
        <v>60</v>
      </c>
      <c r="H89" s="1833">
        <f t="shared" si="36"/>
        <v>3.6780154999999999</v>
      </c>
      <c r="I89" s="1833">
        <f t="shared" si="36"/>
        <v>4.04</v>
      </c>
      <c r="J89" s="1470">
        <f t="shared" si="2"/>
        <v>0.36198450000000015</v>
      </c>
      <c r="K89" s="1470">
        <f t="shared" si="3"/>
        <v>1.74701</v>
      </c>
      <c r="L89" s="1470">
        <f t="shared" si="4"/>
        <v>-0.96</v>
      </c>
      <c r="M89" s="928">
        <f t="shared" si="19"/>
        <v>33.666343000000005</v>
      </c>
      <c r="N89" s="1470">
        <f t="shared" si="5"/>
        <v>-6.1946164999999951</v>
      </c>
      <c r="O89" s="1470">
        <f t="shared" si="6"/>
        <v>-6.3336569999999952</v>
      </c>
      <c r="Q89" s="1727">
        <f>Q90+Q91+Q92</f>
        <v>29.626343000000002</v>
      </c>
      <c r="R89" s="1683"/>
      <c r="S89" s="1473">
        <f t="shared" si="10"/>
        <v>25.948327500000005</v>
      </c>
      <c r="U89" s="2100">
        <f t="shared" si="22"/>
        <v>9.841842700227886E-2</v>
      </c>
      <c r="V89" s="2100">
        <f t="shared" si="23"/>
        <v>0.76189167855071316</v>
      </c>
    </row>
    <row r="90" spans="2:22" ht="14.25">
      <c r="B90" s="2596"/>
      <c r="C90" s="1780" t="s">
        <v>1226</v>
      </c>
      <c r="D90" s="1727">
        <v>48.260404000000001</v>
      </c>
      <c r="E90" s="1727">
        <f>SUMIFS('#销量数据'!88:88,'#销量数据'!$1:$1,$B$1-1,'#销量数据'!$2:$2,$B$2,'#销量数据'!$3:$3,"销量")/10000</f>
        <v>1.6595</v>
      </c>
      <c r="F90" s="1727">
        <f>SUMIFS('#销量数据'!88:88,'#销量数据'!$1:$1,$B$1-1,'#销量数据'!$2:$2,"&lt;="&amp;$B$2,'#销量数据'!$3:$3,"销量")/10000</f>
        <v>35.104599999999998</v>
      </c>
      <c r="G90" s="1741">
        <v>51.5</v>
      </c>
      <c r="H90" s="1727">
        <f>SUMIFS('#销量数据'!88:88,'#销量数据'!$1:$1,$H$1,'#销量数据'!$2:$2,$H$2,'#销量数据'!$3:$3,"销量")/10000</f>
        <v>3.1335999999999999</v>
      </c>
      <c r="I90" s="1733">
        <v>3.29</v>
      </c>
      <c r="J90" s="986">
        <f t="shared" si="2"/>
        <v>0.15640000000000009</v>
      </c>
      <c r="K90" s="986">
        <f t="shared" si="3"/>
        <v>1.6305000000000001</v>
      </c>
      <c r="L90" s="986">
        <f t="shared" si="4"/>
        <v>-1.0016666666666669</v>
      </c>
      <c r="M90" s="929">
        <f t="shared" si="19"/>
        <v>27.1846</v>
      </c>
      <c r="N90" s="986">
        <f>M90-F90</f>
        <v>-7.9199999999999982</v>
      </c>
      <c r="O90" s="986">
        <f>M90-G90/12*$B$2</f>
        <v>-7.148733333333336</v>
      </c>
      <c r="Q90" s="1727">
        <f>SUMIFS('#销量数据'!88:88,'#销量数据'!$1:$1,$B$1,'#销量数据'!$2:$2,"&lt;="&amp;$B$2-1,'#销量数据'!$3:$3,"销量")/10000</f>
        <v>23.894600000000001</v>
      </c>
      <c r="R90" s="1683"/>
      <c r="S90" s="1473">
        <f t="shared" si="10"/>
        <v>20.760999999999999</v>
      </c>
      <c r="U90" s="2100">
        <f t="shared" si="22"/>
        <v>4.9910645902476417E-2</v>
      </c>
      <c r="V90" s="2100">
        <f t="shared" si="23"/>
        <v>0.98252485688460389</v>
      </c>
    </row>
    <row r="91" spans="2:22" ht="14.25">
      <c r="B91" s="2596"/>
      <c r="C91" s="1780" t="s">
        <v>1228</v>
      </c>
      <c r="D91" s="1727">
        <v>1.26</v>
      </c>
      <c r="E91" s="1727">
        <f>E87</f>
        <v>0.12828880000000001</v>
      </c>
      <c r="F91" s="1727">
        <f>F87</f>
        <v>0.57574970000000003</v>
      </c>
      <c r="G91" s="1741">
        <v>1.5</v>
      </c>
      <c r="H91" s="1839">
        <f>H87</f>
        <v>7.0909799999999995E-2</v>
      </c>
      <c r="I91" s="1733">
        <v>0.35</v>
      </c>
      <c r="J91" s="986">
        <f t="shared" si="2"/>
        <v>0.27909019999999995</v>
      </c>
      <c r="K91" s="986">
        <f t="shared" si="3"/>
        <v>0.22171119999999997</v>
      </c>
      <c r="L91" s="986">
        <f t="shared" si="4"/>
        <v>0.22499999999999998</v>
      </c>
      <c r="M91" s="929">
        <f t="shared" si="19"/>
        <v>2.0093784000000001</v>
      </c>
      <c r="N91" s="986">
        <f t="shared" si="5"/>
        <v>1.4336287000000001</v>
      </c>
      <c r="O91" s="986">
        <f t="shared" si="6"/>
        <v>1.0093784000000001</v>
      </c>
      <c r="Q91" s="1727">
        <f>SUMIFS('#销量数据'!89:89,'#销量数据'!$1:$1,$B$1,'#销量数据'!$2:$2,"&lt;="&amp;$B$2-1,'#销量数据'!$3:$3,"销量")/10000</f>
        <v>1.6593784</v>
      </c>
      <c r="R91" s="1683"/>
      <c r="S91" s="1473">
        <f t="shared" si="10"/>
        <v>1.5884686000000001</v>
      </c>
      <c r="U91" s="2100">
        <f t="shared" si="22"/>
        <v>3.9358480774166615</v>
      </c>
      <c r="V91" s="2100">
        <f t="shared" si="23"/>
        <v>1.7282194548549832</v>
      </c>
    </row>
    <row r="92" spans="2:22" ht="14.25">
      <c r="B92" s="2596"/>
      <c r="C92" s="1780" t="s">
        <v>1229</v>
      </c>
      <c r="D92" s="1727">
        <v>6.62</v>
      </c>
      <c r="E92" s="1727">
        <f>E88</f>
        <v>0.50520120000000002</v>
      </c>
      <c r="F92" s="1727">
        <f>F88</f>
        <v>4.1806098000000009</v>
      </c>
      <c r="G92" s="1741">
        <v>7</v>
      </c>
      <c r="H92" s="1839">
        <f>H88</f>
        <v>0.47350569999999997</v>
      </c>
      <c r="I92" s="1733">
        <v>0.4</v>
      </c>
      <c r="J92" s="986">
        <f t="shared" si="2"/>
        <v>-7.3505699999999952E-2</v>
      </c>
      <c r="K92" s="986">
        <f t="shared" si="3"/>
        <v>-0.10520119999999999</v>
      </c>
      <c r="L92" s="986">
        <f t="shared" si="4"/>
        <v>-0.18333333333333335</v>
      </c>
      <c r="M92" s="929">
        <f>I92+Q92</f>
        <v>4.4723646000000006</v>
      </c>
      <c r="N92" s="986">
        <f t="shared" si="5"/>
        <v>0.29175479999999965</v>
      </c>
      <c r="O92" s="986">
        <f t="shared" si="6"/>
        <v>-0.19430206666666638</v>
      </c>
      <c r="Q92" s="1727">
        <f>SUMIFS('#销量数据'!90:90,'#销量数据'!$1:$1,$B$1,'#销量数据'!$2:$2,"&lt;="&amp;$B$2-1,'#销量数据'!$3:$3,"销量")/10000</f>
        <v>4.0723646000000002</v>
      </c>
      <c r="R92" s="1683"/>
      <c r="S92" s="1473">
        <f>M92-I92-H92</f>
        <v>3.5988589000000002</v>
      </c>
      <c r="U92" s="2100">
        <f t="shared" si="22"/>
        <v>-0.15523720200200325</v>
      </c>
      <c r="V92" s="2100">
        <f t="shared" si="23"/>
        <v>-0.20823624330266829</v>
      </c>
    </row>
    <row r="93" spans="2:22">
      <c r="B93" s="1467"/>
      <c r="C93" s="1399" t="s">
        <v>35</v>
      </c>
      <c r="D93" s="1439">
        <f t="shared" ref="D93:H93" si="37">IFERROR(D75/D62*100,"")</f>
        <v>100.55381357657693</v>
      </c>
      <c r="E93" s="1439">
        <f t="shared" si="37"/>
        <v>103.5216023801194</v>
      </c>
      <c r="F93" s="1439">
        <f t="shared" si="37"/>
        <v>99.69093486144817</v>
      </c>
      <c r="G93" s="1439">
        <f t="shared" si="37"/>
        <v>100</v>
      </c>
      <c r="H93" s="1439">
        <f t="shared" si="37"/>
        <v>102.3550162045444</v>
      </c>
      <c r="I93" s="1439">
        <f>IFERROR(I75/I62*100,"")</f>
        <v>100.36319612590799</v>
      </c>
      <c r="J93" s="1439"/>
      <c r="K93" s="1439"/>
      <c r="L93" s="1439"/>
      <c r="M93" s="1439">
        <f>IFERROR(M75/M62*100,"")</f>
        <v>100.52619624088872</v>
      </c>
      <c r="N93" s="1439"/>
      <c r="P93" s="1439"/>
      <c r="R93" s="1683"/>
    </row>
    <row r="94" spans="2:22">
      <c r="C94" s="1399" t="s">
        <v>36</v>
      </c>
      <c r="D94" s="1439">
        <f t="shared" ref="D94:I94" si="38">IFERROR(D80/D67*100,"")</f>
        <v>101.33651241626522</v>
      </c>
      <c r="E94" s="1439">
        <f t="shared" si="38"/>
        <v>104.42562462812288</v>
      </c>
      <c r="F94" s="1439">
        <f t="shared" si="38"/>
        <v>100.48281055844048</v>
      </c>
      <c r="G94" s="1439">
        <f t="shared" si="38"/>
        <v>99.955290611028317</v>
      </c>
      <c r="H94" s="1439">
        <f t="shared" si="38"/>
        <v>100.78175378772609</v>
      </c>
      <c r="I94" s="1439">
        <f t="shared" si="38"/>
        <v>101.58878504672899</v>
      </c>
      <c r="J94" s="1439"/>
      <c r="K94" s="1439"/>
      <c r="L94" s="1439"/>
      <c r="M94" s="1439">
        <f>IFERROR(M80/M67*100,"")</f>
        <v>100.48926613169758</v>
      </c>
      <c r="N94" s="1439"/>
    </row>
    <row r="95" spans="2:22" customFormat="1" ht="14.25"/>
    <row r="96" spans="2:22" ht="13.5" customHeight="1">
      <c r="B96" s="2623" t="s">
        <v>3</v>
      </c>
      <c r="C96" s="2623"/>
      <c r="D96" s="2627" t="str">
        <f>D31</f>
        <v>2020年</v>
      </c>
      <c r="E96" s="2628"/>
      <c r="F96" s="2629"/>
      <c r="G96" s="2627" t="str">
        <f>B1&amp;"年"</f>
        <v>2021年</v>
      </c>
      <c r="H96" s="2628"/>
      <c r="I96" s="2628"/>
      <c r="J96" s="2628"/>
      <c r="K96" s="2628"/>
      <c r="L96" s="2628"/>
      <c r="M96" s="2628"/>
      <c r="N96" s="2628"/>
      <c r="O96" s="2629"/>
    </row>
    <row r="97" spans="2:15" ht="27">
      <c r="B97" s="2623"/>
      <c r="C97" s="2623"/>
      <c r="D97" s="954" t="s">
        <v>4</v>
      </c>
      <c r="E97" s="954" t="str">
        <f>E32</f>
        <v>8月</v>
      </c>
      <c r="F97" s="393" t="s">
        <v>5</v>
      </c>
      <c r="G97" s="954" t="s">
        <v>6</v>
      </c>
      <c r="H97" s="954" t="str">
        <f t="shared" ref="H97:I99" si="39">H32</f>
        <v>7月</v>
      </c>
      <c r="I97" s="954" t="str">
        <f t="shared" si="39"/>
        <v>8月</v>
      </c>
      <c r="J97" s="954" t="s">
        <v>7</v>
      </c>
      <c r="K97" s="954" t="s">
        <v>8</v>
      </c>
      <c r="L97" s="954" t="s">
        <v>9</v>
      </c>
      <c r="M97" s="954" t="s">
        <v>5</v>
      </c>
      <c r="N97" s="954" t="s">
        <v>37</v>
      </c>
      <c r="O97" s="954" t="s">
        <v>38</v>
      </c>
    </row>
    <row r="98" spans="2:15">
      <c r="B98" s="2594" t="s">
        <v>12</v>
      </c>
      <c r="C98" s="1468" t="s">
        <v>13</v>
      </c>
      <c r="D98" s="928">
        <f>D33</f>
        <v>1291.7342967212801</v>
      </c>
      <c r="E98" s="928">
        <f>E33</f>
        <v>109.19611380000001</v>
      </c>
      <c r="F98" s="928">
        <f>F33</f>
        <v>863.39394432128006</v>
      </c>
      <c r="G98" s="395">
        <f>G33</f>
        <v>1395</v>
      </c>
      <c r="H98" s="928">
        <f t="shared" si="39"/>
        <v>111.71344400000001</v>
      </c>
      <c r="I98" s="928">
        <f t="shared" si="39"/>
        <v>118.05</v>
      </c>
      <c r="J98" s="1711">
        <f t="shared" ref="J98:O99" si="40">J33</f>
        <v>6.3365559999999874</v>
      </c>
      <c r="K98" s="1711">
        <f t="shared" si="40"/>
        <v>8.8538861999999909</v>
      </c>
      <c r="L98" s="1711">
        <f t="shared" si="40"/>
        <v>1.7999999999999972</v>
      </c>
      <c r="M98" s="928">
        <f t="shared" si="40"/>
        <v>948.97691627236986</v>
      </c>
      <c r="N98" s="1711">
        <f t="shared" si="40"/>
        <v>85.582971951089803</v>
      </c>
      <c r="O98" s="1711">
        <f t="shared" si="40"/>
        <v>18.976916272369863</v>
      </c>
    </row>
    <row r="99" spans="2:15">
      <c r="B99" s="2594"/>
      <c r="C99" s="963" t="s">
        <v>14</v>
      </c>
      <c r="D99" s="929">
        <f>D34</f>
        <v>826.22927702128004</v>
      </c>
      <c r="E99" s="929">
        <f>E34</f>
        <v>70.8185</v>
      </c>
      <c r="F99" s="929">
        <f>F34</f>
        <v>552.17901002128008</v>
      </c>
      <c r="G99" s="398">
        <f>G34</f>
        <v>900</v>
      </c>
      <c r="H99" s="929">
        <f t="shared" si="39"/>
        <v>76.156000000000006</v>
      </c>
      <c r="I99" s="929">
        <f t="shared" si="39"/>
        <v>79</v>
      </c>
      <c r="J99" s="986">
        <f t="shared" si="40"/>
        <v>2.8439999999999941</v>
      </c>
      <c r="K99" s="986">
        <f t="shared" si="40"/>
        <v>8.1814999999999998</v>
      </c>
      <c r="L99" s="986">
        <f t="shared" si="40"/>
        <v>4</v>
      </c>
      <c r="M99" s="929">
        <f t="shared" si="40"/>
        <v>617.41210000000001</v>
      </c>
      <c r="N99" s="986">
        <f t="shared" si="40"/>
        <v>65.233089978719931</v>
      </c>
      <c r="O99" s="986">
        <f t="shared" si="40"/>
        <v>17.412100000000009</v>
      </c>
    </row>
    <row r="100" spans="2:15">
      <c r="B100" s="2594"/>
      <c r="C100" s="1468" t="s">
        <v>17</v>
      </c>
      <c r="D100" s="928">
        <f t="shared" ref="D100:O100" si="41">D42</f>
        <v>444.33024660000001</v>
      </c>
      <c r="E100" s="928">
        <f t="shared" si="41"/>
        <v>34.9666</v>
      </c>
      <c r="F100" s="928">
        <f t="shared" si="41"/>
        <v>318.77260799999999</v>
      </c>
      <c r="G100" s="395">
        <f t="shared" si="41"/>
        <v>470</v>
      </c>
      <c r="H100" s="928">
        <f t="shared" si="41"/>
        <v>22.642500000000002</v>
      </c>
      <c r="I100" s="928">
        <f t="shared" si="41"/>
        <v>41.4</v>
      </c>
      <c r="J100" s="1470">
        <f t="shared" si="41"/>
        <v>18.757499999999997</v>
      </c>
      <c r="K100" s="1470">
        <f t="shared" si="41"/>
        <v>6.4333999999999989</v>
      </c>
      <c r="L100" s="1470">
        <f t="shared" si="41"/>
        <v>2.2333333333333343</v>
      </c>
      <c r="M100" s="928">
        <f t="shared" si="41"/>
        <v>305.88779999999997</v>
      </c>
      <c r="N100" s="1470">
        <f t="shared" si="41"/>
        <v>-12.884808000000021</v>
      </c>
      <c r="O100" s="1470">
        <f t="shared" si="41"/>
        <v>-7.4455333333333442</v>
      </c>
    </row>
    <row r="101" spans="2:15">
      <c r="B101" s="2594"/>
      <c r="C101" s="963" t="s">
        <v>14</v>
      </c>
      <c r="D101" s="929">
        <f t="shared" ref="D101:O101" si="42">D43</f>
        <v>248.12134660000001</v>
      </c>
      <c r="E101" s="929">
        <f t="shared" si="42"/>
        <v>17.963000000000001</v>
      </c>
      <c r="F101" s="929">
        <f t="shared" si="42"/>
        <v>177.53330800000001</v>
      </c>
      <c r="G101" s="398">
        <f t="shared" si="42"/>
        <v>260</v>
      </c>
      <c r="H101" s="929">
        <f t="shared" si="42"/>
        <v>21.617599999999999</v>
      </c>
      <c r="I101" s="929">
        <f t="shared" si="42"/>
        <v>22.4</v>
      </c>
      <c r="J101" s="1714">
        <f t="shared" si="42"/>
        <v>0.7823999999999991</v>
      </c>
      <c r="K101" s="1714">
        <f t="shared" si="42"/>
        <v>4.4369999999999976</v>
      </c>
      <c r="L101" s="1714">
        <f t="shared" si="42"/>
        <v>0.73333333333333073</v>
      </c>
      <c r="M101" s="929">
        <f t="shared" si="42"/>
        <v>176.20860000000002</v>
      </c>
      <c r="N101" s="1714">
        <f t="shared" si="42"/>
        <v>-1.3247079999999869</v>
      </c>
      <c r="O101" s="1714">
        <f t="shared" si="42"/>
        <v>2.8752666666666755</v>
      </c>
    </row>
    <row r="102" spans="2:15">
      <c r="B102" s="2594"/>
      <c r="C102" s="1468" t="s">
        <v>23</v>
      </c>
      <c r="D102" s="928">
        <f t="shared" ref="D102:O102" si="43">D52</f>
        <v>26.355478000000002</v>
      </c>
      <c r="E102" s="928">
        <f t="shared" si="43"/>
        <v>2.1250070000000001</v>
      </c>
      <c r="F102" s="928">
        <f t="shared" si="43"/>
        <v>17.332814000000003</v>
      </c>
      <c r="G102" s="395">
        <f t="shared" si="43"/>
        <v>32</v>
      </c>
      <c r="H102" s="928">
        <f t="shared" si="43"/>
        <v>2.3011619999999997</v>
      </c>
      <c r="I102" s="928">
        <f t="shared" si="43"/>
        <v>2.4</v>
      </c>
      <c r="J102" s="1470">
        <f t="shared" si="43"/>
        <v>9.8838000000000203E-2</v>
      </c>
      <c r="K102" s="1470">
        <f t="shared" si="43"/>
        <v>0.27499299999999982</v>
      </c>
      <c r="L102" s="1470">
        <f t="shared" si="43"/>
        <v>-0.26666666666666661</v>
      </c>
      <c r="M102" s="928">
        <f t="shared" si="43"/>
        <v>19.108836</v>
      </c>
      <c r="N102" s="1470">
        <f t="shared" si="43"/>
        <v>1.7760219999999975</v>
      </c>
      <c r="O102" s="1470">
        <f t="shared" si="43"/>
        <v>-2.224497333333332</v>
      </c>
    </row>
    <row r="103" spans="2:15">
      <c r="B103" s="2594" t="s">
        <v>24</v>
      </c>
      <c r="C103" s="1468" t="s">
        <v>25</v>
      </c>
      <c r="D103" s="928">
        <f t="shared" ref="D103:O103" si="44">D53</f>
        <v>905.17</v>
      </c>
      <c r="E103" s="928">
        <f t="shared" si="44"/>
        <v>58.303600000000003</v>
      </c>
      <c r="F103" s="928">
        <f t="shared" si="44"/>
        <v>594.25527999999997</v>
      </c>
      <c r="G103" s="395">
        <f t="shared" si="44"/>
        <v>1149.25</v>
      </c>
      <c r="H103" s="928">
        <f t="shared" si="44"/>
        <v>92.044600000000003</v>
      </c>
      <c r="I103" s="928">
        <f>I53</f>
        <v>93.13</v>
      </c>
      <c r="J103" s="1470">
        <f t="shared" si="44"/>
        <v>1.0853999999999928</v>
      </c>
      <c r="K103" s="1470">
        <f t="shared" si="44"/>
        <v>34.826399999999992</v>
      </c>
      <c r="L103" s="1470">
        <f t="shared" si="44"/>
        <v>-2.6408333333333331</v>
      </c>
      <c r="M103" s="928">
        <f t="shared" si="44"/>
        <v>728.01080000000002</v>
      </c>
      <c r="N103" s="1470">
        <f t="shared" si="44"/>
        <v>133.75552000000005</v>
      </c>
      <c r="O103" s="1470">
        <f t="shared" si="44"/>
        <v>-38.155866666666611</v>
      </c>
    </row>
    <row r="104" spans="2:15">
      <c r="B104" s="2594"/>
      <c r="C104" s="1468" t="s">
        <v>26</v>
      </c>
      <c r="D104" s="928">
        <f t="shared" ref="D104:O104" si="45">D56</f>
        <v>1251.6799999999998</v>
      </c>
      <c r="E104" s="928">
        <f t="shared" si="45"/>
        <v>93.859820900000003</v>
      </c>
      <c r="F104" s="928">
        <f t="shared" si="45"/>
        <v>818.59694539999998</v>
      </c>
      <c r="G104" s="395">
        <f t="shared" si="45"/>
        <v>1525</v>
      </c>
      <c r="H104" s="928">
        <f t="shared" si="45"/>
        <v>125.35483669999999</v>
      </c>
      <c r="I104" s="928">
        <f t="shared" si="45"/>
        <v>125.26</v>
      </c>
      <c r="J104" s="1711">
        <f t="shared" si="45"/>
        <v>-9.4836699999987673E-2</v>
      </c>
      <c r="K104" s="1711">
        <f t="shared" si="45"/>
        <v>31.400179100000003</v>
      </c>
      <c r="L104" s="1711">
        <f t="shared" si="45"/>
        <v>-1.8233333333333235</v>
      </c>
      <c r="M104" s="928">
        <f t="shared" si="45"/>
        <v>971.91929069999992</v>
      </c>
      <c r="N104" s="1711">
        <f t="shared" si="45"/>
        <v>153.32234529999994</v>
      </c>
      <c r="O104" s="1711">
        <f t="shared" si="45"/>
        <v>-44.747375966666709</v>
      </c>
    </row>
    <row r="105" spans="2:15">
      <c r="B105" s="2594"/>
      <c r="C105" s="963" t="s">
        <v>27</v>
      </c>
      <c r="D105" s="929">
        <f t="shared" ref="D105:O105" si="46">D59</f>
        <v>601.66</v>
      </c>
      <c r="E105" s="929">
        <f t="shared" si="46"/>
        <v>52.651535600000003</v>
      </c>
      <c r="F105" s="929">
        <f t="shared" si="46"/>
        <v>387.52067650000004</v>
      </c>
      <c r="G105" s="398">
        <f t="shared" si="46"/>
        <v>650</v>
      </c>
      <c r="H105" s="929">
        <f t="shared" si="46"/>
        <v>52.064028499999992</v>
      </c>
      <c r="I105" s="929">
        <f t="shared" si="46"/>
        <v>53.76</v>
      </c>
      <c r="J105" s="986">
        <f t="shared" si="46"/>
        <v>1.695971500000006</v>
      </c>
      <c r="K105" s="986">
        <f t="shared" si="46"/>
        <v>1.1084643999999955</v>
      </c>
      <c r="L105" s="986">
        <f t="shared" si="46"/>
        <v>-0.40666666666666629</v>
      </c>
      <c r="M105" s="929">
        <f t="shared" si="46"/>
        <v>401.4590417</v>
      </c>
      <c r="N105" s="986">
        <f t="shared" si="46"/>
        <v>13.938365199999964</v>
      </c>
      <c r="O105" s="986">
        <f t="shared" si="46"/>
        <v>-31.874291633333314</v>
      </c>
    </row>
    <row r="106" spans="2:15">
      <c r="B106" s="2594"/>
      <c r="C106" s="1468" t="s">
        <v>28</v>
      </c>
      <c r="D106" s="928">
        <f t="shared" ref="D106:O106" si="47">D62</f>
        <v>1227.8500000000001</v>
      </c>
      <c r="E106" s="928">
        <f t="shared" si="47"/>
        <v>90.322741589999964</v>
      </c>
      <c r="F106" s="928">
        <f t="shared" si="47"/>
        <v>793.47933876999991</v>
      </c>
      <c r="G106" s="395">
        <f t="shared" si="47"/>
        <v>1515</v>
      </c>
      <c r="H106" s="928">
        <f t="shared" si="47"/>
        <v>122.48378013</v>
      </c>
      <c r="I106" s="928">
        <f t="shared" si="47"/>
        <v>123.9</v>
      </c>
      <c r="J106" s="1470">
        <f t="shared" si="47"/>
        <v>1.4162198700000062</v>
      </c>
      <c r="K106" s="1470">
        <f t="shared" si="47"/>
        <v>33.577258410000042</v>
      </c>
      <c r="L106" s="1470">
        <f t="shared" si="47"/>
        <v>-2.3499999999999943</v>
      </c>
      <c r="M106" s="928">
        <f t="shared" si="47"/>
        <v>958.29329979999989</v>
      </c>
      <c r="N106" s="1470">
        <f t="shared" si="47"/>
        <v>164.81396102999997</v>
      </c>
      <c r="O106" s="1470">
        <f t="shared" si="47"/>
        <v>-51.706700200000114</v>
      </c>
    </row>
    <row r="107" spans="2:15">
      <c r="B107" s="2594"/>
      <c r="C107" s="963" t="s">
        <v>29</v>
      </c>
      <c r="D107" s="929">
        <f t="shared" ref="D107:N107" si="48">D67</f>
        <v>616.53</v>
      </c>
      <c r="E107" s="929">
        <f t="shared" si="48"/>
        <v>47.768276689999986</v>
      </c>
      <c r="F107" s="929">
        <f t="shared" si="48"/>
        <v>390.14167136999993</v>
      </c>
      <c r="G107" s="398">
        <f t="shared" si="48"/>
        <v>671</v>
      </c>
      <c r="H107" s="929">
        <f t="shared" si="48"/>
        <v>49.779352029999991</v>
      </c>
      <c r="I107" s="929">
        <f t="shared" si="48"/>
        <v>53.499999999999993</v>
      </c>
      <c r="J107" s="1714">
        <f t="shared" si="48"/>
        <v>3.7206479700000017</v>
      </c>
      <c r="K107" s="1714">
        <f t="shared" si="48"/>
        <v>5.7317233100000067</v>
      </c>
      <c r="L107" s="1714">
        <f t="shared" si="48"/>
        <v>-2.4166666666666714</v>
      </c>
      <c r="M107" s="929">
        <f t="shared" si="48"/>
        <v>412.31850919999999</v>
      </c>
      <c r="N107" s="1714">
        <f t="shared" si="48"/>
        <v>22.176837830000068</v>
      </c>
      <c r="O107" s="1714">
        <f>O68</f>
        <v>15.534118766666722</v>
      </c>
    </row>
    <row r="108" spans="2:15">
      <c r="B108" s="2594" t="s">
        <v>30</v>
      </c>
      <c r="C108" s="1468" t="s">
        <v>31</v>
      </c>
      <c r="D108" s="928">
        <f t="shared" ref="D108:O108" si="49">D72</f>
        <v>283</v>
      </c>
      <c r="E108" s="928">
        <f t="shared" si="49"/>
        <v>34.757922999999998</v>
      </c>
      <c r="F108" s="928">
        <f t="shared" si="49"/>
        <v>182.05215200000001</v>
      </c>
      <c r="G108" s="395">
        <f t="shared" si="49"/>
        <v>300</v>
      </c>
      <c r="H108" s="928">
        <f t="shared" si="49"/>
        <v>25.358358499999998</v>
      </c>
      <c r="I108" s="928">
        <f t="shared" si="49"/>
        <v>24.5</v>
      </c>
      <c r="J108" s="1470">
        <f t="shared" si="49"/>
        <v>-0.8583584999999978</v>
      </c>
      <c r="K108" s="1470">
        <f t="shared" si="49"/>
        <v>-10.257922999999998</v>
      </c>
      <c r="L108" s="1470">
        <f t="shared" si="49"/>
        <v>-0.5</v>
      </c>
      <c r="M108" s="928">
        <f t="shared" si="49"/>
        <v>217.18275929999999</v>
      </c>
      <c r="N108" s="1470">
        <f t="shared" si="49"/>
        <v>35.13060729999998</v>
      </c>
      <c r="O108" s="1470">
        <f t="shared" si="49"/>
        <v>17.182759299999987</v>
      </c>
    </row>
    <row r="109" spans="2:15">
      <c r="B109" s="2594"/>
      <c r="C109" s="963" t="s">
        <v>32</v>
      </c>
      <c r="D109" s="929">
        <f t="shared" ref="D109:O109" si="50">D73</f>
        <v>283</v>
      </c>
      <c r="E109" s="929">
        <f t="shared" si="50"/>
        <v>34.757922999999998</v>
      </c>
      <c r="F109" s="929">
        <f t="shared" si="50"/>
        <v>182.05215200000001</v>
      </c>
      <c r="G109" s="398">
        <f t="shared" si="50"/>
        <v>300</v>
      </c>
      <c r="H109" s="929">
        <f t="shared" si="50"/>
        <v>25.358358499999998</v>
      </c>
      <c r="I109" s="929">
        <f t="shared" si="50"/>
        <v>24.5</v>
      </c>
      <c r="J109" s="986">
        <f t="shared" si="50"/>
        <v>-0.8583584999999978</v>
      </c>
      <c r="K109" s="986">
        <f t="shared" si="50"/>
        <v>-10.257922999999998</v>
      </c>
      <c r="L109" s="986">
        <f t="shared" si="50"/>
        <v>-0.5</v>
      </c>
      <c r="M109" s="929">
        <f t="shared" si="50"/>
        <v>217.18275929999999</v>
      </c>
      <c r="N109" s="986">
        <f t="shared" si="50"/>
        <v>35.13060729999998</v>
      </c>
      <c r="O109" s="986">
        <f t="shared" si="50"/>
        <v>17.182759299999987</v>
      </c>
    </row>
    <row r="110" spans="2:15">
      <c r="B110" s="2594"/>
      <c r="C110" s="963" t="s">
        <v>33</v>
      </c>
      <c r="D110" s="929">
        <f t="shared" ref="D110:O110" si="51">D74</f>
        <v>0</v>
      </c>
      <c r="E110" s="929">
        <f t="shared" si="51"/>
        <v>0</v>
      </c>
      <c r="F110" s="929">
        <f t="shared" si="51"/>
        <v>0</v>
      </c>
      <c r="G110" s="398">
        <f t="shared" si="51"/>
        <v>0</v>
      </c>
      <c r="H110" s="929">
        <f t="shared" si="51"/>
        <v>0</v>
      </c>
      <c r="I110" s="929">
        <f t="shared" si="51"/>
        <v>0</v>
      </c>
      <c r="J110" s="1714">
        <f t="shared" si="51"/>
        <v>0</v>
      </c>
      <c r="K110" s="1714">
        <f t="shared" si="51"/>
        <v>0</v>
      </c>
      <c r="L110" s="1714">
        <f t="shared" si="51"/>
        <v>0</v>
      </c>
      <c r="M110" s="929">
        <f t="shared" si="51"/>
        <v>0</v>
      </c>
      <c r="N110" s="1714">
        <f t="shared" si="51"/>
        <v>0</v>
      </c>
      <c r="O110" s="1714">
        <f t="shared" si="51"/>
        <v>0</v>
      </c>
    </row>
    <row r="111" spans="2:15">
      <c r="B111" s="2594"/>
      <c r="C111" s="1468" t="s">
        <v>28</v>
      </c>
      <c r="D111" s="928">
        <f t="shared" ref="D111:O111" si="52">D75</f>
        <v>1234.6500000000001</v>
      </c>
      <c r="E111" s="928">
        <f t="shared" si="52"/>
        <v>93.503549407622501</v>
      </c>
      <c r="F111" s="928">
        <f t="shared" si="52"/>
        <v>791.02697075225035</v>
      </c>
      <c r="G111" s="395">
        <f t="shared" si="52"/>
        <v>1515</v>
      </c>
      <c r="H111" s="928">
        <f t="shared" si="52"/>
        <v>125.36829300000002</v>
      </c>
      <c r="I111" s="928">
        <f t="shared" si="52"/>
        <v>124.35000000000001</v>
      </c>
      <c r="J111" s="1470">
        <f t="shared" si="52"/>
        <v>-1.0182930000000141</v>
      </c>
      <c r="K111" s="1470">
        <f t="shared" si="52"/>
        <v>30.846450592377508</v>
      </c>
      <c r="L111" s="1470">
        <f t="shared" si="52"/>
        <v>-1.8999999999999915</v>
      </c>
      <c r="M111" s="928">
        <f t="shared" si="52"/>
        <v>963.33580312023605</v>
      </c>
      <c r="N111" s="1470">
        <f t="shared" si="52"/>
        <v>172.3088323679857</v>
      </c>
      <c r="O111" s="1470">
        <f t="shared" si="52"/>
        <v>-46.664196879763949</v>
      </c>
    </row>
    <row r="112" spans="2:15">
      <c r="B112" s="2594"/>
      <c r="C112" s="963" t="s">
        <v>29</v>
      </c>
      <c r="D112" s="929">
        <f t="shared" ref="D112:O112" si="53">D80</f>
        <v>624.77</v>
      </c>
      <c r="E112" s="929">
        <f t="shared" si="53"/>
        <v>49.882321307622512</v>
      </c>
      <c r="F112" s="929">
        <f t="shared" si="53"/>
        <v>392.02531655225044</v>
      </c>
      <c r="G112" s="398">
        <f t="shared" si="53"/>
        <v>670.7</v>
      </c>
      <c r="H112" s="929">
        <f t="shared" si="53"/>
        <v>50.16850400000002</v>
      </c>
      <c r="I112" s="929">
        <f t="shared" si="53"/>
        <v>54.35</v>
      </c>
      <c r="J112" s="986">
        <f t="shared" si="53"/>
        <v>4.1814959999999814</v>
      </c>
      <c r="K112" s="986">
        <f t="shared" si="53"/>
        <v>4.4676786923774898</v>
      </c>
      <c r="L112" s="986">
        <f t="shared" si="53"/>
        <v>-1.5416666666666714</v>
      </c>
      <c r="M112" s="929">
        <f t="shared" si="53"/>
        <v>414.33584402023598</v>
      </c>
      <c r="N112" s="986">
        <f t="shared" si="53"/>
        <v>22.310527467985537</v>
      </c>
      <c r="O112" s="986">
        <f t="shared" si="53"/>
        <v>-32.797489313097401</v>
      </c>
    </row>
    <row r="113" spans="1:22">
      <c r="B113" s="2594"/>
      <c r="C113" s="1468" t="s">
        <v>34</v>
      </c>
      <c r="D113" s="928">
        <f t="shared" ref="D113:O113" si="54">D85</f>
        <v>77.434436200000007</v>
      </c>
      <c r="E113" s="928">
        <f t="shared" si="54"/>
        <v>2.6873900000000002</v>
      </c>
      <c r="F113" s="928">
        <f t="shared" si="54"/>
        <v>55.381459500000005</v>
      </c>
      <c r="G113" s="395">
        <f t="shared" si="54"/>
        <v>85</v>
      </c>
      <c r="H113" s="928">
        <f t="shared" si="54"/>
        <v>4.7961154999999991</v>
      </c>
      <c r="I113" s="928">
        <f t="shared" si="54"/>
        <v>5.32</v>
      </c>
      <c r="J113" s="1711">
        <f t="shared" si="54"/>
        <v>0.5238845000000012</v>
      </c>
      <c r="K113" s="1711">
        <f t="shared" si="54"/>
        <v>2.6326100000000001</v>
      </c>
      <c r="L113" s="1711">
        <f t="shared" si="54"/>
        <v>-1.7633333333333328</v>
      </c>
      <c r="M113" s="928">
        <f t="shared" si="54"/>
        <v>48.360843000000003</v>
      </c>
      <c r="N113" s="1711">
        <f t="shared" si="54"/>
        <v>-7.0206165000000027</v>
      </c>
      <c r="O113" s="1711">
        <f t="shared" si="54"/>
        <v>-8.3058236666666616</v>
      </c>
    </row>
    <row r="114" spans="1:22">
      <c r="B114" s="2594"/>
      <c r="C114" s="963" t="s">
        <v>29</v>
      </c>
      <c r="D114" s="929">
        <f>D89</f>
        <v>56.140403999999997</v>
      </c>
      <c r="E114" s="929">
        <f>E89</f>
        <v>2.2929900000000001</v>
      </c>
      <c r="F114" s="929">
        <f>F89</f>
        <v>39.8609595</v>
      </c>
      <c r="G114" s="398">
        <f>G89</f>
        <v>60</v>
      </c>
      <c r="H114" s="929">
        <f>H89</f>
        <v>3.6780154999999999</v>
      </c>
      <c r="I114" s="929">
        <f t="shared" ref="I114:O114" si="55">I89</f>
        <v>4.04</v>
      </c>
      <c r="J114" s="986">
        <f t="shared" si="55"/>
        <v>0.36198450000000015</v>
      </c>
      <c r="K114" s="986">
        <f t="shared" si="55"/>
        <v>1.74701</v>
      </c>
      <c r="L114" s="986">
        <f t="shared" si="55"/>
        <v>-0.96</v>
      </c>
      <c r="M114" s="929">
        <f t="shared" si="55"/>
        <v>33.666343000000005</v>
      </c>
      <c r="N114" s="986">
        <f t="shared" si="55"/>
        <v>-6.1946164999999951</v>
      </c>
      <c r="O114" s="986">
        <f t="shared" si="55"/>
        <v>-6.3336569999999952</v>
      </c>
    </row>
    <row r="117" spans="1:22" ht="14.25">
      <c r="A117" s="151" t="s">
        <v>39</v>
      </c>
      <c r="C117" s="2598" t="s">
        <v>3</v>
      </c>
      <c r="D117" s="2591" t="str">
        <f>D96</f>
        <v>2020年</v>
      </c>
      <c r="E117" s="2592"/>
      <c r="F117" s="2593"/>
      <c r="G117" s="2591" t="str">
        <f>G31</f>
        <v>2021年</v>
      </c>
      <c r="H117" s="2592"/>
      <c r="I117" s="2592"/>
      <c r="J117" s="2592"/>
      <c r="K117" s="2592"/>
      <c r="L117" s="2592"/>
      <c r="M117" s="2592"/>
      <c r="N117" s="2592"/>
      <c r="O117" s="2593"/>
    </row>
    <row r="118" spans="1:22" ht="14.25">
      <c r="C118" s="2598"/>
      <c r="D118" s="1710" t="s">
        <v>4</v>
      </c>
      <c r="E118" s="1710" t="str">
        <f>E97</f>
        <v>8月</v>
      </c>
      <c r="F118" s="1710" t="s">
        <v>5</v>
      </c>
      <c r="G118" s="1710" t="s">
        <v>6</v>
      </c>
      <c r="H118" s="1710" t="str">
        <f>H97</f>
        <v>7月</v>
      </c>
      <c r="I118" s="1710" t="str">
        <f>I97</f>
        <v>8月</v>
      </c>
      <c r="J118" s="1710" t="s">
        <v>7</v>
      </c>
      <c r="K118" s="1710" t="s">
        <v>8</v>
      </c>
      <c r="L118" s="1710" t="s">
        <v>9</v>
      </c>
      <c r="M118" s="1710" t="s">
        <v>5</v>
      </c>
      <c r="N118" s="1710" t="s">
        <v>40</v>
      </c>
      <c r="O118" s="1710" t="s">
        <v>41</v>
      </c>
      <c r="Q118" s="2085" t="str">
        <f>Q32</f>
        <v>1-7月累计</v>
      </c>
    </row>
    <row r="119" spans="1:22" ht="14.25">
      <c r="C119" s="1725" t="s">
        <v>1232</v>
      </c>
      <c r="D119" s="1872">
        <f>D120+D125+D126</f>
        <v>977.0860931525001</v>
      </c>
      <c r="E119" s="2094">
        <f>E120+E125+E126</f>
        <v>77.538887964799983</v>
      </c>
      <c r="F119" s="2094">
        <f t="shared" ref="F119:O119" si="56">F120+F125+F126</f>
        <v>613.31281118260006</v>
      </c>
      <c r="G119" s="1872">
        <f t="shared" si="56"/>
        <v>1109.9000000000001</v>
      </c>
      <c r="H119" s="1709">
        <f>H120+H125+H126</f>
        <v>125.84296072449997</v>
      </c>
      <c r="I119" s="1709">
        <f>I120+I125+I126</f>
        <v>129.13437474148199</v>
      </c>
      <c r="J119" s="1711">
        <f t="shared" si="56"/>
        <v>3.2914140169820225</v>
      </c>
      <c r="K119" s="1711">
        <f t="shared" si="56"/>
        <v>51.595486776682016</v>
      </c>
      <c r="L119" s="1711">
        <f t="shared" si="56"/>
        <v>36.642708074815317</v>
      </c>
      <c r="M119" s="2094">
        <f>M120+M125+M126</f>
        <v>917.69857992438199</v>
      </c>
      <c r="N119" s="1695">
        <f t="shared" si="56"/>
        <v>304.38576874178199</v>
      </c>
      <c r="O119" s="1711">
        <f t="shared" si="56"/>
        <v>177.76524659104865</v>
      </c>
      <c r="P119" s="1726">
        <f>J119/H119</f>
        <v>2.6154931495832388E-2</v>
      </c>
      <c r="Q119" s="2090">
        <f>Q120+Q125+Q126</f>
        <v>788.56420518290008</v>
      </c>
      <c r="R119" s="1683"/>
      <c r="U119" s="2100">
        <f t="shared" ref="U119:U126" si="57">J119/H119</f>
        <v>2.6154931495832388E-2</v>
      </c>
      <c r="V119" s="2100">
        <f t="shared" ref="V119:V126" si="58">K119/E119</f>
        <v>0.66541432474637252</v>
      </c>
    </row>
    <row r="120" spans="1:22" ht="14.25">
      <c r="C120" s="1873" t="s">
        <v>1239</v>
      </c>
      <c r="D120" s="1872">
        <f t="shared" ref="D120:I120" si="59">SUM(D121:D124)</f>
        <v>785.87609315250018</v>
      </c>
      <c r="E120" s="2094">
        <f>SUM(E121:E124)</f>
        <v>60.620920941699978</v>
      </c>
      <c r="F120" s="1709">
        <f>SUM(F121:F124)</f>
        <v>496.33711115840003</v>
      </c>
      <c r="G120" s="1872">
        <f t="shared" si="59"/>
        <v>860</v>
      </c>
      <c r="H120" s="2094">
        <f t="shared" si="59"/>
        <v>103.98307645639997</v>
      </c>
      <c r="I120" s="1709">
        <f t="shared" si="59"/>
        <v>105.25427474148199</v>
      </c>
      <c r="J120" s="1711">
        <f t="shared" ref="J120:J126" si="60">I120-H120</f>
        <v>1.271198285082022</v>
      </c>
      <c r="K120" s="1711">
        <f t="shared" ref="K120:K126" si="61">I120-E120</f>
        <v>44.633353799782014</v>
      </c>
      <c r="L120" s="1711">
        <f t="shared" ref="L120:L126" si="62">I120-G120/12</f>
        <v>33.587608074815321</v>
      </c>
      <c r="M120" s="2094">
        <f>SUM(M121:M124)</f>
        <v>761.37628818108203</v>
      </c>
      <c r="N120" s="1711">
        <f t="shared" ref="N120:N126" si="63">M120-F120</f>
        <v>265.039177022682</v>
      </c>
      <c r="O120" s="1711">
        <f t="shared" ref="O120:O126" si="64">M120-G120/12*$B$2</f>
        <v>188.04295484774866</v>
      </c>
      <c r="P120" s="1726">
        <f>N120/F120</f>
        <v>0.53399024788637639</v>
      </c>
      <c r="Q120" s="1709">
        <f>SUM(Q121:Q124)</f>
        <v>656.12201343959998</v>
      </c>
      <c r="R120" s="1683"/>
      <c r="U120" s="2100">
        <f t="shared" si="57"/>
        <v>1.2225049771585039E-2</v>
      </c>
      <c r="V120" s="2100">
        <f t="shared" si="58"/>
        <v>0.73626980762477301</v>
      </c>
    </row>
    <row r="121" spans="1:22" ht="14.25">
      <c r="C121" s="1874" t="s">
        <v>42</v>
      </c>
      <c r="D121" s="1746">
        <v>25.933564525452599</v>
      </c>
      <c r="E121" s="2095">
        <f>SUMIFS('收入（外部）'!49:49,'收入（外部）'!$1:$1,$B$1-1,'收入（外部）'!$2:$2,$B$2)/10000</f>
        <v>3.3673035039999997</v>
      </c>
      <c r="F121" s="2095">
        <f>SUMIFS('收入（外部）'!49:49,'收入（外部）'!$1:$1,$B$1-1,'收入（外部）'!$2:$2,"&lt;="&amp;$B$2)/10000</f>
        <v>16.016925348452602</v>
      </c>
      <c r="G121" s="1746">
        <v>25</v>
      </c>
      <c r="H121" s="2095">
        <f>SUMIFS('收入（外部）'!49:49,'收入（外部）'!$1:$1,$H$1,'收入（外部）'!$2:$2,$H$2)/10000</f>
        <v>4.1747499021999976</v>
      </c>
      <c r="I121" s="1712">
        <f>H121+新价格!H27/10000</f>
        <v>3.8868793421999976</v>
      </c>
      <c r="J121" s="1714">
        <f>I121-H121</f>
        <v>-0.28787056</v>
      </c>
      <c r="K121" s="1714">
        <f t="shared" si="61"/>
        <v>0.51957583819999797</v>
      </c>
      <c r="L121" s="1714">
        <f t="shared" si="62"/>
        <v>1.8035460088666642</v>
      </c>
      <c r="M121" s="2095">
        <f t="shared" ref="M121:M125" si="65">I121+Q121</f>
        <v>29.914508099499994</v>
      </c>
      <c r="N121" s="2097">
        <f t="shared" si="63"/>
        <v>13.897582751047391</v>
      </c>
      <c r="O121" s="1714">
        <f t="shared" si="64"/>
        <v>13.247841432833326</v>
      </c>
      <c r="P121" s="1726"/>
      <c r="Q121" s="1727">
        <f>SUMIFS('收入（外部）'!49:49,'收入（外部）'!$1:$1,$B$1,'收入（外部）'!$2:$2,"&lt;="&amp;$B$2-1)/10000</f>
        <v>26.027628757299997</v>
      </c>
      <c r="R121" s="1683"/>
      <c r="U121" s="2100">
        <f t="shared" si="57"/>
        <v>-6.8955163002291181E-2</v>
      </c>
      <c r="V121" s="2100">
        <f t="shared" si="58"/>
        <v>0.15430026951321643</v>
      </c>
    </row>
    <row r="122" spans="1:22" ht="14.25">
      <c r="C122" s="1874" t="s">
        <v>43</v>
      </c>
      <c r="D122" s="1746">
        <v>646.29659055544289</v>
      </c>
      <c r="E122" s="2095">
        <f>SUMIFS('收入（外部）'!50:50,'收入（外部）'!$1:$1,$B$1-1,'收入（外部）'!$2:$2,$B$2)/10000</f>
        <v>49.249501586366769</v>
      </c>
      <c r="F122" s="2095">
        <f>SUMIFS('收入（外部）'!50:50,'收入（外部）'!$1:$1,$B$1-1,'收入（外部）'!$2:$2,"&lt;="&amp;$B$2)/10000</f>
        <v>410.57722809807575</v>
      </c>
      <c r="G122" s="1746">
        <v>692</v>
      </c>
      <c r="H122" s="1712">
        <f>SUMIFS('收入（外部）'!50:50,'收入（外部）'!$1:$1,$H$1,'收入（外部）'!$2:$2,$H$2)/10000</f>
        <v>90.022868442917982</v>
      </c>
      <c r="I122" s="1712">
        <f>I127+I128</f>
        <v>91.928799999999995</v>
      </c>
      <c r="J122" s="1714">
        <f t="shared" si="60"/>
        <v>1.9059315570820132</v>
      </c>
      <c r="K122" s="1714">
        <f t="shared" si="61"/>
        <v>42.679298413633227</v>
      </c>
      <c r="L122" s="1714">
        <f t="shared" si="62"/>
        <v>34.262133333333331</v>
      </c>
      <c r="M122" s="2095">
        <f t="shared" si="65"/>
        <v>640.5930202337247</v>
      </c>
      <c r="N122" s="2097">
        <f t="shared" si="63"/>
        <v>230.01579213564895</v>
      </c>
      <c r="O122" s="1714">
        <f t="shared" si="64"/>
        <v>179.25968690039139</v>
      </c>
      <c r="Q122" s="1727">
        <f>SUMIFS('收入（外部）'!50:50,'收入（外部）'!$1:$1,$B$1,'收入（外部）'!$2:$2,"&lt;="&amp;$B$2-1)/10000+1</f>
        <v>548.66422023372468</v>
      </c>
      <c r="R122" s="1683"/>
      <c r="U122" s="2100">
        <f t="shared" si="57"/>
        <v>2.1171637718815115E-2</v>
      </c>
      <c r="V122" s="2100">
        <f t="shared" si="58"/>
        <v>0.86659350935335544</v>
      </c>
    </row>
    <row r="123" spans="1:22" ht="14.25">
      <c r="C123" s="1874" t="s">
        <v>44</v>
      </c>
      <c r="D123" s="1746">
        <v>72.025089397058736</v>
      </c>
      <c r="E123" s="2095">
        <f>SUMIFS('收入（外部）'!51:51,'收入（外部）'!$1:$1,$B$1-1,'收入（外部）'!$2:$2,$B$2)/10000</f>
        <v>4.0860641013980441</v>
      </c>
      <c r="F123" s="2095">
        <f>SUMIFS('收入（外部）'!51:51,'收入（外部）'!$1:$1,$B$1-1,'收入（外部）'!$2:$2,"&lt;="&amp;$B$2)/10000</f>
        <v>38.806008636188778</v>
      </c>
      <c r="G123" s="1746">
        <v>100</v>
      </c>
      <c r="H123" s="2095">
        <f>SUMIFS('收入（外部）'!51:51,'收入（外部）'!$1:$1,$H$1,'收入（外部）'!$2:$2,$H$2)/10000</f>
        <v>5.9187114880000022</v>
      </c>
      <c r="I123" s="1712">
        <f>('@预测#收入利润#'!L12+'@预测#收入利润#'!L13)/10000</f>
        <v>5.4687999999999999</v>
      </c>
      <c r="J123" s="1714">
        <f t="shared" si="60"/>
        <v>-0.44991148800000236</v>
      </c>
      <c r="K123" s="1714">
        <f t="shared" si="61"/>
        <v>1.3827358986019558</v>
      </c>
      <c r="L123" s="1714">
        <f t="shared" si="62"/>
        <v>-2.864533333333334</v>
      </c>
      <c r="M123" s="2095">
        <f t="shared" si="65"/>
        <v>62.852384175837138</v>
      </c>
      <c r="N123" s="2097">
        <f t="shared" si="63"/>
        <v>24.046375539648359</v>
      </c>
      <c r="O123" s="1714">
        <f t="shared" si="64"/>
        <v>-3.8142824908295339</v>
      </c>
      <c r="Q123" s="1727">
        <f>SUMIFS('收入（外部）'!51:51,'收入（外部）'!$1:$1,$B$1,'收入（外部）'!$2:$2,"&lt;="&amp;$B$2-1)/10000</f>
        <v>57.383584175837136</v>
      </c>
      <c r="R123" s="1683"/>
      <c r="U123" s="2100">
        <f t="shared" si="57"/>
        <v>-7.6015107158404913E-2</v>
      </c>
      <c r="V123" s="2100">
        <f t="shared" si="58"/>
        <v>0.33840288950162423</v>
      </c>
    </row>
    <row r="124" spans="1:22" ht="14.25">
      <c r="C124" s="1874" t="s">
        <v>45</v>
      </c>
      <c r="D124" s="1746">
        <v>41.620848674545819</v>
      </c>
      <c r="E124" s="2095">
        <f>SUMIFS('收入（外部）'!52:52,'收入（外部）'!$1:$1,$B$1-1,'收入（外部）'!$2:$2,$B$2)/10000</f>
        <v>3.9180517499351692</v>
      </c>
      <c r="F124" s="2095">
        <f>SUMIFS('收入（外部）'!52:52,'收入（外部）'!$1:$1,$B$1-1,'收入（外部）'!$2:$2,"&lt;="&amp;$B$2)/10000</f>
        <v>30.936949075682897</v>
      </c>
      <c r="G124" s="1746">
        <v>43</v>
      </c>
      <c r="H124" s="2095">
        <f>SUMIFS('收入（外部）'!52:52,'收入（外部）'!$1:$1,$H$1,'收入（外部）'!$2:$2,$H$2)/10000</f>
        <v>3.8667466232819936</v>
      </c>
      <c r="I124" s="1712">
        <f>H124+'@预测#收入利润#'!N56-I129</f>
        <v>3.9697953992819932</v>
      </c>
      <c r="J124" s="1714">
        <f t="shared" si="60"/>
        <v>0.10304877599999962</v>
      </c>
      <c r="K124" s="1714">
        <f t="shared" si="61"/>
        <v>5.1743649346823961E-2</v>
      </c>
      <c r="L124" s="1714">
        <f t="shared" si="62"/>
        <v>0.38646206594865973</v>
      </c>
      <c r="M124" s="2095">
        <f t="shared" si="65"/>
        <v>28.016375672020157</v>
      </c>
      <c r="N124" s="2097">
        <f t="shared" si="63"/>
        <v>-2.9205734036627398</v>
      </c>
      <c r="O124" s="1714">
        <f t="shared" si="64"/>
        <v>-0.65029099464651097</v>
      </c>
      <c r="Q124" s="1727">
        <f>SUMIFS('收入（外部）'!52:52,'收入（外部）'!$1:$1,$B$1,'收入（外部）'!$2:$2,"&lt;="&amp;$B$2-1)/10000</f>
        <v>24.046580272738165</v>
      </c>
      <c r="R124" s="1683"/>
      <c r="U124" s="2100">
        <f t="shared" si="57"/>
        <v>2.6649994437063607E-2</v>
      </c>
      <c r="V124" s="2100">
        <f t="shared" si="58"/>
        <v>1.3206474199244598E-2</v>
      </c>
    </row>
    <row r="125" spans="1:22" ht="14.25">
      <c r="C125" s="1873" t="s">
        <v>1237</v>
      </c>
      <c r="D125" s="1872">
        <v>111.41</v>
      </c>
      <c r="E125" s="1836">
        <f>SUMIFS('收入（外部）'!8:8,'收入（外部）'!$1:$1,$B$1-1,'收入（外部）'!$2:$2,$B$2)/10000</f>
        <v>9.6590198243999996</v>
      </c>
      <c r="F125" s="1836">
        <f>SUMIFS('收入（外部）'!8:8,'收入（外部）'!$1:$1,$B$1-1,'收入（外部）'!$2:$2,"&lt;="&amp;$B$2)/10000</f>
        <v>66.020968787000001</v>
      </c>
      <c r="G125" s="1872">
        <v>167</v>
      </c>
      <c r="H125" s="2099">
        <f>SUMIFS('收入（外部）'!8:8,'收入（外部）'!$1:$1,$H$1,'收入（外部）'!$2:$2,$H$2)/10000</f>
        <v>14.2436419807</v>
      </c>
      <c r="I125" s="1709">
        <f>'@预测#收入利润#'!L7/10000</f>
        <v>16.680099999999999</v>
      </c>
      <c r="J125" s="1711">
        <f t="shared" si="60"/>
        <v>2.4364580192999998</v>
      </c>
      <c r="K125" s="1711">
        <f t="shared" si="61"/>
        <v>7.0210801755999999</v>
      </c>
      <c r="L125" s="1711">
        <f t="shared" si="62"/>
        <v>2.7634333333333334</v>
      </c>
      <c r="M125" s="2094">
        <f t="shared" si="65"/>
        <v>97.775129136899992</v>
      </c>
      <c r="N125" s="2096">
        <f t="shared" si="63"/>
        <v>31.75416034989999</v>
      </c>
      <c r="O125" s="1711">
        <f t="shared" si="64"/>
        <v>-13.558204196433337</v>
      </c>
      <c r="Q125" s="1727">
        <f>SUMIFS('收入（外部）'!8:8,'收入（外部）'!$1:$1,$B$1,'收入（外部）'!$2:$2,"&lt;="&amp;$B$2-1)/10000</f>
        <v>81.095029136899996</v>
      </c>
      <c r="R125" s="1683"/>
      <c r="U125" s="2100">
        <f t="shared" si="57"/>
        <v>0.17105583126853213</v>
      </c>
      <c r="V125" s="2100">
        <f t="shared" si="58"/>
        <v>0.72689365000202144</v>
      </c>
    </row>
    <row r="126" spans="1:22" ht="14.25">
      <c r="C126" s="1873" t="s">
        <v>1238</v>
      </c>
      <c r="D126" s="1872">
        <v>79.8</v>
      </c>
      <c r="E126" s="1836">
        <f>SUMIFS('收入（外部）'!9:9,'收入（外部）'!$1:$1,$B$1-1,'收入（外部）'!$2:$2,$B$2)/10000</f>
        <v>7.2589471986999996</v>
      </c>
      <c r="F126" s="1836">
        <f>SUMIFS('收入（外部）'!9:9,'收入（外部）'!$1:$1,$B$1-1,'收入（外部）'!$2:$2,"&lt;="&amp;$B$2)/10000</f>
        <v>50.954731237199994</v>
      </c>
      <c r="G126" s="1872">
        <v>82.9</v>
      </c>
      <c r="H126" s="2099">
        <f>SUMIFS('收入（外部）'!9:9,'收入（外部）'!$1:$1,$H$1,'收入（外部）'!$2:$2,$H$2)/10000</f>
        <v>7.6162422873999995</v>
      </c>
      <c r="I126" s="1709">
        <f>'@预测#收入利润#'!L8/10000</f>
        <v>7.2</v>
      </c>
      <c r="J126" s="1711">
        <f t="shared" si="60"/>
        <v>-0.41624228739999936</v>
      </c>
      <c r="K126" s="1711">
        <f t="shared" si="61"/>
        <v>-5.8947198699999426E-2</v>
      </c>
      <c r="L126" s="1711">
        <f t="shared" si="62"/>
        <v>0.29166666666666607</v>
      </c>
      <c r="M126" s="2094">
        <f>I126+Q126</f>
        <v>58.547162606400001</v>
      </c>
      <c r="N126" s="2096">
        <f t="shared" si="63"/>
        <v>7.5924313692000069</v>
      </c>
      <c r="O126" s="1711">
        <f t="shared" si="64"/>
        <v>3.2804959397333278</v>
      </c>
      <c r="Q126" s="1727">
        <f>SUMIFS('收入（外部）'!9:9,'收入（外部）'!$1:$1,$B$1,'收入（外部）'!$2:$2,"&lt;="&amp;$B$2-1)/10000</f>
        <v>51.347162606399998</v>
      </c>
      <c r="R126" s="1683"/>
      <c r="U126" s="2100">
        <f t="shared" si="57"/>
        <v>-5.4651923047224167E-2</v>
      </c>
      <c r="V126" s="2100">
        <f t="shared" si="58"/>
        <v>-8.120626460894528E-3</v>
      </c>
    </row>
    <row r="127" spans="1:22" ht="14.25">
      <c r="B127" s="406"/>
      <c r="C127" s="801"/>
      <c r="D127" s="912"/>
      <c r="E127" s="912"/>
      <c r="F127" s="801" t="s">
        <v>1730</v>
      </c>
      <c r="G127" s="912"/>
      <c r="H127" s="1721" t="s">
        <v>46</v>
      </c>
      <c r="I127" s="1722">
        <v>91.72</v>
      </c>
      <c r="J127" s="1716"/>
      <c r="K127" s="1716"/>
      <c r="L127" s="1716"/>
      <c r="M127" s="1728"/>
      <c r="N127" s="1716"/>
      <c r="P127" s="1439"/>
    </row>
    <row r="128" spans="1:22" ht="14.25">
      <c r="B128" s="406"/>
      <c r="C128" s="801"/>
      <c r="D128" s="912"/>
      <c r="E128" s="912"/>
      <c r="F128" s="801"/>
      <c r="G128" s="912"/>
      <c r="H128" s="801" t="s">
        <v>22</v>
      </c>
      <c r="I128" s="1723">
        <f>1.16*0.18</f>
        <v>0.20879999999999999</v>
      </c>
      <c r="J128" s="1716"/>
      <c r="K128" s="1716"/>
      <c r="L128" s="1716"/>
      <c r="M128" s="1728"/>
      <c r="N128" s="1716"/>
      <c r="P128" s="1439"/>
    </row>
    <row r="129" spans="2:17" ht="14.25" thickBot="1">
      <c r="E129" s="1469"/>
      <c r="F129" s="1469"/>
      <c r="G129" s="1469"/>
      <c r="H129" s="1469" t="s">
        <v>1202</v>
      </c>
      <c r="I129" s="1724"/>
      <c r="J129" s="1469"/>
      <c r="K129" s="1469"/>
      <c r="L129" s="1469"/>
      <c r="M129" s="1469"/>
    </row>
    <row r="130" spans="2:17" ht="14.25" thickTop="1">
      <c r="B130" s="1475" t="s">
        <v>47</v>
      </c>
      <c r="C130" s="1476"/>
      <c r="D130" s="1476"/>
      <c r="H130" s="1439">
        <f>H108</f>
        <v>25.358358499999998</v>
      </c>
      <c r="I130" s="1439">
        <f>I108</f>
        <v>24.5</v>
      </c>
      <c r="J130" s="1716">
        <f>I130-H130</f>
        <v>-0.8583584999999978</v>
      </c>
      <c r="N130" s="1476"/>
    </row>
    <row r="131" spans="2:17">
      <c r="B131" s="1477" t="s">
        <v>48</v>
      </c>
      <c r="C131" s="1478"/>
      <c r="D131" s="1478"/>
      <c r="E131" s="1478"/>
      <c r="F131" s="1479" t="str">
        <f>H2&amp;"月售价"</f>
        <v>7月售价</v>
      </c>
      <c r="G131" s="1479"/>
      <c r="H131" s="1479" t="str">
        <f>H2&amp;"月销量"</f>
        <v>7月销量</v>
      </c>
      <c r="I131" s="1479" t="str">
        <f>B2&amp;"月销量"</f>
        <v>8月销量</v>
      </c>
      <c r="J131" s="1479"/>
      <c r="K131" s="1479" t="s">
        <v>49</v>
      </c>
      <c r="L131" s="1479" t="s">
        <v>50</v>
      </c>
      <c r="M131" s="1479" t="s">
        <v>1201</v>
      </c>
      <c r="N131" s="1479"/>
    </row>
    <row r="132" spans="2:17">
      <c r="C132" s="987" t="str">
        <f>"本月销量"&amp;ROUND(I132,2)&amp;"万吨，比上月"&amp;ROUND(H132,2)&amp;"万吨"&amp;IF(J132&gt;=0,"增加","减少")&amp;ABS(ROUND((J132),2))&amp;"万吨，"&amp;IF(K132&gt;=0,"增收","减收")&amp;ABS(ROUND(K132,2))&amp;"亿元,"</f>
        <v>本月销量104.9万吨，比上月104.3万吨增加0.6万吨，减收2.14亿元,</v>
      </c>
      <c r="H132" s="1474">
        <f>H76</f>
        <v>104.29980500000002</v>
      </c>
      <c r="I132" s="1474">
        <f>I76</f>
        <v>104.9</v>
      </c>
      <c r="J132" s="1716">
        <f>I132-H132</f>
        <v>0.60019499999998516</v>
      </c>
      <c r="K132" s="1716">
        <f>K133+K134</f>
        <v>-2.1405036611468864</v>
      </c>
      <c r="L132" s="1717">
        <v>1.9205000000000001</v>
      </c>
      <c r="M132" s="1716">
        <f>J122-K132</f>
        <v>4.0464352182288996</v>
      </c>
    </row>
    <row r="133" spans="2:17">
      <c r="B133" s="987" t="s">
        <v>51</v>
      </c>
      <c r="C133" s="987" t="str">
        <f>"其中不锈材销量"&amp;ROUND(I133,2)&amp;"万吨，比上月"&amp;ROUND(H133,2)&amp;"万吨"&amp;IF(J133&gt;=0,"增加","减少")&amp;ABS(ROUND(J133,2))&amp;"万吨，"&amp;IF(K133&gt;=0,"增收","减收")&amp;ABS(ROUND(K133,2))&amp;"亿元；"</f>
        <v>其中不锈材销量34.9万吨，比上月37.68万吨减少2.78万吨，减收3.97亿元；</v>
      </c>
      <c r="F133" s="988" cm="1">
        <f t="array" ref="F133">SUMPRODUCT(钢材数据!$C$4:$K$133,(钢材数据!$C$2:$K$2=$B$133)*(钢材数据!$B$4:$B$133=$H$2)*(钢材数据!$A$4:$A$133=$H$1)*(钢材数据!$C$3:$K$3="单价"))</f>
        <v>14297.453388612666</v>
      </c>
      <c r="H133" s="1474">
        <f>H81</f>
        <v>37.680016000000016</v>
      </c>
      <c r="I133" s="1474">
        <f>I81</f>
        <v>34.9</v>
      </c>
      <c r="J133" s="1716">
        <f>I133-H133</f>
        <v>-2.7800160000000176</v>
      </c>
      <c r="K133" s="1716">
        <f>J133*F133/10000</f>
        <v>-3.9747149179597683</v>
      </c>
    </row>
    <row r="134" spans="2:17" ht="14.25" thickBot="1">
      <c r="B134" s="1469" t="s">
        <v>52</v>
      </c>
      <c r="C134" s="1469" t="str">
        <f>"碳钢销量"&amp;ROUND(I134,2)&amp;"万吨，比上月"&amp;ROUND(H134,2)&amp;"万吨"&amp;IF(J134&gt;=0,"增加","减少")&amp;ABS(ROUND(J134,2))&amp;"万吨，"&amp;IF(K134&gt;=0,"增收","减收")&amp;ABS(ROUND(K134,2))&amp;"亿元。"</f>
        <v>碳钢销量70万吨，比上月66.62万吨增加3.38万吨，增收1.83亿元。</v>
      </c>
      <c r="D134" s="1469"/>
      <c r="E134" s="1469"/>
      <c r="F134" s="1480" cm="1">
        <f t="array" ref="F134">SUMPRODUCT(钢材数据!$C$4:$K$133,(钢材数据!$C$2:$K$2=$B$134)*(钢材数据!$B$4:$B$133=$H$2)*(钢材数据!$A$4:$A$133=$H$1)*(钢材数据!$C$3:$K$3="单价"))</f>
        <v>5426.321779358982</v>
      </c>
      <c r="G134" s="1469"/>
      <c r="H134" s="1718">
        <f>H132-H133</f>
        <v>66.619788999999997</v>
      </c>
      <c r="I134" s="1718">
        <f>I132-I133</f>
        <v>70</v>
      </c>
      <c r="J134" s="1719">
        <f>I134-H134</f>
        <v>3.3802110000000027</v>
      </c>
      <c r="K134" s="1719">
        <f>J134*F134/10000</f>
        <v>1.8342112568128817</v>
      </c>
      <c r="L134" s="1469"/>
      <c r="M134" s="1469"/>
      <c r="N134" s="1469"/>
    </row>
    <row r="135" spans="2:17" ht="15" thickTop="1" thickBot="1"/>
    <row r="136" spans="2:17" ht="14.25" thickTop="1">
      <c r="B136" s="1476" t="str">
        <f>B2&amp;"月太钢集团（管理口径）收入预计"&amp;ROUND(I119,2)&amp;"亿元，比上月实际"&amp;ROUND(H119,2)&amp;"亿元"&amp;IF(J119&gt;=0,"增加","减少")&amp;ABS(ROUND(J119,2))&amp;"亿元，"&amp;IF(P119&gt;=0,"增幅","降幅")&amp;ABS(ROUND(P119*100,2))&amp;"%，累计实现收入"&amp;ROUND(M119,2)&amp;"亿元，比同期"&amp;IF(N119&gt;=0,"增加","减少")&amp;ABS(ROUND(N119,2))&amp;"亿元，"&amp;IF(P120&gt;=0,"增幅","降幅")&amp;ABS(ROUND(P120*100,2))&amp;"%，具体如下："</f>
        <v>8月太钢集团（管理口径）收入预计129.13亿元，比上月实际125.84亿元增加3.29亿元，增幅2.62%，累计实现收入917.7亿元，比同期增加304.39亿元，增幅53.4%，具体如下：</v>
      </c>
      <c r="C136" s="1476"/>
      <c r="D136" s="1476"/>
      <c r="E136" s="1476"/>
      <c r="F136" s="1476"/>
      <c r="G136" s="1476"/>
      <c r="H136" s="1476"/>
      <c r="I136" s="1476"/>
      <c r="J136" s="1476"/>
      <c r="K136" s="1476"/>
      <c r="L136" s="1476"/>
      <c r="M136" s="1476"/>
      <c r="N136" s="1476"/>
    </row>
    <row r="137" spans="2:17">
      <c r="B137" s="1462" t="str">
        <f>"其中，太钢本部预计实现收入"&amp;ROUND(I120,2)&amp;"亿元，比上月实际"&amp;ROUND(H120,2)&amp;"亿元"&amp;IF(J120&gt;0,"增加","减少")&amp;ABS(ROUND(J120,2))&amp;"亿元，"&amp;IF(J120&gt;0,"增幅","降幅")&amp;ABS(ROUND(J120/H120*100,2))&amp;"%。"</f>
        <v>其中，太钢本部预计实现收入105.25亿元，比上月实际103.98亿元增加1.27亿元，增幅1.22%。</v>
      </c>
      <c r="C137" s="1462"/>
      <c r="D137" s="1462"/>
      <c r="E137" s="1462"/>
      <c r="F137" s="1462"/>
      <c r="G137" s="1462"/>
      <c r="H137" s="1462"/>
      <c r="I137" s="1462"/>
      <c r="J137" s="1462"/>
      <c r="K137" s="1462"/>
      <c r="L137" s="1462"/>
      <c r="M137" s="1462"/>
      <c r="N137" s="1462"/>
    </row>
    <row r="138" spans="2:17">
      <c r="B138" s="987" t="str">
        <f>"1、矿产业务收入"&amp;ROUND(I121,2)&amp;"亿元，比上月"&amp;IF(J121&gt;=0,"增加","减少")&amp;ABS(ROUND(J121,2))&amp;"亿元（矿产品外销量"&amp;ROUND(I130,2)&amp;"万吨，比上月"&amp;IF(J130&gt;=0,"增加","减少")&amp;ABS(ROUND(J130,2))&amp;"万吨）。"</f>
        <v>1、矿产业务收入3.89亿元，比上月减少0.29亿元（矿产品外销量24.5万吨，比上月减少0.86万吨）。</v>
      </c>
    </row>
    <row r="139" spans="2:17">
      <c r="B139" s="987" t="str">
        <f>"2、钢材收入"&amp;ROUND(I122,2)&amp;"亿元,比上月"&amp;ROUND(H122,2)&amp;"亿元"&amp;IF(J122&gt;=0,"增加","减少")&amp;ROUND(ABS(J122),2)&amp;"亿元。"</f>
        <v>2、钢材收入91.93亿元,比上月90.02亿元增加1.91亿元。</v>
      </c>
    </row>
    <row r="140" spans="2:17">
      <c r="B140" s="987" t="str">
        <f>C132&amp;C133&amp;C134</f>
        <v>本月销量104.9万吨，比上月104.3万吨增加0.6万吨，减收2.14亿元,其中不锈材销量34.9万吨，比上月37.68万吨减少2.78万吨，减收3.97亿元；碳钢销量70万吨，比上月66.62万吨增加3.38万吨，增收1.83亿元。</v>
      </c>
    </row>
    <row r="141" spans="2:17">
      <c r="B141" s="987" t="str">
        <f>"售价及销售结构变化"&amp;IF(M132&gt;=0,"增收","减收")&amp;ABS(ROUND(M132,2))&amp;"亿元，其中售价"&amp;IF(L132&gt;=0,"升高增收","降低减收")&amp;ABS(ROUND(L132,2))&amp;"亿元。"</f>
        <v>售价及销售结构变化增收4.05亿元，其中售价升高增收1.92亿元。</v>
      </c>
    </row>
    <row r="142" spans="2:17" ht="14.25" thickBot="1">
      <c r="B142" s="1469" t="str">
        <f>"3、贸易收入"&amp;ABS(ROUND(I123,2))&amp;"亿元，比上月"&amp;IF(J123&gt;=0,"增加","减少")&amp;ABS(ROUND(J123,2))&amp;"亿元。"</f>
        <v>3、贸易收入5.47亿元，比上月减少0.45亿元。</v>
      </c>
      <c r="C142" s="1469"/>
      <c r="D142" s="1469"/>
      <c r="E142" s="1469"/>
      <c r="F142" s="1469"/>
      <c r="G142" s="1469"/>
      <c r="H142" s="1469"/>
      <c r="I142" s="1469"/>
      <c r="J142" s="1469"/>
      <c r="K142" s="1469"/>
      <c r="L142" s="1469"/>
      <c r="M142" s="1469"/>
      <c r="N142" s="1469"/>
    </row>
    <row r="143" spans="2:17" ht="14.25" thickTop="1">
      <c r="Q143" s="1687" t="str">
        <f>Q118</f>
        <v>1-7月累计</v>
      </c>
    </row>
    <row r="144" spans="2:17" ht="14.25">
      <c r="B144" s="809" t="s">
        <v>53</v>
      </c>
      <c r="C144" s="810" t="s">
        <v>54</v>
      </c>
      <c r="D144" s="810"/>
      <c r="E144" s="811">
        <f>SUMIFS('收入（外部）'!58:58,'收入（外部）'!1:1,$B$1-1,'收入（外部）'!2:2,$B$2)/10000</f>
        <v>0</v>
      </c>
      <c r="F144" s="811">
        <f>SUMIFS('收入（外部）'!58:58,'收入（外部）'!1:1,$B$1-1,'收入（外部）'!2:2,"&lt;="&amp;$B$2)/10000</f>
        <v>0</v>
      </c>
      <c r="G144" s="811"/>
      <c r="H144" s="811">
        <f>SUMIFS('收入（外部）'!58:58,'收入（外部）'!1:1,$H$1,'收入（外部）'!2:2,H2)/10000</f>
        <v>0</v>
      </c>
      <c r="I144" s="1720"/>
      <c r="J144" s="824"/>
      <c r="K144" s="824">
        <f>I144-E144</f>
        <v>0</v>
      </c>
      <c r="L144" s="824"/>
      <c r="M144" s="811">
        <f>I144+Q144</f>
        <v>0</v>
      </c>
      <c r="N144" s="824">
        <f>M144-F144</f>
        <v>0</v>
      </c>
      <c r="O144" s="824"/>
      <c r="Q144" s="1727">
        <f>SUMIFS('收入（外部）'!58:58,'收入（外部）'!1:1,$B$1,'收入（外部）'!2:2,"&lt;"&amp;$B$2)/10000</f>
        <v>0</v>
      </c>
    </row>
    <row r="145" spans="1:18" ht="14.25">
      <c r="B145" s="809"/>
      <c r="C145" s="810" t="s">
        <v>55</v>
      </c>
      <c r="D145" s="810"/>
      <c r="E145" s="811">
        <f>E120+E125+E126</f>
        <v>77.538887964799983</v>
      </c>
      <c r="F145" s="811">
        <f>F120+F125+F126</f>
        <v>613.31281118260006</v>
      </c>
      <c r="G145" s="811"/>
      <c r="H145" s="811">
        <f>H119</f>
        <v>125.84296072449997</v>
      </c>
      <c r="I145" s="811">
        <f>I119-I144</f>
        <v>129.13437474148199</v>
      </c>
      <c r="J145" s="824">
        <f>I145-H145</f>
        <v>3.2914140169820172</v>
      </c>
      <c r="K145" s="824">
        <f>I145-E145</f>
        <v>51.595486776682009</v>
      </c>
      <c r="L145" s="827">
        <f>K145/E145</f>
        <v>0.66541432474637252</v>
      </c>
      <c r="M145" s="811">
        <f>I145+Q145</f>
        <v>917.69375166809095</v>
      </c>
      <c r="N145" s="824">
        <f>M145-F145</f>
        <v>304.3809404854909</v>
      </c>
      <c r="O145" s="824"/>
      <c r="P145" s="1726">
        <f>N145/F145</f>
        <v>0.49628987840410255</v>
      </c>
      <c r="Q145" s="1727">
        <f>SUMIFS('收入（外部）'!59:59,'收入（外部）'!1:1,$B$1,'收入（外部）'!2:2,"&lt;"&amp;$B$2)/10000+Q125+Q126+0.24</f>
        <v>788.55937692660893</v>
      </c>
    </row>
    <row r="146" spans="1:18" ht="14.25">
      <c r="B146" s="809"/>
      <c r="C146" s="810" t="s">
        <v>1244</v>
      </c>
      <c r="D146" s="810"/>
      <c r="E146" s="811">
        <f>E145-E125-E126</f>
        <v>60.620920941699978</v>
      </c>
      <c r="F146" s="811">
        <f>F145-F125-F126</f>
        <v>496.33711115840003</v>
      </c>
      <c r="G146" s="811"/>
      <c r="H146" s="811">
        <f>H145-H125-H126</f>
        <v>103.98307645639997</v>
      </c>
      <c r="I146" s="811">
        <f>I145-I125-I126</f>
        <v>105.25427474148199</v>
      </c>
      <c r="J146" s="824">
        <f>I146-H146</f>
        <v>1.271198285082022</v>
      </c>
      <c r="K146" s="824">
        <f>I146-E146</f>
        <v>44.633353799782014</v>
      </c>
      <c r="L146" s="827">
        <f>K146/E146</f>
        <v>0.73626980762477301</v>
      </c>
      <c r="M146" s="811">
        <f>I146+Q146</f>
        <v>761.37145992479077</v>
      </c>
      <c r="N146" s="824">
        <f>M146-F146</f>
        <v>265.03434876639074</v>
      </c>
      <c r="O146" s="824"/>
      <c r="P146" s="1726">
        <f>N146/F146</f>
        <v>0.53398052011026875</v>
      </c>
      <c r="Q146" s="945">
        <f>SUMIFS('收入（外部）'!59:59,'收入（外部）'!1:1,$B$1,'收入（外部）'!2:2,"&lt;"&amp;$B$2)/10000+0.24</f>
        <v>656.11718518330883</v>
      </c>
    </row>
    <row r="147" spans="1:18" ht="14.25">
      <c r="B147" s="803" t="str">
        <f>"本月太钢集团（管理口径）营业收入预计"&amp;ABS(ROUND(I119,2))&amp;"亿元，其中太钢本部"&amp;ABS(ROUND(I120,2))&amp;"亿元，建议："</f>
        <v>本月太钢集团（管理口径）营业收入预计129.13亿元，其中太钢本部105.25亿元，建议：</v>
      </c>
      <c r="C147" s="810"/>
      <c r="D147" s="811"/>
      <c r="E147" s="811"/>
      <c r="F147" s="811"/>
      <c r="G147" s="811"/>
      <c r="H147" s="811"/>
      <c r="I147" s="811"/>
      <c r="J147" s="824"/>
      <c r="K147" s="824"/>
      <c r="L147" s="824"/>
      <c r="M147" s="811"/>
      <c r="N147" s="824"/>
      <c r="O147" s="824"/>
    </row>
    <row r="148" spans="1:18" ht="14.25">
      <c r="B148" s="803" t="str">
        <f>"当月太钢本部报表按照"&amp;ABS(ROUND(I146,2))&amp;"亿元报出，"&amp;"比上月"&amp;ABS(ROUND(H146,2))&amp;"亿元"&amp;IF(J146&gt;=0,"增加","减少")&amp;ABS(ROUND(J146,2))&amp;"亿元，"&amp;"比去年同期"&amp;ABS(ROUND(E146,2))&amp;"亿元"&amp;IF(K146&gt;=0,"增加","减少")&amp;ABS(ROUND(K146,2))&amp;"亿元，"&amp;IF(L146&gt;=0,"增幅","降幅")&amp;ABS(ROUND(L146*100,2))&amp;"%。"&amp;"累计报出"&amp;ABS(ROUND(M146,2))&amp;"亿元，比同期"&amp;ABS(ROUND(F146,2))&amp;"亿元"&amp;IF(N146&gt;=0,"增加","减少")&amp;ABS(ROUND(N146,2))&amp;"亿元，"&amp;IF(P146&gt;=0,"增幅","降幅")&amp;ABS(ROUND(P146*100,2))&amp;"%。"</f>
        <v>当月太钢本部报表按照105.25亿元报出，比上月103.98亿元增加1.27亿元，比去年同期60.62亿元增加44.63亿元，增幅73.63%。累计报出761.37亿元，比同期496.34亿元增加265.03亿元，增幅53.4%。</v>
      </c>
      <c r="C148" s="810"/>
      <c r="D148" s="811"/>
      <c r="E148" s="811"/>
      <c r="F148" s="811"/>
      <c r="G148" s="811"/>
      <c r="H148" s="811"/>
      <c r="I148" s="811"/>
      <c r="J148" s="824"/>
      <c r="K148" s="824"/>
      <c r="L148" s="824"/>
      <c r="M148" s="811"/>
      <c r="N148" s="824"/>
      <c r="O148" s="824"/>
    </row>
    <row r="149" spans="1:18" ht="14.25">
      <c r="B149" s="803" t="str">
        <f>"当月太钢集团合并(管理口径)报表按照"&amp;ABS(ROUND(I145,2))&amp;"亿元报出，"&amp;"比上月"&amp;ABS(ROUND(H145,2))&amp;"亿元"&amp;IF(J145&gt;=0,"增加","减少")&amp;ABS(ROUND(J145,2))&amp;"亿元，"&amp;"比去年同期"&amp;ABS(ROUND(E145,2))&amp;"亿元"&amp;IF(K145&gt;=0,"增加","减少")&amp;ABS(ROUND(K145,2))&amp;"亿元，"&amp;IF(L145&gt;=0,"增幅","降幅")&amp;ABS(ROUND(L145*100,2))&amp;"%。"&amp;"累计报出"&amp;ABS(ROUND(M145,2))&amp;"亿元，比同期"&amp;ABS(ROUND(F145,2))&amp;"亿元"&amp;IF(N145&gt;=0,"增加","减少")&amp;ABS(ROUND(N145,2))&amp;"亿元，"&amp;IF(P145&gt;=0,"增幅","降幅")&amp;ABS(ROUND(P145*100,2))&amp;"%。"</f>
        <v>当月太钢集团合并(管理口径)报表按照129.13亿元报出，比上月125.84亿元增加3.29亿元，比去年同期77.54亿元增加51.6亿元，增幅66.54%。累计报出917.69亿元，比同期613.31亿元增加304.38亿元，增幅49.63%。</v>
      </c>
      <c r="C149" s="810"/>
      <c r="D149" s="811"/>
      <c r="E149" s="811"/>
      <c r="F149" s="811"/>
      <c r="G149" s="811"/>
      <c r="H149" s="811"/>
      <c r="I149" s="811"/>
      <c r="J149" s="824"/>
      <c r="K149" s="824"/>
      <c r="L149" s="824"/>
      <c r="M149" s="811"/>
      <c r="N149" s="824"/>
      <c r="O149" s="824"/>
    </row>
    <row r="150" spans="1:18" ht="14.25">
      <c r="B150" s="803" t="str">
        <f>"累计留存"&amp;ABS(ROUND(M144,2))&amp;"亿元。"</f>
        <v>累计留存0亿元。</v>
      </c>
      <c r="C150" s="810"/>
      <c r="D150" s="811"/>
      <c r="E150" s="811"/>
      <c r="F150" s="811"/>
      <c r="G150" s="811"/>
      <c r="H150" s="811"/>
      <c r="I150" s="811"/>
      <c r="J150" s="824"/>
      <c r="K150" s="824"/>
      <c r="L150" s="824"/>
      <c r="M150" s="811"/>
      <c r="N150" s="824"/>
      <c r="O150" s="824"/>
    </row>
    <row r="151" spans="1:18" ht="14.25"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3" spans="1:18" ht="14.25">
      <c r="A153" s="151" t="s">
        <v>56</v>
      </c>
      <c r="B153" s="411" t="str">
        <f>B2&amp;"月太钢本部合并产值预计完成"&amp;ABS(ROUND(I158,2))&amp;"亿元，同比"&amp;IF(K158&gt;=0,"增加","减少")&amp;ABS(ROUND(K158*100,2))&amp;"%，环比"&amp;IF(M158&gt;=0,"增加","减少")&amp;ABS(ROUND(M158*100,2))&amp;"%，其中太原地区产值预计完成"&amp;ABS(ROUND(I159,2))&amp;"亿元，同比"&amp;IF(K159&gt;=0,"增加","减少")&amp;ABS(ROUND(K159*100,2))&amp;"%，环比"&amp;IF(M159&gt;=0,"增加","减少")&amp;ABS(ROUND(M159*100,2))&amp;"%。"</f>
        <v>8月太钢本部合并产值预计完成119.43亿元，同比增加79.32%，环比减少0.83%，其中太原地区产值预计完成98.34亿元，同比增加78.03%，环比减少1.81%。</v>
      </c>
    </row>
    <row r="154" spans="1:18" ht="14.25">
      <c r="B154" s="411" t="str">
        <f>"累计太钢本部合并产值预计完成"&amp;ABS(ROUND(N158,2))&amp;"亿元，同比"&amp;IF(P158&gt;=0,"增加","减少")&amp;ABS(ROUND(P158*100,2))&amp;"%，其中太原地区产值预计完成"&amp;ABS(ROUND(N159,2))&amp;"亿元，同比"&amp;IF(P159&gt;=0,"增加","减少")&amp;ABS(ROUND(P159*100,2))&amp;"%。"</f>
        <v>累计太钢本部合并产值预计完成869.89亿元，同比增加57.08%，其中太原地区产值预计完成716.72亿元，同比增加53.53%。</v>
      </c>
    </row>
    <row r="155" spans="1:18" ht="14.45" customHeight="1">
      <c r="B155" s="2595" t="s">
        <v>3</v>
      </c>
      <c r="C155" s="2595" t="s">
        <v>57</v>
      </c>
      <c r="D155" s="2596" t="str">
        <f>D117</f>
        <v>2020年</v>
      </c>
      <c r="E155" s="2596"/>
      <c r="F155" s="2596"/>
      <c r="G155" s="2596" t="str">
        <f>G117</f>
        <v>2021年</v>
      </c>
      <c r="H155" s="2596"/>
      <c r="I155" s="2596"/>
      <c r="J155" s="2596"/>
      <c r="K155" s="2596"/>
      <c r="L155" s="2596"/>
      <c r="M155" s="2596"/>
      <c r="N155" s="2596"/>
      <c r="O155" s="2596"/>
      <c r="P155" s="2596"/>
    </row>
    <row r="156" spans="1:18" ht="14.25">
      <c r="B156" s="2595"/>
      <c r="C156" s="2595"/>
      <c r="D156" s="2599" t="s">
        <v>4</v>
      </c>
      <c r="E156" s="2597" t="str">
        <f>E118</f>
        <v>8月</v>
      </c>
      <c r="F156" s="2597" t="s">
        <v>5</v>
      </c>
      <c r="G156" s="2596" t="s">
        <v>58</v>
      </c>
      <c r="H156" s="2595" t="str">
        <f>H118</f>
        <v>7月</v>
      </c>
      <c r="I156" s="2595" t="str">
        <f>I118</f>
        <v>8月</v>
      </c>
      <c r="J156" s="2595" t="s">
        <v>8</v>
      </c>
      <c r="K156" s="2595"/>
      <c r="L156" s="2595" t="s">
        <v>7</v>
      </c>
      <c r="M156" s="2595"/>
      <c r="N156" s="2595" t="s">
        <v>5</v>
      </c>
      <c r="O156" s="2595" t="s">
        <v>40</v>
      </c>
      <c r="P156" s="2595"/>
    </row>
    <row r="157" spans="1:18" ht="14.25">
      <c r="B157" s="2595"/>
      <c r="C157" s="2595"/>
      <c r="D157" s="2599"/>
      <c r="E157" s="2597"/>
      <c r="F157" s="2597"/>
      <c r="G157" s="2596"/>
      <c r="H157" s="2595"/>
      <c r="I157" s="2595"/>
      <c r="J157" s="1729" t="s">
        <v>59</v>
      </c>
      <c r="K157" s="1729" t="s">
        <v>60</v>
      </c>
      <c r="L157" s="1729" t="s">
        <v>59</v>
      </c>
      <c r="M157" s="1729" t="s">
        <v>60</v>
      </c>
      <c r="N157" s="2595"/>
      <c r="O157" s="1729" t="s">
        <v>59</v>
      </c>
      <c r="P157" s="1729" t="s">
        <v>60</v>
      </c>
      <c r="R157" s="1687" t="str">
        <f>Q118</f>
        <v>1-7月累计</v>
      </c>
    </row>
    <row r="158" spans="1:18" ht="14.25">
      <c r="B158" s="1730" t="s">
        <v>61</v>
      </c>
      <c r="C158" s="1730" t="s">
        <v>62</v>
      </c>
      <c r="D158" s="1732">
        <f>SUMIFS('#产值'!3:3,'#产值'!$1:$1,$B$1-1,'#产值'!$2:$2,"&lt;=12")</f>
        <v>864.85689999999977</v>
      </c>
      <c r="E158" s="1732">
        <f>SUMIFS('#产值'!3:3,'#产值'!$1:$1,$B$1-1,'#产值'!$2:$2,$B$2)</f>
        <v>66.599999999999994</v>
      </c>
      <c r="F158" s="1732">
        <f>SUMIFS('#产值'!3:3,'#产值'!$1:$1,$B$1-1,'#产值'!$2:$2,"&lt;="&amp;$B$2)</f>
        <v>553.80689999999993</v>
      </c>
      <c r="G158" s="1731">
        <v>929</v>
      </c>
      <c r="H158" s="1732">
        <f>SUMIFS('#产值'!3:3,'#产值'!$1:$1,$H$1,'#产值'!$2:$2,$H$2)</f>
        <v>120.43259999999999</v>
      </c>
      <c r="I158" s="1733">
        <v>119.43</v>
      </c>
      <c r="J158" s="1734">
        <f>I158-E158</f>
        <v>52.830000000000013</v>
      </c>
      <c r="K158" s="1735">
        <f>J158/E158</f>
        <v>0.79324324324324347</v>
      </c>
      <c r="L158" s="1734">
        <f>I158-H158</f>
        <v>-1.0025999999999868</v>
      </c>
      <c r="M158" s="1735">
        <f>L158/H158</f>
        <v>-8.3249884167574794E-3</v>
      </c>
      <c r="N158" s="1732">
        <f>I158+R158</f>
        <v>869.89249999999993</v>
      </c>
      <c r="O158" s="1734">
        <f>N158-F158</f>
        <v>316.0856</v>
      </c>
      <c r="P158" s="1735">
        <f>O158/F158</f>
        <v>0.5707505630572679</v>
      </c>
      <c r="R158" s="1727">
        <f>SUMIFS('#产值'!3:3,'#产值'!$1:$1,$B$1,'#产值'!$2:$2,"&lt;="&amp;$B$2-1)</f>
        <v>750.46249999999998</v>
      </c>
    </row>
    <row r="159" spans="1:18" ht="14.25">
      <c r="B159" s="1730" t="s">
        <v>63</v>
      </c>
      <c r="C159" s="1730" t="s">
        <v>62</v>
      </c>
      <c r="D159" s="1732">
        <f>SUMIFS('#产值'!4:4,'#产值'!$1:$1,$B$1-1,'#产值'!$2:$2,"&lt;=12")</f>
        <v>729.44259999999997</v>
      </c>
      <c r="E159" s="1732">
        <f>SUMIFS('#产值'!4:4,'#产值'!$1:$1,$B$1-1,'#产值'!$2:$2,$B$2)</f>
        <v>55.236699999999999</v>
      </c>
      <c r="F159" s="1732">
        <f>SUMIFS('#产值'!4:4,'#产值'!$1:$1,$B$1-1,'#产值'!$2:$2,"&lt;="&amp;$B$2)</f>
        <v>466.83260000000001</v>
      </c>
      <c r="G159" s="1731">
        <v>800</v>
      </c>
      <c r="H159" s="1732">
        <f>SUMIFS('#产值'!4:4,'#产值'!$1:$1,$H$1,'#产值'!$2:$2,$H$2)</f>
        <v>100.1558</v>
      </c>
      <c r="I159" s="1733">
        <v>98.34</v>
      </c>
      <c r="J159" s="1734">
        <f>I159-E159</f>
        <v>43.103300000000004</v>
      </c>
      <c r="K159" s="1735">
        <f>J159/E159</f>
        <v>0.78033807233234431</v>
      </c>
      <c r="L159" s="1734">
        <f>I159-H159</f>
        <v>-1.8157999999999959</v>
      </c>
      <c r="M159" s="1735">
        <f>L159/H159</f>
        <v>-1.8129753843511766E-2</v>
      </c>
      <c r="N159" s="1732">
        <f>I159+R159</f>
        <v>716.72109999999998</v>
      </c>
      <c r="O159" s="1734">
        <f>N159-F159</f>
        <v>249.88849999999996</v>
      </c>
      <c r="P159" s="1735">
        <f>O159/F159</f>
        <v>0.53528502508179587</v>
      </c>
      <c r="R159" s="1727">
        <f>SUMIFS('#产值'!4:4,'#产值'!$1:$1,$B$1,'#产值'!$2:$2,"&lt;="&amp;$B$2-1)</f>
        <v>618.38109999999995</v>
      </c>
    </row>
    <row r="160" spans="1:18" ht="14.25" thickBot="1">
      <c r="B160" s="1469"/>
      <c r="C160" s="1469"/>
      <c r="D160" s="1469"/>
      <c r="E160" s="1469"/>
      <c r="F160" s="1469"/>
      <c r="G160" s="1469"/>
      <c r="H160" s="1469"/>
      <c r="I160" s="1469"/>
      <c r="J160" s="1469"/>
      <c r="K160" s="1469"/>
      <c r="L160" s="1469"/>
      <c r="M160" s="1469"/>
      <c r="N160" s="1469"/>
      <c r="O160" s="1469"/>
      <c r="P160" s="1469"/>
    </row>
    <row r="161" spans="1:26" ht="15" thickTop="1">
      <c r="B161" s="151" t="s">
        <v>53</v>
      </c>
      <c r="C161" s="1448" t="s">
        <v>54</v>
      </c>
      <c r="D161" s="1448"/>
      <c r="E161" s="1439"/>
      <c r="F161" s="1439"/>
      <c r="G161" s="1448"/>
      <c r="H161" s="1439">
        <f>H158-H162</f>
        <v>0</v>
      </c>
      <c r="I161" s="1736"/>
      <c r="J161" s="1737"/>
      <c r="K161" s="1738"/>
      <c r="L161" s="1448"/>
      <c r="M161" s="1448"/>
      <c r="N161" s="1505">
        <f>N158-N162</f>
        <v>1.7000000000000455</v>
      </c>
      <c r="O161" s="1506"/>
      <c r="P161" s="1507"/>
      <c r="Q161" s="418"/>
      <c r="R161" s="1687" t="str">
        <f>"1-"&amp;B2-1&amp;"月累计报出"</f>
        <v>1-7月累计报出</v>
      </c>
    </row>
    <row r="162" spans="1:26" s="1462" customFormat="1" ht="14.25">
      <c r="A162" s="987"/>
      <c r="B162" s="1739"/>
      <c r="C162" s="1448" t="s">
        <v>61</v>
      </c>
      <c r="D162" s="1448"/>
      <c r="E162" s="1439">
        <f>SUMIFS('#产值'!6:6,'#产值'!$1:$1,$B$1-1,'#产值'!$2:$2,$B$2)</f>
        <v>66.599999999999994</v>
      </c>
      <c r="F162" s="1439">
        <f>SUMIFS('#产值'!6:6,'#产值'!$1:$1,$B$1-1,'#产值'!$2:$2,"&lt;="&amp;$B$2)</f>
        <v>562.80689999999993</v>
      </c>
      <c r="G162" s="1448"/>
      <c r="H162" s="1439">
        <f>SUMIFS('#产值'!6:6,'#产值'!$1:$1,$H$1,'#产值'!$2:$2,$H$2)</f>
        <v>120.43259999999999</v>
      </c>
      <c r="I162" s="1740">
        <f>I158-I161</f>
        <v>119.43</v>
      </c>
      <c r="J162" s="1737">
        <f>I162-E162</f>
        <v>52.830000000000013</v>
      </c>
      <c r="K162" s="1738">
        <f>J162/E162</f>
        <v>0.79324324324324347</v>
      </c>
      <c r="L162" s="1448"/>
      <c r="M162" s="1448"/>
      <c r="N162" s="1505">
        <f>I162+R162</f>
        <v>868.19249999999988</v>
      </c>
      <c r="O162" s="1506">
        <f>N162-F162</f>
        <v>305.38559999999995</v>
      </c>
      <c r="P162" s="1507">
        <f>O162/F162</f>
        <v>0.54261168439832563</v>
      </c>
      <c r="Q162" s="418"/>
      <c r="R162" s="1741">
        <f>SUMIFS('#产值'!6:6,'#产值'!$1:$1,$B$1,'#产值'!$2:$2,"&lt;="&amp;$B$2-1)</f>
        <v>748.76249999999993</v>
      </c>
      <c r="S162" s="987"/>
      <c r="T162" s="987"/>
      <c r="U162" s="987"/>
      <c r="V162" s="987"/>
      <c r="W162" s="987"/>
      <c r="X162" s="987"/>
      <c r="Y162" s="987"/>
      <c r="Z162" s="987"/>
    </row>
    <row r="163" spans="1:26" ht="14.25">
      <c r="C163" s="1448" t="s">
        <v>64</v>
      </c>
      <c r="D163" s="1448"/>
      <c r="E163" s="1439">
        <f>SUMIFS('#产值'!7:7,'#产值'!$1:$1,$B$1-1,'#产值'!$2:$2,$B$2)</f>
        <v>55.236699999999999</v>
      </c>
      <c r="F163" s="1439">
        <f>SUMIFS('#产值'!7:7,'#产值'!$1:$1,$B$1-1,'#产值'!$2:$2,"&lt;="&amp;$B$2)</f>
        <v>475.83260000000001</v>
      </c>
      <c r="G163" s="1448"/>
      <c r="H163" s="1439">
        <f>SUMIFS('#产值'!7:7,'#产值'!$1:$1,$H$1,'#产值'!$2:$2,$H$2)</f>
        <v>100.1558</v>
      </c>
      <c r="I163" s="1439">
        <f>I159-I161</f>
        <v>98.34</v>
      </c>
      <c r="J163" s="1737">
        <f>I163-E163</f>
        <v>43.103300000000004</v>
      </c>
      <c r="K163" s="1738">
        <f>J163/E163</f>
        <v>0.78033807233234431</v>
      </c>
      <c r="L163" s="1448">
        <f>I163-H163</f>
        <v>-1.8157999999999959</v>
      </c>
      <c r="M163" s="1448">
        <f>L163/H163</f>
        <v>-1.8129753843511766E-2</v>
      </c>
      <c r="N163" s="1505">
        <f>I163+R163</f>
        <v>715.02110000000005</v>
      </c>
      <c r="O163" s="1506">
        <f>N163-F163</f>
        <v>239.18850000000003</v>
      </c>
      <c r="P163" s="1507">
        <f>O163/F163</f>
        <v>0.50267362933939375</v>
      </c>
      <c r="Q163" s="418"/>
      <c r="R163" s="1741">
        <f>SUMIFS('#产值'!7:7,'#产值'!$1:$1,$B$1,'#产值'!$2:$2,"&lt;="&amp;$B$2-1)</f>
        <v>616.68110000000001</v>
      </c>
    </row>
    <row r="164" spans="1:26" s="1463" customFormat="1" ht="12">
      <c r="A164" s="1742"/>
      <c r="B164" s="1743" t="str">
        <f>B2&amp;"月份合并产值完成"&amp;ABS(ROUND(I158,2))&amp;"亿元，太原地区产值完成"&amp;ABS(ROUND(I159,2))&amp;"亿元，建议太原地区："</f>
        <v>8月份合并产值完成119.43亿元，太原地区产值完成98.34亿元，建议太原地区：</v>
      </c>
      <c r="C164" s="1744"/>
      <c r="D164" s="1744"/>
      <c r="E164" s="1744"/>
      <c r="F164" s="1744"/>
      <c r="G164" s="1744"/>
      <c r="H164" s="1744"/>
      <c r="I164" s="1744"/>
      <c r="J164" s="1744"/>
      <c r="K164" s="1744"/>
      <c r="L164" s="1744"/>
      <c r="M164" s="1744"/>
      <c r="N164" s="1744"/>
      <c r="O164" s="1744"/>
      <c r="P164" s="1745"/>
      <c r="Q164" s="1742"/>
      <c r="R164" s="1742"/>
      <c r="S164" s="1742"/>
      <c r="T164" s="1742"/>
      <c r="U164" s="1742"/>
      <c r="V164" s="1742"/>
      <c r="W164" s="1742"/>
      <c r="X164" s="1742"/>
      <c r="Y164" s="1742"/>
      <c r="Z164" s="1742"/>
    </row>
    <row r="165" spans="1:26" s="1463" customFormat="1" ht="12">
      <c r="A165" s="1742"/>
      <c r="B165" s="1743" t="str">
        <f>"按照当月"&amp;ABS(ROUND(I163,2))&amp;"亿元报出，"&amp;"比上月"&amp;ABS(ROUND(H163,2))&amp;"亿元"&amp;IF(L163&gt;=0,"增加","减少")&amp;ABS(ROUND(L163,2))&amp;"亿元,"&amp;"比同期"&amp;ABS(ROUND(E163,2))&amp;"亿元"&amp;IF(J163&gt;=0,"增加","减少")&amp;ABS(ROUND(J163,2))&amp;"亿元,"&amp;IF(K163&gt;=0,"增幅","降幅")&amp;ABS(ROUND(K163*100,2))&amp;"%。"</f>
        <v>按照当月98.34亿元报出，比上月100.16亿元减少1.82亿元,比同期55.24亿元增加43.1亿元,增幅78.03%。</v>
      </c>
      <c r="C165" s="1744"/>
      <c r="D165" s="1744"/>
      <c r="E165" s="1744"/>
      <c r="F165" s="1744"/>
      <c r="G165" s="1744"/>
      <c r="H165" s="1744"/>
      <c r="I165" s="1744"/>
      <c r="J165" s="1744"/>
      <c r="K165" s="1744"/>
      <c r="L165" s="1744"/>
      <c r="M165" s="1744"/>
      <c r="N165" s="1744"/>
      <c r="O165" s="1744"/>
      <c r="P165" s="1745"/>
      <c r="Q165" s="1742"/>
      <c r="R165" s="1742"/>
      <c r="S165" s="1742"/>
      <c r="T165" s="1742"/>
      <c r="U165" s="1742"/>
      <c r="V165" s="1742"/>
      <c r="W165" s="1742"/>
      <c r="X165" s="1742"/>
      <c r="Y165" s="1742"/>
      <c r="Z165" s="1742"/>
    </row>
    <row r="166" spans="1:26" s="1463" customFormat="1" ht="12">
      <c r="A166" s="1742"/>
      <c r="B166" s="1743" t="str">
        <f>"累计报出"&amp;ABS(ROUND(N163,2))&amp;"亿元，比同期"&amp;ABS(ROUND(F163,2))&amp;"亿元"&amp;IF(O163&gt;=0,"增加","减少")&amp;ABS(ROUND(O163,2))&amp;"亿元，"&amp;IF(P163&gt;=0,"增幅","降幅")&amp;ABS(ROUND(P163*100,2))&amp;"%。"</f>
        <v>累计报出715.02亿元，比同期475.83亿元增加239.19亿元，增幅50.27%。</v>
      </c>
      <c r="C166" s="1744"/>
      <c r="D166" s="1744"/>
      <c r="E166" s="1744"/>
      <c r="F166" s="1744"/>
      <c r="G166" s="1744"/>
      <c r="H166" s="1744"/>
      <c r="I166" s="1744"/>
      <c r="J166" s="1744"/>
      <c r="K166" s="1744"/>
      <c r="L166" s="1744"/>
      <c r="M166" s="1744"/>
      <c r="N166" s="1744"/>
      <c r="O166" s="1744"/>
      <c r="P166" s="1745"/>
      <c r="Q166" s="1742"/>
      <c r="R166" s="1742"/>
      <c r="S166" s="1742"/>
      <c r="T166" s="1742"/>
      <c r="U166" s="1742"/>
      <c r="V166" s="1742"/>
      <c r="W166" s="1742"/>
      <c r="X166" s="1742"/>
      <c r="Y166" s="1742"/>
      <c r="Z166" s="1742"/>
    </row>
    <row r="167" spans="1:26" s="1463" customFormat="1" ht="12">
      <c r="A167" s="1742"/>
      <c r="B167" s="1743" t="str">
        <f>"累计留存"&amp;ROUND(N161,2)&amp;"亿元。"</f>
        <v>累计留存1.7亿元。</v>
      </c>
      <c r="C167" s="1744"/>
      <c r="D167" s="1744"/>
      <c r="E167" s="1744"/>
      <c r="F167" s="1744"/>
      <c r="G167" s="1744"/>
      <c r="H167" s="1744"/>
      <c r="I167" s="1744"/>
      <c r="J167" s="1744"/>
      <c r="K167" s="1744"/>
      <c r="L167" s="1744"/>
      <c r="M167" s="1744"/>
      <c r="N167" s="1744"/>
      <c r="O167" s="1744"/>
      <c r="P167" s="1745"/>
      <c r="Q167" s="1742"/>
      <c r="R167" s="1742"/>
      <c r="S167" s="1742"/>
      <c r="T167" s="1742"/>
      <c r="U167" s="1742"/>
      <c r="V167" s="1742"/>
      <c r="W167" s="1742"/>
      <c r="X167" s="1742"/>
      <c r="Y167" s="1742"/>
      <c r="Z167" s="1742"/>
    </row>
    <row r="168" spans="1:26" s="1463" customFormat="1" ht="12">
      <c r="A168" s="1742"/>
      <c r="B168" s="1744" t="str">
        <f>"合并按照当月"&amp;ABS(ROUND(I162,2))&amp;"亿元报出，比同期"&amp;ABS(ROUND(E162,2))&amp;"亿元"&amp;IF(J162&gt;=0,"增加","减少")&amp;ABS(ROUND(J162,2))&amp;"亿元,"&amp;IF(K162&gt;=0,"增幅","降幅")&amp;ABS(ROUND(K162*100,2))&amp;"%；累计报出"&amp;ABS(ROUND(N162,2))&amp;"亿元，比同期"&amp;ABS(ROUND(F162,2))&amp;"亿元"&amp;IF(O162&gt;=0,"增加","减少")&amp;ABS(ROUND(O162,2))&amp;"亿元，"&amp;IF(P162&gt;=0,"增幅","降幅")&amp;ABS(ROUND(P162*100,2))&amp;"%。"&amp;"（按此报出后，留存"&amp;ROUND(N161,2)&amp;"亿元）"</f>
        <v>合并按照当月119.43亿元报出，比同期66.6亿元增加52.83亿元,增幅79.32%；累计报出868.19亿元，比同期562.81亿元增加305.39亿元，增幅54.26%。（按此报出后，留存1.7亿元）</v>
      </c>
      <c r="C168" s="1744"/>
      <c r="D168" s="1744"/>
      <c r="E168" s="1744"/>
      <c r="F168" s="1744"/>
      <c r="G168" s="1744"/>
      <c r="H168" s="1744"/>
      <c r="I168" s="1744"/>
      <c r="J168" s="1744"/>
      <c r="K168" s="1744"/>
      <c r="L168" s="1744"/>
      <c r="M168" s="1744"/>
      <c r="N168" s="1744"/>
      <c r="O168" s="1744"/>
      <c r="P168" s="1744"/>
      <c r="Q168" s="1742"/>
      <c r="R168" s="1742"/>
      <c r="S168" s="1742"/>
      <c r="T168" s="1742"/>
      <c r="U168" s="1742"/>
      <c r="V168" s="1742"/>
      <c r="W168" s="1742"/>
      <c r="X168" s="1742"/>
      <c r="Y168" s="1742"/>
      <c r="Z168" s="1742"/>
    </row>
    <row r="170" spans="1:26" customFormat="1" ht="14.25">
      <c r="C170" s="1481" t="s">
        <v>65</v>
      </c>
      <c r="D170" s="1481"/>
    </row>
    <row r="171" spans="1:26" s="1464" customFormat="1" ht="15" thickBot="1"/>
    <row r="172" spans="1:26" customFormat="1" ht="15" thickTop="1"/>
    <row r="173" spans="1:26" s="1465" customFormat="1" ht="31.5">
      <c r="B173" s="2604" t="str">
        <f>"太钢集团（管理口径）"&amp;$B$1&amp;"年"&amp;$B$2&amp;"月份及累计主要经营指标预测"</f>
        <v>太钢集团（管理口径）2021年8月份及累计主要经营指标预测</v>
      </c>
      <c r="C173" s="2604"/>
      <c r="D173" s="2604"/>
      <c r="E173" s="2604"/>
      <c r="F173" s="2604"/>
      <c r="G173" s="2604"/>
      <c r="H173" s="2604"/>
      <c r="I173" s="2604"/>
      <c r="J173" s="2604"/>
      <c r="K173" s="2604"/>
      <c r="L173" s="2604"/>
      <c r="M173" s="2604"/>
      <c r="N173" s="2604"/>
      <c r="O173" s="2604"/>
    </row>
    <row r="174" spans="1:26" ht="21" thickBot="1">
      <c r="O174" s="1508" t="s">
        <v>66</v>
      </c>
    </row>
    <row r="175" spans="1:26" ht="33" customHeight="1">
      <c r="A175" s="151" t="s">
        <v>67</v>
      </c>
      <c r="B175" s="2609" t="str">
        <f>B31</f>
        <v>项目</v>
      </c>
      <c r="C175" s="2610"/>
      <c r="D175" s="2605" t="str">
        <f>D31</f>
        <v>2020年</v>
      </c>
      <c r="E175" s="2606"/>
      <c r="F175" s="2607"/>
      <c r="G175" s="2608" t="str">
        <f>G31</f>
        <v>2021年</v>
      </c>
      <c r="H175" s="2606"/>
      <c r="I175" s="2606"/>
      <c r="J175" s="2606"/>
      <c r="K175" s="2606"/>
      <c r="L175" s="2606"/>
      <c r="M175" s="2606"/>
      <c r="N175" s="2606"/>
      <c r="O175" s="2607"/>
    </row>
    <row r="176" spans="1:26" ht="57.75" customHeight="1" thickBot="1">
      <c r="B176" s="2611"/>
      <c r="C176" s="2612"/>
      <c r="D176" s="1482" t="str">
        <f>D32</f>
        <v>全年</v>
      </c>
      <c r="E176" s="1483" t="str">
        <f>E32</f>
        <v>8月</v>
      </c>
      <c r="F176" s="1484" t="str">
        <f>F32</f>
        <v>累计</v>
      </c>
      <c r="G176" s="1485" t="str">
        <f>G32</f>
        <v>年预算</v>
      </c>
      <c r="H176" s="1483" t="str">
        <f t="shared" ref="H176:O176" si="66">H32</f>
        <v>7月</v>
      </c>
      <c r="I176" s="1509" t="str">
        <f t="shared" si="66"/>
        <v>8月</v>
      </c>
      <c r="J176" s="1483" t="str">
        <f t="shared" si="66"/>
        <v>比上月</v>
      </c>
      <c r="K176" s="1483" t="str">
        <f t="shared" si="66"/>
        <v>比同期</v>
      </c>
      <c r="L176" s="1483" t="str">
        <f t="shared" si="66"/>
        <v>比预算</v>
      </c>
      <c r="M176" s="1509" t="str">
        <f t="shared" si="66"/>
        <v>累计</v>
      </c>
      <c r="N176" s="1510" t="str">
        <f t="shared" si="66"/>
        <v>累计
比同期</v>
      </c>
      <c r="O176" s="1511" t="str">
        <f t="shared" si="66"/>
        <v>累计
比预算</v>
      </c>
    </row>
    <row r="177" spans="2:22" ht="45" customHeight="1">
      <c r="B177" s="2613" t="s">
        <v>68</v>
      </c>
      <c r="C177" s="1486" t="str">
        <f>C33</f>
        <v>精矿粉</v>
      </c>
      <c r="D177" s="1490">
        <f>D98</f>
        <v>1291.7342967212801</v>
      </c>
      <c r="E177" s="1491">
        <f>E98</f>
        <v>109.19611380000001</v>
      </c>
      <c r="F177" s="1492">
        <f>F98</f>
        <v>863.39394432128006</v>
      </c>
      <c r="G177" s="1488">
        <f>G33</f>
        <v>1395</v>
      </c>
      <c r="H177" s="1487">
        <f>H33</f>
        <v>111.71344400000001</v>
      </c>
      <c r="I177" s="1512">
        <f>I33</f>
        <v>118.05</v>
      </c>
      <c r="J177" s="1513">
        <f t="shared" ref="J177:J189" si="67">I177-H177</f>
        <v>6.3365559999999874</v>
      </c>
      <c r="K177" s="1513">
        <f t="shared" ref="K177:K186" si="68">I177-E177</f>
        <v>8.8538861999999909</v>
      </c>
      <c r="L177" s="1513">
        <f t="shared" ref="L177:L190" si="69">I177-G177/12</f>
        <v>1.7999999999999972</v>
      </c>
      <c r="M177" s="1512">
        <f>M33</f>
        <v>948.97691627236986</v>
      </c>
      <c r="N177" s="1513">
        <f>M177-F177</f>
        <v>85.582971951089803</v>
      </c>
      <c r="O177" s="1514">
        <f t="shared" ref="O177:O190" si="70">M177-G177/12*$B$2</f>
        <v>18.976916272369863</v>
      </c>
    </row>
    <row r="178" spans="2:22" ht="45" customHeight="1">
      <c r="B178" s="2614"/>
      <c r="C178" s="1489" t="str">
        <f t="shared" ref="C178:I178" si="71">C42</f>
        <v>球团</v>
      </c>
      <c r="D178" s="1490">
        <f t="shared" si="71"/>
        <v>444.33024660000001</v>
      </c>
      <c r="E178" s="1491">
        <f t="shared" si="71"/>
        <v>34.9666</v>
      </c>
      <c r="F178" s="1492">
        <f t="shared" si="71"/>
        <v>318.77260799999999</v>
      </c>
      <c r="G178" s="1493">
        <f t="shared" si="71"/>
        <v>470</v>
      </c>
      <c r="H178" s="1491">
        <f t="shared" si="71"/>
        <v>22.642500000000002</v>
      </c>
      <c r="I178" s="1515">
        <f t="shared" si="71"/>
        <v>41.4</v>
      </c>
      <c r="J178" s="1516">
        <f>I178-H178</f>
        <v>18.757499999999997</v>
      </c>
      <c r="K178" s="1516">
        <f>I178-E178</f>
        <v>6.4333999999999989</v>
      </c>
      <c r="L178" s="1516">
        <f>I178-G178/12</f>
        <v>2.2333333333333343</v>
      </c>
      <c r="M178" s="1515">
        <f>M42</f>
        <v>305.88779999999997</v>
      </c>
      <c r="N178" s="1516">
        <f>M178-F178</f>
        <v>-12.884808000000021</v>
      </c>
      <c r="O178" s="1517">
        <f>M178-G178/12*$B$2</f>
        <v>-7.4455333333333442</v>
      </c>
    </row>
    <row r="179" spans="2:22" ht="45" customHeight="1">
      <c r="B179" s="2614"/>
      <c r="C179" s="1489" t="str">
        <f t="shared" ref="C179:H179" si="72">C53</f>
        <v>生铁</v>
      </c>
      <c r="D179" s="1490">
        <f t="shared" si="72"/>
        <v>905.17</v>
      </c>
      <c r="E179" s="1491">
        <f t="shared" si="72"/>
        <v>58.303600000000003</v>
      </c>
      <c r="F179" s="1492">
        <f t="shared" si="72"/>
        <v>594.25527999999997</v>
      </c>
      <c r="G179" s="1493">
        <f t="shared" si="72"/>
        <v>1149.25</v>
      </c>
      <c r="H179" s="1491">
        <f t="shared" si="72"/>
        <v>92.044600000000003</v>
      </c>
      <c r="I179" s="1515">
        <f>I53</f>
        <v>93.13</v>
      </c>
      <c r="J179" s="1516">
        <f t="shared" si="67"/>
        <v>1.0853999999999928</v>
      </c>
      <c r="K179" s="1516">
        <f t="shared" si="68"/>
        <v>34.826399999999992</v>
      </c>
      <c r="L179" s="1516">
        <f t="shared" si="69"/>
        <v>-2.6408333333333331</v>
      </c>
      <c r="M179" s="1515">
        <f>M53</f>
        <v>728.01080000000002</v>
      </c>
      <c r="N179" s="1516">
        <f t="shared" ref="N179:N187" si="73">M179-F179</f>
        <v>133.75552000000005</v>
      </c>
      <c r="O179" s="1517">
        <f t="shared" si="70"/>
        <v>-38.155866666666611</v>
      </c>
    </row>
    <row r="180" spans="2:22" ht="45" customHeight="1">
      <c r="B180" s="2614"/>
      <c r="C180" s="1489" t="s">
        <v>1260</v>
      </c>
      <c r="D180" s="1490">
        <f t="shared" ref="D180:H180" si="74">D54</f>
        <v>770</v>
      </c>
      <c r="E180" s="1491">
        <f t="shared" si="74"/>
        <v>45.523600000000002</v>
      </c>
      <c r="F180" s="1492">
        <f t="shared" si="74"/>
        <v>506.17527999999999</v>
      </c>
      <c r="G180" s="1493">
        <f t="shared" si="74"/>
        <v>900</v>
      </c>
      <c r="H180" s="1491">
        <f t="shared" si="74"/>
        <v>80.1083</v>
      </c>
      <c r="I180" s="1515">
        <f>I54</f>
        <v>81.5</v>
      </c>
      <c r="J180" s="1516">
        <f>I180-H180</f>
        <v>1.3917000000000002</v>
      </c>
      <c r="K180" s="1516">
        <f>I180-E180</f>
        <v>35.976399999999998</v>
      </c>
      <c r="L180" s="1516">
        <f>I180-G180/12</f>
        <v>6.5</v>
      </c>
      <c r="M180" s="1515">
        <f>M54</f>
        <v>629.81799999999998</v>
      </c>
      <c r="N180" s="1516">
        <f>M180-F180</f>
        <v>123.64272</v>
      </c>
      <c r="O180" s="1517">
        <f>M180-G180/12*$B$2</f>
        <v>29.817999999999984</v>
      </c>
    </row>
    <row r="181" spans="2:22" ht="45" customHeight="1">
      <c r="B181" s="2614"/>
      <c r="C181" s="1489" t="str">
        <f t="shared" ref="C181:I181" si="75">C56</f>
        <v>粗钢</v>
      </c>
      <c r="D181" s="1490">
        <f t="shared" si="75"/>
        <v>1251.6799999999998</v>
      </c>
      <c r="E181" s="1491">
        <f t="shared" si="75"/>
        <v>93.859820900000003</v>
      </c>
      <c r="F181" s="1492">
        <f t="shared" si="75"/>
        <v>818.59694539999998</v>
      </c>
      <c r="G181" s="1493">
        <f t="shared" si="75"/>
        <v>1525</v>
      </c>
      <c r="H181" s="1491">
        <f t="shared" si="75"/>
        <v>125.35483669999999</v>
      </c>
      <c r="I181" s="1515">
        <f t="shared" si="75"/>
        <v>125.26</v>
      </c>
      <c r="J181" s="1516">
        <f>I181-H181</f>
        <v>-9.4836699999987673E-2</v>
      </c>
      <c r="K181" s="1516">
        <f>I181-E181</f>
        <v>31.400179100000003</v>
      </c>
      <c r="L181" s="1516">
        <f>I181-G181/12</f>
        <v>-1.8233333333333235</v>
      </c>
      <c r="M181" s="1515">
        <f>M56</f>
        <v>971.91929069999992</v>
      </c>
      <c r="N181" s="1516">
        <f t="shared" si="73"/>
        <v>153.32234529999994</v>
      </c>
      <c r="O181" s="1517">
        <f t="shared" si="70"/>
        <v>-44.747375966666709</v>
      </c>
    </row>
    <row r="182" spans="2:22" ht="45" customHeight="1">
      <c r="B182" s="2614"/>
      <c r="C182" s="1489" t="s">
        <v>1260</v>
      </c>
      <c r="D182" s="1490">
        <f t="shared" ref="D182:I182" si="76">D57</f>
        <v>1068.8599999999999</v>
      </c>
      <c r="E182" s="1491">
        <f t="shared" si="76"/>
        <v>76.139820900000004</v>
      </c>
      <c r="F182" s="1492">
        <f t="shared" si="76"/>
        <v>702.05694540000002</v>
      </c>
      <c r="G182" s="1493">
        <f t="shared" si="76"/>
        <v>1200</v>
      </c>
      <c r="H182" s="1491">
        <f t="shared" si="76"/>
        <v>109.99733669999999</v>
      </c>
      <c r="I182" s="1515">
        <f t="shared" si="76"/>
        <v>110</v>
      </c>
      <c r="J182" s="1516">
        <f>I182-H182</f>
        <v>2.6633000000089169E-3</v>
      </c>
      <c r="K182" s="1516">
        <f>I182-E182</f>
        <v>33.860179099999996</v>
      </c>
      <c r="L182" s="1516">
        <f>I182-G182/12</f>
        <v>10</v>
      </c>
      <c r="M182" s="1515">
        <f>M57</f>
        <v>843.98829069999988</v>
      </c>
      <c r="N182" s="1516">
        <f>M182-F182</f>
        <v>141.93134529999986</v>
      </c>
      <c r="O182" s="1517">
        <f>M182-G182/12*$B$2</f>
        <v>43.98829069999988</v>
      </c>
    </row>
    <row r="183" spans="2:22" ht="45" customHeight="1">
      <c r="B183" s="2614"/>
      <c r="C183" s="1489" t="str">
        <f t="shared" ref="C183:I183" si="77">C62</f>
        <v>坯材</v>
      </c>
      <c r="D183" s="1490">
        <f t="shared" si="77"/>
        <v>1227.8500000000001</v>
      </c>
      <c r="E183" s="1491">
        <f t="shared" si="77"/>
        <v>90.322741589999964</v>
      </c>
      <c r="F183" s="1492">
        <f t="shared" si="77"/>
        <v>793.47933876999991</v>
      </c>
      <c r="G183" s="1493">
        <f t="shared" si="77"/>
        <v>1515</v>
      </c>
      <c r="H183" s="1491">
        <f t="shared" si="77"/>
        <v>122.48378013</v>
      </c>
      <c r="I183" s="1515">
        <f t="shared" si="77"/>
        <v>123.9</v>
      </c>
      <c r="J183" s="1516">
        <f>I183-H183</f>
        <v>1.4162198700000062</v>
      </c>
      <c r="K183" s="1516">
        <f t="shared" si="68"/>
        <v>33.577258410000042</v>
      </c>
      <c r="L183" s="1516">
        <f t="shared" si="69"/>
        <v>-2.3499999999999943</v>
      </c>
      <c r="M183" s="1515">
        <f>M62</f>
        <v>958.29329979999989</v>
      </c>
      <c r="N183" s="1516">
        <f t="shared" si="73"/>
        <v>164.81396102999997</v>
      </c>
      <c r="O183" s="1517">
        <f t="shared" si="70"/>
        <v>-51.706700200000114</v>
      </c>
    </row>
    <row r="184" spans="2:22" ht="45" customHeight="1" thickBot="1">
      <c r="B184" s="2615"/>
      <c r="C184" s="1489" t="s">
        <v>1260</v>
      </c>
      <c r="D184" s="1490">
        <f t="shared" ref="D184:I184" si="78">D63</f>
        <v>987.64</v>
      </c>
      <c r="E184" s="1491">
        <f t="shared" si="78"/>
        <v>69.268369989999982</v>
      </c>
      <c r="F184" s="1492">
        <f t="shared" si="78"/>
        <v>642.24241237000001</v>
      </c>
      <c r="G184" s="1493">
        <f t="shared" si="78"/>
        <v>1130</v>
      </c>
      <c r="H184" s="1491">
        <f t="shared" si="78"/>
        <v>103.97309213</v>
      </c>
      <c r="I184" s="1515">
        <f t="shared" si="78"/>
        <v>105.05</v>
      </c>
      <c r="J184" s="1516">
        <f>I184-H184</f>
        <v>1.0769078699999994</v>
      </c>
      <c r="K184" s="1516">
        <f>I184-E184</f>
        <v>35.781630010000015</v>
      </c>
      <c r="L184" s="1516">
        <f>I184-G184/12</f>
        <v>10.883333333333326</v>
      </c>
      <c r="M184" s="1515">
        <f>M63</f>
        <v>801.6941086999999</v>
      </c>
      <c r="N184" s="1516">
        <f>M184-F184</f>
        <v>159.45169632999989</v>
      </c>
      <c r="O184" s="1517">
        <f>M184-G184/12*$B$2</f>
        <v>48.36077536666653</v>
      </c>
    </row>
    <row r="185" spans="2:22" ht="45" customHeight="1">
      <c r="B185" s="2600" t="s">
        <v>69</v>
      </c>
      <c r="C185" s="1499" t="str">
        <f t="shared" ref="C185:I185" si="79">C72</f>
        <v>外销铁矿石</v>
      </c>
      <c r="D185" s="1500">
        <f t="shared" si="79"/>
        <v>283</v>
      </c>
      <c r="E185" s="1501">
        <f t="shared" si="79"/>
        <v>34.757922999999998</v>
      </c>
      <c r="F185" s="1502">
        <f t="shared" si="79"/>
        <v>182.05215200000001</v>
      </c>
      <c r="G185" s="1503">
        <f t="shared" si="79"/>
        <v>300</v>
      </c>
      <c r="H185" s="1501">
        <f t="shared" si="79"/>
        <v>25.358358499999998</v>
      </c>
      <c r="I185" s="1521">
        <f t="shared" si="79"/>
        <v>24.5</v>
      </c>
      <c r="J185" s="1522">
        <f t="shared" si="67"/>
        <v>-0.8583584999999978</v>
      </c>
      <c r="K185" s="1522">
        <f t="shared" si="68"/>
        <v>-10.257922999999998</v>
      </c>
      <c r="L185" s="1522">
        <f t="shared" si="69"/>
        <v>-0.5</v>
      </c>
      <c r="M185" s="1521">
        <f>M72</f>
        <v>217.18275929999999</v>
      </c>
      <c r="N185" s="1522">
        <f t="shared" si="73"/>
        <v>35.13060729999998</v>
      </c>
      <c r="O185" s="1523">
        <f t="shared" si="70"/>
        <v>17.182759299999987</v>
      </c>
    </row>
    <row r="186" spans="2:22" ht="45" customHeight="1">
      <c r="B186" s="2601"/>
      <c r="C186" s="1489" t="str">
        <f t="shared" ref="C186:I186" si="80">C75</f>
        <v>坯材</v>
      </c>
      <c r="D186" s="1490">
        <f t="shared" si="80"/>
        <v>1234.6500000000001</v>
      </c>
      <c r="E186" s="1491">
        <f t="shared" si="80"/>
        <v>93.503549407622501</v>
      </c>
      <c r="F186" s="1492">
        <f t="shared" si="80"/>
        <v>791.02697075225035</v>
      </c>
      <c r="G186" s="1493">
        <f t="shared" si="80"/>
        <v>1515</v>
      </c>
      <c r="H186" s="1491">
        <f t="shared" si="80"/>
        <v>125.36829300000002</v>
      </c>
      <c r="I186" s="1515">
        <f t="shared" si="80"/>
        <v>124.35000000000001</v>
      </c>
      <c r="J186" s="1516">
        <f t="shared" si="67"/>
        <v>-1.0182930000000141</v>
      </c>
      <c r="K186" s="1516">
        <f t="shared" si="68"/>
        <v>30.846450592377508</v>
      </c>
      <c r="L186" s="1516">
        <f t="shared" si="69"/>
        <v>-1.8999999999999915</v>
      </c>
      <c r="M186" s="1515">
        <f>M75</f>
        <v>963.33580312023605</v>
      </c>
      <c r="N186" s="1516">
        <f t="shared" si="73"/>
        <v>172.3088323679857</v>
      </c>
      <c r="O186" s="1517">
        <f t="shared" si="70"/>
        <v>-46.664196879763949</v>
      </c>
      <c r="P186" s="2528"/>
    </row>
    <row r="187" spans="2:22" ht="45" customHeight="1" thickBot="1">
      <c r="B187" s="2602"/>
      <c r="C187" s="1504" t="s">
        <v>70</v>
      </c>
      <c r="D187" s="1495">
        <f t="shared" ref="D187:I187" si="81">D85</f>
        <v>77.434436200000007</v>
      </c>
      <c r="E187" s="1496">
        <f t="shared" si="81"/>
        <v>2.6873900000000002</v>
      </c>
      <c r="F187" s="1497">
        <f t="shared" si="81"/>
        <v>55.381459500000005</v>
      </c>
      <c r="G187" s="1498">
        <f t="shared" si="81"/>
        <v>85</v>
      </c>
      <c r="H187" s="1496">
        <f t="shared" si="81"/>
        <v>4.7961154999999991</v>
      </c>
      <c r="I187" s="1518">
        <f t="shared" si="81"/>
        <v>5.32</v>
      </c>
      <c r="J187" s="1519">
        <f t="shared" si="67"/>
        <v>0.5238845000000012</v>
      </c>
      <c r="K187" s="1519">
        <f t="shared" ref="K187:K194" si="82">I187-E187</f>
        <v>2.6326100000000001</v>
      </c>
      <c r="L187" s="1519">
        <f t="shared" si="69"/>
        <v>-1.7633333333333328</v>
      </c>
      <c r="M187" s="1518">
        <f>M85</f>
        <v>48.360843000000003</v>
      </c>
      <c r="N187" s="1519">
        <f t="shared" si="73"/>
        <v>-7.0206165000000027</v>
      </c>
      <c r="O187" s="1520">
        <f t="shared" si="70"/>
        <v>-8.3058236666666616</v>
      </c>
    </row>
    <row r="188" spans="2:22" ht="45" customHeight="1">
      <c r="B188" s="2600" t="s">
        <v>39</v>
      </c>
      <c r="C188" s="1499" t="s">
        <v>71</v>
      </c>
      <c r="D188" s="1500">
        <f t="shared" ref="D188:I188" si="83">D119</f>
        <v>977.0860931525001</v>
      </c>
      <c r="E188" s="1501">
        <f t="shared" si="83"/>
        <v>77.538887964799983</v>
      </c>
      <c r="F188" s="1502">
        <f t="shared" si="83"/>
        <v>613.31281118260006</v>
      </c>
      <c r="G188" s="1503">
        <f t="shared" si="83"/>
        <v>1109.9000000000001</v>
      </c>
      <c r="H188" s="1501">
        <f t="shared" si="83"/>
        <v>125.84296072449997</v>
      </c>
      <c r="I188" s="1521">
        <f t="shared" si="83"/>
        <v>129.13437474148199</v>
      </c>
      <c r="J188" s="1522">
        <f t="shared" si="67"/>
        <v>3.2914140169820172</v>
      </c>
      <c r="K188" s="1522">
        <f>I188-E188</f>
        <v>51.595486776682009</v>
      </c>
      <c r="L188" s="1522">
        <f t="shared" si="69"/>
        <v>36.642708074815317</v>
      </c>
      <c r="M188" s="1521">
        <f>M119</f>
        <v>917.69857992438199</v>
      </c>
      <c r="N188" s="1522">
        <f t="shared" ref="N188:N194" si="84">M188-F188</f>
        <v>304.38576874178193</v>
      </c>
      <c r="O188" s="1523">
        <f t="shared" si="70"/>
        <v>177.76524659104859</v>
      </c>
      <c r="U188" s="2100">
        <f t="shared" ref="U188:U196" si="85">J188/H188</f>
        <v>2.6154931495832347E-2</v>
      </c>
      <c r="V188" s="2100">
        <f t="shared" ref="V188:V196" si="86">K188/E188</f>
        <v>0.66541432474637252</v>
      </c>
    </row>
    <row r="189" spans="2:22" ht="45" customHeight="1" thickBot="1">
      <c r="B189" s="2602"/>
      <c r="C189" s="1494" t="s">
        <v>72</v>
      </c>
      <c r="D189" s="1903">
        <v>977.0860931525001</v>
      </c>
      <c r="E189" s="1496">
        <f>E145</f>
        <v>77.538887964799983</v>
      </c>
      <c r="F189" s="1497">
        <f>F145</f>
        <v>613.31281118260006</v>
      </c>
      <c r="G189" s="1498">
        <f>G188</f>
        <v>1109.9000000000001</v>
      </c>
      <c r="H189" s="1496">
        <f>H145</f>
        <v>125.84296072449997</v>
      </c>
      <c r="I189" s="1518">
        <f>I145</f>
        <v>129.13437474148199</v>
      </c>
      <c r="J189" s="1519">
        <f t="shared" si="67"/>
        <v>3.2914140169820172</v>
      </c>
      <c r="K189" s="1519">
        <f t="shared" si="82"/>
        <v>51.595486776682009</v>
      </c>
      <c r="L189" s="1519">
        <f t="shared" si="69"/>
        <v>36.642708074815317</v>
      </c>
      <c r="M189" s="1518">
        <f>M145</f>
        <v>917.69375166809095</v>
      </c>
      <c r="N189" s="1519">
        <f t="shared" si="84"/>
        <v>304.3809404854909</v>
      </c>
      <c r="O189" s="1520">
        <f t="shared" si="70"/>
        <v>177.76041833475756</v>
      </c>
      <c r="U189" s="2100">
        <f t="shared" si="85"/>
        <v>2.6154931495832347E-2</v>
      </c>
      <c r="V189" s="2100">
        <f t="shared" si="86"/>
        <v>0.66541432474637252</v>
      </c>
    </row>
    <row r="190" spans="2:22" ht="45" customHeight="1">
      <c r="B190" s="2600" t="s">
        <v>73</v>
      </c>
      <c r="C190" s="1499" t="s">
        <v>74</v>
      </c>
      <c r="D190" s="1905">
        <f>40.1758-5.27+1.62</f>
        <v>36.525799999999997</v>
      </c>
      <c r="E190" s="1907">
        <f>SUMIFS('利润（汇总）'!42:42,'利润（汇总）'!$1:$1,$B$1-1,'利润（汇总）'!$2:$2,$B$2)/10000</f>
        <v>4.2051108776380026</v>
      </c>
      <c r="F190" s="1908">
        <f>SUMIFS('利润（汇总）'!42:42,'利润（汇总）'!$1:$1,$B$1-1,'利润（汇总）'!$2:$2,"&lt;="&amp;$B$2)/10000</f>
        <v>15.380824150857064</v>
      </c>
      <c r="G190" s="1913">
        <v>45</v>
      </c>
      <c r="H190" s="1907">
        <f>'@预测#经营利润#'!C5/10000</f>
        <v>21.816604012541006</v>
      </c>
      <c r="I190" s="1919">
        <f>'@预测#经营利润#'!E5/10000</f>
        <v>19.483472878146152</v>
      </c>
      <c r="J190" s="1916">
        <f t="shared" ref="J190:J196" si="87">I190-H190</f>
        <v>-2.3331311343948542</v>
      </c>
      <c r="K190" s="1916">
        <f t="shared" si="82"/>
        <v>15.27836200050815</v>
      </c>
      <c r="L190" s="1922">
        <f t="shared" si="69"/>
        <v>15.733472878146152</v>
      </c>
      <c r="M190" s="1521">
        <f>'@预测#经营利润#'!J5/10000</f>
        <v>150.66917200496314</v>
      </c>
      <c r="N190" s="1922">
        <f t="shared" si="84"/>
        <v>135.28834785410609</v>
      </c>
      <c r="O190" s="1925">
        <f t="shared" si="70"/>
        <v>120.66917200496314</v>
      </c>
      <c r="U190" s="2100">
        <f t="shared" si="85"/>
        <v>-0.10694291068645159</v>
      </c>
      <c r="V190" s="2100">
        <f t="shared" si="86"/>
        <v>3.6332839834867698</v>
      </c>
    </row>
    <row r="191" spans="2:22" ht="45" customHeight="1">
      <c r="B191" s="2601"/>
      <c r="C191" s="1489" t="s">
        <v>75</v>
      </c>
      <c r="D191" s="1906">
        <f>46.0354-5.27+1.62</f>
        <v>42.385399999999997</v>
      </c>
      <c r="E191" s="1909">
        <f>SUMIFS('#经营利润'!$5:$5,'#经营利润'!1:1,$B$1-1,'#经营利润'!$2:$2,$B$2,'#经营利润'!$4:$4,"经营利润")/10000</f>
        <v>4.5944435884380024</v>
      </c>
      <c r="F191" s="1910">
        <f>SUMIFS('#经营利润'!$5:$5,'#经营利润'!1:1,$B$1-1,'#经营利润'!$2:$2,"&lt;="&amp;$B$2,'#经营利润'!$4:$4,"经营利润")/10000</f>
        <v>16.578256861657067</v>
      </c>
      <c r="G191" s="1914">
        <v>45</v>
      </c>
      <c r="H191" s="1909">
        <f>'@预测#经营利润#'!D5/10000</f>
        <v>21.816604012541006</v>
      </c>
      <c r="I191" s="1920">
        <f>'@预测#经营利润#'!F5/10000</f>
        <v>19.483472878146156</v>
      </c>
      <c r="J191" s="1917">
        <f t="shared" si="87"/>
        <v>-2.3331311343948506</v>
      </c>
      <c r="K191" s="1917">
        <f t="shared" si="82"/>
        <v>14.889029289708153</v>
      </c>
      <c r="L191" s="1923">
        <f t="shared" ref="L191:L196" si="88">I191-G191/12</f>
        <v>15.733472878146156</v>
      </c>
      <c r="M191" s="1515">
        <f>'@预测#经营利润#'!K5/10000</f>
        <v>150.66917200496314</v>
      </c>
      <c r="N191" s="1923">
        <f t="shared" si="84"/>
        <v>134.09091514330606</v>
      </c>
      <c r="O191" s="1926">
        <f t="shared" ref="O191:O196" si="89">M191-G191/12*$B$2</f>
        <v>120.66917200496314</v>
      </c>
      <c r="U191" s="2100">
        <f t="shared" si="85"/>
        <v>-0.10694291068645143</v>
      </c>
      <c r="V191" s="2100">
        <f t="shared" si="86"/>
        <v>3.2406599413205672</v>
      </c>
    </row>
    <row r="192" spans="2:22" ht="45" customHeight="1" thickBot="1">
      <c r="B192" s="2602"/>
      <c r="C192" s="1494" t="s">
        <v>76</v>
      </c>
      <c r="D192" s="1903">
        <f>35.35</f>
        <v>35.35</v>
      </c>
      <c r="E192" s="1911">
        <f>SUMIFS('#利润建议'!$5:$5,'#利润建议'!1:1,$B$1-1,'#利润建议'!$2:$2,$B$2,'#利润建议'!$4:$4,"报表")/10000</f>
        <v>4.2051108776380008</v>
      </c>
      <c r="F192" s="1912">
        <f>SUMIFS('#利润建议'!$5:$5,'#利润建议'!1:1,$B$1-1,'#利润建议'!$2:$2,"&lt;="&amp;$B$2,'#利润建议'!$4:$4,"报表")/10000</f>
        <v>15.471962112157064</v>
      </c>
      <c r="G192" s="1915">
        <v>45</v>
      </c>
      <c r="H192" s="1911">
        <f>'@预测#利润建议# '!D5/10000</f>
        <v>21.816604012541006</v>
      </c>
      <c r="I192" s="1921">
        <f>'@预测#利润建议# '!G5/10000</f>
        <v>16.483472878146152</v>
      </c>
      <c r="J192" s="1918">
        <f t="shared" si="87"/>
        <v>-5.3331311343948542</v>
      </c>
      <c r="K192" s="1918">
        <f t="shared" si="82"/>
        <v>12.278362000508151</v>
      </c>
      <c r="L192" s="1924">
        <f t="shared" si="88"/>
        <v>12.733472878146152</v>
      </c>
      <c r="M192" s="1518">
        <f>'@预测#利润建议# '!J5/10000</f>
        <v>141.83917200496316</v>
      </c>
      <c r="N192" s="1924">
        <f t="shared" si="84"/>
        <v>126.3672098928061</v>
      </c>
      <c r="O192" s="1927">
        <f t="shared" si="89"/>
        <v>111.83917200496316</v>
      </c>
      <c r="R192" s="1473"/>
      <c r="U192" s="2100">
        <f t="shared" si="85"/>
        <v>-0.24445285486820814</v>
      </c>
      <c r="V192" s="2100">
        <f t="shared" si="86"/>
        <v>2.9198664096593032</v>
      </c>
    </row>
    <row r="193" spans="2:28" ht="45" customHeight="1">
      <c r="B193" s="2603" t="s">
        <v>56</v>
      </c>
      <c r="C193" s="1486" t="s">
        <v>1335</v>
      </c>
      <c r="D193" s="1500">
        <f t="shared" ref="D193:I194" si="90">D158</f>
        <v>864.85689999999977</v>
      </c>
      <c r="E193" s="1501">
        <f t="shared" si="90"/>
        <v>66.599999999999994</v>
      </c>
      <c r="F193" s="1502">
        <f t="shared" si="90"/>
        <v>553.80689999999993</v>
      </c>
      <c r="G193" s="1488">
        <f t="shared" si="90"/>
        <v>929</v>
      </c>
      <c r="H193" s="1487">
        <f t="shared" si="90"/>
        <v>120.43259999999999</v>
      </c>
      <c r="I193" s="1512">
        <f t="shared" si="90"/>
        <v>119.43</v>
      </c>
      <c r="J193" s="1513">
        <f t="shared" si="87"/>
        <v>-1.0025999999999868</v>
      </c>
      <c r="K193" s="1513">
        <f t="shared" si="82"/>
        <v>52.830000000000013</v>
      </c>
      <c r="L193" s="1513">
        <f t="shared" si="88"/>
        <v>42.013333333333335</v>
      </c>
      <c r="M193" s="1512">
        <f>N158</f>
        <v>869.89249999999993</v>
      </c>
      <c r="N193" s="1513">
        <f t="shared" si="84"/>
        <v>316.0856</v>
      </c>
      <c r="O193" s="1514">
        <f t="shared" si="89"/>
        <v>250.55916666666656</v>
      </c>
      <c r="U193" s="2100">
        <f t="shared" si="85"/>
        <v>-8.3249884167574794E-3</v>
      </c>
      <c r="V193" s="2100">
        <f t="shared" si="86"/>
        <v>0.79324324324324347</v>
      </c>
    </row>
    <row r="194" spans="2:28" ht="45" customHeight="1">
      <c r="B194" s="2601"/>
      <c r="C194" s="1489" t="s">
        <v>1337</v>
      </c>
      <c r="D194" s="1490">
        <f t="shared" si="90"/>
        <v>729.44259999999997</v>
      </c>
      <c r="E194" s="1491">
        <f t="shared" si="90"/>
        <v>55.236699999999999</v>
      </c>
      <c r="F194" s="1492">
        <f t="shared" si="90"/>
        <v>466.83260000000001</v>
      </c>
      <c r="G194" s="1493">
        <f t="shared" si="90"/>
        <v>800</v>
      </c>
      <c r="H194" s="1491">
        <f t="shared" si="90"/>
        <v>100.1558</v>
      </c>
      <c r="I194" s="1515">
        <f t="shared" si="90"/>
        <v>98.34</v>
      </c>
      <c r="J194" s="1516">
        <f t="shared" si="87"/>
        <v>-1.8157999999999959</v>
      </c>
      <c r="K194" s="1516">
        <f t="shared" si="82"/>
        <v>43.103300000000004</v>
      </c>
      <c r="L194" s="1516">
        <f t="shared" si="88"/>
        <v>31.673333333333332</v>
      </c>
      <c r="M194" s="1515">
        <f>N159</f>
        <v>716.72109999999998</v>
      </c>
      <c r="N194" s="1516">
        <f t="shared" si="84"/>
        <v>249.88849999999996</v>
      </c>
      <c r="O194" s="1517">
        <f t="shared" si="89"/>
        <v>183.38776666666661</v>
      </c>
      <c r="U194" s="2100">
        <f t="shared" si="85"/>
        <v>-1.8129753843511766E-2</v>
      </c>
      <c r="V194" s="2100">
        <f t="shared" si="86"/>
        <v>0.78033807233234431</v>
      </c>
    </row>
    <row r="195" spans="2:28" ht="45" customHeight="1">
      <c r="B195" s="2601" t="s">
        <v>53</v>
      </c>
      <c r="C195" s="1489" t="s">
        <v>1336</v>
      </c>
      <c r="D195" s="1490">
        <v>880.75689999999997</v>
      </c>
      <c r="E195" s="1491">
        <f>E162</f>
        <v>66.599999999999994</v>
      </c>
      <c r="F195" s="1492">
        <f>F162</f>
        <v>562.80689999999993</v>
      </c>
      <c r="G195" s="1493">
        <f>G193</f>
        <v>929</v>
      </c>
      <c r="H195" s="1491">
        <f>H162</f>
        <v>120.43259999999999</v>
      </c>
      <c r="I195" s="1515">
        <f>I162</f>
        <v>119.43</v>
      </c>
      <c r="J195" s="1516">
        <f t="shared" si="87"/>
        <v>-1.0025999999999868</v>
      </c>
      <c r="K195" s="1516">
        <f>I195-E195</f>
        <v>52.830000000000013</v>
      </c>
      <c r="L195" s="1516">
        <f t="shared" si="88"/>
        <v>42.013333333333335</v>
      </c>
      <c r="M195" s="1515">
        <f>N162</f>
        <v>868.19249999999988</v>
      </c>
      <c r="N195" s="1516">
        <f>M195-F195</f>
        <v>305.38559999999995</v>
      </c>
      <c r="O195" s="1517">
        <f t="shared" si="89"/>
        <v>248.85916666666651</v>
      </c>
      <c r="U195" s="2100">
        <f t="shared" si="85"/>
        <v>-8.3249884167574794E-3</v>
      </c>
      <c r="V195" s="2100">
        <f t="shared" si="86"/>
        <v>0.79324324324324347</v>
      </c>
    </row>
    <row r="196" spans="2:28" ht="45" customHeight="1" thickBot="1">
      <c r="B196" s="2602"/>
      <c r="C196" s="1494" t="s">
        <v>1338</v>
      </c>
      <c r="D196" s="1495">
        <v>745.33759999999995</v>
      </c>
      <c r="E196" s="1496">
        <f>E163</f>
        <v>55.236699999999999</v>
      </c>
      <c r="F196" s="1497">
        <f>F163</f>
        <v>475.83260000000001</v>
      </c>
      <c r="G196" s="1498">
        <f>G194</f>
        <v>800</v>
      </c>
      <c r="H196" s="1496">
        <f>H163</f>
        <v>100.1558</v>
      </c>
      <c r="I196" s="1518">
        <f>I163</f>
        <v>98.34</v>
      </c>
      <c r="J196" s="1519">
        <f t="shared" si="87"/>
        <v>-1.8157999999999959</v>
      </c>
      <c r="K196" s="1519">
        <f>I196-E196</f>
        <v>43.103300000000004</v>
      </c>
      <c r="L196" s="1519">
        <f t="shared" si="88"/>
        <v>31.673333333333332</v>
      </c>
      <c r="M196" s="1518">
        <f>N163</f>
        <v>715.02110000000005</v>
      </c>
      <c r="N196" s="1519">
        <f>M196-F196</f>
        <v>239.18850000000003</v>
      </c>
      <c r="O196" s="1520">
        <f t="shared" si="89"/>
        <v>181.68776666666668</v>
      </c>
      <c r="U196" s="2100">
        <f t="shared" si="85"/>
        <v>-1.8129753843511766E-2</v>
      </c>
      <c r="V196" s="2100">
        <f t="shared" si="86"/>
        <v>0.78033807233234431</v>
      </c>
    </row>
    <row r="198" spans="2:28">
      <c r="D198" s="1904"/>
    </row>
    <row r="199" spans="2:28">
      <c r="D199" s="1904"/>
    </row>
    <row r="200" spans="2:28">
      <c r="I200" s="987" t="s">
        <v>77</v>
      </c>
      <c r="J200" s="987" t="s">
        <v>78</v>
      </c>
      <c r="K200" s="987" t="s">
        <v>79</v>
      </c>
      <c r="L200" s="987" t="s">
        <v>80</v>
      </c>
      <c r="M200" s="987" t="s">
        <v>81</v>
      </c>
      <c r="N200" s="987" t="s">
        <v>82</v>
      </c>
      <c r="O200" s="987" t="s">
        <v>83</v>
      </c>
      <c r="P200" s="987" t="s">
        <v>84</v>
      </c>
      <c r="Q200" s="987" t="s">
        <v>22</v>
      </c>
      <c r="R200" s="987" t="s">
        <v>85</v>
      </c>
      <c r="S200" s="987" t="s">
        <v>86</v>
      </c>
      <c r="T200" s="987" t="s">
        <v>87</v>
      </c>
      <c r="U200" s="987" t="s">
        <v>88</v>
      </c>
      <c r="V200" s="987" t="s">
        <v>89</v>
      </c>
      <c r="W200" s="987" t="s">
        <v>90</v>
      </c>
      <c r="X200" s="987" t="s">
        <v>91</v>
      </c>
      <c r="Y200" s="987" t="s">
        <v>92</v>
      </c>
      <c r="Z200" s="987" t="s">
        <v>93</v>
      </c>
      <c r="AA200" s="987" t="s">
        <v>94</v>
      </c>
    </row>
    <row r="201" spans="2:28">
      <c r="H201" s="987" t="s">
        <v>95</v>
      </c>
      <c r="I201" s="987">
        <v>656</v>
      </c>
      <c r="J201" s="987">
        <f>174+575</f>
        <v>749</v>
      </c>
      <c r="K201" s="987">
        <v>-459</v>
      </c>
      <c r="AA201" s="987">
        <v>132</v>
      </c>
      <c r="AB201" s="987">
        <v>1077</v>
      </c>
    </row>
    <row r="202" spans="2:28">
      <c r="H202" s="987" t="s">
        <v>96</v>
      </c>
      <c r="I202" s="987">
        <v>656</v>
      </c>
      <c r="J202" s="987">
        <v>-316</v>
      </c>
      <c r="K202" s="987">
        <v>-393</v>
      </c>
      <c r="P202" s="987">
        <v>-240</v>
      </c>
      <c r="S202" s="987">
        <v>445</v>
      </c>
      <c r="W202" s="987">
        <v>-714</v>
      </c>
      <c r="AB202" s="987">
        <v>-554</v>
      </c>
    </row>
    <row r="203" spans="2:28">
      <c r="H203" s="987" t="s">
        <v>97</v>
      </c>
      <c r="I203" s="987">
        <v>-113</v>
      </c>
      <c r="J203" s="987">
        <v>54</v>
      </c>
      <c r="K203" s="987">
        <v>-130</v>
      </c>
      <c r="P203" s="987">
        <v>164</v>
      </c>
      <c r="W203" s="987">
        <v>112</v>
      </c>
      <c r="AB203" s="987">
        <v>87</v>
      </c>
    </row>
    <row r="204" spans="2:28">
      <c r="H204" s="987" t="s">
        <v>98</v>
      </c>
      <c r="I204" s="987">
        <v>-7</v>
      </c>
      <c r="J204" s="987">
        <v>-38</v>
      </c>
      <c r="K204" s="987">
        <v>-148</v>
      </c>
      <c r="Q204" s="987">
        <v>-134</v>
      </c>
      <c r="AB204" s="987">
        <v>-327</v>
      </c>
    </row>
    <row r="205" spans="2:28">
      <c r="H205" s="987" t="s">
        <v>99</v>
      </c>
      <c r="I205" s="987">
        <v>-593</v>
      </c>
      <c r="K205" s="987">
        <v>-12</v>
      </c>
      <c r="AB205" s="987">
        <v>962</v>
      </c>
    </row>
    <row r="206" spans="2:28">
      <c r="H206" s="987" t="s">
        <v>100</v>
      </c>
      <c r="I206" s="987">
        <v>778</v>
      </c>
      <c r="R206" s="1524">
        <v>789</v>
      </c>
      <c r="AB206" s="987">
        <v>0</v>
      </c>
    </row>
    <row r="207" spans="2:28">
      <c r="H207" s="987" t="s">
        <v>101</v>
      </c>
      <c r="S207" s="1524"/>
    </row>
    <row r="208" spans="2:28">
      <c r="H208" s="987" t="s">
        <v>102</v>
      </c>
    </row>
    <row r="209" spans="9:27">
      <c r="I209" s="1524">
        <f t="shared" ref="I209:AA209" si="91">SUM(I201:I208)</f>
        <v>1377</v>
      </c>
      <c r="J209" s="1524">
        <f t="shared" si="91"/>
        <v>449</v>
      </c>
      <c r="K209" s="987">
        <f t="shared" si="91"/>
        <v>-1142</v>
      </c>
      <c r="L209" s="1524">
        <f t="shared" si="91"/>
        <v>0</v>
      </c>
      <c r="M209" s="987">
        <f t="shared" si="91"/>
        <v>0</v>
      </c>
      <c r="N209" s="1524">
        <f t="shared" si="91"/>
        <v>0</v>
      </c>
      <c r="O209" s="1524">
        <f t="shared" si="91"/>
        <v>0</v>
      </c>
      <c r="P209" s="987">
        <f t="shared" si="91"/>
        <v>-76</v>
      </c>
      <c r="Q209" s="987">
        <f t="shared" si="91"/>
        <v>-134</v>
      </c>
      <c r="R209" s="987">
        <f t="shared" si="91"/>
        <v>789</v>
      </c>
      <c r="S209" s="987">
        <f t="shared" si="91"/>
        <v>445</v>
      </c>
      <c r="T209" s="987">
        <f t="shared" si="91"/>
        <v>0</v>
      </c>
      <c r="U209" s="987">
        <f t="shared" si="91"/>
        <v>0</v>
      </c>
      <c r="V209" s="987">
        <f t="shared" si="91"/>
        <v>0</v>
      </c>
      <c r="W209" s="987">
        <f t="shared" si="91"/>
        <v>-602</v>
      </c>
      <c r="X209" s="987">
        <f t="shared" si="91"/>
        <v>0</v>
      </c>
      <c r="Y209" s="987">
        <f t="shared" si="91"/>
        <v>0</v>
      </c>
      <c r="Z209" s="987">
        <f t="shared" si="91"/>
        <v>0</v>
      </c>
      <c r="AA209" s="987">
        <f t="shared" si="91"/>
        <v>132</v>
      </c>
    </row>
  </sheetData>
  <customSheetViews>
    <customSheetView guid="{1683F931-F47D-47C0-A395-D48080DC7EE6}" showPageBreaks="1" fitToPage="1" printArea="1" topLeftCell="A58">
      <selection activeCell="I48" sqref="I48"/>
      <pageMargins left="0.69930555555555596" right="0.69930555555555596" top="0.75" bottom="0.75" header="0.3" footer="0.3"/>
      <pageSetup paperSize="9" scale="53" orientation="landscape" r:id="rId1"/>
    </customSheetView>
    <customSheetView guid="{43897816-D2F0-4C3D-8F57-E0039BD2296B}" showPageBreaks="1" hiddenColumns="1">
      <pane xSplit="5" ySplit="2" topLeftCell="G182" activePane="bottomRight" state="frozen"/>
      <selection pane="bottomRight" activeCell="T186" sqref="T186"/>
      <pageMargins left="0.69930555555555596" right="0.69930555555555596" top="0.75" bottom="0.75" header="0.3" footer="0.3"/>
      <pageSetup paperSize="9" orientation="portrait" r:id="rId2"/>
    </customSheetView>
    <customSheetView guid="{849C46E5-4ED4-41B9-BDA9-A6465B9DA9C2}" fitToPage="1">
      <pane xSplit="5" ySplit="2" topLeftCell="F112" activePane="bottomRight" state="frozen"/>
      <selection pane="bottomRight" activeCell="H118" sqref="H118"/>
      <pageMargins left="0.69930555555555596" right="0.69930555555555596" top="0.75" bottom="0.75" header="0.3" footer="0.3"/>
      <pageSetup paperSize="9" scale="53" orientation="landscape" r:id="rId3"/>
    </customSheetView>
    <customSheetView guid="{8C09BCDE-4B8A-4469-B3F2-7F4528A2E78D}" showPageBreaks="1" fitToPage="1" printArea="1">
      <pane xSplit="5" ySplit="2" topLeftCell="F112" activePane="bottomRight" state="frozen"/>
      <selection pane="bottomRight" activeCell="H118" sqref="H118"/>
      <pageMargins left="0.69930555555555596" right="0.69930555555555596" top="0.75" bottom="0.75" header="0.3" footer="0.3"/>
      <pageSetup paperSize="9" scale="53" orientation="landscape" r:id="rId4"/>
    </customSheetView>
    <customSheetView guid="{F4EB51F4-FD23-4D5B-8072-1AF5D59D6686}" scale="85" showPageBreaks="1" fitToPage="1" printArea="1">
      <pane xSplit="5" ySplit="2" topLeftCell="F31" activePane="bottomRight" state="frozen"/>
      <selection pane="bottomRight" activeCell="I51" sqref="I51"/>
      <pageMargins left="0.69930555555555596" right="0.69930555555555596" top="0.75" bottom="0.75" header="0.3" footer="0.3"/>
      <pageSetup paperSize="9" scale="53" orientation="landscape" r:id="rId5"/>
    </customSheetView>
    <customSheetView guid="{D7BCFB76-2797-401D-A6F1-E020B5162DD4}" topLeftCell="A28">
      <selection activeCell="E38" sqref="E38"/>
      <pageMargins left="0.69930555555555596" right="0.69930555555555596" top="0.75" bottom="0.75" header="0.3" footer="0.3"/>
      <pageSetup paperSize="9" orientation="portrait" r:id="rId6"/>
    </customSheetView>
    <customSheetView guid="{C9A88430-3808-49F4-8D86-BF8C70C55441}" scale="85" showPageBreaks="1" hiddenRows="1">
      <pane xSplit="5" ySplit="2" topLeftCell="F147" activePane="bottomRight" state="frozen"/>
      <selection pane="bottomRight" activeCell="B167" sqref="B167"/>
      <pageMargins left="0.69930555555555596" right="0.69930555555555596" top="0.75" bottom="0.75" header="0.3" footer="0.3"/>
      <pageSetup paperSize="9" orientation="portrait" r:id="rId7"/>
    </customSheetView>
    <customSheetView guid="{E61FFED3-723E-484A-93A0-94E1A801AF06}" showPageBreaks="1" hiddenRows="1" topLeftCell="H179">
      <selection activeCell="M173" sqref="M173"/>
      <pageMargins left="0.69930555555555596" right="0.69930555555555596" top="0.75" bottom="0.75" header="0.3" footer="0.3"/>
      <pageSetup paperSize="9" orientation="portrait" r:id="rId8"/>
    </customSheetView>
    <customSheetView guid="{6B5CCA07-2BDD-4B8E-9E3C-2111BBA97430}" scale="85" fitToPage="1" hiddenRows="1" topLeftCell="A78">
      <selection activeCell="B119" sqref="B119"/>
      <pageMargins left="0.70866141732283472" right="0.70866141732283472" top="0.74803149606299213" bottom="0.74803149606299213" header="0.31496062992125984" footer="0.31496062992125984"/>
      <printOptions horizontalCentered="1"/>
      <pageSetup paperSize="9" scale="16" orientation="landscape" r:id="rId9"/>
    </customSheetView>
    <customSheetView guid="{2F47A827-9643-4D8A-AC5D-6B09D79AACF9}" showPageBreaks="1">
      <pane xSplit="5" ySplit="2" topLeftCell="F9" activePane="bottomRight" state="frozen"/>
      <selection pane="bottomRight" activeCell="I9" sqref="I9"/>
      <pageMargins left="0.69930555555555596" right="0.69930555555555596" top="0.75" bottom="0.75" header="0.3" footer="0.3"/>
      <pageSetup paperSize="9" orientation="portrait" r:id="rId10"/>
    </customSheetView>
    <customSheetView guid="{B37168A1-DBAB-4BDE-9F92-6261DCDF3D92}" showPageBreaks="1" fitToPage="1" printArea="1" hiddenRows="1">
      <pane xSplit="5" ySplit="2" topLeftCell="G55" activePane="bottomRight" state="frozen"/>
      <selection pane="bottomRight" activeCell="I9" sqref="I9"/>
      <pageMargins left="0.69930555555555596" right="0.69930555555555596" top="0.75" bottom="0.75" header="0.3" footer="0.3"/>
      <pageSetup paperSize="9" scale="59" orientation="landscape" r:id="rId11"/>
    </customSheetView>
    <customSheetView guid="{AE0DD889-C13C-4059-8024-0F5B234827E9}" scale="85" showPageBreaks="1" fitToPage="1" printArea="1" topLeftCell="F3">
      <selection activeCell="I23" sqref="I23"/>
      <pageMargins left="0.69930555555555596" right="0.69930555555555596" top="0.75" bottom="0.75" header="0.3" footer="0.3"/>
      <pageSetup paperSize="9" scale="57" orientation="landscape" r:id="rId12"/>
    </customSheetView>
    <customSheetView guid="{CCBBD9B0-4191-4D7A-9F7B-BAC044A49153}" showPageBreaks="1" fitToPage="1" printArea="1" hiddenRows="1">
      <pane xSplit="5" ySplit="2" topLeftCell="H9" state="frozen"/>
      <selection activeCell="W15" sqref="W15"/>
      <pageMargins left="0.69930555555555596" right="0.69930555555555596" top="0.75" bottom="0.75" header="0.3" footer="0.3"/>
      <pageSetup paperSize="9" scale="53" orientation="landscape"/>
    </customSheetView>
    <customSheetView guid="{F5F9735B-EE22-4AC6-B5AB-C856ED6C133D}" scale="85">
      <pane xSplit="5" ySplit="2" topLeftCell="F3" state="frozen"/>
      <selection activeCell="I18" sqref="I18"/>
      <pageMargins left="0.69930555555555596" right="0.69930555555555596" top="0.75" bottom="0.75" header="0.3" footer="0.3"/>
    </customSheetView>
    <customSheetView guid="{45B4C0D1-53B6-4553-BFF9-393760B8E0CE}">
      <pane xSplit="5" ySplit="2" topLeftCell="F78" state="frozen"/>
      <selection activeCell="H96" sqref="H96"/>
      <pageMargins left="0.69930555555555596" right="0.69930555555555596" top="0.75" bottom="0.75" header="0.3" footer="0.3"/>
    </customSheetView>
    <customSheetView guid="{1BBD1596-143E-4714-99EF-E3545231CCD1}">
      <pane xSplit="5" ySplit="2" topLeftCell="F72" state="frozen"/>
      <selection activeCell="K90" sqref="K90"/>
      <pageMargins left="0.69930555555555596" right="0.69930555555555596" top="0.75" bottom="0.75" header="0.3" footer="0.3"/>
    </customSheetView>
    <customSheetView guid="{A8456D60-99BA-4794-8966-0CBA0A37EA6F}">
      <pane xSplit="5" ySplit="2" topLeftCell="F3" state="frozen"/>
      <selection activeCell="I7" sqref="I7"/>
      <pageMargins left="0.69930555555555596" right="0.69930555555555596" top="0.75" bottom="0.75" header="0.3" footer="0.3"/>
    </customSheetView>
    <customSheetView guid="{500C3980-ED13-4C97-96B1-955D50509B66}" scale="85">
      <pane xSplit="3" topLeftCell="F15" state="frozen"/>
      <selection activeCell="I50" sqref="I50"/>
      <pageMargins left="0.69930555555555596" right="0.69930555555555596" top="0.75" bottom="0.75" header="0.3" footer="0.3"/>
    </customSheetView>
    <customSheetView guid="{3B943BAF-34C7-494A-A071-85DE0891E5A1}" showPageBreaks="1" fitToPage="1" printArea="1" hiddenRows="1">
      <pane xSplit="5" ySplit="2" topLeftCell="H46" state="frozen"/>
      <selection activeCell="E91" sqref="E91"/>
      <pageMargins left="0.69930555555555596" right="0.69930555555555596" top="0.75" bottom="0.75" header="0.3" footer="0.3"/>
      <pageSetup paperSize="9" scale="53" orientation="landscape"/>
    </customSheetView>
    <customSheetView guid="{EEE4B3DA-ADF6-49CC-9873-068FE5927B92}" showPageBreaks="1">
      <pane xSplit="5" ySplit="2" topLeftCell="G12" state="frozen"/>
      <selection activeCell="J24" sqref="J24"/>
      <pageMargins left="0.69930555555555596" right="0.69930555555555596" top="0.75" bottom="0.75" header="0.3" footer="0.3"/>
      <pageSetup paperSize="9" orientation="portrait"/>
    </customSheetView>
    <customSheetView guid="{C52D0F53-4D1D-4D01-B833-260359FD02A5}" scale="85" showPageBreaks="1" fitToPage="1" printArea="1" hiddenRows="1">
      <pane xSplit="5" ySplit="2" topLeftCell="I130" activePane="bottomRight" state="frozen"/>
      <selection pane="bottomRight" activeCell="N153" sqref="N153"/>
      <pageMargins left="0.69930555555555596" right="0.69930555555555596" top="0.75" bottom="0.75" header="0.3" footer="0.3"/>
      <pageSetup paperSize="9" scale="53" orientation="landscape" r:id="rId13"/>
    </customSheetView>
    <customSheetView guid="{6A1E79C9-91E3-4EEA-8ABB-4446083299EC}" showPageBreaks="1">
      <pane xSplit="5" ySplit="2" topLeftCell="H90" activePane="bottomRight" state="frozen"/>
      <selection pane="bottomRight" activeCell="C166" sqref="C166"/>
      <pageMargins left="0.69930555555555596" right="0.69930555555555596" top="0.75" bottom="0.75" header="0.3" footer="0.3"/>
      <pageSetup paperSize="9" orientation="portrait" r:id="rId14"/>
    </customSheetView>
    <customSheetView guid="{8B80B510-C931-46B1-8591-DEA916D76593}" scale="85" fitToPage="1" hiddenRows="1">
      <pane xSplit="5" ySplit="2" topLeftCell="G183" activePane="bottomRight" state="frozen"/>
      <selection pane="bottomRight" activeCell="P188" sqref="P188"/>
      <pageMargins left="0.69930555555555596" right="0.69930555555555596" top="0.75" bottom="0.75" header="0.3" footer="0.3"/>
      <pageSetup paperSize="9" scale="53" orientation="landscape" r:id="rId15"/>
    </customSheetView>
    <customSheetView guid="{303A9D89-611D-4504-BCAA-071C53B021F7}" showPageBreaks="1">
      <pane xSplit="5" ySplit="2" topLeftCell="F78" activePane="bottomRight" state="frozen"/>
      <selection pane="bottomRight" activeCell="B97" sqref="B97:B99"/>
      <pageMargins left="0.69930555555555596" right="0.69930555555555596" top="0.75" bottom="0.75" header="0.3" footer="0.3"/>
      <pageSetup paperSize="9" orientation="portrait" horizontalDpi="1200" verticalDpi="1200" r:id="rId16"/>
    </customSheetView>
    <customSheetView guid="{4583A87D-5DFF-47BD-849A-FA4AAF2B9CE3}" scale="85" showPageBreaks="1" fitToPage="1" printArea="1" hiddenRows="1">
      <pane xSplit="5" ySplit="2" topLeftCell="G138" activePane="bottomRight" state="frozen"/>
      <selection pane="bottomRight" activeCell="J166" sqref="J166"/>
      <pageMargins left="0.69930555555555596" right="0.69930555555555596" top="0.75" bottom="0.75" header="0.3" footer="0.3"/>
      <pageSetup paperSize="9" scale="53" orientation="landscape" r:id="rId17"/>
    </customSheetView>
    <customSheetView guid="{EA856AC2-CDFF-46B6-B0C4-30449DF132F4}" scale="85" showPageBreaks="1" hiddenColumns="1">
      <pane xSplit="5" ySplit="2" topLeftCell="G68" activePane="bottomRight" state="frozen"/>
      <selection pane="bottomRight" activeCell="K169" sqref="K169"/>
      <pageMargins left="0.69930555555555596" right="0.69930555555555596" top="0.75" bottom="0.75" header="0.3" footer="0.3"/>
      <pageSetup paperSize="9" orientation="portrait" r:id="rId18"/>
    </customSheetView>
    <customSheetView guid="{322A45A6-8B26-49B8-A4D9-EFB3C94A758D}" showPageBreaks="1" fitToPage="1" printArea="1" topLeftCell="A16">
      <selection activeCell="I44" sqref="I44"/>
      <pageMargins left="0.69930555555555596" right="0.69930555555555596" top="0.75" bottom="0.75" header="0.3" footer="0.3"/>
      <pageSetup paperSize="9" scale="53" orientation="landscape" r:id="rId19"/>
    </customSheetView>
  </customSheetViews>
  <mergeCells count="39">
    <mergeCell ref="J1:N2"/>
    <mergeCell ref="B31:C32"/>
    <mergeCell ref="B96:C97"/>
    <mergeCell ref="G31:O31"/>
    <mergeCell ref="G96:O96"/>
    <mergeCell ref="D31:F31"/>
    <mergeCell ref="D96:F96"/>
    <mergeCell ref="B33:B52"/>
    <mergeCell ref="B72:B92"/>
    <mergeCell ref="B53:B71"/>
    <mergeCell ref="B193:B196"/>
    <mergeCell ref="B173:O173"/>
    <mergeCell ref="D175:F175"/>
    <mergeCell ref="G175:O175"/>
    <mergeCell ref="B175:C176"/>
    <mergeCell ref="B185:B187"/>
    <mergeCell ref="B188:B189"/>
    <mergeCell ref="B177:B184"/>
    <mergeCell ref="C117:C118"/>
    <mergeCell ref="C155:C157"/>
    <mergeCell ref="D156:D157"/>
    <mergeCell ref="E156:E157"/>
    <mergeCell ref="B190:B192"/>
    <mergeCell ref="G117:O117"/>
    <mergeCell ref="B98:B102"/>
    <mergeCell ref="B103:B107"/>
    <mergeCell ref="B108:B114"/>
    <mergeCell ref="B155:B157"/>
    <mergeCell ref="G156:G157"/>
    <mergeCell ref="G155:P155"/>
    <mergeCell ref="J156:K156"/>
    <mergeCell ref="L156:M156"/>
    <mergeCell ref="O156:P156"/>
    <mergeCell ref="H156:H157"/>
    <mergeCell ref="I156:I157"/>
    <mergeCell ref="N156:N157"/>
    <mergeCell ref="D117:F117"/>
    <mergeCell ref="F156:F157"/>
    <mergeCell ref="D155:F155"/>
  </mergeCells>
  <phoneticPr fontId="133" type="noConversion"/>
  <pageMargins left="0.69930555555555596" right="0.69930555555555596" top="0.75" bottom="0.75" header="0.3" footer="0.3"/>
  <pageSetup paperSize="9" scale="53" orientation="landscape" r:id="rId20"/>
  <legacy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B2E52-7F38-45A0-A452-EC5B737B952A}">
  <sheetPr>
    <pageSetUpPr fitToPage="1"/>
  </sheetPr>
  <dimension ref="A1:AD100"/>
  <sheetViews>
    <sheetView topLeftCell="B7" zoomScale="85" zoomScaleNormal="85" workbookViewId="0">
      <selection activeCell="G11" sqref="G11"/>
    </sheetView>
  </sheetViews>
  <sheetFormatPr defaultColWidth="9" defaultRowHeight="14.25"/>
  <cols>
    <col min="1" max="1" width="9" style="2265"/>
    <col min="2" max="2" width="5.875" style="2282" customWidth="1"/>
    <col min="3" max="3" width="24.25" style="2265" customWidth="1"/>
    <col min="4" max="4" width="12.75" style="2264" hidden="1" customWidth="1"/>
    <col min="5" max="5" width="17" style="2264" customWidth="1"/>
    <col min="6" max="6" width="16.875" style="2264" customWidth="1"/>
    <col min="7" max="7" width="17.125" style="2264" customWidth="1"/>
    <col min="8" max="8" width="15.25" style="2264" customWidth="1"/>
    <col min="9" max="9" width="18.5" style="2264" customWidth="1"/>
    <col min="10" max="11" width="17" style="2264" customWidth="1"/>
    <col min="12" max="12" width="11" style="2264" customWidth="1"/>
    <col min="13" max="13" width="13" style="2264" customWidth="1"/>
    <col min="14" max="14" width="12.625" style="2265" customWidth="1"/>
    <col min="15" max="15" width="26.5" style="2265" customWidth="1"/>
    <col min="16" max="16" width="10.875" style="2264" customWidth="1"/>
    <col min="17" max="17" width="11.125" style="2265" customWidth="1"/>
    <col min="18" max="20" width="18.5" style="2265" customWidth="1"/>
    <col min="21" max="21" width="9.75" style="2265" customWidth="1"/>
    <col min="22" max="22" width="9" style="2265"/>
    <col min="23" max="23" width="13" style="2265" customWidth="1"/>
    <col min="24" max="24" width="19.375" style="2265" bestFit="1" customWidth="1"/>
    <col min="25" max="28" width="10.75" style="2265" bestFit="1" customWidth="1"/>
    <col min="29" max="29" width="16.875" style="2265" customWidth="1"/>
    <col min="30" max="30" width="10.75" style="2265" bestFit="1" customWidth="1"/>
    <col min="31" max="16384" width="9" style="2265"/>
  </cols>
  <sheetData>
    <row r="1" spans="1:30">
      <c r="A1" s="153">
        <f>'@预测#概况#'!B1</f>
        <v>2021</v>
      </c>
      <c r="B1" s="153">
        <f>IF(A2=1,A1-1,A1)</f>
        <v>2021</v>
      </c>
    </row>
    <row r="2" spans="1:30">
      <c r="A2" s="153">
        <f>'@预测#概况#'!B2</f>
        <v>8</v>
      </c>
      <c r="B2" s="153">
        <f>IF(A2=1,12,A2-1)</f>
        <v>7</v>
      </c>
    </row>
    <row r="3" spans="1:30">
      <c r="O3" s="2317"/>
      <c r="W3" s="2265" t="str">
        <f>$A$2&amp;"月份太钢集团（管理口径）汇总利润"&amp;ROUND(Z23/10000,2)&amp;"亿元，比上月"&amp;IF(AA23&gt;0,"增加","减少")&amp;ABS(ROUND(AA23/10000,2))&amp;"亿元，其中太钢本部汇总利润"&amp;ROUND(Z24/10000,2)&amp;"亿元，比上月"&amp;IF(AA24&gt;0,"增加","减少")&amp;ABS(ROUND(AA24/10000,2))&amp;"亿元。"</f>
        <v>8月份太钢集团（管理口径）汇总利润19.48亿元，比上月减少2.37亿元，其中太钢本部汇总利润19.18亿元，比上月减少2.77亿元。</v>
      </c>
    </row>
    <row r="4" spans="1:30" s="2252" customFormat="1" ht="36.75" customHeight="1">
      <c r="B4" s="2635" t="s">
        <v>103</v>
      </c>
      <c r="C4" s="2636"/>
      <c r="D4" s="2372" t="s">
        <v>58</v>
      </c>
      <c r="E4" s="2372" t="str">
        <f>B2&amp;"月利润"</f>
        <v>7月利润</v>
      </c>
      <c r="F4" s="2372" t="str">
        <f>A2&amp;"月利润"</f>
        <v>8月利润</v>
      </c>
      <c r="G4" s="2372" t="s">
        <v>7</v>
      </c>
      <c r="H4" s="2371" t="s">
        <v>1429</v>
      </c>
      <c r="I4" s="2251" t="s">
        <v>1430</v>
      </c>
      <c r="J4" s="2372" t="s">
        <v>5</v>
      </c>
      <c r="K4" s="2525"/>
      <c r="O4" s="2318"/>
      <c r="W4" s="2637" t="s">
        <v>103</v>
      </c>
      <c r="X4" s="2637"/>
      <c r="Y4" s="2369" t="str">
        <f>$B$2&amp;"月利润"</f>
        <v>7月利润</v>
      </c>
      <c r="Z4" s="2369" t="str">
        <f>$A$2&amp;"月利润"</f>
        <v>8月利润</v>
      </c>
      <c r="AA4" s="2369" t="s">
        <v>7</v>
      </c>
      <c r="AB4" s="2370" t="s">
        <v>1429</v>
      </c>
      <c r="AC4" s="2321" t="s">
        <v>1430</v>
      </c>
      <c r="AD4" s="2369" t="s">
        <v>5</v>
      </c>
    </row>
    <row r="5" spans="1:30" s="2258" customFormat="1" ht="19.5" customHeight="1">
      <c r="B5" s="2638" t="s">
        <v>1431</v>
      </c>
      <c r="C5" s="2253" t="s">
        <v>1432</v>
      </c>
      <c r="D5" s="2254">
        <f>SUM(D6:D8)</f>
        <v>262100</v>
      </c>
      <c r="E5" s="2254">
        <f>SUM(E6:E8)</f>
        <v>104048.417</v>
      </c>
      <c r="F5" s="2254">
        <f t="shared" ref="F5:G5" si="0">SUM(F6:F8)</f>
        <v>81489</v>
      </c>
      <c r="G5" s="2255">
        <f t="shared" si="0"/>
        <v>-22559.417000000001</v>
      </c>
      <c r="H5" s="2255">
        <f>SUM(H6:H8)</f>
        <v>17361.696153846155</v>
      </c>
      <c r="I5" s="2255">
        <f>G5-H5</f>
        <v>-39921.113153846156</v>
      </c>
      <c r="J5" s="2254">
        <f>SUM(J6:J8)</f>
        <v>887714.68434399995</v>
      </c>
      <c r="K5" s="2256" t="str">
        <f>IF(I5&gt;0,"增加","减少")</f>
        <v>减少</v>
      </c>
      <c r="L5" s="2256">
        <f>'@分析#利润分析#'!J5+'@预测#利润分析#'!F5-'@预测#利润分析#'!J5</f>
        <v>0</v>
      </c>
      <c r="M5" s="2257"/>
      <c r="P5" s="2252"/>
      <c r="W5" s="2641" t="s">
        <v>1431</v>
      </c>
      <c r="X5" s="2322" t="s">
        <v>1432</v>
      </c>
      <c r="Y5" s="2323">
        <f t="shared" ref="Y5:AD11" si="1">E5</f>
        <v>104048.417</v>
      </c>
      <c r="Z5" s="2323">
        <f t="shared" si="1"/>
        <v>81489</v>
      </c>
      <c r="AA5" s="2324">
        <f t="shared" si="1"/>
        <v>-22559.417000000001</v>
      </c>
      <c r="AB5" s="2324">
        <f t="shared" si="1"/>
        <v>17361.696153846155</v>
      </c>
      <c r="AC5" s="2324">
        <f t="shared" si="1"/>
        <v>-39921.113153846156</v>
      </c>
      <c r="AD5" s="2323">
        <f t="shared" si="1"/>
        <v>887714.68434399995</v>
      </c>
    </row>
    <row r="6" spans="1:30" ht="19.5" customHeight="1">
      <c r="B6" s="2639"/>
      <c r="C6" s="2374" t="s">
        <v>46</v>
      </c>
      <c r="D6" s="2260">
        <v>240000</v>
      </c>
      <c r="E6" s="2260">
        <f>SUMIFS('利润（汇总）'!7:7,'利润（汇总）'!$1:$1,$B$1,'利润（汇总）'!$2:$2,$B$2)</f>
        <v>104942</v>
      </c>
      <c r="F6" s="2260">
        <f>'@预测#收入利润#'!M6</f>
        <v>78461</v>
      </c>
      <c r="G6" s="2261">
        <f>F6-E6</f>
        <v>-26481</v>
      </c>
      <c r="H6" s="2261">
        <f>-U21</f>
        <v>17361.696153846155</v>
      </c>
      <c r="I6" s="2262">
        <f t="shared" ref="I6:I66" si="2">G6-H6</f>
        <v>-43842.696153846155</v>
      </c>
      <c r="J6" s="2260">
        <f>'@分析#利润分析#'!J6+F6</f>
        <v>850033</v>
      </c>
      <c r="K6" s="2256" t="str">
        <f t="shared" ref="K6:K9" si="3">IF(I6&gt;0,"增加","减少")</f>
        <v>减少</v>
      </c>
      <c r="L6" s="2256">
        <f>'@分析#利润分析#'!J6+'@预测#利润分析#'!F6-'@预测#利润分析#'!J6</f>
        <v>0</v>
      </c>
      <c r="Q6" s="2264">
        <f>29.6-23.86</f>
        <v>5.740000000000002</v>
      </c>
      <c r="R6" s="2265">
        <f>(24.5-19.48)</f>
        <v>5.0199999999999996</v>
      </c>
      <c r="W6" s="2641"/>
      <c r="X6" s="2325" t="s">
        <v>46</v>
      </c>
      <c r="Y6" s="2326">
        <f t="shared" si="1"/>
        <v>104942</v>
      </c>
      <c r="Z6" s="2326">
        <f t="shared" si="1"/>
        <v>78461</v>
      </c>
      <c r="AA6" s="2327">
        <f t="shared" si="1"/>
        <v>-26481</v>
      </c>
      <c r="AB6" s="2327">
        <f t="shared" si="1"/>
        <v>17361.696153846155</v>
      </c>
      <c r="AC6" s="2328">
        <f t="shared" si="1"/>
        <v>-43842.696153846155</v>
      </c>
      <c r="AD6" s="2326">
        <f t="shared" si="1"/>
        <v>850033</v>
      </c>
    </row>
    <row r="7" spans="1:30" ht="19.5" customHeight="1">
      <c r="B7" s="2639"/>
      <c r="C7" s="2374" t="s">
        <v>1233</v>
      </c>
      <c r="D7" s="2260">
        <v>100</v>
      </c>
      <c r="E7" s="2260">
        <f>SUMIFS('利润（汇总）'!8:8,'利润（汇总）'!$1:$1,$B$1,'利润（汇总）'!$2:$2,$B$2)</f>
        <v>-4419.5829999999996</v>
      </c>
      <c r="F7" s="2260">
        <f>'@预测#收入利润#'!M7</f>
        <v>1028</v>
      </c>
      <c r="G7" s="2261">
        <f>F7-E7</f>
        <v>5447.5829999999996</v>
      </c>
      <c r="H7" s="2261"/>
      <c r="I7" s="2262">
        <f t="shared" si="2"/>
        <v>5447.5829999999996</v>
      </c>
      <c r="J7" s="2260">
        <f>'@分析#利润分析#'!J7+F7</f>
        <v>4537.3142199999756</v>
      </c>
      <c r="K7" s="2256" t="str">
        <f t="shared" si="3"/>
        <v>增加</v>
      </c>
      <c r="L7" s="2256">
        <f>'@分析#利润分析#'!J7+'@预测#利润分析#'!F7-'@预测#利润分析#'!J7</f>
        <v>0</v>
      </c>
      <c r="Q7" s="2264">
        <f>(29.6-23.86)*(1110-406)</f>
        <v>4040.9600000000014</v>
      </c>
      <c r="R7" s="2265">
        <f>(24.5-19.48)*(1176-520)</f>
        <v>3293.12</v>
      </c>
      <c r="W7" s="2641"/>
      <c r="X7" s="2325" t="s">
        <v>1233</v>
      </c>
      <c r="Y7" s="2326">
        <f t="shared" si="1"/>
        <v>-4419.5829999999996</v>
      </c>
      <c r="Z7" s="2326">
        <f t="shared" si="1"/>
        <v>1028</v>
      </c>
      <c r="AA7" s="2327">
        <f t="shared" si="1"/>
        <v>5447.5829999999996</v>
      </c>
      <c r="AB7" s="2329">
        <f t="shared" si="1"/>
        <v>0</v>
      </c>
      <c r="AC7" s="2328">
        <f t="shared" si="1"/>
        <v>5447.5829999999996</v>
      </c>
      <c r="AD7" s="2326">
        <f t="shared" si="1"/>
        <v>4537.3142199999756</v>
      </c>
    </row>
    <row r="8" spans="1:30" ht="19.5" customHeight="1">
      <c r="B8" s="2639"/>
      <c r="C8" s="2374" t="s">
        <v>1234</v>
      </c>
      <c r="D8" s="2260">
        <v>22000</v>
      </c>
      <c r="E8" s="2260">
        <f>SUMIFS('利润（汇总）'!9:9,'利润（汇总）'!$1:$1,$B$1,'利润（汇总）'!$2:$2,$B$2)</f>
        <v>3526</v>
      </c>
      <c r="F8" s="2260">
        <f>'@预测#收入利润#'!M8</f>
        <v>2000</v>
      </c>
      <c r="G8" s="2261">
        <f>F8-E8</f>
        <v>-1526</v>
      </c>
      <c r="H8" s="2261"/>
      <c r="I8" s="2262">
        <f t="shared" si="2"/>
        <v>-1526</v>
      </c>
      <c r="J8" s="2260">
        <f>'@分析#利润分析#'!J8+F8</f>
        <v>33144.370124000008</v>
      </c>
      <c r="K8" s="2256" t="str">
        <f t="shared" si="3"/>
        <v>减少</v>
      </c>
      <c r="L8" s="2256">
        <f>'@分析#利润分析#'!J8+'@预测#利润分析#'!F8-'@预测#利润分析#'!J8</f>
        <v>0</v>
      </c>
      <c r="W8" s="2641"/>
      <c r="X8" s="2325" t="s">
        <v>1234</v>
      </c>
      <c r="Y8" s="2326">
        <f t="shared" si="1"/>
        <v>3526</v>
      </c>
      <c r="Z8" s="2326">
        <f t="shared" si="1"/>
        <v>2000</v>
      </c>
      <c r="AA8" s="2327">
        <f t="shared" si="1"/>
        <v>-1526</v>
      </c>
      <c r="AB8" s="2329">
        <f t="shared" si="1"/>
        <v>0</v>
      </c>
      <c r="AC8" s="2328">
        <f t="shared" si="1"/>
        <v>-1526</v>
      </c>
      <c r="AD8" s="2326">
        <f t="shared" si="1"/>
        <v>33144.370124000008</v>
      </c>
    </row>
    <row r="9" spans="1:30" ht="19.5" customHeight="1">
      <c r="B9" s="2639"/>
      <c r="C9" s="2253" t="s">
        <v>1114</v>
      </c>
      <c r="D9" s="2254">
        <f>SUM(D10:D22)</f>
        <v>709737.92301135336</v>
      </c>
      <c r="E9" s="2254">
        <f>E10+E11+E17+E22</f>
        <v>114697.81872499999</v>
      </c>
      <c r="F9" s="2254">
        <f>F10+F11+F17+F22</f>
        <v>106673.04950046154</v>
      </c>
      <c r="G9" s="2255">
        <f>G10+G11+G17+G22</f>
        <v>-8024.7692245384515</v>
      </c>
      <c r="H9" s="2255">
        <f>H10+H11+H17+H22</f>
        <v>-17361.696153846155</v>
      </c>
      <c r="I9" s="2255">
        <f>G9-H9</f>
        <v>9336.9269293077032</v>
      </c>
      <c r="J9" s="2254">
        <f>J10+J11+J17+J22</f>
        <v>813064.57178046147</v>
      </c>
      <c r="K9" s="2256" t="str">
        <f t="shared" si="3"/>
        <v>增加</v>
      </c>
      <c r="L9" s="2256">
        <f>'@分析#利润分析#'!J9+'@预测#利润分析#'!F9-'@预测#利润分析#'!J9</f>
        <v>0</v>
      </c>
      <c r="M9" s="2257"/>
      <c r="N9" s="2273"/>
      <c r="W9" s="2641"/>
      <c r="X9" s="2322" t="s">
        <v>1114</v>
      </c>
      <c r="Y9" s="2323">
        <f t="shared" si="1"/>
        <v>114697.81872499999</v>
      </c>
      <c r="Z9" s="2323">
        <f t="shared" si="1"/>
        <v>106673.04950046154</v>
      </c>
      <c r="AA9" s="2324">
        <f t="shared" si="1"/>
        <v>-8024.7692245384515</v>
      </c>
      <c r="AB9" s="2324">
        <f t="shared" si="1"/>
        <v>-17361.696153846155</v>
      </c>
      <c r="AC9" s="2324">
        <f t="shared" si="1"/>
        <v>9336.9269293077032</v>
      </c>
      <c r="AD9" s="2323">
        <f t="shared" si="1"/>
        <v>813064.57178046147</v>
      </c>
    </row>
    <row r="10" spans="1:30" s="2258" customFormat="1" ht="19.5" customHeight="1">
      <c r="B10" s="2639"/>
      <c r="C10" s="2266" t="s">
        <v>1433</v>
      </c>
      <c r="D10" s="2267"/>
      <c r="E10" s="2267">
        <f>SUMIFS('#分板块利润分析'!13:13,'#分板块利润分析'!$3:$3,$B$2)+SUMIFS('#分板块利润分析'!14:14,'#分板块利润分析'!$3:$3,$B$2)+SUMIFS('#分板块利润分析'!15:15,'#分板块利润分析'!$3:$3,$B$2)+SUMIFS('#分板块利润分析'!16:16,'#分板块利润分析'!$3:$3,$B$2)</f>
        <v>28914.219978000001</v>
      </c>
      <c r="F10" s="2378">
        <f>E10+P11</f>
        <v>23765.869977999999</v>
      </c>
      <c r="G10" s="2268">
        <f t="shared" ref="G10:G49" si="4">F10-E10</f>
        <v>-5148.3500000000022</v>
      </c>
      <c r="H10" s="2268">
        <f>P16</f>
        <v>-5689.3500000000022</v>
      </c>
      <c r="I10" s="2255">
        <f>G10-H10</f>
        <v>541</v>
      </c>
      <c r="J10" s="2267">
        <f>'@分析#利润分析#'!J10+F10</f>
        <v>191766.46406500001</v>
      </c>
      <c r="K10" s="2256"/>
      <c r="L10" s="2256">
        <f>'@分析#利润分析#'!J10+'@预测#利润分析#'!F10-'@预测#利润分析#'!J10</f>
        <v>0</v>
      </c>
      <c r="M10" s="2256"/>
      <c r="P10" s="2252"/>
      <c r="W10" s="2641"/>
      <c r="X10" s="2325" t="s">
        <v>1433</v>
      </c>
      <c r="Y10" s="2326">
        <f t="shared" si="1"/>
        <v>28914.219978000001</v>
      </c>
      <c r="Z10" s="2326">
        <f t="shared" si="1"/>
        <v>23765.869977999999</v>
      </c>
      <c r="AA10" s="2327">
        <f t="shared" si="1"/>
        <v>-5148.3500000000022</v>
      </c>
      <c r="AB10" s="2327">
        <f t="shared" si="1"/>
        <v>-5689.3500000000022</v>
      </c>
      <c r="AC10" s="2328">
        <f t="shared" si="1"/>
        <v>541</v>
      </c>
      <c r="AD10" s="2326">
        <f t="shared" si="1"/>
        <v>191766.46406500001</v>
      </c>
    </row>
    <row r="11" spans="1:30" s="2258" customFormat="1" ht="19.5" customHeight="1">
      <c r="B11" s="2639"/>
      <c r="C11" s="2266" t="s">
        <v>1434</v>
      </c>
      <c r="D11" s="2267">
        <f>SUM(D12:D16)</f>
        <v>320294.57844116056</v>
      </c>
      <c r="E11" s="2267">
        <f t="shared" ref="E11:J11" si="5">SUM(E12:E16)</f>
        <v>83256.655601999984</v>
      </c>
      <c r="F11" s="2267">
        <f>SUM(F12:F16)</f>
        <v>79915.390223615381</v>
      </c>
      <c r="G11" s="2268">
        <f t="shared" si="4"/>
        <v>-3341.2653783846035</v>
      </c>
      <c r="H11" s="2268">
        <f>SUM(H12:H16)</f>
        <v>-8611.1923076923067</v>
      </c>
      <c r="I11" s="2255">
        <f>G11-H11</f>
        <v>5269.9269293077032</v>
      </c>
      <c r="J11" s="2267">
        <f t="shared" si="5"/>
        <v>582321.39530561527</v>
      </c>
      <c r="K11" s="2256"/>
      <c r="L11" s="2256">
        <f>'@分析#利润分析#'!J11+'@预测#利润分析#'!F11-'@预测#利润分析#'!J11</f>
        <v>0</v>
      </c>
      <c r="M11" s="2256"/>
      <c r="O11" s="2253" t="s">
        <v>1435</v>
      </c>
      <c r="P11" s="2254">
        <f>SUM(P12:P16)</f>
        <v>-5148.3500000000022</v>
      </c>
      <c r="W11" s="2641"/>
      <c r="X11" s="2325" t="s">
        <v>1434</v>
      </c>
      <c r="Y11" s="2326">
        <f t="shared" si="1"/>
        <v>83256.655601999984</v>
      </c>
      <c r="Z11" s="2326">
        <f t="shared" si="1"/>
        <v>79915.390223615381</v>
      </c>
      <c r="AA11" s="2327">
        <f t="shared" si="1"/>
        <v>-3341.2653783846035</v>
      </c>
      <c r="AB11" s="2327">
        <f t="shared" si="1"/>
        <v>-8611.1923076923067</v>
      </c>
      <c r="AC11" s="2328">
        <f t="shared" si="1"/>
        <v>5269.9269293077032</v>
      </c>
      <c r="AD11" s="2326">
        <f t="shared" si="1"/>
        <v>582321.39530561527</v>
      </c>
    </row>
    <row r="12" spans="1:30" ht="19.5" customHeight="1">
      <c r="B12" s="2639"/>
      <c r="C12" s="2270" t="s">
        <v>1436</v>
      </c>
      <c r="D12" s="2260">
        <v>320294.57844116056</v>
      </c>
      <c r="E12" s="2260">
        <f>SUMIFS('利润（汇总）'!5:5,'利润（汇总）'!$1:$1,$B$1,'利润（汇总）'!$2:$2,$B$2)</f>
        <v>65368.601999999999</v>
      </c>
      <c r="F12" s="2260">
        <f>'@预测#收入利润#'!M10</f>
        <v>60720.800000000003</v>
      </c>
      <c r="G12" s="2261">
        <f>F12-E12</f>
        <v>-4647.801999999996</v>
      </c>
      <c r="H12" s="2261">
        <f>-P23</f>
        <v>-12972.192307692307</v>
      </c>
      <c r="I12" s="2255">
        <f t="shared" ref="I12:I15" si="6">G12-H12</f>
        <v>8324.3903076923107</v>
      </c>
      <c r="J12" s="2260">
        <f>'@分析#利润分析#'!J12+F12</f>
        <v>438108.76860900002</v>
      </c>
      <c r="K12" s="2263"/>
      <c r="L12" s="2256">
        <f>'@分析#利润分析#'!J12+'@预测#利润分析#'!F12-'@预测#利润分析#'!J12</f>
        <v>0</v>
      </c>
      <c r="M12" s="2263"/>
      <c r="O12" s="2277" t="s">
        <v>1437</v>
      </c>
      <c r="P12" s="2375">
        <v>-1834</v>
      </c>
      <c r="W12" s="2641"/>
      <c r="X12" s="2325" t="s">
        <v>1438</v>
      </c>
      <c r="Y12" s="2326">
        <f t="shared" ref="Y12:AD12" si="7">E17</f>
        <v>2846.9431449999997</v>
      </c>
      <c r="Z12" s="2326">
        <f t="shared" si="7"/>
        <v>3328.7892988461535</v>
      </c>
      <c r="AA12" s="2327">
        <f t="shared" si="7"/>
        <v>481.84615384615381</v>
      </c>
      <c r="AB12" s="2327">
        <f t="shared" si="7"/>
        <v>-3061.1538461538457</v>
      </c>
      <c r="AC12" s="2328">
        <f t="shared" si="7"/>
        <v>3542.9999999999995</v>
      </c>
      <c r="AD12" s="2326">
        <f t="shared" si="7"/>
        <v>38247.015174846172</v>
      </c>
    </row>
    <row r="13" spans="1:30" ht="19.5" customHeight="1">
      <c r="B13" s="2639"/>
      <c r="C13" s="2270" t="s">
        <v>1439</v>
      </c>
      <c r="D13" s="2260"/>
      <c r="E13" s="2260">
        <f>SUMIFS('#需填写'!17:17,'#需填写'!$1:$1,$B$1,'#需填写'!$2:$2,$B$2)/10000</f>
        <v>8798.5383299999994</v>
      </c>
      <c r="F13" s="2260">
        <f>P37</f>
        <v>7773.8849999999993</v>
      </c>
      <c r="G13" s="2261">
        <f t="shared" si="4"/>
        <v>-1024.6533300000001</v>
      </c>
      <c r="H13" s="2261"/>
      <c r="I13" s="2255">
        <f t="shared" si="6"/>
        <v>-1024.6533300000001</v>
      </c>
      <c r="J13" s="2260">
        <f>'@分析#利润分析#'!J13+F13</f>
        <v>62950.242858000005</v>
      </c>
      <c r="K13" s="2263"/>
      <c r="L13" s="2256">
        <f>'@分析#利润分析#'!J13+'@预测#利润分析#'!F13-'@预测#利润分析#'!J13</f>
        <v>0</v>
      </c>
      <c r="M13" s="2263"/>
      <c r="O13" s="2277" t="s">
        <v>1440</v>
      </c>
      <c r="P13" s="2375">
        <v>335</v>
      </c>
      <c r="W13" s="2641"/>
      <c r="X13" s="2325" t="s">
        <v>1441</v>
      </c>
      <c r="Y13" s="2326">
        <f t="shared" ref="Y13:AD15" si="8">E22</f>
        <v>-320</v>
      </c>
      <c r="Z13" s="2326">
        <f t="shared" si="8"/>
        <v>-337</v>
      </c>
      <c r="AA13" s="2327">
        <f t="shared" si="8"/>
        <v>-17</v>
      </c>
      <c r="AB13" s="2329">
        <f t="shared" si="8"/>
        <v>0</v>
      </c>
      <c r="AC13" s="2328">
        <f t="shared" si="8"/>
        <v>-17</v>
      </c>
      <c r="AD13" s="2326">
        <f t="shared" si="8"/>
        <v>729.69723500000009</v>
      </c>
    </row>
    <row r="14" spans="1:30" ht="19.5" customHeight="1">
      <c r="B14" s="2639"/>
      <c r="C14" s="2270" t="s">
        <v>1442</v>
      </c>
      <c r="D14" s="2260"/>
      <c r="E14" s="2260">
        <f>SUMIFS('#需填写'!19:19,'#需填写'!$1:$1,$B$1,'#需填写'!$2:$2,$B$2)/10000</f>
        <v>1351.947011</v>
      </c>
      <c r="F14" s="2260">
        <f>P38</f>
        <v>1197.1044615384615</v>
      </c>
      <c r="G14" s="2261">
        <f t="shared" si="4"/>
        <v>-154.84254946153851</v>
      </c>
      <c r="H14" s="2261"/>
      <c r="I14" s="2255">
        <f t="shared" si="6"/>
        <v>-154.84254946153851</v>
      </c>
      <c r="J14" s="2260">
        <f>'@分析#利润分析#'!J14+F14</f>
        <v>9697.9335525384613</v>
      </c>
      <c r="K14" s="2263"/>
      <c r="L14" s="2256">
        <f>'@分析#利润分析#'!J14+'@预测#利润分析#'!F14-'@预测#利润分析#'!J14</f>
        <v>0</v>
      </c>
      <c r="M14" s="2263"/>
      <c r="O14" s="2277" t="s">
        <v>1443</v>
      </c>
      <c r="P14" s="2375">
        <v>393</v>
      </c>
      <c r="W14" s="2641"/>
      <c r="X14" s="2322" t="s">
        <v>1444</v>
      </c>
      <c r="Y14" s="2323">
        <f t="shared" si="8"/>
        <v>218746.23572499998</v>
      </c>
      <c r="Z14" s="2323">
        <f t="shared" si="8"/>
        <v>188162.04950046155</v>
      </c>
      <c r="AA14" s="2324">
        <f t="shared" si="8"/>
        <v>-30584.186224538425</v>
      </c>
      <c r="AB14" s="2330">
        <f t="shared" si="8"/>
        <v>0</v>
      </c>
      <c r="AC14" s="2324">
        <f t="shared" si="8"/>
        <v>-30584.186224538425</v>
      </c>
      <c r="AD14" s="2323">
        <f t="shared" si="8"/>
        <v>1700779.2561244615</v>
      </c>
    </row>
    <row r="15" spans="1:30" ht="19.5" customHeight="1">
      <c r="B15" s="2639"/>
      <c r="C15" s="2270" t="s">
        <v>1445</v>
      </c>
      <c r="D15" s="2260"/>
      <c r="E15" s="2260">
        <f>SUMIFS('#需填写'!18:18,'#需填写'!$1:$1,$B$1,'#需填写'!$2:$2,$B$2)/10000</f>
        <v>2703.8940219999999</v>
      </c>
      <c r="F15" s="2260">
        <f>P39</f>
        <v>2394.2089230769229</v>
      </c>
      <c r="G15" s="2261">
        <f>F15-E15</f>
        <v>-309.68509892307702</v>
      </c>
      <c r="H15" s="2261"/>
      <c r="I15" s="2255">
        <f t="shared" si="6"/>
        <v>-309.68509892307702</v>
      </c>
      <c r="J15" s="2260">
        <f>'@分析#利润分析#'!J15+F15</f>
        <v>19395.867105076923</v>
      </c>
      <c r="K15" s="2263"/>
      <c r="L15" s="2256">
        <f>'@分析#利润分析#'!J15+'@预测#利润分析#'!F15-'@预测#利润分析#'!J15</f>
        <v>0</v>
      </c>
      <c r="M15" s="2263"/>
      <c r="O15" s="2277" t="s">
        <v>1435</v>
      </c>
      <c r="P15" s="2375">
        <v>1647</v>
      </c>
      <c r="Q15" s="2273"/>
      <c r="W15" s="2637" t="s">
        <v>1112</v>
      </c>
      <c r="X15" s="2331" t="str">
        <f>C24</f>
        <v>资源环境业</v>
      </c>
      <c r="Y15" s="2326">
        <f t="shared" si="8"/>
        <v>6740.4001869999993</v>
      </c>
      <c r="Z15" s="2326">
        <f t="shared" si="8"/>
        <v>6611</v>
      </c>
      <c r="AA15" s="2327">
        <f t="shared" si="8"/>
        <v>-129.40018699999928</v>
      </c>
      <c r="AB15" s="2329">
        <f t="shared" si="8"/>
        <v>0</v>
      </c>
      <c r="AC15" s="2328">
        <f t="shared" si="8"/>
        <v>-129.40018699999928</v>
      </c>
      <c r="AD15" s="2326">
        <f t="shared" si="8"/>
        <v>61317.633082</v>
      </c>
    </row>
    <row r="16" spans="1:30" ht="19.5" customHeight="1">
      <c r="B16" s="2639"/>
      <c r="C16" s="2270" t="s">
        <v>1590</v>
      </c>
      <c r="D16" s="2260"/>
      <c r="E16" s="2260">
        <f>SUMIFS('#需填写'!4:4,'#需填写'!$1:$1,$B$1,'#需填写'!$2:$2,$B$2)/10000-SUMIFS('#需填写'!5:5,'#需填写'!$1:$1,$B$1,'#需填写'!$2:$2,$B$2)/10000</f>
        <v>5033.6742389999999</v>
      </c>
      <c r="F16" s="2379">
        <f>E16+P18</f>
        <v>7829.3918389999999</v>
      </c>
      <c r="G16" s="2261">
        <f>F16-E16</f>
        <v>2795.7175999999999</v>
      </c>
      <c r="H16" s="2261">
        <f>P22+P23</f>
        <v>4361</v>
      </c>
      <c r="I16" s="2262">
        <f>G16-H16</f>
        <v>-1565.2824000000001</v>
      </c>
      <c r="J16" s="2260">
        <f>'@分析#利润分析#'!J16+F16</f>
        <v>52168.583180999805</v>
      </c>
      <c r="K16" s="2263"/>
      <c r="L16" s="2256">
        <f>'@分析#利润分析#'!J16+'@预测#利润分析#'!F16-'@预测#利润分析#'!J16</f>
        <v>0</v>
      </c>
      <c r="M16" s="2263"/>
      <c r="O16" s="2277" t="s">
        <v>1448</v>
      </c>
      <c r="P16" s="2376">
        <f>新价格!C17</f>
        <v>-5689.3500000000022</v>
      </c>
      <c r="W16" s="2637"/>
      <c r="X16" s="2331" t="str">
        <f>C31</f>
        <v>产业金融业</v>
      </c>
      <c r="Y16" s="2326">
        <f t="shared" ref="Y16:AD16" si="9">E31</f>
        <v>3249.360561</v>
      </c>
      <c r="Z16" s="2326">
        <f t="shared" si="9"/>
        <v>5125.5</v>
      </c>
      <c r="AA16" s="2327">
        <f t="shared" si="9"/>
        <v>1876.139439</v>
      </c>
      <c r="AB16" s="2329">
        <f t="shared" si="9"/>
        <v>0</v>
      </c>
      <c r="AC16" s="2328">
        <f t="shared" si="9"/>
        <v>1876.139439</v>
      </c>
      <c r="AD16" s="2326">
        <f t="shared" si="9"/>
        <v>44912.685644000005</v>
      </c>
    </row>
    <row r="17" spans="2:30" s="2258" customFormat="1" ht="19.5" customHeight="1">
      <c r="B17" s="2639"/>
      <c r="C17" s="2266" t="s">
        <v>1438</v>
      </c>
      <c r="D17" s="2267"/>
      <c r="E17" s="2267">
        <f>SUM(E18:E21)</f>
        <v>2846.9431449999997</v>
      </c>
      <c r="F17" s="2267">
        <f>SUM(F18:F21)</f>
        <v>3328.7892988461535</v>
      </c>
      <c r="G17" s="2268">
        <f t="shared" si="4"/>
        <v>481.84615384615381</v>
      </c>
      <c r="H17" s="2268">
        <f>SUM(H18:H21)</f>
        <v>-3061.1538461538457</v>
      </c>
      <c r="I17" s="2255">
        <f t="shared" si="2"/>
        <v>3542.9999999999995</v>
      </c>
      <c r="J17" s="2267">
        <f>SUM(J18:J21)</f>
        <v>38247.015174846172</v>
      </c>
      <c r="K17" s="2256"/>
      <c r="L17" s="2256">
        <f>'@分析#利润分析#'!J17+'@预测#利润分析#'!F17-'@预测#利润分析#'!J17</f>
        <v>0</v>
      </c>
      <c r="M17" s="2256"/>
      <c r="W17" s="2637"/>
      <c r="X17" s="2331" t="str">
        <f>C37</f>
        <v>智慧服务业</v>
      </c>
      <c r="Y17" s="2326">
        <f t="shared" ref="Y17:AD17" si="10">E37</f>
        <v>-385.74505700000003</v>
      </c>
      <c r="Z17" s="2326">
        <f t="shared" si="10"/>
        <v>40</v>
      </c>
      <c r="AA17" s="2327">
        <f t="shared" si="10"/>
        <v>425.74505700000003</v>
      </c>
      <c r="AB17" s="2329">
        <f t="shared" si="10"/>
        <v>0</v>
      </c>
      <c r="AC17" s="2328">
        <f t="shared" si="10"/>
        <v>425.74505700000003</v>
      </c>
      <c r="AD17" s="2326">
        <f t="shared" si="10"/>
        <v>1969.791356</v>
      </c>
    </row>
    <row r="18" spans="2:30" ht="19.5" customHeight="1">
      <c r="B18" s="2639"/>
      <c r="C18" s="2270" t="s">
        <v>1450</v>
      </c>
      <c r="D18" s="2260">
        <v>62024.516129032265</v>
      </c>
      <c r="E18" s="2260">
        <f>SUMIFS('利润（汇总）'!4:4,'利润（汇总）'!$1:$1,$B$1,'利润（汇总）'!$2:$2,$B$2)</f>
        <v>2958</v>
      </c>
      <c r="F18" s="2260">
        <f>'@预测#收入利润#'!M9</f>
        <v>3102.717461538462</v>
      </c>
      <c r="G18" s="2261">
        <f>F18-E18</f>
        <v>144.71746153846198</v>
      </c>
      <c r="H18" s="2261">
        <f>-P31</f>
        <v>-3061.1538461538457</v>
      </c>
      <c r="I18" s="2262">
        <f t="shared" si="2"/>
        <v>3205.8713076923077</v>
      </c>
      <c r="J18" s="2260">
        <f>'@分析#利润分析#'!J18+F18</f>
        <v>36078.116150538466</v>
      </c>
      <c r="K18" s="2263"/>
      <c r="L18" s="2256">
        <f>'@分析#利润分析#'!J18+'@预测#利润分析#'!F18-'@预测#利润分析#'!J18</f>
        <v>0</v>
      </c>
      <c r="M18" s="2263"/>
      <c r="O18" s="2253" t="s">
        <v>1588</v>
      </c>
      <c r="P18" s="2254">
        <f>SUM(P19:P23)</f>
        <v>2795.7175999999999</v>
      </c>
      <c r="W18" s="2637"/>
      <c r="X18" s="2331" t="str">
        <f>C42</f>
        <v>新材料产业</v>
      </c>
      <c r="Y18" s="2326">
        <f t="shared" ref="Y18:AD18" si="11">E42</f>
        <v>820</v>
      </c>
      <c r="Z18" s="2326">
        <f t="shared" si="11"/>
        <v>-284</v>
      </c>
      <c r="AA18" s="2327">
        <f t="shared" si="11"/>
        <v>-1104</v>
      </c>
      <c r="AB18" s="2329">
        <f t="shared" si="11"/>
        <v>0</v>
      </c>
      <c r="AC18" s="2328">
        <f t="shared" si="11"/>
        <v>-1104</v>
      </c>
      <c r="AD18" s="2326">
        <f t="shared" si="11"/>
        <v>1246.8225520000005</v>
      </c>
    </row>
    <row r="19" spans="2:30" ht="19.5" customHeight="1" thickBot="1">
      <c r="B19" s="2639"/>
      <c r="C19" s="2270" t="s">
        <v>1442</v>
      </c>
      <c r="D19" s="2260"/>
      <c r="E19" s="2260">
        <f>SUMIFS('#需填写'!23:23,'#需填写'!$1:$1,$B$1,'#需填写'!$2:$2,$B$2)/10000</f>
        <v>7.9429999999999996</v>
      </c>
      <c r="F19" s="2260">
        <f>P42</f>
        <v>120.31923076923076</v>
      </c>
      <c r="G19" s="2261">
        <f t="shared" si="4"/>
        <v>112.37623076923076</v>
      </c>
      <c r="H19" s="2261"/>
      <c r="I19" s="2262">
        <f t="shared" si="2"/>
        <v>112.37623076923076</v>
      </c>
      <c r="J19" s="2260">
        <f>'@分析#利润分析#'!J19+F19</f>
        <v>883.24608376923072</v>
      </c>
      <c r="K19" s="2263"/>
      <c r="L19" s="2256">
        <f>'@分析#利润分析#'!J19+'@预测#利润分析#'!F19-'@预测#利润分析#'!J19</f>
        <v>0</v>
      </c>
      <c r="M19" s="2263"/>
      <c r="O19" s="2377" t="s">
        <v>1455</v>
      </c>
      <c r="P19" s="2376">
        <f>(1522-1582)*24.5</f>
        <v>-1470</v>
      </c>
      <c r="Q19" s="2265">
        <f>1260-1194</f>
        <v>66</v>
      </c>
      <c r="W19" s="2637"/>
      <c r="X19" s="2331" t="str">
        <f>C45</f>
        <v>产业园区业</v>
      </c>
      <c r="Y19" s="2326">
        <f t="shared" ref="Y19:AD19" si="12">E45</f>
        <v>199.363</v>
      </c>
      <c r="Z19" s="2326">
        <f t="shared" si="12"/>
        <v>120</v>
      </c>
      <c r="AA19" s="2327">
        <f t="shared" si="12"/>
        <v>-79.363</v>
      </c>
      <c r="AB19" s="2329">
        <f t="shared" si="12"/>
        <v>0</v>
      </c>
      <c r="AC19" s="2328">
        <f t="shared" si="12"/>
        <v>-79.363</v>
      </c>
      <c r="AD19" s="2326">
        <f t="shared" si="12"/>
        <v>3040.9813489999997</v>
      </c>
    </row>
    <row r="20" spans="2:30" ht="19.5" customHeight="1">
      <c r="B20" s="2639"/>
      <c r="C20" s="2270" t="s">
        <v>1445</v>
      </c>
      <c r="D20" s="2260"/>
      <c r="E20" s="2260">
        <f>E19*2</f>
        <v>15.885999999999999</v>
      </c>
      <c r="F20" s="2260">
        <f>P43</f>
        <v>240.63846153846151</v>
      </c>
      <c r="G20" s="2261">
        <f t="shared" si="4"/>
        <v>224.75246153846152</v>
      </c>
      <c r="H20" s="2261"/>
      <c r="I20" s="2262">
        <f t="shared" si="2"/>
        <v>224.75246153846152</v>
      </c>
      <c r="J20" s="2260">
        <f>'@分析#利润分析#'!J20+F20</f>
        <v>1766.4921675384614</v>
      </c>
      <c r="K20" s="2263"/>
      <c r="L20" s="2256">
        <f>'@分析#利润分析#'!J20+'@预测#利润分析#'!F20-'@预测#利润分析#'!J20</f>
        <v>0</v>
      </c>
      <c r="M20" s="2424"/>
      <c r="O20" s="2377" t="s">
        <v>1457</v>
      </c>
      <c r="P20" s="2376">
        <f>新价格!H26</f>
        <v>-95.282399999999953</v>
      </c>
      <c r="R20" s="2275" t="s">
        <v>1454</v>
      </c>
      <c r="S20" s="2574"/>
      <c r="T20" s="2574"/>
      <c r="U20" s="2423">
        <f>U21+U22</f>
        <v>-1328.3500000000022</v>
      </c>
      <c r="W20" s="2637"/>
      <c r="X20" s="2331" t="str">
        <f>C50</f>
        <v>其他业务</v>
      </c>
      <c r="Y20" s="2326">
        <f t="shared" ref="Y20:AD20" si="13">E50</f>
        <v>-37.721206000000002</v>
      </c>
      <c r="Z20" s="2326">
        <f t="shared" si="13"/>
        <v>-38</v>
      </c>
      <c r="AA20" s="2327">
        <f t="shared" si="13"/>
        <v>-0.27879399999999777</v>
      </c>
      <c r="AB20" s="2329">
        <f t="shared" si="13"/>
        <v>0</v>
      </c>
      <c r="AC20" s="2328">
        <f t="shared" si="13"/>
        <v>-0.27879399999999777</v>
      </c>
      <c r="AD20" s="2326">
        <f t="shared" si="13"/>
        <v>-331.98440699999998</v>
      </c>
    </row>
    <row r="21" spans="2:30" ht="19.5" customHeight="1">
      <c r="B21" s="2639"/>
      <c r="C21" s="2270" t="s">
        <v>1590</v>
      </c>
      <c r="D21" s="2260"/>
      <c r="E21" s="2260">
        <f>SUMIFS('#需填写'!6:6,'#需填写'!$1:$1,$B$1,'#需填写'!$2:$2,$B$2)/10000-SUMIFS('#需填写'!7:7,'#需填写'!$1:$1,$B$1,'#需填写'!$2:$2,$B$2)/10000</f>
        <v>-134.88585500000045</v>
      </c>
      <c r="F21" s="2260">
        <f>E21+P28</f>
        <v>-134.88585500000045</v>
      </c>
      <c r="G21" s="2261">
        <f>F21-E21</f>
        <v>0</v>
      </c>
      <c r="H21" s="2261">
        <f>P30+P31</f>
        <v>0</v>
      </c>
      <c r="I21" s="2262">
        <f t="shared" si="2"/>
        <v>0</v>
      </c>
      <c r="J21" s="2260">
        <f>'@分析#利润分析#'!J21+F21</f>
        <v>-480.83922699998948</v>
      </c>
      <c r="K21" s="2263"/>
      <c r="L21" s="2256">
        <f>'@分析#利润分析#'!J21+'@预测#利润分析#'!F21-'@预测#利润分析#'!J21</f>
        <v>0</v>
      </c>
      <c r="M21" s="2424"/>
      <c r="O21" s="2377" t="s">
        <v>1453</v>
      </c>
      <c r="P21" s="2376">
        <f>新价格!D26+新价格!F26</f>
        <v>0</v>
      </c>
      <c r="R21" s="2271" t="s">
        <v>1456</v>
      </c>
      <c r="S21" s="2306"/>
      <c r="T21" s="2306"/>
      <c r="U21" s="2283">
        <f>P16+P22+P30</f>
        <v>-17361.696153846155</v>
      </c>
      <c r="W21" s="2637"/>
      <c r="X21" s="2322" t="s">
        <v>1446</v>
      </c>
      <c r="Y21" s="2323">
        <f>SUM(Y15:Y20)</f>
        <v>10585.657484999998</v>
      </c>
      <c r="Z21" s="2323">
        <f>SUM(Z15:Z20)</f>
        <v>11574.5</v>
      </c>
      <c r="AA21" s="2324">
        <f>SUM(AA15:AA20)</f>
        <v>988.84251500000084</v>
      </c>
      <c r="AB21" s="2332">
        <f>H57</f>
        <v>0</v>
      </c>
      <c r="AC21" s="2333">
        <f>I57</f>
        <v>988.84251500000028</v>
      </c>
      <c r="AD21" s="2323">
        <f>J57</f>
        <v>112155.92957599999</v>
      </c>
    </row>
    <row r="22" spans="2:30" s="2258" customFormat="1" ht="19.5" customHeight="1" thickBot="1">
      <c r="B22" s="2639"/>
      <c r="C22" s="2266" t="s">
        <v>1441</v>
      </c>
      <c r="D22" s="2267">
        <v>7124.25</v>
      </c>
      <c r="E22" s="2267">
        <f>SUMIFS('利润（汇总）'!6:6,'利润（汇总）'!$1:$1,$B$1,'利润（汇总）'!$2:$2,$B$2)</f>
        <v>-320</v>
      </c>
      <c r="F22" s="2267">
        <f>'@预测#收入利润#'!M11</f>
        <v>-337</v>
      </c>
      <c r="G22" s="2261">
        <f t="shared" si="4"/>
        <v>-17</v>
      </c>
      <c r="H22" s="2268">
        <v>0</v>
      </c>
      <c r="I22" s="2255">
        <f>G22-H22</f>
        <v>-17</v>
      </c>
      <c r="J22" s="2267">
        <f>'@分析#利润分析#'!J22+F22</f>
        <v>729.69723500000009</v>
      </c>
      <c r="K22" s="2256"/>
      <c r="L22" s="2256">
        <f>'@分析#利润分析#'!J22+'@预测#利润分析#'!F22-'@预测#利润分析#'!J22</f>
        <v>0</v>
      </c>
      <c r="M22" s="2310"/>
      <c r="O22" s="2377" t="s">
        <v>1579</v>
      </c>
      <c r="P22" s="2376">
        <f>新价格!D17+新价格!F17</f>
        <v>-8611.1923076923067</v>
      </c>
      <c r="R22" s="2274" t="s">
        <v>1458</v>
      </c>
      <c r="S22" s="2575"/>
      <c r="T22" s="2575"/>
      <c r="U22" s="2313">
        <f>P23+P31</f>
        <v>16033.346153846152</v>
      </c>
      <c r="V22" s="2265"/>
      <c r="W22" s="2642" t="s">
        <v>1449</v>
      </c>
      <c r="X22" s="2642"/>
      <c r="Y22" s="2334">
        <f t="shared" ref="Y22:AD22" si="14">E65</f>
        <v>-9653.8004375899909</v>
      </c>
      <c r="Z22" s="2334">
        <f t="shared" si="14"/>
        <v>-3470.7757189999902</v>
      </c>
      <c r="AA22" s="2335">
        <f t="shared" si="14"/>
        <v>6183.0247185900007</v>
      </c>
      <c r="AB22" s="2336">
        <f t="shared" si="14"/>
        <v>0</v>
      </c>
      <c r="AC22" s="2328">
        <f t="shared" si="14"/>
        <v>6183.0247185900007</v>
      </c>
      <c r="AD22" s="2334">
        <f t="shared" si="14"/>
        <v>-5331.3898294298087</v>
      </c>
    </row>
    <row r="23" spans="2:30" s="2258" customFormat="1" ht="19.5" customHeight="1">
      <c r="B23" s="2640"/>
      <c r="C23" s="2253" t="s">
        <v>1444</v>
      </c>
      <c r="D23" s="2254"/>
      <c r="E23" s="2254">
        <f>E5+E9</f>
        <v>218746.23572499998</v>
      </c>
      <c r="F23" s="2254">
        <f>F5+F9</f>
        <v>188162.04950046155</v>
      </c>
      <c r="G23" s="2255">
        <f t="shared" si="4"/>
        <v>-30584.186224538425</v>
      </c>
      <c r="H23" s="2276">
        <f>H5+H9</f>
        <v>0</v>
      </c>
      <c r="I23" s="2255">
        <f t="shared" si="2"/>
        <v>-30584.186224538425</v>
      </c>
      <c r="J23" s="2254">
        <f>J5+J9</f>
        <v>1700779.2561244615</v>
      </c>
      <c r="K23" s="2256" t="str">
        <f>IF(I23&gt;0,"增加","减少")</f>
        <v>减少</v>
      </c>
      <c r="L23" s="2256">
        <f>'@分析#利润分析#'!J23+'@预测#利润分析#'!F23-'@预测#利润分析#'!J23</f>
        <v>0</v>
      </c>
      <c r="M23" s="2310"/>
      <c r="O23" s="2377" t="s">
        <v>1578</v>
      </c>
      <c r="P23" s="2376">
        <f>新价格!D11+新价格!F11+新价格!H11</f>
        <v>12972.192307692307</v>
      </c>
      <c r="R23" s="2265"/>
      <c r="S23" s="2265"/>
      <c r="T23" s="2265"/>
      <c r="U23" s="2265"/>
      <c r="W23" s="2643" t="s">
        <v>1314</v>
      </c>
      <c r="X23" s="2644"/>
      <c r="Y23" s="2323">
        <f t="shared" ref="Y23:AD24" si="15">E67</f>
        <v>218577.09277240999</v>
      </c>
      <c r="Z23" s="2323">
        <f t="shared" si="15"/>
        <v>194834.72878146154</v>
      </c>
      <c r="AA23" s="2324">
        <f t="shared" si="15"/>
        <v>-23742.363990948448</v>
      </c>
      <c r="AB23" s="2332">
        <f t="shared" si="15"/>
        <v>0</v>
      </c>
      <c r="AC23" s="2337">
        <f t="shared" si="15"/>
        <v>-23742.363990948426</v>
      </c>
      <c r="AD23" s="2338">
        <f t="shared" si="15"/>
        <v>1721134.4299876317</v>
      </c>
    </row>
    <row r="24" spans="2:30" s="2258" customFormat="1" ht="19.5" customHeight="1">
      <c r="B24" s="2646" t="s">
        <v>1112</v>
      </c>
      <c r="C24" s="2253" t="s">
        <v>1473</v>
      </c>
      <c r="D24" s="2254"/>
      <c r="E24" s="2254">
        <f>SUM(E25:E30)</f>
        <v>6740.4001869999993</v>
      </c>
      <c r="F24" s="2254">
        <f>SUM(F25:F30)</f>
        <v>6611</v>
      </c>
      <c r="G24" s="2255">
        <f>F24-E24</f>
        <v>-129.40018699999928</v>
      </c>
      <c r="H24" s="2276">
        <f>SUM(H25:H30)</f>
        <v>0</v>
      </c>
      <c r="I24" s="2255">
        <f t="shared" si="2"/>
        <v>-129.40018699999928</v>
      </c>
      <c r="J24" s="2254">
        <f>SUM(J25:J30)</f>
        <v>61317.633082</v>
      </c>
      <c r="K24" s="2256" t="str">
        <f>IF(I24&gt;0,"增加","减少")</f>
        <v>减少</v>
      </c>
      <c r="L24" s="2256">
        <f>'@分析#利润分析#'!J24+'@预测#利润分析#'!F24-'@预测#利润分析#'!J24</f>
        <v>0</v>
      </c>
      <c r="M24" s="2310"/>
      <c r="R24" s="2265"/>
      <c r="S24" s="2265"/>
      <c r="T24" s="2265"/>
      <c r="U24" s="2265"/>
      <c r="W24" s="2643" t="s">
        <v>1451</v>
      </c>
      <c r="X24" s="2644"/>
      <c r="Y24" s="2323">
        <f t="shared" si="15"/>
        <v>219470.67577241</v>
      </c>
      <c r="Z24" s="2323">
        <f t="shared" si="15"/>
        <v>191806.72878146154</v>
      </c>
      <c r="AA24" s="2324">
        <f t="shared" si="15"/>
        <v>-27663.946990948461</v>
      </c>
      <c r="AB24" s="2332">
        <f t="shared" si="15"/>
        <v>0</v>
      </c>
      <c r="AC24" s="2337">
        <f t="shared" si="15"/>
        <v>-27663.946990948425</v>
      </c>
      <c r="AD24" s="2338">
        <f t="shared" si="15"/>
        <v>1683452.7456436313</v>
      </c>
    </row>
    <row r="25" spans="2:30" ht="19.5" customHeight="1">
      <c r="B25" s="2639"/>
      <c r="C25" s="2277" t="s">
        <v>121</v>
      </c>
      <c r="D25" s="2260">
        <v>10613</v>
      </c>
      <c r="E25" s="2260">
        <f>SUMIFS('利润（汇总）'!17:17,'利润（汇总）'!$1:$1,$B$1,'利润（汇总）'!$2:$2,$B$2)</f>
        <v>1635</v>
      </c>
      <c r="F25" s="2260">
        <f>'@预测#收入利润#'!M12</f>
        <v>-489</v>
      </c>
      <c r="G25" s="2261">
        <f t="shared" si="4"/>
        <v>-2124</v>
      </c>
      <c r="H25" s="2308"/>
      <c r="I25" s="2262">
        <f t="shared" si="2"/>
        <v>-2124</v>
      </c>
      <c r="J25" s="2260">
        <f>'@分析#利润分析#'!J25+F25</f>
        <v>6410.497601</v>
      </c>
      <c r="K25" s="2263"/>
      <c r="L25" s="2256">
        <f>'@分析#利润分析#'!J25+'@预测#利润分析#'!F25-'@预测#利润分析#'!J25</f>
        <v>0</v>
      </c>
      <c r="O25" s="2253" t="s">
        <v>1743</v>
      </c>
      <c r="P25" s="2254"/>
      <c r="R25" s="2265" t="s">
        <v>1460</v>
      </c>
      <c r="W25" s="2651" t="str">
        <f>B70</f>
        <v xml:space="preserve">      医疗公司（不并表）</v>
      </c>
      <c r="X25" s="2651"/>
      <c r="Y25" s="2323">
        <f>E70</f>
        <v>192</v>
      </c>
      <c r="Z25" s="2323">
        <f t="shared" ref="Z25:AD25" si="16">F70</f>
        <v>60</v>
      </c>
      <c r="AA25" s="2324">
        <f t="shared" si="16"/>
        <v>-132</v>
      </c>
      <c r="AB25" s="2332">
        <f t="shared" si="16"/>
        <v>0</v>
      </c>
      <c r="AC25" s="2333">
        <f t="shared" si="16"/>
        <v>-132</v>
      </c>
      <c r="AD25" s="2323">
        <f t="shared" si="16"/>
        <v>1099</v>
      </c>
    </row>
    <row r="26" spans="2:30" ht="19.5" customHeight="1">
      <c r="B26" s="2639"/>
      <c r="C26" s="2277" t="s">
        <v>122</v>
      </c>
      <c r="D26" s="2260">
        <v>15607</v>
      </c>
      <c r="E26" s="2260">
        <f>SUMIFS('利润（汇总）'!18:18,'利润（汇总）'!$1:$1,$B$1,'利润（汇总）'!$2:$2,$B$2)</f>
        <v>1029</v>
      </c>
      <c r="F26" s="2260">
        <f>'@预测#收入利润#'!M13</f>
        <v>342</v>
      </c>
      <c r="G26" s="2261">
        <f t="shared" si="4"/>
        <v>-687</v>
      </c>
      <c r="H26" s="2308"/>
      <c r="I26" s="2262">
        <f t="shared" si="2"/>
        <v>-687</v>
      </c>
      <c r="J26" s="2260">
        <f>'@分析#利润分析#'!J26+F26</f>
        <v>5511.6129249999994</v>
      </c>
      <c r="K26" s="2263"/>
      <c r="L26" s="2256">
        <f>'@分析#利润分析#'!J26+'@预测#利润分析#'!F26-'@预测#利润分析#'!J26</f>
        <v>0</v>
      </c>
      <c r="O26" s="2277" t="s">
        <v>1742</v>
      </c>
      <c r="P26" s="2375">
        <f>11.5*新价格!D16</f>
        <v>-2047</v>
      </c>
    </row>
    <row r="27" spans="2:30" ht="19.5" customHeight="1">
      <c r="B27" s="2639"/>
      <c r="C27" s="2277" t="s">
        <v>113</v>
      </c>
      <c r="D27" s="2260">
        <v>59</v>
      </c>
      <c r="E27" s="2260">
        <f>SUMIFS('利润（汇总）'!10:10,'利润（汇总）'!$1:$1,$B$1,'利润（汇总）'!$2:$2,$B$2)</f>
        <v>1515.6657270000001</v>
      </c>
      <c r="F27" s="2260">
        <f>'@预测#收入利润#'!M18</f>
        <v>3585</v>
      </c>
      <c r="G27" s="2261">
        <f t="shared" si="4"/>
        <v>2069.3342729999999</v>
      </c>
      <c r="H27" s="2308"/>
      <c r="I27" s="2262">
        <f t="shared" si="2"/>
        <v>2069.3342729999999</v>
      </c>
      <c r="J27" s="2260">
        <f>'@分析#利润分析#'!J27+F27</f>
        <v>22225.875399</v>
      </c>
      <c r="K27" s="2263"/>
      <c r="L27" s="2256">
        <f>'@分析#利润分析#'!J27+'@预测#利润分析#'!F27-'@预测#利润分析#'!J27</f>
        <v>0</v>
      </c>
    </row>
    <row r="28" spans="2:30" ht="19.5" customHeight="1">
      <c r="B28" s="2639"/>
      <c r="C28" s="2277" t="s">
        <v>118</v>
      </c>
      <c r="D28" s="2260">
        <v>2000</v>
      </c>
      <c r="E28" s="2260">
        <f>SUMIFS('利润（汇总）'!15:15,'利润（汇总）'!$1:$1,$B$1,'利润（汇总）'!$2:$2,$B$2)</f>
        <v>-185.81</v>
      </c>
      <c r="F28" s="2260">
        <f>'@预测#收入利润#'!M24</f>
        <v>146</v>
      </c>
      <c r="G28" s="2261">
        <f t="shared" si="4"/>
        <v>331.81</v>
      </c>
      <c r="H28" s="2308"/>
      <c r="I28" s="2262">
        <f t="shared" si="2"/>
        <v>331.81</v>
      </c>
      <c r="J28" s="2260">
        <f>'@分析#利润分析#'!J28+F28</f>
        <v>345.15826100000004</v>
      </c>
      <c r="K28" s="2263"/>
      <c r="L28" s="2256">
        <f>'@分析#利润分析#'!J28+'@预测#利润分析#'!F28-'@预测#利润分析#'!J28</f>
        <v>0</v>
      </c>
      <c r="O28" s="2253" t="s">
        <v>1589</v>
      </c>
      <c r="P28" s="2254">
        <f>SUM(P29:P32)</f>
        <v>0</v>
      </c>
    </row>
    <row r="29" spans="2:30" ht="19.5" customHeight="1">
      <c r="B29" s="2639"/>
      <c r="C29" s="2277" t="s">
        <v>133</v>
      </c>
      <c r="D29" s="2260">
        <v>-110</v>
      </c>
      <c r="E29" s="2260">
        <f>SUMIFS('利润（汇总）'!29:29,'利润（汇总）'!$1:$1,$B$1,'利润（汇总）'!$2:$2,$B$2)</f>
        <v>-9</v>
      </c>
      <c r="F29" s="2260">
        <f>'@预测#收入利润#'!M17</f>
        <v>-9</v>
      </c>
      <c r="G29" s="2261">
        <f t="shared" si="4"/>
        <v>0</v>
      </c>
      <c r="H29" s="2308"/>
      <c r="I29" s="2262">
        <f t="shared" si="2"/>
        <v>0</v>
      </c>
      <c r="J29" s="2260">
        <f>'@分析#利润分析#'!J29+F29</f>
        <v>14.695625999999997</v>
      </c>
      <c r="K29" s="2263"/>
      <c r="L29" s="2256">
        <f>'@分析#利润分析#'!J29+'@预测#利润分析#'!F29-'@预测#利润分析#'!J29</f>
        <v>0</v>
      </c>
      <c r="O29" s="2377" t="s">
        <v>1453</v>
      </c>
      <c r="P29" s="2347">
        <f>新价格!E26</f>
        <v>0</v>
      </c>
    </row>
    <row r="30" spans="2:30" ht="19.5" customHeight="1">
      <c r="B30" s="2639"/>
      <c r="C30" s="2277" t="s">
        <v>115</v>
      </c>
      <c r="D30" s="2260">
        <v>32205</v>
      </c>
      <c r="E30" s="2260">
        <f>SUMIFS('利润（汇总）'!12:12,'利润（汇总）'!$1:$1,$B$1,'利润（汇总）'!$2:$2,$B$2)</f>
        <v>2755.5444600000001</v>
      </c>
      <c r="F30" s="2260">
        <f>'@预测#收入利润#'!M29</f>
        <v>3036</v>
      </c>
      <c r="G30" s="2261">
        <f t="shared" si="4"/>
        <v>280.45553999999993</v>
      </c>
      <c r="H30" s="2308"/>
      <c r="I30" s="2262">
        <f t="shared" si="2"/>
        <v>280.45553999999993</v>
      </c>
      <c r="J30" s="2260">
        <f>'@分析#利润分析#'!J30+F30</f>
        <v>26809.793270000002</v>
      </c>
      <c r="K30" s="2263"/>
      <c r="L30" s="2256">
        <f>'@分析#利润分析#'!J30+'@预测#利润分析#'!F30-'@预测#利润分析#'!J30</f>
        <v>0</v>
      </c>
      <c r="O30" s="2377" t="s">
        <v>1579</v>
      </c>
      <c r="P30" s="2347">
        <f>新价格!E17</f>
        <v>-3061.1538461538457</v>
      </c>
    </row>
    <row r="31" spans="2:30" ht="19.5" customHeight="1">
      <c r="B31" s="2639"/>
      <c r="C31" s="2253" t="s">
        <v>1474</v>
      </c>
      <c r="D31" s="2260"/>
      <c r="E31" s="2254">
        <f>SUM(E32:E36)</f>
        <v>3249.360561</v>
      </c>
      <c r="F31" s="2254">
        <f>SUM(F32:F36)</f>
        <v>5125.5</v>
      </c>
      <c r="G31" s="2255">
        <f t="shared" si="4"/>
        <v>1876.139439</v>
      </c>
      <c r="H31" s="2276">
        <f>SUM(H32:H36)</f>
        <v>0</v>
      </c>
      <c r="I31" s="2255">
        <f t="shared" si="2"/>
        <v>1876.139439</v>
      </c>
      <c r="J31" s="2254">
        <f>SUM(J32:J36)</f>
        <v>44912.685644000005</v>
      </c>
      <c r="K31" s="2256" t="str">
        <f>IF(I31&gt;0,"增加","减少")</f>
        <v>增加</v>
      </c>
      <c r="L31" s="2256">
        <f>'@分析#利润分析#'!J31+'@预测#利润分析#'!F31-'@预测#利润分析#'!J31</f>
        <v>0</v>
      </c>
      <c r="O31" s="2377" t="s">
        <v>1578</v>
      </c>
      <c r="P31" s="2347">
        <f>新价格!E11</f>
        <v>3061.1538461538457</v>
      </c>
    </row>
    <row r="32" spans="2:30" ht="19.5" customHeight="1">
      <c r="B32" s="2639"/>
      <c r="C32" s="2277" t="s">
        <v>124</v>
      </c>
      <c r="D32" s="2260">
        <v>41785</v>
      </c>
      <c r="E32" s="2260">
        <f>SUMIFS('利润（汇总）'!22:22,'利润（汇总）'!$1:$1,$B$1,'利润（汇总）'!$2:$2,$B$2)</f>
        <v>2995.2456000000002</v>
      </c>
      <c r="F32" s="2260">
        <f>'@预测#收入利润#'!M19</f>
        <v>3894</v>
      </c>
      <c r="G32" s="2261">
        <f t="shared" si="4"/>
        <v>898.75439999999981</v>
      </c>
      <c r="H32" s="2308"/>
      <c r="I32" s="2262">
        <f t="shared" si="2"/>
        <v>898.75439999999981</v>
      </c>
      <c r="J32" s="2260">
        <f>'@分析#利润分析#'!J32+F32</f>
        <v>29999.465911000003</v>
      </c>
      <c r="K32" s="2263"/>
      <c r="L32" s="2256">
        <f>'@分析#利润分析#'!J32+'@预测#利润分析#'!F32-'@预测#利润分析#'!J32</f>
        <v>0</v>
      </c>
      <c r="O32" s="2277"/>
      <c r="P32" s="2380"/>
    </row>
    <row r="33" spans="2:16" ht="19.5" customHeight="1">
      <c r="B33" s="2639"/>
      <c r="C33" s="2277" t="s">
        <v>126</v>
      </c>
      <c r="D33" s="2260">
        <v>8200</v>
      </c>
      <c r="E33" s="2260">
        <f>SUMIFS('利润（汇总）'!24:24,'利润（汇总）'!$1:$1,$B$1,'利润（汇总）'!$2:$2,$B$2)</f>
        <v>-467</v>
      </c>
      <c r="F33" s="2260">
        <f>'@预测#收入利润#'!M27</f>
        <v>460</v>
      </c>
      <c r="G33" s="2261">
        <f t="shared" si="4"/>
        <v>927</v>
      </c>
      <c r="H33" s="2308"/>
      <c r="I33" s="2262">
        <f t="shared" si="2"/>
        <v>927</v>
      </c>
      <c r="J33" s="2260">
        <f>'@分析#利润分析#'!J33+F33</f>
        <v>7040.5110649999997</v>
      </c>
      <c r="K33" s="2263"/>
      <c r="L33" s="2256">
        <f>'@分析#利润分析#'!J33+'@预测#利润分析#'!F33-'@预测#利润分析#'!J33</f>
        <v>0</v>
      </c>
    </row>
    <row r="34" spans="2:16" ht="19.5" customHeight="1">
      <c r="B34" s="2639"/>
      <c r="C34" s="2277" t="s">
        <v>127</v>
      </c>
      <c r="D34" s="2260">
        <v>7693</v>
      </c>
      <c r="E34" s="2260">
        <f>SUMIFS('利润（汇总）'!19:19,'利润（汇总）'!$1:$1,$B$1,'利润（汇总）'!$2:$2,$B$2)</f>
        <v>519.64996300000007</v>
      </c>
      <c r="F34" s="2260">
        <f>'@预测#收入利润#'!M14</f>
        <v>532</v>
      </c>
      <c r="G34" s="2261">
        <f t="shared" si="4"/>
        <v>12.350036999999929</v>
      </c>
      <c r="H34" s="2308"/>
      <c r="I34" s="2262">
        <f t="shared" si="2"/>
        <v>12.350036999999929</v>
      </c>
      <c r="J34" s="2260">
        <f>'@分析#利润分析#'!J34+F34</f>
        <v>5589.9174039999998</v>
      </c>
      <c r="K34" s="2263"/>
      <c r="L34" s="2256">
        <f>'@分析#利润分析#'!J34+'@预测#利润分析#'!F34-'@预测#利润分析#'!J34</f>
        <v>0</v>
      </c>
    </row>
    <row r="35" spans="2:16" ht="19.5" customHeight="1">
      <c r="B35" s="2639"/>
      <c r="C35" s="2277" t="s">
        <v>128</v>
      </c>
      <c r="D35" s="2260">
        <v>2790</v>
      </c>
      <c r="E35" s="2260">
        <f>SUMIFS('利润（汇总）'!20:20,'利润（汇总）'!$1:$1,$B$1,'利润（汇总）'!$2:$2,$B$2)</f>
        <v>195.67499799999999</v>
      </c>
      <c r="F35" s="2260">
        <f>'@预测#收入利润#'!M15</f>
        <v>205</v>
      </c>
      <c r="G35" s="2261">
        <f t="shared" si="4"/>
        <v>9.325002000000012</v>
      </c>
      <c r="H35" s="2308"/>
      <c r="I35" s="2262">
        <f t="shared" si="2"/>
        <v>9.325002000000012</v>
      </c>
      <c r="J35" s="2260">
        <f>'@分析#利润分析#'!J35+F35</f>
        <v>2053.1791479999997</v>
      </c>
      <c r="K35" s="2263"/>
      <c r="L35" s="2256">
        <f>'@分析#利润分析#'!J35+'@预测#利润分析#'!F35-'@预测#利润分析#'!J35</f>
        <v>0</v>
      </c>
      <c r="P35" s="2265"/>
    </row>
    <row r="36" spans="2:16" ht="19.5" customHeight="1">
      <c r="B36" s="2639"/>
      <c r="C36" s="2277" t="s">
        <v>125</v>
      </c>
      <c r="D36" s="2260">
        <v>265</v>
      </c>
      <c r="E36" s="2260">
        <f>SUMIFS('利润（汇总）'!23:23,'利润（汇总）'!$1:$1,$B$1,'利润（汇总）'!$2:$2,$B$2)</f>
        <v>5.79</v>
      </c>
      <c r="F36" s="2260">
        <f>'@预测#收入利润#'!M28</f>
        <v>34.5</v>
      </c>
      <c r="G36" s="2261">
        <f t="shared" si="4"/>
        <v>28.71</v>
      </c>
      <c r="H36" s="2308"/>
      <c r="I36" s="2262">
        <f t="shared" si="2"/>
        <v>28.71</v>
      </c>
      <c r="J36" s="2260">
        <f>'@分析#利润分析#'!J36+F36</f>
        <v>229.61211599999999</v>
      </c>
      <c r="K36" s="2263"/>
      <c r="L36" s="2256">
        <f>'@分析#利润分析#'!J36+'@预测#利润分析#'!F36-'@预测#利润分析#'!J36</f>
        <v>0</v>
      </c>
      <c r="O36" s="2253" t="s">
        <v>1522</v>
      </c>
      <c r="P36" s="2254">
        <f>SUM(P37:P39)</f>
        <v>11365.198384615383</v>
      </c>
    </row>
    <row r="37" spans="2:16" ht="19.5" customHeight="1">
      <c r="B37" s="2639"/>
      <c r="C37" s="2253" t="s">
        <v>1475</v>
      </c>
      <c r="D37" s="2260"/>
      <c r="E37" s="2254">
        <f>SUM(E38:E41)</f>
        <v>-385.74505700000003</v>
      </c>
      <c r="F37" s="2254">
        <f>SUM(F38:F41)</f>
        <v>40</v>
      </c>
      <c r="G37" s="2255">
        <f t="shared" si="4"/>
        <v>425.74505700000003</v>
      </c>
      <c r="H37" s="2276">
        <f>SUM(H38:H41)</f>
        <v>0</v>
      </c>
      <c r="I37" s="2255">
        <f t="shared" si="2"/>
        <v>425.74505700000003</v>
      </c>
      <c r="J37" s="2254">
        <f>SUM(J38:J41)</f>
        <v>1969.791356</v>
      </c>
      <c r="K37" s="2256" t="str">
        <f>IF(I37&gt;0,"增加","减少")</f>
        <v>增加</v>
      </c>
      <c r="L37" s="2256">
        <f>'@分析#利润分析#'!J37+'@预测#利润分析#'!F37-'@预测#利润分析#'!J37</f>
        <v>0</v>
      </c>
      <c r="O37" s="2277" t="s">
        <v>1523</v>
      </c>
      <c r="P37" s="2376">
        <f>('@预测#概况#'!I35+'@预测#概况#'!I36)*2.9*新价格!D5*0.03</f>
        <v>7773.8849999999993</v>
      </c>
    </row>
    <row r="38" spans="2:16" ht="19.5" customHeight="1">
      <c r="B38" s="2639"/>
      <c r="C38" s="2277" t="s">
        <v>132</v>
      </c>
      <c r="D38" s="2260">
        <v>3350</v>
      </c>
      <c r="E38" s="2260">
        <f>SUMIFS('利润（汇总）'!28:28,'利润（汇总）'!$1:$1,$B$1,'利润（汇总）'!$2:$2,$B$2)</f>
        <v>-191.368336</v>
      </c>
      <c r="F38" s="2260">
        <f>'@预测#收入利润#'!M21</f>
        <v>0</v>
      </c>
      <c r="G38" s="2261">
        <f t="shared" si="4"/>
        <v>191.368336</v>
      </c>
      <c r="H38" s="2308"/>
      <c r="I38" s="2262">
        <f t="shared" si="2"/>
        <v>191.368336</v>
      </c>
      <c r="J38" s="2260">
        <f>'@分析#利润分析#'!J38+F38</f>
        <v>1066.09726</v>
      </c>
      <c r="K38" s="2263"/>
      <c r="L38" s="2256">
        <f>'@分析#利润分析#'!J38+'@预测#利润分析#'!F38-'@预测#利润分析#'!J38</f>
        <v>0</v>
      </c>
      <c r="O38" s="2277" t="s">
        <v>1525</v>
      </c>
      <c r="P38" s="2376">
        <f>(('@预测#概况#'!I35+'@预测#概况#'!I36)*新价格!D5+'@预测#概况#'!I43*新价格!F5)*0.01</f>
        <v>1197.1044615384615</v>
      </c>
    </row>
    <row r="39" spans="2:16" ht="19.5" customHeight="1">
      <c r="B39" s="2639"/>
      <c r="C39" s="2277" t="s">
        <v>117</v>
      </c>
      <c r="D39" s="2260">
        <v>680</v>
      </c>
      <c r="E39" s="2260">
        <f>SUMIFS('利润（汇总）'!14:14,'利润（汇总）'!$1:$1,$B$1,'利润（汇总）'!$2:$2,$B$2)</f>
        <v>-210.11</v>
      </c>
      <c r="F39" s="2260">
        <f>'@预测#收入利润#'!M25</f>
        <v>10</v>
      </c>
      <c r="G39" s="2261">
        <f t="shared" si="4"/>
        <v>220.11</v>
      </c>
      <c r="H39" s="2308"/>
      <c r="I39" s="2262">
        <f t="shared" si="2"/>
        <v>220.11</v>
      </c>
      <c r="J39" s="2260">
        <f>'@分析#利润分析#'!J39+F39</f>
        <v>377.80561299999999</v>
      </c>
      <c r="K39" s="2263"/>
      <c r="L39" s="2256">
        <f>'@分析#利润分析#'!J39+'@预测#利润分析#'!F39-'@预测#利润分析#'!J39</f>
        <v>0</v>
      </c>
      <c r="O39" s="2277" t="s">
        <v>1524</v>
      </c>
      <c r="P39" s="2347">
        <f>P38*2</f>
        <v>2394.2089230769229</v>
      </c>
    </row>
    <row r="40" spans="2:16" ht="19.5" customHeight="1">
      <c r="B40" s="2639"/>
      <c r="C40" s="2277" t="s">
        <v>134</v>
      </c>
      <c r="D40" s="2260">
        <v>290</v>
      </c>
      <c r="E40" s="2260">
        <f>SUMIFS('利润（汇总）'!30:30,'利润（汇总）'!$1:$1,$B$1,'利润（汇总）'!$2:$2,$B$2)</f>
        <v>1.73327899999999</v>
      </c>
      <c r="F40" s="2260">
        <f>'@预测#收入利润#'!M31</f>
        <v>15</v>
      </c>
      <c r="G40" s="2261">
        <f t="shared" si="4"/>
        <v>13.266721000000009</v>
      </c>
      <c r="H40" s="2308"/>
      <c r="I40" s="2262">
        <f t="shared" si="2"/>
        <v>13.266721000000009</v>
      </c>
      <c r="J40" s="2260">
        <f>'@分析#利润分析#'!J40+F40</f>
        <v>223.22421899999998</v>
      </c>
      <c r="K40" s="2263"/>
      <c r="L40" s="2256">
        <f>'@分析#利润分析#'!J40+'@预测#利润分析#'!F40-'@预测#利润分析#'!J40</f>
        <v>0</v>
      </c>
    </row>
    <row r="41" spans="2:16" ht="19.5" customHeight="1">
      <c r="B41" s="2639"/>
      <c r="C41" s="2277" t="s">
        <v>119</v>
      </c>
      <c r="D41" s="2260">
        <v>80</v>
      </c>
      <c r="E41" s="2260">
        <f>SUMIFS('利润（汇总）'!16:16,'利润（汇总）'!$1:$1,$B$1,'利润（汇总）'!$2:$2,$B$2)</f>
        <v>14</v>
      </c>
      <c r="F41" s="2260">
        <f>'@预测#收入利润#'!M26</f>
        <v>15</v>
      </c>
      <c r="G41" s="2261">
        <f t="shared" si="4"/>
        <v>1</v>
      </c>
      <c r="H41" s="2308"/>
      <c r="I41" s="2262">
        <f t="shared" si="2"/>
        <v>1</v>
      </c>
      <c r="J41" s="2260">
        <f>'@分析#利润分析#'!J41+F41</f>
        <v>302.664264</v>
      </c>
      <c r="K41" s="2263"/>
      <c r="L41" s="2256">
        <f>'@分析#利润分析#'!J41+'@预测#利润分析#'!F41-'@预测#利润分析#'!J41</f>
        <v>0</v>
      </c>
      <c r="O41" s="2253" t="s">
        <v>1526</v>
      </c>
      <c r="P41" s="2254">
        <f>SUM(P42:P43)</f>
        <v>360.95769230769224</v>
      </c>
    </row>
    <row r="42" spans="2:16" ht="19.5" customHeight="1">
      <c r="B42" s="2639"/>
      <c r="C42" s="2253" t="s">
        <v>1476</v>
      </c>
      <c r="D42" s="2260"/>
      <c r="E42" s="2254">
        <f>SUM(E43:E44)</f>
        <v>820</v>
      </c>
      <c r="F42" s="2254">
        <f>SUM(F43:F44)</f>
        <v>-284</v>
      </c>
      <c r="G42" s="2255">
        <f t="shared" si="4"/>
        <v>-1104</v>
      </c>
      <c r="H42" s="2276">
        <f>SUM(H43:H44)</f>
        <v>0</v>
      </c>
      <c r="I42" s="2262">
        <f t="shared" si="2"/>
        <v>-1104</v>
      </c>
      <c r="J42" s="2254">
        <f>SUM(J43:J44)</f>
        <v>1246.8225520000005</v>
      </c>
      <c r="K42" s="2263"/>
      <c r="L42" s="2256">
        <f>'@分析#利润分析#'!J42+'@预测#利润分析#'!F42-'@预测#利润分析#'!J42</f>
        <v>0</v>
      </c>
      <c r="O42" s="2277" t="s">
        <v>1525</v>
      </c>
      <c r="P42" s="2376">
        <f>新价格!E18*新价格!E15*0.05/10</f>
        <v>120.31923076923076</v>
      </c>
    </row>
    <row r="43" spans="2:16" ht="19.5" customHeight="1">
      <c r="B43" s="2639"/>
      <c r="C43" s="2277" t="s">
        <v>114</v>
      </c>
      <c r="D43" s="2260">
        <v>1236</v>
      </c>
      <c r="E43" s="2260">
        <f>SUMIFS('利润（汇总）'!11:11,'利润（汇总）'!$1:$1,$B$1,'利润（汇总）'!$2:$2,$B$2)</f>
        <v>1096</v>
      </c>
      <c r="F43" s="2260">
        <f>'@预测#收入利润#'!M32</f>
        <v>-14</v>
      </c>
      <c r="G43" s="2261">
        <f t="shared" si="4"/>
        <v>-1110</v>
      </c>
      <c r="H43" s="2308"/>
      <c r="I43" s="2262">
        <f t="shared" si="2"/>
        <v>-1110</v>
      </c>
      <c r="J43" s="2260">
        <f>'@分析#利润分析#'!J43+F43</f>
        <v>3747.6320850000002</v>
      </c>
      <c r="K43" s="2263"/>
      <c r="L43" s="2256">
        <f>'@分析#利润分析#'!J43+'@预测#利润分析#'!F43-'@预测#利润分析#'!J43</f>
        <v>0</v>
      </c>
      <c r="O43" s="2277" t="s">
        <v>1524</v>
      </c>
      <c r="P43" s="2260">
        <f>P42*2</f>
        <v>240.63846153846151</v>
      </c>
    </row>
    <row r="44" spans="2:16" ht="19.5" customHeight="1">
      <c r="B44" s="2639"/>
      <c r="C44" s="2277" t="s">
        <v>116</v>
      </c>
      <c r="D44" s="2260">
        <v>-1500</v>
      </c>
      <c r="E44" s="2260">
        <f>SUMIFS('利润（汇总）'!13:13,'利润（汇总）'!$1:$1,$B$1,'利润（汇总）'!$2:$2,$B$2)</f>
        <v>-276</v>
      </c>
      <c r="F44" s="2260">
        <f>'@预测#收入利润#'!M30</f>
        <v>-270</v>
      </c>
      <c r="G44" s="2261">
        <f t="shared" si="4"/>
        <v>6</v>
      </c>
      <c r="H44" s="2308"/>
      <c r="I44" s="2262">
        <f t="shared" si="2"/>
        <v>6</v>
      </c>
      <c r="J44" s="2260">
        <f>'@分析#利润分析#'!J44+F44</f>
        <v>-2500.8095329999996</v>
      </c>
      <c r="K44" s="2263"/>
      <c r="L44" s="2256">
        <f>'@分析#利润分析#'!J44+'@预测#利润分析#'!F44-'@预测#利润分析#'!J44</f>
        <v>0</v>
      </c>
    </row>
    <row r="45" spans="2:16" ht="19.5" customHeight="1">
      <c r="B45" s="2639"/>
      <c r="C45" s="2253" t="s">
        <v>1477</v>
      </c>
      <c r="D45" s="2260"/>
      <c r="E45" s="2254">
        <f>SUM(E46:E49)</f>
        <v>199.363</v>
      </c>
      <c r="F45" s="2254">
        <f>SUM(F46:F49)</f>
        <v>120</v>
      </c>
      <c r="G45" s="2255">
        <f>F45-E45</f>
        <v>-79.363</v>
      </c>
      <c r="H45" s="2276">
        <f>SUM(H46:H49)</f>
        <v>0</v>
      </c>
      <c r="I45" s="2262">
        <f t="shared" si="2"/>
        <v>-79.363</v>
      </c>
      <c r="J45" s="2254">
        <f>SUM(J46:J49)</f>
        <v>3040.9813489999997</v>
      </c>
      <c r="K45" s="2263"/>
      <c r="L45" s="2256">
        <f>'@分析#利润分析#'!J45+'@预测#利润分析#'!F45-'@预测#利润分析#'!J45</f>
        <v>0</v>
      </c>
      <c r="O45" s="2253" t="s">
        <v>1527</v>
      </c>
      <c r="P45" s="2373">
        <f>SUM(P46:P48)</f>
        <v>866</v>
      </c>
    </row>
    <row r="46" spans="2:16" ht="19.5" customHeight="1">
      <c r="B46" s="2639"/>
      <c r="C46" s="2277" t="s">
        <v>129</v>
      </c>
      <c r="D46" s="2260">
        <v>2065</v>
      </c>
      <c r="E46" s="2260">
        <f>SUMIFS('利润（汇总）'!25:25,'利润（汇总）'!$1:$1,$B$1,'利润（汇总）'!$2:$2,$B$2)</f>
        <v>130.30000000000001</v>
      </c>
      <c r="F46" s="2260">
        <f>'@预测#收入利润#'!M16</f>
        <v>30</v>
      </c>
      <c r="G46" s="2261">
        <f>F46-E46</f>
        <v>-100.30000000000001</v>
      </c>
      <c r="H46" s="2308"/>
      <c r="I46" s="2262">
        <f t="shared" si="2"/>
        <v>-100.30000000000001</v>
      </c>
      <c r="J46" s="2260">
        <f>'@分析#利润分析#'!J46+F46</f>
        <v>1421.215281</v>
      </c>
      <c r="K46" s="2263"/>
      <c r="L46" s="2256">
        <f>'@分析#利润分析#'!J46+'@预测#利润分析#'!F46-'@预测#利润分析#'!J46</f>
        <v>0</v>
      </c>
      <c r="O46" s="2277" t="s">
        <v>1462</v>
      </c>
      <c r="P46" s="2375">
        <v>209</v>
      </c>
    </row>
    <row r="47" spans="2:16" ht="19.5" customHeight="1">
      <c r="B47" s="2639"/>
      <c r="C47" s="2277" t="s">
        <v>130</v>
      </c>
      <c r="D47" s="2260">
        <v>1700</v>
      </c>
      <c r="E47" s="2260">
        <f>SUMIFS('利润（汇总）'!26:26,'利润（汇总）'!$1:$1,$B$1,'利润（汇总）'!$2:$2,$B$2)</f>
        <v>112.7</v>
      </c>
      <c r="F47" s="2260">
        <f>'@预测#收入利润#'!M20</f>
        <v>176</v>
      </c>
      <c r="G47" s="2261">
        <f>F47-E47</f>
        <v>63.3</v>
      </c>
      <c r="H47" s="2308"/>
      <c r="I47" s="2262">
        <f t="shared" si="2"/>
        <v>63.3</v>
      </c>
      <c r="J47" s="2260">
        <f>'@分析#利润分析#'!J47+F47</f>
        <v>1534.2425489999998</v>
      </c>
      <c r="K47" s="2263"/>
      <c r="L47" s="2256">
        <f>'@分析#利润分析#'!J47+'@预测#利润分析#'!F47-'@预测#利润分析#'!J47</f>
        <v>0</v>
      </c>
      <c r="O47" s="2277" t="s">
        <v>1463</v>
      </c>
      <c r="P47" s="2375">
        <v>-59</v>
      </c>
    </row>
    <row r="48" spans="2:16" ht="19.5" customHeight="1">
      <c r="B48" s="2639"/>
      <c r="C48" s="2277" t="s">
        <v>123</v>
      </c>
      <c r="D48" s="2260">
        <v>400</v>
      </c>
      <c r="E48" s="2260">
        <f>SUMIFS('利润（汇总）'!21:21,'利润（汇总）'!$1:$1,$B$1,'利润（汇总）'!$2:$2,$B$2)</f>
        <v>58</v>
      </c>
      <c r="F48" s="2260">
        <f>'@预测#收入利润#'!M22</f>
        <v>-237</v>
      </c>
      <c r="G48" s="2261">
        <f t="shared" si="4"/>
        <v>-295</v>
      </c>
      <c r="H48" s="2308"/>
      <c r="I48" s="2262">
        <f t="shared" si="2"/>
        <v>-295</v>
      </c>
      <c r="J48" s="2260">
        <f>'@分析#利润分析#'!J48+F48</f>
        <v>-232.47984599999998</v>
      </c>
      <c r="K48" s="2263"/>
      <c r="L48" s="2256">
        <f>'@分析#利润分析#'!J48+'@预测#利润分析#'!F48-'@预测#利润分析#'!J48</f>
        <v>0</v>
      </c>
      <c r="O48" s="2277" t="s">
        <v>1464</v>
      </c>
      <c r="P48" s="2375">
        <f>-10+149+295+282</f>
        <v>716</v>
      </c>
    </row>
    <row r="49" spans="2:16" ht="19.5" customHeight="1">
      <c r="B49" s="2639"/>
      <c r="C49" s="2277" t="s">
        <v>131</v>
      </c>
      <c r="D49" s="2260">
        <v>1118</v>
      </c>
      <c r="E49" s="2260">
        <f>SUMIFS('利润（汇总）'!27:27,'利润（汇总）'!$1:$1,$B$1,'利润（汇总）'!$2:$2,$B$2)</f>
        <v>-101.637</v>
      </c>
      <c r="F49" s="2260">
        <f>'@预测#收入利润#'!M23</f>
        <v>151</v>
      </c>
      <c r="G49" s="2261">
        <f t="shared" si="4"/>
        <v>252.637</v>
      </c>
      <c r="H49" s="2308"/>
      <c r="I49" s="2262">
        <f t="shared" si="2"/>
        <v>252.637</v>
      </c>
      <c r="J49" s="2260">
        <f>'@分析#利润分析#'!J49+F49</f>
        <v>318.00336499999997</v>
      </c>
      <c r="K49" s="2263"/>
      <c r="L49" s="2256">
        <f>'@分析#利润分析#'!J49+'@预测#利润分析#'!F49-'@预测#利润分析#'!J49</f>
        <v>0</v>
      </c>
    </row>
    <row r="50" spans="2:16" ht="19.5" customHeight="1">
      <c r="B50" s="2639"/>
      <c r="C50" s="2253" t="s">
        <v>1478</v>
      </c>
      <c r="D50" s="2260"/>
      <c r="E50" s="2254">
        <f>SUM(E51:E56)</f>
        <v>-37.721206000000002</v>
      </c>
      <c r="F50" s="2254">
        <f>SUM(F51:F56)</f>
        <v>-38</v>
      </c>
      <c r="G50" s="2255">
        <f>F50-E50</f>
        <v>-0.27879399999999777</v>
      </c>
      <c r="H50" s="2276">
        <f>SUM(H51:H56)</f>
        <v>0</v>
      </c>
      <c r="I50" s="2262">
        <f t="shared" si="2"/>
        <v>-0.27879399999999777</v>
      </c>
      <c r="J50" s="2254">
        <f>SUM(J51:J56)</f>
        <v>-331.98440699999998</v>
      </c>
      <c r="K50" s="2263"/>
      <c r="L50" s="2256">
        <f>'@分析#利润分析#'!J50+'@预测#利润分析#'!F50-'@预测#利润分析#'!J50</f>
        <v>0</v>
      </c>
    </row>
    <row r="51" spans="2:16" ht="19.5" customHeight="1">
      <c r="B51" s="2639"/>
      <c r="C51" s="2277" t="s">
        <v>137</v>
      </c>
      <c r="D51" s="2260">
        <v>1500</v>
      </c>
      <c r="E51" s="2260"/>
      <c r="F51" s="2260"/>
      <c r="G51" s="2261"/>
      <c r="H51" s="2308"/>
      <c r="I51" s="2262"/>
      <c r="J51" s="2260"/>
      <c r="K51" s="2263"/>
      <c r="L51" s="2256"/>
    </row>
    <row r="52" spans="2:16" ht="19.5" customHeight="1">
      <c r="B52" s="2639"/>
      <c r="C52" s="2277" t="s">
        <v>136</v>
      </c>
      <c r="D52" s="2260">
        <v>-17</v>
      </c>
      <c r="E52" s="2260">
        <f>SUMIFS('利润（汇总）'!32:32,'利润（汇总）'!$1:$1,$B$1,'利润（汇总）'!$2:$2,$B$2)</f>
        <v>-1.22</v>
      </c>
      <c r="F52" s="2260">
        <f>'@预测#收入利润#'!M37</f>
        <v>-1</v>
      </c>
      <c r="G52" s="2261">
        <f>F52-E52</f>
        <v>0.21999999999999997</v>
      </c>
      <c r="H52" s="2308"/>
      <c r="I52" s="2262">
        <f t="shared" si="2"/>
        <v>0.21999999999999997</v>
      </c>
      <c r="J52" s="2260">
        <f>'@分析#利润分析#'!J51+F52</f>
        <v>-11.917778</v>
      </c>
      <c r="K52" s="2263"/>
      <c r="L52" s="2256">
        <f>'@分析#利润分析#'!J51+'@预测#利润分析#'!F52-'@预测#利润分析#'!J52</f>
        <v>0</v>
      </c>
    </row>
    <row r="53" spans="2:16" ht="19.5" customHeight="1">
      <c r="B53" s="2639"/>
      <c r="C53" s="2277" t="s">
        <v>135</v>
      </c>
      <c r="D53" s="2260">
        <v>-142</v>
      </c>
      <c r="E53" s="2260">
        <f>SUMIFS('利润（汇总）'!31:31,'利润（汇总）'!$1:$1,$B$1,'利润（汇总）'!$2:$2,$B$2)</f>
        <v>-11.501206</v>
      </c>
      <c r="F53" s="2260">
        <f>'@预测#收入利润#'!M33</f>
        <v>-12</v>
      </c>
      <c r="G53" s="2261">
        <f t="shared" ref="G53:G70" si="17">F53-E53</f>
        <v>-0.49879400000000018</v>
      </c>
      <c r="H53" s="2308"/>
      <c r="I53" s="2262">
        <f t="shared" si="2"/>
        <v>-0.49879400000000018</v>
      </c>
      <c r="J53" s="2260">
        <f>'@分析#利润分析#'!J52+F53</f>
        <v>-93.290147000000005</v>
      </c>
      <c r="K53" s="2263"/>
      <c r="L53" s="2256">
        <f>'@分析#利润分析#'!J52+'@预测#利润分析#'!F53-'@预测#利润分析#'!J53</f>
        <v>0</v>
      </c>
    </row>
    <row r="54" spans="2:16" ht="19.5" customHeight="1">
      <c r="B54" s="2639"/>
      <c r="C54" s="2277" t="s">
        <v>138</v>
      </c>
      <c r="D54" s="2260">
        <v>-57</v>
      </c>
      <c r="E54" s="2260">
        <f>SUMIFS('利润（汇总）'!34:34,'利润（汇总）'!$1:$1,$B$1,'利润（汇总）'!$2:$2,$B$2)</f>
        <v>0</v>
      </c>
      <c r="F54" s="2260">
        <f>'@预测#收入利润#'!M34</f>
        <v>0</v>
      </c>
      <c r="G54" s="2261">
        <f>F54-E54</f>
        <v>0</v>
      </c>
      <c r="H54" s="2261"/>
      <c r="I54" s="2262">
        <f t="shared" si="2"/>
        <v>0</v>
      </c>
      <c r="J54" s="2260">
        <f>'@分析#利润分析#'!J53+F54</f>
        <v>-17.599278000000002</v>
      </c>
      <c r="K54" s="2263"/>
      <c r="L54" s="2256">
        <f>'@分析#利润分析#'!J53+'@预测#利润分析#'!F54-'@预测#利润分析#'!J54</f>
        <v>0</v>
      </c>
    </row>
    <row r="55" spans="2:16" ht="19.5" customHeight="1">
      <c r="B55" s="2639"/>
      <c r="C55" s="2277" t="s">
        <v>139</v>
      </c>
      <c r="D55" s="2260">
        <v>586</v>
      </c>
      <c r="E55" s="2260">
        <f>SUMIFS('利润（汇总）'!35:35,'利润（汇总）'!$1:$1,$B$1,'利润（汇总）'!$2:$2,$B$2)</f>
        <v>-17</v>
      </c>
      <c r="F55" s="2260">
        <f>'@预测#收入利润#'!M35</f>
        <v>-17</v>
      </c>
      <c r="G55" s="2261">
        <f t="shared" si="17"/>
        <v>0</v>
      </c>
      <c r="H55" s="2261"/>
      <c r="I55" s="2262">
        <f t="shared" si="2"/>
        <v>0</v>
      </c>
      <c r="J55" s="2260">
        <f>'@分析#利润分析#'!J54+F55</f>
        <v>-141.90513499999997</v>
      </c>
      <c r="K55" s="2263"/>
      <c r="L55" s="2256">
        <f>'@分析#利润分析#'!J54+'@预测#利润分析#'!F55-'@预测#利润分析#'!J55</f>
        <v>0</v>
      </c>
    </row>
    <row r="56" spans="2:16" ht="19.5" customHeight="1">
      <c r="B56" s="2639"/>
      <c r="C56" s="2277" t="s">
        <v>140</v>
      </c>
      <c r="D56" s="2260">
        <v>270</v>
      </c>
      <c r="E56" s="2260">
        <f>SUMIFS('利润（汇总）'!36:36,'利润（汇总）'!$1:$1,$B$1,'利润（汇总）'!$2:$2,$B$2)</f>
        <v>-8</v>
      </c>
      <c r="F56" s="2260">
        <f>'@预测#收入利润#'!M36</f>
        <v>-8</v>
      </c>
      <c r="G56" s="2261">
        <f t="shared" si="17"/>
        <v>0</v>
      </c>
      <c r="H56" s="2261"/>
      <c r="I56" s="2262">
        <f t="shared" si="2"/>
        <v>0</v>
      </c>
      <c r="J56" s="2260">
        <f>'@分析#利润分析#'!J55+F56</f>
        <v>-67.272069000000002</v>
      </c>
      <c r="K56" s="2263"/>
      <c r="L56" s="2256">
        <f>'@分析#利润分析#'!J55+'@预测#利润分析#'!F56-'@预测#利润分析#'!J56</f>
        <v>0</v>
      </c>
      <c r="O56" s="2254">
        <v>14286</v>
      </c>
      <c r="P56" s="2254">
        <f t="shared" ref="P56:P67" si="18">F57+O56-J57</f>
        <v>-86295.429575999995</v>
      </c>
    </row>
    <row r="57" spans="2:16" ht="19.5" customHeight="1">
      <c r="B57" s="2640"/>
      <c r="C57" s="2253" t="s">
        <v>1446</v>
      </c>
      <c r="D57" s="2254"/>
      <c r="E57" s="2254">
        <f>E50+E45+E42+E37+E31+E24</f>
        <v>10585.657485</v>
      </c>
      <c r="F57" s="2254">
        <f>F50+F45+F42+F37+F31+F24</f>
        <v>11574.5</v>
      </c>
      <c r="G57" s="2255">
        <f t="shared" si="17"/>
        <v>988.84251500000028</v>
      </c>
      <c r="H57" s="2276">
        <f>H50+H45+H42+H37+H31+H24</f>
        <v>0</v>
      </c>
      <c r="I57" s="2255">
        <f t="shared" si="2"/>
        <v>988.84251500000028</v>
      </c>
      <c r="J57" s="2254">
        <f>J50+J45+J42+J37+J31+J24</f>
        <v>112155.92957599999</v>
      </c>
      <c r="K57" s="2256" t="str">
        <f>IF(I57&gt;0,"增加","减少")</f>
        <v>增加</v>
      </c>
      <c r="L57" s="2256">
        <f>'@分析#利润分析#'!J56+'@预测#利润分析#'!F57-'@预测#利润分析#'!J57</f>
        <v>0</v>
      </c>
      <c r="M57" s="2256">
        <f>G57-G27-G26-G25</f>
        <v>1730.5082420000003</v>
      </c>
      <c r="O57" s="2260">
        <v>1688.7710188900005</v>
      </c>
      <c r="P57" s="2260">
        <f t="shared" si="18"/>
        <v>-99066.860437680007</v>
      </c>
    </row>
    <row r="58" spans="2:16" ht="19.5" customHeight="1">
      <c r="B58" s="2647" t="s">
        <v>1199</v>
      </c>
      <c r="C58" s="2277" t="s">
        <v>1131</v>
      </c>
      <c r="D58" s="2260">
        <v>90381</v>
      </c>
      <c r="E58" s="2260">
        <f>SUMIFS('#投资收益'!52:52,'#投资收益'!$1:$1,$B$1,'#投资收益'!$2:$2,$B$2,'#投资收益'!$3:$3,$C$58)</f>
        <v>2270.0452814100004</v>
      </c>
      <c r="F58" s="2260">
        <f>F59+F60+F61</f>
        <v>7587.07</v>
      </c>
      <c r="G58" s="2261">
        <f t="shared" si="17"/>
        <v>5317.0247185899989</v>
      </c>
      <c r="H58" s="2261"/>
      <c r="I58" s="2262">
        <f t="shared" si="2"/>
        <v>5317.0247185899989</v>
      </c>
      <c r="J58" s="2260">
        <f>'@分析#利润分析#'!J57+F58</f>
        <v>108342.70145657001</v>
      </c>
      <c r="K58" s="2263"/>
      <c r="L58" s="2256">
        <f>'@分析#利润分析#'!J57+'@预测#利润分析#'!F58-'@预测#利润分析#'!J58</f>
        <v>0</v>
      </c>
      <c r="O58" s="2260">
        <v>1688.7710188900005</v>
      </c>
      <c r="P58" s="2260">
        <f t="shared" si="18"/>
        <v>-19058.304837480006</v>
      </c>
    </row>
    <row r="59" spans="2:16" ht="21.75" hidden="1" customHeight="1">
      <c r="B59" s="2647"/>
      <c r="C59" s="2277" t="s">
        <v>108</v>
      </c>
      <c r="D59" s="2260">
        <v>9691</v>
      </c>
      <c r="E59" s="2260">
        <f>SUMIFS('#投资收益'!4:4,'#投资收益'!$1:$1,$B$1,'#投资收益'!$2:$2,$B$2,'#投资收益'!$3:$3,$C$58)+SUMIFS('#投资收益'!35:35,'#投资收益'!$1:$1,$B$1,'#投资收益'!$2:$2,$B$2,'#投资收益'!$3:$3,$C$58)</f>
        <v>2270.0452814100004</v>
      </c>
      <c r="F59" s="2504">
        <f>'@预测#收入利润#'!M39</f>
        <v>7587.07</v>
      </c>
      <c r="G59" s="2261">
        <f t="shared" si="17"/>
        <v>5317.0247185899989</v>
      </c>
      <c r="H59" s="2261"/>
      <c r="I59" s="2262">
        <f t="shared" si="2"/>
        <v>5317.0247185899989</v>
      </c>
      <c r="J59" s="2260">
        <f>'@分析#利润分析#'!J58+F59</f>
        <v>28334.145856370003</v>
      </c>
      <c r="K59" s="2263"/>
      <c r="L59" s="2256">
        <f>'@分析#利润分析#'!J58+'@预测#利润分析#'!F59-'@预测#利润分析#'!J59</f>
        <v>0</v>
      </c>
      <c r="O59" s="2260">
        <v>-3651.7761030000001</v>
      </c>
      <c r="P59" s="2260">
        <f>F62+O59-J62</f>
        <v>19640.592283000005</v>
      </c>
    </row>
    <row r="60" spans="2:16" ht="19.5" customHeight="1">
      <c r="B60" s="2647"/>
      <c r="C60" s="2277" t="s">
        <v>1707</v>
      </c>
      <c r="D60" s="2260"/>
      <c r="E60" s="2260">
        <f>SUMIFS('#投资收益'!14:14,'#投资收益'!$1:$1,$B$1,'#投资收益'!$2:$2,$B$2,'#投资收益'!$3:$3,$C$58)</f>
        <v>0</v>
      </c>
      <c r="F60" s="2504">
        <v>0</v>
      </c>
      <c r="G60" s="2261">
        <f t="shared" si="17"/>
        <v>0</v>
      </c>
      <c r="H60" s="2261"/>
      <c r="I60" s="2262">
        <f t="shared" si="2"/>
        <v>0</v>
      </c>
      <c r="J60" s="2260">
        <f>'@分析#利润分析#'!J59+F60</f>
        <v>4222.6330799999996</v>
      </c>
      <c r="K60" s="2263"/>
      <c r="L60" s="2256"/>
      <c r="O60" s="2260"/>
      <c r="P60" s="2260"/>
    </row>
    <row r="61" spans="2:16" ht="19.5" customHeight="1">
      <c r="B61" s="2647"/>
      <c r="C61" s="2277" t="s">
        <v>1708</v>
      </c>
      <c r="D61" s="2260"/>
      <c r="E61" s="2260">
        <f>SUMIFS('#投资收益'!30:30,'#投资收益'!$1:$1,$B$1,'#投资收益'!$2:$2,$B$2,'#投资收益'!$3:$3,$C$58)</f>
        <v>0</v>
      </c>
      <c r="F61" s="2504">
        <v>0</v>
      </c>
      <c r="G61" s="2261">
        <f t="shared" si="17"/>
        <v>0</v>
      </c>
      <c r="H61" s="2261"/>
      <c r="I61" s="2262">
        <f t="shared" si="2"/>
        <v>0</v>
      </c>
      <c r="J61" s="2260">
        <f>'@分析#利润分析#'!J60+F61</f>
        <v>76069.812520200008</v>
      </c>
      <c r="K61" s="2263"/>
      <c r="L61" s="2256"/>
      <c r="O61" s="2260"/>
      <c r="P61" s="2260"/>
    </row>
    <row r="62" spans="2:16" ht="19.5" customHeight="1">
      <c r="B62" s="2647"/>
      <c r="C62" s="2277" t="s">
        <v>1462</v>
      </c>
      <c r="D62" s="2260"/>
      <c r="E62" s="2260">
        <f>SUMIFS('#分板块利润分析'!67:67,'#分板块利润分析'!$3:$3,$B$2)</f>
        <v>-3567.4477119999997</v>
      </c>
      <c r="F62" s="2260">
        <f>E62+P46</f>
        <v>-3358.4477119999997</v>
      </c>
      <c r="G62" s="2261">
        <f t="shared" si="17"/>
        <v>209</v>
      </c>
      <c r="H62" s="2261"/>
      <c r="I62" s="2262">
        <f t="shared" si="2"/>
        <v>209</v>
      </c>
      <c r="J62" s="2260">
        <f>'@分析#利润分析#'!J61+F62</f>
        <v>-26650.816098000003</v>
      </c>
      <c r="K62" s="2263"/>
      <c r="L62" s="2256">
        <f>'@分析#利润分析#'!J61+'@预测#利润分析#'!F62-'@预测#利润分析#'!J62</f>
        <v>0</v>
      </c>
      <c r="O62" s="2260">
        <v>-17918.859311999997</v>
      </c>
      <c r="P62" s="2260">
        <f t="shared" si="18"/>
        <v>42881.229342000021</v>
      </c>
    </row>
    <row r="63" spans="2:16" ht="19.5" customHeight="1">
      <c r="B63" s="2647"/>
      <c r="C63" s="2277" t="s">
        <v>1463</v>
      </c>
      <c r="D63" s="2260"/>
      <c r="E63" s="2260">
        <f>SUMIFS('#分板块利润分析'!68:68,'#分板块利润分析'!$3:$3,$B$2)</f>
        <v>-6423.438776</v>
      </c>
      <c r="F63" s="2260">
        <f>E63+P47</f>
        <v>-6482.438776</v>
      </c>
      <c r="G63" s="2261">
        <f t="shared" si="17"/>
        <v>-59</v>
      </c>
      <c r="H63" s="2261"/>
      <c r="I63" s="2262">
        <f t="shared" si="2"/>
        <v>-59</v>
      </c>
      <c r="J63" s="2260">
        <f>'@分析#利润分析#'!J62+F63</f>
        <v>-67282.527430000016</v>
      </c>
      <c r="K63" s="2263"/>
      <c r="L63" s="2256">
        <f>'@分析#利润分析#'!J62+'@预测#利润分析#'!F63-'@预测#利润分析#'!J63</f>
        <v>0</v>
      </c>
      <c r="O63" s="2260">
        <f>-3580.56811500001-5700-796</f>
        <v>-10076.568115000009</v>
      </c>
      <c r="P63" s="2260">
        <f t="shared" si="18"/>
        <v>8447.2204119997914</v>
      </c>
    </row>
    <row r="64" spans="2:16" ht="19.5" customHeight="1">
      <c r="B64" s="2647"/>
      <c r="C64" s="2277" t="s">
        <v>1464</v>
      </c>
      <c r="D64" s="2260"/>
      <c r="E64" s="2347">
        <f>SUMIFS('#分板块利润分析'!52:52,'#分板块利润分析'!$3:$3,$B$2)-E62-E63</f>
        <v>-1932.9592309999907</v>
      </c>
      <c r="F64" s="2347">
        <f>E64+P48</f>
        <v>-1216.9592309999907</v>
      </c>
      <c r="G64" s="2261">
        <f t="shared" si="17"/>
        <v>716</v>
      </c>
      <c r="H64" s="2261"/>
      <c r="I64" s="2262">
        <f t="shared" si="2"/>
        <v>716</v>
      </c>
      <c r="J64" s="2260">
        <f>'@分析#利润分析#'!J63+F64</f>
        <v>-19740.74775799979</v>
      </c>
      <c r="K64" s="2263"/>
      <c r="L64" s="2256">
        <f>'@分析#利润分析#'!J63+'@预测#利润分析#'!F64-'@预测#利润分析#'!J64</f>
        <v>0</v>
      </c>
      <c r="O64" s="2267">
        <f>O57+O59+O62+O63</f>
        <v>-29958.432511110004</v>
      </c>
      <c r="P64" s="2267">
        <f t="shared" si="18"/>
        <v>-28097.818400680186</v>
      </c>
    </row>
    <row r="65" spans="2:16" s="2258" customFormat="1" ht="19.5" customHeight="1">
      <c r="B65" s="2647"/>
      <c r="C65" s="2253" t="s">
        <v>1449</v>
      </c>
      <c r="D65" s="2254"/>
      <c r="E65" s="2254">
        <f>E58+E62+E63+E64</f>
        <v>-9653.8004375899909</v>
      </c>
      <c r="F65" s="2254">
        <f>F58+F62+F63+F64</f>
        <v>-3470.7757189999902</v>
      </c>
      <c r="G65" s="2255">
        <f>F65-E65</f>
        <v>6183.0247185900007</v>
      </c>
      <c r="H65" s="2255"/>
      <c r="I65" s="2255">
        <f t="shared" si="2"/>
        <v>6183.0247185900007</v>
      </c>
      <c r="J65" s="2254">
        <f>J58+J62+J63+J64</f>
        <v>-5331.3898294298087</v>
      </c>
      <c r="K65" s="2256"/>
      <c r="L65" s="2256">
        <f>'@分析#利润分析#'!J64+'@预测#利润分析#'!F65-'@预测#利润分析#'!J65</f>
        <v>0</v>
      </c>
      <c r="O65" s="2267">
        <v>-2149.2891677600001</v>
      </c>
      <c r="P65" s="2267">
        <f t="shared" si="18"/>
        <v>82889.031715640012</v>
      </c>
    </row>
    <row r="66" spans="2:16" s="2258" customFormat="1" ht="19.5" customHeight="1">
      <c r="B66" s="2648" t="s">
        <v>1465</v>
      </c>
      <c r="C66" s="2648"/>
      <c r="D66" s="2267"/>
      <c r="E66" s="2267">
        <f>SUMIFS('利润（汇总）'!38:38,'利润（汇总）'!$1:$1,$B$1,'利润（汇总）'!$2:$2,$B$2)+SUMIFS('利润（汇总）'!39:39,'利润（汇总）'!$1:$1,$B$1,'利润（汇总）'!$2:$2,$B$2)+SUMIFS('利润（汇总）'!40:40,'利润（汇总）'!$1:$1,$B$1,'利润（汇总）'!$2:$2,$B$2)</f>
        <v>-1101</v>
      </c>
      <c r="F66" s="2267">
        <f>'@预测#收入利润#'!M40+'@预测#收入利润#'!M41+'@预测#收入利润#'!M42+'@预测#收入利润#'!M43</f>
        <v>-1431.0450000000001</v>
      </c>
      <c r="G66" s="2268">
        <f>F66-E66</f>
        <v>-330.04500000000007</v>
      </c>
      <c r="H66" s="2268"/>
      <c r="I66" s="2255">
        <f t="shared" si="2"/>
        <v>-330.04500000000007</v>
      </c>
      <c r="J66" s="2260">
        <f>'@分析#利润分析#'!J65+F66</f>
        <v>-86469.365883400009</v>
      </c>
      <c r="K66" s="2256"/>
      <c r="L66" s="2256">
        <f>'@分析#利润分析#'!J65+'@预测#利润分析#'!F66-'@预测#利润分析#'!J66</f>
        <v>0</v>
      </c>
      <c r="O66" s="2254" t="e">
        <f>#REF!+O56+O64+O65</f>
        <v>#REF!</v>
      </c>
      <c r="P66" s="2254" t="e">
        <f t="shared" si="18"/>
        <v>#REF!</v>
      </c>
    </row>
    <row r="67" spans="2:16" s="2258" customFormat="1" ht="19.5" customHeight="1">
      <c r="B67" s="2649" t="s">
        <v>1314</v>
      </c>
      <c r="C67" s="2649"/>
      <c r="D67" s="2254"/>
      <c r="E67" s="2254">
        <f>E23+E57+E65+E66</f>
        <v>218577.09277240999</v>
      </c>
      <c r="F67" s="2254">
        <f>F23+F57+F65+F66</f>
        <v>194834.72878146154</v>
      </c>
      <c r="G67" s="2255">
        <f t="shared" si="17"/>
        <v>-23742.363990948448</v>
      </c>
      <c r="H67" s="2255"/>
      <c r="I67" s="2255">
        <f>I23+I57+I65+I66</f>
        <v>-23742.363990948426</v>
      </c>
      <c r="J67" s="2254">
        <f>J23+J57+J65+J66</f>
        <v>1721134.4299876317</v>
      </c>
      <c r="K67" s="2256" t="str">
        <f>IF(I67&gt;0,"增加","减少")</f>
        <v>减少</v>
      </c>
      <c r="L67" s="2256">
        <f>'@分析#利润分析#'!J66+'@预测#利润分析#'!F67-'@预测#利润分析#'!J67</f>
        <v>0</v>
      </c>
      <c r="M67" s="2459"/>
      <c r="O67" s="2260" t="e">
        <f>O66-#REF!-#REF!</f>
        <v>#REF!</v>
      </c>
      <c r="P67" s="2260" t="e">
        <f t="shared" si="18"/>
        <v>#REF!</v>
      </c>
    </row>
    <row r="68" spans="2:16" ht="19.5" customHeight="1">
      <c r="B68" s="2650" t="s">
        <v>1451</v>
      </c>
      <c r="C68" s="2650"/>
      <c r="D68" s="2260"/>
      <c r="E68" s="2260">
        <f>E67-E7-E8</f>
        <v>219470.67577241</v>
      </c>
      <c r="F68" s="2260">
        <f>F67-F7-F8</f>
        <v>191806.72878146154</v>
      </c>
      <c r="G68" s="2261">
        <f t="shared" si="17"/>
        <v>-27663.946990948461</v>
      </c>
      <c r="H68" s="2261"/>
      <c r="I68" s="2261">
        <f>I67-I7-I8</f>
        <v>-27663.946990948425</v>
      </c>
      <c r="J68" s="2260">
        <f>'@分析#利润分析#'!J67+F68</f>
        <v>1683452.7456436313</v>
      </c>
      <c r="K68" s="2297"/>
      <c r="L68" s="2256">
        <f>'@分析#利润分析#'!J67+'@预测#利润分析#'!F68-'@预测#利润分析#'!J68</f>
        <v>0</v>
      </c>
      <c r="N68" s="2273"/>
      <c r="O68" s="2264"/>
    </row>
    <row r="69" spans="2:16" ht="19.5" customHeight="1">
      <c r="B69" s="2645" t="s">
        <v>1466</v>
      </c>
      <c r="C69" s="2645"/>
      <c r="D69" s="2260"/>
      <c r="E69" s="2260">
        <f>E65+E10+E16+E21+E13+E14+E15+E19+E20</f>
        <v>37037.416287410007</v>
      </c>
      <c r="F69" s="2260">
        <f>F65+F10+F16+F21+F13+F14+F15+F19+F20</f>
        <v>39715.756319923079</v>
      </c>
      <c r="G69" s="2261">
        <f t="shared" si="17"/>
        <v>2678.3400325130715</v>
      </c>
      <c r="H69" s="2261"/>
      <c r="I69" s="2261">
        <f>I68-I8-I9</f>
        <v>-35474.873920256126</v>
      </c>
      <c r="J69" s="2260">
        <f>'@分析#利润分析#'!J68+F69</f>
        <v>332816.59995649313</v>
      </c>
      <c r="K69" s="2297"/>
      <c r="L69" s="2256">
        <f>'@分析#利润分析#'!J68+'@预测#利润分析#'!F69-'@预测#利润分析#'!J69</f>
        <v>0</v>
      </c>
    </row>
    <row r="70" spans="2:16" ht="19.5" customHeight="1">
      <c r="B70" s="2633" t="s">
        <v>1729</v>
      </c>
      <c r="C70" s="2634"/>
      <c r="D70" s="2263"/>
      <c r="E70" s="2504">
        <v>192</v>
      </c>
      <c r="F70" s="2504">
        <v>60</v>
      </c>
      <c r="G70" s="2261">
        <f t="shared" si="17"/>
        <v>-132</v>
      </c>
      <c r="H70" s="2261"/>
      <c r="I70" s="2261">
        <f>F70-E70</f>
        <v>-132</v>
      </c>
      <c r="J70" s="2504">
        <v>1099</v>
      </c>
      <c r="K70" s="2297"/>
      <c r="L70" s="2256"/>
    </row>
    <row r="71" spans="2:16">
      <c r="B71" s="2279"/>
      <c r="C71" s="2279"/>
      <c r="D71" s="2263"/>
      <c r="E71" s="2263">
        <f>'@分析#利润分析#'!F66</f>
        <v>213139.47172100001</v>
      </c>
      <c r="F71" s="2263">
        <f>'@预测#收入利润#'!M44</f>
        <v>194834.72878146154</v>
      </c>
      <c r="G71" s="2280"/>
      <c r="H71" s="2280"/>
      <c r="I71"/>
      <c r="J71" s="2263"/>
      <c r="K71" s="2263"/>
      <c r="L71" s="2263"/>
    </row>
    <row r="72" spans="2:16">
      <c r="B72" s="2279"/>
      <c r="C72" s="2264"/>
      <c r="D72" s="2263"/>
      <c r="E72" s="2263">
        <f>E67-E71</f>
        <v>5437.6210514099803</v>
      </c>
      <c r="F72" s="2263">
        <f>F67-F71</f>
        <v>0</v>
      </c>
      <c r="G72" s="2280"/>
      <c r="H72" s="2280"/>
      <c r="I72" s="2280"/>
      <c r="J72" s="2281">
        <f>J9+J65</f>
        <v>807733.18195103167</v>
      </c>
      <c r="K72" s="2281"/>
      <c r="L72" s="2263"/>
    </row>
    <row r="73" spans="2:16">
      <c r="C73" s="2265" t="s">
        <v>1313</v>
      </c>
      <c r="D73" s="2263">
        <v>793797.5495701927</v>
      </c>
      <c r="E73" s="2263">
        <v>130205.63173395001</v>
      </c>
      <c r="F73" s="2263">
        <v>145868.33462350076</v>
      </c>
      <c r="G73" s="2280">
        <f t="shared" ref="G73:G83" si="19">F73-E73</f>
        <v>15662.702889550754</v>
      </c>
      <c r="H73" s="2280">
        <f>F65-55179</f>
        <v>-58649.77571899999</v>
      </c>
      <c r="I73" s="2280"/>
      <c r="J73" s="2263">
        <v>368943.66452282068</v>
      </c>
      <c r="K73" s="2263"/>
      <c r="L73" s="2263"/>
    </row>
    <row r="74" spans="2:16">
      <c r="C74" s="2265" t="s">
        <v>105</v>
      </c>
      <c r="D74" s="2263">
        <v>45945</v>
      </c>
      <c r="E74" s="2263">
        <v>16940.717150889999</v>
      </c>
      <c r="F74" s="2263">
        <v>16331.592203999997</v>
      </c>
      <c r="G74" s="2280">
        <f t="shared" si="19"/>
        <v>-609.12494689000232</v>
      </c>
      <c r="H74" s="2280">
        <f>E65-H73</f>
        <v>48995.975281409999</v>
      </c>
      <c r="I74" s="2280"/>
      <c r="J74" s="2263">
        <v>46304.764060079993</v>
      </c>
      <c r="K74" s="2263"/>
      <c r="L74" s="2263"/>
    </row>
    <row r="75" spans="2:16">
      <c r="C75" s="2265" t="s">
        <v>106</v>
      </c>
      <c r="D75" s="2263">
        <v>-44436</v>
      </c>
      <c r="E75" s="2263">
        <v>16649.151089999999</v>
      </c>
      <c r="F75" s="2263">
        <v>14300.612203999997</v>
      </c>
      <c r="G75" s="2280">
        <f t="shared" si="19"/>
        <v>-2348.5388860000021</v>
      </c>
      <c r="H75" s="2280"/>
      <c r="I75" s="2280"/>
      <c r="J75" s="2263">
        <v>42585.013049999994</v>
      </c>
      <c r="K75" s="2263"/>
      <c r="L75" s="2263"/>
      <c r="O75" s="2265">
        <v>232084</v>
      </c>
      <c r="P75" s="2263">
        <f>O75+F67</f>
        <v>426918.72878146154</v>
      </c>
    </row>
    <row r="76" spans="2:16">
      <c r="C76" s="2265" t="s">
        <v>109</v>
      </c>
      <c r="D76" s="2263">
        <v>80690</v>
      </c>
      <c r="E76" s="2263">
        <v>0</v>
      </c>
      <c r="F76" s="2263">
        <v>0</v>
      </c>
      <c r="G76" s="2280">
        <f t="shared" si="19"/>
        <v>0</v>
      </c>
      <c r="H76" s="2280"/>
      <c r="I76" s="2280"/>
      <c r="J76" s="2263">
        <v>0</v>
      </c>
      <c r="K76" s="2263"/>
      <c r="L76" s="2263"/>
    </row>
    <row r="77" spans="2:16">
      <c r="C77" s="2265" t="s">
        <v>141</v>
      </c>
      <c r="D77" s="2263">
        <v>106386.99999999996</v>
      </c>
      <c r="E77" s="2263">
        <v>3673.4039770000254</v>
      </c>
      <c r="F77" s="2263">
        <v>7348.5846000000001</v>
      </c>
      <c r="G77" s="2280">
        <f t="shared" si="19"/>
        <v>3675.1806229999747</v>
      </c>
      <c r="H77" s="2280"/>
      <c r="I77" s="2280"/>
      <c r="J77" s="2263">
        <v>17090.699248999983</v>
      </c>
      <c r="K77" s="2263"/>
      <c r="L77" s="2263"/>
      <c r="O77" s="2265" t="s">
        <v>1710</v>
      </c>
    </row>
    <row r="78" spans="2:16">
      <c r="C78" s="2265" t="s">
        <v>142</v>
      </c>
      <c r="D78" s="2263">
        <v>-14256.795</v>
      </c>
      <c r="E78" s="2263">
        <v>-823.81710894000003</v>
      </c>
      <c r="F78" s="2263">
        <v>-305.39249999999998</v>
      </c>
      <c r="G78" s="2280">
        <f t="shared" si="19"/>
        <v>518.4246089400001</v>
      </c>
      <c r="H78" s="2280"/>
      <c r="I78" s="2280"/>
      <c r="J78" s="2263">
        <v>-2454.68166776</v>
      </c>
      <c r="K78" s="2263"/>
      <c r="L78" s="2263"/>
    </row>
    <row r="79" spans="2:16">
      <c r="C79" s="2265" t="s">
        <v>143</v>
      </c>
      <c r="D79" s="2263">
        <v>-14256.795</v>
      </c>
      <c r="E79" s="2263">
        <v>-823.81710894000003</v>
      </c>
      <c r="F79" s="2263">
        <v>-305.39249999999998</v>
      </c>
      <c r="G79" s="2280">
        <f t="shared" si="19"/>
        <v>518.4246089400001</v>
      </c>
      <c r="H79" s="2280"/>
      <c r="I79" s="2280"/>
      <c r="J79" s="2263">
        <v>-2454.68166776</v>
      </c>
      <c r="K79" s="2263"/>
      <c r="L79" s="2263"/>
    </row>
    <row r="80" spans="2:16">
      <c r="C80" s="2265" t="s">
        <v>144</v>
      </c>
      <c r="D80" s="2263">
        <v>0</v>
      </c>
      <c r="E80" s="2263">
        <v>0</v>
      </c>
      <c r="F80" s="2263">
        <v>0</v>
      </c>
      <c r="G80" s="2280">
        <f t="shared" si="19"/>
        <v>0</v>
      </c>
      <c r="H80" s="2280"/>
      <c r="I80" s="2280"/>
      <c r="J80" s="2263">
        <v>0</v>
      </c>
      <c r="K80" s="2263"/>
      <c r="L80" s="2263"/>
    </row>
    <row r="81" spans="3:12">
      <c r="C81" s="2265" t="s">
        <v>145</v>
      </c>
      <c r="D81" s="2263">
        <v>0</v>
      </c>
      <c r="E81" s="2263">
        <v>0</v>
      </c>
      <c r="F81" s="2263">
        <v>0</v>
      </c>
      <c r="G81" s="2280">
        <f t="shared" si="19"/>
        <v>0</v>
      </c>
      <c r="H81" s="2280"/>
      <c r="I81" s="2280"/>
      <c r="J81" s="2263">
        <v>0</v>
      </c>
      <c r="K81" s="2263"/>
      <c r="L81" s="2263"/>
    </row>
    <row r="82" spans="3:12">
      <c r="C82" s="2265" t="s">
        <v>146</v>
      </c>
      <c r="D82" s="2263">
        <v>0</v>
      </c>
      <c r="E82" s="2263">
        <v>0</v>
      </c>
      <c r="F82" s="2263">
        <v>0</v>
      </c>
      <c r="G82" s="2280">
        <f t="shared" si="19"/>
        <v>0</v>
      </c>
      <c r="H82" s="2280"/>
      <c r="I82" s="2280"/>
      <c r="J82" s="2263">
        <v>0</v>
      </c>
      <c r="K82" s="2263"/>
      <c r="L82" s="2263"/>
    </row>
    <row r="83" spans="3:12">
      <c r="C83" s="2265" t="s">
        <v>1359</v>
      </c>
      <c r="D83" s="2263">
        <v>815897.5495701927</v>
      </c>
      <c r="E83" s="2263">
        <v>136400.08173395001</v>
      </c>
      <c r="F83" s="2263">
        <v>148817.33462350076</v>
      </c>
      <c r="G83" s="2280">
        <f t="shared" si="19"/>
        <v>12417.252889550757</v>
      </c>
      <c r="H83" s="2280"/>
      <c r="I83" s="2280"/>
      <c r="J83" s="2263">
        <v>380901.59312282066</v>
      </c>
      <c r="K83" s="2263"/>
      <c r="L83" s="2263"/>
    </row>
    <row r="85" spans="3:12">
      <c r="H85" s="2263"/>
    </row>
    <row r="86" spans="3:12">
      <c r="C86" s="2265" t="str">
        <f>"领导，现将"&amp;$A$2&amp;"月利润及产值预计情况汇报如下："</f>
        <v>领导，现将8月利润及产值预计情况汇报如下：</v>
      </c>
      <c r="F86" s="2263"/>
    </row>
    <row r="87" spans="3:12">
      <c r="C87" s="2265" t="str">
        <f>"（1）"&amp;$A$2&amp;"月汇总利润（管理口径）"&amp;ROUND(F67/10000,2)&amp;"亿元，比上月"&amp;ROUND(E67/10000,2)&amp;"亿元"&amp;K67&amp;ROUND(ABS(I67/10000),2)&amp;"亿元，其中："</f>
        <v>（1）8月汇总利润（管理口径）19.48亿元，比上月21.86亿元减少2.37亿元，其中：</v>
      </c>
    </row>
    <row r="88" spans="3:12">
      <c r="C88" s="2265" t="str">
        <f>"①"&amp;$C$5&amp;ROUND(F5/10000,2)&amp;"亿元，剔除关联交易价变动影响后，比上月"&amp;K5&amp;ABS(ROUND(I5/10000,2))&amp;"亿元；（"&amp;C6&amp;ROUND(F6/10000,2)&amp;"亿元，比上月"&amp;K6&amp;ABS(ROUND(I6/10000,2))&amp;"亿元；"&amp;C7&amp;ROUND(F7/10000,2)&amp;"亿元，比上月"&amp;K7&amp;ABS(ROUND(I7/10000,2))&amp;"亿元；"&amp;C8&amp;ROUND(F8/10000,2)&amp;"亿元，比上月"&amp;K8&amp;ABS(ROUND(I8/10000,2))&amp;"亿元）；"</f>
        <v>①钢铁板块8.15亿元，剔除关联交易价变动影响后，比上月减少3.99亿元；（太钢不锈7.85亿元，比上月减少4.38亿元；宝钢德盛0.1亿元，比上月增加0.54亿元；宁波宝新0.2亿元，比上月减少0.15亿元）；</v>
      </c>
    </row>
    <row r="89" spans="3:12">
      <c r="C89" s="2265" t="str">
        <f>"②"&amp;$C$9&amp;ROUND(F9/10000,2)&amp;"亿元，剔除关联交易价变动影响后，比上月"&amp;K9&amp;ABS(ROUND(I9/10000,2))&amp;"亿元，"&amp;C90</f>
        <v>②矿山系统10.67亿元，剔除关联交易价变动影响后，比上月增加0.93亿元，其中：结算量增加增利0.8亿元，职工薪酬减少增利0.24亿元。</v>
      </c>
    </row>
    <row r="90" spans="3:12">
      <c r="C90" s="2541" t="s">
        <v>1745</v>
      </c>
    </row>
    <row r="91" spans="3:12">
      <c r="C91" s="2265" t="str">
        <f>"③"&amp;"多元业务"&amp;ROUND(F57/10000,2)&amp;"亿元，比上月"&amp;ROUND(E57/10000,2)&amp;"亿元"&amp;K57&amp;ABS(ROUND(I57/10000,2))&amp;"亿元；"</f>
        <v>③多元业务1.16亿元，比上月1.06亿元增加0.1亿元；</v>
      </c>
    </row>
    <row r="92" spans="3:12">
      <c r="C92" s="2541" t="s">
        <v>1744</v>
      </c>
    </row>
    <row r="93" spans="3:12">
      <c r="C93" s="2265" t="str">
        <f>"（2）1-"&amp;$A$2&amp;"月累计汇总利润（管理口径）"&amp;ROUND(J67/10000,2)&amp;"亿元，其中："</f>
        <v>（2）1-8月累计汇总利润（管理口径）172.11亿元，其中：</v>
      </c>
    </row>
    <row r="94" spans="3:12">
      <c r="C94" s="2265" t="str">
        <f>"①"&amp;$C$5&amp;ROUND(J5/10000,2)&amp;"亿元（"&amp;C6&amp;ROUND(J6/10000,2)&amp;"亿元，"&amp;C7&amp;ROUND(J7/10000,2)&amp;"亿元，"&amp;C8&amp;ROUND(J8/10000,2)&amp;"亿元）；"</f>
        <v>①钢铁板块88.77亿元（太钢不锈85亿元，宝钢德盛0.45亿元，宁波宝新3.31亿元）；</v>
      </c>
    </row>
    <row r="95" spans="3:12">
      <c r="C95" s="2265" t="str">
        <f>"②"&amp;$C$9&amp;ROUND(J9/10000,2)&amp;"亿元；"</f>
        <v>②矿山系统81.31亿元；</v>
      </c>
    </row>
    <row r="96" spans="3:12">
      <c r="C96" s="2265" t="str">
        <f>"③"&amp;"多元业务"&amp;ROUND(J57/10000,2)&amp;"亿元。"</f>
        <v>③多元业务11.22亿元。</v>
      </c>
    </row>
    <row r="97" spans="3:3">
      <c r="C97" s="2265" t="str">
        <f>"（3）1-"&amp;$A$2&amp;"月"&amp;"汇总利润（商业计划书口径）"&amp;ROUND(F23/10000,2)&amp;"亿元，比上月"&amp;ROUND(E23/10000,2)&amp;"亿元"&amp;K23&amp;ABS(ROUND(I23/10000,2))&amp;"亿元。"</f>
        <v>（3）1-8月汇总利润（商业计划书口径）18.82亿元，比上月21.87亿元减少3.06亿元。</v>
      </c>
    </row>
    <row r="98" spans="3:3">
      <c r="C98" s="2265" t="str">
        <f>"（3）"&amp;$A$2&amp;"月太钢集团预计产值（太原地区）"&amp;ROUND('@预测#概况#'!I163,2)&amp;"亿元，按此报出后，比同期"&amp;ROUND('@预测#概况#'!E163,2)&amp;"亿元"&amp;IF('@预测#概况#'!J163&gt;0,"增加","减少")&amp;ABS(ROUND('@预测#概况#'!J163,2))&amp;"亿元，"&amp;IF('@预测#概况#'!K163&gt;0,"增幅","降幅")&amp;ROUND('@预测#概况#'!K163*100,2)&amp;"%；"&amp;"1-"&amp;$A$2&amp;"月太钢集团产值（太原地区）累计"&amp;ROUND('@预测#概况#'!N163,2)&amp;"亿元，比同期"&amp;ROUND('@预测#概况#'!F163,2)&amp;"亿元"&amp;IF('@预测#概况#'!O163,"增加","减少")&amp;ABS(ROUND('@预测#概况#'!O163,2))&amp;"亿元，"&amp;IF('@预测#概况#'!P163&gt;0,"增幅","降幅")&amp;ROUND('@预测#概况#'!P163*100,2)&amp;"%。"</f>
        <v>（3）8月太钢集团预计产值（太原地区）98.34亿元，按此报出后，比同期55.24亿元增加43.1亿元，增幅78.03%；1-8月太钢集团产值（太原地区）累计715.02亿元，比同期475.83亿元增加239.19亿元，增幅50.27%。</v>
      </c>
    </row>
    <row r="99" spans="3:3">
      <c r="C99" s="2265" t="str">
        <f>C86&amp;"
"&amp;C87&amp;"
"&amp;C88&amp;"
"&amp;C89&amp;"
"&amp;C91&amp;"
"&amp;C92&amp;"
"&amp;C93&amp;"
"&amp;C94&amp;"
"&amp;C95&amp;"
"&amp;C96&amp;"
"&amp;C98</f>
        <v>领导，现将8月利润及产值预计情况汇报如下：
（1）8月汇总利润（管理口径）19.48亿元，比上月21.86亿元减少2.37亿元，其中：
①钢铁板块8.15亿元，剔除关联交易价变动影响后，比上月减少3.99亿元；（太钢不锈7.85亿元，比上月减少4.38亿元；宝钢德盛0.1亿元，比上月增加0.54亿元；宁波宝新0.2亿元，比上月减少0.15亿元）；
②矿山系统10.67亿元，剔除关联交易价变动影响后，比上月增加0.93亿元，其中：结算量增加增利0.8亿元，职工薪酬减少增利0.24亿元。
③多元业务1.16亿元，比上月1.06亿元增加0.1亿元；
④投资收益增加增利0.5亿元，其中：中色太钢投资收益增加增利0.2亿元，山西证券投资收益增加增利0.3亿元。
（2）1-8月累计汇总利润（管理口径）172.11亿元，其中：
①钢铁板块88.77亿元（太钢不锈85亿元，宝钢德盛0.45亿元，宁波宝新3.31亿元）；
②矿山系统81.31亿元；
③多元业务11.22亿元。
（3）8月太钢集团预计产值（太原地区）98.34亿元，按此报出后，比同期55.24亿元增加43.1亿元，增幅78.03%；1-8月太钢集团产值（太原地区）累计715.02亿元，比同期475.83亿元增加239.19亿元，增幅50.27%。</v>
      </c>
    </row>
    <row r="100" spans="3:3">
      <c r="C100" s="2513"/>
    </row>
  </sheetData>
  <customSheetViews>
    <customSheetView guid="{1683F931-F47D-47C0-A395-D48080DC7EE6}" scale="85" showPageBreaks="1" fitToPage="1" hiddenRows="1" hiddenColumns="1" topLeftCell="B7">
      <selection activeCell="G11" sqref="G11"/>
      <pageMargins left="0.7" right="0.7" top="0.75" bottom="0.75" header="0.3" footer="0.3"/>
      <pageSetup paperSize="9" scale="10" orientation="portrait" r:id="rId1"/>
    </customSheetView>
    <customSheetView guid="{43897816-D2F0-4C3D-8F57-E0039BD2296B}" scale="85" fitToPage="1" hiddenRows="1" hiddenColumns="1">
      <selection activeCell="O19" sqref="O19"/>
      <pageMargins left="0.7" right="0.7" top="0.75" bottom="0.75" header="0.3" footer="0.3"/>
      <pageSetup paperSize="9" scale="26" orientation="portrait" r:id="rId2"/>
    </customSheetView>
    <customSheetView guid="{849C46E5-4ED4-41B9-BDA9-A6465B9DA9C2}" fitToPage="1" hiddenRows="1" hiddenColumns="1" topLeftCell="F10">
      <selection activeCell="H18" sqref="H18"/>
      <pageMargins left="0.7" right="0.7" top="0.75" bottom="0.75" header="0.3" footer="0.3"/>
      <pageSetup paperSize="9" scale="26" orientation="portrait" r:id="rId3"/>
    </customSheetView>
    <customSheetView guid="{8C09BCDE-4B8A-4469-B3F2-7F4528A2E78D}" fitToPage="1" hiddenRows="1" hiddenColumns="1" topLeftCell="F10">
      <selection activeCell="H18" sqref="H18"/>
      <pageMargins left="0.7" right="0.7" top="0.75" bottom="0.75" header="0.3" footer="0.3"/>
      <pageSetup paperSize="9" scale="26" orientation="portrait" r:id="rId4"/>
    </customSheetView>
    <customSheetView guid="{F4EB51F4-FD23-4D5B-8072-1AF5D59D6686}" fitToPage="1" hiddenRows="1" hiddenColumns="1" topLeftCell="A24">
      <selection activeCell="A70" sqref="A70:XFD70"/>
      <pageMargins left="0.7" right="0.7" top="0.75" bottom="0.75" header="0.3" footer="0.3"/>
      <pageSetup paperSize="9" scale="26" orientation="portrait" r:id="rId5"/>
    </customSheetView>
    <customSheetView guid="{D7BCFB76-2797-401D-A6F1-E020B5162DD4}" scale="85" fitToPage="1" hiddenRows="1" hiddenColumns="1" topLeftCell="A4">
      <selection activeCell="K10" sqref="K10"/>
      <pageMargins left="0.7" right="0.7" top="0.75" bottom="0.75" header="0.3" footer="0.3"/>
      <pageSetup paperSize="9" scale="26" orientation="portrait" r:id="rId6"/>
    </customSheetView>
    <customSheetView guid="{C9A88430-3808-49F4-8D86-BF8C70C55441}" scale="85" fitToPage="1" hiddenColumns="1" topLeftCell="K1">
      <selection activeCell="K10" sqref="K10"/>
      <pageMargins left="0.7" right="0.7" top="0.75" bottom="0.75" header="0.3" footer="0.3"/>
      <pageSetup paperSize="9" scale="11" orientation="portrait" r:id="rId7"/>
    </customSheetView>
    <customSheetView guid="{E61FFED3-723E-484A-93A0-94E1A801AF06}" scale="85" fitToPage="1" hiddenColumns="1" topLeftCell="A4">
      <selection activeCell="A12" sqref="A12:XFD12"/>
      <pageMargins left="0.7" right="0.7" top="0.75" bottom="0.75" header="0.3" footer="0.3"/>
      <pageSetup paperSize="9" scale="23" orientation="portrait" r:id="rId8"/>
    </customSheetView>
    <customSheetView guid="{6A1E79C9-91E3-4EEA-8ABB-4446083299EC}" showPageBreaks="1" fitToPage="1" hiddenColumns="1" topLeftCell="C1">
      <selection activeCell="G11" sqref="G11"/>
      <pageMargins left="0.7" right="0.7" top="0.75" bottom="0.75" header="0.3" footer="0.3"/>
      <pageSetup paperSize="9" scale="24" orientation="portrait" r:id="rId9"/>
    </customSheetView>
    <customSheetView guid="{8B80B510-C931-46B1-8591-DEA916D76593}" scale="85" fitToPage="1" hiddenRows="1" hiddenColumns="1">
      <selection activeCell="I11" sqref="I11"/>
      <pageMargins left="0.7" right="0.7" top="0.75" bottom="0.75" header="0.3" footer="0.3"/>
      <pageSetup paperSize="9" scale="26" orientation="portrait" r:id="rId10"/>
    </customSheetView>
    <customSheetView guid="{303A9D89-611D-4504-BCAA-071C53B021F7}" scale="85" fitToPage="1" hiddenRows="1" hiddenColumns="1">
      <selection activeCell="K35" sqref="K35"/>
      <pageMargins left="0.7" right="0.7" top="0.75" bottom="0.75" header="0.3" footer="0.3"/>
      <pageSetup paperSize="9" scale="26" orientation="portrait" r:id="rId11"/>
    </customSheetView>
    <customSheetView guid="{4583A87D-5DFF-47BD-849A-FA4AAF2B9CE3}" scale="85" fitToPage="1" hiddenRows="1" hiddenColumns="1">
      <selection activeCell="I11" sqref="I11"/>
      <pageMargins left="0.7" right="0.7" top="0.75" bottom="0.75" header="0.3" footer="0.3"/>
      <pageSetup paperSize="9" scale="26" orientation="portrait" r:id="rId12"/>
    </customSheetView>
    <customSheetView guid="{EA856AC2-CDFF-46B6-B0C4-30449DF132F4}" fitToPage="1" hiddenRows="1" hiddenColumns="1" topLeftCell="C10">
      <selection activeCell="I12" sqref="I12"/>
      <pageMargins left="0.7" right="0.7" top="0.75" bottom="0.75" header="0.3" footer="0.3"/>
      <pageSetup paperSize="9" scale="26" orientation="portrait" r:id="rId13"/>
    </customSheetView>
    <customSheetView guid="{322A45A6-8B26-49B8-A4D9-EFB3C94A758D}" scale="85" fitToPage="1" hiddenRows="1" hiddenColumns="1" topLeftCell="B7">
      <selection activeCell="F17" sqref="F17"/>
      <pageMargins left="0.7" right="0.7" top="0.75" bottom="0.75" header="0.3" footer="0.3"/>
      <pageSetup paperSize="9" scale="10" orientation="portrait" r:id="rId14"/>
    </customSheetView>
  </customSheetViews>
  <mergeCells count="16">
    <mergeCell ref="B70:C70"/>
    <mergeCell ref="B4:C4"/>
    <mergeCell ref="W4:X4"/>
    <mergeCell ref="B5:B23"/>
    <mergeCell ref="W5:W14"/>
    <mergeCell ref="W15:W21"/>
    <mergeCell ref="W22:X22"/>
    <mergeCell ref="W23:X23"/>
    <mergeCell ref="B69:C69"/>
    <mergeCell ref="B24:B57"/>
    <mergeCell ref="W24:X24"/>
    <mergeCell ref="B58:B65"/>
    <mergeCell ref="B66:C66"/>
    <mergeCell ref="B67:C67"/>
    <mergeCell ref="B68:C68"/>
    <mergeCell ref="W25:X25"/>
  </mergeCells>
  <phoneticPr fontId="133" type="noConversion"/>
  <pageMargins left="0.7" right="0.7" top="0.75" bottom="0.75" header="0.3" footer="0.3"/>
  <pageSetup paperSize="9" scale="10" orientation="portrait" r:id="rId1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ECD81-D11B-4B73-9FC4-AFA3D7F40EBD}">
  <dimension ref="A1:AB69"/>
  <sheetViews>
    <sheetView workbookViewId="0">
      <selection activeCell="G28" sqref="G28"/>
    </sheetView>
  </sheetViews>
  <sheetFormatPr defaultRowHeight="14.25"/>
  <cols>
    <col min="1" max="1" width="11.875" customWidth="1"/>
    <col min="2" max="2" width="15.875" customWidth="1"/>
    <col min="3" max="3" width="12.25" customWidth="1"/>
    <col min="4" max="4" width="13.25" customWidth="1"/>
    <col min="5" max="5" width="12.125" customWidth="1"/>
    <col min="6" max="6" width="11.125" customWidth="1"/>
    <col min="7" max="7" width="13.5" customWidth="1"/>
    <col min="8" max="8" width="11.125" customWidth="1"/>
    <col min="9" max="9" width="12" customWidth="1"/>
    <col min="10" max="10" width="11.5" style="1847" customWidth="1"/>
    <col min="11" max="11" width="14.25" customWidth="1"/>
    <col min="12" max="12" width="12.5" customWidth="1"/>
    <col min="13" max="13" width="10.625" customWidth="1"/>
    <col min="14" max="14" width="9.625" customWidth="1"/>
    <col min="16" max="16" width="9.875" customWidth="1"/>
  </cols>
  <sheetData>
    <row r="1" spans="1:28">
      <c r="M1" s="322">
        <v>2021</v>
      </c>
      <c r="N1" s="322">
        <v>2021</v>
      </c>
      <c r="O1" s="322">
        <v>2021</v>
      </c>
      <c r="P1" s="322">
        <v>2021</v>
      </c>
      <c r="Q1" s="322">
        <v>2021</v>
      </c>
      <c r="R1" s="322">
        <v>2021</v>
      </c>
    </row>
    <row r="2" spans="1:28">
      <c r="M2" s="542">
        <v>3</v>
      </c>
      <c r="N2" s="542">
        <v>4</v>
      </c>
      <c r="O2" s="322">
        <v>5</v>
      </c>
      <c r="P2" s="322">
        <v>6</v>
      </c>
      <c r="Q2" s="322">
        <v>7</v>
      </c>
      <c r="R2" s="322">
        <v>8</v>
      </c>
    </row>
    <row r="3" spans="1:28">
      <c r="B3" s="1799"/>
      <c r="C3" s="2404" t="s">
        <v>198</v>
      </c>
      <c r="D3" s="2404" t="s">
        <v>200</v>
      </c>
      <c r="E3" s="2404" t="s">
        <v>201</v>
      </c>
      <c r="F3" s="2404" t="s">
        <v>202</v>
      </c>
      <c r="G3" s="2408" t="s">
        <v>1586</v>
      </c>
      <c r="H3" s="2404" t="s">
        <v>1599</v>
      </c>
      <c r="I3" s="2404" t="s">
        <v>1600</v>
      </c>
      <c r="J3" s="2414" t="s">
        <v>1587</v>
      </c>
      <c r="L3" s="2414" t="s">
        <v>1575</v>
      </c>
      <c r="M3" s="5">
        <v>1194</v>
      </c>
      <c r="N3" s="322">
        <v>1235</v>
      </c>
      <c r="O3" s="322">
        <v>1421</v>
      </c>
      <c r="P3" s="322">
        <v>1457</v>
      </c>
      <c r="Q3" s="322">
        <v>1584</v>
      </c>
      <c r="R3" s="322">
        <v>1393</v>
      </c>
    </row>
    <row r="4" spans="1:28" ht="15.75">
      <c r="B4" s="2412" t="s">
        <v>1554</v>
      </c>
      <c r="C4" s="2405">
        <v>68</v>
      </c>
      <c r="D4" s="2406">
        <v>65</v>
      </c>
      <c r="E4" s="2406">
        <v>64</v>
      </c>
      <c r="F4" s="2406">
        <v>63</v>
      </c>
      <c r="G4" s="2407"/>
      <c r="H4" s="2406"/>
      <c r="I4" s="2406"/>
      <c r="J4" s="2428"/>
      <c r="L4" s="5"/>
      <c r="M4" s="5">
        <v>0.93</v>
      </c>
      <c r="N4" s="5">
        <v>0.93</v>
      </c>
      <c r="O4" s="322">
        <v>0.85</v>
      </c>
      <c r="P4" s="322">
        <v>0.85</v>
      </c>
      <c r="Q4" s="322">
        <v>0.93</v>
      </c>
      <c r="R4" s="322">
        <v>0.93</v>
      </c>
    </row>
    <row r="5" spans="1:28">
      <c r="B5" s="2412" t="s">
        <v>1555</v>
      </c>
      <c r="C5" s="2409">
        <f>D5/$D$4*C4</f>
        <v>1354.7692307692307</v>
      </c>
      <c r="D5" s="2411">
        <v>1295</v>
      </c>
      <c r="E5" s="2409">
        <f>D5/$D$4*E4+100</f>
        <v>1375.0769230769231</v>
      </c>
      <c r="F5" s="2409">
        <f>D5/$D$4*F4+100</f>
        <v>1355.1538461538462</v>
      </c>
      <c r="G5" s="2407"/>
      <c r="H5" s="2438">
        <v>1522</v>
      </c>
      <c r="I5" s="2436"/>
      <c r="J5" s="569"/>
      <c r="M5" s="331">
        <f t="shared" ref="M5:R5" si="0">M3*M4</f>
        <v>1110.42</v>
      </c>
      <c r="N5" s="331">
        <f t="shared" si="0"/>
        <v>1148.55</v>
      </c>
      <c r="O5" s="331">
        <f t="shared" si="0"/>
        <v>1207.8499999999999</v>
      </c>
      <c r="P5" s="331">
        <f t="shared" si="0"/>
        <v>1238.45</v>
      </c>
      <c r="Q5" s="331">
        <f t="shared" si="0"/>
        <v>1473.1200000000001</v>
      </c>
      <c r="R5" s="331">
        <f t="shared" si="0"/>
        <v>1295.49</v>
      </c>
    </row>
    <row r="6" spans="1:28">
      <c r="A6" s="188"/>
      <c r="B6" s="2413" t="s">
        <v>1560</v>
      </c>
      <c r="C6" s="2438">
        <v>30.55</v>
      </c>
      <c r="D6" s="2437">
        <v>27.5</v>
      </c>
      <c r="E6" s="2438">
        <v>17.5</v>
      </c>
      <c r="F6" s="2438">
        <v>21.5</v>
      </c>
      <c r="G6" s="2407"/>
      <c r="H6" s="2438">
        <v>24.5</v>
      </c>
      <c r="I6" s="2437"/>
      <c r="J6" s="2430">
        <f>D6+F6+H6</f>
        <v>73.5</v>
      </c>
      <c r="M6" s="322"/>
      <c r="N6" s="322"/>
      <c r="O6" s="322"/>
      <c r="P6" s="322"/>
      <c r="Q6" s="322"/>
      <c r="R6" s="322"/>
    </row>
    <row r="7" spans="1:28" ht="15.75">
      <c r="A7" s="188" t="s">
        <v>1581</v>
      </c>
      <c r="B7" s="2412" t="s">
        <v>1558</v>
      </c>
      <c r="C7" s="2537">
        <v>1300</v>
      </c>
      <c r="D7" s="2538">
        <v>1473</v>
      </c>
      <c r="E7" s="2538">
        <v>1550</v>
      </c>
      <c r="F7" s="2538">
        <v>1528</v>
      </c>
      <c r="G7" s="2407"/>
      <c r="H7" s="2539">
        <f>D7</f>
        <v>1473</v>
      </c>
      <c r="I7" s="2406"/>
      <c r="J7" s="2431"/>
      <c r="L7" s="545" t="s">
        <v>1706</v>
      </c>
      <c r="M7" s="5"/>
      <c r="N7" s="2498">
        <f>220*29.3856/25/3</f>
        <v>86.197760000000002</v>
      </c>
      <c r="O7" s="2498">
        <f>220*29.3856/27.5/3</f>
        <v>78.361599999999996</v>
      </c>
      <c r="P7" s="322"/>
      <c r="Q7" s="322"/>
      <c r="R7" s="322"/>
    </row>
    <row r="8" spans="1:28">
      <c r="A8" s="188" t="s">
        <v>1581</v>
      </c>
      <c r="B8" s="2413" t="s">
        <v>1556</v>
      </c>
      <c r="C8" s="2409">
        <v>0</v>
      </c>
      <c r="D8" s="2411">
        <v>0</v>
      </c>
      <c r="E8" s="2409">
        <v>0</v>
      </c>
      <c r="F8" s="2409">
        <v>0</v>
      </c>
      <c r="G8" s="2407"/>
      <c r="H8" s="2409"/>
      <c r="I8" s="2409"/>
      <c r="J8" s="2430"/>
      <c r="L8" s="2499" t="s">
        <v>1705</v>
      </c>
      <c r="M8" s="322"/>
      <c r="N8" s="1653">
        <f>N5+N7</f>
        <v>1234.74776</v>
      </c>
      <c r="O8" s="1653">
        <f>O5+O7</f>
        <v>1286.2115999999999</v>
      </c>
      <c r="P8" s="322"/>
      <c r="Q8" s="322"/>
      <c r="R8" s="322"/>
    </row>
    <row r="9" spans="1:28">
      <c r="A9" s="188" t="s">
        <v>1581</v>
      </c>
      <c r="B9" s="2413" t="s">
        <v>1557</v>
      </c>
      <c r="C9" s="2411">
        <v>1300</v>
      </c>
      <c r="D9" s="2411">
        <f>D5+D8</f>
        <v>1295</v>
      </c>
      <c r="E9" s="2409">
        <f>E5+E8</f>
        <v>1375.0769230769231</v>
      </c>
      <c r="F9" s="2409">
        <f>F5+F8</f>
        <v>1355.1538461538462</v>
      </c>
      <c r="G9" s="2407"/>
      <c r="H9" s="2409">
        <f>D9</f>
        <v>1295</v>
      </c>
      <c r="I9" s="2409"/>
      <c r="J9" s="2430"/>
    </row>
    <row r="10" spans="1:28">
      <c r="A10" s="188" t="s">
        <v>1581</v>
      </c>
      <c r="B10" s="2413" t="s">
        <v>1559</v>
      </c>
      <c r="C10" s="2409">
        <f>C9-C7</f>
        <v>0</v>
      </c>
      <c r="D10" s="2411">
        <f>D9-D7</f>
        <v>-178</v>
      </c>
      <c r="E10" s="2409">
        <f t="shared" ref="E10:F10" si="1">E9-E7</f>
        <v>-174.92307692307691</v>
      </c>
      <c r="F10" s="2409">
        <f t="shared" si="1"/>
        <v>-172.84615384615381</v>
      </c>
      <c r="G10" s="2407"/>
      <c r="H10" s="2409">
        <f>H9-H7</f>
        <v>-178</v>
      </c>
      <c r="I10" s="2409"/>
      <c r="J10" s="2430"/>
    </row>
    <row r="11" spans="1:28">
      <c r="A11" s="188" t="s">
        <v>1581</v>
      </c>
      <c r="B11" s="2413" t="s">
        <v>1561</v>
      </c>
      <c r="C11" s="2411">
        <f>-C10*C6</f>
        <v>0</v>
      </c>
      <c r="D11" s="2411">
        <f>-D10*D6</f>
        <v>4895</v>
      </c>
      <c r="E11" s="2409">
        <f>-E10*E6</f>
        <v>3061.1538461538457</v>
      </c>
      <c r="F11" s="2409">
        <f>-F10*F6</f>
        <v>3716.1923076923067</v>
      </c>
      <c r="G11" s="2409">
        <f>SUM(D11:F11)</f>
        <v>11672.346153846152</v>
      </c>
      <c r="H11" s="2409">
        <f>-H10*H6</f>
        <v>4361</v>
      </c>
      <c r="I11" s="2409"/>
      <c r="J11" s="2430"/>
    </row>
    <row r="12" spans="1:28">
      <c r="E12" s="186"/>
      <c r="J12" s="2432"/>
    </row>
    <row r="13" spans="1:28">
      <c r="A13" s="188" t="s">
        <v>1580</v>
      </c>
      <c r="B13" s="2412" t="s">
        <v>1558</v>
      </c>
      <c r="C13" s="2411">
        <v>1541</v>
      </c>
      <c r="D13" s="2411">
        <v>1473</v>
      </c>
      <c r="E13" s="2411">
        <v>1550</v>
      </c>
      <c r="F13" s="2411">
        <v>1528</v>
      </c>
      <c r="G13" s="2407"/>
      <c r="H13" s="2411">
        <v>1584</v>
      </c>
      <c r="I13" s="2407"/>
      <c r="J13"/>
      <c r="L13" s="545"/>
      <c r="M13" s="558"/>
      <c r="N13" s="558"/>
      <c r="O13" s="186"/>
      <c r="U13" s="322"/>
      <c r="V13" s="322"/>
      <c r="W13" s="542"/>
      <c r="X13" s="542"/>
      <c r="Y13" s="322"/>
      <c r="Z13" s="322"/>
      <c r="AA13" s="322"/>
      <c r="AB13" s="322"/>
    </row>
    <row r="14" spans="1:28">
      <c r="A14" s="188" t="s">
        <v>1580</v>
      </c>
      <c r="B14" s="2413" t="s">
        <v>1556</v>
      </c>
      <c r="C14" s="2410">
        <v>0</v>
      </c>
      <c r="D14" s="2411">
        <v>0</v>
      </c>
      <c r="E14" s="2411">
        <v>0</v>
      </c>
      <c r="F14" s="2411">
        <v>0</v>
      </c>
      <c r="G14" s="2407"/>
      <c r="H14" s="2411">
        <v>0</v>
      </c>
      <c r="I14" s="2411"/>
      <c r="J14"/>
      <c r="U14" s="188"/>
      <c r="V14" s="188"/>
      <c r="Z14" s="186"/>
    </row>
    <row r="15" spans="1:28">
      <c r="A15" s="188" t="s">
        <v>1580</v>
      </c>
      <c r="B15" s="2413" t="s">
        <v>1557</v>
      </c>
      <c r="C15" s="2409">
        <f>C5+C14</f>
        <v>1354.7692307692307</v>
      </c>
      <c r="D15" s="2409">
        <f>D5+D14</f>
        <v>1295</v>
      </c>
      <c r="E15" s="2409">
        <f>E5+E14</f>
        <v>1375.0769230769231</v>
      </c>
      <c r="F15" s="2409">
        <f>F5+F14</f>
        <v>1355.1538461538462</v>
      </c>
      <c r="G15" s="2407"/>
      <c r="H15" s="2411">
        <v>1522</v>
      </c>
      <c r="I15" s="2409"/>
      <c r="J15" s="186">
        <f>H13-H7</f>
        <v>111</v>
      </c>
      <c r="L15">
        <f>J15*H18</f>
        <v>2719.5</v>
      </c>
      <c r="U15" s="188"/>
      <c r="Z15" s="186"/>
    </row>
    <row r="16" spans="1:28">
      <c r="A16" s="188" t="s">
        <v>1580</v>
      </c>
      <c r="B16" s="2413" t="s">
        <v>1559</v>
      </c>
      <c r="C16" s="2409">
        <f>C15-C13</f>
        <v>-186.23076923076928</v>
      </c>
      <c r="D16" s="2409">
        <f>D15-D13</f>
        <v>-178</v>
      </c>
      <c r="E16" s="2409">
        <f>E15-E13</f>
        <v>-174.92307692307691</v>
      </c>
      <c r="F16" s="2409">
        <f>F15-F13</f>
        <v>-172.84615384615381</v>
      </c>
      <c r="G16" s="2407"/>
      <c r="H16" s="2409">
        <f>H15-H13</f>
        <v>-62</v>
      </c>
      <c r="I16" s="2409"/>
      <c r="J16"/>
      <c r="U16" s="188"/>
      <c r="Z16" s="186"/>
      <c r="AA16" s="186"/>
    </row>
    <row r="17" spans="2:28">
      <c r="B17" s="2413" t="s">
        <v>1561</v>
      </c>
      <c r="C17" s="2409">
        <f>C16*C18</f>
        <v>-5689.3500000000022</v>
      </c>
      <c r="D17" s="2409">
        <f>D16*D18</f>
        <v>-4895</v>
      </c>
      <c r="E17" s="2409">
        <f t="shared" ref="E17" si="2">E16*E18</f>
        <v>-3061.1538461538457</v>
      </c>
      <c r="F17" s="2409">
        <f>F16*F18</f>
        <v>-3716.1923076923067</v>
      </c>
      <c r="G17" s="2409">
        <f>SUM(C17:F17)</f>
        <v>-17361.696153846155</v>
      </c>
      <c r="H17" s="2409">
        <f>H16*H18</f>
        <v>-1519</v>
      </c>
      <c r="I17" s="2409"/>
      <c r="J17" s="2430">
        <f>H15-H9</f>
        <v>227</v>
      </c>
      <c r="K17" s="186">
        <f>H11-H17</f>
        <v>5880</v>
      </c>
      <c r="L17">
        <f>J17*H18</f>
        <v>5561.5</v>
      </c>
    </row>
    <row r="18" spans="2:28">
      <c r="B18" s="2413" t="s">
        <v>1560</v>
      </c>
      <c r="C18" s="2409">
        <f>C6</f>
        <v>30.55</v>
      </c>
      <c r="D18" s="2409">
        <v>27.5</v>
      </c>
      <c r="E18" s="2409">
        <f>E6</f>
        <v>17.5</v>
      </c>
      <c r="F18" s="2409">
        <f>F6</f>
        <v>21.5</v>
      </c>
      <c r="G18" s="2409"/>
      <c r="H18" s="2409">
        <f>H6</f>
        <v>24.5</v>
      </c>
      <c r="I18" s="2409"/>
      <c r="J18" s="2430"/>
    </row>
    <row r="19" spans="2:28">
      <c r="B19" s="2413" t="s">
        <v>1582</v>
      </c>
      <c r="C19" s="2437">
        <v>31.43</v>
      </c>
      <c r="D19" s="2437">
        <v>25.97</v>
      </c>
      <c r="E19" s="2437">
        <v>7.57</v>
      </c>
      <c r="F19" s="2437">
        <v>24.19</v>
      </c>
      <c r="G19" s="2409"/>
      <c r="H19" s="2437">
        <v>25.3584</v>
      </c>
      <c r="I19" s="2409"/>
      <c r="J19" s="2430"/>
      <c r="U19" s="188"/>
      <c r="Z19" s="186"/>
    </row>
    <row r="20" spans="2:28">
      <c r="B20" s="2413" t="s">
        <v>1577</v>
      </c>
      <c r="C20" s="2407">
        <v>20</v>
      </c>
      <c r="D20" s="2407">
        <v>75</v>
      </c>
      <c r="E20" s="2407">
        <v>70</v>
      </c>
      <c r="F20" s="2407">
        <v>63</v>
      </c>
      <c r="G20" s="1799"/>
      <c r="H20" s="2407"/>
      <c r="I20" s="2407"/>
      <c r="J20" s="2430"/>
      <c r="U20" s="188"/>
      <c r="Z20" s="186"/>
    </row>
    <row r="21" spans="2:28">
      <c r="B21" s="1799"/>
      <c r="C21" s="2409">
        <f>C16-C20</f>
        <v>-206.23076923076928</v>
      </c>
      <c r="D21" s="2409">
        <f>D16-D20</f>
        <v>-253</v>
      </c>
      <c r="E21" s="2409">
        <f>E16-E20</f>
        <v>-244.92307692307691</v>
      </c>
      <c r="F21" s="2409">
        <f>F16-F20</f>
        <v>-235.84615384615381</v>
      </c>
      <c r="G21" s="1799"/>
      <c r="H21" s="2409"/>
      <c r="I21" s="2409"/>
      <c r="J21" s="2430"/>
      <c r="Z21" s="186"/>
    </row>
    <row r="22" spans="2:28">
      <c r="B22" s="1799"/>
      <c r="C22" s="2409">
        <f>C21-C14</f>
        <v>-206.23076923076928</v>
      </c>
      <c r="D22" s="2409">
        <f>D21-D14</f>
        <v>-253</v>
      </c>
      <c r="E22" s="2409">
        <f>E21-E14</f>
        <v>-244.92307692307691</v>
      </c>
      <c r="F22" s="2409">
        <f>F21-F14</f>
        <v>-235.84615384615381</v>
      </c>
      <c r="G22" s="1799"/>
      <c r="H22" s="2409"/>
      <c r="I22" s="2409"/>
      <c r="J22" s="2430"/>
      <c r="U22" s="188"/>
      <c r="Z22" s="186"/>
    </row>
    <row r="23" spans="2:28">
      <c r="B23" s="516"/>
      <c r="C23" s="558"/>
      <c r="D23" s="558"/>
      <c r="E23" s="558"/>
      <c r="F23" s="558"/>
      <c r="G23" s="516"/>
      <c r="H23" s="558"/>
      <c r="I23" s="558"/>
      <c r="U23" s="188"/>
      <c r="Z23" s="186"/>
    </row>
    <row r="24" spans="2:28">
      <c r="B24" s="2426" t="s">
        <v>1584</v>
      </c>
      <c r="C24" s="558">
        <f>C13-C7</f>
        <v>241</v>
      </c>
      <c r="D24" s="558">
        <f>D13-D7</f>
        <v>0</v>
      </c>
      <c r="E24" s="558">
        <f t="shared" ref="E24:F24" si="3">E13-E7</f>
        <v>0</v>
      </c>
      <c r="F24" s="558">
        <f t="shared" si="3"/>
        <v>0</v>
      </c>
      <c r="G24" s="5"/>
      <c r="H24" s="558">
        <f>H13-H7</f>
        <v>111</v>
      </c>
      <c r="I24" s="558"/>
      <c r="J24" s="569">
        <v>1224</v>
      </c>
      <c r="K24" s="2500">
        <v>37134.276923076897</v>
      </c>
      <c r="L24" s="2500">
        <v>33660</v>
      </c>
      <c r="M24" s="2500">
        <v>24798.215384615385</v>
      </c>
      <c r="N24" s="2500">
        <v>31515.292307692311</v>
      </c>
      <c r="O24" s="2500">
        <f>SUM(K24:N24)</f>
        <v>127107.78461538459</v>
      </c>
      <c r="U24" s="188"/>
      <c r="W24" s="2425"/>
      <c r="Z24" s="186"/>
      <c r="AA24" s="186"/>
      <c r="AB24" s="186"/>
    </row>
    <row r="25" spans="2:28">
      <c r="B25" s="2426" t="s">
        <v>1583</v>
      </c>
      <c r="C25" s="2427">
        <f>C6-C19</f>
        <v>-0.87999999999999901</v>
      </c>
      <c r="D25" s="2427">
        <f t="shared" ref="D25:F25" si="4">D6-D19</f>
        <v>1.5300000000000011</v>
      </c>
      <c r="E25" s="2427">
        <f t="shared" si="4"/>
        <v>9.93</v>
      </c>
      <c r="F25" s="2427">
        <f t="shared" si="4"/>
        <v>-2.6900000000000013</v>
      </c>
      <c r="G25" s="5"/>
      <c r="H25" s="2427">
        <f>H6-H19</f>
        <v>-0.85839999999999961</v>
      </c>
      <c r="I25" s="2427"/>
      <c r="J25" s="569">
        <v>1339</v>
      </c>
      <c r="K25" s="331">
        <v>40623.200000000004</v>
      </c>
      <c r="L25" s="331">
        <v>36822.5</v>
      </c>
      <c r="M25" s="331">
        <v>26949.600000000002</v>
      </c>
      <c r="N25" s="331">
        <v>34246.100000000006</v>
      </c>
      <c r="O25" s="2500">
        <f>SUM(K25:N25)</f>
        <v>138641.40000000002</v>
      </c>
    </row>
    <row r="26" spans="2:28">
      <c r="B26" s="2426" t="s">
        <v>1585</v>
      </c>
      <c r="C26" s="558">
        <f>C24*C25</f>
        <v>-212.07999999999976</v>
      </c>
      <c r="D26" s="558">
        <f>D24*D25</f>
        <v>0</v>
      </c>
      <c r="E26" s="558">
        <f>E24*E25</f>
        <v>0</v>
      </c>
      <c r="F26" s="558">
        <f t="shared" ref="F26" si="5">F24*F25</f>
        <v>0</v>
      </c>
      <c r="G26" s="558">
        <f>F26+D26</f>
        <v>0</v>
      </c>
      <c r="H26" s="558">
        <f>H24*H25</f>
        <v>-95.282399999999953</v>
      </c>
      <c r="I26" s="558"/>
      <c r="J26" s="569">
        <f>J25-J24</f>
        <v>115</v>
      </c>
      <c r="K26" s="2500"/>
      <c r="L26" s="2500"/>
      <c r="M26" s="2500"/>
      <c r="N26" s="2500"/>
      <c r="O26" s="2500">
        <f>O25-O24</f>
        <v>11533.615384615434</v>
      </c>
      <c r="U26" s="188"/>
    </row>
    <row r="27" spans="2:28">
      <c r="B27" s="2426" t="s">
        <v>1741</v>
      </c>
      <c r="C27" s="558">
        <f>$C$18*$C$15-$C$19*$C$13</f>
        <v>-7045.43</v>
      </c>
      <c r="D27" s="331">
        <f>$D$18*$D$15-$D$19*$D$13</f>
        <v>-2641.3099999999977</v>
      </c>
      <c r="E27" s="331">
        <f>$E$18*$E$15-$E$19*$E$13</f>
        <v>12330.346153846152</v>
      </c>
      <c r="F27" s="331">
        <f>$F$18*$F$15-$F$19*$F$13</f>
        <v>-7826.5123076923082</v>
      </c>
      <c r="G27" s="2573">
        <f>C27+D27+E27+F27+H27</f>
        <v>-8061.6117538461549</v>
      </c>
      <c r="H27" s="558">
        <f>$H$18*$H$15-$H$19*$H$13</f>
        <v>-2878.7056000000011</v>
      </c>
      <c r="I27" s="558"/>
      <c r="J27" s="569"/>
      <c r="U27" s="188"/>
    </row>
    <row r="28" spans="2:28">
      <c r="B28" s="516"/>
      <c r="C28" s="558"/>
      <c r="G28" s="516"/>
      <c r="H28" s="2427">
        <f>H19-H6</f>
        <v>0.85839999999999961</v>
      </c>
      <c r="I28" s="558"/>
      <c r="J28" s="569"/>
      <c r="U28" s="188"/>
      <c r="W28" s="186"/>
      <c r="X28" s="186"/>
    </row>
    <row r="29" spans="2:28">
      <c r="B29" s="2426"/>
      <c r="C29" s="559"/>
      <c r="D29" s="558"/>
      <c r="E29" s="2439"/>
      <c r="F29" s="558"/>
      <c r="G29" s="516"/>
      <c r="H29" s="558">
        <f>1584-450</f>
        <v>1134</v>
      </c>
      <c r="I29" s="558"/>
      <c r="J29" s="569"/>
    </row>
    <row r="30" spans="2:28">
      <c r="B30" s="2457"/>
      <c r="C30" s="2439">
        <v>1407.0769230769231</v>
      </c>
      <c r="D30" s="2439">
        <v>1345</v>
      </c>
      <c r="E30" s="2439">
        <v>1424.3076923076924</v>
      </c>
      <c r="F30" s="2439">
        <v>1403.6153846153848</v>
      </c>
      <c r="G30" s="516"/>
      <c r="H30" s="558">
        <f>H28*H29</f>
        <v>973.42559999999958</v>
      </c>
      <c r="I30" s="558"/>
      <c r="J30" s="569"/>
      <c r="W30" s="186"/>
      <c r="X30" s="186"/>
      <c r="Y30" s="186"/>
    </row>
    <row r="31" spans="2:28">
      <c r="C31" s="331">
        <f>C5-C30</f>
        <v>-52.307692307692378</v>
      </c>
      <c r="D31" s="331">
        <f t="shared" ref="D31:F31" si="6">D5-D30</f>
        <v>-50</v>
      </c>
      <c r="E31" s="331">
        <f t="shared" si="6"/>
        <v>-49.230769230769283</v>
      </c>
      <c r="F31" s="331">
        <f t="shared" si="6"/>
        <v>-48.461538461538566</v>
      </c>
      <c r="W31" s="186"/>
      <c r="X31" s="186"/>
      <c r="Y31" s="186"/>
    </row>
    <row r="32" spans="2:28">
      <c r="C32" s="322">
        <f>C31*C6</f>
        <v>-1598.0000000000023</v>
      </c>
      <c r="D32" s="322">
        <f t="shared" ref="D32:F32" si="7">D31*D6</f>
        <v>-1375</v>
      </c>
      <c r="E32" s="322">
        <f t="shared" si="7"/>
        <v>-861.53846153846246</v>
      </c>
      <c r="F32" s="322">
        <f t="shared" si="7"/>
        <v>-1041.9230769230792</v>
      </c>
      <c r="I32">
        <f>62*24.5</f>
        <v>1519</v>
      </c>
      <c r="W32" s="186"/>
      <c r="X32" s="186"/>
      <c r="Y32" s="186"/>
    </row>
    <row r="33" spans="3:25">
      <c r="C33" s="331"/>
      <c r="D33" s="331"/>
      <c r="E33" s="331"/>
      <c r="F33" s="331"/>
      <c r="W33" s="186"/>
      <c r="X33" s="186"/>
      <c r="Y33" s="186"/>
    </row>
    <row r="34" spans="3:25">
      <c r="I34" s="186"/>
    </row>
    <row r="35" spans="3:25">
      <c r="D35" s="331"/>
      <c r="E35" s="331"/>
      <c r="F35" s="331"/>
    </row>
    <row r="38" spans="3:25">
      <c r="D38" s="558">
        <f>220*29.3856</f>
        <v>6464.8320000000003</v>
      </c>
      <c r="F38" s="558"/>
      <c r="G38" s="558">
        <f>220*21.6852439</f>
        <v>4770.7536579999996</v>
      </c>
      <c r="I38" s="331">
        <f>G38+D38</f>
        <v>11235.585658</v>
      </c>
    </row>
    <row r="39" spans="3:25">
      <c r="C39" s="322">
        <v>25</v>
      </c>
      <c r="D39" s="322">
        <f>$D$38/3</f>
        <v>2154.944</v>
      </c>
      <c r="E39" s="331">
        <f>D39/C39</f>
        <v>86.197760000000002</v>
      </c>
      <c r="F39" s="331">
        <v>24.44</v>
      </c>
      <c r="G39" s="331">
        <f>$G$38/3</f>
        <v>1590.2512193333332</v>
      </c>
      <c r="H39" s="331">
        <f>G39/F39</f>
        <v>65.067562165848329</v>
      </c>
      <c r="I39" s="331">
        <f>G39+D39</f>
        <v>3745.1952193333332</v>
      </c>
    </row>
    <row r="40" spans="3:25">
      <c r="C40" s="331">
        <v>25.45</v>
      </c>
      <c r="D40" s="322">
        <f t="shared" ref="D40:D41" si="8">$D$38/3</f>
        <v>2154.944</v>
      </c>
      <c r="E40" s="331">
        <f t="shared" ref="E40:E41" si="9">D40/C40</f>
        <v>84.673634577603138</v>
      </c>
      <c r="F40" s="331">
        <v>21.35</v>
      </c>
      <c r="G40" s="331">
        <f t="shared" ref="G40:G41" si="10">$G$38/3</f>
        <v>1590.2512193333332</v>
      </c>
      <c r="H40" s="331">
        <f t="shared" ref="H40:H41" si="11">G40/F40</f>
        <v>74.48483462919593</v>
      </c>
      <c r="I40" s="331">
        <f t="shared" ref="I40:I41" si="12">G40+D40</f>
        <v>3745.1952193333332</v>
      </c>
      <c r="J40" s="2429"/>
    </row>
    <row r="41" spans="3:25">
      <c r="C41" s="322">
        <v>28</v>
      </c>
      <c r="D41" s="322">
        <f t="shared" si="8"/>
        <v>2154.944</v>
      </c>
      <c r="E41" s="331">
        <f t="shared" si="9"/>
        <v>76.962285714285713</v>
      </c>
      <c r="F41" s="558">
        <v>24.5</v>
      </c>
      <c r="G41" s="331">
        <f t="shared" si="10"/>
        <v>1590.2512193333332</v>
      </c>
      <c r="H41" s="331">
        <f t="shared" si="11"/>
        <v>64.908213034013599</v>
      </c>
      <c r="I41" s="331">
        <f t="shared" si="12"/>
        <v>3745.1952193333332</v>
      </c>
    </row>
    <row r="42" spans="3:25">
      <c r="D42" s="331">
        <f>I42-G42</f>
        <v>1745</v>
      </c>
      <c r="E42" s="331">
        <f>D42/C41</f>
        <v>62.321428571428569</v>
      </c>
      <c r="F42" s="322"/>
      <c r="G42" s="331">
        <f>2000</f>
        <v>2000</v>
      </c>
      <c r="H42" s="331">
        <f>G42/F41</f>
        <v>81.632653061224488</v>
      </c>
      <c r="I42" s="322">
        <v>3745</v>
      </c>
    </row>
    <row r="43" spans="3:25">
      <c r="D43" s="2500">
        <f>D42+D40+D39</f>
        <v>6054.8879999999999</v>
      </c>
      <c r="E43" s="523"/>
      <c r="F43" s="523"/>
      <c r="G43" s="2500">
        <f>G42+G40+G39</f>
        <v>5180.5024386666664</v>
      </c>
      <c r="H43" s="523"/>
      <c r="I43" s="331">
        <f>G43+D43</f>
        <v>11235.390438666665</v>
      </c>
    </row>
    <row r="47" spans="3:25">
      <c r="C47" s="2409">
        <v>1295.1384615384616</v>
      </c>
      <c r="D47" s="2409">
        <v>1314.9622857142858</v>
      </c>
      <c r="E47" s="2409">
        <v>1318.9538461538461</v>
      </c>
      <c r="F47" s="2409">
        <v>1364.815905341706</v>
      </c>
      <c r="G47" s="2532">
        <v>1443</v>
      </c>
    </row>
    <row r="48" spans="3:25">
      <c r="C48">
        <v>1330</v>
      </c>
      <c r="D48">
        <v>1347</v>
      </c>
      <c r="E48">
        <v>1351</v>
      </c>
      <c r="F48">
        <v>1400</v>
      </c>
      <c r="G48">
        <v>1473</v>
      </c>
    </row>
    <row r="49" spans="3:17">
      <c r="C49" s="186">
        <f>C48-C47</f>
        <v>34.86153846153843</v>
      </c>
      <c r="D49" s="186">
        <f t="shared" ref="D49:G49" si="13">D48-D47</f>
        <v>32.037714285714173</v>
      </c>
      <c r="E49" s="186">
        <f t="shared" si="13"/>
        <v>32.046153846153857</v>
      </c>
      <c r="F49" s="186">
        <f t="shared" si="13"/>
        <v>35.184094658294043</v>
      </c>
      <c r="G49" s="186">
        <f t="shared" si="13"/>
        <v>30</v>
      </c>
    </row>
    <row r="50" spans="3:17">
      <c r="C50" s="1285">
        <v>32.81</v>
      </c>
      <c r="D50" s="1285">
        <v>28.51</v>
      </c>
      <c r="E50" s="1285">
        <v>18.43</v>
      </c>
      <c r="F50" s="1285">
        <v>23.81</v>
      </c>
      <c r="G50">
        <v>24.29</v>
      </c>
    </row>
    <row r="51" spans="3:17">
      <c r="C51">
        <f>C49*C50</f>
        <v>1143.807076923076</v>
      </c>
      <c r="D51">
        <f t="shared" ref="D51:G51" si="14">D49*D50</f>
        <v>913.39523428571113</v>
      </c>
      <c r="E51">
        <f t="shared" si="14"/>
        <v>590.61061538461558</v>
      </c>
      <c r="F51">
        <f t="shared" si="14"/>
        <v>837.73329381398116</v>
      </c>
      <c r="G51">
        <f t="shared" si="14"/>
        <v>728.69999999999993</v>
      </c>
      <c r="H51" s="1248"/>
    </row>
    <row r="52" spans="3:17">
      <c r="C52" s="1248">
        <f>C50-C6</f>
        <v>2.2600000000000016</v>
      </c>
      <c r="D52" s="1248">
        <f t="shared" ref="D52:F52" si="15">D50-D6</f>
        <v>1.0100000000000016</v>
      </c>
      <c r="E52" s="1248">
        <f t="shared" si="15"/>
        <v>0.92999999999999972</v>
      </c>
      <c r="F52" s="1248">
        <f t="shared" si="15"/>
        <v>2.3099999999999987</v>
      </c>
      <c r="G52" s="186">
        <f>G50-H6</f>
        <v>-0.21000000000000085</v>
      </c>
    </row>
    <row r="53" spans="3:17">
      <c r="C53">
        <v>1200</v>
      </c>
      <c r="D53">
        <v>1271</v>
      </c>
      <c r="E53">
        <v>1351</v>
      </c>
      <c r="F53">
        <v>1330</v>
      </c>
      <c r="G53">
        <v>1271</v>
      </c>
    </row>
    <row r="54" spans="3:17">
      <c r="C54">
        <v>450</v>
      </c>
      <c r="D54">
        <v>450</v>
      </c>
      <c r="E54">
        <v>549</v>
      </c>
      <c r="F54">
        <v>549</v>
      </c>
      <c r="G54">
        <v>450</v>
      </c>
    </row>
    <row r="55" spans="3:17">
      <c r="C55">
        <f>C53-C54</f>
        <v>750</v>
      </c>
      <c r="D55">
        <f>D53-D54</f>
        <v>821</v>
      </c>
      <c r="G55">
        <f>G53-G54</f>
        <v>821</v>
      </c>
      <c r="K55" s="188" t="s">
        <v>1595</v>
      </c>
      <c r="L55" s="322">
        <v>1</v>
      </c>
      <c r="M55" s="322">
        <v>2</v>
      </c>
      <c r="N55" s="322">
        <v>3</v>
      </c>
      <c r="O55" s="322">
        <v>4</v>
      </c>
    </row>
    <row r="56" spans="3:17">
      <c r="C56">
        <f>C55*C52</f>
        <v>1695.0000000000011</v>
      </c>
      <c r="D56">
        <f>D55*D52</f>
        <v>829.21000000000129</v>
      </c>
      <c r="G56">
        <f>G55*G52</f>
        <v>-172.41000000000071</v>
      </c>
      <c r="K56" s="2433" t="s">
        <v>1591</v>
      </c>
      <c r="L56" s="2435">
        <v>972.95884738203074</v>
      </c>
      <c r="M56" s="2409">
        <v>1019.9687980509873</v>
      </c>
      <c r="N56" s="2409">
        <v>1051.4594380824356</v>
      </c>
      <c r="O56" s="2409">
        <v>1083.1007510326949</v>
      </c>
    </row>
    <row r="57" spans="3:17">
      <c r="K57" s="2433" t="s">
        <v>1592</v>
      </c>
      <c r="L57" s="2435">
        <v>926.88376221794329</v>
      </c>
      <c r="M57" s="2409">
        <v>971.81974447503399</v>
      </c>
      <c r="N57" s="2409">
        <v>1001.9210915639184</v>
      </c>
      <c r="O57" s="2409">
        <v>1032.1664642369606</v>
      </c>
    </row>
    <row r="58" spans="3:17">
      <c r="K58" s="2433" t="s">
        <v>1593</v>
      </c>
      <c r="L58" s="2435">
        <v>1038.9087906059726</v>
      </c>
      <c r="M58" s="2409">
        <v>1084.5360956670183</v>
      </c>
      <c r="N58" s="2409">
        <v>1088.7416427244127</v>
      </c>
      <c r="O58" s="2409">
        <v>1118.5217019717156</v>
      </c>
    </row>
    <row r="59" spans="3:17">
      <c r="K59" s="2433" t="s">
        <v>1594</v>
      </c>
      <c r="L59" s="2435">
        <v>1002.8337054418849</v>
      </c>
      <c r="M59" s="2409">
        <v>1046.3870420910653</v>
      </c>
      <c r="N59" s="2409">
        <v>1075.5621938849072</v>
      </c>
      <c r="O59" s="2409">
        <v>1104.8769397064707</v>
      </c>
    </row>
    <row r="60" spans="3:17">
      <c r="K60" s="188" t="s">
        <v>1596</v>
      </c>
    </row>
    <row r="61" spans="3:17">
      <c r="K61" s="2433" t="s">
        <v>1591</v>
      </c>
      <c r="L61" s="2434">
        <v>28.7</v>
      </c>
      <c r="M61" s="2436">
        <v>27.73</v>
      </c>
      <c r="N61" s="2436">
        <v>27.74</v>
      </c>
      <c r="O61" s="2436">
        <v>27.6</v>
      </c>
    </row>
    <row r="62" spans="3:17">
      <c r="K62" s="2433" t="s">
        <v>1592</v>
      </c>
      <c r="L62" s="2434">
        <v>32.68</v>
      </c>
      <c r="M62" s="2436">
        <v>29.39</v>
      </c>
      <c r="N62" s="2436">
        <v>23.86</v>
      </c>
      <c r="O62" s="2436">
        <v>26.91</v>
      </c>
    </row>
    <row r="63" spans="3:17">
      <c r="K63" s="2433" t="s">
        <v>1593</v>
      </c>
      <c r="L63" s="2434">
        <v>16.95</v>
      </c>
      <c r="M63" s="2436">
        <v>18.96</v>
      </c>
      <c r="N63" s="2436">
        <v>18.059999999999999</v>
      </c>
      <c r="O63" s="2436">
        <v>17</v>
      </c>
    </row>
    <row r="64" spans="3:17">
      <c r="K64" s="2433" t="s">
        <v>1594</v>
      </c>
      <c r="L64" s="2434">
        <v>20.84</v>
      </c>
      <c r="M64" s="2436">
        <v>21.7</v>
      </c>
      <c r="N64" s="2436">
        <v>19.48</v>
      </c>
      <c r="O64" s="2436">
        <v>24.5</v>
      </c>
      <c r="P64" s="188" t="s">
        <v>1597</v>
      </c>
      <c r="Q64" s="331">
        <f>SUMPRODUCT(L56:O59,L61:O64)/SUM(L61:O64)</f>
        <v>1031.87500873508</v>
      </c>
    </row>
    <row r="65" spans="11:17">
      <c r="K65" s="188" t="s">
        <v>1598</v>
      </c>
    </row>
    <row r="66" spans="11:17">
      <c r="K66" s="2433" t="s">
        <v>1591</v>
      </c>
      <c r="L66" s="2409">
        <v>822.6585067256807</v>
      </c>
      <c r="M66" s="2409">
        <v>861.37258374717442</v>
      </c>
      <c r="N66" s="2407">
        <v>1141</v>
      </c>
      <c r="O66" s="2409">
        <f>D68+N66</f>
        <v>1141</v>
      </c>
    </row>
    <row r="67" spans="11:17">
      <c r="K67" s="2433" t="s">
        <v>1592</v>
      </c>
      <c r="L67" s="2409">
        <v>782.94961306113805</v>
      </c>
      <c r="M67" s="2409">
        <v>819.95571609638932</v>
      </c>
      <c r="N67" s="2407">
        <v>1035</v>
      </c>
      <c r="O67" s="2409">
        <f>D69+N67</f>
        <v>1035</v>
      </c>
    </row>
    <row r="68" spans="11:17">
      <c r="K68" s="2433" t="s">
        <v>1593</v>
      </c>
      <c r="L68" s="2409">
        <v>892.85257761598564</v>
      </c>
      <c r="M68" s="2409">
        <v>930.42800531331773</v>
      </c>
      <c r="N68" s="2407">
        <v>1124</v>
      </c>
      <c r="O68" s="2409">
        <f>D70+N68</f>
        <v>1124</v>
      </c>
    </row>
    <row r="69" spans="11:17">
      <c r="K69" s="2433" t="s">
        <v>1594</v>
      </c>
      <c r="L69" s="2409">
        <v>863.14368395144299</v>
      </c>
      <c r="M69" s="2409">
        <v>899.01113766253275</v>
      </c>
      <c r="N69" s="2407">
        <v>1113</v>
      </c>
      <c r="O69" s="2409">
        <f>D71+N69</f>
        <v>1113</v>
      </c>
      <c r="P69" s="188" t="s">
        <v>1597</v>
      </c>
      <c r="Q69" s="331">
        <f>SUMPRODUCT(L66:O69,L61:O64)/SUM(L61:O64)</f>
        <v>972.25790362052749</v>
      </c>
    </row>
  </sheetData>
  <customSheetViews>
    <customSheetView guid="{1683F931-F47D-47C0-A395-D48080DC7EE6}" showPageBreaks="1">
      <selection activeCell="G28" sqref="G28"/>
      <pageMargins left="0.7" right="0.7" top="0.75" bottom="0.75" header="0.3" footer="0.3"/>
      <pageSetup paperSize="9" orientation="portrait" r:id="rId1"/>
    </customSheetView>
    <customSheetView guid="{43897816-D2F0-4C3D-8F57-E0039BD2296B}" topLeftCell="A13">
      <selection activeCell="I26" sqref="I26"/>
      <pageMargins left="0.7" right="0.7" top="0.75" bottom="0.75" header="0.3" footer="0.3"/>
    </customSheetView>
    <customSheetView guid="{849C46E5-4ED4-41B9-BDA9-A6465B9DA9C2}">
      <selection activeCell="E6" sqref="E6"/>
      <pageMargins left="0.7" right="0.7" top="0.75" bottom="0.75" header="0.3" footer="0.3"/>
    </customSheetView>
    <customSheetView guid="{8C09BCDE-4B8A-4469-B3F2-7F4528A2E78D}">
      <selection activeCell="E6" sqref="E6"/>
      <pageMargins left="0.7" right="0.7" top="0.75" bottom="0.75" header="0.3" footer="0.3"/>
    </customSheetView>
    <customSheetView guid="{F4EB51F4-FD23-4D5B-8072-1AF5D59D6686}">
      <selection activeCell="F25" sqref="F25"/>
      <pageMargins left="0.7" right="0.7" top="0.75" bottom="0.75" header="0.3" footer="0.3"/>
    </customSheetView>
    <customSheetView guid="{D7BCFB76-2797-401D-A6F1-E020B5162DD4}">
      <selection activeCell="C17" sqref="C17"/>
      <pageMargins left="0.7" right="0.7" top="0.75" bottom="0.75" header="0.3" footer="0.3"/>
    </customSheetView>
    <customSheetView guid="{C9A88430-3808-49F4-8D86-BF8C70C55441}">
      <selection activeCell="D6" sqref="D6"/>
      <pageMargins left="0.7" right="0.7" top="0.75" bottom="0.75" header="0.3" footer="0.3"/>
      <pageSetup paperSize="9" orientation="portrait" r:id="rId2"/>
    </customSheetView>
    <customSheetView guid="{E61FFED3-723E-484A-93A0-94E1A801AF06}">
      <selection activeCell="D15" sqref="D15"/>
      <pageMargins left="0.7" right="0.7" top="0.75" bottom="0.75" header="0.3" footer="0.3"/>
      <pageSetup paperSize="9" orientation="portrait" r:id="rId3"/>
    </customSheetView>
    <customSheetView guid="{6A1E79C9-91E3-4EEA-8ABB-4446083299EC}">
      <selection activeCell="F9" sqref="F9"/>
      <pageMargins left="0.7" right="0.7" top="0.75" bottom="0.75" header="0.3" footer="0.3"/>
      <pageSetup paperSize="9" orientation="portrait" r:id="rId4"/>
    </customSheetView>
    <customSheetView guid="{8B80B510-C931-46B1-8591-DEA916D76593}" topLeftCell="A28">
      <selection activeCell="G55" sqref="G55"/>
      <pageMargins left="0.7" right="0.7" top="0.75" bottom="0.75" header="0.3" footer="0.3"/>
    </customSheetView>
    <customSheetView guid="{303A9D89-611D-4504-BCAA-071C53B021F7}">
      <selection activeCell="C17" sqref="C17"/>
      <pageMargins left="0.7" right="0.7" top="0.75" bottom="0.75" header="0.3" footer="0.3"/>
    </customSheetView>
    <customSheetView guid="{4583A87D-5DFF-47BD-849A-FA4AAF2B9CE3}">
      <selection activeCell="H6" sqref="H6"/>
      <pageMargins left="0.7" right="0.7" top="0.75" bottom="0.75" header="0.3" footer="0.3"/>
    </customSheetView>
    <customSheetView guid="{EA856AC2-CDFF-46B6-B0C4-30449DF132F4}" topLeftCell="A4">
      <selection activeCell="I26" sqref="I26"/>
      <pageMargins left="0.7" right="0.7" top="0.75" bottom="0.75" header="0.3" footer="0.3"/>
    </customSheetView>
    <customSheetView guid="{322A45A6-8B26-49B8-A4D9-EFB3C94A758D}">
      <selection activeCell="H32" sqref="H32"/>
      <pageMargins left="0.7" right="0.7" top="0.75" bottom="0.75" header="0.3" footer="0.3"/>
      <pageSetup paperSize="9" orientation="portrait" r:id="rId5"/>
    </customSheetView>
  </customSheetViews>
  <phoneticPr fontId="133" type="noConversion"/>
  <pageMargins left="0.7" right="0.7" top="0.75" bottom="0.75" header="0.3" footer="0.3"/>
  <pageSetup paperSize="9" orientation="portrait" r:id="rId6"/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615D9-CF6B-4967-ABD7-31AD6EB63C78}">
  <dimension ref="A1:Q148"/>
  <sheetViews>
    <sheetView zoomScaleNormal="13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H48" sqref="H48"/>
    </sheetView>
  </sheetViews>
  <sheetFormatPr defaultColWidth="9" defaultRowHeight="14.25"/>
  <cols>
    <col min="1" max="1" width="31.625" style="154" customWidth="1"/>
    <col min="2" max="2" width="12.125" style="154" customWidth="1"/>
    <col min="3" max="3" width="13.375" style="154" customWidth="1"/>
    <col min="4" max="4" width="14.625" style="154" customWidth="1"/>
    <col min="5" max="5" width="15.375" style="154" customWidth="1"/>
    <col min="6" max="6" width="14.75" style="154" customWidth="1"/>
    <col min="7" max="7" width="15" style="154" customWidth="1"/>
    <col min="8" max="8" width="15.625" style="154" customWidth="1"/>
    <col min="9" max="9" width="15.125" style="154" bestFit="1" customWidth="1"/>
    <col min="10" max="10" width="12.5" style="154" customWidth="1"/>
    <col min="11" max="11" width="9" style="154" customWidth="1"/>
    <col min="12" max="12" width="11.5" style="154" customWidth="1"/>
    <col min="13" max="14" width="9.5" style="154" customWidth="1"/>
    <col min="15" max="15" width="9" style="154" customWidth="1"/>
    <col min="16" max="16" width="10.5" customWidth="1"/>
    <col min="18" max="16384" width="9" style="154"/>
  </cols>
  <sheetData>
    <row r="1" spans="1:17" s="153" customFormat="1">
      <c r="A1" s="153" t="s">
        <v>0</v>
      </c>
      <c r="B1" s="153">
        <f>'@预测#概况#'!B1</f>
        <v>2021</v>
      </c>
      <c r="D1" s="153">
        <f>'@预测#概况#'!H1</f>
        <v>2021</v>
      </c>
      <c r="P1" s="1338"/>
      <c r="Q1" s="1338"/>
    </row>
    <row r="2" spans="1:17" s="153" customFormat="1">
      <c r="A2" s="153" t="s">
        <v>1</v>
      </c>
      <c r="B2" s="153">
        <f>'@预测#概况#'!B2</f>
        <v>8</v>
      </c>
      <c r="D2" s="153">
        <f>'@预测#概况#'!H2</f>
        <v>7</v>
      </c>
      <c r="E2" s="161"/>
      <c r="G2" s="161"/>
      <c r="H2" s="161">
        <f>H5-'@预测#利润分析#'!J67</f>
        <v>-213139.70993799996</v>
      </c>
      <c r="P2" s="1338"/>
      <c r="Q2" s="1338"/>
    </row>
    <row r="3" spans="1:17">
      <c r="A3" s="2652" t="s">
        <v>103</v>
      </c>
      <c r="B3" s="2652" t="str">
        <f>D2&amp;"月利润"</f>
        <v>7月利润</v>
      </c>
      <c r="C3" s="2652"/>
      <c r="D3" s="2652"/>
      <c r="E3" s="2652" t="str">
        <f>B2&amp;"月利润"</f>
        <v>8月利润</v>
      </c>
      <c r="F3" s="2652"/>
      <c r="G3" s="2652"/>
      <c r="H3" s="2652" t="s">
        <v>5</v>
      </c>
      <c r="I3" s="2652"/>
      <c r="J3" s="2652"/>
      <c r="L3" s="1673" t="str">
        <f>"1-"&amp;B2-1&amp;"月累计"</f>
        <v>1-7月累计</v>
      </c>
      <c r="M3" s="399"/>
      <c r="N3" s="399"/>
    </row>
    <row r="4" spans="1:17">
      <c r="A4" s="2652"/>
      <c r="B4" s="1674" t="s">
        <v>162</v>
      </c>
      <c r="C4" s="1674" t="s">
        <v>54</v>
      </c>
      <c r="D4" s="1674" t="s">
        <v>163</v>
      </c>
      <c r="E4" s="1674" t="s">
        <v>162</v>
      </c>
      <c r="F4" s="1841" t="s">
        <v>54</v>
      </c>
      <c r="G4" s="1674" t="s">
        <v>163</v>
      </c>
      <c r="H4" s="1674" t="s">
        <v>162</v>
      </c>
      <c r="I4" s="1684" t="s">
        <v>1171</v>
      </c>
      <c r="J4" s="1674" t="s">
        <v>163</v>
      </c>
      <c r="L4" s="1674" t="s">
        <v>162</v>
      </c>
      <c r="M4" s="1674" t="s">
        <v>54</v>
      </c>
      <c r="N4" s="1674" t="s">
        <v>163</v>
      </c>
    </row>
    <row r="5" spans="1:17">
      <c r="A5" s="1860" t="s">
        <v>1314</v>
      </c>
      <c r="B5" s="1881">
        <f t="shared" ref="B5:J5" si="0">B6+B49+B50</f>
        <v>218166.04012541007</v>
      </c>
      <c r="C5" s="1881">
        <f t="shared" si="0"/>
        <v>0</v>
      </c>
      <c r="D5" s="1881">
        <f>D6+D49+D50</f>
        <v>218166.04012541007</v>
      </c>
      <c r="E5" s="1881">
        <f t="shared" si="0"/>
        <v>194834.72878146151</v>
      </c>
      <c r="F5" s="1881">
        <f t="shared" si="0"/>
        <v>30000</v>
      </c>
      <c r="G5" s="1881">
        <f t="shared" si="0"/>
        <v>164834.72878146151</v>
      </c>
      <c r="H5" s="1881">
        <f>H6+H49+H50</f>
        <v>1507994.7200496318</v>
      </c>
      <c r="I5" s="1881">
        <f t="shared" si="0"/>
        <v>89603</v>
      </c>
      <c r="J5" s="1881">
        <f t="shared" si="0"/>
        <v>1418391.7200496315</v>
      </c>
      <c r="K5" s="158">
        <f>E5-'@预测#经营利润#'!E5</f>
        <v>0</v>
      </c>
      <c r="L5" s="1861"/>
      <c r="M5" s="1861"/>
      <c r="N5" s="1861"/>
    </row>
    <row r="6" spans="1:17" s="152" customFormat="1">
      <c r="A6" s="1882" t="s">
        <v>1240</v>
      </c>
      <c r="B6" s="1867">
        <f>B7+SUM(B12:B42)+B44</f>
        <v>219059.62312541009</v>
      </c>
      <c r="C6" s="1867">
        <f>C7+SUM(C12:C42)+C44</f>
        <v>0</v>
      </c>
      <c r="D6" s="1867">
        <f>B6-C6</f>
        <v>219059.62312541009</v>
      </c>
      <c r="E6" s="1867">
        <f>E7+SUM(E12:E42)+E44</f>
        <v>191806.72878146151</v>
      </c>
      <c r="F6" s="1867">
        <f>F7+SUM(F12:F42)+F44</f>
        <v>30000</v>
      </c>
      <c r="G6" s="1867">
        <f>G7+SUM(G12:G42)+G44</f>
        <v>161806.72878146151</v>
      </c>
      <c r="H6" s="1867">
        <f>E6+L6</f>
        <v>1477705.9028006317</v>
      </c>
      <c r="I6" s="1867">
        <f t="shared" ref="H6:J21" si="1">F6+M6</f>
        <v>89603</v>
      </c>
      <c r="J6" s="1867">
        <f>G6+N6</f>
        <v>1388102.9028006315</v>
      </c>
      <c r="K6" s="158">
        <f>E6-'@预测#经营利润#'!E6</f>
        <v>0</v>
      </c>
      <c r="L6" s="1441">
        <f>L7+SUM(L12:L42)+L44</f>
        <v>1285899.1740191702</v>
      </c>
      <c r="M6" s="1441">
        <f>M7+SUM(M12:M42)+M44</f>
        <v>59603</v>
      </c>
      <c r="N6" s="1441">
        <f>N7+SUM(N12:N42)+N44</f>
        <v>1226296.17401917</v>
      </c>
      <c r="O6" s="2098"/>
      <c r="P6" s="2098"/>
      <c r="Q6" s="2098"/>
    </row>
    <row r="7" spans="1:17" s="152" customFormat="1">
      <c r="A7" s="1876" t="s">
        <v>1101</v>
      </c>
      <c r="B7" s="395">
        <f>SUM(B8:B9)</f>
        <v>37037.363640410018</v>
      </c>
      <c r="C7" s="395">
        <f>SUM(C8:C11)</f>
        <v>0</v>
      </c>
      <c r="D7" s="395">
        <f>SUM(D8:D9)</f>
        <v>37037.363640410018</v>
      </c>
      <c r="E7" s="395">
        <f>SUM(E8:E9)</f>
        <v>39715.756319923079</v>
      </c>
      <c r="F7" s="395">
        <f>F8+F9</f>
        <v>0</v>
      </c>
      <c r="G7" s="395">
        <f>SUM(G8:G9)</f>
        <v>39715.756319923079</v>
      </c>
      <c r="H7" s="395">
        <f t="shared" si="1"/>
        <v>295508.27082549309</v>
      </c>
      <c r="I7" s="395">
        <f t="shared" si="1"/>
        <v>11300</v>
      </c>
      <c r="J7" s="395">
        <f t="shared" si="1"/>
        <v>284208.27082549309</v>
      </c>
      <c r="K7" s="158">
        <f>E7-'@预测#经营利润#'!E7</f>
        <v>0</v>
      </c>
      <c r="L7" s="1441">
        <f>SUM(L8:L9)</f>
        <v>255792.51450557</v>
      </c>
      <c r="M7" s="1441">
        <f>SUM(M8:M9)</f>
        <v>11300</v>
      </c>
      <c r="N7" s="1441">
        <f>SUM(N8:N9)</f>
        <v>244492.51450557</v>
      </c>
      <c r="O7" s="2098"/>
      <c r="P7" s="2098"/>
      <c r="Q7" s="2098"/>
    </row>
    <row r="8" spans="1:17">
      <c r="A8" s="1877" t="s">
        <v>106</v>
      </c>
      <c r="B8" s="1432">
        <f>SUMIFS('#利润建议'!8:8,'#利润建议'!$1:$1,$D$1,'#利润建议'!$2:$2,$D$2,'#利润建议'!$4:$4,"实际")</f>
        <v>34767.318359000019</v>
      </c>
      <c r="C8" s="1432">
        <f>SUMIFS('#利润建议'!8:8,'#利润建议'!$1:$1,$D$1,'#利润建议'!$2:$2,$D$2,'#利润建议'!$4:$4,"留存")</f>
        <v>0</v>
      </c>
      <c r="D8" s="398">
        <f>B8-C8</f>
        <v>34767.318359000019</v>
      </c>
      <c r="E8" s="398">
        <f>SUMIFS('@预测#收入利润#'!$M$4:$M$68,'@预测#收入利润#'!$A$4:$A$68,"母公司")</f>
        <v>32128.686319923079</v>
      </c>
      <c r="F8" s="1432"/>
      <c r="G8" s="1432">
        <f>E8-F8</f>
        <v>32128.686319923079</v>
      </c>
      <c r="H8" s="1432">
        <f t="shared" si="1"/>
        <v>193799.85994992309</v>
      </c>
      <c r="I8" s="1432">
        <f t="shared" si="1"/>
        <v>11300</v>
      </c>
      <c r="J8" s="1432">
        <f>G8+N8</f>
        <v>182499.85994992309</v>
      </c>
      <c r="K8" s="158">
        <f>E8-'@预测#经营利润#'!E8</f>
        <v>0</v>
      </c>
      <c r="L8" s="1442">
        <f>SUMIFS('#利润建议'!8:8,'#利润建议'!$1:$1,$B$1,'#利润建议'!$2:$2,"&lt;"&amp;$B$2,'#利润建议'!$4:$4,"实际")</f>
        <v>161671.17363</v>
      </c>
      <c r="M8" s="1442">
        <f>SUMIFS('#利润建议'!8:8,'#利润建议'!$1:$1,$B$1,'#利润建议'!$2:$2,"&lt;"&amp;$B$2,'#利润建议'!$4:$4,"留存")</f>
        <v>11300</v>
      </c>
      <c r="N8" s="1443">
        <f>L8-M8</f>
        <v>150371.17363</v>
      </c>
      <c r="O8" s="2098"/>
      <c r="P8" s="2098"/>
      <c r="Q8" s="2098"/>
    </row>
    <row r="9" spans="1:17">
      <c r="A9" s="1878" t="s">
        <v>107</v>
      </c>
      <c r="B9" s="398">
        <f>SUMIFS('#利润建议'!9:9,'#利润建议'!$1:$1,$D$1,'#利润建议'!$2:$2,$D$2,'#利润建议'!$4:$4,"实际")</f>
        <v>2270.0452814100004</v>
      </c>
      <c r="C9" s="1433">
        <f>SUMIFS('#利润建议'!9:9,'#利润建议'!$1:$1,$D$1,'#利润建议'!$2:$2,$D$2,'#利润建议'!$4:$4,"留存")</f>
        <v>0</v>
      </c>
      <c r="D9" s="398">
        <f>B9-C9</f>
        <v>2270.0452814100004</v>
      </c>
      <c r="E9" s="398">
        <f>SUMIFS('@预测#收入利润#'!$M$4:$M$68,'@预测#收入利润#'!$A$4:$A$68,"投资收益")</f>
        <v>7587.07</v>
      </c>
      <c r="F9" s="1433"/>
      <c r="G9" s="1432">
        <f>E9-F9</f>
        <v>7587.07</v>
      </c>
      <c r="H9" s="1432">
        <f t="shared" si="1"/>
        <v>101708.41087557</v>
      </c>
      <c r="I9" s="1432">
        <f t="shared" si="1"/>
        <v>0</v>
      </c>
      <c r="J9" s="1432">
        <f t="shared" si="1"/>
        <v>101708.41087557</v>
      </c>
      <c r="K9" s="158">
        <f>E9-'@预测#经营利润#'!E9</f>
        <v>0</v>
      </c>
      <c r="L9" s="1442">
        <f>SUMIFS('#利润建议'!9:9,'#利润建议'!$1:$1,$B$1,'#利润建议'!$2:$2,"&lt;"&amp;$B$2,'#利润建议'!$4:$4,"实际")</f>
        <v>94121.340875570007</v>
      </c>
      <c r="M9" s="1442">
        <f>SUMIFS('#利润建议'!9:9,'#利润建议'!$1:$1,$B$1,'#利润建议'!$2:$2,"&lt;"&amp;$B$2,'#利润建议'!$4:$4,"留存")</f>
        <v>0</v>
      </c>
      <c r="N9" s="1442">
        <f t="shared" ref="N9:N50" si="2">L9-M9</f>
        <v>94121.340875570007</v>
      </c>
      <c r="O9" s="2098"/>
      <c r="P9" s="2098"/>
      <c r="Q9" s="2098"/>
    </row>
    <row r="10" spans="1:17">
      <c r="A10" s="1878" t="s">
        <v>108</v>
      </c>
      <c r="B10" s="398">
        <f>SUMIFS('#利润建议'!10:10,'#利润建议'!$1:$1,$D$1,'#利润建议'!$2:$2,$D$2,'#利润建议'!$4:$4,"实际")</f>
        <v>2270.0452814100004</v>
      </c>
      <c r="C10" s="1433">
        <f>SUMIFS('#利润建议'!10:10,'#利润建议'!$1:$1,$D$1,'#利润建议'!$2:$2,$D$2,'#利润建议'!$4:$4,"留存")</f>
        <v>0</v>
      </c>
      <c r="D10" s="398">
        <f t="shared" ref="D10:D42" si="3">B10-C10</f>
        <v>2270.0452814100004</v>
      </c>
      <c r="E10" s="398">
        <f>E9-E11</f>
        <v>7587.07</v>
      </c>
      <c r="F10" s="1433"/>
      <c r="G10" s="1432">
        <f t="shared" ref="G10:G42" si="4">E10-F10</f>
        <v>7587.07</v>
      </c>
      <c r="H10" s="1432">
        <f t="shared" si="1"/>
        <v>25638.598355370003</v>
      </c>
      <c r="I10" s="1432"/>
      <c r="J10" s="1432">
        <f t="shared" si="1"/>
        <v>25638.598355370003</v>
      </c>
      <c r="K10" s="158"/>
      <c r="L10" s="1444">
        <f>SUMIFS('#利润建议'!10:10,'#利润建议'!$1:$1,$B$1,'#利润建议'!$2:$2,"&lt;"&amp;$B$2,'#利润建议'!$4:$4,"实际")</f>
        <v>18051.528355370003</v>
      </c>
      <c r="M10" s="1442">
        <f>SUMIFS('#利润建议'!10:10,'#利润建议'!$1:$1,$B$1,'#利润建议'!$2:$2,"&lt;"&amp;$B$2,'#利润建议'!$4:$4,"留存")</f>
        <v>0</v>
      </c>
      <c r="N10" s="1444">
        <f t="shared" si="2"/>
        <v>18051.528355370003</v>
      </c>
      <c r="O10" s="2098"/>
      <c r="P10" s="2098"/>
      <c r="Q10" s="2098"/>
    </row>
    <row r="11" spans="1:17">
      <c r="A11" s="1877" t="s">
        <v>109</v>
      </c>
      <c r="B11" s="398">
        <f>SUMIFS('#利润建议'!11:11,'#利润建议'!$1:$1,$D$1,'#利润建议'!$2:$2,$D$2,'#利润建议'!$4:$4,"实际")</f>
        <v>0</v>
      </c>
      <c r="C11" s="1433">
        <f>SUMIFS('#利润建议'!11:11,'#利润建议'!$1:$1,$D$1,'#利润建议'!$2:$2,$D$2,'#利润建议'!$4:$4,"留存")</f>
        <v>0</v>
      </c>
      <c r="D11" s="398">
        <f t="shared" si="3"/>
        <v>0</v>
      </c>
      <c r="E11" s="398">
        <f>-E47</f>
        <v>0</v>
      </c>
      <c r="F11" s="1433"/>
      <c r="G11" s="1432">
        <f t="shared" si="4"/>
        <v>0</v>
      </c>
      <c r="H11" s="1432">
        <f t="shared" si="1"/>
        <v>76069.812520200008</v>
      </c>
      <c r="I11" s="1433">
        <f t="shared" si="1"/>
        <v>0</v>
      </c>
      <c r="J11" s="1432">
        <f t="shared" si="1"/>
        <v>76069.812520200008</v>
      </c>
      <c r="K11" s="158"/>
      <c r="L11" s="1442">
        <f>SUMIFS('#利润建议'!11:11,'#利润建议'!$1:$1,$B$1,'#利润建议'!$2:$2,"&lt;"&amp;$B$2,'#利润建议'!$4:$4,"实际")</f>
        <v>76069.812520200008</v>
      </c>
      <c r="M11" s="1442">
        <f>SUMIFS('#利润建议'!11:11,'#利润建议'!$1:$1,$B$1,'#利润建议'!$2:$2,"&lt;"&amp;$B$2,'#利润建议'!$4:$4,"留存")</f>
        <v>0</v>
      </c>
      <c r="N11" s="1442">
        <f t="shared" si="2"/>
        <v>76069.812520200008</v>
      </c>
      <c r="O11" s="2098"/>
      <c r="P11" s="2098"/>
      <c r="Q11" s="2098"/>
    </row>
    <row r="12" spans="1:17" s="152" customFormat="1">
      <c r="A12" s="1876" t="s">
        <v>46</v>
      </c>
      <c r="B12" s="395">
        <f>SUMIFS('#利润建议'!15:15,'#利润建议'!$1:$1,$D$1,'#利润建议'!$2:$2,$D$2,'#利润建议'!$4:$4,"实际")</f>
        <v>104942</v>
      </c>
      <c r="C12" s="1674">
        <f>SUMIFS('#利润建议'!15:15,'#利润建议'!$1:$1,$D$1,'#利润建议'!$2:$2,$D$2,'#利润建议'!$4:$4,"留存")</f>
        <v>0</v>
      </c>
      <c r="D12" s="395">
        <f t="shared" si="3"/>
        <v>104942</v>
      </c>
      <c r="E12" s="395">
        <f>SUMIFS('@预测#收入利润#'!$M$4:$M$68,'@预测#收入利润#'!$A$4:$A$68,A12)</f>
        <v>78461</v>
      </c>
      <c r="F12" s="1674">
        <v>30000</v>
      </c>
      <c r="G12" s="1434">
        <f t="shared" si="4"/>
        <v>48461</v>
      </c>
      <c r="H12" s="1434">
        <f>E12+L12</f>
        <v>762240</v>
      </c>
      <c r="I12" s="1434">
        <f t="shared" si="1"/>
        <v>78303</v>
      </c>
      <c r="J12" s="1434">
        <f t="shared" si="1"/>
        <v>683937</v>
      </c>
      <c r="K12" s="158">
        <f>G12-D12</f>
        <v>-56481</v>
      </c>
      <c r="L12" s="1441">
        <f>SUMIFS('#利润建议'!15:15,'#利润建议'!$1:$1,$B$1,'#利润建议'!$2:$2,"&lt;"&amp;$B$2,'#利润建议'!$4:$4,"实际")</f>
        <v>683779</v>
      </c>
      <c r="M12" s="1441">
        <f>SUMIFS('#利润建议'!15:15,'#利润建议'!$1:$1,$B$1,'#利润建议'!$2:$2,"&lt;"&amp;$B$2,'#利润建议'!$4:$4,"留存")</f>
        <v>48303</v>
      </c>
      <c r="N12" s="1441">
        <f t="shared" si="2"/>
        <v>635476</v>
      </c>
      <c r="O12" s="2098"/>
      <c r="P12" s="2098">
        <f>G12-D12</f>
        <v>-56481</v>
      </c>
      <c r="Q12" s="2098"/>
    </row>
    <row r="13" spans="1:17" s="152" customFormat="1">
      <c r="A13" s="1876" t="s">
        <v>110</v>
      </c>
      <c r="B13" s="395">
        <f>SUMIFS('#利润建议'!12:12,'#利润建议'!$1:$1,$D$1,'#利润建议'!$2:$2,$D$2,'#利润建议'!$4:$4,"实际")</f>
        <v>2958</v>
      </c>
      <c r="C13" s="1674">
        <f>SUMIFS('#利润建议'!12:12,'#利润建议'!$1:$1,$D$1,'#利润建议'!$2:$2,$D$2,'#利润建议'!$4:$4,"留存")</f>
        <v>0</v>
      </c>
      <c r="D13" s="395">
        <f t="shared" si="3"/>
        <v>2958</v>
      </c>
      <c r="E13" s="395">
        <f>SUMIFS('@预测#收入利润#'!$M$4:$M$68,'@预测#收入利润#'!$A$4:$A$68,A13)</f>
        <v>3102.717461538462</v>
      </c>
      <c r="F13" s="1434"/>
      <c r="G13" s="1434">
        <f t="shared" si="4"/>
        <v>3102.717461538462</v>
      </c>
      <c r="H13" s="1434">
        <f t="shared" si="1"/>
        <v>34906.116150538466</v>
      </c>
      <c r="I13" s="1434">
        <f t="shared" si="1"/>
        <v>0</v>
      </c>
      <c r="J13" s="1434">
        <f t="shared" si="1"/>
        <v>34906.116150538466</v>
      </c>
      <c r="K13" s="158"/>
      <c r="L13" s="1441">
        <f>SUMIFS('#利润建议'!12:12,'#利润建议'!$1:$1,$B$1,'#利润建议'!$2:$2,"&lt;"&amp;$B$2,'#利润建议'!$4:$4,"实际")</f>
        <v>31803.398689000001</v>
      </c>
      <c r="M13" s="1441">
        <f>SUMIFS('#利润建议'!12:12,'#利润建议'!$1:$1,$B$1,'#利润建议'!$2:$2,"&lt;"&amp;$B$2,'#利润建议'!$4:$4,"留存")</f>
        <v>0</v>
      </c>
      <c r="N13" s="1441">
        <f t="shared" si="2"/>
        <v>31803.398689000001</v>
      </c>
      <c r="O13" s="2098"/>
      <c r="P13" s="2098"/>
      <c r="Q13" s="2098"/>
    </row>
    <row r="14" spans="1:17" s="152" customFormat="1">
      <c r="A14" s="1876" t="s">
        <v>111</v>
      </c>
      <c r="B14" s="395">
        <f>SUMIFS('#利润建议'!13:13,'#利润建议'!$1:$1,$D$1,'#利润建议'!$2:$2,$D$2,'#利润建议'!$4:$4,"实际")</f>
        <v>65368.601999999999</v>
      </c>
      <c r="C14" s="1674">
        <f>SUMIFS('#利润建议'!13:13,'#利润建议'!$1:$1,$D$1,'#利润建议'!$2:$2,$D$2,'#利润建议'!$4:$4,"留存")</f>
        <v>0</v>
      </c>
      <c r="D14" s="395">
        <f t="shared" si="3"/>
        <v>65368.601999999999</v>
      </c>
      <c r="E14" s="395">
        <f>SUMIFS('@预测#收入利润#'!$M$4:$M$68,'@预测#收入利润#'!$A$4:$A$68,A14)</f>
        <v>60720.800000000003</v>
      </c>
      <c r="F14" s="1434"/>
      <c r="G14" s="1434">
        <f t="shared" si="4"/>
        <v>60720.800000000003</v>
      </c>
      <c r="H14" s="1434">
        <f t="shared" si="1"/>
        <v>375637.98288800003</v>
      </c>
      <c r="I14" s="1434">
        <f t="shared" si="1"/>
        <v>0</v>
      </c>
      <c r="J14" s="1434">
        <f t="shared" si="1"/>
        <v>375637.98288800003</v>
      </c>
      <c r="K14" s="158"/>
      <c r="L14" s="1441">
        <f>SUMIFS('#利润建议'!13:13,'#利润建议'!$1:$1,$B$1,'#利润建议'!$2:$2,"&lt;"&amp;$B$2,'#利润建议'!$4:$4,"实际")</f>
        <v>314917.18288800004</v>
      </c>
      <c r="M14" s="1441">
        <f>SUMIFS('#利润建议'!13:13,'#利润建议'!$1:$1,$B$1,'#利润建议'!$2:$2,"&lt;"&amp;$B$2,'#利润建议'!$4:$4,"留存")</f>
        <v>0</v>
      </c>
      <c r="N14" s="1441">
        <f t="shared" si="2"/>
        <v>314917.18288800004</v>
      </c>
      <c r="O14" s="2098"/>
      <c r="P14" s="2098"/>
      <c r="Q14" s="2098"/>
    </row>
    <row r="15" spans="1:17" s="152" customFormat="1">
      <c r="A15" s="1876" t="s">
        <v>112</v>
      </c>
      <c r="B15" s="395">
        <f>SUMIFS('#利润建议'!14:14,'#利润建议'!$1:$1,$D$1,'#利润建议'!$2:$2,$D$2,'#利润建议'!$4:$4,"实际")</f>
        <v>-320</v>
      </c>
      <c r="C15" s="1674">
        <f>SUMIFS('#利润建议'!14:14,'#利润建议'!$1:$1,$D$1,'#利润建议'!$2:$2,$D$2,'#利润建议'!$4:$4,"留存")</f>
        <v>0</v>
      </c>
      <c r="D15" s="395">
        <f t="shared" si="3"/>
        <v>-320</v>
      </c>
      <c r="E15" s="395">
        <f>SUMIFS('@预测#收入利润#'!$M$4:$M$68,'@预测#收入利润#'!$A$4:$A$68,A15)</f>
        <v>-337</v>
      </c>
      <c r="F15" s="1434"/>
      <c r="G15" s="1434">
        <f t="shared" si="4"/>
        <v>-337</v>
      </c>
      <c r="H15" s="1434">
        <f t="shared" si="1"/>
        <v>1075.1172350000002</v>
      </c>
      <c r="I15" s="1434">
        <f t="shared" si="1"/>
        <v>0</v>
      </c>
      <c r="J15" s="1434">
        <f t="shared" si="1"/>
        <v>1075.1172350000002</v>
      </c>
      <c r="K15" s="158"/>
      <c r="L15" s="1441">
        <f>SUMIFS('#利润建议'!14:14,'#利润建议'!$1:$1,$B$1,'#利润建议'!$2:$2,"&lt;"&amp;$B$2,'#利润建议'!$4:$4,"实际")</f>
        <v>1412.1172350000002</v>
      </c>
      <c r="M15" s="1441">
        <f>SUMIFS('#利润建议'!14:14,'#利润建议'!$1:$1,$B$1,'#利润建议'!$2:$2,"&lt;"&amp;$B$2,'#利润建议'!$4:$4,"留存")</f>
        <v>0</v>
      </c>
      <c r="N15" s="1441">
        <f t="shared" si="2"/>
        <v>1412.1172350000002</v>
      </c>
      <c r="O15" s="2098"/>
      <c r="P15" s="2098"/>
      <c r="Q15" s="2098"/>
    </row>
    <row r="16" spans="1:17" s="152" customFormat="1">
      <c r="A16" s="1876" t="s">
        <v>121</v>
      </c>
      <c r="B16" s="395">
        <f>SUMIFS('#利润建议'!23:23,'#利润建议'!$1:$1,$D$1,'#利润建议'!$2:$2,$D$2,'#利润建议'!$4:$4,"实际")</f>
        <v>1635</v>
      </c>
      <c r="C16" s="1674">
        <f>SUMIFS('#利润建议'!23:23,'#利润建议'!$1:$1,$D$1,'#利润建议'!$2:$2,$D$2,'#利润建议'!$4:$4,"留存")</f>
        <v>0</v>
      </c>
      <c r="D16" s="395">
        <f t="shared" si="3"/>
        <v>1635</v>
      </c>
      <c r="E16" s="395">
        <f>SUMIFS('@预测#收入利润#'!$M$4:$M$68,'@预测#收入利润#'!$A$4:$A$68,A16)</f>
        <v>-489</v>
      </c>
      <c r="F16" s="1674"/>
      <c r="G16" s="1434">
        <f t="shared" si="4"/>
        <v>-489</v>
      </c>
      <c r="H16" s="1434">
        <f t="shared" si="1"/>
        <v>5398.497601</v>
      </c>
      <c r="I16" s="1434">
        <f t="shared" si="1"/>
        <v>0</v>
      </c>
      <c r="J16" s="1434">
        <f t="shared" si="1"/>
        <v>5398.497601</v>
      </c>
      <c r="K16" s="158"/>
      <c r="L16" s="1441">
        <f>SUMIFS('#利润建议'!23:23,'#利润建议'!$1:$1,$B$1,'#利润建议'!$2:$2,"&lt;"&amp;$B$2,'#利润建议'!$4:$4,"实际")</f>
        <v>5887.497601</v>
      </c>
      <c r="M16" s="1441">
        <f>SUMIFS('#利润建议'!23:23,'#利润建议'!$1:$1,$B$1,'#利润建议'!$2:$2,"&lt;"&amp;$B$2,'#利润建议'!$4:$4,"留存")</f>
        <v>0</v>
      </c>
      <c r="N16" s="1441">
        <f t="shared" si="2"/>
        <v>5887.497601</v>
      </c>
      <c r="O16" s="2098"/>
      <c r="P16" s="2098"/>
      <c r="Q16" s="2098"/>
    </row>
    <row r="17" spans="1:17" s="152" customFormat="1">
      <c r="A17" s="1876" t="s">
        <v>122</v>
      </c>
      <c r="B17" s="395">
        <f>SUMIFS('#利润建议'!24:24,'#利润建议'!$1:$1,$D$1,'#利润建议'!$2:$2,$D$2,'#利润建议'!$4:$4,"实际")</f>
        <v>1029</v>
      </c>
      <c r="C17" s="1674">
        <f>SUMIFS('#利润建议'!24:24,'#利润建议'!$1:$1,$D$1,'#利润建议'!$2:$2,$D$2,'#利润建议'!$4:$4,"留存")</f>
        <v>0</v>
      </c>
      <c r="D17" s="395">
        <f t="shared" si="3"/>
        <v>1029</v>
      </c>
      <c r="E17" s="395">
        <f>SUMIFS('@预测#收入利润#'!$M$4:$M$68,'@预测#收入利润#'!$A$4:$A$68,A17)</f>
        <v>342</v>
      </c>
      <c r="F17" s="1674"/>
      <c r="G17" s="1434">
        <f t="shared" si="4"/>
        <v>342</v>
      </c>
      <c r="H17" s="1434">
        <f t="shared" si="1"/>
        <v>4916.6129249999994</v>
      </c>
      <c r="I17" s="1434">
        <f t="shared" si="1"/>
        <v>0</v>
      </c>
      <c r="J17" s="1434">
        <f t="shared" si="1"/>
        <v>4916.6129249999994</v>
      </c>
      <c r="K17" s="158"/>
      <c r="L17" s="1441">
        <f>SUMIFS('#利润建议'!24:24,'#利润建议'!$1:$1,$B$1,'#利润建议'!$2:$2,"&lt;"&amp;$B$2,'#利润建议'!$4:$4,"实际")</f>
        <v>4574.6129249999994</v>
      </c>
      <c r="M17" s="1441">
        <f>SUMIFS('#利润建议'!24:24,'#利润建议'!$1:$1,$B$1,'#利润建议'!$2:$2,"&lt;"&amp;$B$2,'#利润建议'!$4:$4,"留存")</f>
        <v>0</v>
      </c>
      <c r="N17" s="1441">
        <f t="shared" si="2"/>
        <v>4574.6129249999994</v>
      </c>
      <c r="O17" s="2098"/>
      <c r="P17" s="2098"/>
      <c r="Q17" s="2098"/>
    </row>
    <row r="18" spans="1:17" s="152" customFormat="1" hidden="1">
      <c r="A18" s="1876" t="s">
        <v>127</v>
      </c>
      <c r="B18" s="395">
        <f>SUMIFS('#利润建议'!25:25,'#利润建议'!$1:$1,$D$1,'#利润建议'!$2:$2,$D$2,'#利润建议'!$4:$4,"实际")</f>
        <v>519.64996300000007</v>
      </c>
      <c r="C18" s="1674">
        <f>SUMIFS('#利润建议'!25:25,'#利润建议'!$1:$1,$D$1,'#利润建议'!$2:$2,$D$2,'#利润建议'!$4:$4,"留存")</f>
        <v>0</v>
      </c>
      <c r="D18" s="395">
        <f t="shared" si="3"/>
        <v>519.64996300000007</v>
      </c>
      <c r="E18" s="395">
        <f>SUMIFS('@预测#收入利润#'!$M$4:$M$68,'@预测#收入利润#'!$A$4:$A$68,A18)</f>
        <v>532</v>
      </c>
      <c r="F18" s="1674"/>
      <c r="G18" s="1434">
        <f t="shared" si="4"/>
        <v>532</v>
      </c>
      <c r="H18" s="1434">
        <f t="shared" si="1"/>
        <v>4343.1511890000002</v>
      </c>
      <c r="I18" s="1434">
        <f t="shared" si="1"/>
        <v>0</v>
      </c>
      <c r="J18" s="1434">
        <f t="shared" si="1"/>
        <v>4343.1511890000002</v>
      </c>
      <c r="K18" s="158"/>
      <c r="L18" s="1441">
        <f>SUMIFS('#利润建议'!25:25,'#利润建议'!$1:$1,$B$1,'#利润建议'!$2:$2,"&lt;"&amp;$B$2,'#利润建议'!$4:$4,"实际")</f>
        <v>3811.1511890000002</v>
      </c>
      <c r="M18" s="1441">
        <f>SUMIFS('#利润建议'!25:25,'#利润建议'!$1:$1,$B$1,'#利润建议'!$2:$2,"&lt;"&amp;$B$2,'#利润建议'!$4:$4,"留存")</f>
        <v>0</v>
      </c>
      <c r="N18" s="1441">
        <f t="shared" si="2"/>
        <v>3811.1511890000002</v>
      </c>
      <c r="O18" s="2098"/>
      <c r="P18" s="2098"/>
      <c r="Q18" s="2098"/>
    </row>
    <row r="19" spans="1:17" s="152" customFormat="1" hidden="1">
      <c r="A19" s="1876" t="s">
        <v>128</v>
      </c>
      <c r="B19" s="395">
        <f>SUMIFS('#利润建议'!26:26,'#利润建议'!$1:$1,$D$1,'#利润建议'!$2:$2,$D$2,'#利润建议'!$4:$4,"实际")</f>
        <v>195.67499799999999</v>
      </c>
      <c r="C19" s="402">
        <f>SUMIFS('#利润建议'!26:26,'#利润建议'!$1:$1,$D$1,'#利润建议'!$2:$2,$D$2,'#利润建议'!$4:$4,"留存")</f>
        <v>0</v>
      </c>
      <c r="D19" s="395">
        <f t="shared" si="3"/>
        <v>195.67499799999999</v>
      </c>
      <c r="E19" s="395">
        <f>SUMIFS('@预测#收入利润#'!$M$4:$M$68,'@预测#收入利润#'!$A$4:$A$68,A19)</f>
        <v>205</v>
      </c>
      <c r="F19" s="401"/>
      <c r="G19" s="1434">
        <f t="shared" si="4"/>
        <v>205</v>
      </c>
      <c r="H19" s="1434">
        <f t="shared" si="1"/>
        <v>1580.3932789999999</v>
      </c>
      <c r="I19" s="1434">
        <f t="shared" si="1"/>
        <v>0</v>
      </c>
      <c r="J19" s="1434">
        <f t="shared" si="1"/>
        <v>1580.3932789999999</v>
      </c>
      <c r="K19" s="158"/>
      <c r="L19" s="1441">
        <f>SUMIFS('#利润建议'!26:26,'#利润建议'!$1:$1,$B$1,'#利润建议'!$2:$2,"&lt;"&amp;$B$2,'#利润建议'!$4:$4,"实际")</f>
        <v>1375.3932789999999</v>
      </c>
      <c r="M19" s="1441">
        <f>SUMIFS('#利润建议'!26:26,'#利润建议'!$1:$1,$B$1,'#利润建议'!$2:$2,"&lt;"&amp;$B$2,'#利润建议'!$4:$4,"留存")</f>
        <v>0</v>
      </c>
      <c r="N19" s="1441">
        <f t="shared" si="2"/>
        <v>1375.3932789999999</v>
      </c>
      <c r="O19" s="2098"/>
      <c r="P19" s="2098"/>
      <c r="Q19" s="2098"/>
    </row>
    <row r="20" spans="1:17" s="152" customFormat="1" hidden="1">
      <c r="A20" s="1876" t="s">
        <v>129</v>
      </c>
      <c r="B20" s="395">
        <f>SUMIFS('#利润建议'!31:31,'#利润建议'!$1:$1,$D$1,'#利润建议'!$2:$2,$D$2,'#利润建议'!$4:$4,"实际")</f>
        <v>130.30000000000001</v>
      </c>
      <c r="C20" s="1674">
        <f>SUMIFS('#利润建议'!31:31,'#利润建议'!$1:$1,$D$1,'#利润建议'!$2:$2,$D$2,'#利润建议'!$4:$4,"留存")</f>
        <v>0</v>
      </c>
      <c r="D20" s="395">
        <f t="shared" si="3"/>
        <v>130.30000000000001</v>
      </c>
      <c r="E20" s="395">
        <f>SUMIFS('@预测#收入利润#'!$M$4:$M$68,'@预测#收入利润#'!$A$4:$A$68,A20)</f>
        <v>30</v>
      </c>
      <c r="F20" s="1674"/>
      <c r="G20" s="1434">
        <f t="shared" si="4"/>
        <v>30</v>
      </c>
      <c r="H20" s="1434">
        <f t="shared" si="1"/>
        <v>1372.515281</v>
      </c>
      <c r="I20" s="1434">
        <f t="shared" si="1"/>
        <v>0</v>
      </c>
      <c r="J20" s="1434">
        <f t="shared" si="1"/>
        <v>1372.515281</v>
      </c>
      <c r="K20" s="158"/>
      <c r="L20" s="1441">
        <f>SUMIFS('#利润建议'!31:31,'#利润建议'!$1:$1,$B$1,'#利润建议'!$2:$2,"&lt;"&amp;$B$2,'#利润建议'!$4:$4,"实际")</f>
        <v>1342.515281</v>
      </c>
      <c r="M20" s="1441">
        <f>SUMIFS('#利润建议'!31:31,'#利润建议'!$1:$1,$B$1,'#利润建议'!$2:$2,"&lt;"&amp;$B$2,'#利润建议'!$4:$4,"留存")</f>
        <v>0</v>
      </c>
      <c r="N20" s="1441">
        <f t="shared" si="2"/>
        <v>1342.515281</v>
      </c>
      <c r="O20" s="2098"/>
      <c r="P20" s="2098"/>
      <c r="Q20" s="2098"/>
    </row>
    <row r="21" spans="1:17" s="152" customFormat="1" hidden="1">
      <c r="A21" s="1876" t="s">
        <v>133</v>
      </c>
      <c r="B21" s="395">
        <f>SUMIFS('#利润建议'!35:35,'#利润建议'!$1:$1,$D$1,'#利润建议'!$2:$2,$D$2,'#利润建议'!$4:$4,"实际")</f>
        <v>-9</v>
      </c>
      <c r="C21" s="1674">
        <f>SUMIFS('#利润建议'!35:35,'#利润建议'!$1:$1,$D$1,'#利润建议'!$2:$2,$D$2,'#利润建议'!$4:$4,"留存")</f>
        <v>0</v>
      </c>
      <c r="D21" s="395">
        <f t="shared" si="3"/>
        <v>-9</v>
      </c>
      <c r="E21" s="395">
        <f>SUMIFS('@预测#收入利润#'!$M$4:$M$68,'@预测#收入利润#'!$A$4:$A$68,A21)</f>
        <v>-9</v>
      </c>
      <c r="F21" s="1674"/>
      <c r="G21" s="1434">
        <f t="shared" si="4"/>
        <v>-9</v>
      </c>
      <c r="H21" s="1434">
        <f t="shared" si="1"/>
        <v>21.695625999999997</v>
      </c>
      <c r="I21" s="1434">
        <f t="shared" si="1"/>
        <v>0</v>
      </c>
      <c r="J21" s="1434">
        <f t="shared" si="1"/>
        <v>21.695625999999997</v>
      </c>
      <c r="K21" s="158"/>
      <c r="L21" s="1441">
        <f>SUMIFS('#利润建议'!35:35,'#利润建议'!$1:$1,$B$1,'#利润建议'!$2:$2,"&lt;"&amp;$B$2,'#利润建议'!$4:$4,"实际")</f>
        <v>30.695625999999997</v>
      </c>
      <c r="M21" s="1441">
        <f>SUMIFS('#利润建议'!35:35,'#利润建议'!$1:$1,$B$1,'#利润建议'!$2:$2,"&lt;"&amp;$B$2,'#利润建议'!$4:$4,"留存")</f>
        <v>0</v>
      </c>
      <c r="N21" s="1441">
        <f t="shared" si="2"/>
        <v>30.695625999999997</v>
      </c>
      <c r="O21" s="2098"/>
      <c r="P21" s="2098"/>
      <c r="Q21" s="2098"/>
    </row>
    <row r="22" spans="1:17" s="152" customFormat="1">
      <c r="A22" s="1876" t="s">
        <v>113</v>
      </c>
      <c r="B22" s="395">
        <f>SUMIFS('#利润建议'!16:16,'#利润建议'!$1:$1,$D$1,'#利润建议'!$2:$2,$D$2,'#利润建议'!$4:$4,"实际")</f>
        <v>1515.6657270000001</v>
      </c>
      <c r="C22" s="1674">
        <f>SUMIFS('#利润建议'!16:16,'#利润建议'!$1:$1,$D$1,'#利润建议'!$2:$2,$D$2,'#利润建议'!$4:$4,"留存")</f>
        <v>0</v>
      </c>
      <c r="D22" s="395">
        <f t="shared" si="3"/>
        <v>1515.6657270000001</v>
      </c>
      <c r="E22" s="395">
        <f>SUMIFS('@预测#收入利润#'!$M$4:$M$68,'@预测#收入利润#'!$A$4:$A$68,A22)</f>
        <v>3585</v>
      </c>
      <c r="F22" s="1674"/>
      <c r="G22" s="1434">
        <f t="shared" si="4"/>
        <v>3585</v>
      </c>
      <c r="H22" s="1434">
        <f t="shared" ref="H22:J36" si="5">E22+L22</f>
        <v>17793.735399000001</v>
      </c>
      <c r="I22" s="1434">
        <f t="shared" si="5"/>
        <v>0</v>
      </c>
      <c r="J22" s="1434">
        <f t="shared" si="5"/>
        <v>17793.735399000001</v>
      </c>
      <c r="K22" s="158"/>
      <c r="L22" s="1441">
        <f>SUMIFS('#利润建议'!16:16,'#利润建议'!$1:$1,$B$1,'#利润建议'!$2:$2,"&lt;"&amp;$B$2,'#利润建议'!$4:$4,"实际")</f>
        <v>14208.735399000001</v>
      </c>
      <c r="M22" s="1441">
        <f>SUMIFS('#利润建议'!16:16,'#利润建议'!$1:$1,$B$1,'#利润建议'!$2:$2,"&lt;"&amp;$B$2,'#利润建议'!$4:$4,"留存")</f>
        <v>0</v>
      </c>
      <c r="N22" s="1441">
        <f t="shared" si="2"/>
        <v>14208.735399000001</v>
      </c>
      <c r="O22" s="2098"/>
      <c r="P22" s="2098"/>
      <c r="Q22" s="2098"/>
    </row>
    <row r="23" spans="1:17" s="152" customFormat="1" hidden="1">
      <c r="A23" s="1876" t="s">
        <v>124</v>
      </c>
      <c r="B23" s="395">
        <f>SUMIFS('#利润建议'!28:28,'#利润建议'!$1:$1,$D$1,'#利润建议'!$2:$2,$D$2,'#利润建议'!$4:$4,"实际")</f>
        <v>2995.2456000000002</v>
      </c>
      <c r="C23" s="402">
        <f>SUMIFS('#利润建议'!28:28,'#利润建议'!$1:$1,$D$1,'#利润建议'!$2:$2,$D$2,'#利润建议'!$4:$4,"留存")</f>
        <v>0</v>
      </c>
      <c r="D23" s="395">
        <f t="shared" si="3"/>
        <v>2995.2456000000002</v>
      </c>
      <c r="E23" s="395">
        <f>SUMIFS('@预测#收入利润#'!$M$4:$M$68,'@预测#收入利润#'!$A$4:$A$68,A23)</f>
        <v>3894</v>
      </c>
      <c r="F23" s="401"/>
      <c r="G23" s="1434">
        <f t="shared" si="4"/>
        <v>3894</v>
      </c>
      <c r="H23" s="1434">
        <f t="shared" si="5"/>
        <v>25959.030545000001</v>
      </c>
      <c r="I23" s="1434">
        <f t="shared" si="5"/>
        <v>0</v>
      </c>
      <c r="J23" s="1434">
        <f t="shared" si="5"/>
        <v>25959.030545000001</v>
      </c>
      <c r="K23" s="158"/>
      <c r="L23" s="1441">
        <f>SUMIFS('#利润建议'!28:28,'#利润建议'!$1:$1,$B$1,'#利润建议'!$2:$2,"&lt;"&amp;$B$2,'#利润建议'!$4:$4,"实际")</f>
        <v>22065.030545000001</v>
      </c>
      <c r="M23" s="1441">
        <f>SUMIFS('#利润建议'!28:28,'#利润建议'!$1:$1,$B$1,'#利润建议'!$2:$2,"&lt;"&amp;$B$2,'#利润建议'!$4:$4,"留存")</f>
        <v>0</v>
      </c>
      <c r="N23" s="1441">
        <f t="shared" si="2"/>
        <v>22065.030545000001</v>
      </c>
      <c r="O23" s="2098"/>
      <c r="P23" s="2098"/>
      <c r="Q23" s="2098"/>
    </row>
    <row r="24" spans="1:17" s="152" customFormat="1" hidden="1">
      <c r="A24" s="1876" t="s">
        <v>130</v>
      </c>
      <c r="B24" s="395">
        <f>SUMIFS('#利润建议'!32:32,'#利润建议'!$1:$1,$D$1,'#利润建议'!$2:$2,$D$2,'#利润建议'!$4:$4,"实际")</f>
        <v>112.7</v>
      </c>
      <c r="C24" s="402">
        <f>SUMIFS('#利润建议'!32:32,'#利润建议'!$1:$1,$D$1,'#利润建议'!$2:$2,$D$2,'#利润建议'!$4:$4,"留存")</f>
        <v>0</v>
      </c>
      <c r="D24" s="395">
        <f t="shared" si="3"/>
        <v>112.7</v>
      </c>
      <c r="E24" s="395">
        <f>SUMIFS('@预测#收入利润#'!$M$4:$M$68,'@预测#收入利润#'!$A$4:$A$68,A24)</f>
        <v>176</v>
      </c>
      <c r="F24" s="401"/>
      <c r="G24" s="1434">
        <f t="shared" si="4"/>
        <v>176</v>
      </c>
      <c r="H24" s="1434">
        <f t="shared" si="5"/>
        <v>1337.2425489999998</v>
      </c>
      <c r="I24" s="1434">
        <f t="shared" si="5"/>
        <v>0</v>
      </c>
      <c r="J24" s="1434">
        <f t="shared" si="5"/>
        <v>1337.2425489999998</v>
      </c>
      <c r="K24" s="158"/>
      <c r="L24" s="1441">
        <f>SUMIFS('#利润建议'!32:32,'#利润建议'!$1:$1,$B$1,'#利润建议'!$2:$2,"&lt;"&amp;$B$2,'#利润建议'!$4:$4,"实际")</f>
        <v>1161.2425489999998</v>
      </c>
      <c r="M24" s="1441">
        <f>SUMIFS('#利润建议'!32:32,'#利润建议'!$1:$1,$B$1,'#利润建议'!$2:$2,"&lt;"&amp;$B$2,'#利润建议'!$4:$4,"留存")</f>
        <v>0</v>
      </c>
      <c r="N24" s="1441">
        <f t="shared" si="2"/>
        <v>1161.2425489999998</v>
      </c>
      <c r="O24" s="2098"/>
      <c r="P24" s="2098"/>
      <c r="Q24" s="2098"/>
    </row>
    <row r="25" spans="1:17" s="152" customFormat="1" hidden="1">
      <c r="A25" s="1876" t="s">
        <v>132</v>
      </c>
      <c r="B25" s="395">
        <f>SUMIFS('#利润建议'!34:34,'#利润建议'!$1:$1,$D$1,'#利润建议'!$2:$2,$D$2,'#利润建议'!$4:$4,"实际")</f>
        <v>-191.368336</v>
      </c>
      <c r="C25" s="402">
        <f>SUMIFS('#利润建议'!34:34,'#利润建议'!$1:$1,$D$1,'#利润建议'!$2:$2,$D$2,'#利润建议'!$4:$4,"留存")</f>
        <v>0</v>
      </c>
      <c r="D25" s="395">
        <f t="shared" si="3"/>
        <v>-191.368336</v>
      </c>
      <c r="E25" s="395">
        <f>SUMIFS('@预测#收入利润#'!$M$4:$M$68,'@预测#收入利润#'!$A$4:$A$68,A25)</f>
        <v>0</v>
      </c>
      <c r="F25" s="401"/>
      <c r="G25" s="1434">
        <f t="shared" si="4"/>
        <v>0</v>
      </c>
      <c r="H25" s="1434">
        <f t="shared" si="5"/>
        <v>1004.81726</v>
      </c>
      <c r="I25" s="1434">
        <f t="shared" si="5"/>
        <v>0</v>
      </c>
      <c r="J25" s="1434">
        <f t="shared" si="5"/>
        <v>1004.81726</v>
      </c>
      <c r="K25" s="158"/>
      <c r="L25" s="1441">
        <f>SUMIFS('#利润建议'!34:34,'#利润建议'!$1:$1,$B$1,'#利润建议'!$2:$2,"&lt;"&amp;$B$2,'#利润建议'!$4:$4,"实际")</f>
        <v>1004.81726</v>
      </c>
      <c r="M25" s="1441">
        <f>SUMIFS('#利润建议'!34:34,'#利润建议'!$1:$1,$B$1,'#利润建议'!$2:$2,"&lt;"&amp;$B$2,'#利润建议'!$4:$4,"留存")</f>
        <v>0</v>
      </c>
      <c r="N25" s="1441">
        <f t="shared" si="2"/>
        <v>1004.81726</v>
      </c>
      <c r="O25" s="2098"/>
      <c r="P25" s="2098"/>
      <c r="Q25" s="2098"/>
    </row>
    <row r="26" spans="1:17" s="152" customFormat="1" hidden="1">
      <c r="A26" s="1876" t="s">
        <v>123</v>
      </c>
      <c r="B26" s="395">
        <f>SUMIFS('#利润建议'!27:27,'#利润建议'!$1:$1,$D$1,'#利润建议'!$2:$2,$D$2,'#利润建议'!$4:$4,"实际")</f>
        <v>58</v>
      </c>
      <c r="C26" s="402">
        <f>SUMIFS('#利润建议'!27:27,'#利润建议'!$1:$1,$D$1,'#利润建议'!$2:$2,$D$2,'#利润建议'!$4:$4,"留存")</f>
        <v>0</v>
      </c>
      <c r="D26" s="395">
        <f t="shared" si="3"/>
        <v>58</v>
      </c>
      <c r="E26" s="395">
        <f>SUMIFS('@预测#收入利润#'!$M$4:$M$68,'@预测#收入利润#'!$A$4:$A$68,A26)</f>
        <v>-237</v>
      </c>
      <c r="F26" s="401"/>
      <c r="G26" s="1434">
        <f t="shared" si="4"/>
        <v>-237</v>
      </c>
      <c r="H26" s="1434">
        <f t="shared" si="5"/>
        <v>-171.19984599999998</v>
      </c>
      <c r="I26" s="1434">
        <f t="shared" si="5"/>
        <v>0</v>
      </c>
      <c r="J26" s="1434">
        <f t="shared" si="5"/>
        <v>-171.19984599999998</v>
      </c>
      <c r="K26" s="158"/>
      <c r="L26" s="1441">
        <f>SUMIFS('#利润建议'!27:27,'#利润建议'!$1:$1,$B$1,'#利润建议'!$2:$2,"&lt;"&amp;$B$2,'#利润建议'!$4:$4,"实际")</f>
        <v>65.80015400000002</v>
      </c>
      <c r="M26" s="1441">
        <f>SUMIFS('#利润建议'!27:27,'#利润建议'!$1:$1,$B$1,'#利润建议'!$2:$2,"&lt;"&amp;$B$2,'#利润建议'!$4:$4,"留存")</f>
        <v>0</v>
      </c>
      <c r="N26" s="1441">
        <f t="shared" si="2"/>
        <v>65.80015400000002</v>
      </c>
      <c r="O26" s="2098"/>
      <c r="P26" s="2098"/>
      <c r="Q26" s="2098"/>
    </row>
    <row r="27" spans="1:17" s="152" customFormat="1" hidden="1">
      <c r="A27" s="1876" t="s">
        <v>131</v>
      </c>
      <c r="B27" s="395">
        <f>SUMIFS('#利润建议'!33:33,'#利润建议'!$1:$1,$D$1,'#利润建议'!$2:$2,$D$2,'#利润建议'!$4:$4,"实际")</f>
        <v>-101.637</v>
      </c>
      <c r="C27" s="402">
        <f>SUMIFS('#利润建议'!33:33,'#利润建议'!$1:$1,$D$1,'#利润建议'!$2:$2,$D$2,'#利润建议'!$4:$4,"留存")</f>
        <v>0</v>
      </c>
      <c r="D27" s="395">
        <f t="shared" si="3"/>
        <v>-101.637</v>
      </c>
      <c r="E27" s="395">
        <f>SUMIFS('@预测#收入利润#'!$M$4:$M$68,'@预测#收入利润#'!$A$4:$A$68,A27)</f>
        <v>151</v>
      </c>
      <c r="F27" s="401"/>
      <c r="G27" s="1434">
        <f t="shared" si="4"/>
        <v>151</v>
      </c>
      <c r="H27" s="1434">
        <f t="shared" si="5"/>
        <v>305.00336499999997</v>
      </c>
      <c r="I27" s="1434">
        <f t="shared" si="5"/>
        <v>0</v>
      </c>
      <c r="J27" s="1434">
        <f t="shared" si="5"/>
        <v>305.00336499999997</v>
      </c>
      <c r="K27" s="158"/>
      <c r="L27" s="1441">
        <f>SUMIFS('#利润建议'!33:33,'#利润建议'!$1:$1,$B$1,'#利润建议'!$2:$2,"&lt;"&amp;$B$2,'#利润建议'!$4:$4,"实际")</f>
        <v>154.00336499999997</v>
      </c>
      <c r="M27" s="1441">
        <f>SUMIFS('#利润建议'!33:33,'#利润建议'!$1:$1,$B$1,'#利润建议'!$2:$2,"&lt;"&amp;$B$2,'#利润建议'!$4:$4,"留存")</f>
        <v>0</v>
      </c>
      <c r="N27" s="1441">
        <f t="shared" si="2"/>
        <v>154.00336499999997</v>
      </c>
      <c r="O27" s="2098"/>
      <c r="P27" s="2098"/>
      <c r="Q27" s="2098"/>
    </row>
    <row r="28" spans="1:17" s="152" customFormat="1" hidden="1">
      <c r="A28" s="1876" t="s">
        <v>118</v>
      </c>
      <c r="B28" s="395">
        <f>SUMIFS('#利润建议'!21:21,'#利润建议'!$1:$1,$D$1,'#利润建议'!$2:$2,$D$2,'#利润建议'!$4:$4,"实际")</f>
        <v>-185.81</v>
      </c>
      <c r="C28" s="402">
        <f>SUMIFS('#利润建议'!21:21,'#利润建议'!$1:$1,$D$1,'#利润建议'!$2:$2,$D$2,'#利润建议'!$4:$4,"留存")</f>
        <v>0</v>
      </c>
      <c r="D28" s="395">
        <f t="shared" si="3"/>
        <v>-185.81</v>
      </c>
      <c r="E28" s="395">
        <f>SUMIFS('@预测#收入利润#'!$M$4:$M$68,'@预测#收入利润#'!$A$4:$A$68,A28)</f>
        <v>146</v>
      </c>
      <c r="F28" s="401"/>
      <c r="G28" s="1434">
        <f t="shared" si="4"/>
        <v>146</v>
      </c>
      <c r="H28" s="1434">
        <f t="shared" si="5"/>
        <v>546.57826100000011</v>
      </c>
      <c r="I28" s="1434">
        <f t="shared" si="5"/>
        <v>0</v>
      </c>
      <c r="J28" s="1434">
        <f t="shared" si="5"/>
        <v>546.57826100000011</v>
      </c>
      <c r="K28" s="158"/>
      <c r="L28" s="1441">
        <f>SUMIFS('#利润建议'!21:21,'#利润建议'!$1:$1,$B$1,'#利润建议'!$2:$2,"&lt;"&amp;$B$2,'#利润建议'!$4:$4,"实际")</f>
        <v>400.57826100000005</v>
      </c>
      <c r="M28" s="1441">
        <f>SUMIFS('#利润建议'!21:21,'#利润建议'!$1:$1,$B$1,'#利润建议'!$2:$2,"&lt;"&amp;$B$2,'#利润建议'!$4:$4,"留存")</f>
        <v>0</v>
      </c>
      <c r="N28" s="1441">
        <f t="shared" si="2"/>
        <v>400.57826100000005</v>
      </c>
      <c r="O28" s="2098"/>
      <c r="P28" s="2098"/>
      <c r="Q28" s="2098"/>
    </row>
    <row r="29" spans="1:17" s="152" customFormat="1" hidden="1">
      <c r="A29" s="1876" t="s">
        <v>117</v>
      </c>
      <c r="B29" s="395">
        <f>SUMIFS('#利润建议'!20:20,'#利润建议'!$1:$1,$D$1,'#利润建议'!$2:$2,$D$2,'#利润建议'!$4:$4,"实际")</f>
        <v>-210.11</v>
      </c>
      <c r="C29" s="402">
        <f>SUMIFS('#利润建议'!20:20,'#利润建议'!$1:$1,$D$1,'#利润建议'!$2:$2,$D$2,'#利润建议'!$4:$4,"留存")</f>
        <v>0</v>
      </c>
      <c r="D29" s="395">
        <f t="shared" si="3"/>
        <v>-210.11</v>
      </c>
      <c r="E29" s="395">
        <f>SUMIFS('@预测#收入利润#'!$M$4:$M$68,'@预测#收入利润#'!$A$4:$A$68,A29)</f>
        <v>10</v>
      </c>
      <c r="F29" s="401"/>
      <c r="G29" s="1434">
        <f t="shared" si="4"/>
        <v>10</v>
      </c>
      <c r="H29" s="1434">
        <f t="shared" si="5"/>
        <v>191.21561300000002</v>
      </c>
      <c r="I29" s="1434">
        <f t="shared" si="5"/>
        <v>0</v>
      </c>
      <c r="J29" s="1434">
        <f t="shared" si="5"/>
        <v>191.21561300000002</v>
      </c>
      <c r="K29" s="158"/>
      <c r="L29" s="1441">
        <f>SUMIFS('#利润建议'!20:20,'#利润建议'!$1:$1,$B$1,'#利润建议'!$2:$2,"&lt;"&amp;$B$2,'#利润建议'!$4:$4,"实际")</f>
        <v>181.21561300000002</v>
      </c>
      <c r="M29" s="1441">
        <f>SUMIFS('#利润建议'!20:20,'#利润建议'!$1:$1,$B$1,'#利润建议'!$2:$2,"&lt;"&amp;$B$2,'#利润建议'!$4:$4,"留存")</f>
        <v>0</v>
      </c>
      <c r="N29" s="1441">
        <f t="shared" si="2"/>
        <v>181.21561300000002</v>
      </c>
      <c r="O29" s="2098"/>
      <c r="P29" s="2098"/>
      <c r="Q29" s="2098"/>
    </row>
    <row r="30" spans="1:17" s="152" customFormat="1" hidden="1">
      <c r="A30" s="1876" t="s">
        <v>119</v>
      </c>
      <c r="B30" s="395">
        <f>SUMIFS('#利润建议'!22:22,'#利润建议'!$1:$1,$D$1,'#利润建议'!$2:$2,$D$2,'#利润建议'!$4:$4,"实际")</f>
        <v>14</v>
      </c>
      <c r="C30" s="402">
        <f>SUMIFS('#利润建议'!22:22,'#利润建议'!$1:$1,$D$1,'#利润建议'!$2:$2,$D$2,'#利润建议'!$4:$4,"留存")</f>
        <v>0</v>
      </c>
      <c r="D30" s="395">
        <f t="shared" si="3"/>
        <v>14</v>
      </c>
      <c r="E30" s="395">
        <f>SUMIFS('@预测#收入利润#'!$M$4:$M$68,'@预测#收入利润#'!$A$4:$A$68,A30)</f>
        <v>15</v>
      </c>
      <c r="F30" s="401"/>
      <c r="G30" s="1434">
        <f t="shared" si="4"/>
        <v>15</v>
      </c>
      <c r="H30" s="1434">
        <f t="shared" si="5"/>
        <v>289.664264</v>
      </c>
      <c r="I30" s="1434">
        <f t="shared" si="5"/>
        <v>0</v>
      </c>
      <c r="J30" s="1434">
        <f t="shared" si="5"/>
        <v>289.664264</v>
      </c>
      <c r="K30" s="158"/>
      <c r="L30" s="1441">
        <f>SUMIFS('#利润建议'!22:22,'#利润建议'!$1:$1,$B$1,'#利润建议'!$2:$2,"&lt;"&amp;$B$2,'#利润建议'!$4:$4,"实际")</f>
        <v>274.664264</v>
      </c>
      <c r="M30" s="1441">
        <f>SUMIFS('#利润建议'!22:22,'#利润建议'!$1:$1,$B$1,'#利润建议'!$2:$2,"&lt;"&amp;$B$2,'#利润建议'!$4:$4,"留存")</f>
        <v>0</v>
      </c>
      <c r="N30" s="1441">
        <f t="shared" si="2"/>
        <v>274.664264</v>
      </c>
      <c r="O30" s="2098"/>
      <c r="P30" s="2098"/>
      <c r="Q30" s="2098"/>
    </row>
    <row r="31" spans="1:17" s="152" customFormat="1" hidden="1">
      <c r="A31" s="1876" t="s">
        <v>126</v>
      </c>
      <c r="B31" s="395">
        <f>SUMIFS('#利润建议'!30:30,'#利润建议'!$1:$1,$D$1,'#利润建议'!$2:$2,$D$2,'#利润建议'!$4:$4,"实际")</f>
        <v>-467</v>
      </c>
      <c r="C31" s="402">
        <f>SUMIFS('#利润建议'!30:30,'#利润建议'!$1:$1,$D$1,'#利润建议'!$2:$2,$D$2,'#利润建议'!$4:$4,"留存")</f>
        <v>0</v>
      </c>
      <c r="D31" s="395">
        <f t="shared" si="3"/>
        <v>-467</v>
      </c>
      <c r="E31" s="395">
        <f>SUMIFS('@预测#收入利润#'!$M$4:$M$68,'@预测#收入利润#'!$A$4:$A$68,A31)</f>
        <v>460</v>
      </c>
      <c r="F31" s="401"/>
      <c r="G31" s="1434">
        <f t="shared" si="4"/>
        <v>460</v>
      </c>
      <c r="H31" s="1434">
        <f t="shared" si="5"/>
        <v>4556.5110649999997</v>
      </c>
      <c r="I31" s="1434">
        <f t="shared" si="5"/>
        <v>0</v>
      </c>
      <c r="J31" s="1434">
        <f t="shared" si="5"/>
        <v>4556.5110649999997</v>
      </c>
      <c r="K31" s="158"/>
      <c r="L31" s="1441">
        <f>SUMIFS('#利润建议'!30:30,'#利润建议'!$1:$1,$B$1,'#利润建议'!$2:$2,"&lt;"&amp;$B$2,'#利润建议'!$4:$4,"实际")</f>
        <v>4096.5110649999997</v>
      </c>
      <c r="M31" s="1441">
        <f>SUMIFS('#利润建议'!30:30,'#利润建议'!$1:$1,$B$1,'#利润建议'!$2:$2,"&lt;"&amp;$B$2,'#利润建议'!$4:$4,"留存")</f>
        <v>0</v>
      </c>
      <c r="N31" s="1441">
        <f t="shared" si="2"/>
        <v>4096.5110649999997</v>
      </c>
      <c r="O31" s="2098"/>
      <c r="P31" s="2098"/>
      <c r="Q31" s="2098"/>
    </row>
    <row r="32" spans="1:17" s="152" customFormat="1" hidden="1">
      <c r="A32" s="1876" t="s">
        <v>125</v>
      </c>
      <c r="B32" s="395">
        <f>SUMIFS('#利润建议'!29:29,'#利润建议'!$1:$1,$D$1,'#利润建议'!$2:$2,$D$2,'#利润建议'!$4:$4,"实际")</f>
        <v>5.79</v>
      </c>
      <c r="C32" s="402">
        <f>SUMIFS('#利润建议'!29:29,'#利润建议'!$1:$1,$D$1,'#利润建议'!$2:$2,$D$2,'#利润建议'!$4:$4,"留存")</f>
        <v>0</v>
      </c>
      <c r="D32" s="395">
        <f t="shared" si="3"/>
        <v>5.79</v>
      </c>
      <c r="E32" s="395">
        <f>SUMIFS('@预测#收入利润#'!$M$4:$M$68,'@预测#收入利润#'!$A$4:$A$68,A32)</f>
        <v>34.5</v>
      </c>
      <c r="F32" s="401"/>
      <c r="G32" s="1434">
        <f t="shared" si="4"/>
        <v>34.5</v>
      </c>
      <c r="H32" s="1434">
        <f t="shared" si="5"/>
        <v>191.37211599999998</v>
      </c>
      <c r="I32" s="1434">
        <f t="shared" si="5"/>
        <v>0</v>
      </c>
      <c r="J32" s="1434">
        <f t="shared" si="5"/>
        <v>191.37211599999998</v>
      </c>
      <c r="K32" s="158"/>
      <c r="L32" s="1441">
        <f>SUMIFS('#利润建议'!29:29,'#利润建议'!$1:$1,$B$1,'#利润建议'!$2:$2,"&lt;"&amp;$B$2,'#利润建议'!$4:$4,"实际")</f>
        <v>156.87211599999998</v>
      </c>
      <c r="M32" s="1441">
        <f>SUMIFS('#利润建议'!29:29,'#利润建议'!$1:$1,$B$1,'#利润建议'!$2:$2,"&lt;"&amp;$B$2,'#利润建议'!$4:$4,"留存")</f>
        <v>0</v>
      </c>
      <c r="N32" s="1441">
        <f t="shared" si="2"/>
        <v>156.87211599999998</v>
      </c>
      <c r="O32" s="2098"/>
      <c r="P32" s="2098"/>
      <c r="Q32" s="2098"/>
    </row>
    <row r="33" spans="1:17" s="152" customFormat="1" hidden="1">
      <c r="A33" s="1876" t="s">
        <v>115</v>
      </c>
      <c r="B33" s="395">
        <f>SUMIFS('#利润建议'!18:18,'#利润建议'!$1:$1,$D$1,'#利润建议'!$2:$2,$D$2,'#利润建议'!$4:$4,"实际")</f>
        <v>2755.5444600000001</v>
      </c>
      <c r="C33" s="402">
        <f>SUMIFS('#利润建议'!18:18,'#利润建议'!$1:$1,$D$1,'#利润建议'!$2:$2,$D$2,'#利润建议'!$4:$4,"留存")</f>
        <v>0</v>
      </c>
      <c r="D33" s="395">
        <f t="shared" si="3"/>
        <v>2755.5444600000001</v>
      </c>
      <c r="E33" s="395">
        <f>SUMIFS('@预测#收入利润#'!$M$4:$M$68,'@预测#收入利润#'!$A$4:$A$68,A33)</f>
        <v>3036</v>
      </c>
      <c r="F33" s="401"/>
      <c r="G33" s="1434">
        <f t="shared" si="4"/>
        <v>3036</v>
      </c>
      <c r="H33" s="1434">
        <f t="shared" si="5"/>
        <v>23384.593270000001</v>
      </c>
      <c r="I33" s="1434">
        <f t="shared" si="5"/>
        <v>0</v>
      </c>
      <c r="J33" s="1434">
        <f t="shared" si="5"/>
        <v>23384.593270000001</v>
      </c>
      <c r="K33" s="158"/>
      <c r="L33" s="1441">
        <f>SUMIFS('#利润建议'!18:18,'#利润建议'!$1:$1,$B$1,'#利润建议'!$2:$2,"&lt;"&amp;$B$2,'#利润建议'!$4:$4,"实际")</f>
        <v>20348.593270000001</v>
      </c>
      <c r="M33" s="1441">
        <f>SUMIFS('#利润建议'!18:18,'#利润建议'!$1:$1,$B$1,'#利润建议'!$2:$2,"&lt;"&amp;$B$2,'#利润建议'!$4:$4,"留存")</f>
        <v>0</v>
      </c>
      <c r="N33" s="1441">
        <f t="shared" si="2"/>
        <v>20348.593270000001</v>
      </c>
      <c r="O33" s="2098"/>
      <c r="P33" s="2098"/>
      <c r="Q33" s="2098"/>
    </row>
    <row r="34" spans="1:17" s="152" customFormat="1" hidden="1">
      <c r="A34" s="1876" t="s">
        <v>116</v>
      </c>
      <c r="B34" s="395">
        <f>SUMIFS('#利润建议'!19:19,'#利润建议'!$1:$1,$D$1,'#利润建议'!$2:$2,$D$2,'#利润建议'!$4:$4,"实际")</f>
        <v>-276</v>
      </c>
      <c r="C34" s="402">
        <f>SUMIFS('#利润建议'!19:19,'#利润建议'!$1:$1,$D$1,'#利润建议'!$2:$2,$D$2,'#利润建议'!$4:$4,"留存")</f>
        <v>0</v>
      </c>
      <c r="D34" s="395">
        <f t="shared" si="3"/>
        <v>-276</v>
      </c>
      <c r="E34" s="395">
        <f>SUMIFS('@预测#收入利润#'!$M$4:$M$68,'@预测#收入利润#'!$A$4:$A$68,A34)</f>
        <v>-270</v>
      </c>
      <c r="F34" s="401"/>
      <c r="G34" s="1434">
        <f t="shared" si="4"/>
        <v>-270</v>
      </c>
      <c r="H34" s="1434">
        <f t="shared" si="5"/>
        <v>-2299.8095329999996</v>
      </c>
      <c r="I34" s="1434">
        <f t="shared" si="5"/>
        <v>0</v>
      </c>
      <c r="J34" s="1434">
        <f t="shared" si="5"/>
        <v>-2299.8095329999996</v>
      </c>
      <c r="K34" s="158"/>
      <c r="L34" s="1441">
        <f>SUMIFS('#利润建议'!19:19,'#利润建议'!$1:$1,$B$1,'#利润建议'!$2:$2,"&lt;"&amp;$B$2,'#利润建议'!$4:$4,"实际")</f>
        <v>-2029.8095329999999</v>
      </c>
      <c r="M34" s="1441">
        <f>SUMIFS('#利润建议'!19:19,'#利润建议'!$1:$1,$B$1,'#利润建议'!$2:$2,"&lt;"&amp;$B$2,'#利润建议'!$4:$4,"留存")</f>
        <v>0</v>
      </c>
      <c r="N34" s="1441">
        <f t="shared" si="2"/>
        <v>-2029.8095329999999</v>
      </c>
      <c r="O34" s="2098"/>
      <c r="P34" s="2098"/>
      <c r="Q34" s="2098"/>
    </row>
    <row r="35" spans="1:17" s="152" customFormat="1" hidden="1">
      <c r="A35" s="1876" t="s">
        <v>134</v>
      </c>
      <c r="B35" s="395">
        <f>SUMIFS('#利润建议'!36:36,'#利润建议'!$1:$1,$D$1,'#利润建议'!$2:$2,$D$2,'#利润建议'!$4:$4,"实际")</f>
        <v>1.73327899999999</v>
      </c>
      <c r="C35" s="402">
        <f>SUMIFS('#利润建议'!36:36,'#利润建议'!$1:$1,$D$1,'#利润建议'!$2:$2,$D$2,'#利润建议'!$4:$4,"留存")</f>
        <v>0</v>
      </c>
      <c r="D35" s="395">
        <f t="shared" si="3"/>
        <v>1.73327899999999</v>
      </c>
      <c r="E35" s="395">
        <f>SUMIFS('@预测#收入利润#'!$M$4:$M$68,'@预测#收入利润#'!$A$4:$A$68,A35)</f>
        <v>15</v>
      </c>
      <c r="F35" s="401"/>
      <c r="G35" s="1434">
        <f t="shared" si="4"/>
        <v>15</v>
      </c>
      <c r="H35" s="1434">
        <f t="shared" si="5"/>
        <v>196.22421899999998</v>
      </c>
      <c r="I35" s="1434">
        <f t="shared" si="5"/>
        <v>0</v>
      </c>
      <c r="J35" s="1434">
        <f t="shared" si="5"/>
        <v>196.22421899999998</v>
      </c>
      <c r="K35" s="158"/>
      <c r="L35" s="1441">
        <f>SUMIFS('#利润建议'!36:36,'#利润建议'!$1:$1,$B$1,'#利润建议'!$2:$2,"&lt;"&amp;$B$2,'#利润建议'!$4:$4,"实际")</f>
        <v>181.22421899999998</v>
      </c>
      <c r="M35" s="1441">
        <f>SUMIFS('#利润建议'!36:36,'#利润建议'!$1:$1,$B$1,'#利润建议'!$2:$2,"&lt;"&amp;$B$2,'#利润建议'!$4:$4,"留存")</f>
        <v>0</v>
      </c>
      <c r="N35" s="1441">
        <f t="shared" si="2"/>
        <v>181.22421899999998</v>
      </c>
      <c r="O35" s="2098"/>
      <c r="P35" s="2098"/>
      <c r="Q35" s="2098"/>
    </row>
    <row r="36" spans="1:17" s="152" customFormat="1" hidden="1">
      <c r="A36" s="1876" t="s">
        <v>114</v>
      </c>
      <c r="B36" s="395">
        <f>SUMIFS('#利润建议'!17:17,'#利润建议'!$1:$1,$D$1,'#利润建议'!$2:$2,$D$2,'#利润建议'!$4:$4,"实际")</f>
        <v>1096</v>
      </c>
      <c r="C36" s="402">
        <f>SUMIFS('#利润建议'!17:17,'#利润建议'!$1:$1,$D$1,'#利润建议'!$2:$2,$D$2,'#利润建议'!$4:$4,"留存")</f>
        <v>0</v>
      </c>
      <c r="D36" s="395">
        <f t="shared" si="3"/>
        <v>1096</v>
      </c>
      <c r="E36" s="395">
        <f>SUMIFS('@预测#收入利润#'!$M$4:$M$68,'@预测#收入利润#'!$A$4:$A$68,A36)</f>
        <v>-14</v>
      </c>
      <c r="F36" s="94"/>
      <c r="G36" s="1434">
        <f t="shared" si="4"/>
        <v>-14</v>
      </c>
      <c r="H36" s="1434">
        <f t="shared" si="5"/>
        <v>3070.1320850000002</v>
      </c>
      <c r="I36" s="1434">
        <f t="shared" si="5"/>
        <v>0</v>
      </c>
      <c r="J36" s="1434">
        <f t="shared" si="5"/>
        <v>3070.1320850000002</v>
      </c>
      <c r="K36" s="158"/>
      <c r="L36" s="1441">
        <f>SUMIFS('#利润建议'!17:17,'#利润建议'!$1:$1,$B$1,'#利润建议'!$2:$2,"&lt;"&amp;$B$2,'#利润建议'!$4:$4,"实际")</f>
        <v>3084.1320850000002</v>
      </c>
      <c r="M36" s="1441">
        <f>SUMIFS('#利润建议'!17:17,'#利润建议'!$1:$1,$B$1,'#利润建议'!$2:$2,"&lt;"&amp;$B$2,'#利润建议'!$4:$4,"留存")</f>
        <v>0</v>
      </c>
      <c r="N36" s="1441">
        <f t="shared" si="2"/>
        <v>3084.1320850000002</v>
      </c>
      <c r="O36" s="2098"/>
      <c r="P36" s="2098"/>
      <c r="Q36" s="2098"/>
    </row>
    <row r="37" spans="1:17" s="152" customFormat="1" hidden="1">
      <c r="A37" s="1876" t="s">
        <v>135</v>
      </c>
      <c r="B37" s="395">
        <f>SUMIFS('#利润建议'!37:37,'#利润建议'!$1:$1,$D$1,'#利润建议'!$2:$2,$D$2,'#利润建议'!$4:$4,"实际")</f>
        <v>-11.501206</v>
      </c>
      <c r="C37" s="402">
        <f>SUMIFS('#利润建议'!37:37,'#利润建议'!$1:$1,$D$1,'#利润建议'!$2:$2,$D$2,'#利润建议'!$4:$4,"留存")</f>
        <v>0</v>
      </c>
      <c r="D37" s="395">
        <f t="shared" si="3"/>
        <v>-11.501206</v>
      </c>
      <c r="E37" s="395">
        <f>SUMIFS('@预测#收入利润#'!$M$4:$M$68,'@预测#收入利润#'!$A$4:$A$68,A37)</f>
        <v>-12</v>
      </c>
      <c r="F37" s="401"/>
      <c r="G37" s="1434">
        <f t="shared" si="4"/>
        <v>-12</v>
      </c>
      <c r="H37" s="1434">
        <f t="shared" ref="H37:J44" si="6">E37+L37</f>
        <v>-85.98357</v>
      </c>
      <c r="I37" s="1434">
        <f t="shared" si="6"/>
        <v>0</v>
      </c>
      <c r="J37" s="1434">
        <f t="shared" si="6"/>
        <v>-85.98357</v>
      </c>
      <c r="K37" s="158"/>
      <c r="L37" s="1441">
        <f>SUMIFS('#利润建议'!37:37,'#利润建议'!$1:$1,$B$1,'#利润建议'!$2:$2,"&lt;"&amp;$B$2,'#利润建议'!$4:$4,"实际")</f>
        <v>-73.98357</v>
      </c>
      <c r="M37" s="1441">
        <f>SUMIFS('#利润建议'!37:37,'#利润建议'!$1:$1,$B$1,'#利润建议'!$2:$2,"&lt;"&amp;$B$2,'#利润建议'!$4:$4,"留存")</f>
        <v>0</v>
      </c>
      <c r="N37" s="1441">
        <f t="shared" si="2"/>
        <v>-73.98357</v>
      </c>
      <c r="O37" s="2098"/>
      <c r="P37" s="2098"/>
      <c r="Q37" s="2098"/>
    </row>
    <row r="38" spans="1:17" s="152" customFormat="1" hidden="1">
      <c r="A38" s="1876" t="s">
        <v>138</v>
      </c>
      <c r="B38" s="395">
        <f>SUMIFS('#利润建议'!40:40,'#利润建议'!$1:$1,$D$1,'#利润建议'!$2:$2,$D$2,'#利润建议'!$4:$4,"实际")</f>
        <v>0</v>
      </c>
      <c r="C38" s="402">
        <f>SUMIFS('#利润建议'!40:40,'#利润建议'!$1:$1,$D$1,'#利润建议'!$2:$2,$D$2,'#利润建议'!$4:$4,"留存")</f>
        <v>0</v>
      </c>
      <c r="D38" s="395">
        <f t="shared" si="3"/>
        <v>0</v>
      </c>
      <c r="E38" s="395">
        <f>SUMIFS('@预测#收入利润#'!$M$4:$M$68,'@预测#收入利润#'!$A$4:$A$68,A38)</f>
        <v>0</v>
      </c>
      <c r="F38" s="401"/>
      <c r="G38" s="1434">
        <f t="shared" si="4"/>
        <v>0</v>
      </c>
      <c r="H38" s="1434">
        <f t="shared" si="6"/>
        <v>-18.590821000000002</v>
      </c>
      <c r="I38" s="1434">
        <f t="shared" si="6"/>
        <v>0</v>
      </c>
      <c r="J38" s="1434">
        <f t="shared" si="6"/>
        <v>-18.590821000000002</v>
      </c>
      <c r="K38" s="158"/>
      <c r="L38" s="1441">
        <f>SUMIFS('#利润建议'!40:40,'#利润建议'!$1:$1,$B$1,'#利润建议'!$2:$2,"&lt;"&amp;$B$2,'#利润建议'!$4:$4,"实际")</f>
        <v>-18.590821000000002</v>
      </c>
      <c r="M38" s="1441">
        <f>SUMIFS('#利润建议'!40:40,'#利润建议'!$1:$1,$B$1,'#利润建议'!$2:$2,"&lt;"&amp;$B$2,'#利润建议'!$4:$4,"留存")</f>
        <v>0</v>
      </c>
      <c r="N38" s="1441">
        <f t="shared" si="2"/>
        <v>-18.590821000000002</v>
      </c>
      <c r="O38" s="2098"/>
      <c r="P38" s="2098"/>
      <c r="Q38" s="2098"/>
    </row>
    <row r="39" spans="1:17" s="152" customFormat="1" hidden="1">
      <c r="A39" s="1876" t="s">
        <v>139</v>
      </c>
      <c r="B39" s="395">
        <f>SUMIFS('#利润建议'!41:41,'#利润建议'!$1:$1,$D$1,'#利润建议'!$2:$2,$D$2,'#利润建议'!$4:$4,"实际")</f>
        <v>-17</v>
      </c>
      <c r="C39" s="402">
        <f>SUMIFS('#利润建议'!41:41,'#利润建议'!$1:$1,$D$1,'#利润建议'!$2:$2,$D$2,'#利润建议'!$4:$4,"留存")</f>
        <v>0</v>
      </c>
      <c r="D39" s="395">
        <f t="shared" si="3"/>
        <v>-17</v>
      </c>
      <c r="E39" s="395">
        <f>SUMIFS('@预测#收入利润#'!$M$4:$M$68,'@预测#收入利润#'!$A$4:$A$68,A39)</f>
        <v>-17</v>
      </c>
      <c r="F39" s="401"/>
      <c r="G39" s="1434">
        <f t="shared" si="4"/>
        <v>-17</v>
      </c>
      <c r="H39" s="1434">
        <f t="shared" si="6"/>
        <v>-124.83697699999999</v>
      </c>
      <c r="I39" s="1434">
        <f t="shared" si="6"/>
        <v>0</v>
      </c>
      <c r="J39" s="1434">
        <f t="shared" si="6"/>
        <v>-124.83697699999999</v>
      </c>
      <c r="K39" s="158"/>
      <c r="L39" s="1441">
        <f>SUMIFS('#利润建议'!41:41,'#利润建议'!$1:$1,$B$1,'#利润建议'!$2:$2,"&lt;"&amp;$B$2,'#利润建议'!$4:$4,"实际")</f>
        <v>-107.83697699999999</v>
      </c>
      <c r="M39" s="1441">
        <f>SUMIFS('#利润建议'!41:41,'#利润建议'!$1:$1,$B$1,'#利润建议'!$2:$2,"&lt;"&amp;$B$2,'#利润建议'!$4:$4,"留存")</f>
        <v>0</v>
      </c>
      <c r="N39" s="1441">
        <f t="shared" si="2"/>
        <v>-107.83697699999999</v>
      </c>
      <c r="O39" s="2098"/>
      <c r="P39" s="2098"/>
      <c r="Q39" s="2098"/>
    </row>
    <row r="40" spans="1:17" s="152" customFormat="1" hidden="1">
      <c r="A40" s="1876" t="s">
        <v>140</v>
      </c>
      <c r="B40" s="395">
        <f>SUMIFS('#利润建议'!42:42,'#利润建议'!$1:$1,$D$1,'#利润建议'!$2:$2,$D$2,'#利润建议'!$4:$4,"实际")</f>
        <v>-8</v>
      </c>
      <c r="C40" s="402">
        <f>SUMIFS('#利润建议'!42:42,'#利润建议'!$1:$1,$D$1,'#利润建议'!$2:$2,$D$2,'#利润建议'!$4:$4,"留存")</f>
        <v>0</v>
      </c>
      <c r="D40" s="395">
        <f t="shared" si="3"/>
        <v>-8</v>
      </c>
      <c r="E40" s="395">
        <f>SUMIFS('@预测#收入利润#'!$M$4:$M$68,'@预测#收入利润#'!$A$4:$A$68,A40)</f>
        <v>-8</v>
      </c>
      <c r="F40" s="401"/>
      <c r="G40" s="1434">
        <f t="shared" si="4"/>
        <v>-8</v>
      </c>
      <c r="H40" s="1434">
        <f t="shared" si="6"/>
        <v>-59.090268999999999</v>
      </c>
      <c r="I40" s="1434">
        <f t="shared" si="6"/>
        <v>0</v>
      </c>
      <c r="J40" s="1434">
        <f t="shared" si="6"/>
        <v>-59.090268999999999</v>
      </c>
      <c r="K40" s="158"/>
      <c r="L40" s="1441">
        <f>SUMIFS('#利润建议'!42:42,'#利润建议'!$1:$1,$B$1,'#利润建议'!$2:$2,"&lt;"&amp;$B$2,'#利润建议'!$4:$4,"实际")</f>
        <v>-51.090268999999999</v>
      </c>
      <c r="M40" s="1441">
        <f>SUMIFS('#利润建议'!42:42,'#利润建议'!$1:$1,$B$1,'#利润建议'!$2:$2,"&lt;"&amp;$B$2,'#利润建议'!$4:$4,"留存")</f>
        <v>0</v>
      </c>
      <c r="N40" s="1441">
        <f t="shared" si="2"/>
        <v>-51.090268999999999</v>
      </c>
      <c r="O40" s="2098"/>
      <c r="P40" s="2098"/>
      <c r="Q40" s="2098"/>
    </row>
    <row r="41" spans="1:17" s="152" customFormat="1" hidden="1">
      <c r="A41" s="1876" t="s">
        <v>136</v>
      </c>
      <c r="B41" s="395">
        <f>SUMIFS('#利润建议'!38:38,'#利润建议'!$1:$1,$D$1,'#利润建议'!$2:$2,$D$2,'#利润建议'!$4:$4,"实际")</f>
        <v>-1.22</v>
      </c>
      <c r="C41" s="402">
        <f>SUMIFS('#利润建议'!38:38,'#利润建议'!$1:$1,$D$1,'#利润建议'!$2:$2,$D$2,'#利润建议'!$4:$4,"留存")</f>
        <v>0</v>
      </c>
      <c r="D41" s="395">
        <f t="shared" si="3"/>
        <v>-1.22</v>
      </c>
      <c r="E41" s="395">
        <f>SUMIFS('@预测#收入利润#'!$M$4:$M$68,'@预测#收入利润#'!$A$4:$A$68,A41)</f>
        <v>-1</v>
      </c>
      <c r="F41" s="401"/>
      <c r="G41" s="1434">
        <f t="shared" si="4"/>
        <v>-1</v>
      </c>
      <c r="H41" s="1434">
        <f t="shared" si="6"/>
        <v>-10.553311000000001</v>
      </c>
      <c r="I41" s="1434">
        <f t="shared" si="6"/>
        <v>0</v>
      </c>
      <c r="J41" s="1434">
        <f t="shared" si="6"/>
        <v>-10.553311000000001</v>
      </c>
      <c r="K41" s="158"/>
      <c r="L41" s="1441">
        <f>SUMIFS('#利润建议'!38:38,'#利润建议'!$1:$1,$B$1,'#利润建议'!$2:$2,"&lt;"&amp;$B$2,'#利润建议'!$4:$4,"实际")</f>
        <v>-9.5533110000000008</v>
      </c>
      <c r="M41" s="1441">
        <f>SUMIFS('#利润建议'!38:38,'#利润建议'!$1:$1,$B$1,'#利润建议'!$2:$2,"&lt;"&amp;$B$2,'#利润建议'!$4:$4,"留存")</f>
        <v>0</v>
      </c>
      <c r="N41" s="1441">
        <f t="shared" si="2"/>
        <v>-9.5533110000000008</v>
      </c>
      <c r="O41" s="2098"/>
      <c r="P41" s="2098"/>
      <c r="Q41" s="2098"/>
    </row>
    <row r="42" spans="1:17" s="152" customFormat="1" hidden="1">
      <c r="A42" s="1876" t="s">
        <v>137</v>
      </c>
      <c r="B42" s="395">
        <f>SUMIFS('#利润建议'!39:39,'#利润建议'!$1:$1,$D$1,'#利润建议'!$2:$2,$D$2,'#利润建议'!$4:$4,"实际")</f>
        <v>0</v>
      </c>
      <c r="C42" s="402">
        <f>SUMIFS('#利润建议'!39:39,'#利润建议'!$1:$1,$D$1,'#利润建议'!$2:$2,$D$2,'#利润建议'!$4:$4,"留存")</f>
        <v>0</v>
      </c>
      <c r="D42" s="395">
        <f t="shared" si="3"/>
        <v>0</v>
      </c>
      <c r="E42" s="395">
        <f>SUMIFS('@预测#收入利润#'!$M$4:$M$68,'@预测#收入利润#'!$A$4:$A$68,A42)</f>
        <v>0</v>
      </c>
      <c r="F42" s="401"/>
      <c r="G42" s="1434">
        <f t="shared" si="4"/>
        <v>0</v>
      </c>
      <c r="H42" s="1434">
        <f t="shared" si="6"/>
        <v>0</v>
      </c>
      <c r="I42" s="1434">
        <f t="shared" si="6"/>
        <v>0</v>
      </c>
      <c r="J42" s="1434">
        <f t="shared" si="6"/>
        <v>0</v>
      </c>
      <c r="K42" s="158"/>
      <c r="L42" s="1441">
        <f>SUMIFS('#利润建议'!39:39,'#利润建议'!$1:$1,$B$1,'#利润建议'!$2:$2,"&lt;"&amp;$B$2,'#利润建议'!$4:$4,"实际")</f>
        <v>0</v>
      </c>
      <c r="M42" s="1441">
        <f>SUMIFS('#利润建议'!39:39,'#利润建议'!$1:$1,$B$1,'#利润建议'!$2:$2,"&lt;"&amp;$B$2,'#利润建议'!$4:$4,"留存")</f>
        <v>0</v>
      </c>
      <c r="N42" s="1441">
        <f t="shared" si="2"/>
        <v>0</v>
      </c>
      <c r="O42" s="2098"/>
      <c r="P42" s="2098"/>
      <c r="Q42" s="2098"/>
    </row>
    <row r="43" spans="1:17" s="152" customFormat="1">
      <c r="A43" s="1879" t="s">
        <v>141</v>
      </c>
      <c r="B43" s="395">
        <f>B6-B7-SUBTOTAL(109,B12:B42)-B44</f>
        <v>6405.9917580000474</v>
      </c>
      <c r="C43" s="395">
        <f>SUMIFS('#利润建议'!43:43,'#利润建议'!$1:$1,$D$1,'#利润建议'!$2:$2,$D$2,'#利润建议'!$4:$4,"留存")</f>
        <v>0</v>
      </c>
      <c r="D43" s="395">
        <f>D6-D7-SUBTOTAL(109,D12:D42)-D44</f>
        <v>6405.9917580000474</v>
      </c>
      <c r="E43" s="395">
        <f>E6-E7-SUBTOTAL(109,E12:E42)-E44</f>
        <v>8136.4999999999873</v>
      </c>
      <c r="F43" s="395">
        <f t="shared" ref="F43:J43" si="7">F6-F7-SUBTOTAL(109,F12:F42)-F44</f>
        <v>0</v>
      </c>
      <c r="G43" s="395">
        <f t="shared" si="7"/>
        <v>8136.4999999999727</v>
      </c>
      <c r="H43" s="395">
        <f t="shared" si="7"/>
        <v>65580.075660000002</v>
      </c>
      <c r="I43" s="395">
        <f t="shared" si="7"/>
        <v>0</v>
      </c>
      <c r="J43" s="395">
        <f t="shared" si="7"/>
        <v>65580.075659999769</v>
      </c>
      <c r="K43" s="158"/>
      <c r="L43" s="1441">
        <f>L6-L7-SUBTOTAL(109,L12:L42)-L44</f>
        <v>57443.575659999929</v>
      </c>
      <c r="M43" s="1441">
        <f>M6-M7-SUBTOTAL(109,M12:M42)</f>
        <v>0</v>
      </c>
      <c r="N43" s="1441">
        <f>N6-N7-SUBTOTAL(109,N12:N42)-N44</f>
        <v>57443.575659999813</v>
      </c>
      <c r="O43" s="2098"/>
      <c r="P43" s="2098"/>
      <c r="Q43" s="2098"/>
    </row>
    <row r="44" spans="1:17" s="152" customFormat="1">
      <c r="A44" s="1436" t="s">
        <v>164</v>
      </c>
      <c r="B44" s="1437">
        <f>B45+B47+B46+B48</f>
        <v>-1512</v>
      </c>
      <c r="C44" s="1438"/>
      <c r="D44" s="1437">
        <f>B44-C44</f>
        <v>-1512</v>
      </c>
      <c r="E44" s="1437">
        <f>E45+E46+E47+E48</f>
        <v>-1431.0450000000001</v>
      </c>
      <c r="F44" s="1437"/>
      <c r="G44" s="1437">
        <f>E44-F44</f>
        <v>-1431.0450000000001</v>
      </c>
      <c r="H44" s="1437">
        <f t="shared" si="6"/>
        <v>-85350.505883400008</v>
      </c>
      <c r="I44" s="1437"/>
      <c r="J44" s="1437">
        <f>H44-I44</f>
        <v>-85350.505883400008</v>
      </c>
      <c r="K44" s="158"/>
      <c r="L44" s="1441">
        <f>L45+L46+L48+L47</f>
        <v>-83919.46088340001</v>
      </c>
      <c r="M44" s="1441">
        <f>M45+M46+M48</f>
        <v>0</v>
      </c>
      <c r="N44" s="1441">
        <f>N45+N46+N48+N47</f>
        <v>-83919.46088340001</v>
      </c>
      <c r="O44" s="2098"/>
      <c r="P44" s="2098"/>
      <c r="Q44" s="2098"/>
    </row>
    <row r="45" spans="1:17" ht="13.5">
      <c r="A45" s="377" t="s">
        <v>143</v>
      </c>
      <c r="B45" s="378">
        <f>SUMIFS('#利润建议'!45:45,'#利润建议'!$1:$1,$D$1,'#利润建议'!$2:$2,$D$2,'#利润建议'!$4:$4,"实际")</f>
        <v>-1101</v>
      </c>
      <c r="E45" s="378">
        <f>SUMIFS('@预测#收入利润#'!$M$4:$M$68,'@预测#收入利润#'!$A$4:$A$68,A45)</f>
        <v>-1431.0450000000001</v>
      </c>
      <c r="K45" s="158"/>
      <c r="L45" s="1442">
        <f>SUMIFS('#利润建议'!45:45,'#利润建议'!$1:$1,$B$1,'#利润建议'!$2:$2,"&lt;"&amp;$B$2,'#利润建议'!$4:$4,"实际")</f>
        <v>-8137.1809112000001</v>
      </c>
      <c r="M45" s="1442">
        <f>SUMIFS('#利润建议'!45:45,'#利润建议'!$1:$1,$B$1,'#利润建议'!$2:$2,"&lt;"&amp;$B$2,'#利润建议'!$4:$4,"留存")</f>
        <v>0</v>
      </c>
      <c r="N45" s="1442">
        <f t="shared" si="2"/>
        <v>-8137.1809112000001</v>
      </c>
      <c r="O45" s="2098"/>
      <c r="P45" s="2098"/>
      <c r="Q45" s="2098"/>
    </row>
    <row r="46" spans="1:17" ht="13.5">
      <c r="A46" s="377" t="s">
        <v>144</v>
      </c>
      <c r="B46" s="378">
        <f>SUMIFS('#利润建议'!46:46,'#利润建议'!$1:$1,$D$1,'#利润建议'!$2:$2,$D$2,'#利润建议'!$4:$4,"实际")</f>
        <v>0</v>
      </c>
      <c r="E46" s="378">
        <f>SUMIFS('@预测#收入利润#'!$M$4:$M$68,'@预测#收入利润#'!$A$4:$A$68,A46)</f>
        <v>0</v>
      </c>
      <c r="K46" s="158">
        <f>E46-'@预测#经营利润#'!E46</f>
        <v>0</v>
      </c>
      <c r="L46" s="1442">
        <f>SUMIFS('#利润建议'!46:46,'#利润建议'!$1:$1,$B$1,'#利润建议'!$2:$2,"&lt;"&amp;$B$2,'#利润建议'!$4:$4,"实际")</f>
        <v>698.53254800000002</v>
      </c>
      <c r="M46" s="1442">
        <f>SUMIFS('#利润建议'!46:46,'#利润建议'!$1:$1,$B$1,'#利润建议'!$2:$2,"&lt;"&amp;$B$2,'#利润建议'!$4:$4,"留存")</f>
        <v>0</v>
      </c>
      <c r="N46" s="1442">
        <f t="shared" si="2"/>
        <v>698.53254800000002</v>
      </c>
      <c r="O46" s="2098"/>
      <c r="P46" s="2098"/>
      <c r="Q46" s="2098"/>
    </row>
    <row r="47" spans="1:17" ht="13.5">
      <c r="A47" s="377" t="s">
        <v>145</v>
      </c>
      <c r="B47" s="378">
        <f>SUMIFS('#利润建议'!47:47,'#利润建议'!$1:$1,$D$1,'#利润建议'!$2:$2,$D$2,'#利润建议'!$4:$4,"实际")</f>
        <v>0</v>
      </c>
      <c r="E47" s="378">
        <f>SUMIFS('@预测#收入利润#'!$M$4:$M$68,'@预测#收入利润#'!$A$4:$A$68,A47)</f>
        <v>0</v>
      </c>
      <c r="K47" s="158">
        <f>E47-'@预测#经营利润#'!E47</f>
        <v>0</v>
      </c>
      <c r="L47" s="1442">
        <f>SUMIFS('#利润建议'!47:47,'#利润建议'!$1:$1,$B$1,'#利润建议'!$2:$2,"&lt;"&amp;$B$2,'#利润建议'!$4:$4,"实际")</f>
        <v>-76069.812520200008</v>
      </c>
      <c r="M47" s="1442">
        <f>SUMIFS('#利润建议'!47:47,'#利润建议'!$1:$1,$B$1,'#利润建议'!$2:$2,"&lt;"&amp;$B$2,'#利润建议'!$4:$4,"留存")</f>
        <v>0</v>
      </c>
      <c r="N47" s="1442">
        <f t="shared" si="2"/>
        <v>-76069.812520200008</v>
      </c>
      <c r="O47" s="2098"/>
      <c r="P47" s="2098"/>
      <c r="Q47" s="2098"/>
    </row>
    <row r="48" spans="1:17" ht="13.5">
      <c r="A48" s="377" t="s">
        <v>146</v>
      </c>
      <c r="B48" s="378">
        <f>SUMIFS('#利润建议'!48:48,'#利润建议'!$1:$1,$D$1,'#利润建议'!$2:$2,$D$2,'#利润建议'!$4:$4,"实际")</f>
        <v>-411</v>
      </c>
      <c r="E48" s="378">
        <f>SUMIFS('@预测#收入利润#'!$M$4:$M$68,'@预测#收入利润#'!$A$4:$A$68,A48)</f>
        <v>0</v>
      </c>
      <c r="K48" s="158">
        <f>E48-'@预测#经营利润#'!E48</f>
        <v>0</v>
      </c>
      <c r="L48" s="1442">
        <f>SUMIFS('#利润建议'!48:48,'#利润建议'!$1:$1,$B$1,'#利润建议'!$2:$2,"&lt;"&amp;$B$2,'#利润建议'!$4:$4,"实际")</f>
        <v>-411</v>
      </c>
      <c r="M48" s="1442">
        <f>SUMIFS('#利润建议'!48:48,'#利润建议'!$1:$1,$B$1,'#利润建议'!$2:$2,"&lt;"&amp;$B$2,'#利润建议'!$4:$4,"留存")</f>
        <v>0</v>
      </c>
      <c r="N48" s="1442">
        <f t="shared" si="2"/>
        <v>-411</v>
      </c>
      <c r="O48" s="2098"/>
      <c r="P48" s="2098"/>
      <c r="Q48" s="2098"/>
    </row>
    <row r="49" spans="1:17">
      <c r="A49" s="1880" t="s">
        <v>1237</v>
      </c>
      <c r="B49" s="1870">
        <f>SUMIFS('#利润建议'!49:49,'#利润建议'!$1:$1,$D$1,'#利润建议'!$2:$2,$D$2,'#利润建议'!$4:$4,"实际")</f>
        <v>-4419.5829999999996</v>
      </c>
      <c r="C49" s="1883">
        <v>0</v>
      </c>
      <c r="D49" s="1884">
        <f>B49+C49</f>
        <v>-4419.5829999999996</v>
      </c>
      <c r="E49" s="1870">
        <f>'@预测#经营利润#'!E49</f>
        <v>1028</v>
      </c>
      <c r="F49" s="1883">
        <v>0</v>
      </c>
      <c r="G49" s="1884">
        <f>E49+F49</f>
        <v>1028</v>
      </c>
      <c r="H49" s="1885">
        <f>E49+L49</f>
        <v>2706.2854389999857</v>
      </c>
      <c r="I49" s="1883">
        <v>0</v>
      </c>
      <c r="J49" s="1884">
        <f>H49+I49</f>
        <v>2706.2854389999857</v>
      </c>
      <c r="K49" s="158">
        <f>E49-'@预测#经营利润#'!E49</f>
        <v>0</v>
      </c>
      <c r="L49" s="1875">
        <f>SUMIFS('#利润建议'!49:49,'#利润建议'!$1:$1,$B$1,'#利润建议'!$2:$2,"&lt;"&amp;$B$2,'#利润建议'!$4:$4,"实际")</f>
        <v>1678.2854389999857</v>
      </c>
      <c r="M49" s="1875">
        <f>SUMIFS('#利润建议'!16:16,'#利润建议'!$1:$1,$B$1,'#利润建议'!$2:$2,"&lt;"&amp;$B$2,'#利润建议'!$4:$4,"留存")</f>
        <v>0</v>
      </c>
      <c r="N49" s="1441">
        <f t="shared" si="2"/>
        <v>1678.2854389999857</v>
      </c>
      <c r="O49" s="2098"/>
      <c r="P49" s="2098"/>
      <c r="Q49" s="2098"/>
    </row>
    <row r="50" spans="1:17">
      <c r="A50" s="1880" t="s">
        <v>1238</v>
      </c>
      <c r="B50" s="1870">
        <f>SUMIFS('#利润建议'!50:50,'#利润建议'!$1:$1,$D$1,'#利润建议'!$2:$2,$D$2,'#利润建议'!$4:$4,"实际")</f>
        <v>3526</v>
      </c>
      <c r="C50" s="1883">
        <v>0</v>
      </c>
      <c r="D50" s="1884">
        <f>B50+C50</f>
        <v>3526</v>
      </c>
      <c r="E50" s="1870">
        <f>'@预测#经营利润#'!E50</f>
        <v>2000</v>
      </c>
      <c r="F50" s="1883">
        <v>0</v>
      </c>
      <c r="G50" s="1884">
        <f>E50+F50</f>
        <v>2000</v>
      </c>
      <c r="H50" s="1885">
        <f>E50+L50</f>
        <v>27582.53181</v>
      </c>
      <c r="I50" s="1883">
        <v>0</v>
      </c>
      <c r="J50" s="1884">
        <f>H50+I50</f>
        <v>27582.53181</v>
      </c>
      <c r="K50" s="158">
        <f>E50-'@预测#经营利润#'!E50</f>
        <v>0</v>
      </c>
      <c r="L50" s="1875">
        <f>SUMIFS('#利润建议'!50:50,'#利润建议'!$1:$1,$B$1,'#利润建议'!$2:$2,"&lt;"&amp;$B$2,'#利润建议'!$4:$4,"实际")</f>
        <v>25582.53181</v>
      </c>
      <c r="M50" s="1875">
        <f>SUMIFS('#利润建议'!16:16,'#利润建议'!$1:$1,$B$1,'#利润建议'!$2:$2,"&lt;"&amp;$B$2,'#利润建议'!$4:$4,"留存")</f>
        <v>0</v>
      </c>
      <c r="N50" s="1441">
        <f t="shared" si="2"/>
        <v>25582.53181</v>
      </c>
      <c r="O50" s="2098"/>
      <c r="P50" s="2098"/>
      <c r="Q50" s="2098"/>
    </row>
    <row r="51" spans="1:17">
      <c r="A51"/>
      <c r="B51"/>
      <c r="C51"/>
      <c r="D51"/>
      <c r="E51"/>
      <c r="F51"/>
      <c r="G51"/>
      <c r="H51"/>
      <c r="I51"/>
      <c r="J51"/>
      <c r="K51" s="158"/>
      <c r="L51" s="1875"/>
      <c r="M51" s="1875"/>
      <c r="N51" s="2241"/>
      <c r="O51" s="2098"/>
      <c r="P51" s="2098"/>
      <c r="Q51" s="2098"/>
    </row>
    <row r="52" spans="1:17" ht="13.5">
      <c r="A52" s="154" t="s">
        <v>1424</v>
      </c>
      <c r="E52" s="413" t="s">
        <v>1426</v>
      </c>
      <c r="G52" s="413" t="s">
        <v>1386</v>
      </c>
      <c r="H52" s="413" t="s">
        <v>1133</v>
      </c>
      <c r="J52" s="413" t="s">
        <v>1144</v>
      </c>
      <c r="K52" s="158" t="s">
        <v>1428</v>
      </c>
      <c r="L52" s="1875"/>
      <c r="M52" s="1875"/>
      <c r="N52" s="2241"/>
      <c r="O52" s="2098"/>
      <c r="P52" s="2098"/>
      <c r="Q52" s="2098"/>
    </row>
    <row r="53" spans="1:17">
      <c r="A53" s="154" t="s">
        <v>1244</v>
      </c>
      <c r="B53"/>
      <c r="C53"/>
      <c r="D53"/>
      <c r="E53" s="158">
        <f>SUMIFS('利润（汇总）'!51:51,'利润（汇总）'!$1:$1,$B$1-1,'利润（汇总）'!$2:$2,$B$2)</f>
        <v>42619.222419999998</v>
      </c>
      <c r="F53" s="413" t="str">
        <f>IF(G53&gt;=0,"增加","减少")</f>
        <v>增加</v>
      </c>
      <c r="G53" s="156">
        <f>G6-E53</f>
        <v>119187.50636146151</v>
      </c>
      <c r="H53" s="158">
        <f>SUMIFS('利润（汇总）'!51:51,'利润（汇总）'!$1:$1,$B$1-1,'利润（汇总）'!$2:$2,"&lt;="&amp;$B$2)</f>
        <v>209547.73396000001</v>
      </c>
      <c r="I53" s="413" t="str">
        <f>IF(J53&gt;=0,"增加","减少")</f>
        <v>增加</v>
      </c>
      <c r="J53" s="156">
        <f>J6-H53</f>
        <v>1178555.1688406314</v>
      </c>
      <c r="K53" s="157">
        <f>J53/H53</f>
        <v>5.6242801893796788</v>
      </c>
      <c r="L53" s="1875"/>
      <c r="M53" s="1875"/>
      <c r="N53" s="2241"/>
      <c r="O53" s="2098"/>
      <c r="P53" s="2098"/>
      <c r="Q53" s="2098"/>
    </row>
    <row r="54" spans="1:17">
      <c r="A54" s="154" t="s">
        <v>1130</v>
      </c>
      <c r="B54"/>
      <c r="C54"/>
      <c r="D54"/>
      <c r="E54" s="158">
        <f>SUMIFS('利润（汇总）'!52:52,'利润（汇总）'!$1:$1,$B$1-1,'利润（汇总）'!$2:$2,$B$2)</f>
        <v>24004.710056</v>
      </c>
      <c r="F54" s="413" t="str">
        <f>IF(G54&gt;=0,"增加","减少")</f>
        <v>增加</v>
      </c>
      <c r="G54" s="156">
        <f>G12-E54</f>
        <v>24456.289944</v>
      </c>
      <c r="H54" s="158">
        <f>SUMIFS('利润（汇总）'!52:52,'利润（汇总）'!$1:$1,$B$1-1,'利润（汇总）'!$2:$2,"&lt;="&amp;$B$2)</f>
        <v>87890.489140999998</v>
      </c>
      <c r="I54" s="413" t="str">
        <f>IF(J54&gt;=0,"增加","减少")</f>
        <v>增加</v>
      </c>
      <c r="J54" s="156">
        <f>J12-H54</f>
        <v>596046.51085900003</v>
      </c>
      <c r="K54" s="157">
        <f t="shared" ref="K54:K56" si="8">J54/H54</f>
        <v>6.7816952287383563</v>
      </c>
      <c r="L54" s="1875"/>
      <c r="M54" s="1875"/>
      <c r="N54" s="2241"/>
      <c r="O54" s="2098"/>
      <c r="P54" s="2098"/>
      <c r="Q54" s="2098"/>
    </row>
    <row r="55" spans="1:17">
      <c r="A55" s="2240" t="s">
        <v>1199</v>
      </c>
      <c r="B55"/>
      <c r="C55"/>
      <c r="D55"/>
      <c r="E55" s="158">
        <f>SUMIFS('利润（汇总）'!53:53,'利润（汇总）'!$1:$1,$B$1-1,'利润（汇总）'!$2:$2,$B$2)</f>
        <v>5485.7366670000001</v>
      </c>
      <c r="F55" s="413" t="str">
        <f>IF(G55&gt;=0,"增加","减少")</f>
        <v>增加</v>
      </c>
      <c r="G55" s="156">
        <f>G7-E55</f>
        <v>34230.019652923082</v>
      </c>
      <c r="H55" s="158">
        <f>SUMIFS('利润（汇总）'!53:53,'利润（汇总）'!$1:$1,$B$1-1,'利润（汇总）'!$2:$2,"&lt;="&amp;$B$2)</f>
        <v>59102.339591999997</v>
      </c>
      <c r="I55" s="413" t="str">
        <f>IF(J55&gt;=0,"增加","减少")</f>
        <v>增加</v>
      </c>
      <c r="J55" s="156">
        <f>J7-H55</f>
        <v>225105.93123349309</v>
      </c>
      <c r="K55" s="157">
        <f t="shared" si="8"/>
        <v>3.8087482287073975</v>
      </c>
      <c r="L55" s="1875"/>
      <c r="M55" s="1875"/>
      <c r="N55" s="2241"/>
      <c r="O55" s="2098"/>
      <c r="P55" s="2098"/>
      <c r="Q55" s="2098"/>
    </row>
    <row r="56" spans="1:17">
      <c r="A56" s="2240" t="s">
        <v>1427</v>
      </c>
      <c r="B56"/>
      <c r="C56"/>
      <c r="D56"/>
      <c r="E56" s="158">
        <f>E53+SUMIFS('利润（汇总）'!8:8,'利润（汇总）'!$1:$1,$B$1-1,'利润（汇总）'!$2:$2,$B$2)+SUMIFS('利润（汇总）'!9:9,'利润（汇总）'!$1:$1,$B$1-1,'利润（汇总）'!$2:$2,$B$2)</f>
        <v>42051.817091000012</v>
      </c>
      <c r="F56" s="413" t="str">
        <f>IF(G56&gt;=0,"增加","减少")</f>
        <v>增加</v>
      </c>
      <c r="G56" s="156">
        <f>G5-E56</f>
        <v>122782.91169046151</v>
      </c>
      <c r="H56" s="158">
        <f>H53+SUMIFS('利润（汇总）'!8:8,'利润（汇总）'!$1:$1,$B$1-1,'利润（汇总）'!$2:$2,"&lt;="&amp;$B$2)+SUMIFS('利润（汇总）'!9:9,'利润（汇总）'!$1:$1,$B$1-1,'利润（汇总）'!$2:$2,"&lt;="&amp;$B$2)</f>
        <v>157068.85513800001</v>
      </c>
      <c r="I56" s="413" t="str">
        <f>IF(J56&gt;=0,"增加","减少")</f>
        <v>增加</v>
      </c>
      <c r="J56" s="156">
        <f>J5-H56</f>
        <v>1261322.8649116314</v>
      </c>
      <c r="K56" s="157">
        <f t="shared" si="8"/>
        <v>8.0303817316516284</v>
      </c>
      <c r="L56" s="1875"/>
      <c r="M56" s="1875"/>
      <c r="N56" s="2241"/>
      <c r="O56" s="2098"/>
      <c r="P56" s="2098"/>
      <c r="Q56" s="2098"/>
    </row>
    <row r="57" spans="1:17" ht="31.5" customHeight="1">
      <c r="A57"/>
      <c r="B57"/>
      <c r="C57"/>
      <c r="D57"/>
      <c r="E57" s="2653" t="str">
        <f>$E$52&amp;$A$5&amp;"汇总利润"&amp;ROUND($E$5/10000,2)&amp;"亿元，其中太钢本部"&amp;ROUND($E$6/10000,2)&amp;"亿元，建议："&amp;IF(F6=0,"",IF(F6&gt;0,A53&amp;"当月留存"&amp;ABS(ROUND(F6/10000,2))&amp;"亿元，",A53&amp;"使用前期留存"&amp;ABS(ROUND(F6/10000,2))&amp;"亿元，"))&amp;"按照"&amp;ROUND(G6/10000,2)&amp;"亿元报出，"&amp;$G$52&amp;ROUND(E53/10000,2)&amp;"亿元"&amp;F53&amp;ABS(ROUND(G53/10000,2))&amp;"亿元，"&amp;$H$52&amp;ROUND(J6/10000,2)&amp;"亿元，"&amp;$G$52&amp;ROUND(H53/10000,2)&amp;"亿元"&amp;I53&amp;ABS(ROUND(J53/10000,2))&amp;"亿元，"&amp;IF(K53&gt;=0,"增幅","降幅")&amp;ABS(ROUND(J53/H53*100,2))&amp;"%。"&amp;$A$5&amp;"按照"&amp;ROUND(G5/10000,2)&amp;"亿元报出。"</f>
        <v>本月太钢集团（管理口径）汇总利润19.48亿元，其中太钢本部19.18亿元，建议：太钢本部当月留存3亿元，按照16.18亿元报出，比同期4.26亿元增加11.92亿元，累计138.81亿元，比同期20.95亿元增加117.86亿元，增幅562.43%。太钢集团（管理口径）按照16.48亿元报出。</v>
      </c>
      <c r="F57" s="2653"/>
      <c r="G57" s="2653"/>
      <c r="H57" s="2653"/>
      <c r="I57" s="2653"/>
      <c r="J57" s="2653"/>
      <c r="K57" s="2653"/>
      <c r="L57" s="2653"/>
      <c r="M57" s="2653"/>
      <c r="N57" s="2241"/>
      <c r="O57" s="2098"/>
      <c r="P57" s="2098"/>
      <c r="Q57" s="2098"/>
    </row>
    <row r="58" spans="1:17">
      <c r="A58"/>
      <c r="B58"/>
      <c r="C58"/>
      <c r="D58"/>
      <c r="E58" t="str">
        <f>"（1）"&amp;$E$52&amp;A55&amp;"汇总利润"&amp;ROUND(E7/10000,2)&amp;"亿元，建议："&amp;IF(F7=0,"",IF(F7&gt;0,"当月留存"&amp;ABS(ROUND(F7/10000,2))&amp;"亿元，","使用前期留存"&amp;ABS(ROUND(F7/10000,2))&amp;"亿元，"))&amp;"当月按照"&amp;ROUND(G7/10000,2)&amp;"亿元报出，"&amp;G52&amp;ROUND(E55/10000,2)&amp;"亿元"&amp;F55&amp;ABS(ROUND(G55/10000,2))&amp;"亿元，"&amp;$H$52&amp;ROUND(J7/10000,2)&amp;"亿元，"&amp;$G$52&amp;ROUND(H55/10000,2)&amp;"亿元"&amp;I55&amp;ABS(ROUND(J55/10000,2))&amp;"亿元。"</f>
        <v>（1）本月母公司汇总利润3.97亿元，建议：当月按照3.97亿元报出，比同期0.55亿元增加3.42亿元，累计28.42亿元，比同期5.91亿元增加22.51亿元。</v>
      </c>
      <c r="F58"/>
      <c r="G58"/>
      <c r="H58"/>
      <c r="I58"/>
      <c r="J58"/>
      <c r="K58" s="158"/>
      <c r="L58" s="1875"/>
      <c r="M58" s="1875"/>
      <c r="N58" s="2241"/>
      <c r="O58" s="2098"/>
      <c r="P58" s="2098"/>
      <c r="Q58" s="2098"/>
    </row>
    <row r="59" spans="1:17">
      <c r="A59"/>
      <c r="B59"/>
      <c r="C59"/>
      <c r="D59"/>
      <c r="E59" t="str">
        <f>"（2）"&amp;$E$52&amp;A54&amp;"汇总利润"&amp;ROUND(E12/10000,2)&amp;"亿元，建议："&amp;IF(F12=0,"",IF(F12&gt;0,"当月留存"&amp;ABS(ROUND(F12/10000,2))&amp;"亿元，","使用前期留存"&amp;ABS(ROUND(F12/10000,2))&amp;"亿元，"))&amp;"当月按照"&amp;ROUND(G12/10000,2)&amp;"亿元报出。"&amp;G52&amp;ROUND(E54/10000,2)&amp;"亿元"&amp;F54&amp;ABS(ROUND(G54/10000,2))&amp;"亿元。"&amp;IF(G54&gt;=0,"增幅","降幅")&amp;ABS(ROUND(G54/E54*100,2))&amp;"%，"&amp;$H$52&amp;ROUND(J12/10000,2)&amp;"亿元，"&amp;$G$52&amp;ROUND(H54/10000,2)&amp;"亿元"&amp;I54&amp;ABS(ROUND(J54/10000,2))&amp;"亿元，"&amp;IF(J54&gt;=0,"增幅","降幅")&amp;ABS(ROUND(J54/H54*100,2))&amp;"%。"</f>
        <v>（2）本月太钢不锈汇总利润7.85亿元，建议：当月留存3亿元，当月按照4.85亿元报出。比同期2.4亿元增加2.45亿元。增幅101.88%，累计68.39亿元，比同期8.79亿元增加59.6亿元，增幅678.17%。</v>
      </c>
      <c r="F59"/>
      <c r="G59"/>
      <c r="H59"/>
      <c r="I59"/>
      <c r="J59"/>
      <c r="K59" s="158"/>
      <c r="L59" s="1875"/>
      <c r="M59" s="1875"/>
      <c r="N59" s="2241"/>
      <c r="O59" s="2098"/>
      <c r="P59" s="2098"/>
      <c r="Q59" s="2098"/>
    </row>
    <row r="60" spans="1:17">
      <c r="A60"/>
      <c r="B60"/>
      <c r="C60"/>
      <c r="D60"/>
      <c r="E60"/>
      <c r="F60"/>
      <c r="G60"/>
      <c r="H60"/>
      <c r="I60"/>
      <c r="J60"/>
      <c r="K60" s="158"/>
      <c r="L60" s="1875"/>
      <c r="M60" s="1875"/>
      <c r="N60" s="2241"/>
      <c r="O60" s="2098"/>
      <c r="P60" s="2098"/>
      <c r="Q60" s="2098"/>
    </row>
    <row r="61" spans="1:17">
      <c r="A61"/>
      <c r="B61"/>
      <c r="C61"/>
      <c r="D61"/>
      <c r="E61"/>
      <c r="F61"/>
      <c r="G61"/>
      <c r="H61"/>
      <c r="I61"/>
      <c r="J61"/>
      <c r="K61" s="158"/>
      <c r="L61" s="1875"/>
      <c r="M61" s="1875"/>
      <c r="N61" s="2241"/>
      <c r="O61" s="2098"/>
      <c r="P61" s="2098"/>
      <c r="Q61" s="2098"/>
    </row>
    <row r="62" spans="1:17">
      <c r="A62"/>
      <c r="B62"/>
      <c r="C62"/>
      <c r="D62"/>
      <c r="E62"/>
      <c r="F62"/>
      <c r="G62"/>
      <c r="H62"/>
      <c r="I62"/>
      <c r="J62"/>
      <c r="K62" s="158"/>
      <c r="L62" s="1875"/>
      <c r="M62" s="1875"/>
      <c r="N62" s="2241"/>
      <c r="O62" s="2098"/>
      <c r="P62" s="2098"/>
      <c r="Q62" s="2098"/>
    </row>
    <row r="63" spans="1:17">
      <c r="A63"/>
      <c r="B63"/>
      <c r="C63"/>
      <c r="D63"/>
      <c r="E63"/>
      <c r="F63"/>
      <c r="G63"/>
      <c r="H63"/>
      <c r="I63"/>
      <c r="J63"/>
      <c r="K63" s="158"/>
      <c r="L63" s="1875"/>
      <c r="M63" s="1875"/>
      <c r="N63" s="2241"/>
      <c r="O63" s="2098"/>
      <c r="P63" s="2098"/>
      <c r="Q63" s="2098"/>
    </row>
    <row r="64" spans="1:17">
      <c r="A64"/>
      <c r="B64"/>
      <c r="C64"/>
      <c r="D64"/>
      <c r="E64"/>
      <c r="F64"/>
      <c r="G64"/>
      <c r="H64"/>
      <c r="I64"/>
      <c r="J64"/>
      <c r="K64" s="158"/>
      <c r="L64" s="1875"/>
      <c r="M64" s="1875"/>
      <c r="N64" s="2241"/>
      <c r="O64" s="2098"/>
      <c r="P64" s="2098"/>
      <c r="Q64" s="2098"/>
    </row>
    <row r="65" spans="1:17">
      <c r="A65"/>
      <c r="B65"/>
      <c r="C65"/>
      <c r="D65"/>
      <c r="E65"/>
      <c r="F65"/>
      <c r="G65"/>
      <c r="H65"/>
      <c r="I65"/>
      <c r="J65"/>
      <c r="K65" s="158"/>
      <c r="L65" s="1875"/>
      <c r="M65" s="1875"/>
      <c r="N65" s="2241"/>
      <c r="O65" s="2098"/>
      <c r="P65" s="2098"/>
      <c r="Q65" s="2098"/>
    </row>
    <row r="66" spans="1:17">
      <c r="A66"/>
      <c r="B66"/>
      <c r="C66"/>
      <c r="D66"/>
      <c r="E66"/>
      <c r="F66"/>
      <c r="G66"/>
      <c r="H66"/>
      <c r="I66"/>
      <c r="J66"/>
      <c r="K66" s="158"/>
      <c r="L66" s="1875"/>
      <c r="M66" s="1875"/>
      <c r="N66" s="2241"/>
      <c r="O66" s="2098"/>
      <c r="P66" s="2098"/>
      <c r="Q66" s="2098"/>
    </row>
    <row r="67" spans="1:17">
      <c r="A67"/>
      <c r="B67"/>
      <c r="C67"/>
      <c r="D67"/>
      <c r="E67"/>
      <c r="F67"/>
      <c r="G67"/>
      <c r="H67"/>
      <c r="I67"/>
      <c r="J67"/>
      <c r="K67" s="158"/>
      <c r="L67" s="1875"/>
      <c r="M67" s="1875"/>
      <c r="N67" s="2241"/>
      <c r="O67" s="2098"/>
      <c r="P67" s="2098"/>
      <c r="Q67" s="2098"/>
    </row>
    <row r="68" spans="1:17">
      <c r="A68"/>
      <c r="B68"/>
      <c r="C68"/>
      <c r="D68"/>
      <c r="E68"/>
      <c r="F68"/>
      <c r="G68"/>
      <c r="H68"/>
      <c r="I68"/>
      <c r="J68"/>
      <c r="K68" s="158"/>
      <c r="L68" s="1875"/>
      <c r="M68" s="1875"/>
      <c r="N68" s="2241"/>
      <c r="O68" s="2098"/>
      <c r="P68" s="2098"/>
      <c r="Q68" s="2098"/>
    </row>
    <row r="69" spans="1:17">
      <c r="A69"/>
      <c r="B69"/>
      <c r="C69"/>
      <c r="D69"/>
      <c r="E69"/>
      <c r="F69"/>
      <c r="G69"/>
      <c r="H69"/>
      <c r="I69"/>
      <c r="J69"/>
      <c r="K69" s="158"/>
      <c r="L69" s="1875"/>
      <c r="M69" s="1875"/>
      <c r="N69" s="2241"/>
      <c r="O69" s="2098"/>
      <c r="P69" s="2098"/>
      <c r="Q69" s="2098"/>
    </row>
    <row r="70" spans="1:17">
      <c r="A70"/>
      <c r="B70"/>
      <c r="C70"/>
      <c r="D70"/>
      <c r="E70"/>
      <c r="F70"/>
      <c r="G70"/>
      <c r="H70"/>
      <c r="I70"/>
      <c r="J70"/>
      <c r="K70" s="158"/>
      <c r="L70" s="1875"/>
      <c r="M70" s="1875"/>
      <c r="N70" s="2241"/>
      <c r="O70" s="2098"/>
      <c r="P70" s="2098"/>
      <c r="Q70" s="2098"/>
    </row>
    <row r="71" spans="1:17">
      <c r="A71"/>
      <c r="B71"/>
      <c r="C71"/>
      <c r="D71"/>
      <c r="E71"/>
      <c r="F71"/>
      <c r="G71"/>
      <c r="H71"/>
      <c r="I71"/>
      <c r="J71"/>
      <c r="K71" s="158"/>
      <c r="L71" s="1875"/>
      <c r="M71" s="1875"/>
      <c r="N71" s="2241"/>
      <c r="O71" s="2098"/>
      <c r="P71" s="2098"/>
      <c r="Q71" s="2098"/>
    </row>
    <row r="72" spans="1:17">
      <c r="A72"/>
      <c r="B72"/>
      <c r="C72"/>
      <c r="D72"/>
      <c r="E72"/>
      <c r="F72"/>
      <c r="G72"/>
      <c r="H72"/>
      <c r="I72"/>
      <c r="J72"/>
      <c r="K72" s="158"/>
      <c r="L72" s="1875"/>
      <c r="M72" s="1875"/>
      <c r="N72" s="2241"/>
      <c r="O72" s="2098"/>
      <c r="P72" s="2098"/>
      <c r="Q72" s="2098"/>
    </row>
    <row r="73" spans="1:17">
      <c r="A73"/>
      <c r="B73"/>
      <c r="C73"/>
      <c r="D73"/>
      <c r="E73"/>
      <c r="F73"/>
      <c r="G73"/>
      <c r="H73"/>
      <c r="I73"/>
      <c r="J73"/>
      <c r="K73" s="158"/>
      <c r="L73" s="1875"/>
      <c r="M73" s="1875"/>
      <c r="N73" s="2241"/>
      <c r="O73" s="2098"/>
      <c r="P73" s="2098"/>
      <c r="Q73" s="2098"/>
    </row>
    <row r="74" spans="1:17">
      <c r="A74"/>
      <c r="B74"/>
      <c r="C74"/>
      <c r="D74"/>
      <c r="E74"/>
      <c r="F74"/>
      <c r="G74"/>
      <c r="H74"/>
      <c r="I74"/>
      <c r="J74"/>
      <c r="K74" s="158"/>
      <c r="L74" s="1875"/>
      <c r="M74" s="1875"/>
      <c r="N74" s="2241"/>
      <c r="O74" s="2098"/>
      <c r="P74" s="2098"/>
      <c r="Q74" s="2098"/>
    </row>
    <row r="75" spans="1:17">
      <c r="A75"/>
      <c r="B75"/>
      <c r="C75"/>
      <c r="D75"/>
      <c r="E75"/>
      <c r="F75"/>
      <c r="G75"/>
      <c r="H75"/>
      <c r="I75"/>
      <c r="J75"/>
      <c r="K75" s="158"/>
      <c r="L75" s="1875"/>
      <c r="M75" s="1875"/>
      <c r="N75" s="2241"/>
      <c r="O75" s="2098"/>
      <c r="P75" s="2098"/>
      <c r="Q75" s="2098"/>
    </row>
    <row r="76" spans="1:17">
      <c r="A76"/>
      <c r="B76"/>
      <c r="C76"/>
      <c r="D76"/>
      <c r="E76"/>
      <c r="F76"/>
      <c r="G76"/>
      <c r="H76"/>
      <c r="I76"/>
      <c r="J76"/>
      <c r="K76" s="158"/>
      <c r="L76" s="1875"/>
      <c r="M76" s="1875"/>
      <c r="N76" s="2241"/>
      <c r="O76" s="2098"/>
      <c r="P76" s="2098"/>
      <c r="Q76" s="2098"/>
    </row>
    <row r="77" spans="1:17">
      <c r="A77"/>
      <c r="B77"/>
      <c r="C77"/>
      <c r="D77"/>
      <c r="E77"/>
      <c r="F77"/>
      <c r="G77"/>
      <c r="H77"/>
      <c r="I77"/>
      <c r="J77"/>
      <c r="K77" s="158"/>
      <c r="L77" s="1875"/>
      <c r="M77" s="1875"/>
      <c r="N77" s="2241"/>
      <c r="O77" s="2098"/>
      <c r="P77" s="2098"/>
      <c r="Q77" s="2098"/>
    </row>
    <row r="78" spans="1:17">
      <c r="A78"/>
      <c r="B78"/>
      <c r="C78"/>
      <c r="D78"/>
      <c r="E78"/>
      <c r="F78"/>
      <c r="G78"/>
      <c r="H78"/>
      <c r="I78"/>
      <c r="J78"/>
      <c r="K78" s="158"/>
      <c r="L78" s="1875"/>
      <c r="M78" s="1875"/>
      <c r="N78" s="2241"/>
      <c r="O78" s="2098"/>
      <c r="P78" s="2098"/>
      <c r="Q78" s="2098"/>
    </row>
    <row r="79" spans="1:17">
      <c r="A79"/>
      <c r="B79"/>
      <c r="C79"/>
      <c r="D79"/>
      <c r="E79"/>
      <c r="F79"/>
      <c r="G79"/>
      <c r="H79"/>
      <c r="I79"/>
      <c r="J79"/>
      <c r="K79" s="158"/>
      <c r="L79" s="1875"/>
      <c r="M79" s="1875"/>
      <c r="N79" s="2241"/>
      <c r="O79" s="2098"/>
      <c r="P79" s="2098"/>
      <c r="Q79" s="2098"/>
    </row>
    <row r="80" spans="1:17">
      <c r="A80"/>
      <c r="B80"/>
      <c r="C80"/>
      <c r="D80"/>
      <c r="E80"/>
      <c r="F80"/>
      <c r="G80"/>
      <c r="H80"/>
      <c r="I80"/>
      <c r="J80"/>
      <c r="K80" s="158"/>
      <c r="L80" s="1875"/>
      <c r="M80" s="1875"/>
      <c r="N80" s="2241"/>
      <c r="O80" s="2098"/>
      <c r="P80" s="2098"/>
      <c r="Q80" s="2098"/>
    </row>
    <row r="81" spans="1:17">
      <c r="A81"/>
      <c r="B81"/>
      <c r="C81"/>
      <c r="D81"/>
      <c r="E81"/>
      <c r="F81"/>
      <c r="G81"/>
      <c r="H81"/>
      <c r="I81"/>
      <c r="J81"/>
      <c r="K81" s="158"/>
      <c r="L81" s="1875"/>
      <c r="M81" s="1875"/>
      <c r="N81" s="2241"/>
      <c r="O81" s="2098"/>
      <c r="P81" s="2098"/>
      <c r="Q81" s="2098"/>
    </row>
    <row r="82" spans="1:17">
      <c r="A82"/>
      <c r="B82"/>
      <c r="C82"/>
      <c r="D82"/>
      <c r="E82"/>
      <c r="F82"/>
      <c r="G82"/>
      <c r="H82"/>
      <c r="I82"/>
      <c r="J82"/>
      <c r="K82" s="158"/>
      <c r="L82" s="1875"/>
      <c r="M82" s="1875"/>
      <c r="N82" s="2241"/>
      <c r="O82" s="2098"/>
      <c r="P82" s="2098"/>
      <c r="Q82" s="2098"/>
    </row>
    <row r="83" spans="1:17">
      <c r="A83"/>
      <c r="B83"/>
      <c r="C83"/>
      <c r="D83"/>
      <c r="E83"/>
      <c r="F83"/>
      <c r="G83"/>
      <c r="H83"/>
      <c r="I83"/>
      <c r="J83"/>
      <c r="K83" s="158"/>
      <c r="L83" s="1875"/>
      <c r="M83" s="1875"/>
      <c r="N83" s="2241"/>
      <c r="O83" s="2098"/>
      <c r="P83" s="2098"/>
      <c r="Q83" s="2098"/>
    </row>
    <row r="84" spans="1:17">
      <c r="A84" s="377"/>
      <c r="B84" s="378"/>
      <c r="E84" s="378"/>
      <c r="L84" s="1445"/>
      <c r="M84" s="1445"/>
      <c r="N84" s="1445"/>
    </row>
    <row r="85" spans="1:17">
      <c r="A85" s="377"/>
      <c r="B85" s="378"/>
      <c r="E85" s="154" t="s">
        <v>1134</v>
      </c>
      <c r="G85" s="154" t="s">
        <v>1133</v>
      </c>
      <c r="L85" s="1445"/>
      <c r="M85" s="1445"/>
      <c r="N85" s="1445"/>
    </row>
    <row r="86" spans="1:17">
      <c r="A86" s="377"/>
      <c r="B86" s="378"/>
      <c r="D86" s="154" t="s">
        <v>1132</v>
      </c>
      <c r="E86" s="162">
        <f>G12/10000</f>
        <v>4.8460999999999999</v>
      </c>
      <c r="F86" s="154">
        <f>E86-D12/10000</f>
        <v>-5.6480999999999995</v>
      </c>
      <c r="G86" s="154">
        <f>J12/10000</f>
        <v>68.393699999999995</v>
      </c>
      <c r="L86" s="1445"/>
      <c r="M86" s="1445"/>
      <c r="N86" s="1445"/>
    </row>
    <row r="87" spans="1:17">
      <c r="A87" s="377"/>
      <c r="B87" s="378"/>
      <c r="D87" s="154" t="s">
        <v>165</v>
      </c>
      <c r="E87" s="1529">
        <f>E98/100000000</f>
        <v>8.7792999999999996E-4</v>
      </c>
      <c r="F87" s="162">
        <f>E86-E87</f>
        <v>4.8452220700000002</v>
      </c>
      <c r="H87" s="1440">
        <f>F87/E87</f>
        <v>5518.9161664369603</v>
      </c>
      <c r="L87" s="1445"/>
      <c r="M87" s="1445"/>
      <c r="N87" s="1445"/>
    </row>
    <row r="88" spans="1:17">
      <c r="A88" s="377"/>
      <c r="B88" s="378"/>
      <c r="D88" s="154" t="s">
        <v>166</v>
      </c>
      <c r="E88" s="1529">
        <f>E99/100000000</f>
        <v>20.928653844399999</v>
      </c>
      <c r="F88" s="162">
        <f>G86-E88</f>
        <v>47.465046155599993</v>
      </c>
      <c r="H88" s="1440">
        <f>F88/E88</f>
        <v>2.2679454927436953</v>
      </c>
      <c r="L88" s="1445"/>
      <c r="M88" s="1445"/>
      <c r="N88" s="1445"/>
    </row>
    <row r="89" spans="1:17">
      <c r="A89" s="377"/>
      <c r="B89" s="378"/>
      <c r="E89" s="154">
        <f>ROUND(G7/10000,2)</f>
        <v>3.97</v>
      </c>
      <c r="F89" s="154">
        <f>ROUND(E89-D7/10000,2)</f>
        <v>0.27</v>
      </c>
      <c r="L89" s="1445"/>
      <c r="M89" s="1445"/>
      <c r="N89" s="1445"/>
    </row>
    <row r="90" spans="1:17">
      <c r="A90" s="377"/>
      <c r="B90" s="378"/>
      <c r="D90" s="154" t="s">
        <v>1098</v>
      </c>
      <c r="E90" s="1529">
        <f>E100/100000000</f>
        <v>2.8755684145</v>
      </c>
      <c r="F90" s="162">
        <f>G90-E90</f>
        <v>25.5444315855</v>
      </c>
      <c r="G90" s="154">
        <f>ROUND(J7/10000,2)</f>
        <v>28.42</v>
      </c>
      <c r="H90" s="154">
        <f>G7/10000-E90</f>
        <v>1.0960072174923079</v>
      </c>
      <c r="L90" s="1445"/>
      <c r="M90" s="1445"/>
      <c r="N90" s="1445"/>
    </row>
    <row r="91" spans="1:17">
      <c r="A91" s="377"/>
      <c r="B91" s="378"/>
      <c r="D91" s="154" t="s">
        <v>1099</v>
      </c>
      <c r="E91" s="1529">
        <f>E101/100000000</f>
        <v>10.0130467781</v>
      </c>
      <c r="F91" s="162">
        <f>G90-E91</f>
        <v>18.406953221900004</v>
      </c>
      <c r="L91" s="1445"/>
      <c r="M91" s="1445"/>
      <c r="N91" s="1445"/>
    </row>
    <row r="92" spans="1:17">
      <c r="A92" s="377"/>
      <c r="B92" s="378"/>
      <c r="E92" s="378"/>
      <c r="L92" s="1445"/>
      <c r="M92" s="1445"/>
      <c r="N92" s="1445"/>
    </row>
    <row r="93" spans="1:17">
      <c r="A93" s="377"/>
      <c r="B93" s="378"/>
      <c r="E93" s="162">
        <f>E6/10000</f>
        <v>19.180672878146151</v>
      </c>
      <c r="G93" s="162">
        <f>G6/10000</f>
        <v>16.180672878146151</v>
      </c>
      <c r="J93" s="157">
        <f>J6/10000</f>
        <v>138.81029028006316</v>
      </c>
      <c r="L93" s="1445"/>
      <c r="M93" s="1445"/>
      <c r="N93" s="1445"/>
    </row>
    <row r="94" spans="1:17">
      <c r="A94" s="377"/>
      <c r="B94" s="378"/>
      <c r="D94" s="154" t="s">
        <v>7</v>
      </c>
      <c r="G94" s="157">
        <f>(G6-D6)/10000</f>
        <v>-5.725289434394857</v>
      </c>
      <c r="L94" s="1445"/>
      <c r="M94" s="1445"/>
      <c r="N94" s="1445"/>
    </row>
    <row r="95" spans="1:17">
      <c r="A95" s="377"/>
      <c r="B95" s="378"/>
      <c r="D95" s="154" t="s">
        <v>167</v>
      </c>
      <c r="E95" s="157">
        <f>SUMIFS('利润（汇总）'!51:51,'利润（汇总）'!1:1,B1-1,'利润（汇总）'!2:2,B2)/10000</f>
        <v>4.2619222419999998</v>
      </c>
      <c r="F95" s="154" t="s">
        <v>168</v>
      </c>
      <c r="G95" s="1446">
        <f>G93-E95</f>
        <v>11.91875063614615</v>
      </c>
      <c r="H95" s="1447">
        <f>G95/E95</f>
        <v>2.7965668915050448</v>
      </c>
      <c r="L95" s="1445"/>
      <c r="M95" s="1445"/>
      <c r="N95" s="1445"/>
    </row>
    <row r="96" spans="1:17">
      <c r="A96" s="377"/>
      <c r="B96" s="378"/>
      <c r="D96" s="154" t="s">
        <v>169</v>
      </c>
      <c r="E96" s="160">
        <f>SUMIFS('利润（汇总）'!51:51,'利润（汇总）'!1:1,B1-1,'利润（汇总）'!2:2,"&lt;="&amp;B2)/10000</f>
        <v>20.954773396</v>
      </c>
      <c r="F96" s="154" t="s">
        <v>170</v>
      </c>
      <c r="G96" s="162">
        <f>J6/10000-E96</f>
        <v>117.85551688406315</v>
      </c>
      <c r="H96" s="1447">
        <f>G96/E96</f>
        <v>5.6242801893796797</v>
      </c>
      <c r="L96" s="1445"/>
      <c r="M96" s="1445"/>
      <c r="N96" s="1445"/>
    </row>
    <row r="98" spans="4:11">
      <c r="D98" s="154" t="s">
        <v>165</v>
      </c>
      <c r="E98" s="1641">
        <f>SUMIFS('利润（汇总）'!7:7,'利润（汇总）'!1:1,'@预测#利润建议# '!$D$1,'利润（汇总）'!2:2,'@预测#利润建议# '!$B$2)</f>
        <v>87793</v>
      </c>
    </row>
    <row r="99" spans="4:11">
      <c r="D99" s="154" t="s">
        <v>166</v>
      </c>
      <c r="E99" s="1641">
        <f>2092777591.44+E98</f>
        <v>2092865384.4400001</v>
      </c>
      <c r="F99" s="1672"/>
    </row>
    <row r="100" spans="4:11">
      <c r="D100" s="154" t="s">
        <v>1098</v>
      </c>
      <c r="E100" s="1641">
        <v>287556841.44999999</v>
      </c>
    </row>
    <row r="101" spans="4:11">
      <c r="D101" s="154" t="s">
        <v>1099</v>
      </c>
      <c r="E101" s="1528">
        <f>713747836.36+E100</f>
        <v>1001304677.8099999</v>
      </c>
      <c r="F101" s="1652"/>
    </row>
    <row r="103" spans="4:11">
      <c r="D103" s="377" t="str">
        <f>"本月集团公司汇总利润"&amp;ABS(ROUND(E6/10000,2))&amp;"亿元，建议："</f>
        <v>本月集团公司汇总利润19.18亿元，建议：</v>
      </c>
      <c r="K103" s="154" t="str">
        <f>D103&amp;D104&amp;D105</f>
        <v>本月集团公司汇总利润19.18亿元，建议：当月按照16.18亿元报出，比上月减少5.73亿元，比同期4.26亿元增加11.92亿元，增幅279.66%。累计138.81亿元，比同期20.95亿元增加117.86亿元，增幅562.43%。</v>
      </c>
    </row>
    <row r="104" spans="4:11">
      <c r="D104" s="745" t="str">
        <f>"当月按照"&amp;ABS(ROUND(G93,2))&amp;"亿元报出，比上月"&amp;IF(G94&gt;=0,"增加","减少")&amp;ABS(ROUND(G94,2))&amp;"亿元，比同期"&amp;ABS(ROUND(E95,2))&amp;"亿元"&amp;IF(G95&gt;=0,"增加","减少")&amp;ABS(ROUND(G95,2))&amp;"亿元，"&amp;IF(H95&gt;=0,"增幅","降幅")&amp;ABS(ROUND(H95*100,2))&amp;"%。"</f>
        <v>当月按照16.18亿元报出，比上月减少5.73亿元，比同期4.26亿元增加11.92亿元，增幅279.66%。</v>
      </c>
    </row>
    <row r="105" spans="4:11">
      <c r="D105" s="745" t="str">
        <f>"累计"&amp;ABS(ROUND(J93,2))&amp;"亿元，比同期"&amp;ABS(ROUND(E96,2))&amp;"亿元"&amp;IF(G96&gt;=0,"增加","减少")&amp;ABS(ROUND(G96,2))&amp;"亿元，"&amp;IF(H96&gt;=0,"增幅","降幅")&amp;ABS(ROUND(H96*100,2))&amp;"%。"</f>
        <v>累计138.81亿元，比同期20.95亿元增加117.86亿元，增幅562.43%。</v>
      </c>
    </row>
    <row r="106" spans="4:11">
      <c r="D106" s="377" t="str">
        <f>"累计留存"&amp;ABS(ROUND(I6/10000,2))&amp;"亿元。"</f>
        <v>累计留存8.96亿元。</v>
      </c>
    </row>
    <row r="108" spans="4:11">
      <c r="D108" s="377" t="str">
        <f>"（1）本月母公司汇总利润"&amp;ABS(ROUND(E7/10000,2))&amp;"亿元，建议："</f>
        <v>（1）本月母公司汇总利润3.97亿元，建议：</v>
      </c>
      <c r="K108" s="154" t="str">
        <f>D108&amp;D109&amp;D110</f>
        <v>（1）本月母公司汇总利润3.97亿元，建议：当月按照3.97亿元报出，比上月增加0.27亿元，比同期2.88亿元增加1.1亿元。累计28.42亿元，比同期10.01亿元增加18.41亿元。</v>
      </c>
    </row>
    <row r="109" spans="4:11">
      <c r="D109" s="745" t="str">
        <f>"当月按照"&amp;(ROUND(E89,2)&amp;"亿元报出，比上月"&amp;IF(F89&gt;=0,"增加","减少")&amp;ABS(ROUND(F89,2))&amp;"亿元，比同期"&amp;ABS(ROUND(E90,2))&amp;"亿元"&amp;IF(H90&gt;=0,"增加","减少")&amp;ABS(ROUND(H90,2))&amp;"亿元。")</f>
        <v>当月按照3.97亿元报出，比上月增加0.27亿元，比同期2.88亿元增加1.1亿元。</v>
      </c>
    </row>
    <row r="110" spans="4:11">
      <c r="D110" s="745" t="str">
        <f>"累计"&amp;ABS(ROUND(G90,2))&amp;"亿元，比同期"&amp;ABS(ROUND(E91,2))&amp;"亿元"&amp;IF(F91&gt;=0,"增加","减少")&amp;ABS(ROUND(F91,2))&amp;"亿元。"</f>
        <v>累计28.42亿元，比同期10.01亿元增加18.41亿元。</v>
      </c>
    </row>
    <row r="111" spans="4:11">
      <c r="D111" s="377" t="str">
        <f>"累计留存"&amp;ABS(ROUND(I6/10000,2))&amp;"亿元。"</f>
        <v>累计留存8.96亿元。</v>
      </c>
    </row>
    <row r="113" spans="4:17">
      <c r="D113" s="154" t="str">
        <f>"（2）本月太钢不锈汇总利润"&amp;ABS(ROUND(E12/10000,2))&amp;"亿元，建议："</f>
        <v>（2）本月太钢不锈汇总利润7.85亿元，建议：</v>
      </c>
      <c r="K113" s="154" t="str">
        <f>D113</f>
        <v>（2）本月太钢不锈汇总利润7.85亿元，建议：</v>
      </c>
    </row>
    <row r="114" spans="4:17">
      <c r="D114" s="154" t="str">
        <f>IF($F$12&gt;0,"留存"&amp;$F$12&amp;"万元，","使用前期留存"&amp;-$F$12&amp;"万元，")</f>
        <v>留存30000万元，</v>
      </c>
      <c r="K114" s="154" t="str">
        <f>D114&amp;D115</f>
        <v>留存30000万元，当月按照4.85亿元报出，比上月减少5.65亿元，比同期0亿元增加4.85亿元，增幅551891.62%。</v>
      </c>
    </row>
    <row r="115" spans="4:17">
      <c r="D115" s="154" t="str">
        <f>"当月按照"&amp;ABS(ROUND(E86,2))&amp;"亿元报出，比上月"&amp;IF(F86&gt;=0,"增加","减少")&amp;ABS(ROUND(F86,2))&amp;"亿元，比同期"&amp;ABS(ROUND(E87,2))&amp;"亿元"&amp;IF(F87&gt;=0,"增加","减少")&amp;ABS(ROUND(F87,2))&amp;"亿元，"&amp;IF(H87&gt;=0,"增幅","降幅")&amp;ABS(ROUND(H87*100,2))&amp;"%。"</f>
        <v>当月按照4.85亿元报出，比上月减少5.65亿元，比同期0亿元增加4.85亿元，增幅551891.62%。</v>
      </c>
      <c r="K115" s="154" t="str">
        <f>D116</f>
        <v>累计68.39亿元，比同期20.93亿元增加47.47亿元，增幅226.79%。</v>
      </c>
    </row>
    <row r="116" spans="4:17">
      <c r="D116" s="154" t="str">
        <f>"累计"&amp;ABS(ROUND(G86,2))&amp;"亿元，比同期"&amp;ABS(ROUND(E88,2))&amp;"亿元"&amp;IF(F88&gt;=0,"增加","减少")&amp;ABS(ROUND(F88,2))&amp;"亿元，"&amp;IF(H88&gt;=0,"增幅","降幅")&amp;ABS(ROUND(H88*100,2))&amp;"%。"</f>
        <v>累计68.39亿元，比同期20.93亿元增加47.47亿元，增幅226.79%。</v>
      </c>
    </row>
    <row r="117" spans="4:17">
      <c r="D117" s="154" t="str">
        <f>"累计留存"&amp;ABS(ROUND(I11/10000,2))&amp;"亿元。"</f>
        <v>累计留存0亿元。</v>
      </c>
    </row>
    <row r="121" spans="4:17">
      <c r="D121"/>
      <c r="E121"/>
      <c r="F121"/>
      <c r="G121"/>
      <c r="H121"/>
      <c r="I121"/>
      <c r="J121"/>
    </row>
    <row r="122" spans="4:17">
      <c r="D122"/>
      <c r="E122"/>
      <c r="F122"/>
      <c r="G122"/>
      <c r="H122"/>
      <c r="I122"/>
      <c r="J122"/>
    </row>
    <row r="123" spans="4:17">
      <c r="D123"/>
      <c r="E123"/>
      <c r="F123"/>
      <c r="G123"/>
      <c r="H123"/>
      <c r="I123"/>
      <c r="J123"/>
    </row>
    <row r="124" spans="4:17" s="1708" customFormat="1">
      <c r="D124"/>
      <c r="E124"/>
      <c r="F124"/>
      <c r="G124"/>
      <c r="H124"/>
      <c r="I124"/>
      <c r="J124"/>
      <c r="P124" s="1460"/>
      <c r="Q124" s="1460"/>
    </row>
    <row r="125" spans="4:17">
      <c r="D125"/>
      <c r="E125"/>
      <c r="F125"/>
      <c r="G125"/>
      <c r="H125"/>
      <c r="I125"/>
      <c r="J125"/>
    </row>
    <row r="126" spans="4:17">
      <c r="D126"/>
      <c r="E126"/>
      <c r="F126"/>
      <c r="G126"/>
      <c r="H126"/>
      <c r="I126"/>
      <c r="J126"/>
    </row>
    <row r="127" spans="4:17">
      <c r="D127"/>
      <c r="E127"/>
      <c r="F127"/>
      <c r="G127"/>
      <c r="H127"/>
      <c r="I127"/>
      <c r="J127"/>
    </row>
    <row r="128" spans="4:17">
      <c r="D128"/>
      <c r="E128"/>
      <c r="F128"/>
      <c r="G128"/>
      <c r="H128"/>
      <c r="I128"/>
      <c r="J128"/>
    </row>
    <row r="129" spans="4:17">
      <c r="D129"/>
      <c r="E129"/>
      <c r="F129"/>
      <c r="G129"/>
      <c r="H129"/>
      <c r="I129"/>
      <c r="J129"/>
    </row>
    <row r="130" spans="4:17">
      <c r="D130"/>
      <c r="E130"/>
      <c r="F130"/>
      <c r="G130"/>
      <c r="H130"/>
      <c r="I130"/>
      <c r="J130"/>
    </row>
    <row r="131" spans="4:17">
      <c r="D131"/>
      <c r="E131"/>
      <c r="F131"/>
      <c r="G131"/>
      <c r="H131"/>
      <c r="I131"/>
      <c r="J131"/>
    </row>
    <row r="132" spans="4:17">
      <c r="D132"/>
      <c r="E132"/>
      <c r="F132"/>
      <c r="G132"/>
      <c r="H132"/>
      <c r="I132"/>
      <c r="J132"/>
    </row>
    <row r="133" spans="4:17">
      <c r="D133"/>
      <c r="E133"/>
      <c r="F133"/>
      <c r="G133"/>
      <c r="H133"/>
      <c r="I133"/>
      <c r="J133"/>
    </row>
    <row r="134" spans="4:17">
      <c r="D134"/>
      <c r="E134"/>
      <c r="F134"/>
      <c r="G134"/>
      <c r="H134"/>
      <c r="I134"/>
      <c r="J134"/>
    </row>
    <row r="135" spans="4:17">
      <c r="D135"/>
      <c r="E135"/>
      <c r="F135"/>
      <c r="G135"/>
      <c r="H135"/>
      <c r="I135"/>
      <c r="J135"/>
    </row>
    <row r="137" spans="4:17">
      <c r="E137" s="154" t="s">
        <v>171</v>
      </c>
    </row>
    <row r="138" spans="4:17">
      <c r="E138" s="1673" t="s">
        <v>3</v>
      </c>
      <c r="F138" s="1673" t="s">
        <v>57</v>
      </c>
      <c r="G138" s="1673" t="s">
        <v>59</v>
      </c>
      <c r="H138" s="399" t="s">
        <v>172</v>
      </c>
    </row>
    <row r="139" spans="4:17">
      <c r="E139" s="1673" t="s">
        <v>173</v>
      </c>
      <c r="F139" s="1673" t="s">
        <v>174</v>
      </c>
      <c r="G139" s="1673">
        <v>141112</v>
      </c>
      <c r="H139" s="399"/>
    </row>
    <row r="140" spans="4:17">
      <c r="E140" s="399" t="s">
        <v>175</v>
      </c>
      <c r="F140" s="400" t="s">
        <v>174</v>
      </c>
      <c r="G140" s="400">
        <v>58995</v>
      </c>
      <c r="H140" s="399"/>
    </row>
    <row r="141" spans="4:17">
      <c r="E141" s="399" t="s">
        <v>176</v>
      </c>
      <c r="F141" s="400" t="s">
        <v>174</v>
      </c>
      <c r="G141" s="400">
        <v>26242</v>
      </c>
      <c r="H141" s="399" t="s">
        <v>177</v>
      </c>
    </row>
    <row r="142" spans="4:17">
      <c r="E142" s="399" t="s">
        <v>178</v>
      </c>
      <c r="F142" s="400" t="s">
        <v>174</v>
      </c>
      <c r="G142" s="400">
        <v>42000</v>
      </c>
      <c r="H142" s="399"/>
    </row>
    <row r="143" spans="4:17" s="152" customFormat="1">
      <c r="E143" s="401" t="s">
        <v>179</v>
      </c>
      <c r="F143" s="402" t="s">
        <v>174</v>
      </c>
      <c r="G143" s="402">
        <f>G139-G140-G141-G142</f>
        <v>13875</v>
      </c>
      <c r="H143" s="401"/>
      <c r="P143"/>
      <c r="Q143"/>
    </row>
    <row r="145" spans="5:7">
      <c r="G145" s="154">
        <v>49666</v>
      </c>
    </row>
    <row r="146" spans="5:7">
      <c r="G146" s="154">
        <f>G145-G143</f>
        <v>35791</v>
      </c>
    </row>
    <row r="148" spans="5:7">
      <c r="E148" s="154" t="s">
        <v>180</v>
      </c>
      <c r="G148" s="154">
        <f>G146+3922+F8</f>
        <v>39713</v>
      </c>
    </row>
  </sheetData>
  <protectedRanges>
    <protectedRange sqref="E101 E98" name="区域1"/>
  </protectedRanges>
  <customSheetViews>
    <customSheetView guid="{1683F931-F47D-47C0-A395-D48080DC7EE6}" showPageBreaks="1" hiddenRows="1">
      <pane xSplit="1" ySplit="1" topLeftCell="C2" activePane="bottomRight" state="frozen"/>
      <selection pane="bottomRight" activeCell="H48" sqref="H48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>
      <pane xSplit="2" ySplit="3" topLeftCell="D8" activePane="bottomRight" state="frozen"/>
      <selection pane="bottomRight" activeCell="F12" sqref="F12"/>
      <pageMargins left="0.69930555555555596" right="0.69930555555555596" top="0.75" bottom="0.75" header="0.3" footer="0.3"/>
      <pageSetup paperSize="9" orientation="portrait"/>
    </customSheetView>
    <customSheetView guid="{849C46E5-4ED4-41B9-BDA9-A6465B9DA9C2}">
      <pane xSplit="2" ySplit="3" topLeftCell="C4" activePane="bottomRight" state="frozen"/>
      <selection pane="bottomRight" activeCell="E2" sqref="E2"/>
      <pageMargins left="0.69930555555555596" right="0.69930555555555596" top="0.75" bottom="0.75" header="0.3" footer="0.3"/>
      <pageSetup paperSize="9" orientation="portrait"/>
    </customSheetView>
    <customSheetView guid="{8C09BCDE-4B8A-4469-B3F2-7F4528A2E78D}">
      <pane xSplit="2" ySplit="3" topLeftCell="C4" activePane="bottomRight" state="frozen"/>
      <selection pane="bottomRight" activeCell="E2" sqref="E2"/>
      <pageMargins left="0.69930555555555596" right="0.69930555555555596" top="0.75" bottom="0.75" header="0.3" footer="0.3"/>
      <pageSetup paperSize="9" orientation="portrait"/>
    </customSheetView>
    <customSheetView guid="{F4EB51F4-FD23-4D5B-8072-1AF5D59D6686}" hiddenRows="1">
      <pane xSplit="2" ySplit="3" topLeftCell="C4" activePane="bottomRight" state="frozen"/>
      <selection pane="bottomRight" activeCell="D62" sqref="D62"/>
      <pageMargins left="0.69930555555555596" right="0.69930555555555596" top="0.75" bottom="0.75" header="0.3" footer="0.3"/>
      <pageSetup paperSize="9" orientation="portrait"/>
    </customSheetView>
    <customSheetView guid="{D7BCFB76-2797-401D-A6F1-E020B5162DD4}">
      <pane xSplit="2" ySplit="3" topLeftCell="D4" activePane="bottomRight" state="frozen"/>
      <selection pane="bottomRight" activeCell="H12" sqref="H12"/>
      <pageMargins left="0.69930555555555596" right="0.69930555555555596" top="0.75" bottom="0.75" header="0.3" footer="0.3"/>
      <pageSetup paperSize="9" orientation="portrait"/>
    </customSheetView>
    <customSheetView guid="{C9A88430-3808-49F4-8D86-BF8C70C55441}" hiddenRows="1">
      <pane xSplit="1" ySplit="1" topLeftCell="B2" activePane="bottomRight" state="frozen"/>
      <selection pane="bottomRight" activeCell="B5" sqref="B5:J50"/>
      <pageMargins left="0.69930555555555596" right="0.69930555555555596" top="0.75" bottom="0.75" header="0.3" footer="0.3"/>
      <pageSetup paperSize="9" orientation="portrait" r:id="rId2"/>
    </customSheetView>
    <customSheetView guid="{E61FFED3-723E-484A-93A0-94E1A801AF06}" hiddenRows="1">
      <pane xSplit="1" ySplit="1" topLeftCell="B2" activePane="bottomRight" state="frozen"/>
      <selection pane="bottomRight" activeCell="E53" sqref="E53"/>
      <pageMargins left="0.69930555555555596" right="0.69930555555555596" top="0.75" bottom="0.75" header="0.3" footer="0.3"/>
      <pageSetup paperSize="9" orientation="portrait" r:id="rId3"/>
    </customSheetView>
    <customSheetView guid="{6B5CCA07-2BDD-4B8E-9E3C-2111BBA97430}" hiddenRows="1">
      <pane xSplit="2" ySplit="3" topLeftCell="C4" activePane="bottomRight" state="frozen"/>
      <selection pane="bottomRight" activeCell="G15" sqref="G15"/>
      <pageMargins left="0.69930555555555596" right="0.69930555555555596" top="0.75" bottom="0.75" header="0.3" footer="0.3"/>
      <pageSetup paperSize="9" orientation="portrait" r:id="rId4"/>
    </customSheetView>
    <customSheetView guid="{2F47A827-9643-4D8A-AC5D-6B09D79AACF9}" hiddenRows="1">
      <pane xSplit="2" ySplit="3" topLeftCell="C4" activePane="bottomRight" state="frozen"/>
      <selection pane="bottomRight" activeCell="H48" sqref="H48"/>
      <pageMargins left="0.69930555555555596" right="0.69930555555555596" top="0.75" bottom="0.75" header="0.3" footer="0.3"/>
      <pageSetup paperSize="9" orientation="portrait"/>
    </customSheetView>
    <customSheetView guid="{C52D0F53-4D1D-4D01-B833-260359FD02A5}" hiddenRows="1">
      <pane xSplit="2" ySplit="3" topLeftCell="C4" activePane="bottomRight" state="frozen"/>
      <selection pane="bottomRight" activeCell="H48" sqref="H48"/>
      <pageMargins left="0.69930555555555596" right="0.69930555555555596" top="0.75" bottom="0.75" header="0.3" footer="0.3"/>
      <pageSetup paperSize="9" orientation="portrait"/>
    </customSheetView>
    <customSheetView guid="{6A1E79C9-91E3-4EEA-8ABB-4446083299EC}" hiddenRows="1">
      <pane xSplit="1" ySplit="1" topLeftCell="C2" activePane="bottomRight" state="frozen"/>
      <selection pane="bottomRight" activeCell="G44" sqref="G44"/>
      <pageMargins left="0.69930555555555596" right="0.69930555555555596" top="0.75" bottom="0.75" header="0.3" footer="0.3"/>
      <pageSetup paperSize="9" orientation="portrait" r:id="rId5"/>
    </customSheetView>
    <customSheetView guid="{8B80B510-C931-46B1-8591-DEA916D76593}" hiddenRows="1">
      <pane xSplit="2" ySplit="3" topLeftCell="C4" activePane="bottomRight" state="frozen"/>
      <selection pane="bottomRight" activeCell="G7" sqref="G7"/>
      <pageMargins left="0.69930555555555596" right="0.69930555555555596" top="0.75" bottom="0.75" header="0.3" footer="0.3"/>
      <pageSetup paperSize="9" orientation="portrait" r:id="rId6"/>
    </customSheetView>
    <customSheetView guid="{303A9D89-611D-4504-BCAA-071C53B021F7}">
      <pane xSplit="2" ySplit="3" topLeftCell="C46" activePane="bottomRight" state="frozen"/>
      <selection pane="bottomRight" activeCell="E59" sqref="E59"/>
      <pageMargins left="0.69930555555555596" right="0.69930555555555596" top="0.75" bottom="0.75" header="0.3" footer="0.3"/>
      <pageSetup paperSize="9" orientation="portrait"/>
    </customSheetView>
    <customSheetView guid="{4583A87D-5DFF-47BD-849A-FA4AAF2B9CE3}" hiddenRows="1">
      <pane xSplit="2" ySplit="3" topLeftCell="C4" activePane="bottomRight" state="frozen"/>
      <selection pane="bottomRight" activeCell="J5" sqref="J5"/>
      <pageMargins left="0.69930555555555596" right="0.69930555555555596" top="0.75" bottom="0.75" header="0.3" footer="0.3"/>
      <pageSetup paperSize="9" orientation="portrait" r:id="rId7"/>
    </customSheetView>
    <customSheetView guid="{EA856AC2-CDFF-46B6-B0C4-30449DF132F4}">
      <pane xSplit="2" ySplit="3" topLeftCell="D22" activePane="bottomRight" state="frozen"/>
      <selection pane="bottomRight" activeCell="F12" sqref="F12"/>
      <pageMargins left="0.69930555555555596" right="0.69930555555555596" top="0.75" bottom="0.75" header="0.3" footer="0.3"/>
      <pageSetup paperSize="9" orientation="portrait"/>
    </customSheetView>
    <customSheetView guid="{322A45A6-8B26-49B8-A4D9-EFB3C94A758D}" hiddenRows="1">
      <pane xSplit="1" ySplit="1" topLeftCell="B2" activePane="bottomRight" state="frozen"/>
      <selection pane="bottomRight" activeCell="G8" sqref="G8"/>
      <pageMargins left="0.69930555555555596" right="0.69930555555555596" top="0.75" bottom="0.75" header="0.3" footer="0.3"/>
      <pageSetup paperSize="9" orientation="portrait" r:id="rId8"/>
    </customSheetView>
  </customSheetViews>
  <mergeCells count="5">
    <mergeCell ref="A3:A4"/>
    <mergeCell ref="B3:D3"/>
    <mergeCell ref="E3:G3"/>
    <mergeCell ref="H3:J3"/>
    <mergeCell ref="E57:M57"/>
  </mergeCells>
  <phoneticPr fontId="133" type="noConversion"/>
  <pageMargins left="0.69930555555555596" right="0.69930555555555596" top="0.75" bottom="0.75" header="0.3" footer="0.3"/>
  <pageSetup paperSize="9" orientation="portrait" r:id="rId9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7"/>
  <sheetViews>
    <sheetView workbookViewId="0">
      <selection activeCell="H8" sqref="H8"/>
    </sheetView>
  </sheetViews>
  <sheetFormatPr defaultColWidth="9" defaultRowHeight="14.25"/>
  <cols>
    <col min="1" max="1" width="25.125" style="1399" customWidth="1"/>
    <col min="2" max="2" width="14.75" style="1399" customWidth="1"/>
    <col min="3" max="3" width="12.5" style="1399" customWidth="1"/>
    <col min="4" max="4" width="13.5" style="1399" customWidth="1"/>
    <col min="5" max="5" width="13.125" style="1399" customWidth="1"/>
    <col min="6" max="6" width="14.375" style="1399" customWidth="1"/>
    <col min="7" max="7" width="12.375" style="1399" customWidth="1"/>
    <col min="8" max="8" width="13.125" style="1399" customWidth="1"/>
    <col min="9" max="9" width="12" style="1399" customWidth="1"/>
    <col min="10" max="10" width="10.5" style="1399" customWidth="1"/>
    <col min="11" max="11" width="10.375" style="1399" customWidth="1"/>
    <col min="12" max="12" width="12.5" style="1399" customWidth="1"/>
    <col min="13" max="13" width="11.5" customWidth="1"/>
    <col min="14" max="14" width="12.75" style="1448" customWidth="1"/>
    <col min="15" max="15" width="9.5" style="1448" customWidth="1"/>
    <col min="16" max="16" width="9" style="1399"/>
    <col min="17" max="17" width="23.75" customWidth="1"/>
    <col min="18" max="18" width="12.75" bestFit="1" customWidth="1"/>
    <col min="19" max="19" width="12.75" customWidth="1"/>
    <col min="20" max="20" width="25.625" style="154" customWidth="1"/>
    <col min="21" max="21" width="10.5" style="1692" bestFit="1" customWidth="1"/>
    <col min="22" max="22" width="44.75" style="944" customWidth="1"/>
    <col min="23" max="23" width="11.5" style="1399" customWidth="1"/>
    <col min="24" max="24" width="22.125" style="1699" bestFit="1" customWidth="1"/>
    <col min="25" max="25" width="9.5" style="1399" bestFit="1" customWidth="1"/>
    <col min="26" max="16384" width="9" style="1399"/>
  </cols>
  <sheetData>
    <row r="1" spans="1:24">
      <c r="A1" s="1399" t="s">
        <v>0</v>
      </c>
      <c r="B1" s="1399">
        <f>'@预测#概况#'!B1</f>
        <v>2021</v>
      </c>
      <c r="D1" s="1399">
        <f>'@预测#概况#'!H1</f>
        <v>2021</v>
      </c>
      <c r="F1" s="695"/>
      <c r="G1" s="695"/>
    </row>
    <row r="2" spans="1:24">
      <c r="A2" s="1399" t="s">
        <v>1</v>
      </c>
      <c r="B2" s="1399">
        <f>'@预测#概况#'!B2</f>
        <v>8</v>
      </c>
      <c r="D2" s="1399">
        <f>'@预测#概况#'!H2</f>
        <v>7</v>
      </c>
      <c r="F2" s="695"/>
      <c r="G2" s="695"/>
    </row>
    <row r="3" spans="1:24" s="1448" customFormat="1">
      <c r="A3" s="2622" t="s">
        <v>103</v>
      </c>
      <c r="B3" s="393" t="s">
        <v>58</v>
      </c>
      <c r="C3" s="2622" t="str">
        <f>D2&amp;"月利润"</f>
        <v>7月利润</v>
      </c>
      <c r="D3" s="2622"/>
      <c r="E3" s="2622" t="str">
        <f>B2&amp;"月利润"</f>
        <v>8月利润</v>
      </c>
      <c r="F3" s="2622"/>
      <c r="G3" s="2622" t="s">
        <v>7</v>
      </c>
      <c r="H3" s="2622"/>
      <c r="I3" s="393" t="s">
        <v>9</v>
      </c>
      <c r="J3" s="2622" t="s">
        <v>5</v>
      </c>
      <c r="K3" s="2622"/>
      <c r="L3" s="393" t="s">
        <v>9</v>
      </c>
      <c r="M3"/>
      <c r="N3" s="1456" t="str">
        <f>"1-"&amp;B2-1&amp;"月累计"</f>
        <v>1-7月累计</v>
      </c>
      <c r="O3" s="1456"/>
      <c r="Q3" s="399" t="str">
        <f>"一、"&amp;C3</f>
        <v>一、7月利润</v>
      </c>
      <c r="R3" s="101">
        <f>C6</f>
        <v>219059.62312541009</v>
      </c>
      <c r="S3"/>
      <c r="T3" s="154"/>
      <c r="U3" s="1692"/>
      <c r="V3" s="946"/>
      <c r="X3" s="1700"/>
    </row>
    <row r="4" spans="1:24" s="1448" customFormat="1">
      <c r="A4" s="2622"/>
      <c r="B4" s="393" t="s">
        <v>74</v>
      </c>
      <c r="C4" s="393" t="s">
        <v>74</v>
      </c>
      <c r="D4" s="393" t="s">
        <v>75</v>
      </c>
      <c r="E4" s="393" t="s">
        <v>74</v>
      </c>
      <c r="F4" s="393" t="s">
        <v>75</v>
      </c>
      <c r="G4" s="393" t="s">
        <v>74</v>
      </c>
      <c r="H4" s="393" t="s">
        <v>75</v>
      </c>
      <c r="I4" s="393" t="s">
        <v>74</v>
      </c>
      <c r="J4" s="393" t="s">
        <v>74</v>
      </c>
      <c r="K4" s="393" t="s">
        <v>75</v>
      </c>
      <c r="L4" s="393" t="s">
        <v>74</v>
      </c>
      <c r="M4"/>
      <c r="N4" s="1456" t="s">
        <v>74</v>
      </c>
      <c r="O4" s="1456" t="s">
        <v>75</v>
      </c>
      <c r="Q4" s="399" t="str">
        <f>"二、"&amp;E3</f>
        <v>二、8月利润</v>
      </c>
      <c r="R4" s="101">
        <f>E6</f>
        <v>191806.72878146151</v>
      </c>
      <c r="S4"/>
      <c r="T4" s="154"/>
      <c r="U4" s="1692"/>
      <c r="V4" s="946"/>
      <c r="X4" s="1700"/>
    </row>
    <row r="5" spans="1:24" s="1448" customFormat="1">
      <c r="A5" s="1860" t="s">
        <v>1314</v>
      </c>
      <c r="B5" s="1837">
        <f t="shared" ref="B5:L5" si="0">B6+B49+B50</f>
        <v>815897.5495701927</v>
      </c>
      <c r="C5" s="1837">
        <f t="shared" si="0"/>
        <v>218166.04012541007</v>
      </c>
      <c r="D5" s="1837">
        <f t="shared" si="0"/>
        <v>218166.04012541007</v>
      </c>
      <c r="E5" s="1837">
        <f t="shared" si="0"/>
        <v>194834.72878146151</v>
      </c>
      <c r="F5" s="1837">
        <f>F6+F49+F50</f>
        <v>194834.72878146154</v>
      </c>
      <c r="G5" s="969">
        <f t="shared" si="0"/>
        <v>-23331.311343948575</v>
      </c>
      <c r="H5" s="969">
        <f t="shared" si="0"/>
        <v>-23331.311343948546</v>
      </c>
      <c r="I5" s="1837">
        <f t="shared" si="0"/>
        <v>126843.2663172788</v>
      </c>
      <c r="J5" s="1837">
        <f t="shared" si="0"/>
        <v>1506691.7200496315</v>
      </c>
      <c r="K5" s="1837">
        <f t="shared" si="0"/>
        <v>1506691.7200496315</v>
      </c>
      <c r="L5" s="1837">
        <f t="shared" si="0"/>
        <v>947204.53642050305</v>
      </c>
      <c r="M5"/>
      <c r="N5" s="1456"/>
      <c r="O5" s="1456"/>
      <c r="Q5" s="1858"/>
      <c r="R5" s="1859"/>
      <c r="S5"/>
      <c r="T5" s="154"/>
      <c r="U5" s="1692"/>
      <c r="V5" s="946"/>
      <c r="X5" s="1700"/>
    </row>
    <row r="6" spans="1:24" s="1397" customFormat="1">
      <c r="A6" s="1866" t="s">
        <v>1236</v>
      </c>
      <c r="B6" s="1867">
        <f>B7+SUM(B12:B42)+B44</f>
        <v>793797.5495701927</v>
      </c>
      <c r="C6" s="1867">
        <f>C7+SUM(C12:C42)+C44</f>
        <v>219059.62312541009</v>
      </c>
      <c r="D6" s="1867">
        <f>D7+SUM(D12:D42)+D44</f>
        <v>219059.62312541009</v>
      </c>
      <c r="E6" s="1867">
        <f>E7+SUM(E12:E42)+E44</f>
        <v>191806.72878146151</v>
      </c>
      <c r="F6" s="1867">
        <f>F7+SUM(F12:F42)+F44</f>
        <v>191806.72878146154</v>
      </c>
      <c r="G6" s="1868">
        <f>E6-C6</f>
        <v>-27252.894343948574</v>
      </c>
      <c r="H6" s="1868">
        <f>F6-D6</f>
        <v>-27252.894343948545</v>
      </c>
      <c r="I6" s="1868">
        <f>E6-B6/12</f>
        <v>125656.93298394546</v>
      </c>
      <c r="J6" s="1867">
        <f>J7+SUM(J12:J42)+J44</f>
        <v>1476402.9028006315</v>
      </c>
      <c r="K6" s="1867">
        <f>K7+SUM(K12:K42)+K44</f>
        <v>1476402.9028006315</v>
      </c>
      <c r="L6" s="1868">
        <f t="shared" ref="L6:L14" si="1">J6-B6/12*$B$2</f>
        <v>947204.53642050305</v>
      </c>
      <c r="M6"/>
      <c r="N6" s="1457">
        <f>N7+SUM(N15:N42)+N44</f>
        <v>936463.47520716966</v>
      </c>
      <c r="O6" s="1457">
        <f>O7+SUM(O15:O42)+O44</f>
        <v>923096.14963716979</v>
      </c>
      <c r="Q6" s="1542" t="s">
        <v>1113</v>
      </c>
      <c r="R6" s="973">
        <f>R4-R3</f>
        <v>-27252.894343948574</v>
      </c>
      <c r="S6"/>
      <c r="T6" s="154"/>
      <c r="U6" s="1692"/>
      <c r="V6" s="1688"/>
      <c r="X6" s="1701"/>
    </row>
    <row r="7" spans="1:24" s="1397" customFormat="1">
      <c r="A7" s="1435" t="s">
        <v>105</v>
      </c>
      <c r="B7" s="395">
        <f>B8+B9</f>
        <v>45945</v>
      </c>
      <c r="C7" s="395">
        <f>SUM(C8:C9)</f>
        <v>37037.363640410018</v>
      </c>
      <c r="D7" s="395">
        <f>SUM(D8:D9)</f>
        <v>24159.15527741002</v>
      </c>
      <c r="E7" s="772">
        <f>SUM(E8:E9)</f>
        <v>39715.756319923079</v>
      </c>
      <c r="F7" s="772">
        <f>SUM(F8:F9)</f>
        <v>27989.600243000001</v>
      </c>
      <c r="G7" s="969">
        <f t="shared" ref="G7:G43" si="2">E7-C7</f>
        <v>2678.392679513061</v>
      </c>
      <c r="H7" s="969">
        <f t="shared" ref="H7:H15" si="3">F7-D7</f>
        <v>3830.4449655899807</v>
      </c>
      <c r="I7" s="969">
        <f>E7-B7/12</f>
        <v>35887.006319923079</v>
      </c>
      <c r="J7" s="395">
        <f>SUM(J8:J9)</f>
        <v>294205.27082549309</v>
      </c>
      <c r="K7" s="395">
        <f>SUM(K8:K9)</f>
        <v>269111.78917857003</v>
      </c>
      <c r="L7" s="969">
        <f t="shared" si="1"/>
        <v>263575.27082549309</v>
      </c>
      <c r="M7"/>
      <c r="N7" s="1457">
        <f>SUM(N8:N9)</f>
        <v>254489.51450557</v>
      </c>
      <c r="O7" s="1457">
        <f>SUM(O8:O9)</f>
        <v>241122.18893557001</v>
      </c>
      <c r="Q7" s="1543" t="str">
        <f>A7</f>
        <v>母公司</v>
      </c>
      <c r="R7" s="973">
        <f>G7</f>
        <v>2678.392679513061</v>
      </c>
      <c r="S7"/>
      <c r="T7" s="154"/>
      <c r="U7" s="1692"/>
      <c r="V7" s="1688"/>
      <c r="X7" s="1701"/>
    </row>
    <row r="8" spans="1:24">
      <c r="A8" s="1863" t="s">
        <v>106</v>
      </c>
      <c r="B8" s="398">
        <f>'#经营利润'!B8</f>
        <v>-44436</v>
      </c>
      <c r="C8" s="398">
        <f>SUMIFS('利润（汇总）'!3:3,'利润（汇总）'!$1:$1,D$1,'利润（汇总）'!$2:$2,D$2)</f>
        <v>34767.318359000019</v>
      </c>
      <c r="D8" s="398">
        <f>C8+D62</f>
        <v>21889.109996000021</v>
      </c>
      <c r="E8" s="1527">
        <f>SUMIFS('@预测#收入利润#'!$M$4:$M$68,'@预测#收入利润#'!$A$4:$A$68,"母公司")</f>
        <v>32128.686319923079</v>
      </c>
      <c r="F8" s="398">
        <f>E8+F62</f>
        <v>20402.530243000001</v>
      </c>
      <c r="G8" s="973">
        <f>E8-C8</f>
        <v>-2638.6320390769397</v>
      </c>
      <c r="H8" s="973">
        <f t="shared" si="3"/>
        <v>-1486.57975300002</v>
      </c>
      <c r="I8" s="973">
        <f>E8-B8/12</f>
        <v>35831.686319923079</v>
      </c>
      <c r="J8" s="398">
        <f t="shared" ref="J8:K11" si="4">E8+N8</f>
        <v>192496.85994992309</v>
      </c>
      <c r="K8" s="398">
        <f t="shared" si="4"/>
        <v>167403.378303</v>
      </c>
      <c r="L8" s="973">
        <f t="shared" si="1"/>
        <v>222120.85994992309</v>
      </c>
      <c r="N8" s="1457">
        <f>SUMIFS('#经营利润'!8:8,'#经营利润'!$1:$1,$B$1,'#经营利润'!$2:$2,"&lt;"&amp;$B$2,'#经营利润'!$4:$4,"汇总利润")</f>
        <v>160368.17363</v>
      </c>
      <c r="O8" s="1457">
        <f>SUMIFS('#经营利润'!8:8,'#经营利润'!$1:$1,$B$1,'#经营利润'!$2:$2,"&lt;"&amp;$B$2,'#经营利润'!$4:$4,"经营利润")</f>
        <v>147000.84806000002</v>
      </c>
      <c r="Q8" s="1544" t="str">
        <f>A8</f>
        <v xml:space="preserve"> （经营利润）</v>
      </c>
      <c r="R8" s="973">
        <f>G8</f>
        <v>-2638.6320390769397</v>
      </c>
    </row>
    <row r="9" spans="1:24">
      <c r="A9" s="1864" t="s">
        <v>1332</v>
      </c>
      <c r="B9" s="398">
        <f>'#经营利润'!B9</f>
        <v>90381</v>
      </c>
      <c r="C9" s="398">
        <f>SUMIFS('利润（汇总）'!37:37,'利润（汇总）'!$1:$1,D$1,'利润（汇总）'!$2:$2,D$2)</f>
        <v>2270.0452814100004</v>
      </c>
      <c r="D9" s="398">
        <f>D10+D11</f>
        <v>2270.0452814100004</v>
      </c>
      <c r="E9" s="1527">
        <f>SUMIFS('@预测#收入利润#'!$M$4:$M$68,'@预测#收入利润#'!$A$4:$A$68,"投资收益")</f>
        <v>7587.07</v>
      </c>
      <c r="F9" s="1527">
        <f>F10+F11</f>
        <v>7587.07</v>
      </c>
      <c r="G9" s="973">
        <f t="shared" si="2"/>
        <v>5317.0247185899989</v>
      </c>
      <c r="H9" s="973">
        <f t="shared" si="3"/>
        <v>5317.0247185899989</v>
      </c>
      <c r="I9" s="973">
        <f>E9-B9/12</f>
        <v>55.319999999999709</v>
      </c>
      <c r="J9" s="398">
        <f t="shared" si="4"/>
        <v>101708.41087557</v>
      </c>
      <c r="K9" s="398">
        <f t="shared" si="4"/>
        <v>101708.41087557</v>
      </c>
      <c r="L9" s="973">
        <f t="shared" si="1"/>
        <v>41454.41087557</v>
      </c>
      <c r="N9" s="1457">
        <f>SUMIFS('#经营利润'!9:9,'#经营利润'!$1:$1,$B$1,'#经营利润'!$2:$2,"&lt;"&amp;$B$2,'#经营利润'!$4:$4,"汇总利润")</f>
        <v>94121.340875570007</v>
      </c>
      <c r="O9" s="1457">
        <f>SUMIFS('#经营利润'!9:9,'#经营利润'!$1:$1,$B$1,'#经营利润'!$2:$2,"&lt;"&amp;$B$2,'#经营利润'!$4:$4,"经营利润")</f>
        <v>94121.340875570007</v>
      </c>
      <c r="R9">
        <v>1345</v>
      </c>
      <c r="S9" s="188" t="s">
        <v>1116</v>
      </c>
    </row>
    <row r="10" spans="1:24">
      <c r="A10" s="1865" t="s">
        <v>108</v>
      </c>
      <c r="B10" s="1449">
        <f>'#经营利润'!B10</f>
        <v>9691</v>
      </c>
      <c r="C10" s="398">
        <f>C9-C11</f>
        <v>2270.0452814100004</v>
      </c>
      <c r="D10" s="398">
        <f>C10-D68</f>
        <v>2270.0452814100004</v>
      </c>
      <c r="E10" s="1527">
        <f>E9-E11</f>
        <v>7587.07</v>
      </c>
      <c r="F10" s="1527">
        <f>E10</f>
        <v>7587.07</v>
      </c>
      <c r="G10" s="973">
        <f t="shared" si="2"/>
        <v>5317.0247185899989</v>
      </c>
      <c r="H10" s="973">
        <f t="shared" si="3"/>
        <v>5317.0247185899989</v>
      </c>
      <c r="I10" s="973">
        <f t="shared" ref="I10:I15" si="5">E10-B10/12</f>
        <v>6779.4866666666667</v>
      </c>
      <c r="J10" s="398">
        <f t="shared" si="4"/>
        <v>25638.598355370003</v>
      </c>
      <c r="K10" s="398">
        <f t="shared" si="4"/>
        <v>25638.598355370003</v>
      </c>
      <c r="L10" s="973">
        <f t="shared" si="1"/>
        <v>19177.931688703335</v>
      </c>
      <c r="N10" s="1457">
        <f>SUMIFS('#经营利润'!10:10,'#经营利润'!$1:$1,$B$1,'#经营利润'!$2:$2,"&lt;"&amp;$B$2,'#经营利润'!$4:$4,"汇总利润")</f>
        <v>18051.528355370003</v>
      </c>
      <c r="O10" s="1457">
        <f>SUMIFS('#经营利润'!10:10,'#经营利润'!$1:$1,$B$1,'#经营利润'!$2:$2,"&lt;"&amp;$B$2,'#经营利润'!$4:$4,"经营利润")</f>
        <v>18051.528355370003</v>
      </c>
      <c r="R10">
        <v>8899</v>
      </c>
      <c r="S10" s="188" t="s">
        <v>1114</v>
      </c>
    </row>
    <row r="11" spans="1:24">
      <c r="A11" s="1865" t="s">
        <v>109</v>
      </c>
      <c r="B11" s="1449">
        <f>'#经营利润'!B11</f>
        <v>80690</v>
      </c>
      <c r="C11" s="398">
        <f>SUMIFS('#投资收益'!39:39,'#投资收益'!1:1,D1,'#投资收益'!2:2,D2,'#投资收益'!3:3,"投资收益")</f>
        <v>0</v>
      </c>
      <c r="D11" s="398">
        <f>C11</f>
        <v>0</v>
      </c>
      <c r="E11" s="398">
        <f>-E47</f>
        <v>0</v>
      </c>
      <c r="F11" s="398">
        <f>E11</f>
        <v>0</v>
      </c>
      <c r="G11" s="973">
        <f t="shared" si="2"/>
        <v>0</v>
      </c>
      <c r="H11" s="973">
        <f t="shared" si="3"/>
        <v>0</v>
      </c>
      <c r="I11" s="973">
        <f t="shared" si="5"/>
        <v>-6724.166666666667</v>
      </c>
      <c r="J11" s="398">
        <f t="shared" si="4"/>
        <v>76069.812520200008</v>
      </c>
      <c r="K11" s="398">
        <f t="shared" si="4"/>
        <v>76069.812520200008</v>
      </c>
      <c r="L11" s="973">
        <f t="shared" si="1"/>
        <v>22276.479186866673</v>
      </c>
      <c r="N11" s="1457">
        <f>SUMIFS('#经营利润'!11:11,'#经营利润'!$1:$1,$B$1,'#经营利润'!$2:$2,"&lt;"&amp;$B$2,'#经营利润'!$4:$4,"汇总利润")</f>
        <v>76069.812520200008</v>
      </c>
      <c r="O11" s="1457">
        <f>SUMIFS('#经营利润'!11:11,'#经营利润'!$1:$1,$B$1,'#经营利润'!$2:$2,"&lt;"&amp;$B$2,'#经营利润'!$4:$4,"经营利润")</f>
        <v>76069.812520200008</v>
      </c>
      <c r="R11">
        <v>-650</v>
      </c>
      <c r="S11" s="188" t="s">
        <v>1115</v>
      </c>
    </row>
    <row r="12" spans="1:24" s="1397" customFormat="1" ht="15.6" customHeight="1">
      <c r="A12" s="1435" t="s">
        <v>110</v>
      </c>
      <c r="B12" s="395">
        <f>'#经营利润'!B12</f>
        <v>62024.516129032265</v>
      </c>
      <c r="C12" s="395">
        <f>SUMIFS('利润（汇总）'!4:4,'利润（汇总）'!$1:$1,D$1,'利润（汇总）'!$2:$2,D$2)</f>
        <v>2958</v>
      </c>
      <c r="D12" s="1886">
        <f>C12+D64+D71</f>
        <v>2981.8290000000002</v>
      </c>
      <c r="E12" s="395">
        <f>SUMIFS('@预测#收入利润#'!$M$4:$M$68,'@预测#收入利润#'!$A$4:$A$68,A12)</f>
        <v>3102.717461538462</v>
      </c>
      <c r="F12" s="395">
        <f>E12+F64+F71</f>
        <v>3463.675153846154</v>
      </c>
      <c r="G12" s="969">
        <f t="shared" si="2"/>
        <v>144.71746153846198</v>
      </c>
      <c r="H12" s="969">
        <f>F12-D12+1</f>
        <v>482.84615384615381</v>
      </c>
      <c r="I12" s="969">
        <f t="shared" si="5"/>
        <v>-2065.9922158808931</v>
      </c>
      <c r="J12" s="395">
        <f>E12+N12</f>
        <v>34906.116150538466</v>
      </c>
      <c r="K12" s="395">
        <f t="shared" ref="J12:K14" si="6">F12+O12</f>
        <v>35729.936162846156</v>
      </c>
      <c r="L12" s="969">
        <f t="shared" si="1"/>
        <v>-6443.5612688163746</v>
      </c>
      <c r="M12" s="996"/>
      <c r="N12" s="1457">
        <f>SUMIFS('#经营利润'!12:12,'#经营利润'!$1:$1,$B$1,'#经营利润'!$2:$2,"&lt;"&amp;$B$2,'#经营利润'!$4:$4,"汇总利润")</f>
        <v>31803.398689000001</v>
      </c>
      <c r="O12" s="1457">
        <f>SUMIFS('#经营利润'!12:12,'#经营利润'!$1:$1,$B$1,'#经营利润'!$2:$2,"&lt;"&amp;$B$2,'#经营利润'!$4:$4,"经营利润")</f>
        <v>32266.261009000002</v>
      </c>
      <c r="R12" s="1397">
        <v>341</v>
      </c>
      <c r="S12"/>
      <c r="T12" s="154"/>
      <c r="U12" s="1692"/>
      <c r="V12" s="1688"/>
      <c r="X12" s="1701"/>
    </row>
    <row r="13" spans="1:24" s="1397" customFormat="1" ht="12.75" customHeight="1">
      <c r="A13" s="1435" t="s">
        <v>111</v>
      </c>
      <c r="B13" s="395">
        <f>'#经营利润'!B13</f>
        <v>320294.57844116056</v>
      </c>
      <c r="C13" s="395">
        <f>SUMIFS('利润（汇总）'!5:5,'利润（汇总）'!$1:$1,D$1,'利润（汇总）'!$2:$2,D$2)</f>
        <v>65368.601999999999</v>
      </c>
      <c r="D13" s="395">
        <f>C13+D63+D70</f>
        <v>78222.981362999999</v>
      </c>
      <c r="E13" s="395">
        <f>SUMIFS('@预测#收入利润#'!$M$4:$M$68,'@预测#收入利润#'!$A$4:$A$68,A13)</f>
        <v>60720.800000000003</v>
      </c>
      <c r="F13" s="395">
        <f>E13+F63+F70</f>
        <v>72085.998384615392</v>
      </c>
      <c r="G13" s="969">
        <f t="shared" si="2"/>
        <v>-4647.801999999996</v>
      </c>
      <c r="H13" s="969">
        <f t="shared" si="3"/>
        <v>-6136.9829783846071</v>
      </c>
      <c r="I13" s="969">
        <f t="shared" si="5"/>
        <v>34029.585129903295</v>
      </c>
      <c r="J13" s="395">
        <f t="shared" si="6"/>
        <v>375637.98288800003</v>
      </c>
      <c r="K13" s="395">
        <f t="shared" si="6"/>
        <v>399907.64452261542</v>
      </c>
      <c r="L13" s="969">
        <f t="shared" si="1"/>
        <v>162108.26392722633</v>
      </c>
      <c r="M13"/>
      <c r="N13" s="1457">
        <f>SUMIFS('#经营利润'!13:13,'#经营利润'!$1:$1,$B$1,'#经营利润'!$2:$2,"&lt;"&amp;$B$2,'#经营利润'!$4:$4,"汇总利润")</f>
        <v>314917.18288800004</v>
      </c>
      <c r="O13" s="1457">
        <f>SUMIFS('#经营利润'!13:13,'#经营利润'!$1:$1,$B$1,'#经营利润'!$2:$2,"&lt;"&amp;$B$2,'#经营利润'!$4:$4,"经营利润")</f>
        <v>327821.64613800001</v>
      </c>
      <c r="Q13" s="1545" t="str">
        <f>A9</f>
        <v xml:space="preserve"> （投资收益）</v>
      </c>
      <c r="R13" s="973">
        <f>G9</f>
        <v>5317.0247185899989</v>
      </c>
      <c r="S13"/>
      <c r="T13" s="154"/>
      <c r="U13" s="1692"/>
      <c r="V13" s="1688"/>
      <c r="X13" s="1701"/>
    </row>
    <row r="14" spans="1:24" s="1397" customFormat="1" ht="15" customHeight="1">
      <c r="A14" s="1435" t="s">
        <v>112</v>
      </c>
      <c r="B14" s="395">
        <f>'#经营利润'!B14</f>
        <v>7124.25</v>
      </c>
      <c r="C14" s="395">
        <f>SUMIFS('利润（汇总）'!6:6,'利润（汇总）'!$1:$1,D$1,'利润（汇总）'!$2:$2,D$2)</f>
        <v>-320</v>
      </c>
      <c r="D14" s="395">
        <f>C14+D72</f>
        <v>-320</v>
      </c>
      <c r="E14" s="395">
        <f>SUMIFS('@预测#收入利润#'!$M$4:$M$68,'@预测#收入利润#'!$A$4:$A$68,A14)</f>
        <v>-337</v>
      </c>
      <c r="F14" s="395">
        <f>E14</f>
        <v>-337</v>
      </c>
      <c r="G14" s="969">
        <f t="shared" si="2"/>
        <v>-17</v>
      </c>
      <c r="H14" s="969">
        <f t="shared" si="3"/>
        <v>-17</v>
      </c>
      <c r="I14" s="969">
        <f t="shared" si="5"/>
        <v>-930.6875</v>
      </c>
      <c r="J14" s="395">
        <f t="shared" si="6"/>
        <v>1075.1172350000002</v>
      </c>
      <c r="K14" s="395">
        <f t="shared" si="6"/>
        <v>1075.1172350000002</v>
      </c>
      <c r="L14" s="969">
        <f t="shared" si="1"/>
        <v>-3674.3827649999998</v>
      </c>
      <c r="M14"/>
      <c r="N14" s="1457">
        <f>SUMIFS('#经营利润'!14:14,'#经营利润'!$1:$1,$B$1,'#经营利润'!$2:$2,"&lt;"&amp;$B$2,'#经营利润'!$4:$4,"汇总利润")</f>
        <v>1412.1172350000002</v>
      </c>
      <c r="O14" s="1457">
        <f>SUMIFS('#经营利润'!14:14,'#经营利润'!$1:$1,$B$1,'#经营利润'!$2:$2,"&lt;"&amp;$B$2,'#经营利润'!$4:$4,"经营利润")</f>
        <v>1412.1172350000002</v>
      </c>
      <c r="Q14" s="399" t="str">
        <f>A12</f>
        <v>代县矿业</v>
      </c>
      <c r="R14" s="973">
        <f>G12</f>
        <v>144.71746153846198</v>
      </c>
      <c r="S14"/>
      <c r="T14" s="154"/>
      <c r="U14" s="1692"/>
      <c r="V14" s="1688"/>
      <c r="X14" s="1701"/>
    </row>
    <row r="15" spans="1:24" s="1397" customFormat="1" ht="16.149999999999999" customHeight="1">
      <c r="A15" s="1435" t="s">
        <v>46</v>
      </c>
      <c r="B15" s="395">
        <f>'#经营利润'!B15</f>
        <v>240000</v>
      </c>
      <c r="C15" s="395">
        <f>SUMIFS('利润（汇总）'!7:7,'利润（汇总）'!$1:$1,D$1,'利润（汇总）'!$2:$2,D$2)</f>
        <v>104942</v>
      </c>
      <c r="D15" s="395">
        <f>C15+D76</f>
        <v>104942</v>
      </c>
      <c r="E15" s="395">
        <f>SUMIFS('@预测#收入利润#'!$M$4:$M$68,'@预测#收入利润#'!$A$4:$A$68,A15)</f>
        <v>78461</v>
      </c>
      <c r="F15" s="395">
        <f>E15+F76</f>
        <v>78461</v>
      </c>
      <c r="G15" s="969">
        <f t="shared" si="2"/>
        <v>-26481</v>
      </c>
      <c r="H15" s="969">
        <f t="shared" si="3"/>
        <v>-26481</v>
      </c>
      <c r="I15" s="969">
        <f t="shared" si="5"/>
        <v>58461</v>
      </c>
      <c r="J15" s="395">
        <f>E15+N15</f>
        <v>762240</v>
      </c>
      <c r="K15" s="395">
        <f>F15+O15</f>
        <v>762240</v>
      </c>
      <c r="L15" s="969">
        <f t="shared" ref="L15:L43" si="7">J15-B15/12*$B$2</f>
        <v>602240</v>
      </c>
      <c r="M15"/>
      <c r="N15" s="1457">
        <f>SUMIFS('#经营利润'!15:15,'#经营利润'!$1:$1,$B$1,'#经营利润'!$2:$2,"&lt;"&amp;$B$2,'#经营利润'!$4:$4,"汇总利润")</f>
        <v>683779</v>
      </c>
      <c r="O15" s="1457">
        <f>SUMIFS('#经营利润'!15:15,'#经营利润'!$1:$1,$B$1,'#经营利润'!$2:$2,"&lt;"&amp;$B$2,'#经营利润'!$4:$4,"经营利润")</f>
        <v>683779</v>
      </c>
      <c r="Q15" s="399" t="str">
        <f>A13</f>
        <v>岚县矿业</v>
      </c>
      <c r="R15" s="973">
        <f>G13</f>
        <v>-4647.801999999996</v>
      </c>
      <c r="S15" s="996"/>
      <c r="T15" s="154"/>
      <c r="U15" s="1692"/>
      <c r="V15" s="1688"/>
      <c r="X15" s="1701"/>
    </row>
    <row r="16" spans="1:24" s="1397" customFormat="1" ht="15.6" customHeight="1">
      <c r="A16" s="1435" t="s">
        <v>113</v>
      </c>
      <c r="B16" s="395">
        <f>'#经营利润'!B16</f>
        <v>59</v>
      </c>
      <c r="C16" s="395">
        <f>SUMIFS('利润（汇总）'!10:10,'利润（汇总）'!$1:$1,D$1,'利润（汇总）'!$2:$2,D$2)</f>
        <v>1515.6657270000001</v>
      </c>
      <c r="D16" s="395">
        <f>C16</f>
        <v>1515.6657270000001</v>
      </c>
      <c r="E16" s="395">
        <f>SUMIFS('@预测#收入利润#'!$M$4:$M$68,'@预测#收入利润#'!$A$4:$A$68,A16)</f>
        <v>3585</v>
      </c>
      <c r="F16" s="395">
        <f>E16</f>
        <v>3585</v>
      </c>
      <c r="G16" s="969">
        <f t="shared" si="2"/>
        <v>2069.3342729999999</v>
      </c>
      <c r="H16" s="969">
        <f t="shared" ref="H16:H22" si="8">F16-D16</f>
        <v>2069.3342729999999</v>
      </c>
      <c r="I16" s="969">
        <f t="shared" ref="I16:I22" si="9">E16-B16/12</f>
        <v>3580.0833333333335</v>
      </c>
      <c r="J16" s="395">
        <f t="shared" ref="J16:K22" si="10">E16+N16</f>
        <v>17793.735399000001</v>
      </c>
      <c r="K16" s="395">
        <f t="shared" si="10"/>
        <v>17793.735399000001</v>
      </c>
      <c r="L16" s="969">
        <f t="shared" ref="L16:L22" si="11">J16-B16/12*$B$2</f>
        <v>17754.402065666669</v>
      </c>
      <c r="M16"/>
      <c r="N16" s="1457">
        <f>SUMIFS('#经营利润'!16:16,'#经营利润'!$1:$1,$B$1,'#经营利润'!$2:$2,"&lt;"&amp;$B$2,'#经营利润'!$4:$4,"汇总利润")</f>
        <v>14208.735399000001</v>
      </c>
      <c r="O16" s="1457">
        <f>SUMIFS('#经营利润'!16:16,'#经营利润'!$1:$1,$B$1,'#经营利润'!$2:$2,"&lt;"&amp;$B$2,'#经营利润'!$4:$4,"经营利润")</f>
        <v>14208.735399000001</v>
      </c>
      <c r="Q16" s="399" t="str">
        <f>A14</f>
        <v>太钢鑫磊</v>
      </c>
      <c r="R16" s="973">
        <f>H14</f>
        <v>-17</v>
      </c>
      <c r="S16"/>
      <c r="T16" s="154"/>
      <c r="U16" s="1692"/>
      <c r="V16" s="1688"/>
      <c r="X16" s="1701"/>
    </row>
    <row r="17" spans="1:25" s="1397" customFormat="1">
      <c r="A17" s="1435" t="s">
        <v>114</v>
      </c>
      <c r="B17" s="395">
        <f>'#经营利润'!B17</f>
        <v>1236</v>
      </c>
      <c r="C17" s="395">
        <f>SUMIFS('利润（汇总）'!11:11,'利润（汇总）'!$1:$1,D$1,'利润（汇总）'!$2:$2,D$2)</f>
        <v>1096</v>
      </c>
      <c r="D17" s="395">
        <f t="shared" ref="D17:D22" si="12">C17</f>
        <v>1096</v>
      </c>
      <c r="E17" s="395">
        <f>SUMIFS('@预测#收入利润#'!$M$4:$M$68,'@预测#收入利润#'!$A$4:$A$68,A17)</f>
        <v>-14</v>
      </c>
      <c r="F17" s="395">
        <f t="shared" ref="F17:F22" si="13">E17</f>
        <v>-14</v>
      </c>
      <c r="G17" s="969">
        <f t="shared" si="2"/>
        <v>-1110</v>
      </c>
      <c r="H17" s="969">
        <f t="shared" si="8"/>
        <v>-1110</v>
      </c>
      <c r="I17" s="969">
        <f t="shared" si="9"/>
        <v>-117</v>
      </c>
      <c r="J17" s="395">
        <f t="shared" si="10"/>
        <v>3070.1320850000002</v>
      </c>
      <c r="K17" s="395">
        <f t="shared" si="10"/>
        <v>3070.1320850000002</v>
      </c>
      <c r="L17" s="969">
        <f t="shared" si="11"/>
        <v>2246.1320850000002</v>
      </c>
      <c r="M17" s="186">
        <f>J7+J12+J13+J14</f>
        <v>705824.48709903168</v>
      </c>
      <c r="N17" s="1457">
        <f>SUMIFS('#经营利润'!17:17,'#经营利润'!$1:$1,$B$1,'#经营利润'!$2:$2,"&lt;"&amp;$B$2,'#经营利润'!$4:$4,"汇总利润")</f>
        <v>3084.1320850000002</v>
      </c>
      <c r="O17" s="1457">
        <f>SUMIFS('#经营利润'!17:17,'#经营利润'!$1:$1,$B$1,'#经营利润'!$2:$2,"&lt;"&amp;$B$2,'#经营利润'!$4:$4,"经营利润")</f>
        <v>3084.1320850000002</v>
      </c>
      <c r="Q17" s="930" t="str">
        <f>A15</f>
        <v>太钢不锈</v>
      </c>
      <c r="R17" s="973">
        <f>G15</f>
        <v>-26481</v>
      </c>
      <c r="S17"/>
      <c r="T17" s="154"/>
      <c r="U17" s="1692"/>
      <c r="V17" s="1688"/>
      <c r="X17" s="1701"/>
    </row>
    <row r="18" spans="1:25" s="1397" customFormat="1" ht="15.6" customHeight="1">
      <c r="A18" s="1435" t="s">
        <v>115</v>
      </c>
      <c r="B18" s="395">
        <f>'#经营利润'!B18</f>
        <v>32205</v>
      </c>
      <c r="C18" s="395">
        <f>SUMIFS('利润（汇总）'!12:12,'利润（汇总）'!$1:$1,D$1,'利润（汇总）'!$2:$2,D$2)</f>
        <v>2755.5444600000001</v>
      </c>
      <c r="D18" s="395">
        <f t="shared" si="12"/>
        <v>2755.5444600000001</v>
      </c>
      <c r="E18" s="395">
        <f>SUMIFS('@预测#收入利润#'!$M$4:$M$68,'@预测#收入利润#'!$A$4:$A$68,A18)</f>
        <v>3036</v>
      </c>
      <c r="F18" s="395">
        <f t="shared" si="13"/>
        <v>3036</v>
      </c>
      <c r="G18" s="969">
        <f t="shared" si="2"/>
        <v>280.45553999999993</v>
      </c>
      <c r="H18" s="969">
        <f t="shared" si="8"/>
        <v>280.45553999999993</v>
      </c>
      <c r="I18" s="969">
        <f t="shared" si="9"/>
        <v>352.25</v>
      </c>
      <c r="J18" s="395">
        <f t="shared" si="10"/>
        <v>23384.593270000001</v>
      </c>
      <c r="K18" s="395">
        <f t="shared" si="10"/>
        <v>23384.593270000001</v>
      </c>
      <c r="L18" s="969">
        <f t="shared" si="11"/>
        <v>1914.5932700000012</v>
      </c>
      <c r="M18"/>
      <c r="N18" s="1457">
        <f>SUMIFS('#经营利润'!18:18,'#经营利润'!$1:$1,$B$1,'#经营利润'!$2:$2,"&lt;"&amp;$B$2,'#经营利润'!$4:$4,"汇总利润")</f>
        <v>20348.593270000001</v>
      </c>
      <c r="O18" s="1457">
        <f>SUMIFS('#经营利润'!18:18,'#经营利润'!$1:$1,$B$1,'#经营利润'!$2:$2,"&lt;"&amp;$B$2,'#经营利润'!$4:$4,"经营利润")</f>
        <v>20348.593270000001</v>
      </c>
      <c r="Q18" s="1542" t="s">
        <v>1111</v>
      </c>
      <c r="R18" s="973">
        <f>G23+G24</f>
        <v>-2811</v>
      </c>
      <c r="S18"/>
      <c r="T18" s="154"/>
      <c r="U18" s="1692"/>
      <c r="V18" s="1688"/>
      <c r="X18" s="1701"/>
    </row>
    <row r="19" spans="1:25" s="1397" customFormat="1" ht="15.6" customHeight="1">
      <c r="A19" s="1435" t="s">
        <v>116</v>
      </c>
      <c r="B19" s="395">
        <f>'#经营利润'!B19</f>
        <v>-1500</v>
      </c>
      <c r="C19" s="395">
        <f>SUMIFS('利润（汇总）'!13:13,'利润（汇总）'!$1:$1,D$1,'利润（汇总）'!$2:$2,D$2)</f>
        <v>-276</v>
      </c>
      <c r="D19" s="395">
        <f t="shared" si="12"/>
        <v>-276</v>
      </c>
      <c r="E19" s="395">
        <f>SUMIFS('@预测#收入利润#'!$M$4:$M$68,'@预测#收入利润#'!$A$4:$A$68,A19)</f>
        <v>-270</v>
      </c>
      <c r="F19" s="395">
        <f t="shared" si="13"/>
        <v>-270</v>
      </c>
      <c r="G19" s="969">
        <f t="shared" si="2"/>
        <v>6</v>
      </c>
      <c r="H19" s="969">
        <f t="shared" si="8"/>
        <v>6</v>
      </c>
      <c r="I19" s="969">
        <f t="shared" si="9"/>
        <v>-145</v>
      </c>
      <c r="J19" s="395">
        <f t="shared" si="10"/>
        <v>-2299.8095329999996</v>
      </c>
      <c r="K19" s="395">
        <f t="shared" si="10"/>
        <v>-2299.8095329999996</v>
      </c>
      <c r="L19" s="969">
        <f t="shared" si="11"/>
        <v>-1299.8095329999996</v>
      </c>
      <c r="M19"/>
      <c r="N19" s="1457">
        <f>SUMIFS('#经营利润'!19:19,'#经营利润'!$1:$1,$B$1,'#经营利润'!$2:$2,"&lt;"&amp;$B$2,'#经营利润'!$4:$4,"汇总利润")</f>
        <v>-2029.8095329999999</v>
      </c>
      <c r="O19" s="1457">
        <f>SUMIFS('#经营利润'!19:19,'#经营利润'!$1:$1,$B$1,'#经营利润'!$2:$2,"&lt;"&amp;$B$2,'#经营利润'!$4:$4,"经营利润")</f>
        <v>-2029.8095329999999</v>
      </c>
      <c r="Q19" s="1542" t="s">
        <v>1112</v>
      </c>
      <c r="R19" s="973">
        <f>R6-R7-R14-R15-R16-R17-R18</f>
        <v>3880.7975149999002</v>
      </c>
      <c r="S19"/>
      <c r="T19" s="154"/>
      <c r="U19" s="1692"/>
      <c r="V19" s="1688"/>
      <c r="X19" s="1701"/>
    </row>
    <row r="20" spans="1:25" s="1397" customFormat="1" ht="15.6" customHeight="1">
      <c r="A20" s="1435" t="s">
        <v>117</v>
      </c>
      <c r="B20" s="395">
        <f>'#经营利润'!B20</f>
        <v>680</v>
      </c>
      <c r="C20" s="395">
        <f>SUMIFS('利润（汇总）'!14:14,'利润（汇总）'!$1:$1,D$1,'利润（汇总）'!$2:$2,D$2)</f>
        <v>-210.11</v>
      </c>
      <c r="D20" s="395">
        <f t="shared" si="12"/>
        <v>-210.11</v>
      </c>
      <c r="E20" s="395">
        <f>SUMIFS('@预测#收入利润#'!$M$4:$M$68,'@预测#收入利润#'!$A$4:$A$68,A20)</f>
        <v>10</v>
      </c>
      <c r="F20" s="395">
        <f t="shared" si="13"/>
        <v>10</v>
      </c>
      <c r="G20" s="969">
        <f t="shared" si="2"/>
        <v>220.11</v>
      </c>
      <c r="H20" s="969">
        <f t="shared" si="8"/>
        <v>220.11</v>
      </c>
      <c r="I20" s="969">
        <f t="shared" si="9"/>
        <v>-46.666666666666664</v>
      </c>
      <c r="J20" s="395">
        <f t="shared" si="10"/>
        <v>191.21561300000002</v>
      </c>
      <c r="K20" s="395">
        <f t="shared" si="10"/>
        <v>191.21561300000002</v>
      </c>
      <c r="L20" s="969">
        <f t="shared" si="11"/>
        <v>-262.1177203333333</v>
      </c>
      <c r="M20"/>
      <c r="N20" s="1457">
        <f>SUMIFS('#经营利润'!20:20,'#经营利润'!$1:$1,$B$1,'#经营利润'!$2:$2,"&lt;"&amp;$B$2,'#经营利润'!$4:$4,"汇总利润")</f>
        <v>181.21561300000002</v>
      </c>
      <c r="O20" s="1457">
        <f>SUMIFS('#经营利润'!20:20,'#经营利润'!$1:$1,$B$1,'#经营利润'!$2:$2,"&lt;"&amp;$B$2,'#经营利润'!$4:$4,"经营利润")</f>
        <v>181.21561300000002</v>
      </c>
      <c r="S20"/>
      <c r="T20" s="154"/>
      <c r="U20" s="1692"/>
      <c r="V20" s="1688"/>
      <c r="X20" s="1701"/>
    </row>
    <row r="21" spans="1:25" s="1397" customFormat="1" ht="15.6" customHeight="1">
      <c r="A21" s="1435" t="s">
        <v>118</v>
      </c>
      <c r="B21" s="395">
        <f>'#经营利润'!B21</f>
        <v>2000</v>
      </c>
      <c r="C21" s="395">
        <f>SUMIFS('利润（汇总）'!15:15,'利润（汇总）'!$1:$1,D$1,'利润（汇总）'!$2:$2,D$2)</f>
        <v>-185.81</v>
      </c>
      <c r="D21" s="395">
        <f t="shared" si="12"/>
        <v>-185.81</v>
      </c>
      <c r="E21" s="395">
        <f>SUMIFS('@预测#收入利润#'!$M$4:$M$68,'@预测#收入利润#'!$A$4:$A$68,A21)</f>
        <v>146</v>
      </c>
      <c r="F21" s="395">
        <f t="shared" si="13"/>
        <v>146</v>
      </c>
      <c r="G21" s="969">
        <f t="shared" si="2"/>
        <v>331.81</v>
      </c>
      <c r="H21" s="969">
        <f t="shared" si="8"/>
        <v>331.81</v>
      </c>
      <c r="I21" s="969">
        <f t="shared" si="9"/>
        <v>-20.666666666666657</v>
      </c>
      <c r="J21" s="395">
        <f t="shared" si="10"/>
        <v>546.57826100000011</v>
      </c>
      <c r="K21" s="395">
        <f t="shared" si="10"/>
        <v>546.57826100000011</v>
      </c>
      <c r="L21" s="969">
        <f t="shared" si="11"/>
        <v>-786.75507233333315</v>
      </c>
      <c r="M21"/>
      <c r="N21" s="1457">
        <f>SUMIFS('#经营利润'!21:21,'#经营利润'!$1:$1,$B$1,'#经营利润'!$2:$2,"&lt;"&amp;$B$2,'#经营利润'!$4:$4,"汇总利润")</f>
        <v>400.57826100000005</v>
      </c>
      <c r="O21" s="1457">
        <f>SUMIFS('#经营利润'!21:21,'#经营利润'!$1:$1,$B$1,'#经营利润'!$2:$2,"&lt;"&amp;$B$2,'#经营利润'!$4:$4,"经营利润")</f>
        <v>400.57826100000005</v>
      </c>
      <c r="S21"/>
      <c r="T21" s="158"/>
      <c r="U21" s="1691"/>
      <c r="V21" s="1689"/>
    </row>
    <row r="22" spans="1:25" s="1397" customFormat="1" ht="15.6" customHeight="1">
      <c r="A22" s="1435" t="s">
        <v>119</v>
      </c>
      <c r="B22" s="395">
        <f>'#经营利润'!B22</f>
        <v>80</v>
      </c>
      <c r="C22" s="395">
        <f>SUMIFS('利润（汇总）'!16:16,'利润（汇总）'!$1:$1,D$1,'利润（汇总）'!$2:$2,D$2)</f>
        <v>14</v>
      </c>
      <c r="D22" s="395">
        <f t="shared" si="12"/>
        <v>14</v>
      </c>
      <c r="E22" s="395">
        <f>SUMIFS('@预测#收入利润#'!$M$4:$M$68,'@预测#收入利润#'!$A$4:$A$68,A22)</f>
        <v>15</v>
      </c>
      <c r="F22" s="395">
        <f t="shared" si="13"/>
        <v>15</v>
      </c>
      <c r="G22" s="969">
        <f t="shared" si="2"/>
        <v>1</v>
      </c>
      <c r="H22" s="969">
        <f t="shared" si="8"/>
        <v>1</v>
      </c>
      <c r="I22" s="969">
        <f t="shared" si="9"/>
        <v>8.3333333333333321</v>
      </c>
      <c r="J22" s="395">
        <f t="shared" si="10"/>
        <v>289.664264</v>
      </c>
      <c r="K22" s="395">
        <f t="shared" si="10"/>
        <v>289.664264</v>
      </c>
      <c r="L22" s="969">
        <f t="shared" si="11"/>
        <v>236.33093066666666</v>
      </c>
      <c r="M22"/>
      <c r="N22" s="1457">
        <f>SUMIFS('#经营利润'!22:22,'#经营利润'!$1:$1,$B$1,'#经营利润'!$2:$2,"&lt;"&amp;$B$2,'#经营利润'!$4:$4,"汇总利润")</f>
        <v>274.664264</v>
      </c>
      <c r="O22" s="1457">
        <f>SUMIFS('#经营利润'!22:22,'#经营利润'!$1:$1,$B$1,'#经营利润'!$2:$2,"&lt;"&amp;$B$2,'#经营利润'!$4:$4,"经营利润")</f>
        <v>274.664264</v>
      </c>
      <c r="Q22" s="186"/>
      <c r="R22" s="186"/>
      <c r="S22"/>
      <c r="T22" s="1687" t="s">
        <v>1187</v>
      </c>
      <c r="U22" s="1693" t="s">
        <v>1188</v>
      </c>
      <c r="V22" s="1686"/>
      <c r="X22" s="1687" t="s">
        <v>1187</v>
      </c>
      <c r="Y22" s="1693" t="s">
        <v>1188</v>
      </c>
    </row>
    <row r="23" spans="1:25" s="1397" customFormat="1">
      <c r="A23" s="1435" t="s">
        <v>121</v>
      </c>
      <c r="B23" s="395">
        <f>'#经营利润'!B23</f>
        <v>10613</v>
      </c>
      <c r="C23" s="395">
        <f>SUMIFS('利润（汇总）'!17:17,'利润（汇总）'!$1:$1,D$1,'利润（汇总）'!$2:$2,D$2)</f>
        <v>1635</v>
      </c>
      <c r="D23" s="395">
        <f t="shared" ref="D23:D34" si="14">C23</f>
        <v>1635</v>
      </c>
      <c r="E23" s="395">
        <f>SUMIFS('@预测#收入利润#'!$M$4:$M$68,'@预测#收入利润#'!$A$4:$A$68,A23)</f>
        <v>-489</v>
      </c>
      <c r="F23" s="395">
        <f t="shared" ref="F23:F34" si="15">E23</f>
        <v>-489</v>
      </c>
      <c r="G23" s="969">
        <f t="shared" si="2"/>
        <v>-2124</v>
      </c>
      <c r="H23" s="969">
        <f t="shared" ref="H23:H30" si="16">F23-D23</f>
        <v>-2124</v>
      </c>
      <c r="I23" s="969">
        <f t="shared" ref="I23:I30" si="17">E23-B23/12</f>
        <v>-1373.4166666666665</v>
      </c>
      <c r="J23" s="395">
        <f t="shared" ref="J23:K30" si="18">E23+N23</f>
        <v>5398.497601</v>
      </c>
      <c r="K23" s="395">
        <f t="shared" si="18"/>
        <v>5398.497601</v>
      </c>
      <c r="L23" s="969">
        <f t="shared" si="7"/>
        <v>-1676.835732333333</v>
      </c>
      <c r="M23"/>
      <c r="N23" s="1457">
        <f>SUMIFS('#经营利润'!23:23,'#经营利润'!$1:$1,$B$1,'#经营利润'!$2:$2,"&lt;"&amp;$B$2,'#经营利润'!$4:$4,"汇总利润")</f>
        <v>5887.497601</v>
      </c>
      <c r="O23" s="1457">
        <f>SUMIFS('#经营利润'!23:23,'#经营利润'!$1:$1,$B$1,'#经营利润'!$2:$2,"&lt;"&amp;$B$2,'#经营利润'!$4:$4,"经营利润")</f>
        <v>5887.497601</v>
      </c>
      <c r="Q23" s="186"/>
      <c r="R23" s="186"/>
      <c r="S23"/>
      <c r="T23" s="1694" t="s">
        <v>1181</v>
      </c>
      <c r="U23" s="1695">
        <v>8164</v>
      </c>
      <c r="V23" s="1686"/>
      <c r="X23" s="1698" t="s">
        <v>113</v>
      </c>
      <c r="Y23" s="1703">
        <v>-197</v>
      </c>
    </row>
    <row r="24" spans="1:25" s="1397" customFormat="1" ht="15" customHeight="1">
      <c r="A24" s="1435" t="s">
        <v>122</v>
      </c>
      <c r="B24" s="395">
        <f>'#经营利润'!B24</f>
        <v>15607</v>
      </c>
      <c r="C24" s="395">
        <f>SUMIFS('利润（汇总）'!18:18,'利润（汇总）'!$1:$1,D$1,'利润（汇总）'!$2:$2,D$2)</f>
        <v>1029</v>
      </c>
      <c r="D24" s="395">
        <f>C24</f>
        <v>1029</v>
      </c>
      <c r="E24" s="395">
        <f>SUMIFS('@预测#收入利润#'!$M$4:$M$68,'@预测#收入利润#'!$A$4:$A$68,A24)</f>
        <v>342</v>
      </c>
      <c r="F24" s="395">
        <f t="shared" si="15"/>
        <v>342</v>
      </c>
      <c r="G24" s="969">
        <f t="shared" si="2"/>
        <v>-687</v>
      </c>
      <c r="H24" s="969">
        <f t="shared" si="16"/>
        <v>-687</v>
      </c>
      <c r="I24" s="969">
        <f t="shared" si="17"/>
        <v>-958.58333333333326</v>
      </c>
      <c r="J24" s="395">
        <f t="shared" si="18"/>
        <v>4916.6129249999994</v>
      </c>
      <c r="K24" s="395">
        <f t="shared" si="18"/>
        <v>4916.6129249999994</v>
      </c>
      <c r="L24" s="969">
        <f t="shared" si="7"/>
        <v>-5488.0537416666666</v>
      </c>
      <c r="M24"/>
      <c r="N24" s="1457">
        <f>SUMIFS('#经营利润'!24:24,'#经营利润'!$1:$1,$B$1,'#经营利润'!$2:$2,"&lt;"&amp;$B$2,'#经营利润'!$4:$4,"汇总利润")</f>
        <v>4574.6129249999994</v>
      </c>
      <c r="O24" s="1457">
        <f>SUMIFS('#经营利润'!24:24,'#经营利润'!$1:$1,$B$1,'#经营利润'!$2:$2,"&lt;"&amp;$B$2,'#经营利润'!$4:$4,"经营利润")</f>
        <v>4574.6129249999994</v>
      </c>
      <c r="S24"/>
      <c r="T24" s="1685" t="s">
        <v>1182</v>
      </c>
      <c r="U24" s="1695">
        <f>-6923-766-8797</f>
        <v>-16486</v>
      </c>
      <c r="V24" s="1685"/>
      <c r="X24" s="1698" t="s">
        <v>118</v>
      </c>
      <c r="Y24" s="1703">
        <v>-421.83454951891696</v>
      </c>
    </row>
    <row r="25" spans="1:25" s="1397" customFormat="1" ht="12" customHeight="1">
      <c r="A25" s="1435" t="s">
        <v>123</v>
      </c>
      <c r="B25" s="395">
        <f>'#经营利润'!B25</f>
        <v>400</v>
      </c>
      <c r="C25" s="395">
        <f>SUMIFS('利润（汇总）'!21:21,'利润（汇总）'!$1:$1,D$1,'利润（汇总）'!$2:$2,D$2)</f>
        <v>58</v>
      </c>
      <c r="D25" s="395">
        <f t="shared" si="14"/>
        <v>58</v>
      </c>
      <c r="E25" s="395">
        <f>SUMIFS('@预测#收入利润#'!$M$4:$M$68,'@预测#收入利润#'!$A$4:$A$68,A25)</f>
        <v>-237</v>
      </c>
      <c r="F25" s="395">
        <f t="shared" si="15"/>
        <v>-237</v>
      </c>
      <c r="G25" s="969">
        <f t="shared" si="2"/>
        <v>-295</v>
      </c>
      <c r="H25" s="969">
        <f t="shared" si="16"/>
        <v>-295</v>
      </c>
      <c r="I25" s="969">
        <f t="shared" si="17"/>
        <v>-270.33333333333331</v>
      </c>
      <c r="J25" s="395">
        <f t="shared" ref="J25:K28" si="19">E25+N25</f>
        <v>-171.19984599999998</v>
      </c>
      <c r="K25" s="395">
        <f t="shared" si="19"/>
        <v>-171.19984599999998</v>
      </c>
      <c r="L25" s="969">
        <f t="shared" si="7"/>
        <v>-437.86651266666667</v>
      </c>
      <c r="M25"/>
      <c r="N25" s="1457">
        <f>SUMIFS('#经营利润'!25:25,'#经营利润'!$1:$1,$B$1,'#经营利润'!$2:$2,"&lt;"&amp;$B$2,'#经营利润'!$4:$4,"汇总利润")</f>
        <v>65.80015400000002</v>
      </c>
      <c r="O25" s="1457">
        <f>SUMIFS('#经营利润'!25:25,'#经营利润'!$1:$1,$B$1,'#经营利润'!$2:$2,"&lt;"&amp;$B$2,'#经营利润'!$4:$4,"经营利润")</f>
        <v>65.80015400000002</v>
      </c>
      <c r="R25" s="1399"/>
      <c r="T25" s="1707" t="s">
        <v>1174</v>
      </c>
      <c r="U25" s="1697">
        <f>-842-6555-4633</f>
        <v>-12030</v>
      </c>
      <c r="V25" s="1706" t="s">
        <v>1196</v>
      </c>
      <c r="X25" s="1698" t="s">
        <v>129</v>
      </c>
      <c r="Y25" s="1703">
        <v>-190.17608299999998</v>
      </c>
    </row>
    <row r="26" spans="1:25" s="1397" customFormat="1" ht="12" customHeight="1">
      <c r="A26" s="1435" t="s">
        <v>124</v>
      </c>
      <c r="B26" s="395">
        <f>'#经营利润'!B26</f>
        <v>41785</v>
      </c>
      <c r="C26" s="395">
        <f>SUMIFS('利润（汇总）'!22:22,'利润（汇总）'!$1:$1,D$1,'利润（汇总）'!$2:$2,D$2)</f>
        <v>2995.2456000000002</v>
      </c>
      <c r="D26" s="395">
        <f t="shared" si="14"/>
        <v>2995.2456000000002</v>
      </c>
      <c r="E26" s="395">
        <f>SUMIFS('@预测#收入利润#'!$M$4:$M$68,'@预测#收入利润#'!$A$4:$A$68,A26)</f>
        <v>3894</v>
      </c>
      <c r="F26" s="395">
        <f t="shared" si="15"/>
        <v>3894</v>
      </c>
      <c r="G26" s="969">
        <f t="shared" si="2"/>
        <v>898.75439999999981</v>
      </c>
      <c r="H26" s="969">
        <f t="shared" si="16"/>
        <v>898.75439999999981</v>
      </c>
      <c r="I26" s="969">
        <f t="shared" si="17"/>
        <v>411.91666666666652</v>
      </c>
      <c r="J26" s="395">
        <f t="shared" si="19"/>
        <v>25959.030545000001</v>
      </c>
      <c r="K26" s="395">
        <f t="shared" si="19"/>
        <v>25959.030545000001</v>
      </c>
      <c r="L26" s="969">
        <f t="shared" si="7"/>
        <v>-1897.6361216666664</v>
      </c>
      <c r="M26"/>
      <c r="N26" s="1457">
        <f>SUMIFS('#经营利润'!26:26,'#经营利润'!$1:$1,$B$1,'#经营利润'!$2:$2,"&lt;"&amp;$B$2,'#经营利润'!$4:$4,"汇总利润")</f>
        <v>22065.030545000001</v>
      </c>
      <c r="O26" s="1457">
        <f>SUMIFS('#经营利润'!26:26,'#经营利润'!$1:$1,$B$1,'#经营利润'!$2:$2,"&lt;"&amp;$B$2,'#经营利润'!$4:$4,"经营利润")</f>
        <v>22065.030545000001</v>
      </c>
      <c r="T26" s="1698" t="s">
        <v>1177</v>
      </c>
      <c r="U26" s="1697">
        <f>-5162-1410-151</f>
        <v>-6723</v>
      </c>
      <c r="V26" s="1685"/>
      <c r="X26" s="1685" t="s">
        <v>1189</v>
      </c>
      <c r="Y26" s="1705">
        <f>SUM(Y27:Y33)</f>
        <v>-1170.5900000000001</v>
      </c>
    </row>
    <row r="27" spans="1:25" s="1397" customFormat="1" ht="12" customHeight="1">
      <c r="A27" s="1435" t="s">
        <v>125</v>
      </c>
      <c r="B27" s="395">
        <f>'#经营利润'!B27</f>
        <v>265</v>
      </c>
      <c r="C27" s="395">
        <f>SUMIFS('利润（汇总）'!23:23,'利润（汇总）'!$1:$1,D$1,'利润（汇总）'!$2:$2,D$2)</f>
        <v>5.79</v>
      </c>
      <c r="D27" s="395">
        <f t="shared" si="14"/>
        <v>5.79</v>
      </c>
      <c r="E27" s="395">
        <f>SUMIFS('@预测#收入利润#'!$M$4:$M$68,'@预测#收入利润#'!$A$4:$A$68,A27)</f>
        <v>34.5</v>
      </c>
      <c r="F27" s="395">
        <f t="shared" si="15"/>
        <v>34.5</v>
      </c>
      <c r="G27" s="969">
        <f t="shared" si="2"/>
        <v>28.71</v>
      </c>
      <c r="H27" s="969">
        <f t="shared" si="16"/>
        <v>28.71</v>
      </c>
      <c r="I27" s="969">
        <f t="shared" si="17"/>
        <v>12.416666666666668</v>
      </c>
      <c r="J27" s="395">
        <f t="shared" si="19"/>
        <v>191.37211599999998</v>
      </c>
      <c r="K27" s="395">
        <f t="shared" si="19"/>
        <v>191.37211599999998</v>
      </c>
      <c r="L27" s="969">
        <f t="shared" si="7"/>
        <v>14.70544933333332</v>
      </c>
      <c r="M27"/>
      <c r="N27" s="1457">
        <f>SUMIFS('#经营利润'!27:27,'#经营利润'!$1:$1,$B$1,'#经营利润'!$2:$2,"&lt;"&amp;$B$2,'#经营利润'!$4:$4,"汇总利润")</f>
        <v>156.87211599999998</v>
      </c>
      <c r="O27" s="1457">
        <f>SUMIFS('#经营利润'!27:27,'#经营利润'!$1:$1,$B$1,'#经营利润'!$2:$2,"&lt;"&amp;$B$2,'#经营利润'!$4:$4,"经营利润")</f>
        <v>156.87211599999998</v>
      </c>
      <c r="T27" s="1696" t="s">
        <v>1173</v>
      </c>
      <c r="U27" s="1697">
        <v>-4629</v>
      </c>
      <c r="V27" s="1685"/>
      <c r="X27" s="1698" t="s">
        <v>113</v>
      </c>
      <c r="Y27" s="1703">
        <v>-803</v>
      </c>
    </row>
    <row r="28" spans="1:25" s="1397" customFormat="1" ht="12" customHeight="1">
      <c r="A28" s="1435" t="s">
        <v>126</v>
      </c>
      <c r="B28" s="395">
        <f>'#经营利润'!B28</f>
        <v>8200</v>
      </c>
      <c r="C28" s="395">
        <f>SUMIFS('利润（汇总）'!24:24,'利润（汇总）'!$1:$1,D$1,'利润（汇总）'!$2:$2,D$2)</f>
        <v>-467</v>
      </c>
      <c r="D28" s="395">
        <f t="shared" si="14"/>
        <v>-467</v>
      </c>
      <c r="E28" s="395">
        <f>SUMIFS('@预测#收入利润#'!$M$4:$M$68,'@预测#收入利润#'!$A$4:$A$68,A28)</f>
        <v>460</v>
      </c>
      <c r="F28" s="395">
        <f t="shared" si="15"/>
        <v>460</v>
      </c>
      <c r="G28" s="969">
        <f t="shared" si="2"/>
        <v>927</v>
      </c>
      <c r="H28" s="969">
        <f t="shared" si="16"/>
        <v>927</v>
      </c>
      <c r="I28" s="969">
        <f t="shared" si="17"/>
        <v>-223.33333333333337</v>
      </c>
      <c r="J28" s="395">
        <f t="shared" si="19"/>
        <v>4556.5110649999997</v>
      </c>
      <c r="K28" s="395">
        <f t="shared" si="19"/>
        <v>4556.5110649999997</v>
      </c>
      <c r="L28" s="969">
        <f t="shared" si="7"/>
        <v>-910.15560166666728</v>
      </c>
      <c r="M28"/>
      <c r="N28" s="1457">
        <f>SUMIFS('#经营利润'!28:28,'#经营利润'!$1:$1,$B$1,'#经营利润'!$2:$2,"&lt;"&amp;$B$2,'#经营利润'!$4:$4,"汇总利润")</f>
        <v>4096.5110649999997</v>
      </c>
      <c r="O28" s="1457">
        <f>SUMIFS('#经营利润'!28:28,'#经营利润'!$1:$1,$B$1,'#经营利润'!$2:$2,"&lt;"&amp;$B$2,'#经营利润'!$4:$4,"经营利润")</f>
        <v>4096.5110649999997</v>
      </c>
      <c r="S28" s="1689"/>
      <c r="T28" s="1698" t="s">
        <v>1178</v>
      </c>
      <c r="U28" s="1697">
        <f>1937+1823</f>
        <v>3760</v>
      </c>
      <c r="V28" s="1706" t="s">
        <v>1197</v>
      </c>
      <c r="X28" s="1698" t="s">
        <v>116</v>
      </c>
      <c r="Y28" s="1703">
        <v>-218</v>
      </c>
    </row>
    <row r="29" spans="1:25" s="1397" customFormat="1" ht="12" customHeight="1">
      <c r="A29" s="1435" t="s">
        <v>127</v>
      </c>
      <c r="B29" s="395">
        <f>'#经营利润'!B29</f>
        <v>7693</v>
      </c>
      <c r="C29" s="395">
        <f>SUMIFS('利润（汇总）'!19:19,'利润（汇总）'!$1:$1,D$1,'利润（汇总）'!$2:$2,D$2)</f>
        <v>519.64996300000007</v>
      </c>
      <c r="D29" s="395">
        <f t="shared" si="14"/>
        <v>519.64996300000007</v>
      </c>
      <c r="E29" s="395">
        <f>SUMIFS('@预测#收入利润#'!$M$4:$M$68,'@预测#收入利润#'!$A$4:$A$68,A29)</f>
        <v>532</v>
      </c>
      <c r="F29" s="395">
        <f t="shared" si="15"/>
        <v>532</v>
      </c>
      <c r="G29" s="969">
        <f t="shared" si="2"/>
        <v>12.350036999999929</v>
      </c>
      <c r="H29" s="969">
        <f t="shared" si="16"/>
        <v>12.350036999999929</v>
      </c>
      <c r="I29" s="969">
        <f t="shared" si="17"/>
        <v>-109.08333333333337</v>
      </c>
      <c r="J29" s="395">
        <f t="shared" si="18"/>
        <v>4343.1511890000002</v>
      </c>
      <c r="K29" s="395">
        <f t="shared" si="18"/>
        <v>4343.1511890000002</v>
      </c>
      <c r="L29" s="969">
        <f t="shared" si="7"/>
        <v>-785.51547766666681</v>
      </c>
      <c r="M29"/>
      <c r="N29" s="1457">
        <f>SUMIFS('#经营利润'!29:29,'#经营利润'!$1:$1,$B$1,'#经营利润'!$2:$2,"&lt;"&amp;$B$2,'#经营利润'!$4:$4,"汇总利润")</f>
        <v>3811.1511890000002</v>
      </c>
      <c r="O29" s="1457">
        <f>SUMIFS('#经营利润'!29:29,'#经营利润'!$1:$1,$B$1,'#经营利润'!$2:$2,"&lt;"&amp;$B$2,'#经营利润'!$4:$4,"经营利润")</f>
        <v>3811.1511890000002</v>
      </c>
      <c r="Q29" s="186"/>
      <c r="R29" s="186"/>
      <c r="S29"/>
      <c r="T29" s="1696" t="s">
        <v>1176</v>
      </c>
      <c r="U29" s="1697">
        <v>1865</v>
      </c>
      <c r="V29" s="1685"/>
      <c r="X29" s="1698" t="s">
        <v>117</v>
      </c>
      <c r="Y29" s="1703">
        <v>-61.72</v>
      </c>
    </row>
    <row r="30" spans="1:25" s="1397" customFormat="1" ht="12" customHeight="1">
      <c r="A30" s="1435" t="s">
        <v>128</v>
      </c>
      <c r="B30" s="395">
        <f>'#经营利润'!B30</f>
        <v>2790</v>
      </c>
      <c r="C30" s="395">
        <f>SUMIFS('利润（汇总）'!20:20,'利润（汇总）'!$1:$1,D$1,'利润（汇总）'!$2:$2,D$2)</f>
        <v>195.67499799999999</v>
      </c>
      <c r="D30" s="395">
        <f t="shared" si="14"/>
        <v>195.67499799999999</v>
      </c>
      <c r="E30" s="395">
        <f>SUMIFS('@预测#收入利润#'!$M$4:$M$68,'@预测#收入利润#'!$A$4:$A$68,A30)</f>
        <v>205</v>
      </c>
      <c r="F30" s="395">
        <f t="shared" si="15"/>
        <v>205</v>
      </c>
      <c r="G30" s="969">
        <f t="shared" si="2"/>
        <v>9.325002000000012</v>
      </c>
      <c r="H30" s="969">
        <f t="shared" si="16"/>
        <v>9.325002000000012</v>
      </c>
      <c r="I30" s="969">
        <f t="shared" si="17"/>
        <v>-27.5</v>
      </c>
      <c r="J30" s="395">
        <f t="shared" si="18"/>
        <v>1580.3932789999999</v>
      </c>
      <c r="K30" s="395">
        <f t="shared" si="18"/>
        <v>1580.3932789999999</v>
      </c>
      <c r="L30" s="969">
        <f t="shared" si="7"/>
        <v>-279.60672100000011</v>
      </c>
      <c r="M30"/>
      <c r="N30" s="1457">
        <f>SUMIFS('#经营利润'!30:30,'#经营利润'!$1:$1,$B$1,'#经营利润'!$2:$2,"&lt;"&amp;$B$2,'#经营利润'!$4:$4,"汇总利润")</f>
        <v>1375.3932789999999</v>
      </c>
      <c r="O30" s="1457">
        <f>SUMIFS('#经营利润'!30:30,'#经营利润'!$1:$1,$B$1,'#经营利润'!$2:$2,"&lt;"&amp;$B$2,'#经营利润'!$4:$4,"经营利润")</f>
        <v>1375.3932789999999</v>
      </c>
      <c r="Q30" s="186"/>
      <c r="R30" s="186"/>
      <c r="S30"/>
      <c r="T30" s="1698" t="s">
        <v>1179</v>
      </c>
      <c r="U30" s="1697">
        <f>U24-SUM(U25:U29)</f>
        <v>1271</v>
      </c>
      <c r="V30" s="1685"/>
      <c r="X30" s="1698" t="s">
        <v>137</v>
      </c>
      <c r="Y30" s="1703">
        <v>-27.22</v>
      </c>
    </row>
    <row r="31" spans="1:25" s="1397" customFormat="1" ht="12" customHeight="1">
      <c r="A31" s="1435" t="s">
        <v>129</v>
      </c>
      <c r="B31" s="395">
        <f>'#经营利润'!B31</f>
        <v>2065</v>
      </c>
      <c r="C31" s="395">
        <f>SUMIFS('利润（汇总）'!25:25,'利润（汇总）'!$1:$1,D$1,'利润（汇总）'!$2:$2,D$2)</f>
        <v>130.30000000000001</v>
      </c>
      <c r="D31" s="395">
        <f t="shared" si="14"/>
        <v>130.30000000000001</v>
      </c>
      <c r="E31" s="395">
        <f>SUMIFS('@预测#收入利润#'!$M$4:$M$68,'@预测#收入利润#'!$A$4:$A$68,A31)</f>
        <v>30</v>
      </c>
      <c r="F31" s="395">
        <f t="shared" si="15"/>
        <v>30</v>
      </c>
      <c r="G31" s="969">
        <f t="shared" si="2"/>
        <v>-100.30000000000001</v>
      </c>
      <c r="H31" s="969">
        <f>F31-D31</f>
        <v>-100.30000000000001</v>
      </c>
      <c r="I31" s="969">
        <f t="shared" ref="I31:I43" si="20">E31-B31/12</f>
        <v>-142.08333333333334</v>
      </c>
      <c r="J31" s="395">
        <f>E31+N31</f>
        <v>1372.515281</v>
      </c>
      <c r="K31" s="395">
        <f>F31+O31</f>
        <v>1372.515281</v>
      </c>
      <c r="L31" s="969">
        <f t="shared" si="7"/>
        <v>-4.1513856666667834</v>
      </c>
      <c r="M31"/>
      <c r="N31" s="1457">
        <f>SUMIFS('#经营利润'!31:31,'#经营利润'!$1:$1,$B$1,'#经营利润'!$2:$2,"&lt;"&amp;$B$2,'#经营利润'!$4:$4,"汇总利润")</f>
        <v>1342.515281</v>
      </c>
      <c r="O31" s="1457">
        <f>SUMIFS('#经营利润'!31:31,'#经营利润'!$1:$1,$B$1,'#经营利润'!$2:$2,"&lt;"&amp;$B$2,'#经营利润'!$4:$4,"经营利润")</f>
        <v>1342.515281</v>
      </c>
      <c r="Q31" s="186"/>
      <c r="R31" s="186"/>
      <c r="S31"/>
      <c r="T31" s="1685" t="s">
        <v>1183</v>
      </c>
      <c r="U31" s="1695">
        <f>U32+U33</f>
        <v>4963</v>
      </c>
      <c r="V31" s="1685"/>
      <c r="X31" s="1698" t="s">
        <v>121</v>
      </c>
      <c r="Y31" s="1703">
        <v>-32</v>
      </c>
    </row>
    <row r="32" spans="1:25" s="1397" customFormat="1" ht="12" customHeight="1">
      <c r="A32" s="1435" t="s">
        <v>130</v>
      </c>
      <c r="B32" s="395">
        <f>'#经营利润'!B32</f>
        <v>1700</v>
      </c>
      <c r="C32" s="395">
        <f>SUMIFS('利润（汇总）'!26:26,'利润（汇总）'!$1:$1,D$1,'利润（汇总）'!$2:$2,D$2)</f>
        <v>112.7</v>
      </c>
      <c r="D32" s="395">
        <f t="shared" si="14"/>
        <v>112.7</v>
      </c>
      <c r="E32" s="395">
        <f>SUMIFS('@预测#收入利润#'!$M$4:$M$68,'@预测#收入利润#'!$A$4:$A$68,A32)</f>
        <v>176</v>
      </c>
      <c r="F32" s="395">
        <f t="shared" si="15"/>
        <v>176</v>
      </c>
      <c r="G32" s="969">
        <f t="shared" si="2"/>
        <v>63.3</v>
      </c>
      <c r="H32" s="969">
        <f>F32-D32</f>
        <v>63.3</v>
      </c>
      <c r="I32" s="969">
        <f t="shared" si="20"/>
        <v>34.333333333333343</v>
      </c>
      <c r="J32" s="395">
        <f t="shared" ref="J32:K34" si="21">E32+N32</f>
        <v>1337.2425489999998</v>
      </c>
      <c r="K32" s="395">
        <f t="shared" si="21"/>
        <v>1337.2425489999998</v>
      </c>
      <c r="L32" s="969">
        <f t="shared" si="7"/>
        <v>203.90921566666657</v>
      </c>
      <c r="M32"/>
      <c r="N32" s="1457">
        <f>SUMIFS('#经营利润'!32:32,'#经营利润'!$1:$1,$B$1,'#经营利润'!$2:$2,"&lt;"&amp;$B$2,'#经营利润'!$4:$4,"汇总利润")</f>
        <v>1161.2425489999998</v>
      </c>
      <c r="O32" s="1457">
        <f>SUMIFS('#经营利润'!32:32,'#经营利润'!$1:$1,$B$1,'#经营利润'!$2:$2,"&lt;"&amp;$B$2,'#经营利润'!$4:$4,"经营利润")</f>
        <v>1161.2425489999998</v>
      </c>
      <c r="Q32" s="186"/>
      <c r="R32" s="186"/>
      <c r="S32"/>
      <c r="T32" s="1696" t="s">
        <v>1175</v>
      </c>
      <c r="U32" s="1697">
        <v>7044</v>
      </c>
      <c r="V32" s="1685"/>
      <c r="X32" s="1698" t="s">
        <v>977</v>
      </c>
      <c r="Y32" s="1703">
        <v>-13.91</v>
      </c>
    </row>
    <row r="33" spans="1:25" s="1397" customFormat="1" ht="12" customHeight="1">
      <c r="A33" s="1435" t="s">
        <v>131</v>
      </c>
      <c r="B33" s="395">
        <f>'#经营利润'!B33</f>
        <v>1118</v>
      </c>
      <c r="C33" s="395">
        <f>SUMIFS('利润（汇总）'!27:27,'利润（汇总）'!$1:$1,D$1,'利润（汇总）'!$2:$2,D$2)</f>
        <v>-101.637</v>
      </c>
      <c r="D33" s="395">
        <f t="shared" si="14"/>
        <v>-101.637</v>
      </c>
      <c r="E33" s="395">
        <f>SUMIFS('@预测#收入利润#'!$M$4:$M$68,'@预测#收入利润#'!$A$4:$A$68,A33)</f>
        <v>151</v>
      </c>
      <c r="F33" s="395">
        <f t="shared" si="15"/>
        <v>151</v>
      </c>
      <c r="G33" s="969">
        <f t="shared" si="2"/>
        <v>252.637</v>
      </c>
      <c r="H33" s="969">
        <f>F33-D33</f>
        <v>252.637</v>
      </c>
      <c r="I33" s="969">
        <f t="shared" si="20"/>
        <v>57.833333333333329</v>
      </c>
      <c r="J33" s="395">
        <f t="shared" si="21"/>
        <v>305.00336499999997</v>
      </c>
      <c r="K33" s="395">
        <f t="shared" si="21"/>
        <v>305.00336499999997</v>
      </c>
      <c r="L33" s="969">
        <f t="shared" si="7"/>
        <v>-440.3299683333334</v>
      </c>
      <c r="M33"/>
      <c r="N33" s="1457">
        <f>SUMIFS('#经营利润'!33:33,'#经营利润'!$1:$1,$B$1,'#经营利润'!$2:$2,"&lt;"&amp;$B$2,'#经营利润'!$4:$4,"汇总利润")</f>
        <v>154.00336499999997</v>
      </c>
      <c r="O33" s="1457">
        <f>SUMIFS('#经营利润'!33:33,'#经营利润'!$1:$1,$B$1,'#经营利润'!$2:$2,"&lt;"&amp;$B$2,'#经营利润'!$4:$4,"经营利润")</f>
        <v>154.00336499999997</v>
      </c>
      <c r="Q33" s="186"/>
      <c r="R33" s="186"/>
      <c r="S33"/>
      <c r="T33" s="1698" t="s">
        <v>1180</v>
      </c>
      <c r="U33" s="1697">
        <v>-2081</v>
      </c>
      <c r="V33" s="1686"/>
      <c r="X33" s="1698" t="s">
        <v>130</v>
      </c>
      <c r="Y33" s="1703">
        <v>-14.74</v>
      </c>
    </row>
    <row r="34" spans="1:25" s="1397" customFormat="1" ht="12" customHeight="1">
      <c r="A34" s="1435" t="s">
        <v>132</v>
      </c>
      <c r="B34" s="395">
        <f>'#经营利润'!B34</f>
        <v>3350</v>
      </c>
      <c r="C34" s="395">
        <f>SUMIFS('利润（汇总）'!28:28,'利润（汇总）'!$1:$1,D$1,'利润（汇总）'!$2:$2,D$2)</f>
        <v>-191.368336</v>
      </c>
      <c r="D34" s="395">
        <f t="shared" si="14"/>
        <v>-191.368336</v>
      </c>
      <c r="E34" s="395">
        <f>SUMIFS('@预测#收入利润#'!$M$4:$M$68,'@预测#收入利润#'!$A$4:$A$68,A34)</f>
        <v>0</v>
      </c>
      <c r="F34" s="395">
        <f t="shared" si="15"/>
        <v>0</v>
      </c>
      <c r="G34" s="969">
        <f t="shared" si="2"/>
        <v>191.368336</v>
      </c>
      <c r="H34" s="969">
        <f>F34-D34</f>
        <v>191.368336</v>
      </c>
      <c r="I34" s="969">
        <f t="shared" si="20"/>
        <v>-279.16666666666669</v>
      </c>
      <c r="J34" s="395">
        <f t="shared" si="21"/>
        <v>1004.81726</v>
      </c>
      <c r="K34" s="395">
        <f t="shared" si="21"/>
        <v>1004.81726</v>
      </c>
      <c r="L34" s="969">
        <f t="shared" si="7"/>
        <v>-1228.5160733333335</v>
      </c>
      <c r="M34"/>
      <c r="N34" s="1457">
        <f>SUMIFS('#经营利润'!34:34,'#经营利润'!$1:$1,$B$1,'#经营利润'!$2:$2,"&lt;"&amp;$B$2,'#经营利润'!$4:$4,"汇总利润")</f>
        <v>1004.81726</v>
      </c>
      <c r="O34" s="1457">
        <f>SUMIFS('#经营利润'!34:34,'#经营利润'!$1:$1,$B$1,'#经营利润'!$2:$2,"&lt;"&amp;$B$2,'#经营利润'!$4:$4,"经营利润")</f>
        <v>1004.81726</v>
      </c>
      <c r="Q34" s="186"/>
      <c r="R34" s="186"/>
      <c r="S34"/>
      <c r="T34" s="1685" t="s">
        <v>1184</v>
      </c>
      <c r="U34" s="1695">
        <f>SUM(H16:H43)</f>
        <v>988.84251499998697</v>
      </c>
      <c r="V34" s="1704" t="s">
        <v>1191</v>
      </c>
      <c r="X34" s="1685" t="s">
        <v>1192</v>
      </c>
      <c r="Y34" s="1705">
        <f>SUM(Y35:Y41)</f>
        <v>-1544.34</v>
      </c>
    </row>
    <row r="35" spans="1:25" s="1397" customFormat="1" ht="12" customHeight="1">
      <c r="A35" s="1435" t="s">
        <v>133</v>
      </c>
      <c r="B35" s="395">
        <f>'#经营利润'!B35</f>
        <v>-110</v>
      </c>
      <c r="C35" s="395">
        <f>SUMIFS('利润（汇总）'!29:29,'利润（汇总）'!$1:$1,D$1,'利润（汇总）'!$2:$2,D$2)</f>
        <v>-9</v>
      </c>
      <c r="D35" s="395">
        <f t="shared" ref="D35:D42" si="22">C35</f>
        <v>-9</v>
      </c>
      <c r="E35" s="395">
        <f>SUMIFS('@预测#收入利润#'!$M$4:$M$68,'@预测#收入利润#'!$A$4:$A$68,A35)</f>
        <v>-9</v>
      </c>
      <c r="F35" s="395">
        <f t="shared" ref="F35:F42" si="23">E35</f>
        <v>-9</v>
      </c>
      <c r="G35" s="969">
        <f t="shared" si="2"/>
        <v>0</v>
      </c>
      <c r="H35" s="969">
        <f>F35-D35</f>
        <v>0</v>
      </c>
      <c r="I35" s="969">
        <f t="shared" si="20"/>
        <v>0.16666666666666607</v>
      </c>
      <c r="J35" s="395">
        <f>E35+N35</f>
        <v>21.695625999999997</v>
      </c>
      <c r="K35" s="395">
        <f>F35+O35</f>
        <v>21.695625999999997</v>
      </c>
      <c r="L35" s="969">
        <f t="shared" si="7"/>
        <v>95.028959333333319</v>
      </c>
      <c r="M35"/>
      <c r="N35" s="1457">
        <f>SUMIFS('#经营利润'!35:35,'#经营利润'!$1:$1,$B$1,'#经营利润'!$2:$2,"&lt;"&amp;$B$2,'#经营利润'!$4:$4,"汇总利润")</f>
        <v>30.695625999999997</v>
      </c>
      <c r="O35" s="1457">
        <f>SUMIFS('#经营利润'!35:35,'#经营利润'!$1:$1,$B$1,'#经营利润'!$2:$2,"&lt;"&amp;$B$2,'#经营利润'!$4:$4,"经营利润")</f>
        <v>30.695625999999997</v>
      </c>
      <c r="Q35" s="186"/>
      <c r="R35" s="186"/>
      <c r="S35"/>
      <c r="T35" s="1685" t="s">
        <v>1185</v>
      </c>
      <c r="U35" s="1695">
        <f>G44</f>
        <v>80.954999999999927</v>
      </c>
      <c r="V35" s="1686"/>
      <c r="X35" s="1698" t="s">
        <v>1190</v>
      </c>
      <c r="Y35" s="1703">
        <v>-262</v>
      </c>
    </row>
    <row r="36" spans="1:25" s="1397" customFormat="1" ht="12" customHeight="1">
      <c r="A36" s="1435" t="s">
        <v>134</v>
      </c>
      <c r="B36" s="395">
        <f>'#经营利润'!B36</f>
        <v>290</v>
      </c>
      <c r="C36" s="395">
        <f>SUMIFS('利润（汇总）'!30:30,'利润（汇总）'!$1:$1,D$1,'利润（汇总）'!$2:$2,D$2)</f>
        <v>1.73327899999999</v>
      </c>
      <c r="D36" s="395">
        <f t="shared" si="22"/>
        <v>1.73327899999999</v>
      </c>
      <c r="E36" s="395">
        <f>SUMIFS('@预测#收入利润#'!$M$4:$M$68,'@预测#收入利润#'!$A$4:$A$68,A36)</f>
        <v>15</v>
      </c>
      <c r="F36" s="395">
        <f t="shared" si="23"/>
        <v>15</v>
      </c>
      <c r="G36" s="969">
        <f t="shared" si="2"/>
        <v>13.266721000000009</v>
      </c>
      <c r="H36" s="969">
        <f t="shared" ref="H36:H44" si="24">F36-D36</f>
        <v>13.266721000000009</v>
      </c>
      <c r="I36" s="969">
        <f t="shared" si="20"/>
        <v>-9.1666666666666679</v>
      </c>
      <c r="J36" s="395">
        <f>E36+N36</f>
        <v>196.22421899999998</v>
      </c>
      <c r="K36" s="395">
        <f t="shared" ref="K36:K42" si="25">F36+O36</f>
        <v>196.22421899999998</v>
      </c>
      <c r="L36" s="969">
        <f t="shared" si="7"/>
        <v>2.8908856666666338</v>
      </c>
      <c r="M36"/>
      <c r="N36" s="1457">
        <f>SUMIFS('#经营利润'!36:36,'#经营利润'!$1:$1,$B$1,'#经营利润'!$2:$2,"&lt;"&amp;$B$2,'#经营利润'!$4:$4,"汇总利润")</f>
        <v>181.22421899999998</v>
      </c>
      <c r="O36" s="1457">
        <f>SUMIFS('#经营利润'!36:36,'#经营利润'!$1:$1,$B$1,'#经营利润'!$2:$2,"&lt;"&amp;$B$2,'#经营利润'!$4:$4,"经营利润")</f>
        <v>181.22421899999998</v>
      </c>
      <c r="Q36" s="186"/>
      <c r="R36" s="186"/>
      <c r="S36"/>
      <c r="V36" s="1688"/>
      <c r="X36" s="1698" t="s">
        <v>117</v>
      </c>
      <c r="Y36" s="1703">
        <v>-18.21</v>
      </c>
    </row>
    <row r="37" spans="1:25" s="1397" customFormat="1" ht="12" customHeight="1">
      <c r="A37" s="1435" t="s">
        <v>135</v>
      </c>
      <c r="B37" s="395">
        <f>'#经营利润'!B37</f>
        <v>-142</v>
      </c>
      <c r="C37" s="395">
        <f>SUMIFS('利润（汇总）'!31:31,'利润（汇总）'!$1:$1,D$1,'利润（汇总）'!$2:$2,D$2)</f>
        <v>-11.501206</v>
      </c>
      <c r="D37" s="395">
        <f t="shared" si="22"/>
        <v>-11.501206</v>
      </c>
      <c r="E37" s="395">
        <f>SUMIFS('@预测#收入利润#'!$M$4:$M$68,'@预测#收入利润#'!$A$4:$A$68,A37)</f>
        <v>-12</v>
      </c>
      <c r="F37" s="395">
        <f t="shared" si="23"/>
        <v>-12</v>
      </c>
      <c r="G37" s="969">
        <f t="shared" si="2"/>
        <v>-0.49879400000000018</v>
      </c>
      <c r="H37" s="969">
        <f>F37-D37</f>
        <v>-0.49879400000000018</v>
      </c>
      <c r="I37" s="969">
        <f t="shared" si="20"/>
        <v>-0.16666666666666607</v>
      </c>
      <c r="J37" s="395">
        <f t="shared" ref="J37:J42" si="26">E37+N37</f>
        <v>-85.98357</v>
      </c>
      <c r="K37" s="395">
        <f t="shared" si="25"/>
        <v>-85.98357</v>
      </c>
      <c r="L37" s="969">
        <f t="shared" si="7"/>
        <v>8.6830966666666711</v>
      </c>
      <c r="M37"/>
      <c r="N37" s="1457">
        <f>SUMIFS('#经营利润'!37:37,'#经营利润'!$1:$1,$B$1,'#经营利润'!$2:$2,"&lt;"&amp;$B$2,'#经营利润'!$4:$4,"汇总利润")</f>
        <v>-73.98357</v>
      </c>
      <c r="O37" s="1457">
        <f>SUMIFS('#经营利润'!37:37,'#经营利润'!$1:$1,$B$1,'#经营利润'!$2:$2,"&lt;"&amp;$B$2,'#经营利润'!$4:$4,"经营利润")</f>
        <v>-73.98357</v>
      </c>
      <c r="R37" s="186"/>
      <c r="S37"/>
      <c r="T37" s="1687" t="s">
        <v>1187</v>
      </c>
      <c r="U37" s="1693" t="s">
        <v>1188</v>
      </c>
      <c r="V37" s="1688"/>
      <c r="X37" s="1698" t="s">
        <v>132</v>
      </c>
      <c r="Y37" s="1703">
        <v>-350</v>
      </c>
    </row>
    <row r="38" spans="1:25" s="1397" customFormat="1" ht="12" customHeight="1">
      <c r="A38" s="1435" t="s">
        <v>136</v>
      </c>
      <c r="B38" s="395">
        <f>'#经营利润'!B38</f>
        <v>-17</v>
      </c>
      <c r="C38" s="395">
        <f>SUMIFS('利润（汇总）'!32:32,'利润（汇总）'!$1:$1,D$1,'利润（汇总）'!$2:$2,D$2)</f>
        <v>-1.22</v>
      </c>
      <c r="D38" s="395">
        <f t="shared" si="22"/>
        <v>-1.22</v>
      </c>
      <c r="E38" s="395">
        <f>SUMIFS('@预测#收入利润#'!$M$4:$M$68,'@预测#收入利润#'!$A$4:$A$68,A38)</f>
        <v>-1</v>
      </c>
      <c r="F38" s="395">
        <f t="shared" si="23"/>
        <v>-1</v>
      </c>
      <c r="G38" s="969">
        <f t="shared" si="2"/>
        <v>0.21999999999999997</v>
      </c>
      <c r="H38" s="969">
        <f>F38-D38</f>
        <v>0.21999999999999997</v>
      </c>
      <c r="I38" s="969">
        <f t="shared" si="20"/>
        <v>0.41666666666666674</v>
      </c>
      <c r="J38" s="395">
        <f t="shared" si="26"/>
        <v>-10.553311000000001</v>
      </c>
      <c r="K38" s="395">
        <f t="shared" si="25"/>
        <v>-10.553311000000001</v>
      </c>
      <c r="L38" s="969">
        <f t="shared" si="7"/>
        <v>0.78002233333333315</v>
      </c>
      <c r="M38"/>
      <c r="N38" s="1457">
        <f>SUMIFS('#经营利润'!38:38,'#经营利润'!$1:$1,$B$1,'#经营利润'!$2:$2,"&lt;"&amp;$B$2,'#经营利润'!$4:$4,"汇总利润")</f>
        <v>-9.5533110000000008</v>
      </c>
      <c r="O38" s="1457">
        <f>SUMIFS('#经营利润'!38:38,'#经营利润'!$1:$1,$B$1,'#经营利润'!$2:$2,"&lt;"&amp;$B$2,'#经营利润'!$4:$4,"经营利润")</f>
        <v>-9.5533110000000008</v>
      </c>
      <c r="R38" s="186"/>
      <c r="S38"/>
      <c r="T38" s="1694" t="s">
        <v>1186</v>
      </c>
      <c r="U38" s="1695" t="e">
        <f>#REF!</f>
        <v>#REF!</v>
      </c>
      <c r="V38" s="1688"/>
      <c r="X38" s="1698" t="s">
        <v>116</v>
      </c>
      <c r="Y38" s="1703">
        <v>-140.15</v>
      </c>
    </row>
    <row r="39" spans="1:25" s="1397" customFormat="1" ht="12" customHeight="1">
      <c r="A39" s="1435" t="s">
        <v>137</v>
      </c>
      <c r="B39" s="395">
        <f>'#经营利润'!B39</f>
        <v>1500</v>
      </c>
      <c r="C39" s="395">
        <f>SUMIFS('利润（汇总）'!33:33,'利润（汇总）'!$1:$1,D$1,'利润（汇总）'!$2:$2,D$2)</f>
        <v>0</v>
      </c>
      <c r="D39" s="395">
        <f t="shared" si="22"/>
        <v>0</v>
      </c>
      <c r="E39" s="395">
        <f>SUMIFS('@预测#收入利润#'!$M$4:$M$68,'@预测#收入利润#'!$A$4:$A$68,A39)</f>
        <v>0</v>
      </c>
      <c r="F39" s="395">
        <f t="shared" si="23"/>
        <v>0</v>
      </c>
      <c r="G39" s="969">
        <f t="shared" si="2"/>
        <v>0</v>
      </c>
      <c r="H39" s="969">
        <f>F39-D39</f>
        <v>0</v>
      </c>
      <c r="I39" s="969">
        <f t="shared" si="20"/>
        <v>-125</v>
      </c>
      <c r="J39" s="395">
        <f t="shared" si="26"/>
        <v>0</v>
      </c>
      <c r="K39" s="395">
        <f>F39+N39</f>
        <v>0</v>
      </c>
      <c r="L39" s="969">
        <f t="shared" si="7"/>
        <v>-1000</v>
      </c>
      <c r="M39"/>
      <c r="N39" s="1457">
        <f>SUMIFS('#经营利润'!39:39,'#经营利润'!$1:$1,$B$1,'#经营利润'!$2:$2,"&lt;"&amp;$B$2,'#经营利润'!$4:$4,"汇总利润")</f>
        <v>0</v>
      </c>
      <c r="O39" s="1457">
        <f>SUMIFS('#经营利润'!39:39,'#经营利润'!$1:$1,$B$1,'#经营利润'!$2:$2,"&lt;"&amp;$B$2,'#经营利润'!$4:$4,"经营利润")</f>
        <v>0</v>
      </c>
      <c r="R39" s="186"/>
      <c r="S39"/>
      <c r="T39" s="1696" t="s">
        <v>1193</v>
      </c>
      <c r="U39" s="1697">
        <f>1865+5739</f>
        <v>7604</v>
      </c>
      <c r="V39" s="1688"/>
      <c r="X39" s="1698" t="s">
        <v>506</v>
      </c>
      <c r="Y39" s="1703">
        <v>-121.28</v>
      </c>
    </row>
    <row r="40" spans="1:25" s="1397" customFormat="1" ht="12" customHeight="1">
      <c r="A40" s="1435" t="s">
        <v>138</v>
      </c>
      <c r="B40" s="395">
        <f>'#经营利润'!B40</f>
        <v>-57</v>
      </c>
      <c r="C40" s="395">
        <f>SUMIFS('利润（汇总）'!34:34,'利润（汇总）'!$1:$1,D$1,'利润（汇总）'!$2:$2,D$2)</f>
        <v>0</v>
      </c>
      <c r="D40" s="395">
        <f t="shared" si="22"/>
        <v>0</v>
      </c>
      <c r="E40" s="395">
        <f>SUMIFS('@预测#收入利润#'!$M$4:$M$68,'@预测#收入利润#'!$A$4:$A$68,A40)</f>
        <v>0</v>
      </c>
      <c r="F40" s="395">
        <f t="shared" si="23"/>
        <v>0</v>
      </c>
      <c r="G40" s="969">
        <f t="shared" si="2"/>
        <v>0</v>
      </c>
      <c r="H40" s="969">
        <f t="shared" si="24"/>
        <v>0</v>
      </c>
      <c r="I40" s="969">
        <f t="shared" si="20"/>
        <v>4.75</v>
      </c>
      <c r="J40" s="395">
        <f t="shared" si="26"/>
        <v>-18.590821000000002</v>
      </c>
      <c r="K40" s="395">
        <f t="shared" si="25"/>
        <v>-18.590821000000002</v>
      </c>
      <c r="L40" s="969">
        <f t="shared" si="7"/>
        <v>19.409178999999998</v>
      </c>
      <c r="M40"/>
      <c r="N40" s="1457">
        <f>SUMIFS('#经营利润'!40:40,'#经营利润'!$1:$1,$B$1,'#经营利润'!$2:$2,"&lt;"&amp;$B$2,'#经营利润'!$4:$4,"汇总利润")</f>
        <v>-18.590821000000002</v>
      </c>
      <c r="O40" s="1457">
        <f>SUMIFS('#经营利润'!40:40,'#经营利润'!$1:$1,$B$1,'#经营利润'!$2:$2,"&lt;"&amp;$B$2,'#经营利润'!$4:$4,"经营利润")</f>
        <v>-18.590821000000002</v>
      </c>
      <c r="R40" s="186"/>
      <c r="S40"/>
      <c r="T40" s="1696" t="s">
        <v>1175</v>
      </c>
      <c r="U40" s="1697">
        <v>7044</v>
      </c>
      <c r="V40" s="1688"/>
      <c r="X40" s="1698" t="s">
        <v>130</v>
      </c>
      <c r="Y40" s="1703">
        <v>-329.7</v>
      </c>
    </row>
    <row r="41" spans="1:25" s="1397" customFormat="1" ht="12" customHeight="1">
      <c r="A41" s="1435" t="s">
        <v>139</v>
      </c>
      <c r="B41" s="395">
        <f>'#经营利润'!B41</f>
        <v>586</v>
      </c>
      <c r="C41" s="395">
        <f>SUMIFS('利润（汇总）'!35:35,'利润（汇总）'!$1:$1,D$1,'利润（汇总）'!$2:$2,D$2)</f>
        <v>-17</v>
      </c>
      <c r="D41" s="395">
        <f t="shared" si="22"/>
        <v>-17</v>
      </c>
      <c r="E41" s="395">
        <f>SUMIFS('@预测#收入利润#'!$M$4:$M$68,'@预测#收入利润#'!$A$4:$A$68,A41)</f>
        <v>-17</v>
      </c>
      <c r="F41" s="395">
        <f t="shared" si="23"/>
        <v>-17</v>
      </c>
      <c r="G41" s="969">
        <f t="shared" si="2"/>
        <v>0</v>
      </c>
      <c r="H41" s="969">
        <f t="shared" si="24"/>
        <v>0</v>
      </c>
      <c r="I41" s="969">
        <f t="shared" si="20"/>
        <v>-65.833333333333343</v>
      </c>
      <c r="J41" s="395">
        <f t="shared" si="26"/>
        <v>-124.83697699999999</v>
      </c>
      <c r="K41" s="395">
        <f t="shared" si="25"/>
        <v>-124.83697699999999</v>
      </c>
      <c r="L41" s="969">
        <f t="shared" si="7"/>
        <v>-515.50364366666668</v>
      </c>
      <c r="M41"/>
      <c r="N41" s="1457">
        <f>SUMIFS('#经营利润'!41:41,'#经营利润'!$1:$1,$B$1,'#经营利润'!$2:$2,"&lt;"&amp;$B$2,'#经营利润'!$4:$4,"汇总利润")</f>
        <v>-107.83697699999999</v>
      </c>
      <c r="O41" s="1457">
        <f>SUMIFS('#经营利润'!41:41,'#经营利润'!$1:$1,$B$1,'#经营利润'!$2:$2,"&lt;"&amp;$B$2,'#经营利润'!$4:$4,"经营利润")</f>
        <v>-107.83697699999999</v>
      </c>
      <c r="R41"/>
      <c r="S41"/>
      <c r="T41" s="1696" t="s">
        <v>1177</v>
      </c>
      <c r="U41" s="1697">
        <f>-5162-1410-151</f>
        <v>-6723</v>
      </c>
      <c r="V41" s="1688"/>
      <c r="X41" s="1698" t="s">
        <v>137</v>
      </c>
      <c r="Y41" s="1703">
        <v>-323</v>
      </c>
    </row>
    <row r="42" spans="1:25" s="1397" customFormat="1" ht="15.6" customHeight="1">
      <c r="A42" s="1435" t="s">
        <v>140</v>
      </c>
      <c r="B42" s="395">
        <f>'#经营利润'!B42</f>
        <v>270</v>
      </c>
      <c r="C42" s="395">
        <f>SUMIFS('利润（汇总）'!36:36,'利润（汇总）'!$1:$1,D$1,'利润（汇总）'!$2:$2,D$2)</f>
        <v>-8</v>
      </c>
      <c r="D42" s="395">
        <f t="shared" si="22"/>
        <v>-8</v>
      </c>
      <c r="E42" s="395">
        <f>SUMIFS('@预测#收入利润#'!$M$4:$M$68,'@预测#收入利润#'!$A$4:$A$68,A42)</f>
        <v>-8</v>
      </c>
      <c r="F42" s="395">
        <f t="shared" si="23"/>
        <v>-8</v>
      </c>
      <c r="G42" s="969">
        <f t="shared" si="2"/>
        <v>0</v>
      </c>
      <c r="H42" s="969">
        <f t="shared" si="24"/>
        <v>0</v>
      </c>
      <c r="I42" s="969">
        <f t="shared" si="20"/>
        <v>-30.5</v>
      </c>
      <c r="J42" s="395">
        <f t="shared" si="26"/>
        <v>-59.090268999999999</v>
      </c>
      <c r="K42" s="395">
        <f t="shared" si="25"/>
        <v>-59.090268999999999</v>
      </c>
      <c r="L42" s="969">
        <f t="shared" si="7"/>
        <v>-239.09026900000001</v>
      </c>
      <c r="M42"/>
      <c r="N42" s="1457">
        <f>SUMIFS('#经营利润'!42:42,'#经营利润'!$1:$1,$B$1,'#经营利润'!$2:$2,"&lt;"&amp;$B$2,'#经营利润'!$4:$4,"汇总利润")</f>
        <v>-51.090268999999999</v>
      </c>
      <c r="O42" s="1457">
        <f>SUMIFS('#经营利润'!42:42,'#经营利润'!$1:$1,$B$1,'#经营利润'!$2:$2,"&lt;"&amp;$B$2,'#经营利润'!$4:$4,"经营利润")</f>
        <v>-51.090268999999999</v>
      </c>
      <c r="R42"/>
      <c r="S42"/>
      <c r="T42" s="1696" t="s">
        <v>1173</v>
      </c>
      <c r="U42" s="1697">
        <v>-4629</v>
      </c>
      <c r="V42" s="1688"/>
      <c r="X42" s="1397" t="s">
        <v>1198</v>
      </c>
      <c r="Y42" s="1701" t="e">
        <f>#REF!+Y26+Y34</f>
        <v>#REF!</v>
      </c>
    </row>
    <row r="43" spans="1:25" s="1397" customFormat="1">
      <c r="A43" s="1435" t="s">
        <v>141</v>
      </c>
      <c r="B43" s="395">
        <f>B6-B7-SUBTOTAL(109,B12:B42)-B44</f>
        <v>-4.1836756281554699E-11</v>
      </c>
      <c r="C43" s="395">
        <f>C6-C7-SUBTOTAL(109,C12:C42)-C44</f>
        <v>0</v>
      </c>
      <c r="D43" s="395">
        <f>D6-D7-SUBTOTAL(109,D12:D42)-D44</f>
        <v>0</v>
      </c>
      <c r="E43" s="395">
        <f>E6-E7-SUBTOTAL(109,E12:E42)-E44</f>
        <v>-1.2732925824820995E-11</v>
      </c>
      <c r="F43" s="395">
        <f>F6-F7-SUBTOTAL(109,F12:F42)-F44</f>
        <v>-1.2732925824820995E-11</v>
      </c>
      <c r="G43" s="969">
        <f t="shared" si="2"/>
        <v>-1.2732925824820995E-11</v>
      </c>
      <c r="H43" s="969">
        <f t="shared" si="24"/>
        <v>-1.2732925824820995E-11</v>
      </c>
      <c r="I43" s="969">
        <f t="shared" si="20"/>
        <v>-9.2465294680247699E-12</v>
      </c>
      <c r="J43" s="395">
        <f>J6-J7-SUBTOTAL(109,J12:J42)-J44</f>
        <v>0</v>
      </c>
      <c r="K43" s="395">
        <f>K6-K7-SUBTOTAL(109,K12:K42)-K44</f>
        <v>0</v>
      </c>
      <c r="L43" s="969">
        <f t="shared" si="7"/>
        <v>2.78911708543698E-11</v>
      </c>
      <c r="M43"/>
      <c r="N43" s="1457">
        <f>N6-N7-SUBTOTAL(109,N15:N42)-N44</f>
        <v>0</v>
      </c>
      <c r="O43" s="1457">
        <f>O6-O7-SUBTOTAL(109,O15:O42)-O44</f>
        <v>0</v>
      </c>
      <c r="S43"/>
      <c r="T43" s="1696" t="s">
        <v>1194</v>
      </c>
      <c r="U43" s="1697">
        <v>-9000</v>
      </c>
      <c r="V43" s="1688"/>
      <c r="Y43" s="1701" t="e">
        <f>Y42+1000</f>
        <v>#REF!</v>
      </c>
    </row>
    <row r="44" spans="1:25" s="1397" customFormat="1">
      <c r="A44" s="1862" t="s">
        <v>142</v>
      </c>
      <c r="B44" s="1450">
        <f>B45+B46+B47+B48</f>
        <v>-14256.795</v>
      </c>
      <c r="C44" s="1450">
        <f>C45+C46+C47+C48</f>
        <v>-1512</v>
      </c>
      <c r="D44" s="1450">
        <f>C44</f>
        <v>-1512</v>
      </c>
      <c r="E44" s="1450">
        <f>E45+E46+E47+E48</f>
        <v>-1431.0450000000001</v>
      </c>
      <c r="F44" s="1450">
        <f>E44</f>
        <v>-1431.0450000000001</v>
      </c>
      <c r="G44" s="1451">
        <f>E44-C44</f>
        <v>80.954999999999927</v>
      </c>
      <c r="H44" s="1451">
        <f t="shared" si="24"/>
        <v>80.954999999999927</v>
      </c>
      <c r="I44" s="1451"/>
      <c r="J44" s="1450">
        <f>J45+J46+J47+J48</f>
        <v>-85350.505883400008</v>
      </c>
      <c r="K44" s="1450">
        <f>J44</f>
        <v>-85350.505883400008</v>
      </c>
      <c r="L44" s="394"/>
      <c r="M44"/>
      <c r="N44" s="1457">
        <f>N45+N46+N48+N47</f>
        <v>-83919.46088340001</v>
      </c>
      <c r="O44" s="1457">
        <f>N44</f>
        <v>-83919.46088340001</v>
      </c>
      <c r="S44"/>
      <c r="T44" s="1696" t="s">
        <v>1112</v>
      </c>
      <c r="U44" s="1697">
        <f>SUM(H25:H55)</f>
        <v>5253.4513970514417</v>
      </c>
      <c r="V44" s="1688"/>
    </row>
    <row r="45" spans="1:25">
      <c r="A45" s="377" t="s">
        <v>143</v>
      </c>
      <c r="B45" s="1452">
        <f>'#经营利润'!B47</f>
        <v>-14256.795</v>
      </c>
      <c r="C45" s="378">
        <f>SUMIFS('利润（汇总）'!38:38,'利润（汇总）'!$1:$1,D$1,'利润（汇总）'!$2:$2,D$2)</f>
        <v>-1101</v>
      </c>
      <c r="E45" s="378">
        <f>'@预测#收入利润#'!M40</f>
        <v>-1431.0450000000001</v>
      </c>
      <c r="F45" s="695"/>
      <c r="G45" s="1453"/>
      <c r="H45" s="1453"/>
      <c r="I45" s="1453"/>
      <c r="J45" s="378">
        <f t="shared" ref="J45:J50" si="27">E45+N45</f>
        <v>-9568.2259111999992</v>
      </c>
      <c r="N45" s="1457">
        <f>SUMIFS('#经营利润'!47:47,'#经营利润'!$1:$1,$B$1,'#经营利润'!$2:$2,"&lt;"&amp;$B$2,'#经营利润'!$4:$4,"汇总利润")</f>
        <v>-8137.1809112000001</v>
      </c>
      <c r="O45" s="1456"/>
      <c r="T45" s="1696" t="s">
        <v>1195</v>
      </c>
      <c r="U45" s="1697">
        <f>U35</f>
        <v>80.954999999999927</v>
      </c>
    </row>
    <row r="46" spans="1:25">
      <c r="A46" s="377" t="s">
        <v>144</v>
      </c>
      <c r="B46" s="1452">
        <f>'#经营利润'!B48</f>
        <v>0</v>
      </c>
      <c r="C46" s="378">
        <f>SUMIFS('利润（汇总）'!39:39,'利润（汇总）'!$1:$1,D$1,'利润（汇总）'!$2:$2,D$2)</f>
        <v>0</v>
      </c>
      <c r="E46" s="378">
        <f>'@预测#收入利润#'!M41</f>
        <v>0</v>
      </c>
      <c r="F46" s="695"/>
      <c r="G46" s="1453"/>
      <c r="H46" s="1453"/>
      <c r="I46" s="1453"/>
      <c r="J46" s="378">
        <f t="shared" si="27"/>
        <v>698.53254800000002</v>
      </c>
      <c r="N46" s="1457">
        <f>SUMIFS('#经营利润'!48:48,'#经营利润'!$1:$1,$B$1,'#经营利润'!$2:$2,"&lt;"&amp;$B$2,'#经营利润'!$4:$4,"汇总利润")</f>
        <v>698.53254800000002</v>
      </c>
      <c r="O46" s="1456"/>
    </row>
    <row r="47" spans="1:25">
      <c r="A47" s="377" t="s">
        <v>145</v>
      </c>
      <c r="B47" s="1452">
        <f>'#经营利润'!B49</f>
        <v>0</v>
      </c>
      <c r="C47" s="378">
        <f>SUMIFS('利润（汇总）'!40:40,'利润（汇总）'!$1:$1,D$1,'利润（汇总）'!$2:$2,D$2)</f>
        <v>0</v>
      </c>
      <c r="E47" s="378">
        <f>'@预测#收入利润#'!M42</f>
        <v>0</v>
      </c>
      <c r="G47" s="1453"/>
      <c r="H47" s="1453"/>
      <c r="I47" s="1453"/>
      <c r="J47" s="378">
        <f t="shared" si="27"/>
        <v>-76069.812520200008</v>
      </c>
      <c r="N47" s="1457">
        <f>SUMIFS('#经营利润'!49:49,'#经营利润'!$1:$1,$B$1,'#经营利润'!$2:$2,"&lt;"&amp;$B$2,'#经营利润'!$4:$4,"汇总利润")</f>
        <v>-76069.812520200008</v>
      </c>
      <c r="O47" s="1456"/>
    </row>
    <row r="48" spans="1:25">
      <c r="A48" s="377" t="s">
        <v>146</v>
      </c>
      <c r="B48" s="1452">
        <f>'#经营利润'!B50</f>
        <v>0</v>
      </c>
      <c r="C48" s="378">
        <f>SUMIFS('利润（汇总）'!41:41,'利润（汇总）'!$1:$1,D$1,'利润（汇总）'!$2:$2,D$2)</f>
        <v>-411</v>
      </c>
      <c r="E48" s="378">
        <f>'@预测#收入利润#'!M43</f>
        <v>0</v>
      </c>
      <c r="F48" s="695"/>
      <c r="G48" s="1453"/>
      <c r="H48" s="1453"/>
      <c r="I48" s="1453"/>
      <c r="J48" s="378">
        <f t="shared" si="27"/>
        <v>-411</v>
      </c>
      <c r="N48" s="1457">
        <f>SUMIFS('#经营利润'!50:50,'#经营利润'!$1:$1,$B$1,'#经营利润'!$2:$2,"&lt;"&amp;$B$2,'#经营利润'!$4:$4,"汇总利润")</f>
        <v>-411</v>
      </c>
      <c r="O48" s="1456"/>
    </row>
    <row r="49" spans="1:24" s="1397" customFormat="1" ht="16.149999999999999" customHeight="1">
      <c r="A49" s="1869" t="s">
        <v>1237</v>
      </c>
      <c r="B49" s="1870">
        <v>100</v>
      </c>
      <c r="C49" s="1870">
        <f>SUMIFS('利润（汇总）'!8:8,'利润（汇总）'!$1:$1,D$1,'利润（汇总）'!$2:$2,D$2)</f>
        <v>-4419.5829999999996</v>
      </c>
      <c r="D49" s="1870">
        <f>C49</f>
        <v>-4419.5829999999996</v>
      </c>
      <c r="E49" s="1870">
        <f>'@预测#收入利润#'!M7</f>
        <v>1028</v>
      </c>
      <c r="F49" s="1870">
        <f>E49</f>
        <v>1028</v>
      </c>
      <c r="G49" s="1868">
        <f>E49-C49</f>
        <v>5447.5829999999996</v>
      </c>
      <c r="H49" s="1868">
        <f>F49-D49</f>
        <v>5447.5829999999996</v>
      </c>
      <c r="I49" s="1868">
        <f t="shared" ref="I49:I50" si="28">E49-B49/12</f>
        <v>1019.6666666666666</v>
      </c>
      <c r="J49" s="1867">
        <f t="shared" si="27"/>
        <v>2706.2854389999857</v>
      </c>
      <c r="K49" s="1867">
        <f>F49+O49</f>
        <v>2706.2854389999857</v>
      </c>
      <c r="L49" s="1871"/>
      <c r="M49" s="1459"/>
      <c r="N49" s="2244">
        <f>SUMIFS('#经营利润'!44:44,'#经营利润'!$1:$1,$B$1,'#经营利润'!$2:$2,"&lt;"&amp;$B$2,'#经营利润'!$4:$4,"汇总利润")</f>
        <v>1678.2854389999857</v>
      </c>
      <c r="O49" s="2244">
        <f>SUMIFS('#经营利润'!44:44,'#经营利润'!$1:$1,$B$1,'#经营利润'!$2:$2,"&lt;"&amp;$B$2,'#经营利润'!$4:$4,"经营利润")</f>
        <v>1678.2854389999857</v>
      </c>
      <c r="Q49" s="2245"/>
      <c r="R49" s="1695"/>
      <c r="S49" s="2246"/>
      <c r="T49" s="152"/>
      <c r="U49" s="1692"/>
      <c r="V49" s="1688"/>
      <c r="X49" s="1701"/>
    </row>
    <row r="50" spans="1:24" s="1397" customFormat="1" ht="16.149999999999999" customHeight="1">
      <c r="A50" s="1869" t="s">
        <v>1238</v>
      </c>
      <c r="B50" s="1870">
        <v>22000</v>
      </c>
      <c r="C50" s="1870">
        <f>SUMIFS('利润（汇总）'!9:9,'利润（汇总）'!$1:$1,D$1,'利润（汇总）'!$2:$2,D$2)</f>
        <v>3526</v>
      </c>
      <c r="D50" s="1870">
        <f>C50</f>
        <v>3526</v>
      </c>
      <c r="E50" s="1870">
        <f>'@预测#收入利润#'!M8</f>
        <v>2000</v>
      </c>
      <c r="F50" s="1870">
        <f>E50</f>
        <v>2000</v>
      </c>
      <c r="G50" s="1868">
        <f>E50-C50</f>
        <v>-1526</v>
      </c>
      <c r="H50" s="1868">
        <f>F50-D50</f>
        <v>-1526</v>
      </c>
      <c r="I50" s="1868">
        <f t="shared" si="28"/>
        <v>166.66666666666674</v>
      </c>
      <c r="J50" s="1867">
        <f t="shared" si="27"/>
        <v>27582.53181</v>
      </c>
      <c r="K50" s="1867">
        <f>F50+O50</f>
        <v>27582.53181</v>
      </c>
      <c r="L50" s="1871"/>
      <c r="M50" s="1459"/>
      <c r="N50" s="2244">
        <f>SUMIFS('#经营利润'!45:45,'#经营利润'!$1:$1,$B$1,'#经营利润'!$2:$2,"&lt;"&amp;$B$2,'#经营利润'!$4:$4,"汇总利润")</f>
        <v>25582.53181</v>
      </c>
      <c r="O50" s="2244">
        <f>SUMIFS('#经营利润'!45:45,'#经营利润'!$1:$1,$B$1,'#经营利润'!$2:$2,"&lt;"&amp;$B$2,'#经营利润'!$4:$4,"经营利润")</f>
        <v>25582.53181</v>
      </c>
      <c r="Q50" s="2245"/>
      <c r="R50" s="1695"/>
      <c r="S50" s="2246"/>
      <c r="T50" s="152"/>
      <c r="U50" s="1692"/>
      <c r="V50" s="1688"/>
      <c r="X50" s="1701"/>
    </row>
    <row r="51" spans="1:24">
      <c r="F51" s="695"/>
    </row>
    <row r="52" spans="1:24">
      <c r="A52" s="1399" t="s">
        <v>147</v>
      </c>
      <c r="B52" s="395">
        <f t="shared" ref="B52:L52" si="29">B29+B30</f>
        <v>10483</v>
      </c>
      <c r="C52" s="395">
        <f t="shared" si="29"/>
        <v>715.32496100000003</v>
      </c>
      <c r="D52" s="395">
        <f t="shared" si="29"/>
        <v>715.32496100000003</v>
      </c>
      <c r="E52" s="395">
        <f t="shared" si="29"/>
        <v>737</v>
      </c>
      <c r="F52" s="395">
        <f t="shared" si="29"/>
        <v>737</v>
      </c>
      <c r="G52" s="969">
        <f t="shared" si="29"/>
        <v>21.675038999999941</v>
      </c>
      <c r="H52" s="969">
        <f t="shared" si="29"/>
        <v>21.675038999999941</v>
      </c>
      <c r="I52" s="969">
        <f t="shared" si="29"/>
        <v>-136.58333333333337</v>
      </c>
      <c r="J52" s="395">
        <f t="shared" si="29"/>
        <v>5923.5444680000001</v>
      </c>
      <c r="K52" s="395">
        <f t="shared" si="29"/>
        <v>5923.5444680000001</v>
      </c>
      <c r="L52" s="969">
        <f t="shared" si="29"/>
        <v>-1065.1221986666669</v>
      </c>
    </row>
    <row r="53" spans="1:24">
      <c r="K53" s="1399">
        <v>2323</v>
      </c>
    </row>
    <row r="55" spans="1:24">
      <c r="C55" s="695">
        <f t="shared" ref="C55:H55" si="30">C6-C15</f>
        <v>114117.62312541009</v>
      </c>
      <c r="D55" s="695">
        <f t="shared" si="30"/>
        <v>114117.62312541009</v>
      </c>
      <c r="E55" s="695">
        <f t="shared" si="30"/>
        <v>113345.72878146151</v>
      </c>
      <c r="F55" s="695">
        <f t="shared" si="30"/>
        <v>113345.72878146154</v>
      </c>
      <c r="G55" s="969">
        <f t="shared" si="30"/>
        <v>-771.89434394857381</v>
      </c>
      <c r="H55" s="969">
        <f t="shared" si="30"/>
        <v>-771.8943439485447</v>
      </c>
      <c r="N55" s="1448">
        <v>11107</v>
      </c>
      <c r="O55" s="1448">
        <v>6796</v>
      </c>
      <c r="P55" s="1399">
        <f>O55+4925</f>
        <v>11721</v>
      </c>
      <c r="Q55">
        <v>-2260</v>
      </c>
    </row>
    <row r="56" spans="1:24">
      <c r="N56" s="1448">
        <f>29260-4925</f>
        <v>24335</v>
      </c>
      <c r="O56" s="378"/>
      <c r="P56" s="1399">
        <f>P55+N56</f>
        <v>36056</v>
      </c>
      <c r="Q56">
        <v>-138</v>
      </c>
    </row>
    <row r="57" spans="1:24">
      <c r="N57" s="1448">
        <f>N55+N56</f>
        <v>35442</v>
      </c>
      <c r="O57" s="1448">
        <f>O55+N56</f>
        <v>31131</v>
      </c>
      <c r="P57" s="1399">
        <f>N57-O57</f>
        <v>4311</v>
      </c>
      <c r="Q57">
        <v>80</v>
      </c>
    </row>
    <row r="58" spans="1:24">
      <c r="P58" s="1399">
        <f>4925-P57</f>
        <v>614</v>
      </c>
      <c r="Q58">
        <v>-33738</v>
      </c>
    </row>
    <row r="60" spans="1:24">
      <c r="Q60">
        <f>27418-4925</f>
        <v>22493</v>
      </c>
      <c r="R60">
        <v>29003</v>
      </c>
    </row>
    <row r="61" spans="1:24">
      <c r="I61" s="695"/>
      <c r="K61" s="1399">
        <v>323</v>
      </c>
      <c r="Q61">
        <f>31880-4925</f>
        <v>26955</v>
      </c>
      <c r="R61">
        <v>3722</v>
      </c>
    </row>
    <row r="62" spans="1:24">
      <c r="A62" s="745" t="s">
        <v>721</v>
      </c>
      <c r="D62" s="748">
        <f>-D63+D66+D65+D67+D69-D64</f>
        <v>-12878.208363</v>
      </c>
      <c r="F62" s="748">
        <f>-F63-F64+F66+F65-F67+F69</f>
        <v>-11726.156076923076</v>
      </c>
      <c r="K62" s="1399">
        <v>2</v>
      </c>
      <c r="Q62">
        <f>47735-4925</f>
        <v>42810</v>
      </c>
      <c r="R62">
        <v>-42810</v>
      </c>
    </row>
    <row r="63" spans="1:24">
      <c r="A63" s="745" t="s">
        <v>148</v>
      </c>
      <c r="D63" s="1850">
        <f>SUMIFS('#需填写'!16:16,'#需填写'!$1:$1,$D$1,'#需填写'!$2:$2,$D$2)/10000</f>
        <v>12854.379363</v>
      </c>
      <c r="F63" s="1454">
        <f>'@预测#利润分析#'!P36</f>
        <v>11365.198384615383</v>
      </c>
      <c r="H63" s="1455">
        <f>F63-D63</f>
        <v>-1489.1809783846165</v>
      </c>
      <c r="I63" s="1455"/>
      <c r="K63" s="1399">
        <v>332</v>
      </c>
      <c r="R63">
        <v>-1138</v>
      </c>
    </row>
    <row r="64" spans="1:24">
      <c r="A64" s="745" t="s">
        <v>149</v>
      </c>
      <c r="D64" s="1850">
        <f>SUMIFS('#需填写'!21:21,'#需填写'!$1:$1,$D$1,'#需填写'!$2:$2,$D$2)/10000+SUMIFS('#需填写'!23:23,'#需填写'!$1:$1,$D$1,'#需填写'!$2:$2,$D$2)/10000</f>
        <v>23.829000000000001</v>
      </c>
      <c r="F64" s="1454">
        <f>'@预测#利润分析#'!P41</f>
        <v>360.95769230769224</v>
      </c>
      <c r="G64" s="695"/>
    </row>
    <row r="65" spans="1:24">
      <c r="A65" s="745" t="s">
        <v>150</v>
      </c>
      <c r="D65" s="695">
        <f>SUMIFS('#经营利润'!58:58,'#经营利润'!$1:$1,$D$1,'#经营利润'!$2:$2,$D$2)</f>
        <v>0</v>
      </c>
      <c r="F65" s="1454"/>
      <c r="O65" s="1448">
        <f>100604-4838-239+1629+3697</f>
        <v>100853</v>
      </c>
    </row>
    <row r="66" spans="1:24">
      <c r="A66" s="745" t="s">
        <v>722</v>
      </c>
      <c r="D66" s="1850">
        <f>SUMIFS('#经营利润'!59:59,'#经营利润'!$1:$1,$D$1,'#经营利润'!$2:$2,$D$2)</f>
        <v>0</v>
      </c>
      <c r="H66" s="695"/>
    </row>
    <row r="67" spans="1:24">
      <c r="A67" s="745" t="s">
        <v>723</v>
      </c>
      <c r="D67" s="1850">
        <f>SUMIFS('#经营利润'!60:60,'#经营利润'!$1:$1,$D$1,'#经营利润'!$2:$2,$D$2)</f>
        <v>0</v>
      </c>
      <c r="F67" s="1454"/>
      <c r="I67" s="1399" t="s">
        <v>1172</v>
      </c>
    </row>
    <row r="68" spans="1:24">
      <c r="A68" s="745" t="s">
        <v>151</v>
      </c>
      <c r="D68" s="695">
        <f>SUMIFS('#经营利润'!61:61,'#经营利润'!$1:$1,$D$1,'#经营利润'!$2:$2,$D$2)</f>
        <v>0</v>
      </c>
      <c r="F68" s="1454"/>
    </row>
    <row r="69" spans="1:24">
      <c r="A69" s="745" t="s">
        <v>724</v>
      </c>
      <c r="D69" s="695">
        <f>SUMIFS('#经营利润'!62:62,'#经营利润'!$1:$1,$D$1,'#经营利润'!$2:$2,$D$2)</f>
        <v>0</v>
      </c>
      <c r="F69" s="1454"/>
    </row>
    <row r="70" spans="1:24">
      <c r="A70" s="745" t="s">
        <v>1141</v>
      </c>
      <c r="D70" s="1850">
        <f>SUMIFS('#经营利润'!63:63,'#经营利润'!$1:$1,$D$1,'#经营利润'!$2:$2,$D$2)</f>
        <v>0</v>
      </c>
    </row>
    <row r="71" spans="1:24">
      <c r="A71" s="745" t="s">
        <v>1139</v>
      </c>
      <c r="D71" s="1850">
        <f>SUMIFS('#经营利润'!64:64,'#经营利润'!$1:$1,$D$1,'#经营利润'!$2:$2,$D$2)</f>
        <v>0</v>
      </c>
      <c r="F71" s="695"/>
    </row>
    <row r="72" spans="1:24">
      <c r="A72" s="745" t="s">
        <v>1212</v>
      </c>
      <c r="D72" s="695">
        <f>SUMIFS('#经营利润'!65:65,'#经营利润'!$1:$1,$D$1,'#经营利润'!$2:$2,$D$2)</f>
        <v>0</v>
      </c>
      <c r="H72" s="1399" t="str">
        <f>$B$2&amp;"月份集团公司预计一次汇总利润"&amp;ROUND($E$6/10000,2)&amp;"亿元，比上月"&amp;IF(G6&gt;=0,"增利","减利")&amp;ABS(ROUND(G6/10000,2))&amp;"亿元。"</f>
        <v>8月份集团公司预计一次汇总利润19.18亿元，比上月减利2.73亿元。</v>
      </c>
    </row>
    <row r="73" spans="1:24">
      <c r="A73" s="745" t="s">
        <v>1214</v>
      </c>
      <c r="F73" s="1458"/>
      <c r="H73" s="1399" t="str">
        <f>$B$2&amp;"月份集团公司经营利润"&amp;ROUND($F$6/10000,2)&amp;"亿元，比上月"&amp;IF(H6&gt;=0,"增利","减利")&amp;ABS(ROUND(H6/10000,2))&amp;"亿元，主要调整因素为："</f>
        <v>8月份集团公司经营利润19.18亿元，比上月减利2.73亿元，主要调整因素为：</v>
      </c>
    </row>
    <row r="74" spans="1:24">
      <c r="A74" s="745" t="s">
        <v>152</v>
      </c>
      <c r="D74" s="695">
        <f>SUMIFS('#经营利润'!67:67,'#经营利润'!$1:$1,$D$1,'#经营利润'!$2:$2,$D$2)</f>
        <v>0</v>
      </c>
      <c r="F74" s="1458">
        <v>3140</v>
      </c>
      <c r="G74" s="1453">
        <f>F74-D74</f>
        <v>3140</v>
      </c>
    </row>
    <row r="75" spans="1:24">
      <c r="A75" s="745" t="s">
        <v>153</v>
      </c>
      <c r="D75" s="695">
        <f>D15-D74</f>
        <v>104942</v>
      </c>
      <c r="F75" s="695">
        <f>F15-F74</f>
        <v>75321</v>
      </c>
      <c r="G75" s="1453">
        <f>F75-D75</f>
        <v>-29621</v>
      </c>
    </row>
    <row r="76" spans="1:24" s="1397" customFormat="1">
      <c r="A76" s="1397" t="s">
        <v>154</v>
      </c>
      <c r="D76" s="691">
        <f>D77-D78+D79-D80+D81+D82</f>
        <v>0</v>
      </c>
      <c r="F76" s="1397">
        <f>F77-F78+F79+F80+F81+F82</f>
        <v>0</v>
      </c>
      <c r="M76"/>
      <c r="N76" s="1448"/>
      <c r="O76" s="1448"/>
      <c r="Q76"/>
      <c r="R76"/>
      <c r="S76"/>
      <c r="T76" s="154"/>
      <c r="U76" s="1692"/>
      <c r="V76" s="1688"/>
      <c r="X76" s="1701"/>
    </row>
    <row r="77" spans="1:24">
      <c r="A77" s="1399" t="s">
        <v>155</v>
      </c>
      <c r="D77" s="695">
        <f>SUMIFS('#经营利润'!71:71,'#经营利润'!$1:$1,$D$1,'#经营利润'!$2:$2,$D$2)</f>
        <v>0</v>
      </c>
      <c r="F77" s="1458">
        <v>0</v>
      </c>
      <c r="H77" s="1399" t="str">
        <f>"5、太钢不锈（合并）经营利润"&amp;ROUND(F15,2)&amp;"万元,比上月"&amp;ROUND(D15,2)&amp;"万元"&amp;IF(H15&gt;=0,"增利","减利")&amp;ABS(ROUND(H15,2))&amp;"万元，分析如下："</f>
        <v>5、太钢不锈（合并）经营利润78461万元,比上月104942万元减利26481万元，分析如下：</v>
      </c>
    </row>
    <row r="78" spans="1:24">
      <c r="A78" s="1399" t="s">
        <v>156</v>
      </c>
      <c r="D78" s="695">
        <f>SUMIFS('#经营利润'!72:72,'#经营利润'!$1:$1,$D$1,'#经营利润'!$2:$2,$D$2)</f>
        <v>0</v>
      </c>
      <c r="F78" s="1458">
        <v>0</v>
      </c>
      <c r="H78" s="1399" t="str">
        <f>"太钢不锈母公司经营利润为"&amp;ROUND(F75,2)&amp;"万元,比上月"&amp;ROUND(D75,2)&amp;"万元"&amp;IF(G75&gt;=0,"增利","减利")&amp;ABS(ROUND(G75,2))&amp;"万元；子公司实现利润"&amp;ROUND(F74,2)&amp;"万元，比上月"&amp;(ROUND(D74,2))&amp;"万元"&amp;IF(G74&gt;=0,"增利","减利")&amp;ABS(ROUND(G74,2))&amp;"万元，分析如下："</f>
        <v>太钢不锈母公司经营利润为75321万元,比上月104942万元减利29621万元；子公司实现利润3140万元，比上月0万元增利3140万元，分析如下：</v>
      </c>
    </row>
    <row r="79" spans="1:24">
      <c r="A79" s="1399" t="s">
        <v>157</v>
      </c>
      <c r="D79" s="695">
        <f>SUMIFS('#经营利润'!73:73,'#经营利润'!$1:$1,$D$1,'#经营利润'!$2:$2,$D$2)</f>
        <v>0</v>
      </c>
      <c r="F79" s="1458"/>
      <c r="G79" s="695"/>
    </row>
    <row r="80" spans="1:24">
      <c r="A80" s="1399" t="s">
        <v>158</v>
      </c>
      <c r="D80" s="695">
        <f>SUMIFS('#经营利润'!74:74,'#经营利润'!$1:$1,$D$1,'#经营利润'!$2:$2,$D$2)</f>
        <v>0</v>
      </c>
      <c r="F80" s="1458"/>
    </row>
    <row r="81" spans="1:24">
      <c r="A81" s="1399" t="s">
        <v>159</v>
      </c>
      <c r="D81" s="695">
        <f>SUMIFS('#经营利润'!75:75,'#经营利润'!$1:$1,$D$1,'#经营利润'!$2:$2,$D$2)</f>
        <v>0</v>
      </c>
      <c r="F81" s="1458"/>
    </row>
    <row r="82" spans="1:24">
      <c r="A82" s="1399" t="s">
        <v>160</v>
      </c>
      <c r="D82" s="695">
        <f>SUMIFS('#经营利润'!76:76,'#经营利润'!$1:$1,$D$1,'#经营利润'!$2:$2,$D$2)</f>
        <v>0</v>
      </c>
      <c r="F82" s="1458"/>
    </row>
    <row r="85" spans="1:24">
      <c r="A85" s="1399" t="s">
        <v>161</v>
      </c>
    </row>
    <row r="89" spans="1:24" s="1397" customFormat="1">
      <c r="C89"/>
      <c r="D89"/>
      <c r="E89"/>
      <c r="F89"/>
      <c r="G89"/>
      <c r="H89"/>
      <c r="I89"/>
      <c r="J89"/>
      <c r="M89" s="1459"/>
      <c r="N89" s="1448"/>
      <c r="O89" s="1448"/>
      <c r="Q89"/>
      <c r="R89"/>
      <c r="S89"/>
      <c r="T89" s="154"/>
      <c r="U89" s="1692"/>
      <c r="V89" s="1688"/>
      <c r="X89" s="1701"/>
    </row>
    <row r="90" spans="1:24" s="1397" customFormat="1">
      <c r="C90"/>
      <c r="D90"/>
      <c r="E90"/>
      <c r="G90"/>
      <c r="H90"/>
      <c r="I90"/>
      <c r="J90"/>
      <c r="M90" s="1459"/>
      <c r="N90" s="1448"/>
      <c r="O90" s="1448"/>
      <c r="Q90"/>
      <c r="R90"/>
      <c r="S90"/>
      <c r="T90" s="154"/>
      <c r="U90" s="1692"/>
      <c r="V90" s="1688"/>
      <c r="X90" s="1701"/>
    </row>
    <row r="91" spans="1:24">
      <c r="C91"/>
      <c r="D91"/>
      <c r="E91"/>
      <c r="F91"/>
      <c r="G91"/>
      <c r="H91"/>
      <c r="I91"/>
      <c r="J91"/>
    </row>
    <row r="92" spans="1:24">
      <c r="C92"/>
      <c r="D92"/>
      <c r="E92"/>
      <c r="F92"/>
      <c r="G92"/>
      <c r="H92"/>
      <c r="I92"/>
      <c r="J92"/>
    </row>
    <row r="93" spans="1:24">
      <c r="C93"/>
      <c r="D93"/>
      <c r="E93"/>
      <c r="F93"/>
      <c r="G93"/>
      <c r="H93"/>
      <c r="I93"/>
      <c r="J93"/>
    </row>
    <row r="94" spans="1:24">
      <c r="C94"/>
      <c r="D94"/>
      <c r="E94"/>
      <c r="F94"/>
      <c r="G94"/>
      <c r="H94"/>
      <c r="I94"/>
      <c r="J94"/>
    </row>
    <row r="95" spans="1:24" s="1397" customFormat="1">
      <c r="C95"/>
      <c r="D95"/>
      <c r="E95"/>
      <c r="F95"/>
      <c r="G95"/>
      <c r="H95"/>
      <c r="I95"/>
      <c r="J95"/>
      <c r="M95" s="1459"/>
      <c r="N95" s="1448"/>
      <c r="O95" s="1448"/>
      <c r="Q95"/>
      <c r="R95"/>
      <c r="S95"/>
      <c r="T95" s="154"/>
      <c r="U95" s="1692"/>
      <c r="V95" s="1688"/>
      <c r="X95" s="1701"/>
    </row>
    <row r="96" spans="1:24">
      <c r="C96"/>
      <c r="D96"/>
      <c r="E96"/>
      <c r="F96"/>
      <c r="G96"/>
      <c r="H96"/>
      <c r="I96"/>
      <c r="J96"/>
    </row>
    <row r="97" spans="3:24">
      <c r="C97"/>
      <c r="D97"/>
      <c r="E97"/>
      <c r="F97"/>
      <c r="G97"/>
      <c r="H97"/>
      <c r="I97"/>
      <c r="J97"/>
    </row>
    <row r="98" spans="3:24">
      <c r="C98"/>
      <c r="D98"/>
      <c r="E98"/>
      <c r="F98"/>
      <c r="G98"/>
      <c r="H98"/>
      <c r="I98"/>
      <c r="J98"/>
    </row>
    <row r="99" spans="3:24">
      <c r="C99"/>
      <c r="D99"/>
      <c r="E99"/>
      <c r="F99"/>
      <c r="G99"/>
      <c r="H99"/>
      <c r="I99"/>
      <c r="J99"/>
    </row>
    <row r="100" spans="3:24">
      <c r="C100"/>
      <c r="D100"/>
      <c r="E100"/>
      <c r="F100"/>
      <c r="G100"/>
      <c r="H100"/>
      <c r="I100"/>
      <c r="J100"/>
    </row>
    <row r="101" spans="3:24">
      <c r="C101"/>
      <c r="D101"/>
      <c r="E101"/>
      <c r="F101"/>
      <c r="G101"/>
      <c r="H101"/>
      <c r="I101"/>
      <c r="J101"/>
    </row>
    <row r="102" spans="3:24">
      <c r="C102"/>
      <c r="D102"/>
      <c r="E102"/>
      <c r="F102"/>
      <c r="G102"/>
      <c r="H102"/>
      <c r="I102"/>
      <c r="J102"/>
    </row>
    <row r="103" spans="3:24" s="1396" customFormat="1">
      <c r="C103"/>
      <c r="D103"/>
      <c r="E103"/>
      <c r="F103"/>
      <c r="G103"/>
      <c r="H103"/>
      <c r="I103"/>
      <c r="J103"/>
      <c r="M103" s="1460"/>
      <c r="N103" s="1448"/>
      <c r="O103" s="1448"/>
      <c r="Q103"/>
      <c r="R103"/>
      <c r="S103"/>
      <c r="T103" s="154"/>
      <c r="U103" s="1692"/>
      <c r="V103" s="1690"/>
      <c r="X103" s="1702"/>
    </row>
    <row r="104" spans="3:24">
      <c r="C104"/>
      <c r="D104"/>
      <c r="E104"/>
      <c r="F104"/>
      <c r="G104"/>
      <c r="H104"/>
      <c r="I104"/>
      <c r="J104"/>
    </row>
    <row r="105" spans="3:24">
      <c r="C105"/>
      <c r="D105"/>
      <c r="E105"/>
      <c r="F105"/>
      <c r="G105"/>
      <c r="H105"/>
      <c r="I105"/>
      <c r="J105"/>
    </row>
    <row r="106" spans="3:24">
      <c r="C106"/>
      <c r="D106"/>
      <c r="E106"/>
      <c r="F106"/>
      <c r="G106"/>
      <c r="H106"/>
      <c r="I106"/>
      <c r="J106"/>
    </row>
    <row r="107" spans="3:24">
      <c r="C107"/>
      <c r="D107"/>
      <c r="E107"/>
      <c r="F107"/>
      <c r="G107"/>
      <c r="H107"/>
      <c r="I107"/>
      <c r="J107"/>
    </row>
  </sheetData>
  <customSheetViews>
    <customSheetView guid="{1683F931-F47D-47C0-A395-D48080DC7EE6}" showPageBreaks="1">
      <selection activeCell="H8" sqref="H8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 hiddenRows="1">
      <selection activeCell="F64" sqref="F64"/>
      <pageMargins left="0.69930555555555596" right="0.69930555555555596" top="0.75" bottom="0.75" header="0.3" footer="0.3"/>
      <pageSetup paperSize="9" orientation="portrait"/>
    </customSheetView>
    <customSheetView guid="{849C46E5-4ED4-41B9-BDA9-A6465B9DA9C2}" hiddenColumns="1">
      <selection activeCell="F44" sqref="F44"/>
      <pageMargins left="0.69930555555555596" right="0.69930555555555596" top="0.75" bottom="0.75" header="0.3" footer="0.3"/>
      <pageSetup paperSize="9" orientation="portrait" horizontalDpi="4294967295" verticalDpi="4294967295" r:id="rId2"/>
    </customSheetView>
    <customSheetView guid="{8C09BCDE-4B8A-4469-B3F2-7F4528A2E78D}" hiddenColumns="1">
      <selection activeCell="F44" sqref="F44"/>
      <pageMargins left="0.69930555555555596" right="0.69930555555555596" top="0.75" bottom="0.75" header="0.3" footer="0.3"/>
      <pageSetup paperSize="9" orientation="portrait" horizontalDpi="4294967295" verticalDpi="4294967295" r:id="rId3"/>
    </customSheetView>
    <customSheetView guid="{F4EB51F4-FD23-4D5B-8072-1AF5D59D6686}">
      <selection activeCell="C41" sqref="C41"/>
      <pageMargins left="0.69930555555555596" right="0.69930555555555596" top="0.75" bottom="0.75" header="0.3" footer="0.3"/>
      <pageSetup paperSize="9" orientation="portrait" horizontalDpi="4294967295" verticalDpi="4294967295" r:id="rId4"/>
    </customSheetView>
    <customSheetView guid="{D7BCFB76-2797-401D-A6F1-E020B5162DD4}">
      <selection activeCell="F6" sqref="F6"/>
      <pageMargins left="0.69930555555555596" right="0.69930555555555596" top="0.75" bottom="0.75" header="0.3" footer="0.3"/>
      <pageSetup paperSize="9" orientation="portrait" r:id="rId5"/>
    </customSheetView>
    <customSheetView guid="{C9A88430-3808-49F4-8D86-BF8C70C55441}" topLeftCell="A52">
      <selection activeCell="F75" sqref="F75"/>
      <pageMargins left="0.69930555555555596" right="0.69930555555555596" top="0.75" bottom="0.75" header="0.3" footer="0.3"/>
    </customSheetView>
    <customSheetView guid="{E61FFED3-723E-484A-93A0-94E1A801AF06}" hiddenRows="1" topLeftCell="E1">
      <selection activeCell="F13" sqref="F13"/>
      <pageMargins left="0.69930555555555596" right="0.69930555555555596" top="0.75" bottom="0.75" header="0.3" footer="0.3"/>
    </customSheetView>
    <customSheetView guid="{6B5CCA07-2BDD-4B8E-9E3C-2111BBA97430}" hiddenColumns="1" topLeftCell="A25">
      <selection activeCell="C47" sqref="C47"/>
      <pageMargins left="0.69930555555555596" right="0.69930555555555596" top="0.75" bottom="0.75" header="0.3" footer="0.3"/>
      <pageSetup paperSize="9" orientation="portrait" r:id="rId6"/>
    </customSheetView>
    <customSheetView guid="{2F47A827-9643-4D8A-AC5D-6B09D79AACF9}" hiddenRows="1">
      <selection activeCell="I61" sqref="I61:I62"/>
      <pageMargins left="0.69930555555555596" right="0.69930555555555596" top="0.75" bottom="0.75" header="0.3" footer="0.3"/>
      <pageSetup paperSize="9" orientation="portrait"/>
    </customSheetView>
    <customSheetView guid="{B37168A1-DBAB-4BDE-9F92-6261DCDF3D92}">
      <selection activeCell="E7" sqref="E7"/>
      <pageMargins left="0.69930555555555596" right="0.69930555555555596" top="0.75" bottom="0.75" header="0.3" footer="0.3"/>
    </customSheetView>
    <customSheetView guid="{AE0DD889-C13C-4059-8024-0F5B234827E9}" topLeftCell="A31">
      <selection activeCell="F72" sqref="F72:F77"/>
      <pageMargins left="0.69930555555555596" right="0.69930555555555596" top="0.75" bottom="0.75" header="0.3" footer="0.3"/>
    </customSheetView>
    <customSheetView guid="{CCBBD9B0-4191-4D7A-9F7B-BAC044A49153}">
      <selection activeCell="K5" sqref="K5"/>
      <pageMargins left="0.69930555555555596" right="0.69930555555555596" top="0.75" bottom="0.75" header="0.3" footer="0.3"/>
    </customSheetView>
    <customSheetView guid="{F5F9735B-EE22-4AC6-B5AB-C856ED6C133D}" scale="85" hiddenRows="1">
      <selection activeCell="G60" sqref="G60"/>
      <pageMargins left="0.69930555555555596" right="0.69930555555555596" top="0.75" bottom="0.75" header="0.3" footer="0.3"/>
    </customSheetView>
    <customSheetView guid="{45B4C0D1-53B6-4553-BFF9-393760B8E0CE}" scale="85" hiddenRows="1">
      <selection activeCell="E23" sqref="E23"/>
      <pageMargins left="0.69930555555555596" right="0.69930555555555596" top="0.75" bottom="0.75" header="0.3" footer="0.3"/>
    </customSheetView>
    <customSheetView guid="{1BBD1596-143E-4714-99EF-E3545231CCD1}">
      <selection activeCell="L70" sqref="L70"/>
      <pageMargins left="0.69930555555555596" right="0.69930555555555596" top="0.75" bottom="0.75" header="0.3" footer="0.3"/>
    </customSheetView>
    <customSheetView guid="{A8456D60-99BA-4794-8966-0CBA0A37EA6F}" hiddenRows="1">
      <selection activeCell="F9" sqref="F9"/>
      <pageMargins left="0.69930555555555596" right="0.69930555555555596" top="0.75" bottom="0.75" header="0.3" footer="0.3"/>
    </customSheetView>
    <customSheetView guid="{500C3980-ED13-4C97-96B1-955D50509B66}" scale="85" hiddenRows="1">
      <selection activeCell="F66" sqref="F66"/>
      <pageMargins left="0.69930555555555596" right="0.69930555555555596" top="0.75" bottom="0.75" header="0.3" footer="0.3"/>
    </customSheetView>
    <customSheetView guid="{3B943BAF-34C7-494A-A071-85DE0891E5A1}" hiddenRows="1">
      <selection activeCell="E43" sqref="E43"/>
      <pageMargins left="0.69930555555555596" right="0.69930555555555596" top="0.75" bottom="0.75" header="0.3" footer="0.3"/>
    </customSheetView>
    <customSheetView guid="{EEE4B3DA-ADF6-49CC-9873-068FE5927B92}" hiddenRows="1">
      <selection activeCell="I61" sqref="I61:I62"/>
      <pageMargins left="0.69930555555555596" right="0.69930555555555596" top="0.75" bottom="0.75" header="0.3" footer="0.3"/>
      <pageSetup paperSize="9" orientation="portrait"/>
    </customSheetView>
    <customSheetView guid="{C52D0F53-4D1D-4D01-B833-260359FD02A5}" showPageBreaks="1" topLeftCell="A28">
      <selection activeCell="F7" sqref="F7"/>
      <pageMargins left="0.69930555555555596" right="0.69930555555555596" top="0.75" bottom="0.75" header="0.3" footer="0.3"/>
      <pageSetup paperSize="9" orientation="portrait" horizontalDpi="4294967295" verticalDpi="4294967295" r:id="rId7"/>
    </customSheetView>
    <customSheetView guid="{6A1E79C9-91E3-4EEA-8ABB-4446083299EC}">
      <selection activeCell="F65" sqref="F65"/>
      <pageMargins left="0.69930555555555596" right="0.69930555555555596" top="0.75" bottom="0.75" header="0.3" footer="0.3"/>
    </customSheetView>
    <customSheetView guid="{8B80B510-C931-46B1-8591-DEA916D76593}" hiddenRows="1">
      <selection activeCell="E43" sqref="E43"/>
      <pageMargins left="0.69930555555555596" right="0.69930555555555596" top="0.75" bottom="0.75" header="0.3" footer="0.3"/>
      <pageSetup paperSize="9" orientation="portrait" r:id="rId8"/>
    </customSheetView>
    <customSheetView guid="{303A9D89-611D-4504-BCAA-071C53B021F7}" topLeftCell="C1">
      <selection activeCell="F7" sqref="F7"/>
      <pageMargins left="0.69930555555555596" right="0.69930555555555596" top="0.75" bottom="0.75" header="0.3" footer="0.3"/>
      <pageSetup paperSize="9" orientation="portrait" horizontalDpi="300" verticalDpi="300"/>
    </customSheetView>
    <customSheetView guid="{4583A87D-5DFF-47BD-849A-FA4AAF2B9CE3}" showPageBreaks="1" hiddenRows="1">
      <selection activeCell="E43" sqref="E43"/>
      <pageMargins left="0.69930555555555596" right="0.69930555555555596" top="0.75" bottom="0.75" header="0.3" footer="0.3"/>
      <pageSetup paperSize="9" orientation="portrait" r:id="rId9"/>
    </customSheetView>
    <customSheetView guid="{EA856AC2-CDFF-46B6-B0C4-30449DF132F4}" hiddenRows="1" topLeftCell="A73">
      <selection activeCell="F64" sqref="F64"/>
      <pageMargins left="0.69930555555555596" right="0.69930555555555596" top="0.75" bottom="0.75" header="0.3" footer="0.3"/>
      <pageSetup paperSize="9" orientation="portrait"/>
    </customSheetView>
    <customSheetView guid="{322A45A6-8B26-49B8-A4D9-EFB3C94A758D}">
      <selection activeCell="H8" sqref="H8"/>
      <pageMargins left="0.69930555555555596" right="0.69930555555555596" top="0.75" bottom="0.75" header="0.3" footer="0.3"/>
      <pageSetup paperSize="9" orientation="portrait" r:id="rId10"/>
    </customSheetView>
  </customSheetViews>
  <mergeCells count="5">
    <mergeCell ref="C3:D3"/>
    <mergeCell ref="E3:F3"/>
    <mergeCell ref="G3:H3"/>
    <mergeCell ref="J3:K3"/>
    <mergeCell ref="A3:A4"/>
  </mergeCells>
  <phoneticPr fontId="133" type="noConversion"/>
  <pageMargins left="0.69930555555555596" right="0.69930555555555596" top="0.75" bottom="0.75" header="0.3" footer="0.3"/>
  <pageSetup paperSize="9" orientation="portrait" r:id="rId11"/>
  <legacyDrawing r:id="rId1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20"/>
  <sheetViews>
    <sheetView zoomScaleNormal="100" workbookViewId="0">
      <pane xSplit="3" topLeftCell="D1" activePane="topRight" state="frozen"/>
      <selection pane="topRight" activeCell="M5" sqref="M5"/>
    </sheetView>
  </sheetViews>
  <sheetFormatPr defaultColWidth="9" defaultRowHeight="13.5"/>
  <cols>
    <col min="1" max="1" width="24.375" style="1399" customWidth="1"/>
    <col min="2" max="3" width="10.75" style="1399" hidden="1" customWidth="1"/>
    <col min="4" max="4" width="10.75" style="1399" customWidth="1"/>
    <col min="5" max="5" width="12.75" style="1399" customWidth="1"/>
    <col min="6" max="6" width="10.75" style="1399" customWidth="1"/>
    <col min="7" max="7" width="10.5" style="1399" customWidth="1"/>
    <col min="8" max="9" width="10.75" style="1399" customWidth="1"/>
    <col min="10" max="10" width="14.375" style="1399" customWidth="1"/>
    <col min="11" max="11" width="15.25" style="1399" customWidth="1"/>
    <col min="12" max="12" width="10.75" style="1399" customWidth="1"/>
    <col min="13" max="13" width="12.75" style="1399" customWidth="1"/>
    <col min="14" max="14" width="11.625" style="1399" customWidth="1"/>
    <col min="15" max="18" width="10.75" style="1399" customWidth="1"/>
    <col min="19" max="19" width="12" style="1399" customWidth="1"/>
    <col min="20" max="20" width="11.875" style="1399" customWidth="1"/>
    <col min="21" max="21" width="12.375" style="1399" customWidth="1"/>
    <col min="22" max="22" width="9.75" style="1399" customWidth="1"/>
    <col min="23" max="23" width="16.375" style="1399" customWidth="1"/>
    <col min="24" max="24" width="84.125" style="1399" customWidth="1"/>
    <col min="25" max="25" width="12.375" style="1399" customWidth="1"/>
    <col min="26" max="26" width="12.75" style="1399" customWidth="1"/>
    <col min="27" max="31" width="9" style="1399"/>
    <col min="32" max="32" width="12.625" style="1399"/>
    <col min="33" max="16384" width="9" style="1399"/>
  </cols>
  <sheetData>
    <row r="1" spans="1:33" s="1395" customFormat="1">
      <c r="A1" s="1395" t="s">
        <v>0</v>
      </c>
      <c r="B1" s="1395">
        <f>'@预测#概况#'!B1</f>
        <v>2021</v>
      </c>
      <c r="C1" s="1395">
        <f>'@预测#概况#'!H1</f>
        <v>2021</v>
      </c>
    </row>
    <row r="2" spans="1:33" s="1395" customFormat="1">
      <c r="A2" s="1395" t="s">
        <v>1</v>
      </c>
      <c r="B2" s="1395">
        <f>'@预测#概况#'!B2</f>
        <v>8</v>
      </c>
      <c r="C2" s="1395">
        <f>'@预测#概况#'!H2</f>
        <v>7</v>
      </c>
    </row>
    <row r="3" spans="1:33" s="1396" customFormat="1" ht="14.25" customHeight="1">
      <c r="A3" s="2623" t="s">
        <v>57</v>
      </c>
      <c r="B3" s="2654" t="str">
        <f>B1-1&amp;"年"</f>
        <v>2020年</v>
      </c>
      <c r="C3" s="2654"/>
      <c r="D3" s="2624" t="s">
        <v>181</v>
      </c>
      <c r="E3" s="2626"/>
      <c r="F3" s="2655" t="str">
        <f>C1&amp;"年"&amp;C2&amp;"月"</f>
        <v>2021年7月</v>
      </c>
      <c r="G3" s="2655"/>
      <c r="H3" s="2655"/>
      <c r="I3" s="2655"/>
      <c r="J3" s="2655" t="str">
        <f>B1&amp;"年"&amp;B2&amp;"月"</f>
        <v>2021年8月</v>
      </c>
      <c r="K3" s="2655"/>
      <c r="L3" s="2655"/>
      <c r="M3" s="2655"/>
      <c r="N3" s="2622" t="s">
        <v>7</v>
      </c>
      <c r="O3" s="2622"/>
      <c r="P3" s="2624" t="s">
        <v>9</v>
      </c>
      <c r="Q3" s="2626"/>
      <c r="R3" s="2622" t="s">
        <v>5</v>
      </c>
      <c r="S3" s="2622"/>
      <c r="T3" s="2654" t="s">
        <v>182</v>
      </c>
      <c r="U3" s="2654"/>
      <c r="V3" s="2624" t="s">
        <v>41</v>
      </c>
      <c r="W3" s="2626"/>
      <c r="X3" s="393" t="s">
        <v>172</v>
      </c>
      <c r="Z3" s="1396" t="str">
        <f>"1-"&amp;B2-1&amp;"月累计"</f>
        <v>1-7月累计</v>
      </c>
    </row>
    <row r="4" spans="1:33" s="1396" customFormat="1">
      <c r="A4" s="2623"/>
      <c r="B4" s="1400" t="s">
        <v>39</v>
      </c>
      <c r="C4" s="1400" t="s">
        <v>73</v>
      </c>
      <c r="D4" s="1400" t="s">
        <v>39</v>
      </c>
      <c r="E4" s="393" t="s">
        <v>73</v>
      </c>
      <c r="F4" s="1401" t="s">
        <v>72</v>
      </c>
      <c r="G4" s="1401" t="s">
        <v>183</v>
      </c>
      <c r="H4" s="393" t="s">
        <v>39</v>
      </c>
      <c r="I4" s="393" t="s">
        <v>73</v>
      </c>
      <c r="J4" s="954" t="s">
        <v>72</v>
      </c>
      <c r="K4" s="954" t="s">
        <v>183</v>
      </c>
      <c r="L4" s="393" t="s">
        <v>39</v>
      </c>
      <c r="M4" s="393" t="s">
        <v>73</v>
      </c>
      <c r="N4" s="393" t="s">
        <v>39</v>
      </c>
      <c r="O4" s="393" t="s">
        <v>73</v>
      </c>
      <c r="P4" s="1400" t="s">
        <v>39</v>
      </c>
      <c r="Q4" s="393" t="s">
        <v>184</v>
      </c>
      <c r="R4" s="393" t="s">
        <v>39</v>
      </c>
      <c r="S4" s="393" t="s">
        <v>73</v>
      </c>
      <c r="T4" s="1400" t="s">
        <v>39</v>
      </c>
      <c r="U4" s="1400" t="s">
        <v>73</v>
      </c>
      <c r="V4" s="1400" t="s">
        <v>39</v>
      </c>
      <c r="W4" s="393" t="s">
        <v>73</v>
      </c>
      <c r="X4" s="393"/>
      <c r="Z4" s="1396" t="s">
        <v>39</v>
      </c>
      <c r="AA4" s="1396" t="s">
        <v>73</v>
      </c>
      <c r="AC4" s="1396" t="s">
        <v>162</v>
      </c>
    </row>
    <row r="5" spans="1:33" ht="16.5" customHeight="1">
      <c r="A5" s="1402" t="s">
        <v>105</v>
      </c>
      <c r="B5" s="1403">
        <f>SUMIFS('收入（外部）'!3:3,'收入（外部）'!$1:$1,'@预测#收入利润#'!$B$1-1)</f>
        <v>293035.91581799998</v>
      </c>
      <c r="C5" s="1403">
        <v>13935.14014671</v>
      </c>
      <c r="D5" s="1403"/>
      <c r="E5" s="398">
        <f>'#经营利润'!B8</f>
        <v>-44436</v>
      </c>
      <c r="F5" s="1403">
        <f>SUMIFS('收入（汇总）'!3:3,'收入（汇总）'!$1:$1,$C$1,'收入（汇总）'!$2:$2,$C$2)</f>
        <v>249834</v>
      </c>
      <c r="G5" s="1403">
        <f>SUMIFS('收入（关联）'!3:3,'收入（关联）'!$1:$1,$C$1,'收入（关联）'!$2:$2,$C$2)</f>
        <v>206107.32478299999</v>
      </c>
      <c r="H5" s="398">
        <f t="shared" ref="H5:H18" si="0">F5-G5</f>
        <v>43726.675217000011</v>
      </c>
      <c r="I5" s="398">
        <f>SUMIFS('利润（汇总）'!3:3,'利润（汇总）'!$1:$1,$C$1,'利润（汇总）'!$2:$2,$C$2)</f>
        <v>34767.318359000019</v>
      </c>
      <c r="J5" s="1526">
        <f>F5+新价格!G17-29237-18718-12364+新价格!G27</f>
        <v>164091.69209230767</v>
      </c>
      <c r="K5" s="1526">
        <f>G5+新价格!G17-29237-18718-12364+新价格!G27-新价格!H27</f>
        <v>123243.72247530767</v>
      </c>
      <c r="L5" s="398">
        <f>J5-K5</f>
        <v>40847.969616999995</v>
      </c>
      <c r="M5" s="1526">
        <f>'@预测#利润分析#'!F69-'@预测#利润分析#'!F58</f>
        <v>32128.686319923079</v>
      </c>
      <c r="N5" s="1415">
        <f>L5-H5</f>
        <v>-2878.7056000000157</v>
      </c>
      <c r="O5" s="1415">
        <f>M5-I5</f>
        <v>-2638.6320390769397</v>
      </c>
      <c r="P5" s="1416">
        <f>L5-D5/12</f>
        <v>40847.969616999995</v>
      </c>
      <c r="Q5" s="1415">
        <f>M5-E5/12</f>
        <v>35831.686319923079</v>
      </c>
      <c r="R5" s="398">
        <f t="shared" ref="R5:R32" si="1">L5+Z5</f>
        <v>316713.774003</v>
      </c>
      <c r="S5" s="398">
        <f t="shared" ref="S5:S43" si="2">M5+AA5</f>
        <v>192496.85994992309</v>
      </c>
      <c r="T5" s="1416">
        <f t="shared" ref="T5:T30" si="3">R5-B5/12</f>
        <v>292294.1143515</v>
      </c>
      <c r="U5" s="1416">
        <f t="shared" ref="U5:U30" si="4">S5-C5/12</f>
        <v>191335.59827103058</v>
      </c>
      <c r="V5" s="1416">
        <f>R5-D5/12*$B$2</f>
        <v>316713.774003</v>
      </c>
      <c r="W5" s="1415">
        <f>S5-E5/12*$B$2</f>
        <v>222120.85994992309</v>
      </c>
      <c r="X5" s="930"/>
      <c r="Y5" s="695">
        <f>S5-'@预测#经营利润#'!J8</f>
        <v>0</v>
      </c>
      <c r="Z5" s="378">
        <f>SUMPRODUCT('收入（外部）'!$B$3:$AAM$66,('收入（外部）'!$A$3:$A$66=A5)*('收入（外部）'!$B$1:$AAM$1=$B$1)*('收入（外部）'!$B$2:$AAM$2&lt;=$B$2-1))</f>
        <v>275865.80438600003</v>
      </c>
      <c r="AA5" s="378">
        <f>SUMPRODUCT('利润（汇总）'!$C$3:$AAK$67,('利润（汇总）'!$B$3:$B$67=A5)*('利润（汇总）'!$C$1:$AAK$1=$B$1)*('利润（汇总）'!$C$2:$AAK$2&lt;=$B$2-1))</f>
        <v>160368.17363</v>
      </c>
      <c r="AC5" s="695">
        <f>SUMPRODUCT('收入（外部）'!$B$3:$AAM$66,('收入（外部）'!$A$3:$A$66=A5)*('收入（外部）'!$B$1:$AAM$1=$B$1)*('收入（外部）'!$B$2:$AAM$2=$B$2))</f>
        <v>41997.015712999972</v>
      </c>
      <c r="AD5" s="695">
        <f>AC5-L5</f>
        <v>1149.0460959999764</v>
      </c>
      <c r="AE5" s="695"/>
      <c r="AG5" s="695"/>
    </row>
    <row r="6" spans="1:33">
      <c r="A6" s="1402" t="s">
        <v>46</v>
      </c>
      <c r="B6" s="1403">
        <f>SUMIFS('收入（外部）'!7:7,'收入（外部）'!$1:$1,'@预测#收入利润#'!$B$1-1)</f>
        <v>6632698.0256200014</v>
      </c>
      <c r="C6" s="1403">
        <v>216254.524703</v>
      </c>
      <c r="D6" s="1403"/>
      <c r="E6" s="398">
        <f>'#经营利润'!B15</f>
        <v>240000</v>
      </c>
      <c r="F6" s="1403">
        <f>SUMIFS('收入（汇总）'!7:7,'收入（汇总）'!$1:$1,$C$1,'收入（汇总）'!$2:$2,$C$2)</f>
        <v>931432</v>
      </c>
      <c r="G6" s="1403">
        <f>SUMIFS('收入（关联）'!7:7,'收入（关联）'!$1:$1,$C$1,'收入（关联）'!$2:$2,$C$2)</f>
        <v>7874</v>
      </c>
      <c r="H6" s="398">
        <f t="shared" si="0"/>
        <v>923558</v>
      </c>
      <c r="I6" s="398">
        <f>SUMIFS('利润（汇总）'!7:7,'利润（汇总）'!$1:$1,$C$1,'利润（汇总）'!$2:$2,$C$2)</f>
        <v>104942</v>
      </c>
      <c r="J6" s="1414">
        <v>939231</v>
      </c>
      <c r="K6" s="1414">
        <v>-1004</v>
      </c>
      <c r="L6" s="398">
        <f>J6-K6</f>
        <v>940235</v>
      </c>
      <c r="M6" s="1417">
        <v>78461</v>
      </c>
      <c r="N6" s="1415">
        <f>L6-H6</f>
        <v>16677</v>
      </c>
      <c r="O6" s="1415">
        <f t="shared" ref="O6:O31" si="5">M6-I6</f>
        <v>-26481</v>
      </c>
      <c r="P6" s="1416">
        <f>L6-D6/12</f>
        <v>940235</v>
      </c>
      <c r="Q6" s="1415">
        <f>M6-E6/12</f>
        <v>58461</v>
      </c>
      <c r="R6" s="398">
        <f>L6+Z6</f>
        <v>6537507.4278919995</v>
      </c>
      <c r="S6" s="398">
        <f t="shared" si="2"/>
        <v>762240</v>
      </c>
      <c r="T6" s="1416">
        <f t="shared" si="3"/>
        <v>5984782.5924236663</v>
      </c>
      <c r="U6" s="1416">
        <f t="shared" si="4"/>
        <v>744218.78960808332</v>
      </c>
      <c r="V6" s="1416">
        <f t="shared" ref="V6:V44" si="6">R6-D6/12*$B$2</f>
        <v>6537507.4278919995</v>
      </c>
      <c r="W6" s="1415">
        <f t="shared" ref="W6:W33" si="7">S6-E6/12*$B$2</f>
        <v>602240</v>
      </c>
      <c r="X6" s="930"/>
      <c r="Y6" s="695">
        <f>S6-'@预测#经营利润#'!J15</f>
        <v>0</v>
      </c>
      <c r="Z6" s="378">
        <f>SUMPRODUCT('收入（外部）'!$B$3:$AAM$66,('收入（外部）'!$A$3:$A$66=A6)*('收入（外部）'!$B$1:$AAM$1=$B$1)*('收入（外部）'!$B$2:$AAM$2&lt;=$B$2-1))</f>
        <v>5597272.4278919995</v>
      </c>
      <c r="AA6" s="378" cm="1">
        <f t="array" ref="AA6">SUMPRODUCT('利润（汇总）'!$C$3:$AAK$67,('利润（汇总）'!$B$3:$B$67=A6)*('利润（汇总）'!$C$1:$AAK$1=$B$1)*('利润（汇总）'!$C$2:$AAK$2&lt;=$B$2-1))</f>
        <v>683779</v>
      </c>
      <c r="AC6" s="695">
        <f>SUMPRODUCT('收入（外部）'!$B$3:$AAM$66,('收入（外部）'!$A$3:$A$66=A6)*('收入（外部）'!$B$1:$AAM$1=$B$1)*('收入（外部）'!$B$2:$AAM$2=$B$2))</f>
        <v>930705.9411390688</v>
      </c>
      <c r="AD6" s="695">
        <f>AC6-L6</f>
        <v>-9529.0588609311963</v>
      </c>
      <c r="AE6" s="695">
        <v>54800</v>
      </c>
      <c r="AF6" s="695">
        <f>AD6-AE6</f>
        <v>-64329.058860931196</v>
      </c>
      <c r="AG6" s="695"/>
    </row>
    <row r="7" spans="1:33">
      <c r="A7" s="1851" t="s">
        <v>1233</v>
      </c>
      <c r="B7" s="1852"/>
      <c r="C7" s="1852"/>
      <c r="D7" s="1852"/>
      <c r="E7" s="1857">
        <v>100</v>
      </c>
      <c r="F7" s="1403">
        <f>SUMIFS('收入（汇总）'!9:9,'收入（汇总）'!$1:$1,$C$1,'收入（汇总）'!$2:$2,$C$2)</f>
        <v>142436.419807</v>
      </c>
      <c r="G7" s="1852">
        <v>0</v>
      </c>
      <c r="H7" s="398">
        <f t="shared" si="0"/>
        <v>142436.419807</v>
      </c>
      <c r="I7" s="398">
        <f>SUMIFS('利润（汇总）'!8:8,'利润（汇总）'!$1:$1,$C$1,'利润（汇总）'!$2:$2,$C$2)</f>
        <v>-4419.5829999999996</v>
      </c>
      <c r="J7" s="1853">
        <v>166801</v>
      </c>
      <c r="K7" s="1853">
        <v>0</v>
      </c>
      <c r="L7" s="398">
        <f>J7-K7</f>
        <v>166801</v>
      </c>
      <c r="M7" s="1854">
        <v>1028</v>
      </c>
      <c r="N7" s="1415">
        <f>L7-H7</f>
        <v>24364.580193000002</v>
      </c>
      <c r="O7" s="1415">
        <f t="shared" si="5"/>
        <v>5447.5829999999996</v>
      </c>
      <c r="P7" s="1856"/>
      <c r="Q7" s="1415">
        <f>M7-E7/12</f>
        <v>1019.6666666666666</v>
      </c>
      <c r="R7" s="398">
        <f>L7+Z7</f>
        <v>977751.29136899998</v>
      </c>
      <c r="S7" s="398">
        <f>M7+AA7</f>
        <v>2706.2854389999857</v>
      </c>
      <c r="T7" s="1856"/>
      <c r="U7" s="1856"/>
      <c r="V7" s="1856"/>
      <c r="W7" s="1855"/>
      <c r="X7" s="1780"/>
      <c r="Y7" s="695"/>
      <c r="Z7" s="378">
        <f>SUMIFS('收入（外部）'!8:8,'收入（外部）'!$1:$1,$C$1,'收入（外部）'!$2:$2,"&lt;="&amp;$C$2)</f>
        <v>810950.29136899998</v>
      </c>
      <c r="AA7" s="378">
        <f>SUMIFS('利润（汇总）'!8:8,'利润（汇总）'!$1:$1,$C$1,'利润（汇总）'!$2:$2,"&lt;="&amp;$C$2)</f>
        <v>1678.2854389999857</v>
      </c>
      <c r="AC7" s="695"/>
      <c r="AD7" s="695"/>
      <c r="AE7" s="695"/>
      <c r="AF7" s="695"/>
      <c r="AG7" s="695"/>
    </row>
    <row r="8" spans="1:33">
      <c r="A8" s="1851" t="s">
        <v>1234</v>
      </c>
      <c r="B8" s="1852"/>
      <c r="C8" s="1852"/>
      <c r="D8" s="1852"/>
      <c r="E8" s="1857">
        <v>22000</v>
      </c>
      <c r="F8" s="1403">
        <f>SUMIFS('收入（汇总）'!10:10,'收入（汇总）'!$1:$1,$C$1,'收入（汇总）'!$2:$2,$C$2)</f>
        <v>76162.422873999996</v>
      </c>
      <c r="G8" s="1852">
        <v>0</v>
      </c>
      <c r="H8" s="398">
        <f t="shared" si="0"/>
        <v>76162.422873999996</v>
      </c>
      <c r="I8" s="398">
        <f>SUMIFS('利润（汇总）'!9:9,'利润（汇总）'!$1:$1,$C$1,'利润（汇总）'!$2:$2,$C$2)</f>
        <v>3526</v>
      </c>
      <c r="J8" s="1853">
        <v>72000</v>
      </c>
      <c r="K8" s="1853">
        <v>0</v>
      </c>
      <c r="L8" s="398">
        <f>J8-K8</f>
        <v>72000</v>
      </c>
      <c r="M8" s="1854">
        <v>2000</v>
      </c>
      <c r="N8" s="1415">
        <f>L8-H8</f>
        <v>-4162.4228739999962</v>
      </c>
      <c r="O8" s="1415">
        <f t="shared" si="5"/>
        <v>-1526</v>
      </c>
      <c r="P8" s="1856"/>
      <c r="Q8" s="1415">
        <f>M8-E8/12</f>
        <v>166.66666666666674</v>
      </c>
      <c r="R8" s="398">
        <f>L8+Z8</f>
        <v>585471.62606399995</v>
      </c>
      <c r="S8" s="398">
        <f>M8+AA8</f>
        <v>27582.53181</v>
      </c>
      <c r="T8" s="1856"/>
      <c r="U8" s="1856"/>
      <c r="V8" s="1856"/>
      <c r="W8" s="1855"/>
      <c r="X8" s="1780"/>
      <c r="Y8" s="695"/>
      <c r="Z8" s="378">
        <f>SUMIFS('收入（外部）'!9:9,'收入（外部）'!$1:$1,$C$1,'收入（外部）'!$2:$2,"&lt;="&amp;$C$2)</f>
        <v>513471.62606400001</v>
      </c>
      <c r="AA8" s="378">
        <f>SUMIFS('利润（汇总）'!9:9,'利润（汇总）'!$1:$1,$C$1,'利润（汇总）'!$2:$2,"&lt;="&amp;$C$2)</f>
        <v>25582.53181</v>
      </c>
      <c r="AC8" s="695"/>
      <c r="AD8" s="695"/>
      <c r="AE8" s="695"/>
      <c r="AF8" s="695"/>
      <c r="AG8" s="695"/>
    </row>
    <row r="9" spans="1:33">
      <c r="A9" s="1402" t="s">
        <v>110</v>
      </c>
      <c r="B9" s="1403">
        <f>SUMIFS('收入（外部）'!4:4,'收入（外部）'!$1:$1,'@预测#收入利润#'!$B$1-1)</f>
        <v>3429.4530240000013</v>
      </c>
      <c r="C9" s="1403">
        <f>SUMIFS('利润（汇总）'!4:4,'利润（汇总）'!$1:$1,$B$1-1)</f>
        <v>-8616.4565590000002</v>
      </c>
      <c r="D9" s="1403"/>
      <c r="E9" s="398">
        <f>'#经营利润'!B12</f>
        <v>62024.516129032265</v>
      </c>
      <c r="F9" s="1403">
        <f>SUMIFS('收入（汇总）'!4:4,'收入（汇总）'!$1:$1,$C$1,'收入（汇总）'!$2:$2,$C$2)</f>
        <v>11748.455522</v>
      </c>
      <c r="G9" s="1403">
        <f>SUMIFS('收入（关联）'!4:4,'收入（关联）'!$1:$1,$C$1,'收入（关联）'!$2:$2,$C$2)</f>
        <v>11739.083408999984</v>
      </c>
      <c r="H9" s="398">
        <f t="shared" si="0"/>
        <v>9.3721130000158155</v>
      </c>
      <c r="I9" s="398">
        <f>SUMIFS('利润（汇总）'!4:4,'利润（汇总）'!$1:$1,$C$1,'利润（汇总）'!$2:$2,$C$2)</f>
        <v>2958</v>
      </c>
      <c r="J9" s="1414">
        <v>27135</v>
      </c>
      <c r="K9" s="1414">
        <v>27022</v>
      </c>
      <c r="L9" s="398">
        <f t="shared" ref="L9:L32" si="8">J9-K9</f>
        <v>113</v>
      </c>
      <c r="M9" s="1414">
        <f>-'@预测#利润分析#'!P31-'@预测#利润分析#'!G19-'@预测#利润分析#'!G20+I9+3543</f>
        <v>3102.717461538462</v>
      </c>
      <c r="N9" s="1415">
        <f t="shared" ref="N9:N38" si="9">L9-H9</f>
        <v>103.62788699998418</v>
      </c>
      <c r="O9" s="1415">
        <f>M9-I9</f>
        <v>144.71746153846198</v>
      </c>
      <c r="P9" s="1416">
        <f t="shared" ref="P9:P44" si="10">L9-D9/12</f>
        <v>113</v>
      </c>
      <c r="Q9" s="1415">
        <f t="shared" ref="Q9:Q32" si="11">M9-E9/12</f>
        <v>-2065.9922158808931</v>
      </c>
      <c r="R9" s="398">
        <f t="shared" si="1"/>
        <v>1888.2046010000122</v>
      </c>
      <c r="S9" s="398">
        <f t="shared" si="2"/>
        <v>34906.116150538466</v>
      </c>
      <c r="T9" s="1416"/>
      <c r="U9" s="1416"/>
      <c r="V9" s="1416">
        <f t="shared" si="6"/>
        <v>1888.2046010000122</v>
      </c>
      <c r="W9" s="1415">
        <f t="shared" si="7"/>
        <v>-6443.5612688163746</v>
      </c>
      <c r="X9" s="930"/>
      <c r="Y9" s="695"/>
      <c r="Z9" s="378">
        <f>SUMPRODUCT('收入（外部）'!$B$3:$AAM$66,('收入（外部）'!$A$3:$A$66=A9)*('收入（外部）'!$B$1:$AAM$1=$B$1)*('收入（外部）'!$B$2:$AAM$2&lt;=$B$2-1))</f>
        <v>1775.2046010000122</v>
      </c>
      <c r="AA9" s="378">
        <f>SUMPRODUCT('利润（汇总）'!$C$3:$AAK$67,('利润（汇总）'!$B$3:$B$67=A9)*('利润（汇总）'!$C$1:$AAK$1=$B$1)*('利润（汇总）'!$C$2:$AAK$2&lt;=$B$2-1))</f>
        <v>31803.398689000001</v>
      </c>
      <c r="AC9" s="695">
        <f>SUMPRODUCT('收入（外部）'!$B$3:$AAM$66,('收入（外部）'!$A$3:$A$66=A9)*('收入（外部）'!$B$1:$AAM$1=$B$1)*('收入（外部）'!$B$2:$AAM$2=$B$2))</f>
        <v>175.57901599999241</v>
      </c>
      <c r="AD9" s="695">
        <f t="shared" ref="AD9:AD43" si="12">AC9-L9</f>
        <v>62.579015999992407</v>
      </c>
      <c r="AE9" s="695"/>
      <c r="AG9" s="695"/>
    </row>
    <row r="10" spans="1:33">
      <c r="A10" s="1402" t="s">
        <v>111</v>
      </c>
      <c r="B10" s="1403">
        <f>SUMIFS('收入（外部）'!5:5,'收入（外部）'!$1:$1,'@预测#收入利润#'!$B$1-1)</f>
        <v>2257.5415590000121</v>
      </c>
      <c r="C10" s="1403">
        <f>SUMIFS('利润（汇总）'!5:5,'利润（汇总）'!$1:$1,$B$1-1)</f>
        <v>16974.610826000004</v>
      </c>
      <c r="D10" s="1403"/>
      <c r="E10" s="398">
        <f>'#经营利润'!B13</f>
        <v>320294.57844116056</v>
      </c>
      <c r="F10" s="1403">
        <f>SUMIFS('收入（汇总）'!5:5,'收入（汇总）'!$1:$1,$C$1,'收入（汇总）'!$2:$2,$C$2)</f>
        <v>115064.05192300001</v>
      </c>
      <c r="G10" s="1403">
        <f>SUMIFS('收入（关联）'!5:5,'收入（关联）'!$1:$1,$C$1,'收入（关联）'!$2:$2,$C$2)</f>
        <v>114918.38164000004</v>
      </c>
      <c r="H10" s="398">
        <f t="shared" si="0"/>
        <v>145.67028299997037</v>
      </c>
      <c r="I10" s="398">
        <f>SUMIFS('利润（汇总）'!5:5,'利润（汇总）'!$1:$1,$C$1,'利润（汇总）'!$2:$2,$C$2)</f>
        <v>65368.601999999999</v>
      </c>
      <c r="J10" s="1414">
        <v>121085.2547</v>
      </c>
      <c r="K10" s="1414">
        <v>121085.2547</v>
      </c>
      <c r="L10" s="398">
        <f t="shared" si="8"/>
        <v>0</v>
      </c>
      <c r="M10" s="1414">
        <f>57720.8+3000</f>
        <v>60720.800000000003</v>
      </c>
      <c r="N10" s="1415">
        <f t="shared" si="9"/>
        <v>-145.67028299997037</v>
      </c>
      <c r="O10" s="1415">
        <f t="shared" si="5"/>
        <v>-4647.801999999996</v>
      </c>
      <c r="P10" s="1416">
        <f t="shared" si="10"/>
        <v>0</v>
      </c>
      <c r="Q10" s="1415">
        <f t="shared" si="11"/>
        <v>34029.585129903295</v>
      </c>
      <c r="R10" s="398">
        <f t="shared" si="1"/>
        <v>690.2087529999626</v>
      </c>
      <c r="S10" s="398">
        <f t="shared" si="2"/>
        <v>375637.98288800003</v>
      </c>
      <c r="T10" s="1416">
        <f t="shared" si="3"/>
        <v>502.08028974996159</v>
      </c>
      <c r="U10" s="1416">
        <f t="shared" si="4"/>
        <v>374223.43198583333</v>
      </c>
      <c r="V10" s="1416">
        <f t="shared" si="6"/>
        <v>690.2087529999626</v>
      </c>
      <c r="W10" s="1415">
        <f t="shared" si="7"/>
        <v>162108.26392722633</v>
      </c>
      <c r="X10" s="930"/>
      <c r="Y10" s="695">
        <f>S10-'@预测#经营利润#'!J13</f>
        <v>0</v>
      </c>
      <c r="Z10" s="378">
        <f>SUMPRODUCT('收入（外部）'!$B$3:$AAM$66,('收入（外部）'!$A$3:$A$66=A10)*('收入（外部）'!$B$1:$AAM$1=$B$1)*('收入（外部）'!$B$2:$AAM$2&lt;=$B$2-1))</f>
        <v>690.2087529999626</v>
      </c>
      <c r="AA10" s="378">
        <f>SUMPRODUCT('利润（汇总）'!$C$3:$AAK$67,('利润（汇总）'!$B$3:$B$67=A10)*('利润（汇总）'!$C$1:$AAK$1=$B$1)*('利润（汇总）'!$C$2:$AAK$2&lt;=$B$2-1))</f>
        <v>314917.18288800004</v>
      </c>
      <c r="AC10" s="695">
        <f>SUMPRODUCT('收入（外部）'!$B$3:$AAM$66,('收入（外部）'!$A$3:$A$66=A10)*('收入（外部）'!$B$1:$AAM$1=$B$1)*('收入（外部）'!$B$2:$AAM$2=$B$2))</f>
        <v>22.220938000042224</v>
      </c>
      <c r="AD10" s="695">
        <f t="shared" si="12"/>
        <v>22.220938000042224</v>
      </c>
      <c r="AE10" s="695"/>
      <c r="AG10" s="695"/>
    </row>
    <row r="11" spans="1:33">
      <c r="A11" s="1402" t="s">
        <v>112</v>
      </c>
      <c r="B11" s="1403">
        <f>SUMIFS('收入（外部）'!6:6,'收入（外部）'!$1:$1,'@预测#收入利润#'!$B$1-1)</f>
        <v>370.61420699999962</v>
      </c>
      <c r="C11" s="1403">
        <f>SUMIFS('利润（汇总）'!6:6,'利润（汇总）'!$1:$1,$B$1-1)</f>
        <v>1606.041256</v>
      </c>
      <c r="D11" s="1403"/>
      <c r="E11" s="398">
        <f>'#经营利润'!B14</f>
        <v>7124.25</v>
      </c>
      <c r="F11" s="1403">
        <f>SUMIFS('收入（汇总）'!6:6,'收入（汇总）'!$1:$1,$C$1,'收入（汇总）'!$2:$2,$C$2)</f>
        <v>2326.5505109999999</v>
      </c>
      <c r="G11" s="1403">
        <f>SUMIFS('收入（关联）'!6:6,'收入（关联）'!$1:$1,$C$1,'收入（关联）'!$2:$2,$C$2)</f>
        <v>2310.095863999999</v>
      </c>
      <c r="H11" s="398">
        <f t="shared" si="0"/>
        <v>16.454647000000932</v>
      </c>
      <c r="I11" s="398">
        <f>SUMIFS('利润（汇总）'!6:6,'利润（汇总）'!$1:$1,$C$1,'利润（汇总）'!$2:$2,$C$2)</f>
        <v>-320</v>
      </c>
      <c r="J11" s="1414">
        <v>2327</v>
      </c>
      <c r="K11" s="1414">
        <v>2327</v>
      </c>
      <c r="L11" s="398">
        <f t="shared" si="8"/>
        <v>0</v>
      </c>
      <c r="M11" s="1414">
        <v>-337</v>
      </c>
      <c r="N11" s="1415">
        <f t="shared" si="9"/>
        <v>-16.454647000000932</v>
      </c>
      <c r="O11" s="1415">
        <f t="shared" si="5"/>
        <v>-17</v>
      </c>
      <c r="P11" s="1416">
        <f t="shared" si="10"/>
        <v>0</v>
      </c>
      <c r="Q11" s="1415">
        <f t="shared" si="11"/>
        <v>-930.6875</v>
      </c>
      <c r="R11" s="398">
        <f t="shared" si="1"/>
        <v>162.87523400000146</v>
      </c>
      <c r="S11" s="398">
        <f t="shared" si="2"/>
        <v>1075.1172350000002</v>
      </c>
      <c r="T11" s="1416">
        <f t="shared" si="3"/>
        <v>131.9907167500015</v>
      </c>
      <c r="U11" s="1416">
        <f t="shared" si="4"/>
        <v>941.28046366666683</v>
      </c>
      <c r="V11" s="1416">
        <f t="shared" si="6"/>
        <v>162.87523400000146</v>
      </c>
      <c r="W11" s="1415">
        <f t="shared" si="7"/>
        <v>-3674.3827649999998</v>
      </c>
      <c r="X11" s="2091"/>
      <c r="Y11" s="695">
        <f>S11-'@预测#经营利润#'!J14</f>
        <v>0</v>
      </c>
      <c r="Z11" s="378">
        <f>SUMPRODUCT('收入（外部）'!$B$3:$AAM$66,('收入（外部）'!$A$3:$A$66=A11)*('收入（外部）'!$B$1:$AAM$1=$B$1)*('收入（外部）'!$B$2:$AAM$2&lt;=$B$2-1))</f>
        <v>162.87523400000146</v>
      </c>
      <c r="AA11" s="378">
        <f>SUMPRODUCT('利润（汇总）'!$C$3:$AAK$67,('利润（汇总）'!$B$3:$B$67=A11)*('利润（汇总）'!$C$1:$AAK$1=$B$1)*('利润（汇总）'!$C$2:$AAK$2&lt;=$B$2-1))</f>
        <v>1412.1172350000002</v>
      </c>
      <c r="AC11" s="695">
        <f>SUMPRODUCT('收入（外部）'!$B$3:$AAM$66,('收入（外部）'!$A$3:$A$66=A11)*('收入（外部）'!$B$1:$AAM$1=$B$1)*('收入（外部）'!$B$2:$AAM$2=$B$2))</f>
        <v>17.275411999997687</v>
      </c>
      <c r="AD11" s="695">
        <f t="shared" si="12"/>
        <v>17.275411999997687</v>
      </c>
      <c r="AE11" s="695"/>
      <c r="AG11" s="695"/>
    </row>
    <row r="12" spans="1:33" ht="15" customHeight="1">
      <c r="A12" s="1402" t="s">
        <v>121</v>
      </c>
      <c r="B12" s="1403">
        <f>SUMIFS('收入（外部）'!18:18,'收入（外部）'!$1:$1,'@预测#收入利润#'!$B$1-1)</f>
        <v>547149.94689499994</v>
      </c>
      <c r="C12" s="1403">
        <f>SUMIFS('利润（汇总）'!17:17,'利润（汇总）'!$1:$1,$B$1-1)</f>
        <v>11686.99741</v>
      </c>
      <c r="D12" s="1403"/>
      <c r="E12" s="398">
        <f>'#经营利润'!B23</f>
        <v>10613</v>
      </c>
      <c r="F12" s="1403">
        <f>SUMIFS('收入（汇总）'!18:18,'收入（汇总）'!$1:$1,$C$1,'收入（汇总）'!$2:$2,$C$2)</f>
        <v>67966.225120000003</v>
      </c>
      <c r="G12" s="1403">
        <f>SUMIFS('收入（关联）'!18:18,'收入（关联）'!$1:$1,$C$1,'收入（关联）'!$2:$2,$C$2)</f>
        <v>26956.511955999998</v>
      </c>
      <c r="H12" s="398">
        <f t="shared" si="0"/>
        <v>41009.713164000001</v>
      </c>
      <c r="I12" s="398">
        <f>SUMIFS('利润（汇总）'!17:17,'利润（汇总）'!$1:$1,$C$1,'利润（汇总）'!$2:$2,$C$2)</f>
        <v>1635</v>
      </c>
      <c r="J12" s="1414">
        <v>53075</v>
      </c>
      <c r="K12" s="1414">
        <v>3520</v>
      </c>
      <c r="L12" s="398">
        <f t="shared" si="8"/>
        <v>49555</v>
      </c>
      <c r="M12" s="1414">
        <v>-489</v>
      </c>
      <c r="N12" s="1415">
        <f t="shared" si="9"/>
        <v>8545.2868359999993</v>
      </c>
      <c r="O12" s="1415">
        <f t="shared" si="5"/>
        <v>-2124</v>
      </c>
      <c r="P12" s="1416">
        <f t="shared" si="10"/>
        <v>49555</v>
      </c>
      <c r="Q12" s="1415">
        <f t="shared" si="11"/>
        <v>-1373.4166666666665</v>
      </c>
      <c r="R12" s="398">
        <f t="shared" si="1"/>
        <v>506905.00688499998</v>
      </c>
      <c r="S12" s="398">
        <f t="shared" si="2"/>
        <v>5398.497601</v>
      </c>
      <c r="T12" s="1416">
        <f t="shared" si="3"/>
        <v>461309.17797708331</v>
      </c>
      <c r="U12" s="1416">
        <f t="shared" si="4"/>
        <v>4424.5811501666667</v>
      </c>
      <c r="V12" s="1416">
        <f t="shared" si="6"/>
        <v>506905.00688499998</v>
      </c>
      <c r="W12" s="1415">
        <f t="shared" si="7"/>
        <v>-1676.835732333333</v>
      </c>
      <c r="X12" s="930"/>
      <c r="Y12" s="695">
        <f>S12-'@预测#经营利润#'!J23</f>
        <v>0</v>
      </c>
      <c r="Z12" s="378">
        <f>SUMPRODUCT('收入（外部）'!$B$3:$AAM$66,('收入（外部）'!$A$3:$A$66=A12)*('收入（外部）'!$B$1:$AAM$1=$B$1)*('收入（外部）'!$B$2:$AAM$2&lt;=$B$2-1))</f>
        <v>457350.00688499998</v>
      </c>
      <c r="AA12" s="378">
        <f>SUMPRODUCT('利润（汇总）'!$C$3:$AAK$67,('利润（汇总）'!$B$3:$B$67=A12)*('利润（汇总）'!$C$1:$AAK$1=$B$1)*('利润（汇总）'!$C$2:$AAK$2&lt;=$B$2-1))</f>
        <v>5887.497601</v>
      </c>
      <c r="AC12" s="695">
        <f>SUMPRODUCT('收入（外部）'!$B$3:$AAM$66,('收入（外部）'!$A$3:$A$66=A12)*('收入（外部）'!$B$1:$AAM$1=$B$1)*('收入（外部）'!$B$2:$AAM$2=$B$2))</f>
        <v>51404.326488999999</v>
      </c>
      <c r="AD12" s="695">
        <f t="shared" si="12"/>
        <v>1849.3264889999991</v>
      </c>
      <c r="AE12" s="695"/>
      <c r="AG12" s="695"/>
    </row>
    <row r="13" spans="1:33">
      <c r="A13" s="1402" t="s">
        <v>122</v>
      </c>
      <c r="B13" s="1403">
        <f>SUMIFS('收入（外部）'!19:19,'收入（外部）'!$1:$1,'@预测#收入利润#'!$B$1-1)-B14-B15</f>
        <v>173100.94707558744</v>
      </c>
      <c r="C13" s="1403">
        <f>SUMIFS('利润（汇总）'!18:18,'利润（汇总）'!$1:$1,$B$1-1)</f>
        <v>13586.067685470651</v>
      </c>
      <c r="D13" s="1403"/>
      <c r="E13" s="398">
        <f>'#经营利润'!B24</f>
        <v>15607</v>
      </c>
      <c r="F13" s="1403">
        <f>SUMIFS('收入（汇总）'!19:19,'收入（汇总）'!$1:$1,$C$1,'收入（汇总）'!$2:$2,$C$2)</f>
        <v>155428.34944700002</v>
      </c>
      <c r="G13" s="1403">
        <f>SUMIFS('收入（关联）'!19:19,'收入（关联）'!$1:$1,$C$1,'收入（关联）'!$2:$2,$C$2)</f>
        <v>136716.65974199999</v>
      </c>
      <c r="H13" s="398">
        <f t="shared" si="0"/>
        <v>18711.689705000026</v>
      </c>
      <c r="I13" s="398">
        <f>SUMIFS('利润（汇总）'!18:18,'利润（汇总）'!$1:$1,$C$1,'利润（汇总）'!$2:$2,$C$2)</f>
        <v>1029</v>
      </c>
      <c r="J13" s="1414">
        <v>89626</v>
      </c>
      <c r="K13" s="1414">
        <v>84493</v>
      </c>
      <c r="L13" s="398">
        <f t="shared" si="8"/>
        <v>5133</v>
      </c>
      <c r="M13" s="1414">
        <v>342</v>
      </c>
      <c r="N13" s="1415">
        <f t="shared" si="9"/>
        <v>-13578.689705000026</v>
      </c>
      <c r="O13" s="1415">
        <f t="shared" si="5"/>
        <v>-687</v>
      </c>
      <c r="P13" s="1416">
        <f t="shared" si="10"/>
        <v>5133</v>
      </c>
      <c r="Q13" s="1415">
        <f t="shared" si="11"/>
        <v>-958.58333333333326</v>
      </c>
      <c r="R13" s="398">
        <f t="shared" si="1"/>
        <v>122506.8675383714</v>
      </c>
      <c r="S13" s="398">
        <f t="shared" si="2"/>
        <v>4916.6129249999994</v>
      </c>
      <c r="T13" s="1416">
        <f t="shared" si="3"/>
        <v>108081.78861540578</v>
      </c>
      <c r="U13" s="1416">
        <f t="shared" si="4"/>
        <v>3784.4406178774452</v>
      </c>
      <c r="V13" s="1416">
        <f t="shared" si="6"/>
        <v>122506.8675383714</v>
      </c>
      <c r="W13" s="1415">
        <f t="shared" si="7"/>
        <v>-5488.0537416666666</v>
      </c>
      <c r="X13" s="930"/>
      <c r="Y13" s="695">
        <f>S13-'@预测#经营利润#'!J24</f>
        <v>0</v>
      </c>
      <c r="Z13" s="378">
        <f>SUMPRODUCT('收入（外部）'!$B$3:$AAM$66,('收入（外部）'!$A$3:$A$66=A13)*('收入（外部）'!$B$1:$AAM$1=$B$1)*('收入（外部）'!$B$2:$AAM$2&lt;=$B$2-1))-Z14</f>
        <v>117373.8675383714</v>
      </c>
      <c r="AA13" s="378">
        <f>SUMPRODUCT('利润（汇总）'!$C$3:$AAK$67,('利润（汇总）'!$B$3:$B$67=A13)*('利润（汇总）'!$C$1:$AAK$1=$B$1)*('利润（汇总）'!$C$2:$AAK$2&lt;=$B$2-1))</f>
        <v>4574.6129249999994</v>
      </c>
      <c r="AC13" s="695">
        <f>SUMPRODUCT('收入（外部）'!$B$3:$AAM$66,('收入（外部）'!$A$3:$A$66=A13)*('收入（外部）'!$B$1:$AAM$1=$B$1)*('收入（外部）'!$B$2:$AAM$2=$B$2))</f>
        <v>4071.4265950000845</v>
      </c>
      <c r="AD13" s="695">
        <f t="shared" si="12"/>
        <v>-1061.5734049999155</v>
      </c>
      <c r="AE13" s="695"/>
      <c r="AG13" s="695"/>
    </row>
    <row r="14" spans="1:33">
      <c r="A14" s="1402" t="s">
        <v>127</v>
      </c>
      <c r="B14" s="1403">
        <f>SUMIFS('收入（外部）'!20:20,'收入（外部）'!$1:$1,'@预测#收入利润#'!$B$1-1)</f>
        <v>3846.2608470073187</v>
      </c>
      <c r="C14" s="1403">
        <f>SUMIFS('利润（汇总）'!19:19,'利润（汇总）'!$1:$1,$B$1-1)</f>
        <v>7106.2610570000006</v>
      </c>
      <c r="D14" s="1403">
        <v>6667</v>
      </c>
      <c r="E14" s="398">
        <f>'#经营利润'!B29</f>
        <v>7693</v>
      </c>
      <c r="F14" s="1403">
        <f>SUMIFS('收入（汇总）'!20:20,'收入（汇总）'!$1:$1,$C$1,'收入（汇总）'!$2:$2,$C$2)</f>
        <v>869.51145700000006</v>
      </c>
      <c r="G14" s="1403">
        <f>SUMIFS('收入（关联）'!20:20,'收入（关联）'!$1:$1,$C$1,'收入（关联）'!$2:$2,$C$2)</f>
        <v>509</v>
      </c>
      <c r="H14" s="398">
        <f t="shared" si="0"/>
        <v>360.51145700000006</v>
      </c>
      <c r="I14" s="398">
        <f>SUMIFS('利润（汇总）'!19:19,'利润（汇总）'!$1:$1,$C$1,'利润（汇总）'!$2:$2,$C$2)</f>
        <v>519.64996300000007</v>
      </c>
      <c r="J14" s="1417">
        <v>886</v>
      </c>
      <c r="K14" s="1414">
        <v>515</v>
      </c>
      <c r="L14" s="398">
        <f>J14-K14</f>
        <v>371</v>
      </c>
      <c r="M14" s="1414">
        <v>532</v>
      </c>
      <c r="N14" s="1415">
        <f>L14-H14</f>
        <v>10.488542999999936</v>
      </c>
      <c r="O14" s="1415">
        <f>M14-I14</f>
        <v>12.350036999999929</v>
      </c>
      <c r="P14" s="1416">
        <f t="shared" si="10"/>
        <v>-184.58333333333337</v>
      </c>
      <c r="Q14" s="1415">
        <f>M14-E14/12</f>
        <v>-109.08333333333337</v>
      </c>
      <c r="R14" s="398">
        <f t="shared" si="1"/>
        <v>2888.0418826286509</v>
      </c>
      <c r="S14" s="398">
        <f t="shared" si="2"/>
        <v>4343.1511890000002</v>
      </c>
      <c r="T14" s="1416">
        <f t="shared" si="3"/>
        <v>2567.520145378041</v>
      </c>
      <c r="U14" s="1416">
        <f t="shared" si="4"/>
        <v>3750.9627675833335</v>
      </c>
      <c r="V14" s="1416">
        <f t="shared" si="6"/>
        <v>-1556.6247840380161</v>
      </c>
      <c r="W14" s="1415">
        <f t="shared" si="7"/>
        <v>-785.51547766666681</v>
      </c>
      <c r="X14" s="1430"/>
      <c r="Y14" s="695">
        <f>S14-'@预测#经营利润#'!J29</f>
        <v>0</v>
      </c>
      <c r="Z14" s="378">
        <f>SUMPRODUCT('收入（外部）'!$B$3:$AAM$66,('收入（外部）'!$A$3:$A$66=A14)*('收入（外部）'!$B$1:$AAM$1=$B$1)*('收入（外部）'!$B$2:$AAM$2&lt;=$B$2-1))</f>
        <v>2517.0418826286509</v>
      </c>
      <c r="AA14" s="378">
        <f>SUMPRODUCT('利润（汇总）'!$C$3:$AAK$67,('利润（汇总）'!$B$3:$B$67=A14)*('利润（汇总）'!$C$1:$AAK$1=$B$1)*('利润（汇总）'!$C$2:$AAK$2&lt;=$B$2-1))</f>
        <v>3811.1511890000002</v>
      </c>
      <c r="AC14" s="695">
        <f>SUMPRODUCT('收入（外部）'!$B$3:$AAM$66,('收入（外部）'!$A$3:$A$66=A14)*('收入（外部）'!$B$1:$AAM$1=$B$1)*('收入（外部）'!$B$2:$AAM$2=$B$2))</f>
        <v>371.26979199999994</v>
      </c>
      <c r="AD14" s="695">
        <f t="shared" si="12"/>
        <v>0.26979199999993853</v>
      </c>
      <c r="AE14" s="695"/>
      <c r="AG14" s="695"/>
    </row>
    <row r="15" spans="1:33">
      <c r="A15" s="1402" t="s">
        <v>128</v>
      </c>
      <c r="B15" s="1403">
        <f>SUMIFS('收入（外部）'!21:21,'收入（外部）'!$1:$1,'@预测#收入利润#'!$B$1-1)</f>
        <v>45.103385405227669</v>
      </c>
      <c r="C15" s="1403">
        <f>SUMIFS('利润（汇总）'!20:20,'利润（汇总）'!$1:$1,$B$1-1)</f>
        <v>2608.0780960000002</v>
      </c>
      <c r="D15" s="1403">
        <v>807</v>
      </c>
      <c r="E15" s="398">
        <f>'#经营利润'!B30</f>
        <v>2790</v>
      </c>
      <c r="F15" s="1403">
        <f>SUMIFS('收入（汇总）'!21:21,'收入（汇总）'!$1:$1,$C$1,'收入（汇总）'!$2:$2,$C$2)</f>
        <v>247.77653199999997</v>
      </c>
      <c r="G15" s="1403">
        <f>SUMIFS('收入（关联）'!21:21,'收入（关联）'!$1:$1,$C$1,'收入（关联）'!$2:$2,$C$2)</f>
        <v>74</v>
      </c>
      <c r="H15" s="398">
        <f t="shared" si="0"/>
        <v>173.77653199999997</v>
      </c>
      <c r="I15" s="398">
        <f>SUMIFS('利润（汇总）'!20:20,'利润（汇总）'!$1:$1,$C$1,'利润（汇总）'!$2:$2,$C$2)</f>
        <v>195.67499799999999</v>
      </c>
      <c r="J15" s="1417">
        <v>226</v>
      </c>
      <c r="K15" s="1414">
        <v>151</v>
      </c>
      <c r="L15" s="398">
        <f>J15-K15</f>
        <v>75</v>
      </c>
      <c r="M15" s="1414">
        <v>205</v>
      </c>
      <c r="N15" s="1415">
        <f t="shared" si="9"/>
        <v>-98.776531999999975</v>
      </c>
      <c r="O15" s="1415">
        <f>M15-I15</f>
        <v>9.325002000000012</v>
      </c>
      <c r="P15" s="1416">
        <f t="shared" si="10"/>
        <v>7.75</v>
      </c>
      <c r="Q15" s="1415">
        <f>M15-E15/12</f>
        <v>-27.5</v>
      </c>
      <c r="R15" s="398">
        <f t="shared" si="1"/>
        <v>963.03266500000007</v>
      </c>
      <c r="S15" s="398">
        <f t="shared" si="2"/>
        <v>1580.3932789999999</v>
      </c>
      <c r="T15" s="1416">
        <f t="shared" si="3"/>
        <v>959.27404954956444</v>
      </c>
      <c r="U15" s="1416">
        <f t="shared" si="4"/>
        <v>1363.0534376666665</v>
      </c>
      <c r="V15" s="1416">
        <f t="shared" si="6"/>
        <v>425.03266500000007</v>
      </c>
      <c r="W15" s="1415">
        <f t="shared" si="7"/>
        <v>-279.60672100000011</v>
      </c>
      <c r="X15" s="1430"/>
      <c r="Y15" s="695">
        <f>S15-'@预测#经营利润#'!J30</f>
        <v>0</v>
      </c>
      <c r="Z15" s="378">
        <f>SUMPRODUCT('收入（外部）'!$B$3:$AAM$66,('收入（外部）'!$A$3:$A$66=A15)*('收入（外部）'!$B$1:$AAM$1=$B$1)*('收入（外部）'!$B$2:$AAM$2&lt;=$B$2-1))</f>
        <v>888.03266500000007</v>
      </c>
      <c r="AA15" s="378">
        <f>SUMPRODUCT('利润（汇总）'!$C$3:$AAK$67,('利润（汇总）'!$B$3:$B$67=A15)*('利润（汇总）'!$C$1:$AAK$1=$B$1)*('利润（汇总）'!$C$2:$AAK$2&lt;=$B$2-1))</f>
        <v>1375.3932789999999</v>
      </c>
      <c r="AC15" s="695">
        <f>SUMPRODUCT('收入（外部）'!$B$3:$AAM$66,('收入（外部）'!$A$3:$A$66=A15)*('收入（外部）'!$B$1:$AAM$1=$B$1)*('收入（外部）'!$B$2:$AAM$2=$B$2))</f>
        <v>74.737945999999994</v>
      </c>
      <c r="AD15" s="695">
        <f t="shared" si="12"/>
        <v>-0.26205400000000623</v>
      </c>
      <c r="AE15" s="695"/>
      <c r="AG15" s="695"/>
    </row>
    <row r="16" spans="1:33">
      <c r="A16" s="1402" t="s">
        <v>129</v>
      </c>
      <c r="B16" s="1403">
        <f>SUMIFS('收入（外部）'!26:26,'收入（外部）'!$1:$1,'@预测#收入利润#'!$B$1-1)</f>
        <v>4157.5888770000001</v>
      </c>
      <c r="C16" s="1403">
        <f>SUMIFS('利润（汇总）'!25:25,'利润（汇总）'!$1:$1,$B$1-1)</f>
        <v>1824.4590269999994</v>
      </c>
      <c r="D16" s="1403">
        <v>3451</v>
      </c>
      <c r="E16" s="398">
        <f>'#经营利润'!B31</f>
        <v>2065</v>
      </c>
      <c r="F16" s="1403">
        <f>SUMIFS('收入（汇总）'!26:26,'收入（汇总）'!$1:$1,$C$1,'收入（汇总）'!$2:$2,$C$2)</f>
        <v>1614.1170849999999</v>
      </c>
      <c r="G16" s="1403">
        <f>SUMIFS('收入（关联）'!26:26,'收入（关联）'!$1:$1,$C$1,'收入（关联）'!$2:$2,$C$2)</f>
        <v>1323.5358140000001</v>
      </c>
      <c r="H16" s="398">
        <f t="shared" si="0"/>
        <v>290.58127099999979</v>
      </c>
      <c r="I16" s="398">
        <f>SUMIFS('利润（汇总）'!25:25,'利润（汇总）'!$1:$1,$C$1,'利润（汇总）'!$2:$2,$C$2)</f>
        <v>130.30000000000001</v>
      </c>
      <c r="J16" s="1417">
        <v>1600</v>
      </c>
      <c r="K16" s="1414">
        <v>1400</v>
      </c>
      <c r="L16" s="398">
        <f t="shared" si="8"/>
        <v>200</v>
      </c>
      <c r="M16" s="1417">
        <v>30</v>
      </c>
      <c r="N16" s="1415">
        <f t="shared" si="9"/>
        <v>-90.581270999999788</v>
      </c>
      <c r="O16" s="1415">
        <f>M16-I16</f>
        <v>-100.30000000000001</v>
      </c>
      <c r="P16" s="1416">
        <f t="shared" si="10"/>
        <v>-87.583333333333314</v>
      </c>
      <c r="Q16" s="1415">
        <f t="shared" si="11"/>
        <v>-142.08333333333334</v>
      </c>
      <c r="R16" s="398">
        <f t="shared" ref="R16:S18" si="13">L16+Z16</f>
        <v>3085.0784890000004</v>
      </c>
      <c r="S16" s="398">
        <f t="shared" si="13"/>
        <v>1372.515281</v>
      </c>
      <c r="T16" s="1416">
        <f t="shared" ref="T16:U18" si="14">R16-B16/12</f>
        <v>2738.6127492500004</v>
      </c>
      <c r="U16" s="1416">
        <f t="shared" si="14"/>
        <v>1220.47702875</v>
      </c>
      <c r="V16" s="1416">
        <f t="shared" si="6"/>
        <v>784.41182233333393</v>
      </c>
      <c r="W16" s="1415">
        <f t="shared" si="7"/>
        <v>-4.1513856666667834</v>
      </c>
      <c r="X16" s="963"/>
      <c r="Y16" s="695">
        <f>S16-'@预测#经营利润#'!J31</f>
        <v>0</v>
      </c>
      <c r="Z16" s="378">
        <f>SUMPRODUCT('收入（外部）'!$B$3:$AAM$66,('收入（外部）'!$A$3:$A$66=A16)*('收入（外部）'!$B$1:$AAM$1=$B$1)*('收入（外部）'!$B$2:$AAM$2&lt;=$B$2-1))</f>
        <v>2885.0784890000004</v>
      </c>
      <c r="AA16" s="378">
        <f>SUMPRODUCT('利润（汇总）'!$C$3:$AAK$67,('利润（汇总）'!$B$3:$B$67=A16)*('利润（汇总）'!$C$1:$AAK$1=$B$1)*('利润（汇总）'!$C$2:$AAK$2&lt;=$B$2-1))</f>
        <v>1342.515281</v>
      </c>
      <c r="AC16" s="695">
        <f>SUMPRODUCT('收入（外部）'!$B$3:$AAM$66,('收入（外部）'!$A$3:$A$66=A16)*('收入（外部）'!$B$1:$AAM$1=$B$1)*('收入（外部）'!$B$2:$AAM$2=$B$2))</f>
        <v>326.69964400000049</v>
      </c>
      <c r="AD16" s="695">
        <f t="shared" si="12"/>
        <v>126.69964400000049</v>
      </c>
      <c r="AE16" s="695"/>
      <c r="AG16" s="695"/>
    </row>
    <row r="17" spans="1:33" ht="17.25" customHeight="1">
      <c r="A17" s="1402" t="s">
        <v>133</v>
      </c>
      <c r="B17" s="1403">
        <f>SUMIFS('收入（外部）'!30:30,'收入（外部）'!$1:$1,'@预测#收入利润#'!$B$1-1)</f>
        <v>0</v>
      </c>
      <c r="C17" s="1403">
        <f>SUMIFS('利润（汇总）'!29:29,'利润（汇总）'!$1:$1,$B$1-1)</f>
        <v>55.144046000000003</v>
      </c>
      <c r="D17" s="1403"/>
      <c r="E17" s="398">
        <f>'#经营利润'!B35</f>
        <v>-110</v>
      </c>
      <c r="F17" s="1403">
        <f>SUMIFS('收入（汇总）'!30:30,'收入（汇总）'!$1:$1,$C$1,'收入（汇总）'!$2:$2,$C$2)</f>
        <v>0</v>
      </c>
      <c r="G17" s="1403">
        <f>SUMIFS('收入（关联）'!30:30,'收入（关联）'!$1:$1,$C$1,'收入（关联）'!$2:$2,$C$2)</f>
        <v>0</v>
      </c>
      <c r="H17" s="398">
        <f t="shared" si="0"/>
        <v>0</v>
      </c>
      <c r="I17" s="398">
        <f>SUMIFS('利润（汇总）'!29:29,'利润（汇总）'!$1:$1,$C$1,'利润（汇总）'!$2:$2,$C$2)</f>
        <v>-9</v>
      </c>
      <c r="J17" s="1417">
        <v>0</v>
      </c>
      <c r="K17" s="1414">
        <v>0</v>
      </c>
      <c r="L17" s="398">
        <f t="shared" si="8"/>
        <v>0</v>
      </c>
      <c r="M17" s="1414">
        <v>-9</v>
      </c>
      <c r="N17" s="1415">
        <f t="shared" si="9"/>
        <v>0</v>
      </c>
      <c r="O17" s="1415">
        <f>M17-I17</f>
        <v>0</v>
      </c>
      <c r="P17" s="1418">
        <f t="shared" si="10"/>
        <v>0</v>
      </c>
      <c r="Q17" s="1415">
        <f t="shared" si="11"/>
        <v>0.16666666666666607</v>
      </c>
      <c r="R17" s="398">
        <f t="shared" si="13"/>
        <v>0</v>
      </c>
      <c r="S17" s="398">
        <f t="shared" si="13"/>
        <v>21.695625999999997</v>
      </c>
      <c r="T17" s="1418">
        <f t="shared" si="14"/>
        <v>0</v>
      </c>
      <c r="U17" s="1416">
        <f t="shared" si="14"/>
        <v>17.10028883333333</v>
      </c>
      <c r="V17" s="1416">
        <f t="shared" si="6"/>
        <v>0</v>
      </c>
      <c r="W17" s="1415">
        <f t="shared" si="7"/>
        <v>95.028959333333319</v>
      </c>
      <c r="X17" s="1430" t="s">
        <v>1135</v>
      </c>
      <c r="Y17" s="695">
        <f>S17-'@预测#经营利润#'!J35</f>
        <v>0</v>
      </c>
      <c r="Z17" s="378">
        <f>SUMPRODUCT('收入（外部）'!$B$3:$AAM$66,('收入（外部）'!$A$3:$A$66=A17)*('收入（外部）'!$B$1:$AAM$1=$B$1)*('收入（外部）'!$B$2:$AAM$2&lt;=$B$2-1))</f>
        <v>0</v>
      </c>
      <c r="AA17" s="378">
        <f>SUMPRODUCT('利润（汇总）'!$C$3:$AAK$67,('利润（汇总）'!$B$3:$B$67=A17)*('利润（汇总）'!$C$1:$AAK$1=$B$1)*('利润（汇总）'!$C$2:$AAK$2&lt;=$B$2-1))</f>
        <v>30.695625999999997</v>
      </c>
      <c r="AC17" s="695">
        <f>SUMPRODUCT('收入（外部）'!$B$3:$AAM$66,('收入（外部）'!$A$3:$A$66=A17)*('收入（外部）'!$B$1:$AAM$1=$B$1)*('收入（外部）'!$B$2:$AAM$2=$B$2))</f>
        <v>0</v>
      </c>
      <c r="AD17" s="695">
        <f t="shared" si="12"/>
        <v>0</v>
      </c>
      <c r="AE17" s="695"/>
      <c r="AG17" s="695"/>
    </row>
    <row r="18" spans="1:33" ht="40.5">
      <c r="A18" s="1402" t="s">
        <v>113</v>
      </c>
      <c r="B18" s="1403">
        <f>SUMIFS('收入（外部）'!11:11,'收入（外部）'!$1:$1,'@预测#收入利润#'!$B$1-1)</f>
        <v>13223.056530999997</v>
      </c>
      <c r="C18" s="1403">
        <f>SUMIFS('利润（汇总）'!10:10,'利润（汇总）'!$1:$1,$B$1-1)</f>
        <v>-20393.076202000004</v>
      </c>
      <c r="D18" s="1403">
        <v>31900.125800850001</v>
      </c>
      <c r="E18" s="398">
        <f>'#经营利润'!B16</f>
        <v>59</v>
      </c>
      <c r="F18" s="1403">
        <f>SUMIFS('收入（汇总）'!8:8,'收入（汇总）'!$1:$1,$C$1,'收入（汇总）'!$2:$2,$C$2)</f>
        <v>14971.992166</v>
      </c>
      <c r="G18" s="1403">
        <f>SUMIFS('收入（关联）'!11:11,'收入（关联）'!$1:$1,$C$1,'收入（关联）'!$2:$2,$C$2)</f>
        <v>14333.583312000001</v>
      </c>
      <c r="H18" s="398">
        <f t="shared" si="0"/>
        <v>638.40885399999934</v>
      </c>
      <c r="I18" s="398">
        <f>SUMIFS('利润（汇总）'!10:10,'利润（汇总）'!$1:$1,$C$1,'利润（汇总）'!$2:$2,$C$2)</f>
        <v>1515.6657270000001</v>
      </c>
      <c r="J18" s="2524">
        <v>19027</v>
      </c>
      <c r="K18" s="2524">
        <v>17856.744815999999</v>
      </c>
      <c r="L18" s="398">
        <f>J18-K18</f>
        <v>1170.2551840000015</v>
      </c>
      <c r="M18" s="1414">
        <v>3585</v>
      </c>
      <c r="N18" s="1415">
        <f>L18-H18</f>
        <v>531.84633000000213</v>
      </c>
      <c r="O18" s="1415">
        <f>M18-I18</f>
        <v>2069.3342729999999</v>
      </c>
      <c r="P18" s="1416">
        <f t="shared" si="10"/>
        <v>-1488.0886327374988</v>
      </c>
      <c r="Q18" s="1415">
        <f t="shared" si="11"/>
        <v>3580.0833333333335</v>
      </c>
      <c r="R18" s="398">
        <f t="shared" si="13"/>
        <v>10364.064857000001</v>
      </c>
      <c r="S18" s="398">
        <f t="shared" si="13"/>
        <v>17793.735399000001</v>
      </c>
      <c r="T18" s="1416">
        <f t="shared" si="14"/>
        <v>9262.1434794166689</v>
      </c>
      <c r="U18" s="1416">
        <f t="shared" si="14"/>
        <v>19493.158415833335</v>
      </c>
      <c r="V18" s="1416">
        <f t="shared" si="6"/>
        <v>-10902.685676900001</v>
      </c>
      <c r="W18" s="1415">
        <f t="shared" si="7"/>
        <v>17754.402065666669</v>
      </c>
      <c r="X18" s="963" t="s">
        <v>1749</v>
      </c>
      <c r="Y18" s="695">
        <f>S18-'@预测#经营利润#'!J16</f>
        <v>0</v>
      </c>
      <c r="Z18" s="378">
        <f>SUMPRODUCT('收入（外部）'!$B$3:$AAM$66,('收入（外部）'!$A$3:$A$66=A18)*('收入（外部）'!$B$1:$AAM$1=$B$1)*('收入（外部）'!$B$2:$AAM$2&lt;=$B$2-1))</f>
        <v>9193.8096729999997</v>
      </c>
      <c r="AA18" s="378">
        <f>SUMPRODUCT('利润（汇总）'!$C$3:$AAK$67,('利润（汇总）'!$B$3:$B$67=A18)*('利润（汇总）'!$C$1:$AAK$1=$B$1)*('利润（汇总）'!$C$2:$AAK$2&lt;=$B$2-1))</f>
        <v>14208.735399000001</v>
      </c>
      <c r="AC18" s="695">
        <f>SUMPRODUCT('收入（外部）'!$B$3:$AAM$66,('收入（外部）'!$A$3:$A$66=A18)*('收入（外部）'!$B$1:$AAM$1=$B$1)*('收入（外部）'!$B$2:$AAM$2=$B$2))</f>
        <v>1680.7382449999823</v>
      </c>
      <c r="AD18" s="695">
        <f t="shared" si="12"/>
        <v>510.48306099998081</v>
      </c>
      <c r="AE18" s="695"/>
      <c r="AG18" s="695"/>
    </row>
    <row r="19" spans="1:33" ht="23.25" customHeight="1">
      <c r="A19" s="1402" t="s">
        <v>124</v>
      </c>
      <c r="B19" s="1403">
        <f>SUMIFS('收入（外部）'!23:23,'收入（外部）'!$1:$1,'@预测#收入利润#'!$B$1-1)</f>
        <v>34856.354111999994</v>
      </c>
      <c r="C19" s="1403">
        <f>SUMIFS('利润（汇总）'!22:22,'利润（汇总）'!$1:$1,$B$1-1)</f>
        <v>41018.664848</v>
      </c>
      <c r="D19" s="1403">
        <v>34774</v>
      </c>
      <c r="E19" s="398">
        <f>'#经营利润'!B26</f>
        <v>41785</v>
      </c>
      <c r="F19" s="1403">
        <f>SUMIFS('收入（汇总）'!23:23,'收入（汇总）'!$1:$1,$C$1,'收入（汇总）'!$2:$2,$C$2)</f>
        <v>5411.4255869999997</v>
      </c>
      <c r="G19" s="1403">
        <f>SUMIFS('收入（关联）'!23:23,'收入（关联）'!$1:$1,$C$1,'收入（关联）'!$2:$2,$C$2)</f>
        <v>771.07627600000001</v>
      </c>
      <c r="H19" s="398">
        <f t="shared" ref="H19:H38" si="15">F19-G19</f>
        <v>4640.3493109999999</v>
      </c>
      <c r="I19" s="398">
        <f>SUMIFS('利润（汇总）'!22:22,'利润（汇总）'!$1:$1,$C$1,'利润（汇总）'!$2:$2,$C$2)</f>
        <v>2995.2456000000002</v>
      </c>
      <c r="J19" s="1417">
        <v>5749</v>
      </c>
      <c r="K19" s="1414">
        <v>1000</v>
      </c>
      <c r="L19" s="398">
        <f t="shared" si="8"/>
        <v>4749</v>
      </c>
      <c r="M19" s="1417">
        <v>3894</v>
      </c>
      <c r="N19" s="1415">
        <f t="shared" si="9"/>
        <v>108.65068900000006</v>
      </c>
      <c r="O19" s="1415">
        <f t="shared" si="5"/>
        <v>898.75439999999981</v>
      </c>
      <c r="P19" s="1416">
        <f t="shared" si="10"/>
        <v>1851.1666666666665</v>
      </c>
      <c r="Q19" s="1415">
        <f t="shared" si="11"/>
        <v>411.91666666666652</v>
      </c>
      <c r="R19" s="398">
        <f t="shared" si="1"/>
        <v>35108.347575</v>
      </c>
      <c r="S19" s="398">
        <f t="shared" si="2"/>
        <v>25959.030545000001</v>
      </c>
      <c r="T19" s="1416">
        <f t="shared" si="3"/>
        <v>32203.651399000002</v>
      </c>
      <c r="U19" s="1416">
        <f t="shared" si="4"/>
        <v>22540.808474333335</v>
      </c>
      <c r="V19" s="1416">
        <f t="shared" si="6"/>
        <v>11925.680908333332</v>
      </c>
      <c r="W19" s="1415">
        <f t="shared" si="7"/>
        <v>-1897.6361216666664</v>
      </c>
      <c r="X19" s="1430" t="s">
        <v>1719</v>
      </c>
      <c r="Y19" s="695">
        <f>S19-'@预测#经营利润#'!J26</f>
        <v>0</v>
      </c>
      <c r="Z19" s="378">
        <f>SUMPRODUCT('收入（外部）'!$B$3:$AAM$66,('收入（外部）'!$A$3:$A$66=A19)*('收入（外部）'!$B$1:$AAM$1=$B$1)*('收入（外部）'!$B$2:$AAM$2&lt;=$B$2-1))</f>
        <v>30359.347575</v>
      </c>
      <c r="AA19" s="378">
        <f>SUMPRODUCT('利润（汇总）'!$C$3:$AAK$67,('利润（汇总）'!$B$3:$B$67=A19)*('利润（汇总）'!$C$1:$AAK$1=$B$1)*('利润（汇总）'!$C$2:$AAK$2&lt;=$B$2-1))</f>
        <v>22065.030545000001</v>
      </c>
      <c r="AC19" s="695">
        <f>SUMPRODUCT('收入（外部）'!$B$3:$AAM$66,('收入（外部）'!$A$3:$A$66=A19)*('收入（外部）'!$B$1:$AAM$1=$B$1)*('收入（外部）'!$B$2:$AAM$2=$B$2))</f>
        <v>4427.0135479999999</v>
      </c>
      <c r="AD19" s="695">
        <f t="shared" si="12"/>
        <v>-321.9864520000001</v>
      </c>
      <c r="AE19" s="695"/>
      <c r="AG19" s="695"/>
    </row>
    <row r="20" spans="1:33" ht="24" customHeight="1">
      <c r="A20" s="1402" t="s">
        <v>130</v>
      </c>
      <c r="B20" s="1403">
        <f>SUMIFS('收入（外部）'!27:27,'收入（外部）'!$1:$1,'@预测#收入利润#'!$B$1-1)</f>
        <v>12611.639045999997</v>
      </c>
      <c r="C20" s="1403">
        <f>SUMIFS('利润（汇总）'!26:26,'利润（汇总）'!$1:$1,$B$1-1)</f>
        <v>-1993.6473840000001</v>
      </c>
      <c r="D20" s="1403">
        <v>16560</v>
      </c>
      <c r="E20" s="398">
        <f>'#经营利润'!B32</f>
        <v>1700</v>
      </c>
      <c r="F20" s="1403">
        <f>SUMIFS('收入（汇总）'!27:27,'收入（汇总）'!$1:$1,$C$1,'收入（汇总）'!$2:$2,$C$2)</f>
        <v>954</v>
      </c>
      <c r="G20" s="1403">
        <f>SUMIFS('收入（关联）'!27:27,'收入（关联）'!$1:$1,$C$1,'收入（关联）'!$2:$2,$C$2)</f>
        <v>22.413841000000001</v>
      </c>
      <c r="H20" s="398">
        <f t="shared" si="15"/>
        <v>931.58615899999995</v>
      </c>
      <c r="I20" s="398">
        <f>SUMIFS('利润（汇总）'!26:26,'利润（汇总）'!$1:$1,$C$1,'利润（汇总）'!$2:$2,$C$2)</f>
        <v>112.7</v>
      </c>
      <c r="J20" s="1414">
        <v>1446</v>
      </c>
      <c r="K20" s="1414">
        <v>25</v>
      </c>
      <c r="L20" s="398">
        <f>J20-K20</f>
        <v>1421</v>
      </c>
      <c r="M20" s="1414">
        <v>176</v>
      </c>
      <c r="N20" s="1415">
        <f t="shared" si="9"/>
        <v>489.41384100000005</v>
      </c>
      <c r="O20" s="1415">
        <f t="shared" si="5"/>
        <v>63.3</v>
      </c>
      <c r="P20" s="1416">
        <f t="shared" si="10"/>
        <v>41</v>
      </c>
      <c r="Q20" s="1415">
        <f t="shared" si="11"/>
        <v>34.333333333333343</v>
      </c>
      <c r="R20" s="398">
        <f t="shared" si="1"/>
        <v>9995.5522460000011</v>
      </c>
      <c r="S20" s="398">
        <f t="shared" si="2"/>
        <v>1337.2425489999998</v>
      </c>
      <c r="T20" s="1416">
        <f t="shared" si="3"/>
        <v>8944.5823255000014</v>
      </c>
      <c r="U20" s="1416">
        <f t="shared" si="4"/>
        <v>1503.3798309999997</v>
      </c>
      <c r="V20" s="1416">
        <f t="shared" si="6"/>
        <v>-1044.4477539999989</v>
      </c>
      <c r="W20" s="1415">
        <f t="shared" si="7"/>
        <v>203.90921566666657</v>
      </c>
      <c r="X20" s="2540" t="s">
        <v>1731</v>
      </c>
      <c r="Y20" s="695">
        <f>S20-'@预测#经营利润#'!J32</f>
        <v>0</v>
      </c>
      <c r="Z20" s="378">
        <f>SUMPRODUCT('收入（外部）'!$B$3:$AAM$66,('收入（外部）'!$A$3:$A$66=A20)*('收入（外部）'!$B$1:$AAM$1=$B$1)*('收入（外部）'!$B$2:$AAM$2&lt;=$B$2-1))</f>
        <v>8574.5522460000011</v>
      </c>
      <c r="AA20" s="378">
        <f>SUMPRODUCT('利润（汇总）'!$C$3:$AAK$67,('利润（汇总）'!$B$3:$B$67=A20)*('利润（汇总）'!$C$1:$AAK$1=$B$1)*('利润（汇总）'!$C$2:$AAK$2&lt;=$B$2-1))</f>
        <v>1161.2425489999998</v>
      </c>
      <c r="AC20" s="695">
        <f>SUMPRODUCT('收入（外部）'!$B$3:$AAM$66,('收入（外部）'!$A$3:$A$66=A20)*('收入（外部）'!$B$1:$AAM$1=$B$1)*('收入（外部）'!$B$2:$AAM$2=$B$2))</f>
        <v>1305.805439</v>
      </c>
      <c r="AD20" s="695">
        <f t="shared" si="12"/>
        <v>-115.19456100000002</v>
      </c>
      <c r="AE20" s="695"/>
      <c r="AG20" s="695"/>
    </row>
    <row r="21" spans="1:33" ht="24" customHeight="1">
      <c r="A21" s="1402" t="s">
        <v>132</v>
      </c>
      <c r="B21" s="1403">
        <f>SUMIFS('收入（外部）'!29:29,'收入（外部）'!$1:$1,'@预测#收入利润#'!$B$1-1)</f>
        <v>4542.1563899999974</v>
      </c>
      <c r="C21" s="1403">
        <f>SUMIFS('利润（汇总）'!28:28,'利润（汇总）'!$1:$1,$B$1-1)</f>
        <v>2056.0747939999997</v>
      </c>
      <c r="D21" s="1403">
        <v>31234.621152027499</v>
      </c>
      <c r="E21" s="398">
        <f>'#经营利润'!B34</f>
        <v>3350</v>
      </c>
      <c r="F21" s="1403">
        <f>SUMIFS('收入（汇总）'!29:29,'收入（汇总）'!$1:$1,$C$1,'收入（汇总）'!$2:$2,$C$2)</f>
        <v>4006.9145290000001</v>
      </c>
      <c r="G21" s="1403">
        <f>SUMIFS('收入（关联）'!29:29,'收入（关联）'!$1:$1,$C$1,'收入（关联）'!$2:$2,$C$2)</f>
        <v>4009.4612089999973</v>
      </c>
      <c r="H21" s="398">
        <f t="shared" si="15"/>
        <v>-2.5466799999971954</v>
      </c>
      <c r="I21" s="398">
        <f>SUMIFS('利润（汇总）'!28:28,'利润（汇总）'!$1:$1,$C$1,'利润（汇总）'!$2:$2,$C$2)</f>
        <v>-191.368336</v>
      </c>
      <c r="J21" s="1414">
        <v>5500</v>
      </c>
      <c r="K21" s="1414">
        <v>4980</v>
      </c>
      <c r="L21" s="398">
        <f t="shared" si="8"/>
        <v>520</v>
      </c>
      <c r="M21" s="1414">
        <v>0</v>
      </c>
      <c r="N21" s="1415">
        <f t="shared" si="9"/>
        <v>522.5466799999972</v>
      </c>
      <c r="O21" s="1415">
        <f>M21-I21</f>
        <v>191.368336</v>
      </c>
      <c r="P21" s="1416">
        <f t="shared" si="10"/>
        <v>-2082.8850960022914</v>
      </c>
      <c r="Q21" s="1415">
        <f t="shared" si="11"/>
        <v>-279.16666666666669</v>
      </c>
      <c r="R21" s="398">
        <f t="shared" si="1"/>
        <v>2794.4981650000036</v>
      </c>
      <c r="S21" s="398">
        <f t="shared" si="2"/>
        <v>1004.81726</v>
      </c>
      <c r="T21" s="1416">
        <f t="shared" si="3"/>
        <v>2415.9851325000036</v>
      </c>
      <c r="U21" s="1416">
        <f t="shared" si="4"/>
        <v>833.47769383333343</v>
      </c>
      <c r="V21" s="1416">
        <f t="shared" si="6"/>
        <v>-18028.582603018327</v>
      </c>
      <c r="W21" s="1415">
        <f t="shared" si="7"/>
        <v>-1228.5160733333335</v>
      </c>
      <c r="X21" s="963"/>
      <c r="Y21" s="695">
        <f>S21-'@预测#经营利润#'!J34</f>
        <v>0</v>
      </c>
      <c r="Z21" s="378">
        <f>SUMPRODUCT('收入（外部）'!$B$3:$AAM$66,('收入（外部）'!$A$3:$A$66=A21)*('收入（外部）'!$B$1:$AAM$1=$B$1)*('收入（外部）'!$B$2:$AAM$2&lt;=$B$2-1))</f>
        <v>2274.4981650000036</v>
      </c>
      <c r="AA21" s="378">
        <f>SUMPRODUCT('利润（汇总）'!$C$3:$AAK$67,('利润（汇总）'!$B$3:$B$67=A21)*('利润（汇总）'!$C$1:$AAK$1=$B$1)*('利润（汇总）'!$C$2:$AAK$2&lt;=$B$2-1))</f>
        <v>1004.81726</v>
      </c>
      <c r="AC21" s="695">
        <f>SUMPRODUCT('收入（外部）'!$B$3:$AAM$66,('收入（外部）'!$A$3:$A$66=A21)*('收入（外部）'!$B$1:$AAM$1=$B$1)*('收入（外部）'!$B$2:$AAM$2=$B$2))</f>
        <v>5.0289999999222346E-3</v>
      </c>
      <c r="AD21" s="695">
        <f t="shared" si="12"/>
        <v>-519.99497100000008</v>
      </c>
      <c r="AE21" s="695"/>
      <c r="AG21" s="695"/>
    </row>
    <row r="22" spans="1:33" ht="19.5" customHeight="1">
      <c r="A22" s="1402" t="s">
        <v>123</v>
      </c>
      <c r="B22" s="1403">
        <f>SUMIFS('收入（外部）'!22:22,'收入（外部）'!$1:$1,'@预测#收入利润#'!$B$1-1)</f>
        <v>6636.6872839999996</v>
      </c>
      <c r="C22" s="1403">
        <f>SUMIFS('利润（汇总）'!21:21,'利润（汇总）'!$1:$1,$B$1-1)</f>
        <v>-3139.1744390000003</v>
      </c>
      <c r="D22" s="1403">
        <v>11940</v>
      </c>
      <c r="E22" s="398">
        <f>'#经营利润'!B25</f>
        <v>400</v>
      </c>
      <c r="F22" s="1403">
        <f>SUMIFS('收入（汇总）'!22:22,'收入（汇总）'!$1:$1,$C$1,'收入（汇总）'!$2:$2,$C$2)</f>
        <v>1155.782786</v>
      </c>
      <c r="G22" s="1403">
        <f>SUMIFS('收入（关联）'!22:22,'收入（关联）'!$1:$1,$C$1,'收入（关联）'!$2:$2,$C$2)</f>
        <v>284.63878999999997</v>
      </c>
      <c r="H22" s="398">
        <f t="shared" si="15"/>
        <v>871.14399600000002</v>
      </c>
      <c r="I22" s="398">
        <f>SUMIFS('利润（汇总）'!21:21,'利润（汇总）'!$1:$1,$C$1,'利润（汇总）'!$2:$2,$C$2)</f>
        <v>58</v>
      </c>
      <c r="J22" s="1417">
        <v>800</v>
      </c>
      <c r="K22" s="1417">
        <v>208</v>
      </c>
      <c r="L22" s="398">
        <f>J22-K22</f>
        <v>592</v>
      </c>
      <c r="M22" s="1417">
        <v>-237</v>
      </c>
      <c r="N22" s="1415">
        <f t="shared" si="9"/>
        <v>-279.14399600000002</v>
      </c>
      <c r="O22" s="1415">
        <f t="shared" si="5"/>
        <v>-295</v>
      </c>
      <c r="P22" s="1416">
        <f t="shared" si="10"/>
        <v>-403</v>
      </c>
      <c r="Q22" s="1415">
        <f t="shared" si="11"/>
        <v>-270.33333333333331</v>
      </c>
      <c r="R22" s="398">
        <f t="shared" si="1"/>
        <v>6368.4952909999993</v>
      </c>
      <c r="S22" s="398">
        <f t="shared" si="2"/>
        <v>-171.19984599999998</v>
      </c>
      <c r="T22" s="1416">
        <f t="shared" si="3"/>
        <v>5815.4380173333329</v>
      </c>
      <c r="U22" s="1416">
        <f t="shared" si="4"/>
        <v>90.398023916666716</v>
      </c>
      <c r="V22" s="1416">
        <f t="shared" si="6"/>
        <v>-1591.5047090000007</v>
      </c>
      <c r="W22" s="1415">
        <f t="shared" si="7"/>
        <v>-437.86651266666667</v>
      </c>
      <c r="X22" s="963" t="s">
        <v>1740</v>
      </c>
      <c r="Y22" s="695">
        <f>S22-'@预测#经营利润#'!J25</f>
        <v>0</v>
      </c>
      <c r="Z22" s="378">
        <f>SUMPRODUCT('收入（外部）'!$B$3:$AAM$66,('收入（外部）'!$A$3:$A$66=A22)*('收入（外部）'!$B$1:$AAM$1=$B$1)*('收入（外部）'!$B$2:$AAM$2&lt;=$B$2-1))</f>
        <v>5776.4952909999993</v>
      </c>
      <c r="AA22" s="378">
        <f>SUMPRODUCT('利润（汇总）'!$C$3:$AAK$67,('利润（汇总）'!$B$3:$B$67=A22)*('利润（汇总）'!$C$1:$AAK$1=$B$1)*('利润（汇总）'!$C$2:$AAK$2&lt;=$B$2-1))</f>
        <v>65.80015400000002</v>
      </c>
      <c r="AC22" s="695">
        <f>SUMPRODUCT('收入（外部）'!$B$3:$AAM$66,('收入（外部）'!$A$3:$A$66=A22)*('收入（外部）'!$B$1:$AAM$1=$B$1)*('收入（外部）'!$B$2:$AAM$2=$B$2))</f>
        <v>702.39828</v>
      </c>
      <c r="AD22" s="695">
        <f t="shared" si="12"/>
        <v>110.39828</v>
      </c>
      <c r="AE22" s="695"/>
      <c r="AG22" s="695"/>
    </row>
    <row r="23" spans="1:33" ht="27">
      <c r="A23" s="1402" t="s">
        <v>131</v>
      </c>
      <c r="B23" s="1403">
        <f>SUMIFS('收入（外部）'!28:28,'收入（外部）'!$1:$1,'@预测#收入利润#'!$B$1-1)</f>
        <v>13966.236963000001</v>
      </c>
      <c r="C23" s="1403">
        <f>SUMIFS('利润（汇总）'!27:27,'利润（汇总）'!$1:$1,$B$1-1)</f>
        <v>-1642.345879</v>
      </c>
      <c r="D23" s="1403">
        <v>13246.06</v>
      </c>
      <c r="E23" s="398">
        <f>'#经营利润'!B33</f>
        <v>1118</v>
      </c>
      <c r="F23" s="1403">
        <f>SUMIFS('收入（汇总）'!28:28,'收入（汇总）'!$1:$1,$C$1,'收入（汇总）'!$2:$2,$C$2)</f>
        <v>1074.554877</v>
      </c>
      <c r="G23" s="1403">
        <f>SUMIFS('收入（关联）'!28:28,'收入（关联）'!$1:$1,$C$1,'收入（关联）'!$2:$2,$C$2)</f>
        <v>746.46837100000005</v>
      </c>
      <c r="H23" s="398">
        <f t="shared" si="15"/>
        <v>328.08650599999999</v>
      </c>
      <c r="I23" s="398">
        <f>SUMIFS('利润（汇总）'!27:27,'利润（汇总）'!$1:$1,$C$1,'利润（汇总）'!$2:$2,$C$2)</f>
        <v>-101.637</v>
      </c>
      <c r="J23" s="1417">
        <v>1450</v>
      </c>
      <c r="K23" s="1417">
        <v>490</v>
      </c>
      <c r="L23" s="397">
        <f>J23-K23</f>
        <v>960</v>
      </c>
      <c r="M23" s="1417">
        <v>151</v>
      </c>
      <c r="N23" s="1415">
        <f t="shared" si="9"/>
        <v>631.91349400000001</v>
      </c>
      <c r="O23" s="1415">
        <f t="shared" si="5"/>
        <v>252.637</v>
      </c>
      <c r="P23" s="1416">
        <f t="shared" si="10"/>
        <v>-143.83833333333337</v>
      </c>
      <c r="Q23" s="1415">
        <f t="shared" si="11"/>
        <v>57.833333333333329</v>
      </c>
      <c r="R23" s="398">
        <f t="shared" si="1"/>
        <v>5392.5175549999994</v>
      </c>
      <c r="S23" s="398">
        <f t="shared" si="2"/>
        <v>305.00336499999997</v>
      </c>
      <c r="T23" s="1416">
        <f t="shared" si="3"/>
        <v>4228.6644747499995</v>
      </c>
      <c r="U23" s="1416">
        <f t="shared" si="4"/>
        <v>441.8655215833333</v>
      </c>
      <c r="V23" s="1416">
        <f t="shared" si="6"/>
        <v>-3438.1891116666675</v>
      </c>
      <c r="W23" s="1415">
        <f t="shared" si="7"/>
        <v>-440.3299683333334</v>
      </c>
      <c r="X23" s="963" t="s">
        <v>1750</v>
      </c>
      <c r="Y23" s="695">
        <f>S23-'@预测#经营利润#'!J33</f>
        <v>0</v>
      </c>
      <c r="Z23" s="378">
        <f>SUMPRODUCT('收入（外部）'!$B$3:$AAM$66,('收入（外部）'!$A$3:$A$66=A23)*('收入（外部）'!$B$1:$AAM$1=$B$1)*('收入（外部）'!$B$2:$AAM$2&lt;=$B$2-1))</f>
        <v>4432.5175549999994</v>
      </c>
      <c r="AA23" s="378">
        <f>SUMPRODUCT('利润（汇总）'!$C$3:$AAK$67,('利润（汇总）'!$B$3:$B$67=A23)*('利润（汇总）'!$C$1:$AAK$1=$B$1)*('利润（汇总）'!$C$2:$AAK$2&lt;=$B$2-1))</f>
        <v>154.00336499999997</v>
      </c>
      <c r="AC23" s="695">
        <f>SUMPRODUCT('收入（外部）'!$B$3:$AAM$66,('收入（外部）'!$A$3:$A$66=A23)*('收入（外部）'!$B$1:$AAM$1=$B$1)*('收入（外部）'!$B$2:$AAM$2=$B$2))</f>
        <v>1011.9479739999997</v>
      </c>
      <c r="AD23" s="695">
        <f t="shared" si="12"/>
        <v>51.947973999999704</v>
      </c>
      <c r="AE23" s="695"/>
      <c r="AG23" s="695"/>
    </row>
    <row r="24" spans="1:33" ht="62.45" customHeight="1">
      <c r="A24" s="1402" t="s">
        <v>118</v>
      </c>
      <c r="B24" s="1403">
        <f>SUMIFS('收入（外部）'!16:16,'收入（外部）'!$1:$1,'@预测#收入利润#'!$B$1-1)</f>
        <v>13754.877272</v>
      </c>
      <c r="C24" s="1403">
        <f>SUMIFS('利润（汇总）'!15:15,'利润（汇总）'!$1:$1,$B$1-1)</f>
        <v>1125.7634000000003</v>
      </c>
      <c r="D24" s="1403">
        <v>15100</v>
      </c>
      <c r="E24" s="398">
        <f>'#经营利润'!B21</f>
        <v>2000</v>
      </c>
      <c r="F24" s="1403">
        <f>SUMIFS('收入（汇总）'!16:16,'收入（汇总）'!$1:$1,$C$1,'收入（汇总）'!$2:$2,$C$2)</f>
        <v>1207.854153</v>
      </c>
      <c r="G24" s="1403">
        <f>SUMIFS('收入（关联）'!16:16,'收入（关联）'!$1:$1,$C$1,'收入（关联）'!$2:$2,$C$2)</f>
        <v>3.5674999999999999</v>
      </c>
      <c r="H24" s="398">
        <f t="shared" si="15"/>
        <v>1204.2866529999999</v>
      </c>
      <c r="I24" s="398">
        <f>SUMIFS('利润（汇总）'!15:15,'利润（汇总）'!$1:$1,$C$1,'利润（汇总）'!$2:$2,$C$2)</f>
        <v>-185.81</v>
      </c>
      <c r="J24" s="1414">
        <v>1168</v>
      </c>
      <c r="K24" s="1414">
        <v>0</v>
      </c>
      <c r="L24" s="398">
        <f t="shared" si="8"/>
        <v>1168</v>
      </c>
      <c r="M24" s="1414">
        <v>146</v>
      </c>
      <c r="N24" s="1415">
        <f t="shared" si="9"/>
        <v>-36.286652999999887</v>
      </c>
      <c r="O24" s="1415">
        <f>M24-I24</f>
        <v>331.81</v>
      </c>
      <c r="P24" s="1416">
        <f t="shared" si="10"/>
        <v>-90.333333333333258</v>
      </c>
      <c r="Q24" s="1415">
        <f t="shared" si="11"/>
        <v>-20.666666666666657</v>
      </c>
      <c r="R24" s="398">
        <f t="shared" si="1"/>
        <v>8952.5990610000008</v>
      </c>
      <c r="S24" s="398">
        <f>M24+AA24</f>
        <v>546.57826100000011</v>
      </c>
      <c r="T24" s="1416">
        <f t="shared" si="3"/>
        <v>7806.359288333334</v>
      </c>
      <c r="U24" s="1416">
        <f t="shared" si="4"/>
        <v>452.76464433333342</v>
      </c>
      <c r="V24" s="1416">
        <f t="shared" si="6"/>
        <v>-1114.0676056666653</v>
      </c>
      <c r="W24" s="1415">
        <f t="shared" si="7"/>
        <v>-786.75507233333315</v>
      </c>
      <c r="X24" s="963" t="s">
        <v>1738</v>
      </c>
      <c r="Y24" s="695">
        <f>S24-'@预测#经营利润#'!J21</f>
        <v>0</v>
      </c>
      <c r="Z24" s="378">
        <f>SUMPRODUCT('收入（外部）'!$B$3:$AAM$66,('收入（外部）'!$A$3:$A$66=A24)*('收入（外部）'!$B$1:$AAM$1=$B$1)*('收入（外部）'!$B$2:$AAM$2&lt;=$B$2-1))</f>
        <v>7784.5990609999999</v>
      </c>
      <c r="AA24" s="378">
        <f>SUMPRODUCT('利润（汇总）'!$C$3:$AAK$67,('利润（汇总）'!$B$3:$B$67=A24)*('利润（汇总）'!$C$1:$AAK$1=$B$1)*('利润（汇总）'!$C$2:$AAK$2&lt;=$B$2-1))</f>
        <v>400.57826100000005</v>
      </c>
      <c r="AC24" s="695">
        <f>SUMPRODUCT('收入（外部）'!$B$3:$AAM$66,('收入（外部）'!$A$3:$A$66=A24)*('收入（外部）'!$B$1:$AAM$1=$B$1)*('收入（外部）'!$B$2:$AAM$2=$B$2))</f>
        <v>1127.9730210000002</v>
      </c>
      <c r="AD24" s="695">
        <f t="shared" si="12"/>
        <v>-40.026978999999756</v>
      </c>
      <c r="AE24" s="695"/>
      <c r="AG24" s="695"/>
    </row>
    <row r="25" spans="1:33" ht="30.75" customHeight="1">
      <c r="A25" s="1402" t="s">
        <v>117</v>
      </c>
      <c r="B25" s="1403">
        <f>SUMIFS('收入（外部）'!15:15,'收入（外部）'!$1:$1,'@预测#收入利润#'!$B$1-1)</f>
        <v>1897.0098090000001</v>
      </c>
      <c r="C25" s="1403">
        <f>SUMIFS('利润（汇总）'!14:14,'利润（汇总）'!$1:$1,$B$1-1)</f>
        <v>219.68403500000002</v>
      </c>
      <c r="D25" s="1403">
        <v>2050</v>
      </c>
      <c r="E25" s="398">
        <f>'#经营利润'!B20</f>
        <v>680</v>
      </c>
      <c r="F25" s="1403">
        <f>SUMIFS('收入（汇总）'!15:15,'收入（汇总）'!$1:$1,$C$1,'收入（汇总）'!$2:$2,$C$2)</f>
        <v>1148.6964970000001</v>
      </c>
      <c r="G25" s="1403">
        <f>SUMIFS('收入（关联）'!15:15,'收入（关联）'!$1:$1,$C$1,'收入（关联）'!$2:$2,$C$2)</f>
        <v>960.14388699999995</v>
      </c>
      <c r="H25" s="398">
        <f t="shared" si="15"/>
        <v>188.55261000000019</v>
      </c>
      <c r="I25" s="398">
        <f>SUMIFS('利润（汇总）'!14:14,'利润（汇总）'!$1:$1,$C$1,'利润（汇总）'!$2:$2,$C$2)</f>
        <v>-210.11</v>
      </c>
      <c r="J25" s="1414">
        <v>880</v>
      </c>
      <c r="K25" s="1414">
        <v>700</v>
      </c>
      <c r="L25" s="397">
        <f t="shared" si="8"/>
        <v>180</v>
      </c>
      <c r="M25" s="1417">
        <v>10</v>
      </c>
      <c r="N25" s="1415">
        <f t="shared" si="9"/>
        <v>-8.5526100000001861</v>
      </c>
      <c r="O25" s="1415">
        <f>M25-I25</f>
        <v>220.11</v>
      </c>
      <c r="P25" s="1416">
        <f t="shared" si="10"/>
        <v>9.1666666666666572</v>
      </c>
      <c r="Q25" s="1415">
        <f t="shared" si="11"/>
        <v>-46.666666666666664</v>
      </c>
      <c r="R25" s="398">
        <f t="shared" si="1"/>
        <v>1781.1316800000004</v>
      </c>
      <c r="S25" s="398">
        <f t="shared" si="2"/>
        <v>191.21561300000002</v>
      </c>
      <c r="T25" s="1416">
        <f t="shared" si="3"/>
        <v>1623.0475292500005</v>
      </c>
      <c r="U25" s="1416">
        <f t="shared" si="4"/>
        <v>172.90861008333334</v>
      </c>
      <c r="V25" s="1416">
        <f t="shared" si="6"/>
        <v>414.46501333333367</v>
      </c>
      <c r="W25" s="1415">
        <f t="shared" si="7"/>
        <v>-262.1177203333333</v>
      </c>
      <c r="X25" s="963" t="s">
        <v>1737</v>
      </c>
      <c r="Y25" s="695">
        <f>S25-'@预测#经营利润#'!J20</f>
        <v>0</v>
      </c>
      <c r="Z25" s="378">
        <f>SUMPRODUCT('收入（外部）'!$B$3:$AAM$66,('收入（外部）'!$A$3:$A$66=A25)*('收入（外部）'!$B$1:$AAM$1=$B$1)*('收入（外部）'!$B$2:$AAM$2&lt;=$B$2-1))</f>
        <v>1601.1316800000004</v>
      </c>
      <c r="AA25" s="378">
        <f>SUMPRODUCT('利润（汇总）'!$C$3:$AAK$67,('利润（汇总）'!$B$3:$B$67=A25)*('利润（汇总）'!$C$1:$AAK$1=$B$1)*('利润（汇总）'!$C$2:$AAK$2&lt;=$B$2-1))</f>
        <v>181.21561300000002</v>
      </c>
      <c r="AC25" s="695">
        <f>SUMPRODUCT('收入（外部）'!$B$3:$AAM$66,('收入（外部）'!$A$3:$A$66=A25)*('收入（外部）'!$B$1:$AAM$1=$B$1)*('收入（外部）'!$B$2:$AAM$2=$B$2))</f>
        <v>-91.365829999999505</v>
      </c>
      <c r="AD25" s="695">
        <f t="shared" si="12"/>
        <v>-271.36582999999951</v>
      </c>
      <c r="AE25" s="695"/>
      <c r="AG25" s="695"/>
    </row>
    <row r="26" spans="1:33">
      <c r="A26" s="1402" t="s">
        <v>119</v>
      </c>
      <c r="B26" s="1403">
        <f>SUMIFS('收入（外部）'!17:17,'收入（外部）'!$1:$1,'@预测#收入利润#'!$B$1-1)</f>
        <v>222.37388300000012</v>
      </c>
      <c r="C26" s="1403">
        <f>SUMIFS('利润（汇总）'!16:16,'利润（汇总）'!$1:$1,$B$1-1)</f>
        <v>-768.33268699999985</v>
      </c>
      <c r="D26" s="1403"/>
      <c r="E26" s="398">
        <f>'#经营利润'!B22</f>
        <v>80</v>
      </c>
      <c r="F26" s="1403">
        <f>SUMIFS('收入（汇总）'!17:17,'收入（汇总）'!$1:$1,$C$1,'收入（汇总）'!$2:$2,$C$2)</f>
        <v>2495.385452</v>
      </c>
      <c r="G26" s="1403">
        <f>SUMIFS('收入（关联）'!17:17,'收入（关联）'!$1:$1,$C$1,'收入（关联）'!$2:$2,$C$2)</f>
        <v>2495.385452</v>
      </c>
      <c r="H26" s="398">
        <f t="shared" si="15"/>
        <v>0</v>
      </c>
      <c r="I26" s="398">
        <f>SUMIFS('利润（汇总）'!16:16,'利润（汇总）'!$1:$1,$C$1,'利润（汇总）'!$2:$2,$C$2)</f>
        <v>14</v>
      </c>
      <c r="J26" s="1417">
        <v>1800</v>
      </c>
      <c r="K26" s="1417">
        <v>1800</v>
      </c>
      <c r="L26" s="397">
        <f t="shared" si="8"/>
        <v>0</v>
      </c>
      <c r="M26" s="1417">
        <v>15</v>
      </c>
      <c r="N26" s="1415">
        <f t="shared" si="9"/>
        <v>0</v>
      </c>
      <c r="O26" s="1415">
        <f t="shared" si="5"/>
        <v>1</v>
      </c>
      <c r="P26" s="1416">
        <f t="shared" si="10"/>
        <v>0</v>
      </c>
      <c r="Q26" s="1415">
        <f t="shared" si="11"/>
        <v>8.3333333333333321</v>
      </c>
      <c r="R26" s="398">
        <f t="shared" si="1"/>
        <v>1890.9974899999997</v>
      </c>
      <c r="S26" s="398">
        <f t="shared" si="2"/>
        <v>289.664264</v>
      </c>
      <c r="T26" s="1416">
        <f t="shared" si="3"/>
        <v>1872.466333083333</v>
      </c>
      <c r="U26" s="1416">
        <f t="shared" si="4"/>
        <v>353.69198791666668</v>
      </c>
      <c r="V26" s="1416">
        <f t="shared" si="6"/>
        <v>1890.9974899999997</v>
      </c>
      <c r="W26" s="1415">
        <f t="shared" si="7"/>
        <v>236.33093066666666</v>
      </c>
      <c r="X26" s="930" t="s">
        <v>1576</v>
      </c>
      <c r="Y26" s="695">
        <f>S26-'@预测#经营利润#'!J22</f>
        <v>0</v>
      </c>
      <c r="Z26" s="378">
        <f>SUMPRODUCT('收入（外部）'!$B$3:$AAM$66,('收入（外部）'!$A$3:$A$66=A26)*('收入（外部）'!$B$1:$AAM$1=$B$1)*('收入（外部）'!$B$2:$AAM$2&lt;=$B$2-1))</f>
        <v>1890.9974899999997</v>
      </c>
      <c r="AA26" s="378">
        <f>SUMPRODUCT('利润（汇总）'!$C$3:$AAK$67,('利润（汇总）'!$B$3:$B$67=A26)*('利润（汇总）'!$C$1:$AAK$1=$B$1)*('利润（汇总）'!$C$2:$AAK$2&lt;=$B$2-1))</f>
        <v>274.664264</v>
      </c>
      <c r="AC26" s="695">
        <f>SUMPRODUCT('收入（外部）'!$B$3:$AAM$66,('收入（外部）'!$A$3:$A$66=A26)*('收入（外部）'!$B$1:$AAM$1=$B$1)*('收入（外部）'!$B$2:$AAM$2=$B$2))</f>
        <v>19.240555000000768</v>
      </c>
      <c r="AD26" s="695">
        <f t="shared" si="12"/>
        <v>19.240555000000768</v>
      </c>
      <c r="AE26" s="695"/>
      <c r="AG26" s="695"/>
    </row>
    <row r="27" spans="1:33" ht="16.149999999999999" customHeight="1">
      <c r="A27" s="1402" t="s">
        <v>126</v>
      </c>
      <c r="B27" s="1403">
        <f>SUMIFS('收入（外部）'!25:25,'收入（外部）'!$1:$1,'@预测#收入利润#'!$B$1-1)</f>
        <v>41.333205999999997</v>
      </c>
      <c r="C27" s="1403">
        <f>SUMIFS('利润（汇总）'!24:24,'利润（汇总）'!$1:$1,$B$1-1)</f>
        <v>6783.6135859999995</v>
      </c>
      <c r="D27" s="1403"/>
      <c r="E27" s="398">
        <f>'#经营利润'!B28</f>
        <v>8200</v>
      </c>
      <c r="F27" s="1403">
        <f>SUMIFS('收入（汇总）'!25:25,'收入（汇总）'!$1:$1,$C$1,'收入（汇总）'!$2:$2,$C$2)</f>
        <v>67.532550000000001</v>
      </c>
      <c r="G27" s="1403">
        <f>SUMIFS('收入（关联）'!25:25,'收入（关联）'!$1:$1,$C$1,'收入（关联）'!$2:$2,$C$2)</f>
        <v>0</v>
      </c>
      <c r="H27" s="398">
        <f t="shared" si="15"/>
        <v>67.532550000000001</v>
      </c>
      <c r="I27" s="398">
        <f>SUMIFS('利润（汇总）'!24:24,'利润（汇总）'!$1:$1,$C$1,'利润（汇总）'!$2:$2,$C$2)</f>
        <v>-467</v>
      </c>
      <c r="J27" s="1417"/>
      <c r="K27" s="1417"/>
      <c r="L27" s="397">
        <f t="shared" si="8"/>
        <v>0</v>
      </c>
      <c r="M27" s="1417">
        <v>460</v>
      </c>
      <c r="N27" s="1415">
        <f t="shared" si="9"/>
        <v>-67.532550000000001</v>
      </c>
      <c r="O27" s="1415">
        <f t="shared" si="5"/>
        <v>927</v>
      </c>
      <c r="P27" s="1416">
        <f t="shared" si="10"/>
        <v>0</v>
      </c>
      <c r="Q27" s="1415">
        <f t="shared" si="11"/>
        <v>-223.33333333333337</v>
      </c>
      <c r="R27" s="398">
        <f t="shared" si="1"/>
        <v>179.118008</v>
      </c>
      <c r="S27" s="398">
        <f t="shared" si="2"/>
        <v>4556.5110649999997</v>
      </c>
      <c r="T27" s="1416">
        <f t="shared" si="3"/>
        <v>175.67357416666667</v>
      </c>
      <c r="U27" s="1416">
        <f t="shared" si="4"/>
        <v>3991.2099328333329</v>
      </c>
      <c r="V27" s="1416">
        <f t="shared" si="6"/>
        <v>179.118008</v>
      </c>
      <c r="W27" s="1415">
        <f t="shared" si="7"/>
        <v>-910.15560166666728</v>
      </c>
      <c r="X27" s="1430"/>
      <c r="Y27" s="695">
        <f>S27-'@预测#经营利润#'!J28</f>
        <v>0</v>
      </c>
      <c r="Z27" s="378">
        <f>SUMPRODUCT('收入（外部）'!$B$3:$AAM$66,('收入（外部）'!$A$3:$A$66=A27)*('收入（外部）'!$B$1:$AAM$1=$B$1)*('收入（外部）'!$B$2:$AAM$2&lt;=$B$2-1))</f>
        <v>179.118008</v>
      </c>
      <c r="AA27" s="378">
        <f>SUMPRODUCT('利润（汇总）'!$C$3:$AAK$67,('利润（汇总）'!$B$3:$B$67=A27)*('利润（汇总）'!$C$1:$AAK$1=$B$1)*('利润（汇总）'!$C$2:$AAK$2&lt;=$B$2-1))</f>
        <v>4096.5110649999997</v>
      </c>
      <c r="AC27" s="695">
        <f>SUMPRODUCT('收入（外部）'!$B$3:$AAM$66,('收入（外部）'!$A$3:$A$66=A27)*('收入（外部）'!$B$1:$AAM$1=$B$1)*('收入（外部）'!$B$2:$AAM$2=$B$2))</f>
        <v>12.687231000000001</v>
      </c>
      <c r="AD27" s="695">
        <f t="shared" si="12"/>
        <v>12.687231000000001</v>
      </c>
      <c r="AE27" s="695"/>
      <c r="AG27" s="695"/>
    </row>
    <row r="28" spans="1:33" ht="15" customHeight="1">
      <c r="A28" s="1402" t="s">
        <v>125</v>
      </c>
      <c r="B28" s="1403">
        <f>SUMIFS('收入（外部）'!24:24,'收入（外部）'!$1:$1,'@预测#收入利润#'!$B$1-1)</f>
        <v>891.16967199999999</v>
      </c>
      <c r="C28" s="1403">
        <f>SUMIFS('利润（汇总）'!23:23,'利润（汇总）'!$1:$1,$B$1-1)</f>
        <v>262.73492599999997</v>
      </c>
      <c r="D28" s="1403">
        <v>1062</v>
      </c>
      <c r="E28" s="398">
        <f>'#经营利润'!B27</f>
        <v>265</v>
      </c>
      <c r="F28" s="1403">
        <f>SUMIFS('收入（汇总）'!24:24,'收入（汇总）'!$1:$1,$C$1,'收入（汇总）'!$2:$2,$C$2)</f>
        <v>31.616495</v>
      </c>
      <c r="G28" s="1403">
        <f>SUMIFS('收入（关联）'!24:24,'收入（关联）'!$1:$1,$C$1,'收入（关联）'!$2:$2,$C$2)</f>
        <v>0</v>
      </c>
      <c r="H28" s="398">
        <f t="shared" si="15"/>
        <v>31.616495</v>
      </c>
      <c r="I28" s="398">
        <f>SUMIFS('利润（汇总）'!23:23,'利润（汇总）'!$1:$1,$C$1,'利润（汇总）'!$2:$2,$C$2)</f>
        <v>5.79</v>
      </c>
      <c r="J28" s="1414">
        <v>113.21</v>
      </c>
      <c r="K28" s="1414">
        <v>0</v>
      </c>
      <c r="L28" s="398">
        <f t="shared" si="8"/>
        <v>113.21</v>
      </c>
      <c r="M28" s="1414">
        <v>34.5</v>
      </c>
      <c r="N28" s="1415">
        <f t="shared" si="9"/>
        <v>81.593504999999993</v>
      </c>
      <c r="O28" s="1415">
        <f>M28-I28</f>
        <v>28.71</v>
      </c>
      <c r="P28" s="1416">
        <f t="shared" si="10"/>
        <v>24.709999999999994</v>
      </c>
      <c r="Q28" s="1415">
        <f t="shared" si="11"/>
        <v>12.416666666666668</v>
      </c>
      <c r="R28" s="398">
        <f t="shared" si="1"/>
        <v>635.44564000000003</v>
      </c>
      <c r="S28" s="398">
        <f t="shared" si="2"/>
        <v>191.37211599999998</v>
      </c>
      <c r="T28" s="1416">
        <f t="shared" si="3"/>
        <v>561.18150066666669</v>
      </c>
      <c r="U28" s="1416">
        <f t="shared" si="4"/>
        <v>169.47753883333331</v>
      </c>
      <c r="V28" s="1416">
        <f t="shared" si="6"/>
        <v>-72.554359999999974</v>
      </c>
      <c r="W28" s="1415">
        <f t="shared" si="7"/>
        <v>14.70544933333332</v>
      </c>
      <c r="X28" s="2086" t="s">
        <v>1736</v>
      </c>
      <c r="Y28" s="695">
        <f>S28-'@预测#经营利润#'!J27</f>
        <v>0</v>
      </c>
      <c r="Z28" s="378">
        <f>SUMPRODUCT('收入（外部）'!$B$3:$AAM$66,('收入（外部）'!$A$3:$A$66=A28)*('收入（外部）'!$B$1:$AAM$1=$B$1)*('收入（外部）'!$B$2:$AAM$2&lt;=$B$2-1))</f>
        <v>522.23563999999999</v>
      </c>
      <c r="AA28" s="378">
        <f>SUMPRODUCT('利润（汇总）'!$C$3:$AAK$67,('利润（汇总）'!$B$3:$B$67=A28)*('利润（汇总）'!$C$1:$AAK$1=$B$1)*('利润（汇总）'!$C$2:$AAK$2&lt;=$B$2-1))</f>
        <v>156.87211599999998</v>
      </c>
      <c r="AC28" s="695">
        <f>SUMPRODUCT('收入（外部）'!$B$3:$AAM$66,('收入（外部）'!$A$3:$A$66=A28)*('收入（外部）'!$B$1:$AAM$1=$B$1)*('收入（外部）'!$B$2:$AAM$2=$B$2))</f>
        <v>113.20965600000001</v>
      </c>
      <c r="AD28" s="695">
        <f t="shared" si="12"/>
        <v>-3.4399999998413477E-4</v>
      </c>
      <c r="AE28" s="695"/>
      <c r="AG28" s="695"/>
    </row>
    <row r="29" spans="1:33">
      <c r="A29" s="1402" t="s">
        <v>115</v>
      </c>
      <c r="B29" s="1403">
        <f>SUMIFS('收入（外部）'!13:13,'收入（外部）'!$1:$1,'@预测#收入利润#'!$B$1-1)</f>
        <v>3016.8337380000012</v>
      </c>
      <c r="C29" s="1403">
        <f>SUMIFS('利润（汇总）'!12:12,'利润（汇总）'!$1:$1,$B$1-1)</f>
        <v>29832.863718000001</v>
      </c>
      <c r="D29" s="1403">
        <v>1893</v>
      </c>
      <c r="E29" s="398">
        <f>'#经营利润'!B18</f>
        <v>32205</v>
      </c>
      <c r="F29" s="1403">
        <f>SUMIFS('收入（汇总）'!13:13,'收入（汇总）'!$1:$1,$C$1,'收入（汇总）'!$2:$2,$C$2)</f>
        <v>11555</v>
      </c>
      <c r="G29" s="1403">
        <f>SUMIFS('收入（关联）'!13:13,'收入（关联）'!$1:$1,$C$1,'收入（关联）'!$2:$2,$C$2)</f>
        <v>11211.622989999996</v>
      </c>
      <c r="H29" s="398">
        <f t="shared" si="15"/>
        <v>343.37701000000379</v>
      </c>
      <c r="I29" s="398">
        <f>SUMIFS('利润（汇总）'!12:12,'利润（汇总）'!$1:$1,$C$1,'利润（汇总）'!$2:$2,$C$2)</f>
        <v>2755.5444600000001</v>
      </c>
      <c r="J29" s="2524">
        <v>12061</v>
      </c>
      <c r="K29" s="2524">
        <v>11440</v>
      </c>
      <c r="L29" s="398">
        <f t="shared" si="8"/>
        <v>621</v>
      </c>
      <c r="M29" s="2524">
        <v>3036</v>
      </c>
      <c r="N29" s="1415">
        <f>L29-H29</f>
        <v>277.62298999999621</v>
      </c>
      <c r="O29" s="1415">
        <f>M29-I29</f>
        <v>280.45553999999993</v>
      </c>
      <c r="P29" s="1416">
        <f t="shared" si="10"/>
        <v>463.25</v>
      </c>
      <c r="Q29" s="1415">
        <f t="shared" si="11"/>
        <v>352.25</v>
      </c>
      <c r="R29" s="398">
        <f t="shared" si="1"/>
        <v>2994.0461830000022</v>
      </c>
      <c r="S29" s="398">
        <f t="shared" si="2"/>
        <v>23384.593270000001</v>
      </c>
      <c r="T29" s="1416">
        <f t="shared" si="3"/>
        <v>2742.6433715000021</v>
      </c>
      <c r="U29" s="1416">
        <f t="shared" si="4"/>
        <v>20898.521293500002</v>
      </c>
      <c r="V29" s="1416">
        <f t="shared" si="6"/>
        <v>1732.0461830000022</v>
      </c>
      <c r="W29" s="1415">
        <f t="shared" si="7"/>
        <v>1914.5932700000012</v>
      </c>
      <c r="X29" s="963"/>
      <c r="Y29" s="695">
        <f>S29-'@预测#经营利润#'!J18</f>
        <v>0</v>
      </c>
      <c r="Z29" s="378">
        <f>SUMPRODUCT('收入（外部）'!$B$3:$AAM$66,('收入（外部）'!$A$3:$A$66=A29)*('收入（外部）'!$B$1:$AAM$1=$B$1)*('收入（外部）'!$B$2:$AAM$2&lt;=$B$2-1))</f>
        <v>2373.0461830000022</v>
      </c>
      <c r="AA29" s="378">
        <f>SUMPRODUCT('利润（汇总）'!$C$3:$AAK$67,('利润（汇总）'!$B$3:$B$67=A29)*('利润（汇总）'!$C$1:$AAK$1=$B$1)*('利润（汇总）'!$C$2:$AAK$2&lt;=$B$2-1))</f>
        <v>20348.593270000001</v>
      </c>
      <c r="AC29" s="695">
        <f>SUMPRODUCT('收入（外部）'!$B$3:$AAM$66,('收入（外部）'!$A$3:$A$66=A29)*('收入（外部）'!$B$1:$AAM$1=$B$1)*('收入（外部）'!$B$2:$AAM$2=$B$2))</f>
        <v>645.99846099999377</v>
      </c>
      <c r="AD29" s="695">
        <f t="shared" si="12"/>
        <v>24.998460999993767</v>
      </c>
      <c r="AE29" s="695"/>
      <c r="AG29" s="695"/>
    </row>
    <row r="30" spans="1:33">
      <c r="A30" s="1402" t="s">
        <v>116</v>
      </c>
      <c r="B30" s="1403">
        <f>SUMIFS('收入（外部）'!14:14,'收入（外部）'!$1:$1,'@预测#收入利润#'!$B$1-1)</f>
        <v>13799.188912</v>
      </c>
      <c r="C30" s="1403">
        <f>SUMIFS('利润（汇总）'!13:13,'利润（汇总）'!$1:$1,$B$1-1)</f>
        <v>-5660.9147999999996</v>
      </c>
      <c r="D30" s="1403">
        <v>25720</v>
      </c>
      <c r="E30" s="398">
        <f>'#经营利润'!B19</f>
        <v>-1500</v>
      </c>
      <c r="F30" s="1403">
        <f>SUMIFS('收入（汇总）'!14:14,'收入（汇总）'!$1:$1,$C$1,'收入（汇总）'!$2:$2,$C$2)</f>
        <v>3165.2730510000001</v>
      </c>
      <c r="G30" s="1403">
        <f>SUMIFS('收入（关联）'!14:14,'收入（关联）'!$1:$1,$C$1,'收入（关联）'!$2:$2,$C$2)</f>
        <v>1521.266243</v>
      </c>
      <c r="H30" s="398">
        <f t="shared" si="15"/>
        <v>1644.0068080000001</v>
      </c>
      <c r="I30" s="398">
        <f>SUMIFS('利润（汇总）'!13:13,'利润（汇总）'!$1:$1,$C$1,'利润（汇总）'!$2:$2,$C$2)</f>
        <v>-276</v>
      </c>
      <c r="J30" s="1417">
        <v>2807</v>
      </c>
      <c r="K30" s="1419">
        <v>1301</v>
      </c>
      <c r="L30" s="1420">
        <f>J30-K30</f>
        <v>1506</v>
      </c>
      <c r="M30" s="1419">
        <v>-270</v>
      </c>
      <c r="N30" s="1415">
        <f t="shared" si="9"/>
        <v>-138.00680800000009</v>
      </c>
      <c r="O30" s="1415">
        <f t="shared" si="5"/>
        <v>6</v>
      </c>
      <c r="P30" s="1416">
        <f t="shared" si="10"/>
        <v>-637.33333333333348</v>
      </c>
      <c r="Q30" s="1415">
        <f t="shared" si="11"/>
        <v>-145</v>
      </c>
      <c r="R30" s="398">
        <f t="shared" si="1"/>
        <v>11292.864045</v>
      </c>
      <c r="S30" s="398">
        <f t="shared" si="2"/>
        <v>-2299.8095329999996</v>
      </c>
      <c r="T30" s="1416">
        <f t="shared" si="3"/>
        <v>10142.931635666668</v>
      </c>
      <c r="U30" s="1416">
        <f t="shared" si="4"/>
        <v>-1828.0666329999997</v>
      </c>
      <c r="V30" s="1416">
        <f t="shared" si="6"/>
        <v>-5853.8026216666676</v>
      </c>
      <c r="W30" s="1415">
        <f t="shared" si="7"/>
        <v>-1299.8095329999996</v>
      </c>
      <c r="X30" s="2086" t="s">
        <v>1718</v>
      </c>
      <c r="Y30" s="695">
        <f>S30-'@预测#经营利润#'!J19</f>
        <v>0</v>
      </c>
      <c r="Z30" s="378">
        <f>SUMPRODUCT('收入（外部）'!$B$3:$AAM$66,('收入（外部）'!$A$3:$A$66=A30)*('收入（外部）'!$B$1:$AAM$1=$B$1)*('收入（外部）'!$B$2:$AAM$2&lt;=$B$2-1))</f>
        <v>9786.8640450000003</v>
      </c>
      <c r="AA30" s="378">
        <f>SUMPRODUCT('利润（汇总）'!$C$3:$AAK$67,('利润（汇总）'!$B$3:$B$67=A30)*('利润（汇总）'!$C$1:$AAK$1=$B$1)*('利润（汇总）'!$C$2:$AAK$2&lt;=$B$2-1))</f>
        <v>-2029.8095329999999</v>
      </c>
      <c r="AC30" s="695">
        <f>SUMPRODUCT('收入（外部）'!$B$3:$AAM$66,('收入（外部）'!$A$3:$A$66=A30)*('收入（外部）'!$B$1:$AAM$1=$B$1)*('收入（外部）'!$B$2:$AAM$2=$B$2))</f>
        <v>1970.673483999999</v>
      </c>
      <c r="AD30" s="695">
        <f t="shared" si="12"/>
        <v>464.67348399999901</v>
      </c>
      <c r="AE30" s="695"/>
      <c r="AG30" s="695"/>
    </row>
    <row r="31" spans="1:33">
      <c r="A31" s="1402" t="s">
        <v>134</v>
      </c>
      <c r="B31" s="1403">
        <f>SUMIFS('收入（外部）'!31:31,'收入（外部）'!$1:$1,'@预测#收入利润#'!$B$1-1)</f>
        <v>4.9743380000000128</v>
      </c>
      <c r="C31" s="1403">
        <f>SUMIFS('利润（汇总）'!30:30,'利润（汇总）'!$1:$1,$B$1-1)</f>
        <v>248.41160199999999</v>
      </c>
      <c r="D31" s="1403">
        <v>100</v>
      </c>
      <c r="E31" s="398">
        <f>'#经营利润'!B36</f>
        <v>290</v>
      </c>
      <c r="F31" s="1403">
        <f>SUMIFS('收入（汇总）'!31:31,'收入（汇总）'!$1:$1,$C$1,'收入（汇总）'!$2:$2,$C$2)</f>
        <v>67.382735999999994</v>
      </c>
      <c r="G31" s="1403">
        <f>SUMIFS('收入（关联）'!31:31,'收入（关联）'!$1:$1,$C$1,'收入（关联）'!$2:$2,$C$2)</f>
        <v>122.554812</v>
      </c>
      <c r="H31" s="398">
        <f t="shared" si="15"/>
        <v>-55.172076000000004</v>
      </c>
      <c r="I31" s="398">
        <f>SUMIFS('利润（汇总）'!30:30,'利润（汇总）'!$1:$1,$C$1,'利润（汇总）'!$2:$2,$C$2)</f>
        <v>1.73327899999999</v>
      </c>
      <c r="J31" s="1414">
        <v>80</v>
      </c>
      <c r="K31" s="1414">
        <v>80</v>
      </c>
      <c r="L31" s="398">
        <f>J31-K31</f>
        <v>0</v>
      </c>
      <c r="M31" s="1417">
        <v>15</v>
      </c>
      <c r="N31" s="1415">
        <f t="shared" si="9"/>
        <v>55.172076000000004</v>
      </c>
      <c r="O31" s="1415">
        <f t="shared" si="5"/>
        <v>13.266721000000009</v>
      </c>
      <c r="P31" s="1416">
        <f t="shared" si="10"/>
        <v>-8.3333333333333339</v>
      </c>
      <c r="Q31" s="1415">
        <f t="shared" si="11"/>
        <v>-9.1666666666666679</v>
      </c>
      <c r="R31" s="398">
        <f t="shared" si="1"/>
        <v>-54.411226000000028</v>
      </c>
      <c r="S31" s="398">
        <f>M31+AA31</f>
        <v>196.22421899999998</v>
      </c>
      <c r="T31" s="1416"/>
      <c r="U31" s="1416"/>
      <c r="V31" s="1416">
        <f t="shared" si="6"/>
        <v>-121.0778926666667</v>
      </c>
      <c r="W31" s="1415">
        <f t="shared" si="7"/>
        <v>2.8908856666666338</v>
      </c>
      <c r="X31" s="963"/>
      <c r="Y31" s="695">
        <f>S31-'@预测#经营利润#'!J36</f>
        <v>0</v>
      </c>
      <c r="Z31" s="378">
        <f>SUMPRODUCT('收入（外部）'!$B$3:$AAM$66,('收入（外部）'!$A$3:$A$66=A31)*('收入（外部）'!$B$1:$AAM$1=$B$1)*('收入（外部）'!$B$2:$AAM$2&lt;=$B$2-1))</f>
        <v>-54.411226000000028</v>
      </c>
      <c r="AA31" s="378">
        <f>SUMPRODUCT('利润（汇总）'!$C$3:$AAK$67,('利润（汇总）'!$B$3:$B$67=A31)*('利润（汇总）'!$C$1:$AAK$1=$B$1)*('利润（汇总）'!$C$2:$AAK$2&lt;=$B$2-1))</f>
        <v>181.22421899999998</v>
      </c>
      <c r="AC31" s="695">
        <f>SUMPRODUCT('收入（外部）'!$B$3:$AAM$66,('收入（外部）'!$A$3:$A$66=A31)*('收入（外部）'!$B$1:$AAM$1=$B$1)*('收入（外部）'!$B$2:$AAM$2=$B$2))</f>
        <v>0.74339299999996911</v>
      </c>
      <c r="AD31" s="695">
        <f t="shared" si="12"/>
        <v>0.74339299999996911</v>
      </c>
      <c r="AE31" s="695"/>
      <c r="AG31" s="695"/>
    </row>
    <row r="32" spans="1:33" ht="27">
      <c r="A32" s="1402" t="s">
        <v>114</v>
      </c>
      <c r="B32" s="1403">
        <f>SUMIFS('收入（外部）'!12:12,'收入（外部）'!$1:$1,'@预测#收入利润#'!$B$1-1)</f>
        <v>9783.7864860000009</v>
      </c>
      <c r="C32" s="1403">
        <f>SUMIFS('利润（汇总）'!11:11,'利润（汇总）'!$1:$1,$B$1-1)</f>
        <v>336.29010299999993</v>
      </c>
      <c r="D32" s="1403">
        <v>10100</v>
      </c>
      <c r="E32" s="398">
        <f>'#经营利润'!B17</f>
        <v>1236</v>
      </c>
      <c r="F32" s="1403">
        <f>SUMIFS('收入（汇总）'!12:12,'收入（汇总）'!$1:$1,$C$1,'收入（汇总）'!$2:$2,$C$2)</f>
        <v>1566.565895</v>
      </c>
      <c r="G32" s="1403">
        <f>SUMIFS('收入（关联）'!12:12,'收入（关联）'!$1:$1,$C$1,'收入（关联）'!$2:$2,$C$2)</f>
        <v>35.185926999999964</v>
      </c>
      <c r="H32" s="398">
        <f t="shared" si="15"/>
        <v>1531.379968</v>
      </c>
      <c r="I32" s="398">
        <f>SUMIFS('利润（汇总）'!11:11,'利润（汇总）'!$1:$1,$C$1,'利润（汇总）'!$2:$2,$C$2)</f>
        <v>1096</v>
      </c>
      <c r="J32" s="1417">
        <v>632</v>
      </c>
      <c r="K32" s="1417">
        <v>35</v>
      </c>
      <c r="L32" s="398">
        <f t="shared" si="8"/>
        <v>597</v>
      </c>
      <c r="M32" s="1417">
        <v>-14</v>
      </c>
      <c r="N32" s="1415">
        <f t="shared" si="9"/>
        <v>-934.37996799999996</v>
      </c>
      <c r="O32" s="1415">
        <f>M32-I32</f>
        <v>-1110</v>
      </c>
      <c r="P32" s="1416">
        <f t="shared" si="10"/>
        <v>-244.66666666666663</v>
      </c>
      <c r="Q32" s="1415">
        <f t="shared" si="11"/>
        <v>-117</v>
      </c>
      <c r="R32" s="398">
        <f t="shared" si="1"/>
        <v>11229.817348999999</v>
      </c>
      <c r="S32" s="398">
        <f t="shared" si="2"/>
        <v>3070.1320850000002</v>
      </c>
      <c r="T32" s="1416">
        <f>R32-B32/12</f>
        <v>10414.501808499999</v>
      </c>
      <c r="U32" s="1416">
        <f>S32-C32/12</f>
        <v>3042.1079097500001</v>
      </c>
      <c r="V32" s="1416">
        <f t="shared" si="6"/>
        <v>4496.484015666666</v>
      </c>
      <c r="W32" s="1415">
        <f t="shared" si="7"/>
        <v>2246.1320850000002</v>
      </c>
      <c r="X32" s="2091" t="s">
        <v>1739</v>
      </c>
      <c r="Y32" s="695">
        <f>S32-'@预测#经营利润#'!J17</f>
        <v>0</v>
      </c>
      <c r="Z32" s="378">
        <f>SUMPRODUCT('收入（外部）'!$B$3:$AAM$66,('收入（外部）'!$A$3:$A$66=A32)*('收入（外部）'!$B$1:$AAM$1=$B$1)*('收入（外部）'!$B$2:$AAM$2&lt;=$B$2-1))</f>
        <v>10632.817348999999</v>
      </c>
      <c r="AA32" s="378">
        <f>SUMPRODUCT('利润（汇总）'!$C$3:$AAK$67,('利润（汇总）'!$B$3:$B$67=A32)*('利润（汇总）'!$C$1:$AAK$1=$B$1)*('利润（汇总）'!$C$2:$AAK$2&lt;=$B$2-1))</f>
        <v>3084.1320850000002</v>
      </c>
      <c r="AC32" s="695">
        <f>SUMPRODUCT('收入（外部）'!$B$3:$AAM$66,('收入（外部）'!$A$3:$A$66=A32)*('收入（外部）'!$B$1:$AAM$1=$B$1)*('收入（外部）'!$B$2:$AAM$2=$B$2))</f>
        <v>1630.8292719999999</v>
      </c>
      <c r="AD32" s="695">
        <f t="shared" si="12"/>
        <v>1033.8292719999999</v>
      </c>
      <c r="AE32" s="695"/>
      <c r="AG32" s="695"/>
    </row>
    <row r="33" spans="1:33">
      <c r="A33" s="1402" t="s">
        <v>135</v>
      </c>
      <c r="B33" s="1403">
        <f>SUMIFS('收入（外部）'!32:32,'收入（外部）'!$1:$1,'@预测#收入利润#'!$B$1-1)</f>
        <v>0</v>
      </c>
      <c r="C33" s="1403">
        <f>SUMIFS('利润（汇总）'!31:31,'利润（汇总）'!$1:$1,$B$1-1)</f>
        <v>-135.91139900000002</v>
      </c>
      <c r="D33" s="1403"/>
      <c r="E33" s="398">
        <f>'#经营利润'!B37</f>
        <v>-142</v>
      </c>
      <c r="F33" s="1403">
        <f>SUMIFS('收入（汇总）'!32:32,'收入（汇总）'!$1:$1,$C$1,'收入（汇总）'!$2:$2,$C$2)</f>
        <v>0</v>
      </c>
      <c r="G33" s="1403">
        <f>SUMIFS('收入（关联）'!32:32,'收入（关联）'!$1:$1,$C$1,'收入（关联）'!$2:$2,$C$2)</f>
        <v>0</v>
      </c>
      <c r="H33" s="398">
        <f t="shared" si="15"/>
        <v>0</v>
      </c>
      <c r="I33" s="398">
        <f>SUMIFS('利润（汇总）'!31:31,'利润（汇总）'!$1:$1,$C$1,'利润（汇总）'!$2:$2,$C$2)</f>
        <v>-11.501206</v>
      </c>
      <c r="J33" s="1417">
        <v>0</v>
      </c>
      <c r="K33" s="1417">
        <v>0</v>
      </c>
      <c r="L33" s="397">
        <v>0</v>
      </c>
      <c r="M33" s="1414">
        <v>-12</v>
      </c>
      <c r="N33" s="1421">
        <f t="shared" si="9"/>
        <v>0</v>
      </c>
      <c r="O33" s="1415">
        <f>M33-I33</f>
        <v>-0.49879400000000018</v>
      </c>
      <c r="P33" s="1416">
        <f t="shared" si="10"/>
        <v>0</v>
      </c>
      <c r="Q33" s="1415">
        <f t="shared" ref="Q33:Q44" si="16">M33-E33/12</f>
        <v>-0.16666666666666607</v>
      </c>
      <c r="R33" s="398">
        <f t="shared" ref="R33:R43" si="17">L33+Z33</f>
        <v>0</v>
      </c>
      <c r="S33" s="398">
        <f t="shared" si="2"/>
        <v>-85.98357</v>
      </c>
      <c r="T33" s="1416"/>
      <c r="U33" s="1416"/>
      <c r="V33" s="1416">
        <f t="shared" si="6"/>
        <v>0</v>
      </c>
      <c r="W33" s="1415">
        <f t="shared" si="7"/>
        <v>8.6830966666666711</v>
      </c>
      <c r="X33" s="963"/>
      <c r="Y33" s="695"/>
      <c r="Z33" s="378">
        <f>SUMPRODUCT('收入（外部）'!$B$3:$AAM$66,('收入（外部）'!$A$3:$A$66=A33)*('收入（外部）'!$B$1:$AAM$1=$B$1)*('收入（外部）'!$B$2:$AAM$2&lt;=$B$2-1))</f>
        <v>0</v>
      </c>
      <c r="AA33" s="378">
        <f>SUMPRODUCT('利润（汇总）'!$C$3:$AAK$67,('利润（汇总）'!$B$3:$B$67=A33)*('利润（汇总）'!$C$1:$AAK$1=$B$1)*('利润（汇总）'!$C$2:$AAK$2&lt;=$B$2-1))</f>
        <v>-73.98357</v>
      </c>
      <c r="AC33" s="695">
        <f>SUMPRODUCT('收入（外部）'!$B$3:$AAM$66,('收入（外部）'!$A$3:$A$66=A33)*('收入（外部）'!$B$1:$AAM$1=$B$1)*('收入（外部）'!$B$2:$AAM$2=$B$2))</f>
        <v>0</v>
      </c>
      <c r="AD33" s="695">
        <f t="shared" si="12"/>
        <v>0</v>
      </c>
      <c r="AE33" s="695"/>
      <c r="AG33" s="695"/>
    </row>
    <row r="34" spans="1:33">
      <c r="A34" s="1402" t="s">
        <v>138</v>
      </c>
      <c r="B34" s="1403">
        <f>SUMIFS('收入（外部）'!35:35,'收入（外部）'!$1:$1,'@预测#收入利润#'!$B$1-1)</f>
        <v>0</v>
      </c>
      <c r="C34" s="1403">
        <f>SUMIFS('利润（汇总）'!34:34,'利润（汇总）'!$1:$1,$B$1-1)</f>
        <v>-46.053207999999998</v>
      </c>
      <c r="D34" s="1403"/>
      <c r="E34" s="398">
        <f>'#经营利润'!B40</f>
        <v>-57</v>
      </c>
      <c r="F34" s="1403">
        <f>SUMIFS('收入（汇总）'!35:35,'收入（汇总）'!$1:$1,$C$1,'收入（汇总）'!$2:$2,$C$2)</f>
        <v>0</v>
      </c>
      <c r="G34" s="1403">
        <f>SUMIFS('收入（关联）'!35:35,'收入（关联）'!$1:$1,$C$1,'收入（关联）'!$2:$2,$C$2)</f>
        <v>0</v>
      </c>
      <c r="H34" s="398">
        <f t="shared" si="15"/>
        <v>0</v>
      </c>
      <c r="I34" s="398">
        <f>SUMIFS('利润（汇总）'!34:34,'利润（汇总）'!$1:$1,$C$1,'利润（汇总）'!$2:$2,$C$2)</f>
        <v>0</v>
      </c>
      <c r="J34" s="1417">
        <v>0</v>
      </c>
      <c r="K34" s="1417">
        <v>0</v>
      </c>
      <c r="L34" s="397">
        <f>J34-K34</f>
        <v>0</v>
      </c>
      <c r="M34" s="1414">
        <v>0</v>
      </c>
      <c r="N34" s="1421">
        <f t="shared" si="9"/>
        <v>0</v>
      </c>
      <c r="O34" s="1415">
        <f>M34-I34</f>
        <v>0</v>
      </c>
      <c r="P34" s="1416">
        <f t="shared" si="10"/>
        <v>0</v>
      </c>
      <c r="Q34" s="1415">
        <f t="shared" si="16"/>
        <v>4.75</v>
      </c>
      <c r="R34" s="398">
        <f t="shared" si="17"/>
        <v>0</v>
      </c>
      <c r="S34" s="398">
        <f t="shared" si="2"/>
        <v>-18.590821000000002</v>
      </c>
      <c r="T34" s="1416">
        <f t="shared" ref="T34:T41" si="18">R34-B34/12</f>
        <v>0</v>
      </c>
      <c r="U34" s="1416">
        <f t="shared" ref="U34:U41" si="19">S34-C34/12</f>
        <v>-14.753053666666668</v>
      </c>
      <c r="V34" s="1416">
        <f t="shared" si="6"/>
        <v>0</v>
      </c>
      <c r="W34" s="1415">
        <f t="shared" ref="W34:W41" si="20">S34-E34/12*$B$2</f>
        <v>19.409178999999998</v>
      </c>
      <c r="X34" s="1430"/>
      <c r="Y34" s="695">
        <f>S34-'@预测#经营利润#'!J37</f>
        <v>67.392748999999995</v>
      </c>
      <c r="Z34" s="378">
        <f>SUMPRODUCT('收入（外部）'!$B$3:$AAM$66,('收入（外部）'!$A$3:$A$66=A34)*('收入（外部）'!$B$1:$AAM$1=$B$1)*('收入（外部）'!$B$2:$AAM$2&lt;=$B$2-1))</f>
        <v>0</v>
      </c>
      <c r="AA34" s="378">
        <f>SUMPRODUCT('利润（汇总）'!$C$3:$AAK$67,('利润（汇总）'!$B$3:$B$67=A34)*('利润（汇总）'!$C$1:$AAK$1=$B$1)*('利润（汇总）'!$C$2:$AAK$2&lt;=$B$2-1))</f>
        <v>-18.590821000000002</v>
      </c>
      <c r="AC34" s="695">
        <f>SUMPRODUCT('收入（外部）'!$B$3:$AAM$66,('收入（外部）'!$A$3:$A$66=A34)*('收入（外部）'!$B$1:$AAM$1=$B$1)*('收入（外部）'!$B$2:$AAM$2=$B$2))</f>
        <v>0</v>
      </c>
      <c r="AD34" s="695">
        <f t="shared" si="12"/>
        <v>0</v>
      </c>
      <c r="AE34" s="695"/>
      <c r="AG34" s="695"/>
    </row>
    <row r="35" spans="1:33">
      <c r="A35" s="1402" t="s">
        <v>139</v>
      </c>
      <c r="B35" s="1403">
        <f>SUMIFS('收入（外部）'!36:36,'收入（外部）'!$1:$1,'@预测#收入利润#'!$B$1-1)</f>
        <v>0</v>
      </c>
      <c r="C35" s="1403">
        <f>SUMIFS('利润（汇总）'!35:35,'利润（汇总）'!$1:$1,$B$1-1)</f>
        <v>-177.49662899999998</v>
      </c>
      <c r="D35" s="1403">
        <v>756</v>
      </c>
      <c r="E35" s="398">
        <f>'#经营利润'!B41</f>
        <v>586</v>
      </c>
      <c r="F35" s="1403">
        <f>SUMIFS('收入（汇总）'!36:36,'收入（汇总）'!$1:$1,$C$1,'收入（汇总）'!$2:$2,$C$2)</f>
        <v>0</v>
      </c>
      <c r="G35" s="1403">
        <f>SUMIFS('收入（关联）'!36:36,'收入（关联）'!$1:$1,$C$1,'收入（关联）'!$2:$2,$C$2)</f>
        <v>0</v>
      </c>
      <c r="H35" s="398">
        <f t="shared" si="15"/>
        <v>0</v>
      </c>
      <c r="I35" s="398">
        <f>SUMIFS('利润（汇总）'!35:35,'利润（汇总）'!$1:$1,$C$1,'利润（汇总）'!$2:$2,$C$2)</f>
        <v>-17</v>
      </c>
      <c r="J35" s="1417">
        <v>0</v>
      </c>
      <c r="K35" s="1417">
        <v>0</v>
      </c>
      <c r="L35" s="397">
        <f>J35-K35</f>
        <v>0</v>
      </c>
      <c r="M35" s="1414">
        <v>-17</v>
      </c>
      <c r="N35" s="1421">
        <f t="shared" si="9"/>
        <v>0</v>
      </c>
      <c r="O35" s="1415">
        <f>M35-I35</f>
        <v>0</v>
      </c>
      <c r="P35" s="1416">
        <f t="shared" si="10"/>
        <v>-63</v>
      </c>
      <c r="Q35" s="1415">
        <f t="shared" si="16"/>
        <v>-65.833333333333343</v>
      </c>
      <c r="R35" s="398">
        <f t="shared" si="17"/>
        <v>0</v>
      </c>
      <c r="S35" s="398">
        <f t="shared" si="2"/>
        <v>-124.83697699999999</v>
      </c>
      <c r="T35" s="1416">
        <f t="shared" si="18"/>
        <v>0</v>
      </c>
      <c r="U35" s="1416">
        <f t="shared" si="19"/>
        <v>-110.04559124999999</v>
      </c>
      <c r="V35" s="1416">
        <f t="shared" si="6"/>
        <v>-504</v>
      </c>
      <c r="W35" s="1415">
        <f t="shared" si="20"/>
        <v>-515.50364366666668</v>
      </c>
      <c r="X35" s="930"/>
      <c r="Y35" s="695">
        <f>S35-'@预测#经营利润#'!J40</f>
        <v>-106.24615599999998</v>
      </c>
      <c r="Z35" s="378">
        <f>SUMPRODUCT('收入（外部）'!$B$3:$AAM$66,('收入（外部）'!$A$3:$A$66=A35)*('收入（外部）'!$B$1:$AAM$1=$B$1)*('收入（外部）'!$B$2:$AAM$2&lt;=$B$2-1))</f>
        <v>0</v>
      </c>
      <c r="AA35" s="378">
        <f>SUMPRODUCT('利润（汇总）'!$C$3:$AAK$67,('利润（汇总）'!$B$3:$B$67=A35)*('利润（汇总）'!$C$1:$AAK$1=$B$1)*('利润（汇总）'!$C$2:$AAK$2&lt;=$B$2-1))</f>
        <v>-107.83697699999999</v>
      </c>
      <c r="AC35" s="695">
        <f>SUMPRODUCT('收入（外部）'!$B$3:$AAM$66,('收入（外部）'!$A$3:$A$66=A35)*('收入（外部）'!$B$1:$AAM$1=$B$1)*('收入（外部）'!$B$2:$AAM$2=$B$2))</f>
        <v>0</v>
      </c>
      <c r="AD35" s="695">
        <f t="shared" si="12"/>
        <v>0</v>
      </c>
      <c r="AE35" s="695"/>
      <c r="AG35" s="695"/>
    </row>
    <row r="36" spans="1:33">
      <c r="A36" s="1402" t="s">
        <v>140</v>
      </c>
      <c r="B36" s="1403">
        <f>SUMIFS('收入（外部）'!37:37,'收入（外部）'!$1:$1,'@预测#收入利润#'!$B$1-1)</f>
        <v>0</v>
      </c>
      <c r="C36" s="1403">
        <f>SUMIFS('利润（汇总）'!36:36,'利润（汇总）'!$1:$1,$B$1-1)</f>
        <v>-76.376676999999987</v>
      </c>
      <c r="D36" s="1403">
        <v>480</v>
      </c>
      <c r="E36" s="398">
        <f>'#经营利润'!B42</f>
        <v>270</v>
      </c>
      <c r="F36" s="1403">
        <f>SUMIFS('收入（汇总）'!37:37,'收入（汇总）'!$1:$1,$C$1,'收入（汇总）'!$2:$2,$C$2)</f>
        <v>0</v>
      </c>
      <c r="G36" s="1403">
        <f>SUMIFS('收入（关联）'!37:37,'收入（关联）'!$1:$1,$C$1,'收入（关联）'!$2:$2,$C$2)</f>
        <v>0</v>
      </c>
      <c r="H36" s="398">
        <f t="shared" si="15"/>
        <v>0</v>
      </c>
      <c r="I36" s="398">
        <f>SUMIFS('利润（汇总）'!36:36,'利润（汇总）'!$1:$1,$C$1,'利润（汇总）'!$2:$2,$C$2)</f>
        <v>-8</v>
      </c>
      <c r="J36" s="1417">
        <v>0</v>
      </c>
      <c r="K36" s="1417">
        <v>0</v>
      </c>
      <c r="L36" s="397">
        <f>J36-K36</f>
        <v>0</v>
      </c>
      <c r="M36" s="1414">
        <v>-8</v>
      </c>
      <c r="N36" s="1421">
        <f t="shared" si="9"/>
        <v>0</v>
      </c>
      <c r="O36" s="1415">
        <f t="shared" ref="O36:O44" si="21">M36-I36</f>
        <v>0</v>
      </c>
      <c r="P36" s="1416">
        <f t="shared" si="10"/>
        <v>-40</v>
      </c>
      <c r="Q36" s="1415">
        <f t="shared" si="16"/>
        <v>-30.5</v>
      </c>
      <c r="R36" s="398">
        <f t="shared" si="17"/>
        <v>0</v>
      </c>
      <c r="S36" s="398">
        <f t="shared" si="2"/>
        <v>-59.090268999999999</v>
      </c>
      <c r="T36" s="1416">
        <f t="shared" si="18"/>
        <v>0</v>
      </c>
      <c r="U36" s="1416">
        <f t="shared" si="19"/>
        <v>-52.725545916666668</v>
      </c>
      <c r="V36" s="1416">
        <f t="shared" si="6"/>
        <v>-320</v>
      </c>
      <c r="W36" s="1415">
        <f t="shared" si="20"/>
        <v>-239.09026900000001</v>
      </c>
      <c r="X36" s="930"/>
      <c r="Y36" s="695">
        <f>S36-'@预测#经营利润#'!J41</f>
        <v>65.746707999999984</v>
      </c>
      <c r="Z36" s="378">
        <f>SUMPRODUCT('收入（外部）'!$B$3:$AAM$66,('收入（外部）'!$A$3:$A$66=A36)*('收入（外部）'!$B$1:$AAM$1=$B$1)*('收入（外部）'!$B$2:$AAM$2&lt;=$B$2-1))</f>
        <v>0</v>
      </c>
      <c r="AA36" s="378">
        <f>SUMPRODUCT('利润（汇总）'!$C$3:$AAK$67,('利润（汇总）'!$B$3:$B$67=A36)*('利润（汇总）'!$C$1:$AAK$1=$B$1)*('利润（汇总）'!$C$2:$AAK$2&lt;=$B$2-1))</f>
        <v>-51.090268999999999</v>
      </c>
      <c r="AC36" s="695">
        <f>SUMPRODUCT('收入（外部）'!$B$3:$AAM$66,('收入（外部）'!$A$3:$A$66=A36)*('收入（外部）'!$B$1:$AAM$1=$B$1)*('收入（外部）'!$B$2:$AAM$2=$B$2))</f>
        <v>0</v>
      </c>
      <c r="AD36" s="695">
        <f t="shared" si="12"/>
        <v>0</v>
      </c>
      <c r="AE36" s="695"/>
      <c r="AG36" s="695"/>
    </row>
    <row r="37" spans="1:33">
      <c r="A37" s="1402" t="s">
        <v>136</v>
      </c>
      <c r="B37" s="1403">
        <f>SUMIFS('收入（外部）'!33:33,'收入（外部）'!$1:$1,'@预测#收入利润#'!$B$1-1)</f>
        <v>0</v>
      </c>
      <c r="C37" s="1403">
        <f>SUMIFS('利润（汇总）'!32:32,'利润（汇总）'!$1:$1,$B$1-1)</f>
        <v>-53.622225999999998</v>
      </c>
      <c r="D37" s="1403"/>
      <c r="E37" s="398">
        <f>'#经营利润'!B38</f>
        <v>-17</v>
      </c>
      <c r="F37" s="1403">
        <f>SUMIFS('收入（汇总）'!33:33,'收入（汇总）'!$1:$1,$C$1,'收入（汇总）'!$2:$2,$C$2)</f>
        <v>0</v>
      </c>
      <c r="G37" s="1403">
        <f>SUMIFS('收入（关联）'!33:33,'收入（关联）'!$1:$1,$C$1,'收入（关联）'!$2:$2,$C$2)</f>
        <v>0</v>
      </c>
      <c r="H37" s="398">
        <f t="shared" si="15"/>
        <v>0</v>
      </c>
      <c r="I37" s="398">
        <f>SUMIFS('利润（汇总）'!32:32,'利润（汇总）'!$1:$1,$C$1,'利润（汇总）'!$2:$2,$C$2)</f>
        <v>-1.22</v>
      </c>
      <c r="J37" s="1417">
        <v>0</v>
      </c>
      <c r="K37" s="1417">
        <v>0</v>
      </c>
      <c r="L37" s="397">
        <f>J37-K37</f>
        <v>0</v>
      </c>
      <c r="M37" s="1414">
        <v>-1</v>
      </c>
      <c r="N37" s="1421">
        <f t="shared" si="9"/>
        <v>0</v>
      </c>
      <c r="O37" s="1415">
        <f t="shared" si="21"/>
        <v>0.21999999999999997</v>
      </c>
      <c r="P37" s="1416">
        <f t="shared" si="10"/>
        <v>0</v>
      </c>
      <c r="Q37" s="1415">
        <f t="shared" si="16"/>
        <v>0.41666666666666674</v>
      </c>
      <c r="R37" s="398">
        <f t="shared" si="17"/>
        <v>0</v>
      </c>
      <c r="S37" s="398">
        <f t="shared" si="2"/>
        <v>-10.553311000000001</v>
      </c>
      <c r="T37" s="1416">
        <f t="shared" si="18"/>
        <v>0</v>
      </c>
      <c r="U37" s="1416">
        <f t="shared" si="19"/>
        <v>-6.0847921666666673</v>
      </c>
      <c r="V37" s="1416">
        <f t="shared" si="6"/>
        <v>0</v>
      </c>
      <c r="W37" s="1415">
        <f t="shared" si="20"/>
        <v>0.78002233333333315</v>
      </c>
      <c r="X37" s="930"/>
      <c r="Y37" s="695">
        <f>S37-'@预测#经营利润#'!J42</f>
        <v>48.536957999999998</v>
      </c>
      <c r="Z37" s="378">
        <f>SUMPRODUCT('收入（外部）'!$B$3:$AAM$66,('收入（外部）'!$A$3:$A$66=A37)*('收入（外部）'!$B$1:$AAM$1=$B$1)*('收入（外部）'!$B$2:$AAM$2&lt;=$B$2-1))</f>
        <v>0</v>
      </c>
      <c r="AA37" s="378">
        <f>SUMPRODUCT('利润（汇总）'!$C$3:$AAK$67,('利润（汇总）'!$B$3:$B$67=A37)*('利润（汇总）'!$C$1:$AAK$1=$B$1)*('利润（汇总）'!$C$2:$AAK$2&lt;=$B$2-1))</f>
        <v>-9.5533110000000008</v>
      </c>
      <c r="AC37" s="695">
        <f>SUMPRODUCT('收入（外部）'!$B$3:$AAM$66,('收入（外部）'!$A$3:$A$66=A37)*('收入（外部）'!$B$1:$AAM$1=$B$1)*('收入（外部）'!$B$2:$AAM$2=$B$2))</f>
        <v>0</v>
      </c>
      <c r="AD37" s="695">
        <f t="shared" si="12"/>
        <v>0</v>
      </c>
      <c r="AE37" s="695"/>
      <c r="AG37" s="695"/>
    </row>
    <row r="38" spans="1:33">
      <c r="A38" s="1402" t="s">
        <v>137</v>
      </c>
      <c r="B38" s="1403">
        <f>SUMIFS('收入（外部）'!34:34,'收入（外部）'!$1:$1,'@预测#收入利润#'!$B$1-1)</f>
        <v>69047.24293600001</v>
      </c>
      <c r="C38" s="1403">
        <f>SUMIFS('利润（汇总）'!33:33,'利润（汇总）'!$1:$1,$B$1-1)</f>
        <v>957.22928699999989</v>
      </c>
      <c r="D38" s="1403">
        <v>90200</v>
      </c>
      <c r="E38" s="398">
        <f>'#经营利润'!B39</f>
        <v>1500</v>
      </c>
      <c r="F38" s="1403">
        <f>SUMIFS('收入（汇总）'!34:34,'收入（汇总）'!$1:$1,$C$1,'收入（汇总）'!$2:$2,$C$2)</f>
        <v>0</v>
      </c>
      <c r="G38" s="1403">
        <f>SUMIFS('收入（关联）'!34:34,'收入（关联）'!$1:$1,$C$1,'收入（关联）'!$2:$2,$C$2)</f>
        <v>0</v>
      </c>
      <c r="H38" s="398">
        <f t="shared" si="15"/>
        <v>0</v>
      </c>
      <c r="I38" s="398">
        <f>SUMIFS('利润（汇总）'!33:33,'利润（汇总）'!$1:$1,$C$1,'利润（汇总）'!$2:$2,$C$2)</f>
        <v>0</v>
      </c>
      <c r="J38" s="1417"/>
      <c r="K38" s="1417"/>
      <c r="L38" s="397">
        <f>J38-K38</f>
        <v>0</v>
      </c>
      <c r="M38" s="1417"/>
      <c r="N38" s="1415">
        <f t="shared" si="9"/>
        <v>0</v>
      </c>
      <c r="O38" s="1415">
        <f t="shared" si="21"/>
        <v>0</v>
      </c>
      <c r="P38" s="1416">
        <f t="shared" si="10"/>
        <v>-7516.666666666667</v>
      </c>
      <c r="Q38" s="1415">
        <f t="shared" si="16"/>
        <v>-125</v>
      </c>
      <c r="R38" s="398">
        <f t="shared" si="17"/>
        <v>0</v>
      </c>
      <c r="S38" s="398">
        <f t="shared" si="2"/>
        <v>0</v>
      </c>
      <c r="T38" s="1416">
        <f t="shared" si="18"/>
        <v>-5753.9369113333341</v>
      </c>
      <c r="U38" s="1416">
        <f t="shared" si="19"/>
        <v>-79.76910724999999</v>
      </c>
      <c r="V38" s="1416">
        <f t="shared" si="6"/>
        <v>-60133.333333333336</v>
      </c>
      <c r="W38" s="1415">
        <f t="shared" si="20"/>
        <v>-1000</v>
      </c>
      <c r="X38" s="963" t="s">
        <v>1704</v>
      </c>
      <c r="Y38" s="695">
        <f>S38-'@预测#经营利润#'!J38</f>
        <v>10.553311000000001</v>
      </c>
      <c r="Z38" s="378">
        <f>SUMPRODUCT('收入（外部）'!$B$3:$AAM$66,('收入（外部）'!$A$3:$A$66=A38)*('收入（外部）'!$B$1:$AAM$1=$B$1)*('收入（外部）'!$B$2:$AAM$2&lt;=$B$2-1))</f>
        <v>0</v>
      </c>
      <c r="AA38" s="378">
        <f>SUMPRODUCT('利润（汇总）'!$C$3:$AAK$67,('利润（汇总）'!$B$3:$B$67=A38)*('利润（汇总）'!$C$1:$AAK$1=$B$1)*('利润（汇总）'!$C$2:$AAK$2&lt;=$B$2-1))</f>
        <v>0</v>
      </c>
      <c r="AC38" s="695">
        <f>SUMPRODUCT('收入（外部）'!$B$3:$AAM$66,('收入（外部）'!$A$3:$A$66=A38)*('收入（外部）'!$B$1:$AAM$1=$B$1)*('收入（外部）'!$B$2:$AAM$2=$B$2))</f>
        <v>0</v>
      </c>
      <c r="AD38" s="695">
        <f t="shared" si="12"/>
        <v>0</v>
      </c>
      <c r="AE38" s="695"/>
      <c r="AG38" s="695"/>
    </row>
    <row r="39" spans="1:33">
      <c r="A39" s="1404" t="s">
        <v>185</v>
      </c>
      <c r="B39" s="1403"/>
      <c r="C39" s="1403">
        <f>SUMIFS('利润（汇总）'!37:37,'利润（汇总）'!$1:$1,$B$1-1)</f>
        <v>182659.29598051999</v>
      </c>
      <c r="D39" s="1403"/>
      <c r="E39" s="398">
        <f>'#经营利润'!B9</f>
        <v>90381</v>
      </c>
      <c r="F39" s="1403"/>
      <c r="G39" s="1403"/>
      <c r="H39" s="397" t="s">
        <v>186</v>
      </c>
      <c r="I39" s="398">
        <f>SUMPRODUCT('利润（汇总）'!$C$3:$AAK$67,('利润（汇总）'!$B$3:$B$67=A39)*('利润（汇总）'!$C$1:$AAK$1=$C$1)*('利润（汇总）'!$C$2:$AAK$2=$C$2))</f>
        <v>2270.0452814100004</v>
      </c>
      <c r="J39" s="397"/>
      <c r="K39" s="397"/>
      <c r="L39" s="397">
        <v>0</v>
      </c>
      <c r="M39" s="1414">
        <f>6744+843.07</f>
        <v>7587.07</v>
      </c>
      <c r="N39" s="1421" t="s">
        <v>186</v>
      </c>
      <c r="O39" s="1415">
        <f t="shared" si="21"/>
        <v>5317.0247185899989</v>
      </c>
      <c r="P39" s="1416">
        <f t="shared" si="10"/>
        <v>0</v>
      </c>
      <c r="Q39" s="1415">
        <f t="shared" si="16"/>
        <v>55.319999999999709</v>
      </c>
      <c r="R39" s="398">
        <f t="shared" si="17"/>
        <v>0</v>
      </c>
      <c r="S39" s="398">
        <f t="shared" si="2"/>
        <v>101708.41087557</v>
      </c>
      <c r="T39" s="1416">
        <f t="shared" si="18"/>
        <v>0</v>
      </c>
      <c r="U39" s="1416">
        <f t="shared" si="19"/>
        <v>86486.802877193331</v>
      </c>
      <c r="V39" s="1416">
        <f>R39-D39/12*$B$2</f>
        <v>0</v>
      </c>
      <c r="W39" s="1415">
        <f t="shared" si="20"/>
        <v>41454.41087557</v>
      </c>
      <c r="X39" s="930"/>
      <c r="Y39" s="695">
        <f>S39-'@预测#经营利润#'!J39</f>
        <v>101708.41087557</v>
      </c>
      <c r="Z39" s="378">
        <f>SUMPRODUCT('收入（外部）'!$B$3:$AAM$66,('收入（外部）'!$A$3:$A$66=A39)*('收入（外部）'!$B$1:$AAM$1=$B$1)*('收入（外部）'!$B$2:$AAM$2&lt;=$B$2-1))</f>
        <v>0</v>
      </c>
      <c r="AA39" s="378">
        <f>SUMPRODUCT('利润（汇总）'!$C$3:$AAK$67,('利润（汇总）'!$B$3:$B$67=A39)*('利润（汇总）'!$C$1:$AAK$1=$B$1)*('利润（汇总）'!$C$2:$AAK$2&lt;=$B$2-1))</f>
        <v>94121.340875570007</v>
      </c>
      <c r="AC39" s="695">
        <f>SUMPRODUCT('收入（外部）'!$B$3:$AAM$66,('收入（外部）'!$A$3:$A$66=A39)*('收入（外部）'!$B$1:$AAM$1=$B$1)*('收入（外部）'!$B$2:$AAM$2=$B$2))</f>
        <v>0</v>
      </c>
      <c r="AD39" s="695">
        <f t="shared" si="12"/>
        <v>0</v>
      </c>
      <c r="AE39" s="695"/>
      <c r="AG39" s="695"/>
    </row>
    <row r="40" spans="1:33">
      <c r="A40" s="1404" t="s">
        <v>143</v>
      </c>
      <c r="B40" s="1403"/>
      <c r="C40" s="1403">
        <f>SUMIFS('利润（汇总）'!38:38,'利润（汇总）'!$1:$1,$B$1-1)</f>
        <v>-15288.810758900001</v>
      </c>
      <c r="D40" s="1403"/>
      <c r="E40" s="398">
        <f>'#经营利润'!B47</f>
        <v>-14256.795</v>
      </c>
      <c r="F40" s="1403"/>
      <c r="G40" s="1403"/>
      <c r="H40" s="397" t="s">
        <v>186</v>
      </c>
      <c r="I40" s="398">
        <f>SUMPRODUCT('利润（汇总）'!$C$3:$AAK$67,('利润（汇总）'!$B$3:$B$67=A40)*('利润（汇总）'!$C$1:$AAK$1=$C$1)*('利润（汇总）'!$C$2:$AAK$2=$C$2))</f>
        <v>-1101</v>
      </c>
      <c r="J40" s="397"/>
      <c r="K40" s="397"/>
      <c r="L40" s="397">
        <v>0</v>
      </c>
      <c r="M40" s="2093">
        <f>-M19*0.75*0.49</f>
        <v>-1431.0450000000001</v>
      </c>
      <c r="N40" s="1421" t="s">
        <v>186</v>
      </c>
      <c r="O40" s="1415">
        <f t="shared" si="21"/>
        <v>-330.04500000000007</v>
      </c>
      <c r="P40" s="1416">
        <f t="shared" si="10"/>
        <v>0</v>
      </c>
      <c r="Q40" s="1415">
        <f t="shared" si="16"/>
        <v>-242.97874999999999</v>
      </c>
      <c r="R40" s="398">
        <f t="shared" si="17"/>
        <v>0</v>
      </c>
      <c r="S40" s="398">
        <f t="shared" si="2"/>
        <v>-9568.2259111999992</v>
      </c>
      <c r="T40" s="1416">
        <f t="shared" si="18"/>
        <v>0</v>
      </c>
      <c r="U40" s="1416">
        <f t="shared" si="19"/>
        <v>-8294.1583479583333</v>
      </c>
      <c r="V40" s="1416">
        <f t="shared" si="6"/>
        <v>0</v>
      </c>
      <c r="W40" s="1415">
        <f t="shared" si="20"/>
        <v>-63.695911199998591</v>
      </c>
      <c r="X40" s="930"/>
      <c r="Y40" s="695">
        <f>S40-'@预测#经营利润#'!J43</f>
        <v>-9568.2259111999992</v>
      </c>
      <c r="Z40" s="378">
        <f>SUMPRODUCT('收入（外部）'!$B$3:$AAM$66,('收入（外部）'!$A$3:$A$66=A40)*('收入（外部）'!$B$1:$AAM$1=$B$1)*('收入（外部）'!$B$2:$AAM$2&lt;=$B$2-1))</f>
        <v>0</v>
      </c>
      <c r="AA40" s="378">
        <f>SUMPRODUCT('利润（汇总）'!$C$3:$AAK$67,('利润（汇总）'!$B$3:$B$67=A40)*('利润（汇总）'!$C$1:$AAK$1=$B$1)*('利润（汇总）'!$C$2:$AAK$2&lt;=$B$2-1))</f>
        <v>-8137.1809112000001</v>
      </c>
      <c r="AC40" s="695">
        <f>SUMPRODUCT('收入（外部）'!$B$3:$AAM$66,('收入（外部）'!$A$3:$A$66=A40)*('收入（外部）'!$B$1:$AAM$1=$B$1)*('收入（外部）'!$B$2:$AAM$2=$B$2))</f>
        <v>0</v>
      </c>
      <c r="AD40" s="695">
        <f t="shared" si="12"/>
        <v>0</v>
      </c>
      <c r="AG40" s="695"/>
    </row>
    <row r="41" spans="1:33">
      <c r="A41" s="1404" t="s">
        <v>144</v>
      </c>
      <c r="B41" s="1403"/>
      <c r="C41" s="1403">
        <f>SUMIFS('利润（汇总）'!39:39,'利润（汇总）'!$1:$1,$B$1-1)</f>
        <v>-224.81000000000017</v>
      </c>
      <c r="D41" s="1403"/>
      <c r="E41" s="398"/>
      <c r="F41" s="1403"/>
      <c r="G41" s="1403"/>
      <c r="H41" s="397" t="s">
        <v>186</v>
      </c>
      <c r="I41" s="398">
        <f>SUMPRODUCT('利润（汇总）'!$C$3:$AAK$67,('利润（汇总）'!$B$3:$B$67=A41)*('利润（汇总）'!$C$1:$AAK$1=$C$1)*('利润（汇总）'!$C$2:$AAK$2=$C$2))</f>
        <v>0</v>
      </c>
      <c r="J41" s="397"/>
      <c r="K41" s="397"/>
      <c r="L41" s="397">
        <v>0</v>
      </c>
      <c r="M41" s="1422"/>
      <c r="N41" s="1421" t="s">
        <v>186</v>
      </c>
      <c r="O41" s="1415">
        <f t="shared" si="21"/>
        <v>0</v>
      </c>
      <c r="P41" s="1416">
        <f t="shared" si="10"/>
        <v>0</v>
      </c>
      <c r="Q41" s="1421">
        <f t="shared" si="16"/>
        <v>0</v>
      </c>
      <c r="R41" s="398">
        <f t="shared" si="17"/>
        <v>0</v>
      </c>
      <c r="S41" s="398">
        <f t="shared" si="2"/>
        <v>698.53254800000002</v>
      </c>
      <c r="T41" s="1416">
        <f t="shared" si="18"/>
        <v>0</v>
      </c>
      <c r="U41" s="1416">
        <f t="shared" si="19"/>
        <v>717.26671466666676</v>
      </c>
      <c r="V41" s="1416">
        <f t="shared" si="6"/>
        <v>0</v>
      </c>
      <c r="W41" s="1415">
        <f t="shared" si="20"/>
        <v>698.53254800000002</v>
      </c>
      <c r="X41" s="930"/>
      <c r="Y41" s="695">
        <f>S41-'@预测#经营利润#'!J44</f>
        <v>86049.038431400011</v>
      </c>
      <c r="Z41" s="378">
        <f>SUMPRODUCT('收入（外部）'!$B$3:$AAM$66,('收入（外部）'!$A$3:$A$66=A41)*('收入（外部）'!$B$1:$AAM$1=$B$1)*('收入（外部）'!$B$2:$AAM$2&lt;=$B$2-1))</f>
        <v>0</v>
      </c>
      <c r="AA41" s="378">
        <f>SUMPRODUCT('利润（汇总）'!$C$3:$AAK$67,('利润（汇总）'!$B$3:$B$67=A41)*('利润（汇总）'!$C$1:$AAK$1=$B$1)*('利润（汇总）'!$C$2:$AAK$2&lt;=$B$2-1))</f>
        <v>698.53254800000002</v>
      </c>
      <c r="AC41" s="695">
        <f>SUMPRODUCT('收入（外部）'!$B$3:$AAM$66,('收入（外部）'!$A$3:$A$66=A41)*('收入（外部）'!$B$1:$AAM$1=$B$1)*('收入（外部）'!$B$2:$AAM$2=$B$2))</f>
        <v>0</v>
      </c>
      <c r="AD41" s="695">
        <f t="shared" si="12"/>
        <v>0</v>
      </c>
    </row>
    <row r="42" spans="1:33">
      <c r="A42" s="1404" t="s">
        <v>145</v>
      </c>
      <c r="B42" s="1403"/>
      <c r="C42" s="1403">
        <f>SUMIFS('利润（汇总）'!40:40,'利润（汇总）'!$1:$1,$B$1-1)</f>
        <v>-64554.921333800005</v>
      </c>
      <c r="D42" s="1403"/>
      <c r="E42" s="398">
        <f>'#经营利润'!B49</f>
        <v>0</v>
      </c>
      <c r="F42" s="1403"/>
      <c r="G42" s="1403"/>
      <c r="H42" s="1525" t="s">
        <v>186</v>
      </c>
      <c r="I42" s="398">
        <f>SUMPRODUCT('利润（汇总）'!$C$3:$AAK$67,('利润（汇总）'!$B$3:$B$67=A42)*('利润（汇总）'!$C$1:$AAK$1=$C$1)*('利润（汇总）'!$C$2:$AAK$2=$C$2))</f>
        <v>0</v>
      </c>
      <c r="J42" s="397"/>
      <c r="K42" s="397"/>
      <c r="L42" s="397">
        <v>0</v>
      </c>
      <c r="M42" s="1423"/>
      <c r="N42" s="1421" t="s">
        <v>186</v>
      </c>
      <c r="O42" s="1421">
        <f t="shared" si="21"/>
        <v>0</v>
      </c>
      <c r="P42" s="1416">
        <f t="shared" si="10"/>
        <v>0</v>
      </c>
      <c r="Q42" s="1421" t="s">
        <v>186</v>
      </c>
      <c r="R42" s="398">
        <f t="shared" si="17"/>
        <v>0</v>
      </c>
      <c r="S42" s="398">
        <f t="shared" si="2"/>
        <v>-76069.812520200008</v>
      </c>
      <c r="T42" s="1416"/>
      <c r="U42" s="1416"/>
      <c r="V42" s="1416">
        <f t="shared" si="6"/>
        <v>0</v>
      </c>
      <c r="W42" s="1421" t="s">
        <v>186</v>
      </c>
      <c r="X42" s="930"/>
      <c r="Y42" s="695">
        <f>S42-'@预测#经营利润#'!J45</f>
        <v>-66501.586609000005</v>
      </c>
      <c r="Z42" s="378">
        <f>SUMPRODUCT('收入（外部）'!$B$3:$AAM$66,('收入（外部）'!$A$3:$A$66=A42)*('收入（外部）'!$B$1:$AAM$1=$B$1)*('收入（外部）'!$B$2:$AAM$2&lt;=$B$2-1))</f>
        <v>0</v>
      </c>
      <c r="AA42" s="378">
        <f>SUMPRODUCT('利润（汇总）'!$C$3:$AAK$67,('利润（汇总）'!$B$3:$B$67=A42)*('利润（汇总）'!$C$1:$AAK$1=$B$1)*('利润（汇总）'!$C$2:$AAK$2&lt;=$B$2-1))</f>
        <v>-76069.812520200008</v>
      </c>
      <c r="AC42" s="695">
        <f>SUMPRODUCT('收入（外部）'!$B$3:$AAM$66,('收入（外部）'!$A$3:$A$66=A42)*('收入（外部）'!$B$1:$AAM$1=$B$1)*('收入（外部）'!$B$2:$AAM$2=$B$2))</f>
        <v>0</v>
      </c>
      <c r="AD42" s="695">
        <f t="shared" si="12"/>
        <v>0</v>
      </c>
    </row>
    <row r="43" spans="1:33">
      <c r="A43" s="1402" t="s">
        <v>146</v>
      </c>
      <c r="B43" s="1403"/>
      <c r="C43" s="1403">
        <f>SUMIFS('利润（汇总）'!41:41,'利润（汇总）'!$1:$1,$B$1-1)</f>
        <v>0</v>
      </c>
      <c r="D43" s="1403"/>
      <c r="E43" s="398"/>
      <c r="F43" s="1403"/>
      <c r="G43" s="1403"/>
      <c r="H43" s="397" t="s">
        <v>186</v>
      </c>
      <c r="I43" s="398">
        <f>SUMPRODUCT('利润（汇总）'!$C$3:$AAK$67,('利润（汇总）'!$B$3:$B$67=A43)*('利润（汇总）'!$C$1:$AAK$1=$C$1)*('利润（汇总）'!$C$2:$AAK$2=$C$2))</f>
        <v>-411</v>
      </c>
      <c r="J43" s="397"/>
      <c r="K43" s="397"/>
      <c r="L43" s="397">
        <v>0</v>
      </c>
      <c r="M43" s="1423"/>
      <c r="N43" s="1421" t="s">
        <v>186</v>
      </c>
      <c r="O43" s="1421">
        <f t="shared" si="21"/>
        <v>411</v>
      </c>
      <c r="P43" s="1416">
        <f t="shared" si="10"/>
        <v>0</v>
      </c>
      <c r="Q43" s="1421">
        <f t="shared" si="16"/>
        <v>0</v>
      </c>
      <c r="R43" s="398">
        <f t="shared" si="17"/>
        <v>0</v>
      </c>
      <c r="S43" s="398">
        <f t="shared" si="2"/>
        <v>-411</v>
      </c>
      <c r="T43" s="1416">
        <f>R43-B43/12</f>
        <v>0</v>
      </c>
      <c r="U43" s="1416">
        <f>S43-C43/12</f>
        <v>-411</v>
      </c>
      <c r="V43" s="1416">
        <f t="shared" si="6"/>
        <v>0</v>
      </c>
      <c r="W43" s="1421">
        <f>S43-E43/12*$B$2</f>
        <v>-411</v>
      </c>
      <c r="X43" s="930"/>
      <c r="Y43" s="695">
        <f>S43-'@预测#经营利润#'!J46</f>
        <v>-1109.5325480000001</v>
      </c>
      <c r="Z43" s="378">
        <f>SUMPRODUCT('收入（外部）'!$B$3:$AAM$66,('收入（外部）'!$A$3:$A$66=A43)*('收入（外部）'!$B$1:$AAM$1=$B$1)*('收入（外部）'!$B$2:$AAM$2&lt;=$B$2-1))</f>
        <v>0</v>
      </c>
      <c r="AA43" s="378">
        <f>SUMPRODUCT('利润（汇总）'!$C$3:$AAK$67,('利润（汇总）'!$B$3:$B$67=A43)*('利润（汇总）'!$C$1:$AAK$1=$B$1)*('利润（汇总）'!$C$2:$AAK$2&lt;=$B$2-1))</f>
        <v>-411</v>
      </c>
      <c r="AC43" s="695">
        <f>SUMPRODUCT('收入（外部）'!$B$3:$AAM$66,('收入（外部）'!$A$3:$A$66=A43)*('收入（外部）'!$B$1:$AAM$1=$B$1)*('收入（外部）'!$B$2:$AAM$2=$B$2))</f>
        <v>0</v>
      </c>
      <c r="AD43" s="695">
        <f t="shared" si="12"/>
        <v>0</v>
      </c>
    </row>
    <row r="44" spans="1:33" s="1397" customFormat="1">
      <c r="A44" s="1405" t="s">
        <v>187</v>
      </c>
      <c r="B44" s="1406">
        <f>SUM(B5:B43)</f>
        <v>7858386.3178860005</v>
      </c>
      <c r="C44" s="1406">
        <f>SUM(C5:C43)</f>
        <v>428366.00035100058</v>
      </c>
      <c r="D44" s="1406"/>
      <c r="E44" s="395">
        <f>SUM(E5:E43)</f>
        <v>815897.5495701927</v>
      </c>
      <c r="F44" s="1406"/>
      <c r="G44" s="1406"/>
      <c r="H44" s="395">
        <f t="shared" ref="H44:M44" si="22">SUM(H5:H43)</f>
        <v>1258963.8952339997</v>
      </c>
      <c r="I44" s="395">
        <f t="shared" si="22"/>
        <v>218166.04012541007</v>
      </c>
      <c r="J44" s="395">
        <f t="shared" si="22"/>
        <v>1691597.1567923075</v>
      </c>
      <c r="K44" s="395">
        <f t="shared" si="22"/>
        <v>402668.72199130768</v>
      </c>
      <c r="L44" s="395">
        <f t="shared" si="22"/>
        <v>1288928.4348009997</v>
      </c>
      <c r="M44" s="395">
        <f t="shared" si="22"/>
        <v>194834.72878146154</v>
      </c>
      <c r="N44" s="1424">
        <f>L44-H44</f>
        <v>29964.539567</v>
      </c>
      <c r="O44" s="1424">
        <f t="shared" si="21"/>
        <v>-23331.311343948531</v>
      </c>
      <c r="P44" s="1425">
        <f t="shared" si="10"/>
        <v>1288928.4348009997</v>
      </c>
      <c r="Q44" s="1424">
        <f t="shared" si="16"/>
        <v>126843.26631727882</v>
      </c>
      <c r="R44" s="395">
        <f>SUM(R5:R43)</f>
        <v>9165458.5192949977</v>
      </c>
      <c r="S44" s="395">
        <f>SUM(S5:S43)</f>
        <v>1506691.7200496315</v>
      </c>
      <c r="T44" s="1425">
        <f>R44-B44/12</f>
        <v>8510592.9928044975</v>
      </c>
      <c r="U44" s="1425">
        <f>S44-C44/12</f>
        <v>1470994.5533537148</v>
      </c>
      <c r="V44" s="1416">
        <f t="shared" si="6"/>
        <v>9165458.5192949977</v>
      </c>
      <c r="W44" s="1424">
        <f>S44-E44/12*$B$2</f>
        <v>962760.02033616975</v>
      </c>
      <c r="X44" s="394"/>
      <c r="Y44" s="695">
        <f>S44-'@预测#经营利润#'!J47</f>
        <v>1582761.5325698315</v>
      </c>
      <c r="Z44" s="1431">
        <f>SUM(Z5:Z43)</f>
        <v>7876530.0844939984</v>
      </c>
      <c r="AA44" s="1431">
        <f>SUM(AA5:AA43)</f>
        <v>1311856.9912681701</v>
      </c>
      <c r="AC44" s="695">
        <f>SUMPRODUCT('收入（外部）'!$B$3:$AAM$66,('收入（外部）'!$A$3:$A$66=A44)*('收入（外部）'!$B$1:$AAM$1=$B$1)*('收入（外部）'!$B$2:$AAM$2=$B$2))</f>
        <v>1043278.3827040687</v>
      </c>
      <c r="AD44" s="695"/>
    </row>
    <row r="46" spans="1:33" s="1397" customFormat="1">
      <c r="A46" s="1407" t="s">
        <v>146</v>
      </c>
      <c r="B46" s="1407"/>
      <c r="C46" s="1407"/>
      <c r="D46" s="1407"/>
      <c r="E46" s="1407"/>
      <c r="F46" s="1407"/>
      <c r="G46" s="1407"/>
      <c r="H46" s="1407"/>
      <c r="I46" s="1407"/>
      <c r="J46" s="1407"/>
      <c r="K46" s="1407"/>
      <c r="L46" s="1407"/>
      <c r="M46" s="1407">
        <f>M47+M48+M49+M50+M51</f>
        <v>0</v>
      </c>
      <c r="N46" s="1407"/>
      <c r="O46" s="1407"/>
      <c r="P46" s="1407"/>
      <c r="Q46" s="1407"/>
      <c r="R46" s="1407"/>
      <c r="S46" s="1407"/>
      <c r="T46" s="1407"/>
      <c r="U46" s="1407"/>
      <c r="V46" s="1407"/>
      <c r="W46" s="1407"/>
      <c r="X46" s="1407"/>
    </row>
    <row r="51" spans="1:24">
      <c r="A51" s="1408"/>
      <c r="B51" s="1408"/>
      <c r="C51" s="1408"/>
      <c r="D51" s="1408"/>
      <c r="E51" s="1408"/>
      <c r="F51" s="1408"/>
      <c r="G51" s="1408"/>
      <c r="H51" s="1408"/>
      <c r="I51" s="1408"/>
      <c r="J51" s="1408"/>
      <c r="K51" s="1408"/>
      <c r="L51" s="1408"/>
      <c r="M51" s="1408"/>
      <c r="N51" s="1408"/>
      <c r="O51" s="1408"/>
      <c r="P51" s="1408"/>
      <c r="Q51" s="1408"/>
      <c r="R51" s="1408"/>
      <c r="S51" s="1408"/>
      <c r="T51" s="1408"/>
      <c r="U51" s="1408"/>
      <c r="V51" s="1408"/>
      <c r="W51" s="1408"/>
      <c r="X51" s="1408"/>
    </row>
    <row r="54" spans="1:24" s="1395" customFormat="1">
      <c r="A54" s="1409" t="s">
        <v>188</v>
      </c>
      <c r="B54" s="1409"/>
      <c r="C54" s="1409"/>
      <c r="D54" s="1409"/>
      <c r="E54" s="1409"/>
      <c r="F54" s="1409"/>
      <c r="G54" s="1409"/>
      <c r="H54" s="1410"/>
      <c r="I54" s="1410"/>
      <c r="J54" s="1410"/>
      <c r="K54" s="1410"/>
      <c r="L54" s="1426">
        <f>'@预测#概况#'!I119*10000</f>
        <v>1291343.7474148199</v>
      </c>
      <c r="M54" s="1410" t="s">
        <v>189</v>
      </c>
      <c r="N54" s="1426">
        <f>L44-L54</f>
        <v>-2415.3126138201915</v>
      </c>
      <c r="O54" s="1409"/>
      <c r="P54" s="1409"/>
      <c r="Q54" s="1409"/>
      <c r="R54" s="1409"/>
      <c r="S54" s="1409"/>
      <c r="T54" s="1409"/>
      <c r="U54" s="1409"/>
      <c r="V54" s="1409"/>
      <c r="W54" s="1409"/>
      <c r="X54" s="1409"/>
    </row>
    <row r="55" spans="1:24" s="1398" customFormat="1">
      <c r="A55" s="1398" t="s">
        <v>190</v>
      </c>
      <c r="H55" s="1411">
        <f>(H12+H13)/10000</f>
        <v>5.9721402869000029</v>
      </c>
      <c r="I55" s="1411"/>
      <c r="J55" s="414"/>
      <c r="K55" s="414"/>
      <c r="L55" s="1411">
        <f>(L12+L13)/10000</f>
        <v>5.4687999999999999</v>
      </c>
      <c r="M55" s="414"/>
      <c r="N55" s="414"/>
    </row>
    <row r="56" spans="1:24" s="1395" customFormat="1">
      <c r="A56" s="1395" t="s">
        <v>191</v>
      </c>
      <c r="H56" s="418"/>
      <c r="I56" s="418"/>
      <c r="J56" s="418"/>
      <c r="K56" s="418"/>
      <c r="L56" s="418"/>
      <c r="M56" s="418"/>
      <c r="N56" s="1427">
        <f>N57+N58/2</f>
        <v>0.10304877599999959</v>
      </c>
    </row>
    <row r="57" spans="1:24" s="1398" customFormat="1">
      <c r="A57" s="1398" t="s">
        <v>192</v>
      </c>
      <c r="H57" s="414"/>
      <c r="I57" s="414"/>
      <c r="J57" s="414"/>
      <c r="K57" s="414"/>
      <c r="L57" s="414"/>
      <c r="M57" s="414"/>
      <c r="N57" s="1428">
        <f>SUM(N14:N38)/10000</f>
        <v>0.10559877599999959</v>
      </c>
      <c r="P57" s="1395"/>
    </row>
    <row r="58" spans="1:24" s="1398" customFormat="1">
      <c r="A58" s="1412" t="s">
        <v>193</v>
      </c>
      <c r="B58" s="1412"/>
      <c r="C58" s="1412"/>
      <c r="D58" s="1412"/>
      <c r="E58" s="1412"/>
      <c r="F58" s="1412"/>
      <c r="G58" s="1412"/>
      <c r="H58" s="1413"/>
      <c r="I58" s="1413"/>
      <c r="J58" s="1413"/>
      <c r="K58" s="1413"/>
      <c r="L58" s="1413"/>
      <c r="M58" s="1413"/>
      <c r="N58" s="1429">
        <v>-5.1000000000000004E-3</v>
      </c>
      <c r="O58" s="1412"/>
      <c r="P58" s="1412"/>
      <c r="Q58" s="1412"/>
      <c r="R58" s="1412"/>
      <c r="S58" s="1412"/>
      <c r="T58" s="1412"/>
      <c r="U58" s="1412"/>
      <c r="V58" s="1412"/>
      <c r="W58" s="1412"/>
      <c r="X58" s="1412"/>
    </row>
    <row r="61" spans="1:24">
      <c r="X61" s="1399">
        <f>830+200+110+170-1400-570</f>
        <v>-660</v>
      </c>
    </row>
    <row r="64" spans="1:24" ht="14.25">
      <c r="K64"/>
      <c r="L64"/>
      <c r="M64"/>
    </row>
    <row r="65" spans="11:24" ht="14.25">
      <c r="K65"/>
      <c r="L65"/>
      <c r="M65"/>
    </row>
    <row r="66" spans="11:24" ht="14.25">
      <c r="K66"/>
      <c r="L66"/>
      <c r="M66"/>
    </row>
    <row r="67" spans="11:24" ht="14.25">
      <c r="K67"/>
      <c r="L67"/>
      <c r="M67"/>
    </row>
    <row r="68" spans="11:24" ht="14.25">
      <c r="K68"/>
      <c r="L68"/>
      <c r="M68"/>
    </row>
    <row r="69" spans="11:24" ht="14.25">
      <c r="K69"/>
      <c r="L69"/>
      <c r="M69"/>
    </row>
    <row r="70" spans="11:24" ht="14.25">
      <c r="K70"/>
      <c r="L70"/>
      <c r="M70"/>
    </row>
    <row r="71" spans="11:24" ht="14.25">
      <c r="K71"/>
      <c r="L71"/>
      <c r="M71"/>
    </row>
    <row r="72" spans="11:24" ht="14.25">
      <c r="K72"/>
      <c r="L72"/>
      <c r="M72"/>
    </row>
    <row r="73" spans="11:24" ht="14.25">
      <c r="K73"/>
      <c r="L73"/>
      <c r="M73"/>
    </row>
    <row r="74" spans="11:24" ht="14.25">
      <c r="K74"/>
      <c r="L74"/>
      <c r="M74"/>
    </row>
    <row r="75" spans="11:24" ht="14.25">
      <c r="K75"/>
      <c r="L75"/>
      <c r="M75"/>
    </row>
    <row r="76" spans="11:24" ht="14.25">
      <c r="K76"/>
      <c r="L76"/>
      <c r="M76"/>
      <c r="X76" s="905"/>
    </row>
    <row r="77" spans="11:24" ht="14.25">
      <c r="K77"/>
      <c r="L77"/>
      <c r="M77"/>
      <c r="X77" s="905"/>
    </row>
    <row r="78" spans="11:24" ht="14.25">
      <c r="K78"/>
      <c r="L78"/>
      <c r="M78"/>
    </row>
    <row r="79" spans="11:24" ht="13.9" customHeight="1">
      <c r="K79"/>
      <c r="L79"/>
      <c r="M79"/>
    </row>
    <row r="80" spans="11:24" ht="13.9" customHeight="1">
      <c r="K80"/>
      <c r="L80"/>
      <c r="M80"/>
    </row>
    <row r="81" spans="11:13" ht="14.25">
      <c r="K81"/>
      <c r="L81"/>
      <c r="M81"/>
    </row>
    <row r="82" spans="11:13" ht="14.25">
      <c r="K82"/>
      <c r="L82"/>
      <c r="M82"/>
    </row>
    <row r="83" spans="11:13" ht="14.25">
      <c r="K83"/>
      <c r="L83"/>
      <c r="M83"/>
    </row>
    <row r="84" spans="11:13" ht="14.25">
      <c r="K84"/>
      <c r="L84"/>
      <c r="M84"/>
    </row>
    <row r="85" spans="11:13" ht="14.25">
      <c r="K85"/>
      <c r="L85"/>
      <c r="M85"/>
    </row>
    <row r="86" spans="11:13" ht="14.25">
      <c r="K86"/>
      <c r="L86"/>
      <c r="M86"/>
    </row>
    <row r="87" spans="11:13" ht="14.25">
      <c r="K87"/>
      <c r="L87"/>
      <c r="M87"/>
    </row>
    <row r="88" spans="11:13" ht="14.25">
      <c r="K88"/>
      <c r="L88"/>
      <c r="M88"/>
    </row>
    <row r="89" spans="11:13" ht="14.25">
      <c r="K89"/>
      <c r="L89"/>
      <c r="M89"/>
    </row>
    <row r="90" spans="11:13" ht="14.25">
      <c r="K90"/>
      <c r="L90"/>
      <c r="M90"/>
    </row>
    <row r="91" spans="11:13" ht="14.25">
      <c r="K91"/>
      <c r="L91"/>
      <c r="M91"/>
    </row>
    <row r="92" spans="11:13" ht="14.25">
      <c r="K92"/>
      <c r="L92"/>
      <c r="M92"/>
    </row>
    <row r="93" spans="11:13" ht="14.25">
      <c r="K93"/>
      <c r="L93"/>
      <c r="M93"/>
    </row>
    <row r="94" spans="11:13" ht="14.25">
      <c r="K94"/>
      <c r="L94"/>
      <c r="M94"/>
    </row>
    <row r="95" spans="11:13" ht="14.25">
      <c r="K95"/>
      <c r="L95"/>
      <c r="M95"/>
    </row>
    <row r="96" spans="11:13" ht="14.25">
      <c r="K96"/>
      <c r="L96"/>
      <c r="M96"/>
    </row>
    <row r="97" spans="11:13" ht="14.25">
      <c r="K97"/>
      <c r="L97"/>
      <c r="M97"/>
    </row>
    <row r="98" spans="11:13" ht="14.25">
      <c r="K98"/>
      <c r="L98"/>
      <c r="M98"/>
    </row>
    <row r="99" spans="11:13" s="1396" customFormat="1" ht="14.25">
      <c r="K99"/>
      <c r="L99"/>
      <c r="M99"/>
    </row>
    <row r="100" spans="11:13" s="1397" customFormat="1" ht="14.25">
      <c r="K100"/>
      <c r="L100"/>
      <c r="M100"/>
    </row>
    <row r="101" spans="11:13" s="1397" customFormat="1" ht="14.25">
      <c r="K101"/>
      <c r="L101"/>
      <c r="M101"/>
    </row>
    <row r="102" spans="11:13" ht="14.25">
      <c r="K102"/>
      <c r="L102"/>
      <c r="M102"/>
    </row>
    <row r="103" spans="11:13" ht="14.25">
      <c r="K103"/>
      <c r="L103"/>
      <c r="M103"/>
    </row>
    <row r="104" spans="11:13" ht="14.25">
      <c r="K104"/>
      <c r="L104"/>
      <c r="M104"/>
    </row>
    <row r="105" spans="11:13" ht="14.25">
      <c r="K105"/>
      <c r="L105"/>
      <c r="M105"/>
    </row>
    <row r="106" spans="11:13" ht="14.25">
      <c r="K106"/>
      <c r="L106"/>
      <c r="M106"/>
    </row>
    <row r="107" spans="11:13" ht="14.25">
      <c r="K107"/>
      <c r="L107"/>
      <c r="M107"/>
    </row>
    <row r="108" spans="11:13" s="1397" customFormat="1" ht="14.25">
      <c r="K108"/>
      <c r="L108"/>
      <c r="M108"/>
    </row>
    <row r="109" spans="11:13" ht="14.25">
      <c r="K109"/>
      <c r="L109"/>
      <c r="M109"/>
    </row>
    <row r="110" spans="11:13" ht="14.25">
      <c r="K110"/>
      <c r="L110"/>
      <c r="M110"/>
    </row>
    <row r="111" spans="11:13" ht="14.25">
      <c r="K111"/>
      <c r="L111"/>
      <c r="M111"/>
    </row>
    <row r="112" spans="11:13" ht="14.25">
      <c r="K112"/>
      <c r="L112"/>
      <c r="M112"/>
    </row>
    <row r="113" spans="11:13" ht="14.25">
      <c r="K113"/>
      <c r="L113"/>
      <c r="M113"/>
    </row>
    <row r="114" spans="11:13" ht="14.25">
      <c r="K114"/>
      <c r="L114"/>
      <c r="M114"/>
    </row>
    <row r="115" spans="11:13" ht="14.25">
      <c r="K115"/>
      <c r="L115"/>
      <c r="M115"/>
    </row>
    <row r="116" spans="11:13" ht="14.25">
      <c r="K116"/>
      <c r="L116"/>
      <c r="M116"/>
    </row>
    <row r="117" spans="11:13" s="1397" customFormat="1" ht="14.25">
      <c r="K117"/>
      <c r="L117"/>
      <c r="M117"/>
    </row>
    <row r="118" spans="11:13" s="1397" customFormat="1" ht="14.25">
      <c r="K118"/>
      <c r="L118"/>
      <c r="M118"/>
    </row>
    <row r="119" spans="11:13" s="1397" customFormat="1" ht="14.25">
      <c r="K119"/>
      <c r="L119"/>
      <c r="M119"/>
    </row>
    <row r="120" spans="11:13" ht="14.25">
      <c r="K120"/>
      <c r="L120"/>
      <c r="M120"/>
    </row>
  </sheetData>
  <customSheetViews>
    <customSheetView guid="{1683F931-F47D-47C0-A395-D48080DC7EE6}" showPageBreaks="1" hiddenColumns="1">
      <pane xSplit="2" topLeftCell="D1" activePane="topRight" state="frozen"/>
      <selection pane="topRight" activeCell="M5" sqref="M5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 scale="89" hiddenColumns="1">
      <pane xSplit="3" ySplit="4" topLeftCell="H5" activePane="bottomRight" state="frozen"/>
      <selection pane="bottomRight" activeCell="X24" sqref="X24"/>
      <pageMargins left="0.69930555555555596" right="0.69930555555555596" top="0.75" bottom="0.75" header="0.3" footer="0.3"/>
      <pageSetup paperSize="9" orientation="portrait"/>
    </customSheetView>
    <customSheetView guid="{849C46E5-4ED4-41B9-BDA9-A6465B9DA9C2}" scale="89" hiddenColumns="1" topLeftCell="A4">
      <selection activeCell="X21" sqref="X21"/>
      <pageMargins left="0.69930555555555596" right="0.69930555555555596" top="0.75" bottom="0.75" header="0.3" footer="0.3"/>
      <pageSetup paperSize="9" orientation="portrait"/>
    </customSheetView>
    <customSheetView guid="{8C09BCDE-4B8A-4469-B3F2-7F4528A2E78D}" scale="89" hiddenColumns="1" topLeftCell="A4">
      <selection activeCell="X21" sqref="X21"/>
      <pageMargins left="0.69930555555555596" right="0.69930555555555596" top="0.75" bottom="0.75" header="0.3" footer="0.3"/>
      <pageSetup paperSize="9" orientation="portrait"/>
    </customSheetView>
    <customSheetView guid="{F4EB51F4-FD23-4D5B-8072-1AF5D59D6686}" scale="89" hiddenColumns="1" topLeftCell="E14">
      <selection activeCell="X30" sqref="X30"/>
      <pageMargins left="0.69930555555555596" right="0.69930555555555596" top="0.75" bottom="0.75" header="0.3" footer="0.3"/>
      <pageSetup paperSize="9" orientation="portrait" r:id="rId2"/>
    </customSheetView>
    <customSheetView guid="{D7BCFB76-2797-401D-A6F1-E020B5162DD4}" scale="115" hiddenColumns="1">
      <pane xSplit="3" ySplit="4" topLeftCell="E5" activePane="bottomRight" state="frozen"/>
      <selection pane="bottomRight" activeCell="A30" sqref="A30:XFD30"/>
      <pageMargins left="0.69930555555555596" right="0.69930555555555596" top="0.75" bottom="0.75" header="0.3" footer="0.3"/>
      <pageSetup paperSize="9" orientation="portrait"/>
    </customSheetView>
    <customSheetView guid="{C9A88430-3808-49F4-8D86-BF8C70C55441}">
      <selection activeCell="M6" sqref="M6"/>
      <pageMargins left="0.69930555555555596" right="0.69930555555555596" top="0.75" bottom="0.75" header="0.3" footer="0.3"/>
      <pageSetup paperSize="9" orientation="portrait"/>
    </customSheetView>
    <customSheetView guid="{E61FFED3-723E-484A-93A0-94E1A801AF06}" hiddenColumns="1">
      <pane xSplit="3" ySplit="4" topLeftCell="E5" activePane="bottomRight" state="frozen"/>
      <selection pane="bottomRight" activeCell="M11" sqref="M11"/>
      <pageMargins left="0.69930555555555596" right="0.69930555555555596" top="0.75" bottom="0.75" header="0.3" footer="0.3"/>
      <pageSetup paperSize="9" orientation="portrait"/>
    </customSheetView>
    <customSheetView guid="{6B5CCA07-2BDD-4B8E-9E3C-2111BBA97430}" scale="85" hiddenColumns="1">
      <pane xSplit="4" ySplit="4" topLeftCell="E26" activePane="bottomRight" state="frozen"/>
      <selection pane="bottomRight" activeCell="L28" sqref="L28"/>
      <pageMargins left="0.69930555555555596" right="0.69930555555555596" top="0.75" bottom="0.75" header="0.3" footer="0.3"/>
      <pageSetup paperSize="9" orientation="portrait" r:id="rId3"/>
    </customSheetView>
    <customSheetView guid="{2F47A827-9643-4D8A-AC5D-6B09D79AACF9}" hiddenColumns="1">
      <pane xSplit="3" ySplit="4" topLeftCell="D11" activePane="bottomRight" state="frozen"/>
      <selection pane="bottomRight" activeCell="K14" sqref="K14"/>
      <pageMargins left="0.69930555555555596" right="0.69930555555555596" top="0.75" bottom="0.75" header="0.3" footer="0.3"/>
      <pageSetup paperSize="9" orientation="portrait"/>
    </customSheetView>
    <customSheetView guid="{B37168A1-DBAB-4BDE-9F92-6261DCDF3D92}" hiddenRows="1" hiddenColumns="1">
      <selection activeCell="J16" sqref="J16"/>
      <pageMargins left="0.69930555555555596" right="0.69930555555555596" top="0.75" bottom="0.75" header="0.3" footer="0.3"/>
      <pageSetup paperSize="9" orientation="portrait"/>
    </customSheetView>
    <customSheetView guid="{AE0DD889-C13C-4059-8024-0F5B234827E9}" hiddenColumns="1">
      <pane xSplit="2" ySplit="4" topLeftCell="H11" activePane="bottomRight" state="frozen"/>
      <selection pane="bottomRight" activeCell="A19" sqref="A19:XFD19"/>
      <pageMargins left="0.69930555555555596" right="0.69930555555555596" top="0.75" bottom="0.75" header="0.3" footer="0.3"/>
      <pageSetup paperSize="9" orientation="portrait"/>
    </customSheetView>
    <customSheetView guid="{CCBBD9B0-4191-4D7A-9F7B-BAC044A49153}" hiddenRows="1" hiddenColumns="1">
      <selection activeCell="X18" sqref="X18"/>
      <pageMargins left="0.69930555555555596" right="0.69930555555555596" top="0.75" bottom="0.75" header="0.3" footer="0.3"/>
      <pageSetup paperSize="9" orientation="portrait"/>
    </customSheetView>
    <customSheetView guid="{F5F9735B-EE22-4AC6-B5AB-C856ED6C133D}" hiddenColumns="1" topLeftCell="N17">
      <selection activeCell="X31" sqref="X31"/>
      <pageMargins left="0.69930555555555596" right="0.69930555555555596" top="0.75" bottom="0.75" header="0.3" footer="0.3"/>
      <pageSetup paperSize="9" orientation="portrait"/>
    </customSheetView>
    <customSheetView guid="{45B4C0D1-53B6-4553-BFF9-393760B8E0CE}" scale="85" hiddenColumns="1">
      <pane xSplit="2" ySplit="4" topLeftCell="D5" state="frozen"/>
      <selection activeCell="L8" sqref="L8"/>
      <pageMargins left="0.69930555555555596" right="0.69930555555555596" top="0.75" bottom="0.75" header="0.3" footer="0.3"/>
      <pageSetup paperSize="9" orientation="portrait"/>
    </customSheetView>
    <customSheetView guid="{1BBD1596-143E-4714-99EF-E3545231CCD1}">
      <pane xSplit="1" ySplit="4" topLeftCell="B14" state="frozen"/>
      <selection activeCell="G18" sqref="G18"/>
      <pageMargins left="0.69930555555555596" right="0.69930555555555596" top="0.75" bottom="0.75" header="0.3" footer="0.3"/>
      <pageSetup paperSize="9" orientation="portrait"/>
    </customSheetView>
    <customSheetView guid="{A8456D60-99BA-4794-8966-0CBA0A37EA6F}" hiddenRows="1" hiddenColumns="1">
      <pane xSplit="1" ySplit="4" topLeftCell="K5" state="frozen"/>
      <selection activeCell="P11" sqref="P11"/>
      <pageMargins left="0.69930555555555596" right="0.69930555555555596" top="0.75" bottom="0.75" header="0.3" footer="0.3"/>
      <pageSetup paperSize="9" orientation="portrait"/>
    </customSheetView>
    <customSheetView guid="{500C3980-ED13-4C97-96B1-955D50509B66}" hiddenColumns="1">
      <selection activeCell="M6" sqref="M6"/>
      <pageMargins left="0.69930555555555596" right="0.69930555555555596" top="0.75" bottom="0.75" header="0.3" footer="0.3"/>
      <pageSetup paperSize="9" orientation="portrait"/>
    </customSheetView>
    <customSheetView guid="{3B943BAF-34C7-494A-A071-85DE0891E5A1}" hiddenRows="1" hiddenColumns="1">
      <selection activeCell="R22" sqref="R22"/>
      <pageMargins left="0.69930555555555596" right="0.69930555555555596" top="0.75" bottom="0.75" header="0.3" footer="0.3"/>
      <pageSetup paperSize="9" orientation="portrait"/>
    </customSheetView>
    <customSheetView guid="{EEE4B3DA-ADF6-49CC-9873-068FE5927B92}" hiddenColumns="1">
      <pane xSplit="3" ySplit="4" topLeftCell="V14" state="frozen"/>
      <selection activeCell="X20" sqref="X20"/>
      <pageMargins left="0.69930555555555596" right="0.69930555555555596" top="0.75" bottom="0.75" header="0.3" footer="0.3"/>
      <pageSetup paperSize="9" orientation="portrait"/>
    </customSheetView>
    <customSheetView guid="{C52D0F53-4D1D-4D01-B833-260359FD02A5}" scale="85" hiddenColumns="1">
      <selection activeCell="M17" sqref="M17"/>
      <pageMargins left="0.69930555555555596" right="0.69930555555555596" top="0.75" bottom="0.75" header="0.3" footer="0.3"/>
      <pageSetup paperSize="9" orientation="portrait"/>
    </customSheetView>
    <customSheetView guid="{6A1E79C9-91E3-4EEA-8ABB-4446083299EC}">
      <selection activeCell="M11" sqref="M11"/>
      <pageMargins left="0.69930555555555596" right="0.69930555555555596" top="0.75" bottom="0.75" header="0.3" footer="0.3"/>
      <pageSetup paperSize="9" orientation="portrait"/>
    </customSheetView>
    <customSheetView guid="{8B80B510-C931-46B1-8591-DEA916D76593}" scale="89" hiddenColumns="1" topLeftCell="A10">
      <selection activeCell="H18" sqref="H18"/>
      <pageMargins left="0.69930555555555596" right="0.69930555555555596" top="0.75" bottom="0.75" header="0.3" footer="0.3"/>
      <pageSetup paperSize="9" orientation="portrait"/>
    </customSheetView>
    <customSheetView guid="{303A9D89-611D-4504-BCAA-071C53B021F7}" scale="85">
      <pane xSplit="1" ySplit="4" topLeftCell="B14" activePane="bottomRight" state="frozen"/>
      <selection pane="bottomRight" activeCell="I22" sqref="I22"/>
      <pageMargins left="0.69930555555555596" right="0.69930555555555596" top="0.75" bottom="0.75" header="0.3" footer="0.3"/>
      <pageSetup paperSize="9" orientation="portrait"/>
    </customSheetView>
    <customSheetView guid="{4583A87D-5DFF-47BD-849A-FA4AAF2B9CE3}" scale="89" hiddenColumns="1">
      <selection activeCell="S16" sqref="S16"/>
      <pageMargins left="0.69930555555555596" right="0.69930555555555596" top="0.75" bottom="0.75" header="0.3" footer="0.3"/>
      <pageSetup paperSize="9" orientation="portrait"/>
    </customSheetView>
    <customSheetView guid="{EA856AC2-CDFF-46B6-B0C4-30449DF132F4}" hiddenColumns="1">
      <pane xSplit="3" ySplit="4" topLeftCell="E5" activePane="bottomRight" state="frozen"/>
      <selection pane="bottomRight" activeCell="M18" sqref="M18"/>
      <pageMargins left="0.69930555555555596" right="0.69930555555555596" top="0.75" bottom="0.75" header="0.3" footer="0.3"/>
      <pageSetup paperSize="9" orientation="portrait"/>
    </customSheetView>
    <customSheetView guid="{322A45A6-8B26-49B8-A4D9-EFB3C94A758D}" hiddenColumns="1">
      <pane xSplit="2" topLeftCell="D1" activePane="topRight" state="frozen"/>
      <selection pane="topRight" activeCell="K27" sqref="K27"/>
      <pageMargins left="0.69930555555555596" right="0.69930555555555596" top="0.75" bottom="0.75" header="0.3" footer="0.3"/>
      <pageSetup paperSize="9" orientation="portrait" r:id="rId4"/>
    </customSheetView>
  </customSheetViews>
  <mergeCells count="10">
    <mergeCell ref="P3:Q3"/>
    <mergeCell ref="R3:S3"/>
    <mergeCell ref="T3:U3"/>
    <mergeCell ref="V3:W3"/>
    <mergeCell ref="A3:A4"/>
    <mergeCell ref="B3:C3"/>
    <mergeCell ref="D3:E3"/>
    <mergeCell ref="F3:I3"/>
    <mergeCell ref="J3:M3"/>
    <mergeCell ref="N3:O3"/>
  </mergeCells>
  <phoneticPr fontId="133" type="noConversion"/>
  <pageMargins left="0.69930555555555596" right="0.69930555555555596" top="0.75" bottom="0.75" header="0.3" footer="0.3"/>
  <pageSetup paperSize="9" orientation="portrait" r:id="rId5"/>
  <legacy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"/>
  <sheetViews>
    <sheetView view="pageBreakPreview" topLeftCell="A13" zoomScaleNormal="100" zoomScaleSheetLayoutView="100" workbookViewId="0">
      <selection activeCell="I21" sqref="I21"/>
    </sheetView>
  </sheetViews>
  <sheetFormatPr defaultColWidth="9" defaultRowHeight="14.25"/>
  <cols>
    <col min="1" max="1" width="13.25" style="1335" customWidth="1"/>
    <col min="2" max="2" width="16.375" style="1336" customWidth="1"/>
    <col min="3" max="3" width="15.125" style="1336" customWidth="1"/>
    <col min="4" max="4" width="4.5" style="1336" customWidth="1"/>
    <col min="5" max="5" width="31" style="1336" customWidth="1"/>
    <col min="6" max="9" width="18.125" style="1336" customWidth="1"/>
    <col min="10" max="10" width="17.375" style="1336" customWidth="1"/>
    <col min="11" max="11" width="18.125" style="1336" customWidth="1"/>
    <col min="12" max="12" width="19.375" style="1336" customWidth="1"/>
    <col min="13" max="16384" width="9" style="1336"/>
  </cols>
  <sheetData>
    <row r="1" spans="1:26" s="1328" customFormat="1">
      <c r="A1" s="1337" t="s">
        <v>0</v>
      </c>
      <c r="B1" s="1328">
        <v>2021</v>
      </c>
      <c r="C1" s="1338">
        <f>IF(B2=1,B1-1,B1)</f>
        <v>2021</v>
      </c>
    </row>
    <row r="2" spans="1:26" s="1328" customFormat="1">
      <c r="A2" s="1337" t="s">
        <v>1</v>
      </c>
      <c r="B2" s="1328">
        <v>4</v>
      </c>
      <c r="C2" s="1338">
        <f>IF(B2=1,12,B2-1)</f>
        <v>3</v>
      </c>
    </row>
    <row r="3" spans="1:26" ht="14.25" customHeight="1"/>
    <row r="4" spans="1:26" s="1329" customFormat="1" ht="27" customHeight="1">
      <c r="A4" s="1339"/>
      <c r="B4" s="1340" t="s">
        <v>195</v>
      </c>
      <c r="C4" s="1340"/>
      <c r="D4" s="1341"/>
      <c r="E4" s="2656" t="str">
        <f>B1&amp;"年"&amp;B2&amp;"月份铁矿石关联交易价格测算表"</f>
        <v>2021年4月份铁矿石关联交易价格测算表</v>
      </c>
      <c r="F4" s="2656"/>
      <c r="G4" s="2656"/>
      <c r="H4" s="2656"/>
      <c r="I4" s="2656"/>
      <c r="J4" s="2656"/>
      <c r="K4" s="1376"/>
      <c r="L4" s="1377"/>
      <c r="M4" s="322"/>
      <c r="N4" s="322"/>
    </row>
    <row r="5" spans="1:26" ht="27" customHeight="1">
      <c r="A5" s="1342"/>
      <c r="B5" s="1343"/>
      <c r="C5" s="1344" t="s">
        <v>196</v>
      </c>
      <c r="D5" s="1343"/>
      <c r="E5" s="1343"/>
      <c r="F5" s="1343"/>
      <c r="G5" s="1343"/>
      <c r="H5" s="1343"/>
      <c r="I5" s="1343"/>
      <c r="J5" s="1344" t="s">
        <v>196</v>
      </c>
      <c r="K5" s="1344"/>
      <c r="L5" s="1343"/>
      <c r="M5" s="1377"/>
      <c r="N5" s="1377"/>
      <c r="O5" s="1378"/>
      <c r="P5" s="1378"/>
      <c r="Q5" s="1378"/>
      <c r="R5" s="1378"/>
      <c r="S5" s="1378"/>
      <c r="T5" s="1378"/>
      <c r="U5" s="1378"/>
      <c r="V5" s="1378"/>
      <c r="W5" s="1378"/>
      <c r="X5" s="1378"/>
      <c r="Y5" s="1378"/>
      <c r="Z5" s="1378"/>
    </row>
    <row r="6" spans="1:26" ht="27" customHeight="1">
      <c r="A6" s="1342"/>
      <c r="B6" s="1345" t="s">
        <v>1</v>
      </c>
      <c r="C6" s="1346" t="s">
        <v>197</v>
      </c>
      <c r="D6" s="1343"/>
      <c r="E6" s="1347"/>
      <c r="F6" s="1348" t="s">
        <v>198</v>
      </c>
      <c r="G6" s="1348" t="s">
        <v>199</v>
      </c>
      <c r="H6" s="1348" t="s">
        <v>200</v>
      </c>
      <c r="I6" s="1348" t="s">
        <v>201</v>
      </c>
      <c r="J6" s="1379" t="s">
        <v>202</v>
      </c>
      <c r="K6" s="1380"/>
      <c r="L6" s="1343"/>
      <c r="M6" s="1377"/>
      <c r="N6" s="1377"/>
      <c r="O6" s="1378"/>
      <c r="P6" s="1378"/>
      <c r="Q6" s="1378"/>
      <c r="R6" s="1378"/>
      <c r="S6" s="1378"/>
      <c r="T6" s="1378"/>
      <c r="U6" s="1378"/>
      <c r="V6" s="1378"/>
      <c r="W6" s="1378"/>
      <c r="X6" s="1378"/>
      <c r="Y6" s="1378"/>
      <c r="Z6" s="1378"/>
    </row>
    <row r="7" spans="1:26" ht="27" customHeight="1">
      <c r="A7" s="1342">
        <v>1</v>
      </c>
      <c r="B7" s="1349" t="str">
        <f t="shared" ref="B7:B12" si="0">IF($B$2-$A7&lt;=0,$B$1-1,$B$1)&amp;"年"&amp;IF($B$2-$A7&lt;=0,($B$2-$A7)+12,$B$2-$A7)&amp;"月"</f>
        <v>2021年3月</v>
      </c>
      <c r="C7" s="1350">
        <f>SUMIFS('#采购&amp;股份关联'!37:37,'#采购&amp;股份关联'!$1:$1,$B$1,'#采购&amp;股份关联'!$2:$2,$B$2)</f>
        <v>1001.7699115044248</v>
      </c>
      <c r="D7" s="1"/>
      <c r="E7" s="1351" t="s">
        <v>203</v>
      </c>
      <c r="F7" s="1352">
        <f>AVERAGE(C7:C12)</f>
        <v>908.25958702064906</v>
      </c>
      <c r="G7" s="1352">
        <f>F7</f>
        <v>908.25958702064906</v>
      </c>
      <c r="H7" s="1352">
        <f>F7</f>
        <v>908.25958702064906</v>
      </c>
      <c r="I7" s="1352">
        <f>F7</f>
        <v>908.25958702064906</v>
      </c>
      <c r="J7" s="1381">
        <f>I7</f>
        <v>908.25958702064906</v>
      </c>
      <c r="K7" s="1382"/>
      <c r="L7" s="1"/>
      <c r="M7" s="322"/>
      <c r="N7" s="322"/>
      <c r="O7" s="1378"/>
      <c r="P7" s="1378"/>
      <c r="Q7" s="1378"/>
      <c r="R7" s="1378"/>
      <c r="S7" s="1378"/>
      <c r="T7" s="1378"/>
      <c r="U7" s="1378"/>
      <c r="V7" s="1378"/>
      <c r="W7" s="1378"/>
      <c r="X7" s="1378"/>
      <c r="Y7" s="1378"/>
      <c r="Z7" s="1378"/>
    </row>
    <row r="8" spans="1:26" ht="27" customHeight="1">
      <c r="A8" s="1342">
        <v>2</v>
      </c>
      <c r="B8" s="1349" t="str">
        <f t="shared" si="0"/>
        <v>2021年2月</v>
      </c>
      <c r="C8" s="1350">
        <f>SUMIFS('#采购&amp;股份关联'!38:38,'#采购&amp;股份关联'!$1:$1,$B$1,'#采购&amp;股份关联'!$2:$2,$B$2)</f>
        <v>994.69026548672571</v>
      </c>
      <c r="D8" s="1"/>
      <c r="E8" s="1353" t="s">
        <v>204</v>
      </c>
      <c r="F8" s="1352">
        <f>SUMIFS('#采购&amp;股份关联'!46:46,'#采购&amp;股份关联'!$1:$1,$B$1,'#采购&amp;股份关联'!$2:$2,$B$2)</f>
        <v>61.5</v>
      </c>
      <c r="G8" s="1352">
        <f>F8</f>
        <v>61.5</v>
      </c>
      <c r="H8" s="1352">
        <f>F8</f>
        <v>61.5</v>
      </c>
      <c r="I8" s="1352">
        <f>F8</f>
        <v>61.5</v>
      </c>
      <c r="J8" s="1381">
        <f>I8</f>
        <v>61.5</v>
      </c>
      <c r="K8" s="1383"/>
      <c r="L8" s="1"/>
      <c r="M8" s="322"/>
      <c r="N8" s="322"/>
      <c r="O8" s="1378"/>
      <c r="P8" s="1378"/>
      <c r="Q8" s="1378"/>
      <c r="R8" s="1378"/>
      <c r="S8" s="1378"/>
      <c r="T8" s="1378"/>
      <c r="U8" s="1378"/>
      <c r="V8" s="1378"/>
      <c r="W8" s="1378"/>
      <c r="X8" s="1378"/>
      <c r="Y8" s="1378"/>
      <c r="Z8" s="1378"/>
    </row>
    <row r="9" spans="1:26" ht="27" customHeight="1">
      <c r="A9" s="1342">
        <v>3</v>
      </c>
      <c r="B9" s="1349" t="str">
        <f t="shared" si="0"/>
        <v>2021年1月</v>
      </c>
      <c r="C9" s="1350">
        <f>SUMIFS('#采购&amp;股份关联'!39:39,'#采购&amp;股份关联'!$1:$1,$B$1,'#采购&amp;股份关联'!$2:$2,$B$2)</f>
        <v>1000.0000000000001</v>
      </c>
      <c r="D9" s="1"/>
      <c r="E9" s="1353" t="s">
        <v>205</v>
      </c>
      <c r="F9" s="1352">
        <f>SUMIFS('#采购&amp;股份关联'!47:47,'#采购&amp;股份关联'!$1:$1,$B$1,'#采购&amp;股份关联'!$2:$2,$B$2)</f>
        <v>68</v>
      </c>
      <c r="G9" s="2174">
        <f>SUMIFS('#采购&amp;股份关联'!48:48,'#采购&amp;股份关联'!$1:$1,$B$1,'#采购&amp;股份关联'!$2:$2,$B$2)</f>
        <v>66</v>
      </c>
      <c r="H9" s="2174">
        <f>SUMIFS('#采购&amp;股份关联'!49:49,'#采购&amp;股份关联'!$1:$1,$B$1,'#采购&amp;股份关联'!$2:$2,$B$2)</f>
        <v>65</v>
      </c>
      <c r="I9" s="2174">
        <f>SUMIFS('#采购&amp;股份关联'!50:50,'#采购&amp;股份关联'!$1:$1,$B$1,'#采购&amp;股份关联'!$2:$2,$B$2)</f>
        <v>64</v>
      </c>
      <c r="J9" s="2175">
        <f>SUMIFS('#采购&amp;股份关联'!51:51,'#采购&amp;股份关联'!$1:$1,$B$1,'#采购&amp;股份关联'!$2:$2,$B$2)</f>
        <v>63</v>
      </c>
      <c r="K9" s="1384"/>
      <c r="L9" s="9" t="s">
        <v>206</v>
      </c>
      <c r="M9" s="322"/>
      <c r="N9" s="322"/>
      <c r="O9" s="1378"/>
      <c r="P9" s="1378"/>
      <c r="Q9" s="1378"/>
      <c r="R9" s="1378"/>
      <c r="S9" s="1378"/>
      <c r="T9" s="1378"/>
      <c r="U9" s="1378"/>
      <c r="V9" s="1378"/>
      <c r="W9" s="1378"/>
      <c r="X9" s="1378"/>
      <c r="Y9" s="1378"/>
      <c r="Z9" s="1378"/>
    </row>
    <row r="10" spans="1:26" ht="27" customHeight="1">
      <c r="A10" s="1342">
        <v>4</v>
      </c>
      <c r="B10" s="1349" t="str">
        <f t="shared" si="0"/>
        <v>2020年12月</v>
      </c>
      <c r="C10" s="1350">
        <f>SUMIFS('#采购&amp;股份关联'!40:40,'#采购&amp;股份关联'!$1:$1,$B$1,'#采购&amp;股份关联'!$2:$2,$B$2)</f>
        <v>904.42477876106204</v>
      </c>
      <c r="D10" s="1"/>
      <c r="E10" s="1353" t="s">
        <v>207</v>
      </c>
      <c r="F10" s="2176">
        <v>0.3</v>
      </c>
      <c r="G10" s="1352">
        <f>F10</f>
        <v>0.3</v>
      </c>
      <c r="H10" s="1352">
        <f>G10</f>
        <v>0.3</v>
      </c>
      <c r="I10" s="1352">
        <f>F10</f>
        <v>0.3</v>
      </c>
      <c r="J10" s="1381">
        <f>I10</f>
        <v>0.3</v>
      </c>
      <c r="K10" s="557"/>
      <c r="L10" s="1"/>
      <c r="M10" s="322"/>
      <c r="N10" s="322"/>
      <c r="O10" s="1378"/>
      <c r="P10" s="1378"/>
      <c r="Q10" s="1378"/>
      <c r="R10" s="1378"/>
      <c r="S10" s="1378"/>
      <c r="T10" s="1378"/>
      <c r="U10" s="1378"/>
      <c r="V10" s="1378"/>
      <c r="W10" s="1378"/>
      <c r="X10" s="1378"/>
      <c r="Y10" s="1378"/>
      <c r="Z10" s="1378"/>
    </row>
    <row r="11" spans="1:26" ht="27" customHeight="1">
      <c r="A11" s="1342">
        <v>5</v>
      </c>
      <c r="B11" s="1349" t="str">
        <f t="shared" si="0"/>
        <v>2020年11月</v>
      </c>
      <c r="C11" s="1350">
        <f>SUMIFS('#采购&amp;股份关联'!41:41,'#采购&amp;股份关联'!$1:$1,$B$1,'#采购&amp;股份关联'!$2:$2,$B$2)</f>
        <v>771.68141592920358</v>
      </c>
      <c r="D11" s="1"/>
      <c r="E11" s="1353" t="s">
        <v>208</v>
      </c>
      <c r="F11" s="1352">
        <f>SUMIFS('#采购&amp;股份关联'!54:54,'#采购&amp;股份关联'!$1:$1,$B$1,'#采购&amp;股份关联'!$2:$2,$B$2)</f>
        <v>145.25691699604741</v>
      </c>
      <c r="G11" s="1352">
        <f>147/1.1/0.92</f>
        <v>145.25691699604741</v>
      </c>
      <c r="H11" s="1352">
        <f>147/1.1/0.92</f>
        <v>145.25691699604741</v>
      </c>
      <c r="I11" s="1352">
        <f>147/1.1/0.92</f>
        <v>145.25691699604741</v>
      </c>
      <c r="J11" s="1381">
        <f>147/1.1/0.92</f>
        <v>145.25691699604741</v>
      </c>
      <c r="K11" s="558"/>
      <c r="L11" s="1"/>
      <c r="M11" s="1"/>
      <c r="N11" s="1"/>
      <c r="O11" s="1378"/>
      <c r="P11" s="1378"/>
      <c r="Q11" s="1378"/>
      <c r="R11" s="1378"/>
      <c r="S11" s="1378"/>
    </row>
    <row r="12" spans="1:26" ht="27" customHeight="1">
      <c r="A12" s="1342">
        <v>6</v>
      </c>
      <c r="B12" s="1354" t="str">
        <f t="shared" si="0"/>
        <v>2020年10月</v>
      </c>
      <c r="C12" s="1355">
        <f>SUMIFS('#采购&amp;股份关联'!42:42,'#采购&amp;股份关联'!$1:$1,$B$1,'#采购&amp;股份关联'!$2:$2,$B$2)</f>
        <v>776.99115044247799</v>
      </c>
      <c r="D12" s="1"/>
      <c r="E12" s="1353" t="s">
        <v>209</v>
      </c>
      <c r="F12" s="1352"/>
      <c r="G12" s="1352"/>
      <c r="H12" s="1352"/>
      <c r="I12" s="1352">
        <f>SUMIFS('#采购&amp;股份关联'!55:55,'#采购&amp;股份关联'!$1:$1,$B$1,'#采购&amp;股份关联'!$2:$2,$B$2)</f>
        <v>100</v>
      </c>
      <c r="J12" s="1381">
        <f>I12</f>
        <v>100</v>
      </c>
      <c r="K12" s="5"/>
      <c r="L12" s="1"/>
      <c r="M12" s="1"/>
      <c r="N12" s="1"/>
    </row>
    <row r="13" spans="1:26" ht="27" customHeight="1">
      <c r="A13" s="1342"/>
      <c r="B13" s="1"/>
      <c r="C13" s="1"/>
      <c r="D13" s="1"/>
      <c r="E13" s="1353" t="s">
        <v>210</v>
      </c>
      <c r="F13" s="1352">
        <f>SUMIFS('#采购&amp;股份关联'!56:56,'#采购&amp;股份关联'!$1:$1,$B$1,'#采购&amp;股份关联'!$2:$2,$B$2)</f>
        <v>10</v>
      </c>
      <c r="G13" s="1352"/>
      <c r="H13" s="1352"/>
      <c r="I13" s="1352"/>
      <c r="J13" s="1381"/>
      <c r="K13" s="5"/>
      <c r="L13" s="1"/>
      <c r="M13" s="1"/>
      <c r="N13" s="1"/>
    </row>
    <row r="14" spans="1:26" ht="27" customHeight="1">
      <c r="A14" s="1342"/>
      <c r="B14" s="1343"/>
      <c r="C14" s="1343"/>
      <c r="D14" s="1343"/>
      <c r="E14" s="1356" t="s">
        <v>211</v>
      </c>
      <c r="F14" s="1357">
        <f>(F7/0.92/F8*F9)*(1-F10)+F11+F12+F13-6</f>
        <v>913.36360384975706</v>
      </c>
      <c r="G14" s="1357">
        <f>(G7/0.92/G8*G9)*(1-G10)+G11+G12+G13-6</f>
        <v>880.88987776582439</v>
      </c>
      <c r="H14" s="1357">
        <f>(H7/0.92/H8*H9)*(1-H10)+H11+H12+H13-6</f>
        <v>869.65301472385818</v>
      </c>
      <c r="I14" s="1357">
        <f>(I7/0.92/I8*I9)*(1-I10)+I11+I12+I13-6</f>
        <v>958.41615168189173</v>
      </c>
      <c r="J14" s="1385">
        <f>(J7/0.92/J8*J9)*(1-J10)+J11+J12+J13-6</f>
        <v>947.1792886399254</v>
      </c>
      <c r="K14" s="1386"/>
      <c r="L14" s="1343"/>
      <c r="M14" s="1387"/>
      <c r="N14" s="1343"/>
      <c r="O14" s="1388"/>
      <c r="P14" s="1388"/>
      <c r="Q14" s="1388"/>
      <c r="R14" s="1388"/>
      <c r="S14" s="1388"/>
    </row>
    <row r="15" spans="1:26" s="1330" customFormat="1" ht="27" customHeight="1">
      <c r="B15" s="1343"/>
      <c r="C15" s="1343"/>
      <c r="D15" s="1343"/>
      <c r="E15" s="1356" t="s">
        <v>212</v>
      </c>
      <c r="F15" s="2172"/>
      <c r="G15" s="2172"/>
      <c r="H15" s="2172"/>
      <c r="I15" s="2172"/>
      <c r="J15" s="2173"/>
      <c r="K15" s="1386"/>
      <c r="L15" s="1343"/>
      <c r="M15" s="1387"/>
      <c r="N15" s="1343"/>
    </row>
    <row r="16" spans="1:26" s="1331" customFormat="1" ht="27" customHeight="1">
      <c r="A16" s="1358"/>
      <c r="B16" s="1343"/>
      <c r="C16" s="1343"/>
      <c r="D16" s="1343"/>
      <c r="E16" s="1359" t="s">
        <v>213</v>
      </c>
      <c r="F16" s="1360">
        <f>F14+F15</f>
        <v>913.36360384975706</v>
      </c>
      <c r="G16" s="1360">
        <f>G14+G15</f>
        <v>880.88987776582439</v>
      </c>
      <c r="H16" s="1360">
        <f>H14+H15</f>
        <v>869.65301472385818</v>
      </c>
      <c r="I16" s="1360">
        <f>I14+I15</f>
        <v>958.41615168189173</v>
      </c>
      <c r="J16" s="1389">
        <f>J14+J15</f>
        <v>947.1792886399254</v>
      </c>
      <c r="K16" s="1373"/>
      <c r="L16" s="1343"/>
      <c r="M16" s="1387"/>
      <c r="N16" s="1343"/>
      <c r="O16" s="1390"/>
      <c r="P16" s="1390"/>
      <c r="Q16" s="1390"/>
      <c r="R16" s="1390"/>
      <c r="S16" s="1390"/>
    </row>
    <row r="17" spans="1:19" s="1331" customFormat="1" ht="27" customHeight="1">
      <c r="A17" s="1358"/>
      <c r="B17" s="1343"/>
      <c r="C17" s="1343"/>
      <c r="D17" s="1343"/>
      <c r="E17" s="1340"/>
      <c r="F17" s="1361">
        <f>$H$17/$H$9*F9</f>
        <v>1202.0307692307692</v>
      </c>
      <c r="G17" s="1361">
        <f>$H$17/$H$9*G9</f>
        <v>1166.6769230769232</v>
      </c>
      <c r="H17" s="1361">
        <v>1149</v>
      </c>
      <c r="I17" s="1361">
        <f>$H$17/$H$9*I9+100</f>
        <v>1231.323076923077</v>
      </c>
      <c r="J17" s="1361">
        <f>$H$17/$H$9*J9+100</f>
        <v>1213.646153846154</v>
      </c>
      <c r="K17" s="1361">
        <f>H17/0.93</f>
        <v>1235.483870967742</v>
      </c>
      <c r="L17" s="1343"/>
      <c r="M17" s="1387"/>
      <c r="N17" s="1343"/>
      <c r="O17" s="1390"/>
      <c r="P17" s="1390"/>
      <c r="Q17" s="1390"/>
      <c r="R17" s="1390"/>
      <c r="S17" s="1390"/>
    </row>
    <row r="18" spans="1:19" s="1331" customFormat="1" ht="27" customHeight="1">
      <c r="A18" s="1358"/>
      <c r="B18" s="1343"/>
      <c r="C18" s="1343"/>
      <c r="D18" s="1343"/>
      <c r="E18" s="1345" t="s">
        <v>3</v>
      </c>
      <c r="F18" s="1362" t="s">
        <v>198</v>
      </c>
      <c r="G18" s="1362" t="s">
        <v>199</v>
      </c>
      <c r="H18" s="1362" t="s">
        <v>200</v>
      </c>
      <c r="I18" s="1362" t="s">
        <v>201</v>
      </c>
      <c r="J18" s="1362" t="s">
        <v>202</v>
      </c>
      <c r="K18" s="1346" t="s">
        <v>187</v>
      </c>
      <c r="L18" s="1343"/>
      <c r="M18" s="1387"/>
      <c r="N18" s="1343"/>
      <c r="O18" s="1390"/>
      <c r="P18" s="1390"/>
      <c r="Q18" s="1390"/>
      <c r="R18" s="1390"/>
      <c r="S18" s="1390"/>
    </row>
    <row r="19" spans="1:19" s="1331" customFormat="1" ht="27" customHeight="1">
      <c r="A19" s="1358"/>
      <c r="B19" s="1343"/>
      <c r="C19" s="1343"/>
      <c r="D19" s="1343"/>
      <c r="E19" s="1363" t="s">
        <v>214</v>
      </c>
      <c r="F19" s="327">
        <f>SUMIFS('#采购&amp;股份关联'!59:59,'#采购&amp;股份关联'!$1:$1,$C$1,'#采购&amp;股份关联'!$2:$2,$C$2)</f>
        <v>1141</v>
      </c>
      <c r="G19" s="327">
        <f>SUMIFS('#采购&amp;股份关联'!60:60,'#采购&amp;股份关联'!$1:$1,$C$1,'#采购&amp;股份关联'!$2:$2,$C$2)</f>
        <v>0</v>
      </c>
      <c r="H19" s="327">
        <f>SUMIFS('#采购&amp;股份关联'!61:61,'#采购&amp;股份关联'!$1:$1,$C$1,'#采购&amp;股份关联'!$2:$2,$C$2)</f>
        <v>1035</v>
      </c>
      <c r="I19" s="327">
        <f>SUMIFS('#采购&amp;股份关联'!62:62,'#采购&amp;股份关联'!$1:$1,$C$1,'#采购&amp;股份关联'!$2:$2,$C$2)</f>
        <v>1124</v>
      </c>
      <c r="J19" s="327">
        <f>SUMIFS('#采购&amp;股份关联'!63:63,'#采购&amp;股份关联'!$1:$1,$C$1,'#采购&amp;股份关联'!$2:$2,$C$2)</f>
        <v>1113</v>
      </c>
      <c r="K19" s="1350"/>
      <c r="L19" s="1343"/>
      <c r="N19" s="1343"/>
      <c r="O19" s="1390"/>
      <c r="P19" s="1390"/>
      <c r="Q19" s="1390"/>
      <c r="R19" s="1390"/>
      <c r="S19" s="1390"/>
    </row>
    <row r="20" spans="1:19" s="1331" customFormat="1" ht="27" customHeight="1">
      <c r="A20" s="1330"/>
      <c r="B20" s="1343"/>
      <c r="C20" s="1343"/>
      <c r="D20" s="1343"/>
      <c r="E20" s="1363" t="s">
        <v>215</v>
      </c>
      <c r="F20" s="1364">
        <v>26.3</v>
      </c>
      <c r="G20" s="1364">
        <v>0</v>
      </c>
      <c r="H20" s="1364">
        <v>26.45</v>
      </c>
      <c r="I20" s="1364">
        <v>17.8</v>
      </c>
      <c r="J20" s="1364">
        <v>19</v>
      </c>
      <c r="K20" s="1651">
        <f>SUM(F20:J20)</f>
        <v>89.55</v>
      </c>
      <c r="M20" s="1387"/>
      <c r="N20" s="1343"/>
    </row>
    <row r="21" spans="1:19" s="1332" customFormat="1" ht="27" customHeight="1">
      <c r="A21" s="1365"/>
      <c r="B21" s="1"/>
      <c r="C21" s="1"/>
      <c r="D21" s="1"/>
      <c r="E21" s="1363" t="s">
        <v>216</v>
      </c>
      <c r="F21" s="1366">
        <f>F16-F19</f>
        <v>-227.63639615024294</v>
      </c>
      <c r="G21" s="1366">
        <f>G16-G19</f>
        <v>880.88987776582439</v>
      </c>
      <c r="H21" s="1366">
        <f>H16-H19</f>
        <v>-165.34698527614182</v>
      </c>
      <c r="I21" s="1366">
        <f>I16-I19</f>
        <v>-165.58384831810827</v>
      </c>
      <c r="J21" s="1366">
        <f>J16-J19</f>
        <v>-165.8207113600746</v>
      </c>
      <c r="K21" s="1391"/>
      <c r="L21" s="1"/>
      <c r="M21" s="1"/>
      <c r="N21" s="1"/>
    </row>
    <row r="22" spans="1:19" s="1333" customFormat="1" ht="27" customHeight="1">
      <c r="A22" s="1367"/>
      <c r="B22" s="1"/>
      <c r="C22" s="1"/>
      <c r="D22" s="1"/>
      <c r="E22" s="1368" t="s">
        <v>59</v>
      </c>
      <c r="F22" s="1369">
        <f>F21*F20</f>
        <v>-5986.8372187513896</v>
      </c>
      <c r="G22" s="1369">
        <f>G21*G20</f>
        <v>0</v>
      </c>
      <c r="H22" s="1369">
        <f>H21*H20</f>
        <v>-4373.427760553951</v>
      </c>
      <c r="I22" s="1369">
        <f>I21*I20</f>
        <v>-2947.3925000623271</v>
      </c>
      <c r="J22" s="1369">
        <f>J21*J20</f>
        <v>-3150.5935158414172</v>
      </c>
      <c r="K22" s="1392">
        <f>SUM(F22:J22)</f>
        <v>-16458.250995209084</v>
      </c>
      <c r="L22" s="1393"/>
      <c r="M22" s="1"/>
      <c r="N22" s="1"/>
      <c r="O22" s="569"/>
      <c r="P22" s="569"/>
      <c r="Q22" s="569"/>
      <c r="R22" s="569"/>
      <c r="S22" s="569"/>
    </row>
    <row r="23" spans="1:19" s="1333" customFormat="1">
      <c r="A23" s="1367"/>
      <c r="B23" s="322"/>
      <c r="C23" s="322"/>
      <c r="D23" s="322"/>
      <c r="E23" s="322"/>
      <c r="F23" s="331">
        <f>F9</f>
        <v>68</v>
      </c>
      <c r="G23" s="322">
        <v>66</v>
      </c>
      <c r="H23" s="322">
        <v>65</v>
      </c>
      <c r="I23" s="322">
        <v>64</v>
      </c>
      <c r="J23" s="331">
        <v>63</v>
      </c>
      <c r="K23" s="331"/>
      <c r="L23" s="1"/>
      <c r="M23" s="1"/>
      <c r="N23" s="1"/>
    </row>
    <row r="24" spans="1:19" s="1334" customFormat="1">
      <c r="A24" s="1370"/>
      <c r="B24" s="322"/>
      <c r="C24" s="322"/>
      <c r="D24" s="322"/>
      <c r="E24" s="322"/>
      <c r="F24" s="728">
        <f>F16/F23*0.1</f>
        <v>1.3431817703672899</v>
      </c>
      <c r="G24" s="728">
        <f>G16/G23*0.1</f>
        <v>1.3346816329785218</v>
      </c>
      <c r="H24" s="728">
        <f>H16/H23*0.1</f>
        <v>1.3379277149597819</v>
      </c>
      <c r="I24" s="728">
        <f>I16/I23*0.1</f>
        <v>1.4975252370029559</v>
      </c>
      <c r="J24" s="728">
        <f>J16/J23*0.1</f>
        <v>1.503459188317342</v>
      </c>
      <c r="K24" s="331"/>
      <c r="L24" s="1"/>
      <c r="M24" s="1"/>
      <c r="N24" s="1"/>
    </row>
    <row r="25" spans="1:19">
      <c r="A25" s="1342"/>
      <c r="B25" s="322"/>
      <c r="C25" s="322"/>
      <c r="D25" s="322"/>
      <c r="E25" s="1657">
        <v>0.3</v>
      </c>
      <c r="F25" s="1653">
        <v>741.63192885697799</v>
      </c>
      <c r="G25" s="1653">
        <v>714.20913439048002</v>
      </c>
      <c r="H25" s="1653">
        <v>705.49773715723109</v>
      </c>
      <c r="I25" s="1653">
        <v>814.20913439048002</v>
      </c>
      <c r="J25" s="1653">
        <v>788.07494269073311</v>
      </c>
      <c r="K25" s="728"/>
      <c r="L25" s="1"/>
      <c r="M25" s="1"/>
      <c r="N25" s="1"/>
    </row>
    <row r="26" spans="1:19">
      <c r="A26" s="1365"/>
      <c r="B26" s="322"/>
      <c r="C26" s="322"/>
      <c r="D26" s="322"/>
      <c r="E26" s="1657">
        <v>0.25</v>
      </c>
      <c r="F26" s="1655">
        <v>783.94442970418743</v>
      </c>
      <c r="G26" s="1655">
        <v>755.27714991865389</v>
      </c>
      <c r="H26" s="1655">
        <v>745.94351002588712</v>
      </c>
      <c r="I26" s="1655">
        <v>855.27714991865389</v>
      </c>
      <c r="J26" s="1655">
        <v>827.27623024035358</v>
      </c>
      <c r="K26" s="1371"/>
      <c r="L26" s="1"/>
      <c r="M26" s="1"/>
      <c r="N26" s="1"/>
      <c r="O26" s="1394"/>
      <c r="P26" s="1394"/>
      <c r="Q26" s="1394"/>
      <c r="R26" s="1394"/>
      <c r="S26" s="1394"/>
    </row>
    <row r="27" spans="1:19">
      <c r="A27" s="1365"/>
      <c r="B27" s="322"/>
      <c r="C27" s="322"/>
      <c r="D27" s="322"/>
      <c r="E27" s="1"/>
      <c r="F27" s="1654">
        <f>F25-F26</f>
        <v>-42.312500847209435</v>
      </c>
      <c r="G27" s="1654">
        <f>G25-G26</f>
        <v>-41.068015528173873</v>
      </c>
      <c r="H27" s="1654">
        <f>H25-H26</f>
        <v>-40.445772868656036</v>
      </c>
      <c r="I27" s="1654">
        <f>I25-I26</f>
        <v>-41.068015528173873</v>
      </c>
      <c r="J27" s="1654">
        <f>J25-J26</f>
        <v>-39.201287549620474</v>
      </c>
      <c r="L27" s="1"/>
      <c r="M27" s="1"/>
      <c r="N27" s="1"/>
      <c r="O27" s="1394"/>
      <c r="P27" s="1394"/>
      <c r="Q27" s="1394"/>
      <c r="R27" s="1394"/>
      <c r="S27" s="1394"/>
    </row>
    <row r="28" spans="1:19">
      <c r="A28" s="1365"/>
      <c r="E28" s="322"/>
      <c r="F28" s="1394">
        <f>F27*F20</f>
        <v>-1112.8187722816081</v>
      </c>
      <c r="G28" s="1394">
        <f>G27*G20</f>
        <v>0</v>
      </c>
      <c r="H28" s="1394">
        <f>H27*H20</f>
        <v>-1069.7906923759522</v>
      </c>
      <c r="I28" s="1394">
        <f>I27*I20</f>
        <v>-731.01067640149495</v>
      </c>
      <c r="J28" s="1394">
        <f>J27*J20</f>
        <v>-744.82446344278901</v>
      </c>
      <c r="K28" s="1656">
        <f>SUM(F28:J28)</f>
        <v>-3658.444604501844</v>
      </c>
      <c r="L28" s="1"/>
      <c r="M28" s="1"/>
      <c r="N28" s="1"/>
      <c r="O28" s="1394"/>
      <c r="P28" s="1394"/>
      <c r="Q28" s="1394"/>
      <c r="R28" s="1394"/>
      <c r="S28" s="1394"/>
    </row>
    <row r="29" spans="1:19">
      <c r="A29" s="1365"/>
      <c r="B29" s="9" t="s">
        <v>217</v>
      </c>
      <c r="C29" s="542" t="str">
        <f>ROUND(F36,0)&amp;"元/吨"</f>
        <v>1355元/吨</v>
      </c>
      <c r="D29" s="1372" t="str">
        <f>"品位68%，每增减0.1%，价格不含税加减"&amp;ROUND(F37,2)&amp;"元/吨"</f>
        <v>品位68%，每增减0.1%，价格不含税加减1.99元/吨</v>
      </c>
      <c r="E29" s="322"/>
      <c r="F29" s="322"/>
      <c r="G29" s="1"/>
      <c r="H29" s="1"/>
      <c r="I29" s="1"/>
      <c r="J29" s="1"/>
      <c r="K29" s="1"/>
      <c r="L29" s="1"/>
      <c r="M29" s="1"/>
      <c r="N29" s="1"/>
      <c r="O29" s="1394"/>
      <c r="P29" s="1394"/>
      <c r="Q29" s="1394"/>
      <c r="R29" s="1394"/>
      <c r="S29" s="1394"/>
    </row>
    <row r="30" spans="1:19">
      <c r="A30" s="1365"/>
      <c r="B30" s="9" t="s">
        <v>218</v>
      </c>
      <c r="C30" s="542" t="str">
        <f>ROUND(G16,0)&amp;"元/吨"</f>
        <v>881元/吨</v>
      </c>
      <c r="D30" s="1372" t="str">
        <f>"品位66%，每增减0.1%，价格不含税加减"&amp;ROUND(G24,2)&amp;"元/吨"</f>
        <v>品位66%，每增减0.1%，价格不含税加减1.33元/吨</v>
      </c>
      <c r="E30" s="322"/>
      <c r="F30" s="322"/>
      <c r="G30" s="1"/>
      <c r="H30" s="1"/>
      <c r="I30" s="1"/>
      <c r="J30" s="1"/>
      <c r="K30" s="1"/>
      <c r="L30" s="1"/>
      <c r="M30" s="1"/>
      <c r="N30" s="1"/>
      <c r="O30" s="1394"/>
      <c r="P30" s="1394"/>
      <c r="Q30" s="1394"/>
      <c r="R30" s="1394"/>
      <c r="S30" s="1394"/>
    </row>
    <row r="31" spans="1:19">
      <c r="A31" s="1365"/>
      <c r="B31" s="9" t="s">
        <v>219</v>
      </c>
      <c r="C31" s="542" t="str">
        <f>ROUND(H36,0)&amp;"元/吨"</f>
        <v>1295元/吨</v>
      </c>
      <c r="D31" s="1372" t="str">
        <f>"品位65%，每增减0.1%，价格不含税加减"&amp;ROUND(H37,2)&amp;"元/吨"</f>
        <v>品位65%，每增减0.1%，价格不含税加减1.99元/吨</v>
      </c>
      <c r="E31" s="322"/>
      <c r="F31" s="322"/>
      <c r="G31" s="1"/>
      <c r="H31" s="2243"/>
      <c r="I31" s="1"/>
      <c r="J31" s="1"/>
      <c r="K31" s="1"/>
      <c r="L31" s="1"/>
      <c r="M31" s="1"/>
      <c r="N31" s="1"/>
    </row>
    <row r="32" spans="1:19">
      <c r="A32" s="1365"/>
      <c r="B32" s="9" t="s">
        <v>220</v>
      </c>
      <c r="C32" s="542" t="str">
        <f>ROUND(I36,0)&amp;"元/吨"</f>
        <v>1375元/吨</v>
      </c>
      <c r="D32" s="1372" t="str">
        <f>"品位64%，每增减0.1%，价格不含税加减"&amp;ROUND(I37,2)&amp;"元/吨"</f>
        <v>品位64%，每增减0.1%，价格不含税加减2.15元/吨</v>
      </c>
      <c r="E32" s="322"/>
      <c r="F32" s="322"/>
      <c r="G32" s="1"/>
      <c r="H32" s="1"/>
      <c r="I32" s="1"/>
      <c r="J32" s="1"/>
      <c r="K32" s="1"/>
      <c r="L32" s="1"/>
      <c r="M32" s="1"/>
      <c r="N32" s="1"/>
    </row>
    <row r="33" spans="1:14">
      <c r="A33" s="1365"/>
      <c r="B33" s="9" t="s">
        <v>221</v>
      </c>
      <c r="C33" s="542" t="str">
        <f>ROUND(J36,0)&amp;"元/吨"</f>
        <v>1355元/吨</v>
      </c>
      <c r="D33" s="1372" t="str">
        <f>"品位63%，每增减0.1%，价格不含税加减"&amp;ROUND(J37,2)&amp;"元/吨"</f>
        <v>品位63%，每增减0.1%，价格不含税加减2.15元/吨</v>
      </c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>
      <c r="B35" s="1"/>
      <c r="C35" s="1"/>
      <c r="D35"/>
      <c r="E35"/>
      <c r="F35" s="2248">
        <f>F17</f>
        <v>1202.0307692307692</v>
      </c>
      <c r="G35" s="2248">
        <f t="shared" ref="G35:J35" si="1">G17</f>
        <v>1166.6769230769232</v>
      </c>
      <c r="H35" s="2248">
        <f t="shared" si="1"/>
        <v>1149</v>
      </c>
      <c r="I35" s="2248">
        <f t="shared" si="1"/>
        <v>1231.323076923077</v>
      </c>
      <c r="J35" s="2248">
        <f t="shared" si="1"/>
        <v>1213.646153846154</v>
      </c>
      <c r="K35"/>
      <c r="L35" s="1375"/>
      <c r="M35" s="1"/>
      <c r="N35" s="1"/>
    </row>
    <row r="36" spans="1:14" s="1335" customFormat="1">
      <c r="B36" s="322"/>
      <c r="C36" s="322"/>
      <c r="D36"/>
      <c r="E36"/>
      <c r="F36" s="1481">
        <v>1355</v>
      </c>
      <c r="G36" s="1481"/>
      <c r="H36" s="1481">
        <v>1295</v>
      </c>
      <c r="I36" s="1481">
        <v>1375</v>
      </c>
      <c r="J36" s="1481">
        <v>1355</v>
      </c>
      <c r="K36"/>
      <c r="L36" s="5"/>
      <c r="M36" s="322"/>
      <c r="N36" s="322"/>
    </row>
    <row r="37" spans="1:14">
      <c r="B37" s="1"/>
      <c r="C37" s="1"/>
      <c r="D37"/>
      <c r="E37"/>
      <c r="F37" s="184">
        <f>F36/F9*0.1</f>
        <v>1.9926470588235294</v>
      </c>
      <c r="G37" s="184"/>
      <c r="H37" s="184">
        <f>H36/H9*0.1</f>
        <v>1.9923076923076923</v>
      </c>
      <c r="I37" s="184">
        <f>I36/I9*0.1</f>
        <v>2.1484375</v>
      </c>
      <c r="J37" s="184">
        <f>J36/J9*0.1</f>
        <v>2.1507936507936511</v>
      </c>
      <c r="K37"/>
      <c r="L37" s="1375"/>
      <c r="M37" s="1"/>
      <c r="N37" s="1"/>
    </row>
    <row r="38" spans="1:14">
      <c r="B38" s="1"/>
      <c r="C38" s="1"/>
      <c r="D38"/>
      <c r="E38"/>
      <c r="F38"/>
      <c r="G38"/>
      <c r="H38" s="2248">
        <f>H36-H35</f>
        <v>146</v>
      </c>
      <c r="I38"/>
      <c r="J38" s="2248">
        <f>J36-J35</f>
        <v>141.35384615384601</v>
      </c>
      <c r="K38"/>
      <c r="L38" s="1375"/>
      <c r="M38" s="1"/>
      <c r="N38" s="1"/>
    </row>
    <row r="39" spans="1:14">
      <c r="B39" s="1"/>
      <c r="C39" s="1"/>
      <c r="D39"/>
      <c r="E39"/>
      <c r="F39"/>
      <c r="G39"/>
      <c r="H39"/>
      <c r="I39"/>
      <c r="J39"/>
      <c r="K39"/>
      <c r="L39" s="1375"/>
      <c r="M39" s="1"/>
      <c r="N39" s="1"/>
    </row>
    <row r="40" spans="1:14">
      <c r="B40" s="1"/>
      <c r="C40" s="1"/>
      <c r="D40"/>
      <c r="E40"/>
      <c r="F40"/>
      <c r="G40"/>
      <c r="H40"/>
      <c r="I40"/>
      <c r="J40"/>
      <c r="K40"/>
      <c r="L40" s="1375"/>
      <c r="M40" s="1"/>
      <c r="N40" s="1"/>
    </row>
    <row r="41" spans="1:14">
      <c r="B41" s="1"/>
      <c r="C41" s="1"/>
      <c r="D41"/>
      <c r="E41"/>
      <c r="F41"/>
      <c r="G41"/>
      <c r="H41"/>
      <c r="I41"/>
      <c r="J41"/>
      <c r="K41"/>
      <c r="L41" s="1374"/>
      <c r="M41" s="1"/>
      <c r="N41" s="1"/>
    </row>
    <row r="42" spans="1:14">
      <c r="B42" s="1"/>
      <c r="C42" s="1"/>
      <c r="D42"/>
      <c r="E42"/>
      <c r="F42"/>
      <c r="G42"/>
      <c r="H42"/>
      <c r="I42"/>
      <c r="J42"/>
      <c r="K42"/>
      <c r="L42" s="1375"/>
      <c r="M42" s="1"/>
      <c r="N42" s="1"/>
    </row>
    <row r="43" spans="1:14">
      <c r="D43"/>
      <c r="E43"/>
      <c r="F43"/>
      <c r="G43"/>
      <c r="H43"/>
      <c r="I43"/>
      <c r="J43"/>
      <c r="K43"/>
      <c r="L43" s="1331"/>
    </row>
    <row r="44" spans="1:14">
      <c r="D44"/>
      <c r="E44"/>
      <c r="F44"/>
      <c r="G44"/>
      <c r="H44"/>
      <c r="I44"/>
      <c r="J44"/>
      <c r="K44"/>
      <c r="L44" s="2247"/>
    </row>
    <row r="45" spans="1:14">
      <c r="D45"/>
      <c r="E45"/>
      <c r="F45"/>
      <c r="G45"/>
      <c r="H45"/>
      <c r="I45"/>
      <c r="J45"/>
      <c r="K45"/>
      <c r="L45" s="1331"/>
    </row>
    <row r="46" spans="1:14">
      <c r="D46"/>
      <c r="E46"/>
      <c r="F46"/>
      <c r="G46"/>
      <c r="H46"/>
      <c r="I46"/>
      <c r="J46"/>
      <c r="K46"/>
      <c r="L46" s="1331"/>
    </row>
    <row r="47" spans="1:14">
      <c r="D47"/>
      <c r="E47"/>
      <c r="F47"/>
      <c r="G47"/>
      <c r="H47"/>
      <c r="I47"/>
      <c r="J47"/>
      <c r="K47"/>
      <c r="L47" s="1331"/>
    </row>
    <row r="48" spans="1:14">
      <c r="D48"/>
      <c r="E48"/>
      <c r="F48"/>
      <c r="G48"/>
      <c r="H48"/>
      <c r="I48"/>
      <c r="J48"/>
      <c r="K48"/>
      <c r="L48" s="1331"/>
    </row>
    <row r="49" spans="4:12">
      <c r="D49"/>
      <c r="E49"/>
      <c r="F49"/>
      <c r="G49"/>
      <c r="H49"/>
      <c r="I49"/>
      <c r="J49"/>
      <c r="K49"/>
      <c r="L49" s="1331"/>
    </row>
  </sheetData>
  <customSheetViews>
    <customSheetView guid="{1683F931-F47D-47C0-A395-D48080DC7EE6}" showPageBreaks="1" printArea="1" view="pageBreakPreview" topLeftCell="A13">
      <selection activeCell="I21" sqref="I21"/>
      <pageMargins left="0.7" right="0.7" top="0.75" bottom="0.75" header="0.3" footer="0.3"/>
      <pageSetup paperSize="9" scale="46" orientation="portrait" r:id="rId1"/>
    </customSheetView>
    <customSheetView guid="{43897816-D2F0-4C3D-8F57-E0039BD2296B}" showPageBreaks="1" printArea="1" view="pageBreakPreview">
      <pane xSplit="1" ySplit="2" topLeftCell="B9" activePane="bottomRight" state="frozen"/>
      <selection pane="bottomRight" activeCell="I16" sqref="I16"/>
      <pageMargins left="0.7" right="0.7" top="0.75" bottom="0.75" header="0.3" footer="0.3"/>
      <pageSetup paperSize="9" scale="46" orientation="portrait" r:id="rId2"/>
    </customSheetView>
    <customSheetView guid="{849C46E5-4ED4-41B9-BDA9-A6465B9DA9C2}" showPageBreaks="1" printArea="1" hiddenRows="1" view="pageBreakPreview">
      <pane xSplit="1" ySplit="2" topLeftCell="C9" activePane="bottomRight" state="frozen"/>
      <selection pane="bottomRight" activeCell="F20" sqref="F20:J20"/>
      <pageMargins left="0.7" right="0.7" top="0.75" bottom="0.75" header="0.3" footer="0.3"/>
      <pageSetup paperSize="9" scale="46" orientation="portrait" r:id="rId3"/>
    </customSheetView>
    <customSheetView guid="{8C09BCDE-4B8A-4469-B3F2-7F4528A2E78D}" showPageBreaks="1" printArea="1" hiddenRows="1" view="pageBreakPreview">
      <pane xSplit="1" ySplit="2" topLeftCell="C9" activePane="bottomRight" state="frozen"/>
      <selection pane="bottomRight" activeCell="F20" sqref="F20:J20"/>
      <pageMargins left="0.7" right="0.7" top="0.75" bottom="0.75" header="0.3" footer="0.3"/>
      <pageSetup paperSize="9" scale="46" orientation="portrait" r:id="rId4"/>
    </customSheetView>
    <customSheetView guid="{F4EB51F4-FD23-4D5B-8072-1AF5D59D6686}" showPageBreaks="1" fitToPage="1" printArea="1" view="pageBreakPreview">
      <pane xSplit="1" ySplit="2" topLeftCell="C3" activePane="bottomRight" state="frozen"/>
      <selection pane="bottomRight" activeCell="J9" sqref="J9"/>
      <pageMargins left="0.7" right="0.7" top="0.75" bottom="0.75" header="0.3" footer="0.3"/>
      <pageSetup paperSize="9" scale="73" orientation="landscape" r:id="rId5"/>
    </customSheetView>
    <customSheetView guid="{D7BCFB76-2797-401D-A6F1-E020B5162DD4}" showPageBreaks="1" printArea="1" view="pageBreakPreview">
      <pane xSplit="1" ySplit="2" topLeftCell="C15" activePane="bottomRight" state="frozen"/>
      <selection pane="bottomRight" activeCell="H25" sqref="H25"/>
      <pageMargins left="0.7" right="0.7" top="0.75" bottom="0.75" header="0.3" footer="0.3"/>
      <pageSetup paperSize="9" scale="46" orientation="portrait" r:id="rId6"/>
    </customSheetView>
    <customSheetView guid="{C9A88430-3808-49F4-8D86-BF8C70C55441}" showPageBreaks="1" printArea="1" view="pageBreakPreview">
      <pane xSplit="1" ySplit="2" topLeftCell="B3" activePane="bottomRight" state="frozen"/>
      <selection pane="bottomRight" activeCell="H16" sqref="H16"/>
      <pageMargins left="0.7" right="0.7" top="0.75" bottom="0.75" header="0.3" footer="0.3"/>
      <pageSetup paperSize="9" scale="46" orientation="portrait" r:id="rId7"/>
    </customSheetView>
    <customSheetView guid="{E61FFED3-723E-484A-93A0-94E1A801AF06}" showPageBreaks="1" printArea="1" view="pageBreakPreview">
      <pane xSplit="1" ySplit="2" topLeftCell="B3" activePane="bottomRight" state="frozen"/>
      <selection pane="bottomRight" activeCell="H16" sqref="H16"/>
      <pageMargins left="0.7" right="0.7" top="0.75" bottom="0.75" header="0.3" footer="0.3"/>
      <pageSetup paperSize="9" scale="46" orientation="portrait" r:id="rId8"/>
    </customSheetView>
    <customSheetView guid="{6B5CCA07-2BDD-4B8E-9E3C-2111BBA97430}" showPageBreaks="1" printArea="1" view="pageBreakPreview">
      <pane xSplit="1" ySplit="2" topLeftCell="B3" activePane="bottomRight" state="frozen"/>
      <selection pane="bottomRight" activeCell="J5" sqref="J5"/>
      <pageMargins left="0.7" right="0.7" top="0.75" bottom="0.75" header="0.3" footer="0.3"/>
      <pageSetup paperSize="9" scale="46" orientation="portrait" r:id="rId9"/>
    </customSheetView>
    <customSheetView guid="{2F47A827-9643-4D8A-AC5D-6B09D79AACF9}" showPageBreaks="1" printArea="1" view="pageBreakPreview">
      <pane xSplit="1" ySplit="2" topLeftCell="B3" activePane="bottomRight" state="frozen"/>
      <selection pane="bottomRight" activeCell="I16" sqref="I16"/>
      <pageMargins left="0.7" right="0.7" top="0.75" bottom="0.75" header="0.3" footer="0.3"/>
      <pageSetup paperSize="9" scale="46" orientation="portrait" r:id="rId10"/>
    </customSheetView>
    <customSheetView guid="{B37168A1-DBAB-4BDE-9F92-6261DCDF3D92}" showPageBreaks="1" printArea="1" view="pageBreakPreview">
      <pane xSplit="1" ySplit="2" topLeftCell="B6" activePane="bottomRight" state="frozen"/>
      <selection pane="bottomRight" activeCell="F20" sqref="F20:J20"/>
      <pageMargins left="0.7" right="0.7" top="0.75" bottom="0.75" header="0.3" footer="0.3"/>
      <pageSetup paperSize="9" scale="46" orientation="portrait" r:id="rId11"/>
    </customSheetView>
    <customSheetView guid="{AE0DD889-C13C-4059-8024-0F5B234827E9}" showPageBreaks="1" printArea="1" view="pageBreakPreview" topLeftCell="A10">
      <selection activeCell="B3" sqref="B3"/>
      <pageMargins left="0.7" right="0.7" top="0.75" bottom="0.75" header="0.3" footer="0.3"/>
      <pageSetup paperSize="9" scale="46" orientation="portrait" r:id="rId12"/>
    </customSheetView>
    <customSheetView guid="{CCBBD9B0-4191-4D7A-9F7B-BAC044A49153}">
      <pane xSplit="1" ySplit="2" topLeftCell="B3" state="frozen"/>
      <selection activeCell="E4" sqref="E4:J4"/>
      <pageMargins left="0.7" right="0.7" top="0.75" bottom="0.75" header="0.3" footer="0.3"/>
      <pageSetup paperSize="9" orientation="portrait"/>
    </customSheetView>
    <customSheetView guid="{C52D0F53-4D1D-4D01-B833-260359FD02A5}" showPageBreaks="1" printArea="1" view="pageBreakPreview">
      <pane xSplit="1" ySplit="2" topLeftCell="B3" activePane="bottomRight" state="frozen"/>
      <selection pane="bottomRight" activeCell="L18" sqref="L18"/>
      <pageMargins left="0.7" right="0.7" top="0.75" bottom="0.75" header="0.3" footer="0.3"/>
      <pageSetup paperSize="9" scale="46" orientation="portrait" r:id="rId13"/>
    </customSheetView>
    <customSheetView guid="{6A1E79C9-91E3-4EEA-8ABB-4446083299EC}" showPageBreaks="1" printArea="1" view="pageBreakPreview">
      <pane xSplit="1" ySplit="2" topLeftCell="B3" activePane="bottomRight" state="frozen"/>
      <selection pane="bottomRight" activeCell="H16" sqref="H16"/>
      <pageMargins left="0.7" right="0.7" top="0.75" bottom="0.75" header="0.3" footer="0.3"/>
      <pageSetup paperSize="9" scale="46" orientation="portrait" r:id="rId14"/>
    </customSheetView>
    <customSheetView guid="{8B80B510-C931-46B1-8591-DEA916D76593}" showPageBreaks="1" printArea="1" view="pageBreakPreview">
      <pane xSplit="1" ySplit="2" topLeftCell="E6" activePane="bottomRight" state="frozen"/>
      <selection pane="bottomRight" activeCell="F17" sqref="F17"/>
      <pageMargins left="0.7" right="0.7" top="0.75" bottom="0.75" header="0.3" footer="0.3"/>
      <pageSetup paperSize="9" scale="46" orientation="portrait" r:id="rId15"/>
    </customSheetView>
    <customSheetView guid="{303A9D89-611D-4504-BCAA-071C53B021F7}" showPageBreaks="1" printArea="1" hiddenRows="1" view="pageBreakPreview">
      <pane xSplit="1" ySplit="2" topLeftCell="B8" activePane="bottomRight" state="frozen"/>
      <selection pane="bottomRight" activeCell="H17" sqref="H17"/>
      <pageMargins left="0.7" right="0.7" top="0.75" bottom="0.75" header="0.3" footer="0.3"/>
      <pageSetup paperSize="9" scale="46" orientation="portrait" r:id="rId16"/>
    </customSheetView>
    <customSheetView guid="{4583A87D-5DFF-47BD-849A-FA4AAF2B9CE3}" showPageBreaks="1" printArea="1" view="pageBreakPreview">
      <pane xSplit="1" ySplit="2" topLeftCell="E6" activePane="bottomRight" state="frozen"/>
      <selection pane="bottomRight" activeCell="F17" sqref="F17"/>
      <pageMargins left="0.7" right="0.7" top="0.75" bottom="0.75" header="0.3" footer="0.3"/>
      <pageSetup paperSize="9" scale="46" orientation="portrait" r:id="rId17"/>
    </customSheetView>
    <customSheetView guid="{EA856AC2-CDFF-46B6-B0C4-30449DF132F4}" showPageBreaks="1" printArea="1" view="pageBreakPreview">
      <pane xSplit="1" ySplit="2" topLeftCell="B3" activePane="bottomRight" state="frozen"/>
      <selection pane="bottomRight" activeCell="I16" sqref="I16"/>
      <pageMargins left="0.7" right="0.7" top="0.75" bottom="0.75" header="0.3" footer="0.3"/>
      <pageSetup paperSize="9" scale="46" orientation="portrait" r:id="rId18"/>
    </customSheetView>
    <customSheetView guid="{322A45A6-8B26-49B8-A4D9-EFB3C94A758D}" showPageBreaks="1" printArea="1" view="pageBreakPreview" topLeftCell="A10">
      <selection activeCell="I21" sqref="I21"/>
      <pageMargins left="0.7" right="0.7" top="0.75" bottom="0.75" header="0.3" footer="0.3"/>
      <pageSetup paperSize="9" scale="46" orientation="portrait" r:id="rId19"/>
    </customSheetView>
  </customSheetViews>
  <mergeCells count="1">
    <mergeCell ref="E4:J4"/>
  </mergeCells>
  <phoneticPr fontId="133" type="noConversion"/>
  <pageMargins left="0.7" right="0.7" top="0.75" bottom="0.75" header="0.3" footer="0.3"/>
  <pageSetup paperSize="9" scale="46" orientation="portrait" r:id="rId2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A1:AL63"/>
  <sheetViews>
    <sheetView zoomScaleNormal="100" workbookViewId="0">
      <pane xSplit="1" ySplit="2" topLeftCell="AB9" activePane="bottomRight" state="frozen"/>
      <selection pane="topRight" activeCell="B1" sqref="B1"/>
      <selection pane="bottomLeft" activeCell="A3" sqref="A3"/>
      <selection pane="bottomRight" activeCell="AH20" sqref="AH20:AH23"/>
    </sheetView>
  </sheetViews>
  <sheetFormatPr defaultColWidth="9" defaultRowHeight="13.5"/>
  <cols>
    <col min="1" max="1" width="30.375" style="338" customWidth="1"/>
    <col min="2" max="2" width="10.125" style="338" customWidth="1"/>
    <col min="3" max="3" width="13.75" style="338" customWidth="1"/>
    <col min="4" max="4" width="15.375" style="338" customWidth="1"/>
    <col min="5" max="5" width="14.875" style="338" customWidth="1"/>
    <col min="6" max="6" width="12.75" style="338" customWidth="1"/>
    <col min="7" max="7" width="16" style="338" customWidth="1"/>
    <col min="8" max="8" width="15" style="338" customWidth="1"/>
    <col min="9" max="9" width="14.125" style="338" customWidth="1"/>
    <col min="10" max="11" width="12.75" style="338" customWidth="1"/>
    <col min="12" max="12" width="16" style="338" customWidth="1"/>
    <col min="13" max="13" width="16.125" style="338" customWidth="1"/>
    <col min="14" max="14" width="16" style="338" customWidth="1"/>
    <col min="15" max="15" width="13.875" style="337" customWidth="1"/>
    <col min="16" max="16" width="14.875" style="337" customWidth="1"/>
    <col min="17" max="17" width="12.75" style="337" customWidth="1"/>
    <col min="18" max="18" width="16.125" style="337" customWidth="1"/>
    <col min="19" max="19" width="17.625" style="338" customWidth="1"/>
    <col min="20" max="20" width="16.75" style="338" customWidth="1"/>
    <col min="21" max="21" width="16.25" style="338" customWidth="1"/>
    <col min="22" max="22" width="13.75" style="338" customWidth="1"/>
    <col min="23" max="23" width="15.25" style="338" customWidth="1"/>
    <col min="24" max="24" width="11.625" style="338" bestFit="1" customWidth="1"/>
    <col min="25" max="26" width="13.875" style="338" bestFit="1" customWidth="1"/>
    <col min="27" max="28" width="12.75" style="338" bestFit="1" customWidth="1"/>
    <col min="29" max="29" width="13.875" style="338" bestFit="1" customWidth="1"/>
    <col min="30" max="32" width="12.75" style="338" bestFit="1" customWidth="1"/>
    <col min="33" max="33" width="15.25" style="338" customWidth="1"/>
    <col min="34" max="34" width="15.125" style="338" customWidth="1"/>
    <col min="35" max="16384" width="9" style="338"/>
  </cols>
  <sheetData>
    <row r="1" spans="1:38" s="1278" customFormat="1">
      <c r="A1" s="1278" t="s">
        <v>0</v>
      </c>
      <c r="B1" s="1278">
        <v>2018</v>
      </c>
      <c r="C1" s="1278">
        <v>2019</v>
      </c>
      <c r="D1" s="1278">
        <v>2019</v>
      </c>
      <c r="E1" s="1278">
        <v>2019</v>
      </c>
      <c r="F1" s="1278">
        <v>2019</v>
      </c>
      <c r="G1" s="1278">
        <v>2019</v>
      </c>
      <c r="H1" s="1278">
        <v>2019</v>
      </c>
      <c r="I1" s="1278">
        <v>2019</v>
      </c>
      <c r="J1" s="1278">
        <v>2019</v>
      </c>
      <c r="K1" s="1278">
        <v>2019</v>
      </c>
      <c r="L1" s="1278">
        <v>2019</v>
      </c>
      <c r="M1" s="1278">
        <v>2019</v>
      </c>
      <c r="N1" s="1278">
        <v>2019</v>
      </c>
      <c r="O1" s="1299">
        <v>2020</v>
      </c>
      <c r="P1" s="1299">
        <v>2020</v>
      </c>
      <c r="Q1" s="1299">
        <v>2020</v>
      </c>
      <c r="R1" s="1299">
        <v>2020</v>
      </c>
      <c r="S1" s="1278">
        <v>2020</v>
      </c>
      <c r="T1" s="1278">
        <v>2020</v>
      </c>
      <c r="U1" s="1278">
        <v>2020</v>
      </c>
      <c r="V1" s="1278">
        <v>2020</v>
      </c>
      <c r="W1" s="1278">
        <v>2020</v>
      </c>
      <c r="X1" s="1278">
        <v>2020</v>
      </c>
      <c r="Y1" s="1278">
        <v>2020</v>
      </c>
      <c r="Z1" s="1278">
        <v>2020</v>
      </c>
      <c r="AA1" s="1278">
        <v>2021</v>
      </c>
      <c r="AB1" s="1278">
        <v>2021</v>
      </c>
      <c r="AC1" s="1278">
        <v>2021</v>
      </c>
      <c r="AD1" s="1278">
        <v>2021</v>
      </c>
      <c r="AE1" s="1278">
        <v>2021</v>
      </c>
      <c r="AF1" s="1278">
        <v>2021</v>
      </c>
      <c r="AG1" s="1278">
        <v>2021</v>
      </c>
      <c r="AH1" s="1278">
        <v>2021</v>
      </c>
      <c r="AI1" s="1278">
        <v>2021</v>
      </c>
      <c r="AJ1" s="1278">
        <v>2021</v>
      </c>
      <c r="AK1" s="1278">
        <v>2021</v>
      </c>
      <c r="AL1" s="1278">
        <v>2021</v>
      </c>
    </row>
    <row r="2" spans="1:38" s="1278" customFormat="1">
      <c r="A2" s="1278" t="s">
        <v>1</v>
      </c>
      <c r="B2" s="1278">
        <v>12</v>
      </c>
      <c r="C2" s="1278">
        <v>1</v>
      </c>
      <c r="D2" s="1278">
        <v>2</v>
      </c>
      <c r="E2" s="1278">
        <v>3</v>
      </c>
      <c r="F2" s="1278">
        <v>4</v>
      </c>
      <c r="G2" s="1278">
        <v>5</v>
      </c>
      <c r="H2" s="1278">
        <v>6</v>
      </c>
      <c r="I2" s="1278">
        <v>7</v>
      </c>
      <c r="J2" s="1278">
        <v>8</v>
      </c>
      <c r="K2" s="1278">
        <v>9</v>
      </c>
      <c r="L2" s="1278">
        <v>10</v>
      </c>
      <c r="M2" s="1278">
        <v>11</v>
      </c>
      <c r="N2" s="1278">
        <v>12</v>
      </c>
      <c r="O2" s="1299">
        <v>1</v>
      </c>
      <c r="P2" s="1299">
        <v>2</v>
      </c>
      <c r="Q2" s="1299">
        <v>3</v>
      </c>
      <c r="R2" s="1299">
        <v>4</v>
      </c>
      <c r="S2" s="1278">
        <v>5</v>
      </c>
      <c r="T2" s="1278">
        <v>6</v>
      </c>
      <c r="U2" s="1278">
        <v>7</v>
      </c>
      <c r="V2" s="1278">
        <v>8</v>
      </c>
      <c r="W2" s="1278">
        <v>9</v>
      </c>
      <c r="X2" s="1278">
        <v>10</v>
      </c>
      <c r="Y2" s="1278">
        <v>11</v>
      </c>
      <c r="Z2" s="1278">
        <v>12</v>
      </c>
      <c r="AA2" s="1278">
        <v>1</v>
      </c>
      <c r="AB2" s="1278">
        <v>2</v>
      </c>
      <c r="AC2" s="1278">
        <v>3</v>
      </c>
      <c r="AD2" s="1278">
        <v>4</v>
      </c>
      <c r="AE2" s="1278">
        <v>5</v>
      </c>
      <c r="AF2" s="1278">
        <v>6</v>
      </c>
      <c r="AG2" s="1278">
        <v>7</v>
      </c>
      <c r="AH2" s="1278">
        <v>8</v>
      </c>
      <c r="AI2" s="1278">
        <v>9</v>
      </c>
      <c r="AJ2" s="1278">
        <v>10</v>
      </c>
      <c r="AK2" s="1278">
        <v>11</v>
      </c>
      <c r="AL2" s="1278">
        <v>12</v>
      </c>
    </row>
    <row r="3" spans="1:38" s="1279" customFormat="1" ht="14.25">
      <c r="A3" s="1287" t="s">
        <v>222</v>
      </c>
      <c r="B3" s="1287"/>
      <c r="O3" s="1300"/>
      <c r="P3" s="1300"/>
      <c r="Q3" s="1300"/>
      <c r="R3" s="1300"/>
      <c r="AA3" s="2535"/>
      <c r="AB3" s="2535"/>
      <c r="AC3" s="2535"/>
      <c r="AD3" s="2535"/>
      <c r="AE3" s="2535"/>
      <c r="AF3" s="2535"/>
    </row>
    <row r="4" spans="1:38" s="1280" customFormat="1">
      <c r="A4" s="1280" t="s">
        <v>223</v>
      </c>
      <c r="C4" s="1288">
        <v>298330117.67435998</v>
      </c>
      <c r="D4" s="1288">
        <v>338987283.64999998</v>
      </c>
      <c r="E4" s="1288">
        <v>254537173.13049999</v>
      </c>
      <c r="F4" s="1288">
        <v>340741758.75999999</v>
      </c>
      <c r="G4" s="1288">
        <v>329356345.33999997</v>
      </c>
      <c r="H4" s="1288">
        <v>322961066.80000001</v>
      </c>
      <c r="I4" s="1288">
        <v>400923936.60561001</v>
      </c>
      <c r="J4" s="1288">
        <v>399355170.69</v>
      </c>
      <c r="K4" s="1288">
        <v>512846961.73000002</v>
      </c>
      <c r="L4" s="1288">
        <v>502248538.17000002</v>
      </c>
      <c r="M4" s="1288">
        <v>536092070.54000002</v>
      </c>
      <c r="N4" s="1288">
        <v>544722545.35000002</v>
      </c>
      <c r="O4" s="1301">
        <v>506555329.61412001</v>
      </c>
      <c r="P4" s="1301">
        <v>495585638.17742997</v>
      </c>
      <c r="Q4" s="1301">
        <v>491551458.69999999</v>
      </c>
      <c r="R4" s="1311">
        <v>489408551.76999998</v>
      </c>
      <c r="S4" s="1280">
        <v>437352544.30000001</v>
      </c>
      <c r="T4" s="1280">
        <v>512957407.06999999</v>
      </c>
      <c r="U4" s="1280">
        <v>499270505.61000001</v>
      </c>
      <c r="V4" s="1280">
        <v>543981388.29999995</v>
      </c>
      <c r="W4" s="1280">
        <v>544214514.42999995</v>
      </c>
      <c r="X4" s="1280">
        <v>548323553.96000004</v>
      </c>
      <c r="Y4" s="1280">
        <v>665832990</v>
      </c>
      <c r="Z4" s="1280">
        <v>473780537.87</v>
      </c>
      <c r="AA4" s="1280">
        <v>569624882.88999999</v>
      </c>
      <c r="AB4" s="1280">
        <v>820380120.21000004</v>
      </c>
      <c r="AC4" s="1280">
        <v>786735622.04999995</v>
      </c>
      <c r="AD4" s="1280">
        <v>1169982289.02</v>
      </c>
      <c r="AE4" s="1280">
        <v>1032930564.6</v>
      </c>
      <c r="AF4" s="1280">
        <v>1088496799</v>
      </c>
      <c r="AG4" s="1280">
        <v>1179550784.9400001</v>
      </c>
      <c r="AH4" s="1280">
        <v>1090817142</v>
      </c>
    </row>
    <row r="5" spans="1:38" s="1280" customFormat="1">
      <c r="A5" s="1280" t="s">
        <v>224</v>
      </c>
      <c r="C5" s="1288">
        <v>258423331.10600001</v>
      </c>
      <c r="D5" s="1288">
        <v>286104176.82999998</v>
      </c>
      <c r="E5" s="1288">
        <v>208806367.5</v>
      </c>
      <c r="F5" s="1288">
        <v>271973316.56</v>
      </c>
      <c r="G5" s="1288">
        <v>254462586.84999999</v>
      </c>
      <c r="H5" s="1288">
        <v>254475752.77000001</v>
      </c>
      <c r="I5" s="1288">
        <v>300067773.06999999</v>
      </c>
      <c r="J5" s="1288">
        <v>279998223.73000002</v>
      </c>
      <c r="K5" s="1288">
        <v>346042047.76499999</v>
      </c>
      <c r="L5" s="1288">
        <v>330197982.43000001</v>
      </c>
      <c r="M5" s="1288">
        <v>358610413.49400002</v>
      </c>
      <c r="N5" s="1288">
        <v>361304268.94199997</v>
      </c>
      <c r="O5" s="1301">
        <v>343512749.27100003</v>
      </c>
      <c r="P5" s="1301">
        <v>354890288.62099999</v>
      </c>
      <c r="Q5" s="1301">
        <v>358969209.44700003</v>
      </c>
      <c r="R5" s="1311">
        <v>366230882.22299999</v>
      </c>
      <c r="S5" s="1280">
        <v>336562484.53799999</v>
      </c>
      <c r="T5" s="1280">
        <v>388300406.19300002</v>
      </c>
      <c r="U5" s="1280">
        <v>370303242.12</v>
      </c>
      <c r="V5" s="1280">
        <v>392321871.94999999</v>
      </c>
      <c r="W5" s="1280">
        <v>358917950.16999996</v>
      </c>
      <c r="X5" s="1280">
        <v>411262831.62</v>
      </c>
      <c r="Y5" s="1280">
        <v>516524415</v>
      </c>
      <c r="Z5" s="1280">
        <v>372585745.05000001</v>
      </c>
      <c r="AA5" s="1280">
        <v>492326605.60000002</v>
      </c>
      <c r="AB5" s="1280">
        <v>676274640.10000002</v>
      </c>
      <c r="AC5" s="1280">
        <f>783407221.19+ 187206064.32</f>
        <v>970613285.50999999</v>
      </c>
      <c r="AD5" s="1280">
        <v>1072849279.9200001</v>
      </c>
      <c r="AE5" s="1280">
        <v>938806041.81999993</v>
      </c>
      <c r="AF5" s="2530">
        <v>984900443.10000002</v>
      </c>
      <c r="AG5" s="1280">
        <v>1129214042.55</v>
      </c>
      <c r="AH5" s="1280">
        <v>1030141952.6900001</v>
      </c>
    </row>
    <row r="6" spans="1:38" s="1280" customFormat="1" ht="14.25">
      <c r="A6" s="1280" t="s">
        <v>225</v>
      </c>
      <c r="C6" s="1288"/>
      <c r="D6" s="1288"/>
      <c r="E6" s="1288"/>
      <c r="F6" s="1288"/>
      <c r="G6" s="1288"/>
      <c r="H6" s="1288"/>
      <c r="I6" s="1288"/>
      <c r="J6" s="1288"/>
      <c r="K6" s="1288"/>
      <c r="L6" s="1288"/>
      <c r="M6" s="1288"/>
      <c r="N6" s="1288"/>
      <c r="O6" s="1302">
        <v>97880190.304000005</v>
      </c>
      <c r="P6" s="1301">
        <v>194566859.75508001</v>
      </c>
      <c r="Q6" s="1301">
        <v>129697795.0684</v>
      </c>
      <c r="R6" s="1311">
        <v>133539135.02568001</v>
      </c>
      <c r="S6" s="1280">
        <v>128140681.29984</v>
      </c>
      <c r="T6" s="1280">
        <v>101349064.82294001</v>
      </c>
      <c r="U6" s="1280">
        <v>109230902.37</v>
      </c>
      <c r="V6" s="1280">
        <v>137229840.03</v>
      </c>
      <c r="W6" s="1280">
        <v>63447551.359999999</v>
      </c>
      <c r="X6" s="1280">
        <v>126939860.81</v>
      </c>
      <c r="Y6" s="1280">
        <v>116657432.86</v>
      </c>
      <c r="Z6" s="1280">
        <v>156522110.74000001</v>
      </c>
      <c r="AA6" s="1280">
        <v>151544803.27000001</v>
      </c>
      <c r="AB6" s="1280">
        <v>175970812.74000001</v>
      </c>
      <c r="AC6" s="1280">
        <v>203858091.58000001</v>
      </c>
      <c r="AD6" s="1280">
        <v>238908007.22</v>
      </c>
      <c r="AE6" s="1280">
        <v>195896921.68000001</v>
      </c>
      <c r="AF6" s="2530">
        <v>247585408.44</v>
      </c>
      <c r="AG6" s="1280">
        <v>116041975.55</v>
      </c>
      <c r="AH6" s="1280">
        <v>234990520.28999999</v>
      </c>
    </row>
    <row r="7" spans="1:38" s="1280" customFormat="1">
      <c r="A7" s="1280" t="s">
        <v>226</v>
      </c>
      <c r="C7" s="1288"/>
      <c r="D7" s="1288"/>
      <c r="E7" s="1288"/>
      <c r="F7" s="1288"/>
      <c r="G7" s="1288"/>
      <c r="H7" s="1288"/>
      <c r="I7" s="1288"/>
      <c r="J7" s="1288"/>
      <c r="K7" s="1288"/>
      <c r="L7" s="1288"/>
      <c r="M7" s="1288"/>
      <c r="N7" s="1288"/>
      <c r="O7" s="1301">
        <v>84035536.325000003</v>
      </c>
      <c r="P7" s="1301">
        <v>180867331.45699999</v>
      </c>
      <c r="Q7" s="1301">
        <v>125806190.25</v>
      </c>
      <c r="R7" s="1311">
        <v>131579478</v>
      </c>
      <c r="S7" s="1280">
        <v>127204456.5</v>
      </c>
      <c r="T7" s="1280">
        <v>123793685.25</v>
      </c>
      <c r="U7" s="1280">
        <v>105782396.25</v>
      </c>
      <c r="V7" s="1280">
        <v>136941350.25</v>
      </c>
      <c r="W7" s="1280">
        <v>57969086.25</v>
      </c>
      <c r="X7" s="1280">
        <v>133653624.26000001</v>
      </c>
      <c r="Y7" s="1280">
        <v>118656659.59999999</v>
      </c>
      <c r="Z7" s="1280">
        <v>155206465.24000001</v>
      </c>
      <c r="AA7" s="1280">
        <v>145735710.08000001</v>
      </c>
      <c r="AB7" s="1280">
        <v>168761474.25999999</v>
      </c>
      <c r="AC7" s="1280">
        <v>215444795.77000001</v>
      </c>
      <c r="AD7" s="1280">
        <v>238439263.90000001</v>
      </c>
      <c r="AE7" s="1280">
        <v>196534247.63999999</v>
      </c>
      <c r="AF7" s="2531">
        <v>248956419.36000001</v>
      </c>
      <c r="AG7" s="1280">
        <v>117390834.09999999</v>
      </c>
      <c r="AH7" s="1280">
        <v>236993329.38</v>
      </c>
    </row>
    <row r="8" spans="1:38" s="1281" customFormat="1">
      <c r="A8" s="1281" t="s">
        <v>227</v>
      </c>
      <c r="C8" s="1289">
        <v>61601260.939999998</v>
      </c>
      <c r="D8" s="1289">
        <v>62533065.280000001</v>
      </c>
      <c r="E8" s="1289">
        <v>54307701.060000002</v>
      </c>
      <c r="F8" s="1289">
        <v>71030647.510000005</v>
      </c>
      <c r="G8" s="1289">
        <v>75949827.480000004</v>
      </c>
      <c r="H8" s="1289">
        <f>34220134.06+50000000</f>
        <v>84220134.060000002</v>
      </c>
      <c r="I8" s="1289">
        <v>77160668.560000002</v>
      </c>
      <c r="J8" s="1289">
        <f>126013524-50000000</f>
        <v>76013524</v>
      </c>
      <c r="K8" s="1289">
        <v>88918196.930000007</v>
      </c>
      <c r="L8" s="1289">
        <v>76470832.209999993</v>
      </c>
      <c r="M8" s="1289">
        <f>65450708.44+22360000-2750000</f>
        <v>85060708.439999998</v>
      </c>
      <c r="N8" s="1289">
        <v>-61680991.109999999</v>
      </c>
      <c r="O8" s="1303">
        <v>49840902.149999999</v>
      </c>
      <c r="P8" s="2362">
        <v>64085589.490000002</v>
      </c>
      <c r="Q8" s="1303">
        <v>51135345.409999996</v>
      </c>
      <c r="R8" s="1315">
        <v>64346874.329999998</v>
      </c>
      <c r="S8" s="1316">
        <v>63992239.25</v>
      </c>
      <c r="T8" s="1316">
        <f>73077356.96-63252500</f>
        <v>9824856.9599999934</v>
      </c>
      <c r="U8" s="1531">
        <v>13366303.630000001</v>
      </c>
      <c r="V8" s="2363">
        <v>60855082.560000002</v>
      </c>
      <c r="W8" s="1642">
        <v>63823859.409999996</v>
      </c>
      <c r="X8" s="1281">
        <f>72943095.06-52557243.2</f>
        <v>20385851.859999999</v>
      </c>
      <c r="Y8" s="1281">
        <v>35506904.970000006</v>
      </c>
      <c r="Z8" s="2363">
        <v>-68422833.989999995</v>
      </c>
      <c r="AA8" s="1281">
        <v>53906310.109999999</v>
      </c>
      <c r="AB8" s="1281">
        <v>84011718.150000006</v>
      </c>
      <c r="AC8" s="1281">
        <f>-AA8-AB8</f>
        <v>-137918028.25999999</v>
      </c>
      <c r="AD8" s="1281">
        <v>0</v>
      </c>
      <c r="AE8" s="1281">
        <v>0</v>
      </c>
      <c r="AF8" s="1281">
        <v>0</v>
      </c>
      <c r="AG8" s="1281">
        <v>0</v>
      </c>
      <c r="AH8" s="1281">
        <v>0</v>
      </c>
    </row>
    <row r="9" spans="1:38" s="1282" customFormat="1">
      <c r="A9" s="1282" t="s">
        <v>228</v>
      </c>
      <c r="C9" s="1290">
        <v>5598502.7999999998</v>
      </c>
      <c r="D9" s="1290">
        <v>5383630.0999999996</v>
      </c>
      <c r="E9" s="1290">
        <v>5526798.0700000003</v>
      </c>
      <c r="F9" s="1290">
        <v>5064675.4000000004</v>
      </c>
      <c r="G9" s="1290">
        <v>4947673.2</v>
      </c>
      <c r="H9" s="1290">
        <v>5126424.07</v>
      </c>
      <c r="I9" s="1290">
        <v>4646037.5</v>
      </c>
      <c r="J9" s="1290">
        <v>6722770.4000000004</v>
      </c>
      <c r="K9" s="1290">
        <v>4915204.3600000003</v>
      </c>
      <c r="L9" s="1290">
        <v>4437229.5</v>
      </c>
      <c r="M9" s="1290">
        <v>4289780.4000000004</v>
      </c>
      <c r="N9" s="1290">
        <v>4426921.63</v>
      </c>
      <c r="O9" s="1304">
        <v>4145171.8</v>
      </c>
      <c r="P9" s="1304">
        <v>4030290.1</v>
      </c>
      <c r="Q9" s="1304">
        <v>3843596.93</v>
      </c>
      <c r="R9" s="1317">
        <v>3810052.3</v>
      </c>
      <c r="S9" s="1282">
        <f>3604759.1+19080+110000</f>
        <v>3733839.1</v>
      </c>
      <c r="T9" s="1318">
        <f>3495657.2+18420+21800+15820.57</f>
        <v>3551697.77</v>
      </c>
      <c r="U9" s="1282">
        <v>3510630.3999999999</v>
      </c>
      <c r="V9" s="1282">
        <f>4655774.7+17520+515924+100000+5000</f>
        <v>5294218.7</v>
      </c>
      <c r="W9" s="1282">
        <f>3351935.9+16980+38026.5</f>
        <v>3406942.4</v>
      </c>
      <c r="X9" s="1282">
        <f>8523524.03-X10</f>
        <v>3299324.7999999989</v>
      </c>
      <c r="Y9" s="1282">
        <f>8418220.93-Y10</f>
        <v>3186781.6999999993</v>
      </c>
      <c r="Z9" s="1282">
        <f>8205021.5-Z10</f>
        <v>2973582.2699999996</v>
      </c>
      <c r="AA9" s="1282">
        <v>0</v>
      </c>
      <c r="AB9" s="1282">
        <v>0</v>
      </c>
      <c r="AC9" s="1282">
        <v>0</v>
      </c>
      <c r="AD9" s="1282">
        <v>0</v>
      </c>
      <c r="AE9" s="1282">
        <v>0</v>
      </c>
      <c r="AF9" s="1282">
        <v>0</v>
      </c>
      <c r="AG9" s="1282">
        <v>0</v>
      </c>
      <c r="AH9" s="1282">
        <v>0</v>
      </c>
    </row>
    <row r="10" spans="1:38" s="1282" customFormat="1">
      <c r="A10" s="1282" t="s">
        <v>229</v>
      </c>
      <c r="C10" s="1290">
        <v>5380535.54</v>
      </c>
      <c r="D10" s="1290">
        <v>4848420.47</v>
      </c>
      <c r="E10" s="1290">
        <v>5339961.04</v>
      </c>
      <c r="F10" s="1290">
        <v>5336641.04</v>
      </c>
      <c r="G10" s="1290">
        <v>5339961.04</v>
      </c>
      <c r="H10" s="1290">
        <v>5000000</v>
      </c>
      <c r="I10" s="1290">
        <v>5000000</v>
      </c>
      <c r="J10" s="1290">
        <v>5957895.9900000002</v>
      </c>
      <c r="K10" s="1290">
        <v>5320817.33</v>
      </c>
      <c r="L10" s="1290">
        <v>5307911.33</v>
      </c>
      <c r="M10" s="1290">
        <v>5002518.63</v>
      </c>
      <c r="N10" s="1290">
        <v>5080541.63</v>
      </c>
      <c r="O10" s="1304">
        <v>5223617.2300000004</v>
      </c>
      <c r="P10" s="1304">
        <v>5231439.2300000004</v>
      </c>
      <c r="Q10" s="1304">
        <v>5231439.2300000004</v>
      </c>
      <c r="R10" s="1317">
        <v>5198091.2300000004</v>
      </c>
      <c r="S10" s="1282">
        <v>5231439.2300000004</v>
      </c>
      <c r="T10" s="1282">
        <f>S10</f>
        <v>5231439.2300000004</v>
      </c>
      <c r="U10" s="1282">
        <v>5194755.2300000004</v>
      </c>
      <c r="V10" s="1282">
        <v>5231439.2300000004</v>
      </c>
      <c r="W10" s="1282">
        <f>V10</f>
        <v>5231439.2300000004</v>
      </c>
      <c r="X10" s="1282">
        <v>5224199.2300000004</v>
      </c>
      <c r="Y10" s="1282">
        <v>5231439.2300000004</v>
      </c>
      <c r="Z10" s="1282">
        <f>Y10</f>
        <v>5231439.2300000004</v>
      </c>
      <c r="AA10" s="1959">
        <v>5225829.22626667</v>
      </c>
      <c r="AB10" s="1282">
        <v>5231439.2300000004</v>
      </c>
      <c r="AC10" s="1282">
        <f>AB10</f>
        <v>5231439.2300000004</v>
      </c>
      <c r="AD10" s="1282">
        <v>5036041.2300000004</v>
      </c>
      <c r="AE10" s="1282">
        <v>5183739.22626667</v>
      </c>
      <c r="AF10" s="1282">
        <f>AE10</f>
        <v>5183739.22626667</v>
      </c>
      <c r="AG10" s="1282">
        <v>5175349.2300000004</v>
      </c>
      <c r="AH10" s="1282">
        <v>5183739.22626667</v>
      </c>
    </row>
    <row r="11" spans="1:38" s="1282" customFormat="1">
      <c r="A11" s="1282" t="s">
        <v>230</v>
      </c>
      <c r="C11" s="1290">
        <v>2537129.1</v>
      </c>
      <c r="D11" s="1290">
        <v>2443108</v>
      </c>
      <c r="E11" s="1290">
        <v>2373253.5</v>
      </c>
      <c r="F11" s="1290">
        <v>2332748.9</v>
      </c>
      <c r="G11" s="1290">
        <v>2287429.2000000002</v>
      </c>
      <c r="H11" s="1290">
        <v>2280729.7999999998</v>
      </c>
      <c r="I11" s="1290">
        <v>2123034.4</v>
      </c>
      <c r="J11" s="1290">
        <v>2311208.7999999998</v>
      </c>
      <c r="K11" s="1290">
        <v>1639669.3</v>
      </c>
      <c r="L11" s="1290">
        <v>1883860.5</v>
      </c>
      <c r="M11" s="1290">
        <v>3044277.6</v>
      </c>
      <c r="N11" s="1290">
        <v>1718570</v>
      </c>
      <c r="O11" s="1304">
        <v>1685343.7</v>
      </c>
      <c r="P11" s="1304">
        <v>0</v>
      </c>
      <c r="Q11" s="1304">
        <v>0</v>
      </c>
      <c r="R11" s="1317">
        <v>0</v>
      </c>
      <c r="S11" s="1282">
        <v>0</v>
      </c>
      <c r="T11" s="1282">
        <v>0</v>
      </c>
      <c r="U11" s="1282">
        <f>T11</f>
        <v>0</v>
      </c>
      <c r="V11" s="1282">
        <v>0</v>
      </c>
      <c r="W11" s="1282">
        <v>2991272</v>
      </c>
      <c r="X11" s="1282">
        <v>0</v>
      </c>
      <c r="Y11" s="1282">
        <v>0</v>
      </c>
      <c r="Z11" s="1282">
        <v>0</v>
      </c>
      <c r="AA11" s="1282">
        <v>921845</v>
      </c>
      <c r="AB11" s="1282">
        <v>0</v>
      </c>
      <c r="AC11" s="1282">
        <v>0</v>
      </c>
      <c r="AD11" s="1282">
        <v>0</v>
      </c>
      <c r="AE11" s="1282">
        <v>0</v>
      </c>
      <c r="AF11" s="1282">
        <v>0</v>
      </c>
      <c r="AG11" s="2546">
        <v>2945643.51</v>
      </c>
      <c r="AH11" s="2543">
        <v>0</v>
      </c>
    </row>
    <row r="12" spans="1:38" s="1281" customFormat="1">
      <c r="A12" s="1281" t="s">
        <v>231</v>
      </c>
      <c r="C12" s="1289">
        <v>1753.62</v>
      </c>
      <c r="D12" s="1289">
        <v>1079.18</v>
      </c>
      <c r="E12" s="1289">
        <v>-244.4</v>
      </c>
      <c r="F12" s="1289">
        <v>-1865.9</v>
      </c>
      <c r="G12" s="1289">
        <v>-1079.18</v>
      </c>
      <c r="H12" s="1289">
        <v>-1162.5</v>
      </c>
      <c r="I12" s="1289">
        <v>-1162.5</v>
      </c>
      <c r="J12" s="1289">
        <v>-1865.9</v>
      </c>
      <c r="K12" s="1289">
        <v>-1865.9</v>
      </c>
      <c r="L12" s="1289">
        <v>-1162.5</v>
      </c>
      <c r="M12" s="1289">
        <v>244.4</v>
      </c>
      <c r="N12" s="1289">
        <v>-1865.9</v>
      </c>
      <c r="O12" s="1303">
        <v>-1849.9</v>
      </c>
      <c r="P12" s="1303">
        <v>0</v>
      </c>
      <c r="Q12" s="1303">
        <v>0</v>
      </c>
      <c r="R12" s="1315">
        <v>0</v>
      </c>
      <c r="S12" s="1281">
        <v>0</v>
      </c>
      <c r="T12" s="1281">
        <v>0</v>
      </c>
      <c r="U12" s="1281">
        <f>T12</f>
        <v>0</v>
      </c>
      <c r="V12" s="1281">
        <v>0</v>
      </c>
      <c r="W12" s="1281">
        <v>0</v>
      </c>
      <c r="X12" s="1281">
        <v>0</v>
      </c>
      <c r="Y12" s="1281">
        <v>0</v>
      </c>
      <c r="Z12" s="1281">
        <v>0</v>
      </c>
      <c r="AA12" s="1281">
        <v>0</v>
      </c>
      <c r="AB12" s="1281">
        <v>0</v>
      </c>
      <c r="AC12" s="1281">
        <v>0</v>
      </c>
      <c r="AD12" s="1281">
        <v>0</v>
      </c>
      <c r="AE12" s="1281">
        <v>0</v>
      </c>
      <c r="AF12" s="1281">
        <v>0</v>
      </c>
      <c r="AG12" s="1281">
        <v>0</v>
      </c>
      <c r="AH12" s="1281">
        <v>0</v>
      </c>
    </row>
    <row r="13" spans="1:38" s="1283" customFormat="1">
      <c r="A13" s="1283" t="s">
        <v>232</v>
      </c>
      <c r="C13" s="1291">
        <v>36045811.109999999</v>
      </c>
      <c r="D13" s="1291">
        <v>-6348215.3600000003</v>
      </c>
      <c r="E13" s="1291">
        <v>29000705.07</v>
      </c>
      <c r="F13" s="1291">
        <v>-36274505.530000001</v>
      </c>
      <c r="G13" s="1291">
        <v>-74418600</v>
      </c>
      <c r="H13" s="1291">
        <v>50473825.950000003</v>
      </c>
      <c r="I13" s="1291"/>
      <c r="J13" s="1291"/>
      <c r="K13" s="1291"/>
      <c r="L13" s="1291"/>
      <c r="M13" s="1291">
        <v>-58837043.600000001</v>
      </c>
      <c r="N13" s="1305">
        <v>58837043.600000001</v>
      </c>
      <c r="O13" s="1306"/>
      <c r="P13" s="1306"/>
      <c r="Q13" s="1306"/>
      <c r="R13" s="1319"/>
      <c r="AA13" s="1282"/>
    </row>
    <row r="14" spans="1:38" s="1281" customFormat="1" ht="14.25">
      <c r="A14" s="1281" t="s">
        <v>233</v>
      </c>
      <c r="C14" s="1289"/>
      <c r="D14" s="1289"/>
      <c r="E14" s="1289"/>
      <c r="F14" s="1289"/>
      <c r="G14" s="1289"/>
      <c r="H14" s="1289"/>
      <c r="I14" s="1289">
        <v>-73350000</v>
      </c>
      <c r="J14" s="1289">
        <f>-120489380+1520000</f>
        <v>-118969380</v>
      </c>
      <c r="K14" s="1289">
        <v>-116002181</v>
      </c>
      <c r="L14" s="1307">
        <v>-136821673</v>
      </c>
      <c r="M14" s="1289"/>
      <c r="N14" s="1289">
        <v>386660000</v>
      </c>
      <c r="O14" s="1303">
        <v>-23980117.57</v>
      </c>
      <c r="P14" s="1303">
        <v>-5505840.9800000004</v>
      </c>
      <c r="Q14" s="1303">
        <v>-130436203.87</v>
      </c>
      <c r="R14" s="1320">
        <v>-25655045.899999999</v>
      </c>
      <c r="S14" s="1316">
        <v>-85461415.760000005</v>
      </c>
      <c r="T14" s="1281">
        <v>-57231341.350000001</v>
      </c>
      <c r="U14" s="1281">
        <v>-37997313.039999999</v>
      </c>
      <c r="X14" s="1281">
        <v>-141000000</v>
      </c>
      <c r="Y14" s="1281">
        <v>-37411000</v>
      </c>
      <c r="Z14" s="1281">
        <v>544678278.5</v>
      </c>
      <c r="AA14" s="1281">
        <v>-7960000</v>
      </c>
      <c r="AB14" s="1281">
        <v>7960000</v>
      </c>
      <c r="AC14" s="1281">
        <v>0</v>
      </c>
      <c r="AD14" s="1281">
        <v>0</v>
      </c>
      <c r="AE14" s="1281">
        <v>0</v>
      </c>
      <c r="AF14" s="1281">
        <v>0</v>
      </c>
      <c r="AG14" s="1281">
        <v>0</v>
      </c>
      <c r="AH14" s="1281">
        <v>0</v>
      </c>
    </row>
    <row r="15" spans="1:38">
      <c r="A15" s="338" t="s">
        <v>234</v>
      </c>
      <c r="B15" s="338">
        <v>14800000</v>
      </c>
      <c r="C15" s="1292">
        <v>4233644.6100000003</v>
      </c>
      <c r="D15" s="1292">
        <v>3989848.68</v>
      </c>
      <c r="E15" s="1292">
        <v>14654333.34</v>
      </c>
      <c r="F15" s="1292">
        <v>3989848.68</v>
      </c>
      <c r="G15" s="1292">
        <v>3861143.86</v>
      </c>
      <c r="H15" s="1292">
        <v>16131825.92</v>
      </c>
      <c r="I15" s="1292">
        <v>3861143.86</v>
      </c>
      <c r="J15" s="1292">
        <v>3989848.68</v>
      </c>
      <c r="K15" s="1292">
        <v>17658871.75</v>
      </c>
      <c r="L15" s="1292">
        <v>3861143.86</v>
      </c>
      <c r="M15" s="1292">
        <v>6033266.5300000003</v>
      </c>
      <c r="N15" s="1292">
        <v>13370704.369999999</v>
      </c>
      <c r="O15" s="1308">
        <v>2950016.4</v>
      </c>
      <c r="P15" s="1308">
        <v>2971766.4</v>
      </c>
      <c r="Q15" s="1308">
        <v>12112893.58</v>
      </c>
      <c r="R15" s="337">
        <v>3580766.4</v>
      </c>
      <c r="S15" s="338">
        <v>3549839.2</v>
      </c>
      <c r="T15" s="1321">
        <v>13125587.91</v>
      </c>
      <c r="U15" s="338">
        <v>5878338.9400000004</v>
      </c>
      <c r="V15" s="338">
        <v>7317928.4000000004</v>
      </c>
      <c r="W15" s="338">
        <v>7853490.9000000004</v>
      </c>
      <c r="X15" s="338">
        <v>7600152.4299999997</v>
      </c>
      <c r="Y15" s="338">
        <v>7853490.9000000004</v>
      </c>
      <c r="Z15" s="338">
        <v>7258083.1799999997</v>
      </c>
      <c r="AA15" s="338">
        <v>6304201.71</v>
      </c>
      <c r="AB15" s="338">
        <v>6714840.6100000003</v>
      </c>
      <c r="AC15" s="338">
        <v>5645792.9500000002</v>
      </c>
      <c r="AD15" s="338">
        <v>5890670.5599999996</v>
      </c>
      <c r="AE15" s="338">
        <v>5583864.8700000001</v>
      </c>
      <c r="AF15" s="338">
        <v>5895562.4800000004</v>
      </c>
      <c r="AG15" s="338">
        <v>5603484</v>
      </c>
      <c r="AH15" s="338">
        <v>5501974.3000000007</v>
      </c>
    </row>
    <row r="16" spans="1:38">
      <c r="A16" s="338" t="s">
        <v>235</v>
      </c>
      <c r="B16" s="338">
        <f t="shared" ref="B16:AB16" si="0">B17+B18+B19</f>
        <v>18770950.18</v>
      </c>
      <c r="C16" s="1292">
        <f t="shared" si="0"/>
        <v>39794140.200000003</v>
      </c>
      <c r="D16" s="1292">
        <f t="shared" si="0"/>
        <v>43304429.699999996</v>
      </c>
      <c r="E16" s="1292">
        <f t="shared" si="0"/>
        <v>37026557.730000004</v>
      </c>
      <c r="F16" s="1292">
        <f t="shared" si="0"/>
        <v>43546351.950000003</v>
      </c>
      <c r="G16" s="1292">
        <f t="shared" si="0"/>
        <v>38150069.159999996</v>
      </c>
      <c r="H16" s="1292">
        <f t="shared" si="0"/>
        <v>41702627.82</v>
      </c>
      <c r="I16" s="1292">
        <f t="shared" si="0"/>
        <v>43505558.160000004</v>
      </c>
      <c r="J16" s="1292">
        <f t="shared" si="0"/>
        <v>43740424.410000004</v>
      </c>
      <c r="K16" s="1292">
        <f t="shared" si="0"/>
        <v>39561773.100000001</v>
      </c>
      <c r="L16" s="1292">
        <f t="shared" si="0"/>
        <v>35238658.68</v>
      </c>
      <c r="M16" s="1292">
        <f t="shared" si="0"/>
        <v>42286892.609999999</v>
      </c>
      <c r="N16" s="1292">
        <f t="shared" si="0"/>
        <v>38944179.239999995</v>
      </c>
      <c r="O16" s="1308">
        <f t="shared" si="0"/>
        <v>41487772.530000001</v>
      </c>
      <c r="P16" s="1308">
        <f t="shared" si="0"/>
        <v>40753844.549999997</v>
      </c>
      <c r="Q16" s="1308">
        <f t="shared" si="0"/>
        <v>42336046.649999999</v>
      </c>
      <c r="R16" s="1308">
        <f t="shared" si="0"/>
        <v>43096539.149999999</v>
      </c>
      <c r="S16" s="1292">
        <f t="shared" si="0"/>
        <v>38853275.189999998</v>
      </c>
      <c r="T16" s="1322">
        <f t="shared" si="0"/>
        <v>43928466.479999997</v>
      </c>
      <c r="U16" s="1292">
        <f t="shared" si="0"/>
        <v>49312062.240000002</v>
      </c>
      <c r="V16" s="1292">
        <f t="shared" si="0"/>
        <v>47431768.68</v>
      </c>
      <c r="W16" s="1292">
        <f t="shared" si="0"/>
        <v>46412919.171239994</v>
      </c>
      <c r="X16" s="1292">
        <f t="shared" si="0"/>
        <v>51190695.719999999</v>
      </c>
      <c r="Y16" s="1292">
        <f>Y17+Y18+Y19</f>
        <v>49291412.699999996</v>
      </c>
      <c r="Z16" s="1292">
        <f t="shared" si="0"/>
        <v>46531834.32</v>
      </c>
      <c r="AA16" s="1292">
        <f t="shared" si="0"/>
        <v>61975069.439999998</v>
      </c>
      <c r="AB16" s="1292">
        <f t="shared" si="0"/>
        <v>67069563.059999995</v>
      </c>
      <c r="AC16" s="1292">
        <f t="shared" ref="AC16:AH16" si="1">AC17+AC18+AC19</f>
        <v>110738419.07999998</v>
      </c>
      <c r="AD16" s="1292">
        <f t="shared" si="1"/>
        <v>103941682.89</v>
      </c>
      <c r="AE16" s="1292">
        <f t="shared" si="1"/>
        <v>107437713</v>
      </c>
      <c r="AF16" s="1292">
        <f t="shared" si="1"/>
        <v>110894687.00999999</v>
      </c>
      <c r="AG16" s="1292">
        <f t="shared" si="1"/>
        <v>128543793.63</v>
      </c>
      <c r="AH16" s="1292">
        <f t="shared" si="1"/>
        <v>116187523.2</v>
      </c>
    </row>
    <row r="17" spans="1:34">
      <c r="A17" s="338" t="s">
        <v>236</v>
      </c>
      <c r="B17" s="338">
        <v>6614231.5</v>
      </c>
      <c r="C17" s="1292">
        <v>26731653.059999999</v>
      </c>
      <c r="D17" s="1292">
        <v>29020583.039999999</v>
      </c>
      <c r="E17" s="1292">
        <v>24650981.07</v>
      </c>
      <c r="F17" s="1292">
        <v>29268093.690000001</v>
      </c>
      <c r="G17" s="1292">
        <v>25426494.719999999</v>
      </c>
      <c r="H17" s="1292">
        <v>27803780.16</v>
      </c>
      <c r="I17" s="1292">
        <v>29059096.199999999</v>
      </c>
      <c r="J17" s="1292">
        <v>29011797.780000001</v>
      </c>
      <c r="K17" s="1292">
        <v>26827181.670000002</v>
      </c>
      <c r="L17" s="1292">
        <v>24830309.82</v>
      </c>
      <c r="M17" s="1292">
        <v>27999880.77</v>
      </c>
      <c r="N17" s="1292">
        <v>26373084.300000001</v>
      </c>
      <c r="O17" s="1308">
        <v>27685741.170000002</v>
      </c>
      <c r="P17" s="1308">
        <v>27139073.190000001</v>
      </c>
      <c r="Q17" s="1308">
        <v>28314730.289999999</v>
      </c>
      <c r="R17" s="337">
        <v>29015879.82</v>
      </c>
      <c r="S17" s="338">
        <v>25908145.859999999</v>
      </c>
      <c r="T17" s="1321">
        <v>29959496.609999999</v>
      </c>
      <c r="U17" s="338">
        <v>33206359.199999999</v>
      </c>
      <c r="V17" s="338">
        <v>32580650.399999999</v>
      </c>
      <c r="W17" s="338">
        <v>32712795.599999998</v>
      </c>
      <c r="X17" s="338">
        <v>35288980.379999995</v>
      </c>
      <c r="Y17" s="338">
        <v>33446122.919999998</v>
      </c>
      <c r="Z17" s="338">
        <v>33638679.359999999</v>
      </c>
      <c r="AA17" s="338">
        <v>42034448.399999999</v>
      </c>
      <c r="AB17" s="338">
        <v>45633116.159999996</v>
      </c>
      <c r="AC17" s="1321">
        <v>75841354.199999988</v>
      </c>
      <c r="AD17" s="338">
        <v>71290405.890000001</v>
      </c>
      <c r="AE17" s="338">
        <v>73477940.879999995</v>
      </c>
      <c r="AF17" s="338">
        <v>75526378.799999997</v>
      </c>
      <c r="AG17" s="338">
        <v>87985383.299999997</v>
      </c>
      <c r="AH17" s="338">
        <v>79974550.950000003</v>
      </c>
    </row>
    <row r="18" spans="1:34">
      <c r="A18" s="338" t="s">
        <v>237</v>
      </c>
      <c r="B18" s="338">
        <v>8104479.1200000001</v>
      </c>
      <c r="C18" s="1292">
        <v>8708324.7599999998</v>
      </c>
      <c r="D18" s="1292">
        <f>D19*2</f>
        <v>9522564.4399999995</v>
      </c>
      <c r="E18" s="1292">
        <f t="shared" ref="E18:T18" si="2">E19*2</f>
        <v>8250384.4400000004</v>
      </c>
      <c r="F18" s="1292">
        <f t="shared" si="2"/>
        <v>9518838.8399999999</v>
      </c>
      <c r="G18" s="1292">
        <f t="shared" si="2"/>
        <v>8482382.9600000009</v>
      </c>
      <c r="H18" s="1292">
        <f t="shared" si="2"/>
        <v>9265898.4399999995</v>
      </c>
      <c r="I18" s="1292">
        <f t="shared" si="2"/>
        <v>9630974.6400000006</v>
      </c>
      <c r="J18" s="1292">
        <f t="shared" si="2"/>
        <v>9819084.4199999999</v>
      </c>
      <c r="K18" s="1292">
        <f t="shared" si="2"/>
        <v>8489727.6199999992</v>
      </c>
      <c r="L18" s="1292">
        <f t="shared" si="2"/>
        <v>6938899.2400000002</v>
      </c>
      <c r="M18" s="1292">
        <f t="shared" si="2"/>
        <v>9524674.5600000005</v>
      </c>
      <c r="N18" s="1292">
        <f t="shared" si="2"/>
        <v>8380729.96</v>
      </c>
      <c r="O18" s="1308">
        <f t="shared" si="2"/>
        <v>9201354.2400000002</v>
      </c>
      <c r="P18" s="1308">
        <f t="shared" si="2"/>
        <v>9076514.2400000002</v>
      </c>
      <c r="Q18" s="1308">
        <f t="shared" si="2"/>
        <v>9347544.2400000002</v>
      </c>
      <c r="R18" s="1308">
        <f t="shared" si="2"/>
        <v>9387106.2200000007</v>
      </c>
      <c r="S18" s="1308">
        <f t="shared" si="2"/>
        <v>8630086.2200000007</v>
      </c>
      <c r="T18" s="1322">
        <f t="shared" si="2"/>
        <v>9312646.5800000001</v>
      </c>
      <c r="U18" s="1322">
        <f>U19*2</f>
        <v>10737135.359999999</v>
      </c>
      <c r="V18" s="338">
        <v>9900745.5199999996</v>
      </c>
      <c r="W18" s="338">
        <v>9133415.714159999</v>
      </c>
      <c r="X18" s="338">
        <v>10601143.560000001</v>
      </c>
      <c r="Y18" s="338">
        <v>10563526.52</v>
      </c>
      <c r="Z18" s="338">
        <v>8595436.6400000006</v>
      </c>
      <c r="AA18" s="338">
        <f>AA19*2</f>
        <v>13293747.359999999</v>
      </c>
      <c r="AB18" s="338">
        <v>14290964.6</v>
      </c>
      <c r="AC18" s="1321">
        <v>23264709.919999998</v>
      </c>
      <c r="AD18" s="338">
        <v>21767518</v>
      </c>
      <c r="AE18" s="338">
        <f>AE19*2</f>
        <v>22639848.080000002</v>
      </c>
      <c r="AF18" s="338">
        <f>AF19*2</f>
        <v>23578872.140000001</v>
      </c>
      <c r="AG18" s="338">
        <f>AG19*2</f>
        <v>27038940.219999999</v>
      </c>
      <c r="AH18" s="338">
        <f>AH19*2</f>
        <v>24141981.5</v>
      </c>
    </row>
    <row r="19" spans="1:34">
      <c r="A19" s="338" t="s">
        <v>238</v>
      </c>
      <c r="B19" s="338">
        <v>4052239.56</v>
      </c>
      <c r="C19" s="1292">
        <v>4354162.38</v>
      </c>
      <c r="D19" s="1292">
        <v>4761282.22</v>
      </c>
      <c r="E19" s="1292">
        <v>4125192.22</v>
      </c>
      <c r="F19" s="1292">
        <v>4759419.42</v>
      </c>
      <c r="G19" s="1292">
        <v>4241191.4800000004</v>
      </c>
      <c r="H19" s="1292">
        <v>4632949.22</v>
      </c>
      <c r="I19" s="1292">
        <v>4815487.32</v>
      </c>
      <c r="J19" s="1292">
        <v>4909542.21</v>
      </c>
      <c r="K19" s="1292">
        <v>4244863.8099999996</v>
      </c>
      <c r="L19" s="1292">
        <v>3469449.62</v>
      </c>
      <c r="M19" s="1292">
        <v>4762337.2800000003</v>
      </c>
      <c r="N19" s="1292">
        <v>4190364.98</v>
      </c>
      <c r="O19" s="1308">
        <v>4600677.12</v>
      </c>
      <c r="P19" s="1308">
        <v>4538257.12</v>
      </c>
      <c r="Q19" s="1308">
        <v>4673772.12</v>
      </c>
      <c r="R19" s="337">
        <v>4693553.1100000003</v>
      </c>
      <c r="S19" s="338">
        <v>4315043.1100000003</v>
      </c>
      <c r="T19" s="1321">
        <v>4656323.29</v>
      </c>
      <c r="U19" s="338">
        <v>5368567.68</v>
      </c>
      <c r="V19" s="338">
        <v>4950372.76</v>
      </c>
      <c r="W19" s="338">
        <v>4566707.8570799995</v>
      </c>
      <c r="X19" s="338">
        <v>5300571.78</v>
      </c>
      <c r="Y19" s="338">
        <v>5281763.26</v>
      </c>
      <c r="Z19" s="338">
        <v>4297718.32</v>
      </c>
      <c r="AA19" s="338">
        <v>6646873.6799999997</v>
      </c>
      <c r="AB19" s="338">
        <v>7145482.2999999998</v>
      </c>
      <c r="AC19" s="1321">
        <v>11632354.959999999</v>
      </c>
      <c r="AD19" s="338">
        <v>10883759</v>
      </c>
      <c r="AE19" s="338">
        <v>11319924.040000001</v>
      </c>
      <c r="AF19" s="338">
        <v>11789436.07</v>
      </c>
      <c r="AG19" s="338">
        <v>13519470.109999999</v>
      </c>
      <c r="AH19" s="338">
        <v>12070990.75</v>
      </c>
    </row>
    <row r="20" spans="1:34" s="1280" customFormat="1">
      <c r="A20" s="1280" t="s">
        <v>239</v>
      </c>
      <c r="C20" s="1288"/>
      <c r="D20" s="1288"/>
      <c r="E20" s="1288"/>
      <c r="F20" s="1288"/>
      <c r="G20" s="1288"/>
      <c r="H20" s="1288"/>
      <c r="I20" s="1288"/>
      <c r="J20" s="1288"/>
      <c r="K20" s="1288"/>
      <c r="L20" s="1288"/>
      <c r="M20" s="1288"/>
      <c r="N20" s="1288"/>
      <c r="O20" s="1301"/>
      <c r="P20" s="1301"/>
      <c r="Q20" s="1301">
        <f>45950600/4</f>
        <v>11487650</v>
      </c>
      <c r="R20" s="1301">
        <f>45950600/12</f>
        <v>3829216.6666666665</v>
      </c>
      <c r="S20" s="1288">
        <f t="shared" ref="S20:Y20" si="3">R20</f>
        <v>3829216.6666666665</v>
      </c>
      <c r="T20" s="1288">
        <f t="shared" si="3"/>
        <v>3829216.6666666665</v>
      </c>
      <c r="U20" s="1288">
        <f t="shared" si="3"/>
        <v>3829216.6666666665</v>
      </c>
      <c r="V20" s="1288">
        <f t="shared" si="3"/>
        <v>3829216.6666666665</v>
      </c>
      <c r="W20" s="1288">
        <f t="shared" si="3"/>
        <v>3829216.6666666665</v>
      </c>
      <c r="X20" s="1288">
        <f t="shared" si="3"/>
        <v>3829216.6666666665</v>
      </c>
      <c r="Y20" s="1288">
        <f t="shared" si="3"/>
        <v>3829216.6666666665</v>
      </c>
      <c r="Z20" s="1288">
        <f t="shared" ref="Z20:AE20" si="4">Y20</f>
        <v>3829216.6666666665</v>
      </c>
      <c r="AA20" s="1288">
        <f t="shared" si="4"/>
        <v>3829216.6666666665</v>
      </c>
      <c r="AB20" s="1288">
        <f t="shared" si="4"/>
        <v>3829216.6666666665</v>
      </c>
      <c r="AC20" s="1288">
        <f t="shared" si="4"/>
        <v>3829216.6666666665</v>
      </c>
      <c r="AD20" s="1288">
        <f t="shared" si="4"/>
        <v>3829216.6666666665</v>
      </c>
      <c r="AE20" s="1288">
        <f t="shared" si="4"/>
        <v>3829216.6666666665</v>
      </c>
      <c r="AF20" s="1288">
        <f>AE20</f>
        <v>3829216.6666666665</v>
      </c>
      <c r="AG20" s="1288">
        <f>AF20</f>
        <v>3829216.6666666665</v>
      </c>
      <c r="AH20" s="1288">
        <f>AG20</f>
        <v>3829216.6666666665</v>
      </c>
    </row>
    <row r="21" spans="1:34" s="1280" customFormat="1">
      <c r="A21" s="1280" t="s">
        <v>240</v>
      </c>
      <c r="C21" s="1288"/>
      <c r="D21" s="1288"/>
      <c r="E21" s="1288"/>
      <c r="F21" s="1288"/>
      <c r="G21" s="1288"/>
      <c r="H21" s="1288"/>
      <c r="I21" s="1288"/>
      <c r="J21" s="1288"/>
      <c r="K21" s="1288"/>
      <c r="L21" s="1288"/>
      <c r="M21" s="1288"/>
      <c r="N21" s="1288"/>
      <c r="O21" s="1301"/>
      <c r="P21" s="1301"/>
      <c r="Q21" s="1301">
        <f t="shared" ref="Q21:V21" si="5">Q23*2</f>
        <v>3870795</v>
      </c>
      <c r="R21" s="1311">
        <f t="shared" si="5"/>
        <v>1312702</v>
      </c>
      <c r="S21" s="1280">
        <f t="shared" si="5"/>
        <v>1313445</v>
      </c>
      <c r="T21" s="1288">
        <f t="shared" si="5"/>
        <v>1470667.5</v>
      </c>
      <c r="U21" s="1288">
        <f t="shared" si="5"/>
        <v>1312717.5</v>
      </c>
      <c r="V21" s="1288">
        <f t="shared" si="5"/>
        <v>1275270</v>
      </c>
      <c r="W21" s="1288">
        <f t="shared" ref="W21:AC21" si="6">W23*2</f>
        <v>225765</v>
      </c>
      <c r="X21" s="1288">
        <f t="shared" si="6"/>
        <v>1591584.8</v>
      </c>
      <c r="Y21" s="1288">
        <f t="shared" si="6"/>
        <v>1247017.2</v>
      </c>
      <c r="Z21" s="1288">
        <f t="shared" si="6"/>
        <v>1629906.4</v>
      </c>
      <c r="AA21" s="1288">
        <f t="shared" si="6"/>
        <v>1494731.5999999999</v>
      </c>
      <c r="AB21" s="1288">
        <f t="shared" si="6"/>
        <v>1591017.2</v>
      </c>
      <c r="AC21" s="1288">
        <f t="shared" si="6"/>
        <v>2124494.4</v>
      </c>
      <c r="AD21" s="1288">
        <f>AD23*2</f>
        <v>2132427</v>
      </c>
      <c r="AE21" s="1288">
        <f>AE23*2</f>
        <v>2552220</v>
      </c>
      <c r="AF21" s="1288">
        <f>AF23*2</f>
        <v>2588326.86</v>
      </c>
      <c r="AG21" s="1288">
        <f>AG23*2</f>
        <v>158860</v>
      </c>
      <c r="AH21" s="1288">
        <f>AH23*2</f>
        <v>2616460</v>
      </c>
    </row>
    <row r="22" spans="1:34" s="1280" customFormat="1">
      <c r="A22" s="1280" t="s">
        <v>241</v>
      </c>
      <c r="C22" s="1288"/>
      <c r="D22" s="1288"/>
      <c r="E22" s="1288"/>
      <c r="F22" s="1288"/>
      <c r="G22" s="1288"/>
      <c r="H22" s="1288"/>
      <c r="I22" s="1288"/>
      <c r="J22" s="1288"/>
      <c r="K22" s="1288"/>
      <c r="L22" s="1288"/>
      <c r="M22" s="1288"/>
      <c r="N22" s="1288"/>
      <c r="O22" s="1301"/>
      <c r="P22" s="1301"/>
      <c r="Q22" s="1301">
        <f>1399488*3</f>
        <v>4198464</v>
      </c>
      <c r="R22" s="1301">
        <v>1399488</v>
      </c>
      <c r="S22" s="1288">
        <f t="shared" ref="S22:Y22" si="7">R22</f>
        <v>1399488</v>
      </c>
      <c r="T22" s="1288">
        <f t="shared" si="7"/>
        <v>1399488</v>
      </c>
      <c r="U22" s="1288">
        <f t="shared" si="7"/>
        <v>1399488</v>
      </c>
      <c r="V22" s="1288">
        <f t="shared" si="7"/>
        <v>1399488</v>
      </c>
      <c r="W22" s="1288">
        <f t="shared" si="7"/>
        <v>1399488</v>
      </c>
      <c r="X22" s="1288">
        <f t="shared" si="7"/>
        <v>1399488</v>
      </c>
      <c r="Y22" s="1288">
        <f t="shared" si="7"/>
        <v>1399488</v>
      </c>
      <c r="Z22" s="1288">
        <f t="shared" ref="Z22:AE22" si="8">Y22</f>
        <v>1399488</v>
      </c>
      <c r="AA22" s="1288">
        <f t="shared" si="8"/>
        <v>1399488</v>
      </c>
      <c r="AB22" s="1288">
        <f t="shared" si="8"/>
        <v>1399488</v>
      </c>
      <c r="AC22" s="1288">
        <f t="shared" si="8"/>
        <v>1399488</v>
      </c>
      <c r="AD22" s="1288">
        <f t="shared" si="8"/>
        <v>1399488</v>
      </c>
      <c r="AE22" s="1288">
        <f t="shared" si="8"/>
        <v>1399488</v>
      </c>
      <c r="AF22" s="1288">
        <f>AE22</f>
        <v>1399488</v>
      </c>
      <c r="AG22" s="1288">
        <f>AF22</f>
        <v>1399488</v>
      </c>
      <c r="AH22" s="1288">
        <f>AG22</f>
        <v>1399488</v>
      </c>
    </row>
    <row r="23" spans="1:34" s="1280" customFormat="1">
      <c r="A23" s="1280" t="s">
        <v>242</v>
      </c>
      <c r="C23" s="1288"/>
      <c r="D23" s="1288"/>
      <c r="E23" s="1288"/>
      <c r="F23" s="1288"/>
      <c r="G23" s="1288"/>
      <c r="H23" s="1288"/>
      <c r="I23" s="1288"/>
      <c r="J23" s="1288"/>
      <c r="K23" s="1288"/>
      <c r="L23" s="1288"/>
      <c r="M23" s="1288"/>
      <c r="N23" s="1288"/>
      <c r="O23" s="1301"/>
      <c r="P23" s="1301"/>
      <c r="Q23" s="1301">
        <v>1935397.5</v>
      </c>
      <c r="R23" s="1311">
        <v>656351</v>
      </c>
      <c r="S23" s="1288">
        <v>656722.5</v>
      </c>
      <c r="T23" s="1288">
        <v>735333.75</v>
      </c>
      <c r="U23" s="1280">
        <v>656358.75</v>
      </c>
      <c r="V23" s="1280">
        <v>637635</v>
      </c>
      <c r="W23" s="1280">
        <v>112882.5</v>
      </c>
      <c r="X23" s="1288">
        <v>795792.4</v>
      </c>
      <c r="Y23" s="1280">
        <v>623508.6</v>
      </c>
      <c r="Z23" s="1280">
        <v>814953.2</v>
      </c>
      <c r="AA23" s="1280">
        <v>747365.79999999993</v>
      </c>
      <c r="AB23" s="1280">
        <v>795508.6</v>
      </c>
      <c r="AC23" s="1280">
        <v>1062247.2</v>
      </c>
      <c r="AD23" s="1280">
        <v>1066213.5</v>
      </c>
      <c r="AE23" s="1280">
        <f>198000*1289*0.005</f>
        <v>1276110</v>
      </c>
      <c r="AF23" s="2542">
        <v>1294163.43</v>
      </c>
      <c r="AG23" s="1288">
        <v>79430</v>
      </c>
      <c r="AH23" s="1280">
        <v>1308230</v>
      </c>
    </row>
    <row r="24" spans="1:34">
      <c r="A24" s="338" t="s">
        <v>243</v>
      </c>
      <c r="C24" s="1292">
        <v>2311820.16</v>
      </c>
      <c r="D24" s="1292">
        <v>2309242.8799999999</v>
      </c>
      <c r="E24" s="1292">
        <v>2273160.96</v>
      </c>
      <c r="F24" s="1292">
        <v>2296356.48</v>
      </c>
      <c r="G24" s="1292">
        <v>2244810.88</v>
      </c>
      <c r="H24" s="1292">
        <v>2453570.5600000001</v>
      </c>
      <c r="I24" s="1292">
        <v>2332438.4</v>
      </c>
      <c r="J24" s="1292">
        <v>1755127.68</v>
      </c>
      <c r="K24" s="1292">
        <v>2409756.7999999998</v>
      </c>
      <c r="L24" s="1292">
        <v>1633995.52</v>
      </c>
      <c r="M24" s="1292">
        <v>2533466.2400000002</v>
      </c>
      <c r="N24" s="1292">
        <v>2559239.04</v>
      </c>
      <c r="O24" s="1308">
        <v>1878837.12</v>
      </c>
      <c r="P24" s="1308">
        <v>0</v>
      </c>
      <c r="Q24" s="1308">
        <v>0</v>
      </c>
      <c r="R24" s="337">
        <v>0</v>
      </c>
    </row>
    <row r="25" spans="1:34">
      <c r="A25" s="338" t="s">
        <v>244</v>
      </c>
      <c r="C25" s="1292">
        <v>4621500</v>
      </c>
      <c r="D25" s="1292">
        <v>4621500</v>
      </c>
      <c r="E25" s="1292">
        <f t="shared" ref="E25:O25" si="9">D25</f>
        <v>4621500</v>
      </c>
      <c r="F25" s="1292">
        <f t="shared" si="9"/>
        <v>4621500</v>
      </c>
      <c r="G25" s="1292">
        <f t="shared" si="9"/>
        <v>4621500</v>
      </c>
      <c r="H25" s="1292">
        <f t="shared" si="9"/>
        <v>4621500</v>
      </c>
      <c r="I25" s="1292">
        <f t="shared" si="9"/>
        <v>4621500</v>
      </c>
      <c r="J25" s="1292">
        <f t="shared" si="9"/>
        <v>4621500</v>
      </c>
      <c r="K25" s="1292">
        <f t="shared" si="9"/>
        <v>4621500</v>
      </c>
      <c r="L25" s="1292">
        <f t="shared" si="9"/>
        <v>4621500</v>
      </c>
      <c r="M25" s="1292">
        <f t="shared" si="9"/>
        <v>4621500</v>
      </c>
      <c r="N25" s="1292">
        <f t="shared" si="9"/>
        <v>4621500</v>
      </c>
      <c r="O25" s="1308">
        <f t="shared" si="9"/>
        <v>4621500</v>
      </c>
      <c r="P25" s="1308">
        <f t="shared" ref="P25:U25" si="10">O25</f>
        <v>4621500</v>
      </c>
      <c r="Q25" s="1308">
        <f t="shared" si="10"/>
        <v>4621500</v>
      </c>
      <c r="R25" s="1308">
        <f t="shared" si="10"/>
        <v>4621500</v>
      </c>
      <c r="S25" s="1308">
        <f t="shared" si="10"/>
        <v>4621500</v>
      </c>
      <c r="T25" s="1308">
        <f t="shared" si="10"/>
        <v>4621500</v>
      </c>
      <c r="U25" s="1308">
        <f t="shared" si="10"/>
        <v>4621500</v>
      </c>
      <c r="V25" s="1292">
        <f>U25</f>
        <v>4621500</v>
      </c>
      <c r="W25" s="1292">
        <f>V25</f>
        <v>4621500</v>
      </c>
      <c r="X25" s="1292">
        <f>W25</f>
        <v>4621500</v>
      </c>
      <c r="Y25" s="1292">
        <f>X25</f>
        <v>4621500</v>
      </c>
      <c r="Z25" s="1292">
        <f>Y25</f>
        <v>4621500</v>
      </c>
      <c r="AA25" s="338">
        <v>4621500</v>
      </c>
      <c r="AB25" s="338">
        <v>4621500</v>
      </c>
      <c r="AC25" s="338">
        <v>4621500</v>
      </c>
      <c r="AD25" s="1292">
        <v>4621500</v>
      </c>
      <c r="AE25" s="1292">
        <v>4621500</v>
      </c>
      <c r="AF25" s="1292">
        <v>4621500</v>
      </c>
      <c r="AG25" s="1292">
        <v>4621500</v>
      </c>
      <c r="AH25" s="1292">
        <v>4621500</v>
      </c>
    </row>
    <row r="26" spans="1:34" ht="12.75" customHeight="1">
      <c r="A26" s="338" t="s">
        <v>245</v>
      </c>
      <c r="C26" s="1292">
        <v>1028572.55</v>
      </c>
      <c r="D26" s="1292"/>
      <c r="E26" s="1292"/>
      <c r="F26" s="1292">
        <v>1072356.8899999999</v>
      </c>
      <c r="G26" s="1292"/>
      <c r="H26" s="1292"/>
      <c r="I26" s="1292">
        <v>1206299.29</v>
      </c>
      <c r="J26" s="1292"/>
      <c r="K26" s="1292"/>
      <c r="L26" s="1292">
        <v>1328338.28</v>
      </c>
      <c r="M26" s="1292"/>
      <c r="N26" s="1292">
        <v>1148543.44</v>
      </c>
      <c r="O26" s="1308"/>
      <c r="P26" s="1308"/>
      <c r="Q26" s="1308"/>
      <c r="R26" s="1308">
        <v>1042447.38</v>
      </c>
      <c r="U26" s="1292">
        <v>1036456.12</v>
      </c>
      <c r="V26" s="338">
        <v>0</v>
      </c>
      <c r="W26" s="338">
        <v>0</v>
      </c>
      <c r="X26" s="1292">
        <v>1103103.1200000001</v>
      </c>
      <c r="AD26" s="1292">
        <v>1075868.3799999999</v>
      </c>
    </row>
    <row r="27" spans="1:34">
      <c r="A27" s="338" t="s">
        <v>246</v>
      </c>
      <c r="C27" s="1292">
        <v>6801660.96</v>
      </c>
      <c r="D27" s="1292">
        <v>6801660.96</v>
      </c>
      <c r="E27" s="1292">
        <v>6801660.96</v>
      </c>
      <c r="F27" s="1292">
        <f t="shared" ref="F27:I28" si="11">E27</f>
        <v>6801660.96</v>
      </c>
      <c r="G27" s="1292">
        <f t="shared" si="11"/>
        <v>6801660.96</v>
      </c>
      <c r="H27" s="1292">
        <f t="shared" si="11"/>
        <v>6801660.96</v>
      </c>
      <c r="I27" s="1292">
        <f t="shared" si="11"/>
        <v>6801660.96</v>
      </c>
      <c r="J27" s="1292">
        <f t="shared" ref="J27:M28" si="12">I27</f>
        <v>6801660.96</v>
      </c>
      <c r="K27" s="1292">
        <f t="shared" si="12"/>
        <v>6801660.96</v>
      </c>
      <c r="L27" s="1292">
        <f t="shared" si="12"/>
        <v>6801660.96</v>
      </c>
      <c r="M27" s="1292">
        <f t="shared" si="12"/>
        <v>6801660.96</v>
      </c>
      <c r="N27" s="1292">
        <f>M27</f>
        <v>6801660.96</v>
      </c>
      <c r="O27" s="1308">
        <f>N27</f>
        <v>6801660.96</v>
      </c>
      <c r="P27" s="1308">
        <f t="shared" ref="P27:R28" si="13">O27</f>
        <v>6801660.96</v>
      </c>
      <c r="Q27" s="1308">
        <f t="shared" si="13"/>
        <v>6801660.96</v>
      </c>
      <c r="R27" s="1308">
        <f t="shared" si="13"/>
        <v>6801660.96</v>
      </c>
      <c r="S27" s="1323">
        <f t="shared" ref="S27:U28" si="14">R27</f>
        <v>6801660.96</v>
      </c>
      <c r="T27" s="1323">
        <f t="shared" si="14"/>
        <v>6801660.96</v>
      </c>
      <c r="U27" s="1323">
        <v>7078275</v>
      </c>
      <c r="V27" s="1292">
        <f t="shared" ref="V27:Y28" si="15">U27</f>
        <v>7078275</v>
      </c>
      <c r="W27" s="1292">
        <f t="shared" si="15"/>
        <v>7078275</v>
      </c>
      <c r="X27" s="1292">
        <f t="shared" si="15"/>
        <v>7078275</v>
      </c>
      <c r="Y27" s="1292">
        <f t="shared" si="15"/>
        <v>7078275</v>
      </c>
      <c r="Z27" s="1292">
        <v>8737965.3600000106</v>
      </c>
      <c r="AA27" s="1292">
        <v>7078275</v>
      </c>
      <c r="AB27" s="1292">
        <v>7078275</v>
      </c>
      <c r="AC27" s="1292">
        <v>7078275</v>
      </c>
      <c r="AD27" s="1292">
        <v>7078275</v>
      </c>
      <c r="AE27" s="1292">
        <v>7078275</v>
      </c>
      <c r="AF27" s="1292">
        <v>7078275</v>
      </c>
      <c r="AG27" s="1292">
        <v>7078275</v>
      </c>
      <c r="AH27" s="1292">
        <v>7078275</v>
      </c>
    </row>
    <row r="28" spans="1:34" s="1284" customFormat="1">
      <c r="A28" s="1284" t="s">
        <v>247</v>
      </c>
      <c r="C28" s="1293">
        <v>74326.53</v>
      </c>
      <c r="D28" s="1293">
        <f>C28</f>
        <v>74326.53</v>
      </c>
      <c r="E28" s="1293">
        <f>D28</f>
        <v>74326.53</v>
      </c>
      <c r="F28" s="1293">
        <f t="shared" si="11"/>
        <v>74326.53</v>
      </c>
      <c r="G28" s="1293">
        <f t="shared" si="11"/>
        <v>74326.53</v>
      </c>
      <c r="H28" s="1293">
        <f t="shared" si="11"/>
        <v>74326.53</v>
      </c>
      <c r="I28" s="1293">
        <f t="shared" si="11"/>
        <v>74326.53</v>
      </c>
      <c r="J28" s="1293">
        <f t="shared" si="12"/>
        <v>74326.53</v>
      </c>
      <c r="K28" s="1293">
        <f t="shared" si="12"/>
        <v>74326.53</v>
      </c>
      <c r="L28" s="1293">
        <f t="shared" si="12"/>
        <v>74326.53</v>
      </c>
      <c r="M28" s="1293">
        <f t="shared" si="12"/>
        <v>74326.53</v>
      </c>
      <c r="N28" s="1293">
        <f>M28</f>
        <v>74326.53</v>
      </c>
      <c r="O28" s="1309">
        <f>N28</f>
        <v>74326.53</v>
      </c>
      <c r="P28" s="1309">
        <f t="shared" si="13"/>
        <v>74326.53</v>
      </c>
      <c r="Q28" s="1309">
        <f t="shared" si="13"/>
        <v>74326.53</v>
      </c>
      <c r="R28" s="1309">
        <f t="shared" si="13"/>
        <v>74326.53</v>
      </c>
      <c r="S28" s="1324">
        <f t="shared" si="14"/>
        <v>74326.53</v>
      </c>
      <c r="T28" s="1324">
        <f t="shared" si="14"/>
        <v>74326.53</v>
      </c>
      <c r="U28" s="1324">
        <f t="shared" si="14"/>
        <v>74326.53</v>
      </c>
      <c r="V28" s="1293">
        <f t="shared" si="15"/>
        <v>74326.53</v>
      </c>
      <c r="W28" s="1293">
        <f t="shared" si="15"/>
        <v>74326.53</v>
      </c>
      <c r="X28" s="1293">
        <f t="shared" si="15"/>
        <v>74326.53</v>
      </c>
      <c r="Y28" s="1293">
        <f t="shared" si="15"/>
        <v>74326.53</v>
      </c>
      <c r="Z28" s="1293">
        <f>Y28</f>
        <v>74326.53</v>
      </c>
      <c r="AA28" s="1284">
        <v>74326.53</v>
      </c>
      <c r="AB28" s="1284">
        <v>74326.53</v>
      </c>
      <c r="AC28" s="1284">
        <v>74326.53</v>
      </c>
      <c r="AD28" s="1293">
        <v>74326.53</v>
      </c>
      <c r="AE28" s="1293">
        <v>74326.53</v>
      </c>
      <c r="AF28" s="1293">
        <v>74326.53</v>
      </c>
      <c r="AG28" s="1293">
        <v>74326.53</v>
      </c>
      <c r="AH28" s="1293">
        <v>74326.53</v>
      </c>
    </row>
    <row r="29" spans="1:34">
      <c r="A29" s="338" t="s">
        <v>248</v>
      </c>
      <c r="C29" s="1292">
        <v>48312483.560000002</v>
      </c>
      <c r="D29" s="1292">
        <v>33224359.100000001</v>
      </c>
      <c r="E29" s="1292">
        <v>37629708.729999997</v>
      </c>
      <c r="F29" s="1292">
        <v>39144208.920000002</v>
      </c>
      <c r="G29" s="1292">
        <v>39048419.130000003</v>
      </c>
      <c r="H29" s="1292">
        <v>32173306.379999999</v>
      </c>
      <c r="I29" s="1292">
        <v>30705513.43</v>
      </c>
      <c r="J29" s="1292">
        <v>40731281.490000002</v>
      </c>
      <c r="K29" s="1292">
        <v>43286674.729999997</v>
      </c>
      <c r="L29" s="1292">
        <v>33767330.5</v>
      </c>
      <c r="M29" s="1292">
        <v>29188403.129999999</v>
      </c>
      <c r="N29" s="1292">
        <v>7968281.9400000004</v>
      </c>
      <c r="O29" s="1308">
        <v>49853335.530000001</v>
      </c>
      <c r="P29" s="1308">
        <v>36055633.090000004</v>
      </c>
      <c r="Q29" s="1308">
        <v>31530848.09</v>
      </c>
      <c r="R29" s="337">
        <v>35302828.490000002</v>
      </c>
      <c r="S29" s="338">
        <v>33232755.129999999</v>
      </c>
      <c r="T29" s="338">
        <v>30009139.109999999</v>
      </c>
      <c r="U29" s="338">
        <v>29649946.25</v>
      </c>
      <c r="V29" s="1292">
        <v>27343060.920000002</v>
      </c>
      <c r="W29" s="338">
        <v>56346631.789999999</v>
      </c>
      <c r="X29" s="338">
        <v>26359104.609999999</v>
      </c>
      <c r="Y29" s="338">
        <v>31073440.300000001</v>
      </c>
      <c r="Z29" s="338">
        <v>29121782.449999999</v>
      </c>
      <c r="AA29" s="338">
        <v>49292652.229999997</v>
      </c>
      <c r="AB29" s="338">
        <v>24931882.43</v>
      </c>
      <c r="AC29" s="338">
        <v>18827995.780000001</v>
      </c>
      <c r="AD29" s="1292">
        <v>22232431.890000001</v>
      </c>
      <c r="AE29" s="1292">
        <v>28250682.010000002</v>
      </c>
      <c r="AF29" s="338">
        <v>23702751.640000001</v>
      </c>
      <c r="AG29" s="2576">
        <v>32686277.280000001</v>
      </c>
      <c r="AH29" s="338">
        <v>29656827.73</v>
      </c>
    </row>
    <row r="30" spans="1:34">
      <c r="A30" s="338" t="s">
        <v>249</v>
      </c>
      <c r="C30" s="1292">
        <v>12129358.92</v>
      </c>
      <c r="D30" s="1292">
        <v>12129358.83</v>
      </c>
      <c r="E30" s="1292">
        <v>12129358.9</v>
      </c>
      <c r="F30" s="1292">
        <v>12129358.9</v>
      </c>
      <c r="G30" s="1292">
        <v>12129358.869999999</v>
      </c>
      <c r="H30" s="1292">
        <v>12129358.890000001</v>
      </c>
      <c r="I30" s="1292">
        <v>12129358.890000001</v>
      </c>
      <c r="J30" s="1292">
        <v>12129358.890000001</v>
      </c>
      <c r="K30" s="1292">
        <v>12129358.9</v>
      </c>
      <c r="L30" s="1292">
        <v>12129358.9</v>
      </c>
      <c r="M30" s="1292">
        <v>12129358.9</v>
      </c>
      <c r="N30" s="1292">
        <v>12129358.9</v>
      </c>
      <c r="O30" s="1308">
        <v>15958578.689999999</v>
      </c>
      <c r="P30" s="1308">
        <v>15958578.59</v>
      </c>
      <c r="Q30" s="1308">
        <v>15958578.59</v>
      </c>
      <c r="R30" s="337">
        <v>15961895.34</v>
      </c>
      <c r="S30" s="338">
        <v>15961895.300000001</v>
      </c>
      <c r="T30" s="338">
        <v>-7231099.2999999998</v>
      </c>
      <c r="U30" s="338">
        <v>12096396.25</v>
      </c>
      <c r="V30" s="1292">
        <v>12096396.16</v>
      </c>
      <c r="W30" s="338">
        <v>12096396.24</v>
      </c>
      <c r="X30" s="338">
        <v>12096396.24</v>
      </c>
      <c r="Y30" s="338">
        <v>12096396.199999999</v>
      </c>
      <c r="Z30" s="338">
        <v>12131419.369999999</v>
      </c>
      <c r="AA30" s="338">
        <v>15958578.689999999</v>
      </c>
      <c r="AB30" s="338">
        <v>12409390.83</v>
      </c>
      <c r="AC30" s="338">
        <v>12409390.869999999</v>
      </c>
      <c r="AD30" s="1292">
        <v>12409390.98</v>
      </c>
      <c r="AE30" s="338">
        <v>12409390.85</v>
      </c>
      <c r="AF30" s="338">
        <v>12409390.890000001</v>
      </c>
      <c r="AG30" s="2576">
        <v>13313626.460000001</v>
      </c>
      <c r="AH30" s="338">
        <v>13311275.02</v>
      </c>
    </row>
    <row r="31" spans="1:34" s="1282" customFormat="1" ht="14.25">
      <c r="A31" s="1282" t="s">
        <v>250</v>
      </c>
      <c r="C31" s="1290">
        <v>1691404.18</v>
      </c>
      <c r="D31" s="1290">
        <v>1227134.1000000001</v>
      </c>
      <c r="E31" s="1290">
        <v>1295852.3700000001</v>
      </c>
      <c r="F31" s="1290">
        <v>1292897.7</v>
      </c>
      <c r="G31" s="1290">
        <v>1715266.9</v>
      </c>
      <c r="H31" s="1290">
        <v>1374028.32</v>
      </c>
      <c r="I31" s="1310">
        <v>1268069.3999999999</v>
      </c>
      <c r="J31" s="1290">
        <v>1345213.2</v>
      </c>
      <c r="K31" s="1290">
        <v>1569369.72</v>
      </c>
      <c r="L31" s="1290">
        <v>2896758</v>
      </c>
      <c r="M31" s="1290">
        <v>1363254.7</v>
      </c>
      <c r="N31" s="1290">
        <v>1981395</v>
      </c>
      <c r="O31" s="1304">
        <v>1753556.14</v>
      </c>
      <c r="P31" s="1304">
        <v>1285067</v>
      </c>
      <c r="Q31" s="1304">
        <v>1274319.47</v>
      </c>
      <c r="R31" s="1317">
        <v>1275898.6000000001</v>
      </c>
      <c r="S31" s="1282">
        <v>1423659.8</v>
      </c>
      <c r="T31" s="1282">
        <v>1495392.67</v>
      </c>
      <c r="U31" s="1282">
        <v>1447581</v>
      </c>
      <c r="V31" s="1282">
        <v>1517441.3</v>
      </c>
      <c r="W31" s="1282">
        <v>1719253.59</v>
      </c>
      <c r="X31" s="1282">
        <v>2826218.2</v>
      </c>
      <c r="Y31" s="1282">
        <v>1441382.9</v>
      </c>
      <c r="Z31" s="1282">
        <v>1685424.93</v>
      </c>
      <c r="AA31" s="1282">
        <v>0</v>
      </c>
      <c r="AB31" s="1282">
        <v>0</v>
      </c>
      <c r="AC31" s="1282">
        <v>0</v>
      </c>
      <c r="AD31" s="1282">
        <v>0</v>
      </c>
      <c r="AE31" s="1282">
        <v>0</v>
      </c>
      <c r="AF31" s="1282">
        <v>0</v>
      </c>
      <c r="AG31" s="1282">
        <v>0</v>
      </c>
      <c r="AH31" s="1282">
        <v>0</v>
      </c>
    </row>
    <row r="32" spans="1:34" s="1282" customFormat="1">
      <c r="A32" s="1282" t="s">
        <v>251</v>
      </c>
      <c r="C32" s="1290">
        <v>109504</v>
      </c>
      <c r="D32" s="1290">
        <v>0</v>
      </c>
      <c r="E32" s="1290">
        <v>57868</v>
      </c>
      <c r="F32" s="1290">
        <v>67872</v>
      </c>
      <c r="G32" s="1290">
        <v>440598</v>
      </c>
      <c r="H32" s="1290">
        <v>263296</v>
      </c>
      <c r="I32" s="1290">
        <v>405068</v>
      </c>
      <c r="J32" s="1290">
        <v>548690</v>
      </c>
      <c r="K32" s="1290">
        <v>400608</v>
      </c>
      <c r="L32" s="1290">
        <v>445940</v>
      </c>
      <c r="M32" s="1290">
        <v>119164</v>
      </c>
      <c r="N32" s="1290">
        <v>297561</v>
      </c>
      <c r="O32" s="1304">
        <v>235763</v>
      </c>
      <c r="P32" s="1304">
        <v>137200</v>
      </c>
      <c r="Q32" s="1304">
        <v>106582</v>
      </c>
      <c r="R32" s="1317">
        <v>182327</v>
      </c>
      <c r="S32" s="1282">
        <v>108462</v>
      </c>
      <c r="T32" s="1282">
        <v>296430</v>
      </c>
      <c r="U32" s="1282">
        <v>0</v>
      </c>
      <c r="V32" s="1282">
        <v>0</v>
      </c>
      <c r="W32" s="1282">
        <v>154330</v>
      </c>
      <c r="X32" s="1282">
        <v>67800</v>
      </c>
      <c r="Y32" s="1282">
        <v>140394</v>
      </c>
      <c r="Z32" s="1282">
        <v>108725</v>
      </c>
      <c r="AA32" s="1282">
        <v>0</v>
      </c>
      <c r="AB32" s="1282">
        <v>0</v>
      </c>
      <c r="AC32" s="1282">
        <v>0</v>
      </c>
      <c r="AD32" s="1282">
        <v>0</v>
      </c>
      <c r="AE32" s="1282">
        <v>0</v>
      </c>
      <c r="AF32" s="1282">
        <v>0</v>
      </c>
      <c r="AG32" s="1282">
        <v>0</v>
      </c>
      <c r="AH32" s="1282">
        <v>0</v>
      </c>
    </row>
    <row r="33" spans="1:34" s="1282" customFormat="1">
      <c r="A33" s="1282" t="s">
        <v>252</v>
      </c>
      <c r="C33" s="1290">
        <v>0</v>
      </c>
      <c r="D33" s="1290">
        <v>2248000</v>
      </c>
      <c r="E33" s="1290">
        <v>1124000</v>
      </c>
      <c r="F33" s="1290">
        <v>1124000</v>
      </c>
      <c r="G33" s="1290">
        <v>1124000</v>
      </c>
      <c r="H33" s="1290">
        <v>1124000</v>
      </c>
      <c r="I33" s="1290">
        <v>1124000</v>
      </c>
      <c r="J33" s="1290">
        <v>1124000</v>
      </c>
      <c r="K33" s="1290">
        <v>1124000</v>
      </c>
      <c r="L33" s="1290">
        <v>1124000</v>
      </c>
      <c r="M33" s="1290">
        <v>1124000</v>
      </c>
      <c r="N33" s="1290">
        <v>1136000</v>
      </c>
      <c r="O33" s="1304">
        <v>1124000</v>
      </c>
      <c r="P33" s="1304">
        <v>1124000</v>
      </c>
      <c r="Q33" s="1304">
        <v>1124000</v>
      </c>
      <c r="R33" s="1304">
        <v>1124000</v>
      </c>
      <c r="S33" s="1282">
        <v>1124000</v>
      </c>
      <c r="T33" s="1282">
        <f>S33</f>
        <v>1124000</v>
      </c>
      <c r="U33" s="1282">
        <f>T33</f>
        <v>1124000</v>
      </c>
      <c r="V33" s="1282">
        <v>1124000</v>
      </c>
      <c r="W33" s="1282">
        <v>1124000</v>
      </c>
      <c r="X33" s="1282">
        <v>1124000</v>
      </c>
      <c r="Y33" s="1282">
        <v>1124000</v>
      </c>
      <c r="Z33" s="1282">
        <f>16000000-1124000*11</f>
        <v>3636000</v>
      </c>
      <c r="AA33" s="1282">
        <v>1124000</v>
      </c>
      <c r="AB33" s="1282">
        <v>1124000</v>
      </c>
      <c r="AC33" s="1282">
        <v>1124000</v>
      </c>
      <c r="AD33" s="1282">
        <v>1124000</v>
      </c>
      <c r="AE33" s="1282">
        <f>AD33</f>
        <v>1124000</v>
      </c>
      <c r="AF33" s="1282">
        <v>1124000</v>
      </c>
      <c r="AG33" s="1282">
        <v>1124000</v>
      </c>
      <c r="AH33" s="1282">
        <v>1124000</v>
      </c>
    </row>
    <row r="34" spans="1:34" s="1281" customFormat="1">
      <c r="A34" s="1281" t="s">
        <v>253</v>
      </c>
      <c r="C34" s="1289">
        <v>1443446.53</v>
      </c>
      <c r="D34" s="1289">
        <v>1010305.12</v>
      </c>
      <c r="E34" s="1289">
        <v>408665.47</v>
      </c>
      <c r="F34" s="1289">
        <v>916495.2</v>
      </c>
      <c r="G34" s="1289">
        <v>191143.75</v>
      </c>
      <c r="H34" s="1289">
        <v>380997.05</v>
      </c>
      <c r="I34" s="1289">
        <v>86534</v>
      </c>
      <c r="J34" s="1289">
        <v>835146.37</v>
      </c>
      <c r="K34" s="1289">
        <v>77014.899999999994</v>
      </c>
      <c r="L34" s="1289">
        <v>130265.41</v>
      </c>
      <c r="M34" s="1289">
        <v>67928.08</v>
      </c>
      <c r="N34" s="1289">
        <v>43843.88</v>
      </c>
      <c r="O34" s="1303">
        <v>860906.56</v>
      </c>
      <c r="P34" s="1303">
        <v>864717.53</v>
      </c>
      <c r="Q34" s="1303">
        <v>19614.330000000002</v>
      </c>
      <c r="R34" s="1315">
        <v>1246639.76</v>
      </c>
      <c r="S34" s="1281">
        <v>174470.82</v>
      </c>
      <c r="T34" s="1281">
        <v>174682.47</v>
      </c>
      <c r="U34" s="1281">
        <v>876570.54</v>
      </c>
      <c r="V34" s="1281">
        <v>4998.6899999999996</v>
      </c>
      <c r="W34" s="1281">
        <v>118203.42</v>
      </c>
      <c r="X34" s="1281">
        <v>805434.86</v>
      </c>
      <c r="Y34" s="1281">
        <v>344698.68</v>
      </c>
      <c r="Z34" s="1281">
        <v>286386.40000000002</v>
      </c>
      <c r="AA34" s="1281">
        <v>383943.99</v>
      </c>
      <c r="AB34" s="1281">
        <v>689433.43</v>
      </c>
      <c r="AC34" s="1281">
        <v>327624.69</v>
      </c>
      <c r="AD34" s="1281">
        <v>725012.19</v>
      </c>
      <c r="AE34" s="1281">
        <v>428951.93</v>
      </c>
      <c r="AF34" s="1281">
        <v>267109.43</v>
      </c>
      <c r="AG34" s="1281">
        <v>182495.13</v>
      </c>
      <c r="AH34" s="1281">
        <v>679257.94</v>
      </c>
    </row>
    <row r="35" spans="1:34">
      <c r="A35" s="338" t="s">
        <v>254</v>
      </c>
      <c r="C35" s="1292"/>
      <c r="D35" s="1292"/>
      <c r="E35" s="1292"/>
      <c r="F35" s="1292"/>
      <c r="G35" s="1292"/>
      <c r="H35" s="1292"/>
      <c r="I35" s="1292"/>
      <c r="J35" s="1292"/>
      <c r="K35" s="1292"/>
      <c r="L35" s="1292"/>
      <c r="M35" s="1292"/>
      <c r="N35" s="1292"/>
      <c r="O35" s="1308"/>
      <c r="P35" s="1308"/>
      <c r="Q35" s="1308"/>
    </row>
    <row r="36" spans="1:34">
      <c r="A36" s="338" t="s">
        <v>255</v>
      </c>
      <c r="C36" s="1292">
        <v>80075000</v>
      </c>
      <c r="D36" s="1292"/>
      <c r="E36" s="1292"/>
      <c r="F36" s="1292"/>
      <c r="G36" s="1292"/>
      <c r="H36" s="1292"/>
      <c r="I36" s="1292"/>
      <c r="J36" s="1292"/>
      <c r="K36" s="1292"/>
      <c r="L36" s="1292"/>
      <c r="M36" s="1292"/>
      <c r="N36" s="1292"/>
      <c r="O36" s="1308"/>
      <c r="P36" s="1308"/>
      <c r="Q36" s="1308"/>
    </row>
    <row r="37" spans="1:34" s="1284" customFormat="1">
      <c r="A37" s="1284" t="s">
        <v>256</v>
      </c>
      <c r="C37" s="1293">
        <v>-16930894.2958</v>
      </c>
      <c r="D37" s="1293"/>
      <c r="E37" s="1293"/>
      <c r="F37" s="1293"/>
      <c r="G37" s="1293"/>
      <c r="H37" s="1293"/>
      <c r="I37" s="1293"/>
      <c r="J37" s="1293"/>
      <c r="K37" s="1293"/>
      <c r="L37" s="1293"/>
      <c r="M37" s="1293"/>
      <c r="N37" s="1293"/>
      <c r="O37" s="1309"/>
      <c r="P37" s="1309"/>
      <c r="Q37" s="1309"/>
      <c r="R37" s="1325"/>
    </row>
    <row r="38" spans="1:34" s="1285" customFormat="1">
      <c r="A38" s="1294" t="s">
        <v>198</v>
      </c>
      <c r="C38" s="1295">
        <v>27.54</v>
      </c>
      <c r="D38" s="1296">
        <v>26.21</v>
      </c>
      <c r="E38" s="1295">
        <v>24.44</v>
      </c>
      <c r="F38" s="1295">
        <v>28.65</v>
      </c>
      <c r="G38" s="1295">
        <v>25.1</v>
      </c>
      <c r="H38" s="1295">
        <v>27.94</v>
      </c>
      <c r="I38" s="1295">
        <v>26.35</v>
      </c>
      <c r="J38" s="1295">
        <v>27.81</v>
      </c>
      <c r="K38" s="1295">
        <v>26.83</v>
      </c>
      <c r="L38" s="1295">
        <v>26.61</v>
      </c>
      <c r="M38" s="1295">
        <v>22.85</v>
      </c>
      <c r="N38" s="1295">
        <v>25.51</v>
      </c>
      <c r="O38" s="1311">
        <v>24.1</v>
      </c>
      <c r="P38" s="1312">
        <v>31.62</v>
      </c>
      <c r="Q38" s="1311">
        <v>27.5</v>
      </c>
      <c r="R38" s="1311">
        <v>29.82</v>
      </c>
      <c r="S38" s="1285">
        <v>28.83</v>
      </c>
      <c r="T38" s="1326">
        <v>29.95</v>
      </c>
      <c r="U38" s="1285">
        <v>10.9</v>
      </c>
      <c r="V38" s="1285">
        <v>23.74</v>
      </c>
      <c r="W38" s="1285">
        <v>24.49</v>
      </c>
      <c r="X38" s="1285">
        <v>28.68</v>
      </c>
      <c r="Y38" s="1285">
        <v>29.19</v>
      </c>
      <c r="Z38" s="1285">
        <v>26.4</v>
      </c>
      <c r="AA38" s="1285">
        <v>28.7</v>
      </c>
      <c r="AB38" s="1285">
        <v>27.73</v>
      </c>
      <c r="AC38" s="1285">
        <v>27.74</v>
      </c>
      <c r="AD38" s="1285">
        <v>29.35</v>
      </c>
      <c r="AE38" s="1285">
        <v>31</v>
      </c>
      <c r="AF38" s="1285">
        <v>32.81</v>
      </c>
      <c r="AG38" s="1285">
        <v>31.43</v>
      </c>
      <c r="AH38" s="1285">
        <v>30.84</v>
      </c>
    </row>
    <row r="39" spans="1:34" s="1285" customFormat="1">
      <c r="A39" s="1294" t="s">
        <v>199</v>
      </c>
      <c r="C39" s="1295"/>
      <c r="D39" s="1296"/>
      <c r="E39" s="1295"/>
      <c r="F39" s="1295"/>
      <c r="G39" s="1295"/>
      <c r="H39" s="1295"/>
      <c r="I39" s="1295">
        <v>0</v>
      </c>
      <c r="J39" s="1295">
        <v>0</v>
      </c>
      <c r="K39" s="1295">
        <v>0</v>
      </c>
      <c r="L39" s="1295">
        <v>0</v>
      </c>
      <c r="M39" s="1295">
        <v>0</v>
      </c>
      <c r="N39" s="1295">
        <v>0</v>
      </c>
      <c r="O39" s="1311">
        <v>0</v>
      </c>
      <c r="P39" s="1312">
        <v>0</v>
      </c>
      <c r="Q39" s="1311">
        <v>0</v>
      </c>
      <c r="R39" s="1311">
        <v>0</v>
      </c>
      <c r="S39" s="1285">
        <v>0</v>
      </c>
      <c r="T39" s="1285">
        <v>0</v>
      </c>
      <c r="U39" s="1285">
        <v>0</v>
      </c>
      <c r="V39" s="1285">
        <v>0</v>
      </c>
      <c r="W39" s="1285">
        <v>0</v>
      </c>
      <c r="X39" s="1285">
        <v>0</v>
      </c>
      <c r="Y39" s="1285">
        <v>0</v>
      </c>
      <c r="Z39" s="1285">
        <v>0</v>
      </c>
      <c r="AA39" s="1285">
        <v>0</v>
      </c>
      <c r="AB39" s="1285">
        <v>0</v>
      </c>
      <c r="AC39" s="1285">
        <v>0</v>
      </c>
      <c r="AD39" s="1285">
        <v>0</v>
      </c>
      <c r="AE39" s="1285">
        <v>0</v>
      </c>
      <c r="AF39" s="1285">
        <v>0</v>
      </c>
      <c r="AG39" s="1285">
        <v>0</v>
      </c>
      <c r="AH39" s="1285">
        <v>0</v>
      </c>
    </row>
    <row r="40" spans="1:34" s="1285" customFormat="1">
      <c r="A40" s="1294" t="s">
        <v>200</v>
      </c>
      <c r="C40" s="1295">
        <v>28.01</v>
      </c>
      <c r="D40" s="1297">
        <v>31.99</v>
      </c>
      <c r="E40" s="1295">
        <v>18.899999999999999</v>
      </c>
      <c r="F40" s="1295">
        <v>26.35</v>
      </c>
      <c r="G40" s="1295">
        <v>28.52</v>
      </c>
      <c r="H40" s="1295">
        <v>22.96</v>
      </c>
      <c r="I40" s="1295">
        <v>26.46</v>
      </c>
      <c r="J40" s="1295">
        <v>27.88</v>
      </c>
      <c r="K40" s="1295">
        <v>27.37</v>
      </c>
      <c r="L40" s="1295">
        <v>31.47</v>
      </c>
      <c r="M40" s="1295">
        <v>27.26</v>
      </c>
      <c r="N40" s="1295">
        <v>31.69</v>
      </c>
      <c r="O40" s="1311">
        <v>26.35</v>
      </c>
      <c r="P40" s="1313">
        <v>25.46</v>
      </c>
      <c r="Q40" s="1311">
        <v>24.14</v>
      </c>
      <c r="R40" s="1311">
        <v>33.03</v>
      </c>
      <c r="S40" s="1285">
        <v>28.8</v>
      </c>
      <c r="T40" s="1326">
        <v>22.66</v>
      </c>
      <c r="U40" s="1285">
        <v>15.03</v>
      </c>
      <c r="V40" s="1285">
        <v>16.690000000000001</v>
      </c>
      <c r="W40" s="1285">
        <v>7.78</v>
      </c>
      <c r="X40" s="1285">
        <v>15.28</v>
      </c>
      <c r="Y40" s="1285">
        <v>23.86</v>
      </c>
      <c r="Z40" s="1285">
        <v>24.31</v>
      </c>
      <c r="AA40" s="1285">
        <v>32.68</v>
      </c>
      <c r="AB40" s="1285">
        <v>29.39</v>
      </c>
      <c r="AC40" s="1285">
        <v>23.86</v>
      </c>
      <c r="AD40" s="1285">
        <v>25</v>
      </c>
      <c r="AE40" s="1285">
        <v>25.45</v>
      </c>
      <c r="AF40" s="1285">
        <v>28.51</v>
      </c>
      <c r="AG40" s="1285">
        <v>25.97</v>
      </c>
      <c r="AH40" s="1285">
        <v>26.52</v>
      </c>
    </row>
    <row r="41" spans="1:34" s="1285" customFormat="1">
      <c r="A41" s="1294" t="s">
        <v>201</v>
      </c>
      <c r="C41" s="1295">
        <v>15.37</v>
      </c>
      <c r="D41" s="1297">
        <v>18.670000000000002</v>
      </c>
      <c r="E41" s="1295">
        <v>13.06</v>
      </c>
      <c r="F41" s="1295">
        <v>17.95</v>
      </c>
      <c r="G41" s="1295">
        <v>19.05</v>
      </c>
      <c r="H41" s="1295">
        <v>14.71</v>
      </c>
      <c r="I41" s="1295">
        <v>7.13</v>
      </c>
      <c r="J41" s="1295">
        <v>18.329999999999998</v>
      </c>
      <c r="K41" s="1295">
        <v>18.91</v>
      </c>
      <c r="L41" s="1295">
        <v>14</v>
      </c>
      <c r="M41" s="1295">
        <v>16</v>
      </c>
      <c r="N41" s="1295">
        <v>18.7</v>
      </c>
      <c r="O41" s="1311">
        <v>11.46</v>
      </c>
      <c r="P41" s="1313">
        <v>24.67</v>
      </c>
      <c r="Q41" s="1311">
        <v>16.77</v>
      </c>
      <c r="R41" s="1311">
        <v>17.54</v>
      </c>
      <c r="S41" s="1285">
        <v>16.96</v>
      </c>
      <c r="T41" s="1326">
        <v>16.510000000000002</v>
      </c>
      <c r="U41" s="1285">
        <v>14.1</v>
      </c>
      <c r="V41" s="1285">
        <v>18.260000000000002</v>
      </c>
      <c r="W41" s="1285">
        <v>7.73</v>
      </c>
      <c r="X41" s="1285">
        <v>15.54</v>
      </c>
      <c r="Y41" s="1285">
        <v>13.8</v>
      </c>
      <c r="Z41" s="1285">
        <v>18.05</v>
      </c>
      <c r="AA41" s="1285">
        <v>16.95</v>
      </c>
      <c r="AB41" s="1285">
        <v>18.96</v>
      </c>
      <c r="AC41" s="1285">
        <v>18.059999999999999</v>
      </c>
      <c r="AD41" s="1285">
        <v>19.37</v>
      </c>
      <c r="AE41" s="1285">
        <v>15.25</v>
      </c>
      <c r="AF41" s="1285">
        <v>18.43</v>
      </c>
      <c r="AG41" s="1285">
        <v>7.57</v>
      </c>
      <c r="AH41" s="1285">
        <v>17.239999999999998</v>
      </c>
    </row>
    <row r="42" spans="1:34" s="1285" customFormat="1">
      <c r="A42" s="1294" t="s">
        <v>202</v>
      </c>
      <c r="C42" s="1295">
        <v>19.95</v>
      </c>
      <c r="D42" s="1295">
        <v>21.29</v>
      </c>
      <c r="E42" s="1295">
        <v>19.18</v>
      </c>
      <c r="F42" s="1295">
        <v>23.56</v>
      </c>
      <c r="G42" s="1295">
        <v>18.88</v>
      </c>
      <c r="H42" s="1295">
        <v>23.43</v>
      </c>
      <c r="I42" s="1295">
        <v>28.13</v>
      </c>
      <c r="J42" s="1295">
        <v>23.64</v>
      </c>
      <c r="K42" s="1295">
        <v>20.72</v>
      </c>
      <c r="L42" s="1295">
        <v>15.38</v>
      </c>
      <c r="M42" s="1295">
        <v>25.56</v>
      </c>
      <c r="N42" s="1295">
        <v>20.13</v>
      </c>
      <c r="O42" s="1311">
        <v>23.36</v>
      </c>
      <c r="P42" s="1311">
        <v>22.65</v>
      </c>
      <c r="Q42" s="1311">
        <v>23.75</v>
      </c>
      <c r="R42" s="1311">
        <v>20.76</v>
      </c>
      <c r="S42" s="1285">
        <v>25.92</v>
      </c>
      <c r="T42" s="1326">
        <v>14.54</v>
      </c>
      <c r="U42" s="1285">
        <v>15.25</v>
      </c>
      <c r="V42" s="1285">
        <v>14.58</v>
      </c>
      <c r="W42" s="1285">
        <v>18.309999999999999</v>
      </c>
      <c r="X42" s="1285">
        <v>18.899999999999999</v>
      </c>
      <c r="Y42" s="1285">
        <v>26.23</v>
      </c>
      <c r="Z42" s="1285">
        <v>22.72</v>
      </c>
      <c r="AA42" s="1285">
        <v>20.84</v>
      </c>
      <c r="AB42" s="1285">
        <v>21.7</v>
      </c>
      <c r="AC42" s="1285">
        <v>19.48</v>
      </c>
      <c r="AD42" s="1285">
        <v>24.44</v>
      </c>
      <c r="AE42" s="1285">
        <v>21.35</v>
      </c>
      <c r="AF42" s="1285">
        <v>23.81</v>
      </c>
      <c r="AG42" s="1285">
        <v>24.19</v>
      </c>
      <c r="AH42" s="1285">
        <v>21.41</v>
      </c>
    </row>
    <row r="43" spans="1:34" s="1286" customFormat="1">
      <c r="A43" s="338" t="s">
        <v>257</v>
      </c>
      <c r="C43" s="1298">
        <v>878141486.83049202</v>
      </c>
      <c r="D43" s="1298">
        <v>693483064.87155402</v>
      </c>
      <c r="E43" s="1298">
        <v>877068146.50079095</v>
      </c>
      <c r="F43" s="1298">
        <v>846924798.03568399</v>
      </c>
      <c r="G43" s="1298">
        <v>1110555022.63709</v>
      </c>
      <c r="H43" s="1298">
        <v>1096797033.9093299</v>
      </c>
      <c r="I43" s="1298">
        <v>1025059301.77707</v>
      </c>
      <c r="J43" s="1298">
        <v>862740314.89058197</v>
      </c>
      <c r="K43" s="1298">
        <v>1026934559.92237</v>
      </c>
      <c r="L43" s="1298">
        <v>1370750442.91571</v>
      </c>
      <c r="M43" s="1298">
        <v>1391018085.0901201</v>
      </c>
      <c r="N43" s="1298">
        <v>1341430887.73488</v>
      </c>
      <c r="O43" s="1314">
        <v>928489741.57944</v>
      </c>
      <c r="P43" s="1314">
        <v>854371073.12067795</v>
      </c>
      <c r="Q43" s="1314">
        <v>634225602.41935503</v>
      </c>
      <c r="R43" s="1327"/>
    </row>
    <row r="44" spans="1:34">
      <c r="A44" s="338" t="s">
        <v>258</v>
      </c>
      <c r="C44" s="1292">
        <v>3602717.98909755</v>
      </c>
      <c r="D44" s="1292">
        <v>855508.440727112</v>
      </c>
      <c r="E44" s="1292">
        <v>7712885.3576161899</v>
      </c>
      <c r="F44" s="1292">
        <v>3823730.6999484599</v>
      </c>
      <c r="G44" s="1292">
        <v>7888994.9029653398</v>
      </c>
      <c r="H44" s="1292">
        <v>13275342.9890514</v>
      </c>
      <c r="I44" s="1292">
        <v>5068585.2555643599</v>
      </c>
      <c r="J44" s="1292">
        <v>1041490.48446757</v>
      </c>
      <c r="K44" s="1292">
        <v>12289270.6323059</v>
      </c>
      <c r="L44" s="1292">
        <v>16803951.3898273</v>
      </c>
      <c r="M44" s="1292">
        <v>19413416.793275502</v>
      </c>
      <c r="N44" s="1292">
        <v>124474570.169066</v>
      </c>
      <c r="O44" s="1308">
        <v>4536169.2129526604</v>
      </c>
      <c r="P44" s="1308">
        <v>2760614.4902967298</v>
      </c>
      <c r="Q44" s="1308">
        <v>3862696.2214571</v>
      </c>
    </row>
    <row r="45" spans="1:34">
      <c r="A45" s="338" t="s">
        <v>259</v>
      </c>
      <c r="C45" s="1292">
        <v>6236778.25</v>
      </c>
      <c r="D45" s="1292">
        <v>7229185.96</v>
      </c>
      <c r="E45" s="1292">
        <v>8649316.1600000001</v>
      </c>
      <c r="F45" s="1292">
        <v>8021670.7400000002</v>
      </c>
      <c r="G45" s="1292">
        <v>8253577.1500000004</v>
      </c>
      <c r="H45" s="1292">
        <v>5434048.0599999996</v>
      </c>
      <c r="I45" s="1292">
        <v>8639652.1500000004</v>
      </c>
      <c r="J45" s="1292">
        <v>8630161.6799999997</v>
      </c>
      <c r="K45" s="1292">
        <v>8245944.2999999998</v>
      </c>
      <c r="L45" s="1292">
        <v>8722642.1799999997</v>
      </c>
      <c r="M45" s="1292">
        <v>8696655.9199999999</v>
      </c>
      <c r="N45" s="1292">
        <v>9087458.3200000003</v>
      </c>
      <c r="O45" s="1308">
        <v>9345744.7599999998</v>
      </c>
      <c r="P45" s="1308">
        <v>8815646.9700000007</v>
      </c>
      <c r="Q45" s="1308">
        <v>9646788.0899999999</v>
      </c>
      <c r="R45" s="337">
        <v>9688326.4800000004</v>
      </c>
      <c r="S45" s="338">
        <v>10272424.439999999</v>
      </c>
      <c r="T45" s="338">
        <v>10135219.98</v>
      </c>
      <c r="U45" s="338">
        <v>9614751.9199999999</v>
      </c>
      <c r="V45" s="338">
        <v>9706126.2400000002</v>
      </c>
      <c r="W45" s="338">
        <v>8941770.5600000005</v>
      </c>
      <c r="X45" s="338">
        <v>9707703.3100000005</v>
      </c>
      <c r="Y45" s="1530">
        <v>10117636.32</v>
      </c>
      <c r="Z45" s="338">
        <v>9930351.8399999999</v>
      </c>
      <c r="AA45" s="338">
        <v>9831414.7300000004</v>
      </c>
      <c r="AB45" s="2112">
        <v>9491515.75</v>
      </c>
      <c r="AC45" s="2112">
        <v>10098377.25</v>
      </c>
      <c r="AD45" s="338">
        <v>8750839.8900000006</v>
      </c>
      <c r="AE45" s="338">
        <v>8775078.8800000008</v>
      </c>
      <c r="AF45" s="338">
        <v>8275561.7999999998</v>
      </c>
      <c r="AG45" s="338">
        <v>8695114.5700000003</v>
      </c>
      <c r="AH45" s="2304">
        <v>8842697.9199999999</v>
      </c>
    </row>
    <row r="46" spans="1:34">
      <c r="A46" s="338" t="s">
        <v>260</v>
      </c>
      <c r="C46" s="1292">
        <v>6045518.3300000001</v>
      </c>
      <c r="D46" s="1292">
        <v>7056270.8799999999</v>
      </c>
      <c r="E46" s="1292">
        <v>7207322.21</v>
      </c>
      <c r="F46" s="1292">
        <v>6705596.6299999999</v>
      </c>
      <c r="G46" s="1292">
        <v>6760322.0499999998</v>
      </c>
      <c r="H46" s="1292">
        <v>5404818.1799999997</v>
      </c>
      <c r="I46" s="1292">
        <v>6759095.4598441301</v>
      </c>
      <c r="J46" s="1292">
        <v>6785627.9198441301</v>
      </c>
      <c r="K46" s="1292">
        <v>6425863.4199999999</v>
      </c>
      <c r="L46" s="1292">
        <v>6733039.5282169497</v>
      </c>
      <c r="M46" s="1292">
        <v>6639995.3499999996</v>
      </c>
      <c r="N46" s="1292">
        <v>6945739.0800000001</v>
      </c>
      <c r="O46" s="1308">
        <v>7064520.1699999999</v>
      </c>
      <c r="P46" s="1308">
        <v>6575489.5097360602</v>
      </c>
      <c r="Q46" s="1308">
        <v>6556541.9876061697</v>
      </c>
      <c r="R46" s="337">
        <v>6666373.3799999999</v>
      </c>
      <c r="S46" s="338">
        <v>6876358.5319773499</v>
      </c>
      <c r="T46" s="338">
        <v>6807786.0943540996</v>
      </c>
      <c r="U46" s="1530">
        <v>6205077.0144561669</v>
      </c>
      <c r="V46" s="338">
        <v>6328891.9698043615</v>
      </c>
      <c r="W46" s="338">
        <v>5471887.3203248614</v>
      </c>
      <c r="X46" s="338">
        <v>6030042.0389244305</v>
      </c>
      <c r="Y46" s="338">
        <v>6251006.9580718065</v>
      </c>
      <c r="Z46" s="338">
        <v>6625887.4846715126</v>
      </c>
      <c r="AB46" s="338">
        <v>5939266.5599999996</v>
      </c>
      <c r="AC46" s="338">
        <v>5989690.9800000004</v>
      </c>
      <c r="AD46" s="338">
        <v>5160000</v>
      </c>
      <c r="AE46" s="338">
        <v>5070000</v>
      </c>
      <c r="AF46" s="338">
        <v>4780000</v>
      </c>
      <c r="AG46" s="338">
        <v>5090000</v>
      </c>
      <c r="AH46" s="338">
        <v>5130000</v>
      </c>
    </row>
    <row r="47" spans="1:34">
      <c r="A47" s="338" t="s">
        <v>261</v>
      </c>
      <c r="B47" s="338">
        <v>4492938.92</v>
      </c>
      <c r="C47" s="1292">
        <v>4165818.89</v>
      </c>
      <c r="D47" s="1292">
        <v>5687801.2999999998</v>
      </c>
      <c r="E47" s="1292">
        <v>5915884.3499999996</v>
      </c>
      <c r="F47" s="1292">
        <v>6036244.21</v>
      </c>
      <c r="G47" s="1292">
        <v>4727752.3</v>
      </c>
      <c r="H47" s="1292">
        <v>3270056.67</v>
      </c>
      <c r="I47" s="1292">
        <v>3528794.92</v>
      </c>
      <c r="J47" s="1292">
        <v>13279878.9</v>
      </c>
      <c r="K47" s="1292">
        <v>3869121.46</v>
      </c>
      <c r="L47" s="1292">
        <v>2391419.46</v>
      </c>
      <c r="M47" s="1292">
        <v>5251300.74</v>
      </c>
      <c r="N47" s="1292">
        <v>6819239.5199999996</v>
      </c>
      <c r="O47" s="1308">
        <v>5366990.96</v>
      </c>
      <c r="P47" s="1308">
        <v>3925034.41</v>
      </c>
      <c r="Q47" s="1308">
        <v>5424518.8399999999</v>
      </c>
      <c r="R47" s="337">
        <v>5456344.2699999996</v>
      </c>
      <c r="S47" s="338">
        <v>5895627.3600000003</v>
      </c>
      <c r="T47" s="338">
        <v>6214602.4299999997</v>
      </c>
      <c r="U47" s="338">
        <v>5296791.3899999997</v>
      </c>
      <c r="V47" s="338">
        <v>5865484.9500000002</v>
      </c>
      <c r="W47" s="338">
        <v>5344771.6600000011</v>
      </c>
      <c r="X47" s="338">
        <v>10562750.43</v>
      </c>
      <c r="Y47" s="338">
        <v>6837987.6299999999</v>
      </c>
      <c r="Z47" s="338">
        <v>4871706.24</v>
      </c>
      <c r="AA47" s="338">
        <v>5906699.5800000001</v>
      </c>
      <c r="AB47" s="2112">
        <v>5412889.5099999998</v>
      </c>
      <c r="AC47" s="2112">
        <v>6069767.7800000003</v>
      </c>
      <c r="AD47" s="338">
        <v>5147688.24</v>
      </c>
      <c r="AE47" s="338">
        <v>5282569.6000000015</v>
      </c>
      <c r="AF47" s="338">
        <v>5095397.55</v>
      </c>
      <c r="AG47" s="338">
        <v>5196499.6300000008</v>
      </c>
      <c r="AH47" s="2304">
        <v>12467662.15</v>
      </c>
    </row>
    <row r="48" spans="1:34">
      <c r="A48" s="338" t="s">
        <v>262</v>
      </c>
      <c r="C48" s="1292">
        <v>1814437.91</v>
      </c>
      <c r="D48" s="1292">
        <v>1682091.19</v>
      </c>
      <c r="E48" s="1292">
        <v>1918742.15</v>
      </c>
      <c r="F48" s="1292">
        <v>1956132.08</v>
      </c>
      <c r="G48" s="1292">
        <v>2142482.4500000002</v>
      </c>
      <c r="H48" s="1292">
        <v>1662464.62</v>
      </c>
      <c r="I48" s="1292">
        <v>2116541.2000000002</v>
      </c>
      <c r="J48" s="1292">
        <v>2063751.98</v>
      </c>
      <c r="K48" s="1292">
        <v>1946132.09</v>
      </c>
      <c r="L48" s="1292">
        <v>1565094.37</v>
      </c>
      <c r="M48" s="1292">
        <v>1931603.78</v>
      </c>
      <c r="N48" s="1292">
        <v>2002216.99</v>
      </c>
      <c r="O48" s="1308">
        <v>2082942.88</v>
      </c>
      <c r="P48" s="1308">
        <v>1938296.65</v>
      </c>
      <c r="Q48" s="1308">
        <v>2082755.97</v>
      </c>
      <c r="R48" s="337">
        <v>2021335.15</v>
      </c>
      <c r="S48" s="338">
        <v>2110304.42</v>
      </c>
      <c r="T48" s="338">
        <v>2028559.75</v>
      </c>
      <c r="U48" s="338">
        <v>2124986.67</v>
      </c>
      <c r="V48" s="338">
        <v>2073759.16</v>
      </c>
      <c r="W48" s="338">
        <v>2024689.47</v>
      </c>
      <c r="X48" s="338">
        <v>2103815.52</v>
      </c>
      <c r="Y48" s="338">
        <v>2049606.93</v>
      </c>
      <c r="Z48" s="338">
        <v>2127108.2400000002</v>
      </c>
      <c r="AA48" s="338">
        <v>2139374.85</v>
      </c>
      <c r="AB48" s="2112">
        <v>2038094.42</v>
      </c>
      <c r="AC48" s="2112">
        <v>2208991.85</v>
      </c>
      <c r="AD48" s="338">
        <v>2357661.87</v>
      </c>
      <c r="AE48" s="338">
        <v>2466172.67</v>
      </c>
      <c r="AF48" s="338">
        <v>2618411.56</v>
      </c>
      <c r="AG48" s="338">
        <v>2477765.3199999998</v>
      </c>
      <c r="AH48" s="2304">
        <v>2257091.48</v>
      </c>
    </row>
    <row r="49" spans="1:34">
      <c r="A49" s="338" t="s">
        <v>263</v>
      </c>
      <c r="C49" s="1292">
        <v>1814437.91</v>
      </c>
      <c r="D49" s="1292">
        <v>1682091.19</v>
      </c>
      <c r="E49" s="1292">
        <v>1918742.15</v>
      </c>
      <c r="F49" s="1292">
        <v>1956132.08</v>
      </c>
      <c r="G49" s="1292">
        <v>2142482.4500000002</v>
      </c>
      <c r="H49" s="1292">
        <v>1662464.62</v>
      </c>
      <c r="I49" s="1292">
        <v>2116541.2000000002</v>
      </c>
      <c r="J49" s="1292">
        <v>2063751.98</v>
      </c>
      <c r="K49" s="1292">
        <v>1931603.78</v>
      </c>
      <c r="L49" s="1292">
        <v>1565094.37</v>
      </c>
      <c r="M49" s="1292">
        <v>1565094.37</v>
      </c>
      <c r="N49" s="1292">
        <v>1997814.47</v>
      </c>
      <c r="O49" s="1308">
        <v>2052531.46</v>
      </c>
      <c r="P49" s="1308">
        <v>1892319.1809433999</v>
      </c>
      <c r="Q49" s="1308">
        <v>2033607.63</v>
      </c>
      <c r="R49" s="337">
        <v>1970818.92</v>
      </c>
      <c r="S49" s="338">
        <v>2065136.71</v>
      </c>
      <c r="T49" s="338">
        <v>1976262.22</v>
      </c>
      <c r="U49" s="338">
        <v>2034453.61</v>
      </c>
      <c r="V49" s="338">
        <v>2038746.06</v>
      </c>
      <c r="W49" s="338">
        <v>2011277.5099999998</v>
      </c>
      <c r="X49" s="338">
        <v>2084321.2799999998</v>
      </c>
      <c r="Y49" s="1530">
        <v>2040251.5750043239</v>
      </c>
      <c r="Z49" s="338">
        <v>2117441.0499999998</v>
      </c>
      <c r="AB49" s="338">
        <v>1699174.08</v>
      </c>
      <c r="AC49" s="2304">
        <v>750000</v>
      </c>
      <c r="AD49" s="338">
        <v>720000</v>
      </c>
      <c r="AE49" s="338">
        <v>730000</v>
      </c>
      <c r="AF49" s="338">
        <v>720000</v>
      </c>
      <c r="AG49" s="1292">
        <v>740000</v>
      </c>
      <c r="AH49" s="338">
        <v>1509712.02</v>
      </c>
    </row>
    <row r="50" spans="1:34" ht="12.75" customHeight="1">
      <c r="A50" s="338" t="s">
        <v>264</v>
      </c>
      <c r="B50" s="338">
        <v>1880417.54</v>
      </c>
      <c r="C50" s="1292">
        <v>1809998.68</v>
      </c>
      <c r="D50" s="1292">
        <v>1663615.69</v>
      </c>
      <c r="E50" s="1292">
        <v>1907587.69</v>
      </c>
      <c r="F50" s="1292">
        <v>1954565.19</v>
      </c>
      <c r="G50" s="1292">
        <v>2124123.33</v>
      </c>
      <c r="H50" s="1292">
        <v>1664081.53</v>
      </c>
      <c r="I50" s="1292">
        <v>2108756.62</v>
      </c>
      <c r="J50" s="1292">
        <v>4155303.48</v>
      </c>
      <c r="K50" s="1292">
        <v>1968625.3</v>
      </c>
      <c r="L50" s="1292">
        <v>1497139.08</v>
      </c>
      <c r="M50" s="1292">
        <v>1866936.03</v>
      </c>
      <c r="N50" s="1292">
        <v>2181809.29</v>
      </c>
      <c r="O50" s="1308">
        <v>1991578.12</v>
      </c>
      <c r="P50" s="1308">
        <v>1881704.36</v>
      </c>
      <c r="Q50" s="1308">
        <v>2009929.52</v>
      </c>
      <c r="R50" s="337">
        <v>1896684.04</v>
      </c>
      <c r="S50" s="338">
        <v>2036972.24</v>
      </c>
      <c r="T50" s="338">
        <v>1927151.14</v>
      </c>
      <c r="U50" s="338">
        <v>4475829.2799999993</v>
      </c>
      <c r="V50" s="338">
        <v>2004132.47</v>
      </c>
      <c r="W50" s="338">
        <v>1931966.58</v>
      </c>
      <c r="X50" s="338">
        <v>1942096.33</v>
      </c>
      <c r="Y50" s="338">
        <v>1966954.5999999999</v>
      </c>
      <c r="Z50" s="338">
        <v>2015782.2800000003</v>
      </c>
      <c r="AA50" s="338">
        <v>1890135.8800000001</v>
      </c>
      <c r="AB50" s="2112">
        <v>1840315.07</v>
      </c>
      <c r="AC50" s="2112">
        <v>2033691.26</v>
      </c>
      <c r="AD50" s="338">
        <v>1886442.61</v>
      </c>
      <c r="AE50" s="338">
        <v>2080469.53</v>
      </c>
      <c r="AF50" s="338">
        <v>2066128.46</v>
      </c>
      <c r="AG50" s="338">
        <v>1956749.98</v>
      </c>
      <c r="AH50" s="2304">
        <v>4727858.6899999995</v>
      </c>
    </row>
    <row r="51" spans="1:34">
      <c r="A51" s="338" t="s">
        <v>265</v>
      </c>
      <c r="B51" s="338">
        <v>5014756.62</v>
      </c>
      <c r="C51" s="1292">
        <v>5140740.5999999996</v>
      </c>
      <c r="D51" s="1292">
        <v>4217777.24</v>
      </c>
      <c r="E51" s="1292">
        <v>5592693.3600000003</v>
      </c>
      <c r="F51" s="1292">
        <v>9936582.7699999996</v>
      </c>
      <c r="G51" s="1292">
        <v>10767314.76</v>
      </c>
      <c r="H51" s="1292">
        <v>8053452.9699999997</v>
      </c>
      <c r="I51" s="1292">
        <v>10661732.039999999</v>
      </c>
      <c r="J51" s="1292">
        <v>11742304.550000001</v>
      </c>
      <c r="K51" s="1292">
        <v>9267350.0600000005</v>
      </c>
      <c r="L51" s="1292">
        <v>7685919.5800000001</v>
      </c>
      <c r="M51" s="1292">
        <v>6959711.8799999999</v>
      </c>
      <c r="N51" s="1292">
        <v>11840626.960000001</v>
      </c>
      <c r="O51" s="1308">
        <v>14002416.699999999</v>
      </c>
      <c r="P51" s="1308">
        <v>3467101.42</v>
      </c>
      <c r="Q51" s="1308">
        <v>5918885.2400000002</v>
      </c>
      <c r="R51" s="337">
        <v>5908543.7199999997</v>
      </c>
      <c r="S51" s="338">
        <v>7049821.9199999999</v>
      </c>
      <c r="T51" s="338">
        <v>7836326.1200000001</v>
      </c>
      <c r="U51" s="338">
        <v>9077184.3100000005</v>
      </c>
      <c r="V51" s="338">
        <v>10019138.189999999</v>
      </c>
      <c r="W51" s="338">
        <v>11820300.23</v>
      </c>
      <c r="X51" s="338">
        <v>10991601.23</v>
      </c>
      <c r="Y51" s="1530">
        <v>8522734.8000000007</v>
      </c>
      <c r="Z51" s="338">
        <v>9306015.1300000008</v>
      </c>
      <c r="AA51" s="338">
        <v>7860000</v>
      </c>
      <c r="AB51" s="338">
        <v>4873801.2300000004</v>
      </c>
      <c r="AC51" s="338">
        <v>16683733.560000001</v>
      </c>
      <c r="AD51" s="338">
        <v>13034641.439999999</v>
      </c>
      <c r="AE51" s="2517">
        <v>10559234.039999999</v>
      </c>
      <c r="AF51" s="2304">
        <v>11781610.710000001</v>
      </c>
      <c r="AG51" s="2304">
        <v>7718604.04</v>
      </c>
    </row>
    <row r="52" spans="1:34">
      <c r="A52" s="338" t="s">
        <v>266</v>
      </c>
      <c r="B52" s="338">
        <v>3819149.7</v>
      </c>
      <c r="C52" s="1292">
        <v>5467431.1699999999</v>
      </c>
      <c r="D52" s="1292">
        <v>2609344.11</v>
      </c>
      <c r="E52" s="1292">
        <v>3116125.38</v>
      </c>
      <c r="F52" s="1292">
        <v>3206982.1</v>
      </c>
      <c r="G52" s="1292">
        <v>4452745.2699999996</v>
      </c>
      <c r="H52" s="1292">
        <v>4191313.09</v>
      </c>
      <c r="I52" s="1292">
        <v>5264591.0999999996</v>
      </c>
      <c r="J52" s="1292">
        <v>2711625.42</v>
      </c>
      <c r="K52" s="1292">
        <v>4022040.27</v>
      </c>
      <c r="L52" s="1292">
        <v>3728215.11</v>
      </c>
      <c r="M52" s="1292">
        <v>4430188.6500000004</v>
      </c>
      <c r="N52" s="1292">
        <v>6442041.4000000004</v>
      </c>
      <c r="O52" s="1308">
        <v>1649573.36</v>
      </c>
      <c r="P52" s="1308">
        <v>1220153.82</v>
      </c>
      <c r="Q52" s="1308">
        <v>2889008.33</v>
      </c>
      <c r="R52" s="337">
        <v>2949916.47</v>
      </c>
      <c r="S52" s="338">
        <v>2749393.58</v>
      </c>
      <c r="T52" s="338">
        <v>4871113.2300000004</v>
      </c>
      <c r="U52" s="338">
        <v>2283605.77</v>
      </c>
      <c r="V52" s="338">
        <v>2544651.8199999998</v>
      </c>
      <c r="W52" s="338">
        <v>1649541.34</v>
      </c>
      <c r="X52" s="338">
        <v>1563348.55</v>
      </c>
      <c r="Y52" s="338">
        <v>1733538.61</v>
      </c>
      <c r="Z52" s="338">
        <v>2324823.0699999998</v>
      </c>
      <c r="AA52" s="338">
        <v>1683600</v>
      </c>
      <c r="AB52" s="338">
        <v>958142.58</v>
      </c>
      <c r="AC52" s="338">
        <v>1205790.32</v>
      </c>
      <c r="AD52" s="338">
        <v>2304255.7400000002</v>
      </c>
      <c r="AE52" s="338">
        <v>2237690.2599999998</v>
      </c>
      <c r="AF52" s="2304">
        <v>10601183.029999999</v>
      </c>
      <c r="AG52" s="2304">
        <v>2660129.5699999998</v>
      </c>
    </row>
    <row r="53" spans="1:34">
      <c r="A53" s="338" t="s">
        <v>267</v>
      </c>
      <c r="B53" s="338">
        <v>-1046415.86</v>
      </c>
      <c r="C53" s="1292">
        <v>20775.6899999997</v>
      </c>
      <c r="D53" s="1292">
        <v>454360.76</v>
      </c>
      <c r="E53" s="1292">
        <v>960265.26000000106</v>
      </c>
      <c r="F53" s="1292">
        <v>680312.34999999905</v>
      </c>
      <c r="G53" s="1292">
        <v>828575.75000000105</v>
      </c>
      <c r="H53" s="1292">
        <v>547341.25</v>
      </c>
      <c r="I53" s="1292">
        <v>581335.44999999995</v>
      </c>
      <c r="J53" s="1292">
        <v>724389.87000000197</v>
      </c>
      <c r="K53" s="1292">
        <v>320334.34000000102</v>
      </c>
      <c r="L53" s="1292">
        <v>336372.77</v>
      </c>
      <c r="M53" s="1292">
        <v>-6202.8200000005299</v>
      </c>
      <c r="N53" s="1292">
        <v>959994.13000000198</v>
      </c>
      <c r="O53" s="1308">
        <v>1282845.5</v>
      </c>
      <c r="P53" s="1308">
        <v>-1520433.04</v>
      </c>
      <c r="Q53" s="1308">
        <v>-1165419</v>
      </c>
      <c r="R53" s="337">
        <v>-189522.59</v>
      </c>
      <c r="S53" s="338">
        <v>977111.91</v>
      </c>
      <c r="T53" s="338">
        <v>1476324.58</v>
      </c>
      <c r="U53" s="338">
        <v>1155382.4900000005</v>
      </c>
      <c r="V53" s="338">
        <v>1151088.5599999994</v>
      </c>
      <c r="W53" s="338">
        <v>2050289.0300000003</v>
      </c>
      <c r="X53" s="338">
        <v>774080.95000000065</v>
      </c>
      <c r="Y53" s="338">
        <v>1083894.5700000008</v>
      </c>
      <c r="Z53" s="338">
        <v>-28897626.82</v>
      </c>
      <c r="AA53" s="338">
        <v>1150000</v>
      </c>
      <c r="AB53" s="338">
        <v>1276582.3600000001</v>
      </c>
      <c r="AC53" s="338">
        <v>1889713.93</v>
      </c>
      <c r="AD53" s="338">
        <v>1637577.24</v>
      </c>
      <c r="AE53" s="2517">
        <v>1504828.94</v>
      </c>
      <c r="AF53" s="2304">
        <v>2600633.870000001</v>
      </c>
      <c r="AG53" s="2304">
        <v>1102313.8299999998</v>
      </c>
    </row>
    <row r="54" spans="1:34">
      <c r="A54" s="338" t="s">
        <v>268</v>
      </c>
      <c r="B54" s="338">
        <v>678122.42000000097</v>
      </c>
      <c r="C54" s="1292">
        <v>1301187.27</v>
      </c>
      <c r="D54" s="1292">
        <v>284056.15999999997</v>
      </c>
      <c r="E54" s="1292">
        <v>386150.53</v>
      </c>
      <c r="F54" s="1292">
        <v>669941.35</v>
      </c>
      <c r="G54" s="1292">
        <v>439767.55</v>
      </c>
      <c r="H54" s="1292">
        <v>495635.79</v>
      </c>
      <c r="I54" s="1292">
        <v>670650.26</v>
      </c>
      <c r="J54" s="1292">
        <v>197466.69</v>
      </c>
      <c r="K54" s="1292">
        <v>680510.6</v>
      </c>
      <c r="L54" s="1292">
        <v>555549.42000000004</v>
      </c>
      <c r="M54" s="1292">
        <v>482657.91</v>
      </c>
      <c r="N54" s="1292">
        <v>2110000</v>
      </c>
      <c r="O54" s="1308">
        <v>282255.09999999998</v>
      </c>
      <c r="P54" s="1308">
        <v>145341.85999999999</v>
      </c>
      <c r="Q54" s="1308">
        <v>230018.56</v>
      </c>
      <c r="R54" s="337">
        <v>142292.01999999999</v>
      </c>
      <c r="S54" s="338">
        <v>278743.12</v>
      </c>
      <c r="T54" s="338">
        <v>564932.27</v>
      </c>
      <c r="U54" s="338">
        <v>176699.63000000006</v>
      </c>
      <c r="V54" s="338">
        <v>61696.479999999814</v>
      </c>
      <c r="W54" s="338">
        <v>82651.150000000023</v>
      </c>
      <c r="X54" s="338">
        <v>36846.160000000003</v>
      </c>
      <c r="Y54" s="338">
        <v>4915.2800000001916</v>
      </c>
      <c r="Z54" s="338">
        <v>-120881.61000000016</v>
      </c>
      <c r="AA54" s="338">
        <v>109300</v>
      </c>
      <c r="AB54" s="338">
        <v>16943.5</v>
      </c>
      <c r="AC54" s="338">
        <v>32562.45000000003</v>
      </c>
      <c r="AD54" s="338">
        <v>47770.200000000215</v>
      </c>
      <c r="AE54" s="2517">
        <v>7373.11</v>
      </c>
      <c r="AF54" s="2304">
        <v>216751.25999999954</v>
      </c>
      <c r="AG54" s="2304">
        <v>27736.82999999998</v>
      </c>
    </row>
    <row r="55" spans="1:34" ht="13.5" customHeight="1">
      <c r="A55" s="338" t="s">
        <v>269</v>
      </c>
      <c r="B55" s="338">
        <v>6510000</v>
      </c>
      <c r="C55" s="1292">
        <v>970000</v>
      </c>
      <c r="D55" s="1292">
        <v>820000</v>
      </c>
      <c r="E55" s="1292">
        <v>1300000</v>
      </c>
      <c r="F55" s="1292">
        <v>1740000</v>
      </c>
      <c r="G55" s="1292">
        <v>1720000</v>
      </c>
      <c r="H55" s="1292">
        <v>4020000</v>
      </c>
      <c r="I55" s="1292">
        <v>1290000</v>
      </c>
      <c r="J55" s="1292">
        <v>1990000</v>
      </c>
      <c r="K55" s="1292">
        <v>1590000</v>
      </c>
      <c r="L55" s="1292">
        <v>1650000</v>
      </c>
      <c r="M55" s="1292">
        <v>1690000</v>
      </c>
      <c r="N55" s="1292">
        <v>3520000</v>
      </c>
      <c r="O55" s="1308"/>
      <c r="P55" s="1308"/>
      <c r="Q55" s="1308"/>
    </row>
    <row r="56" spans="1:34" s="1284" customFormat="1">
      <c r="A56" s="1284" t="s">
        <v>270</v>
      </c>
      <c r="B56" s="1284">
        <v>-1025349.1</v>
      </c>
      <c r="C56" s="1293">
        <v>-390517.41</v>
      </c>
      <c r="D56" s="1293">
        <v>-296340.7</v>
      </c>
      <c r="E56" s="1293">
        <v>-481915.37</v>
      </c>
      <c r="F56" s="1293">
        <v>-304787.68</v>
      </c>
      <c r="G56" s="1293">
        <v>-567073.68999999994</v>
      </c>
      <c r="H56" s="1293">
        <v>-394553.16</v>
      </c>
      <c r="I56" s="1293">
        <v>-443500</v>
      </c>
      <c r="J56" s="1293">
        <v>-384800</v>
      </c>
      <c r="K56" s="1293">
        <v>-384692.12</v>
      </c>
      <c r="L56" s="1293">
        <v>-432100</v>
      </c>
      <c r="M56" s="1293">
        <v>-364700</v>
      </c>
      <c r="N56" s="1293">
        <v>-686500</v>
      </c>
      <c r="O56" s="1309"/>
      <c r="P56" s="1309"/>
      <c r="Q56" s="1309"/>
      <c r="R56" s="1325"/>
    </row>
    <row r="57" spans="1:34">
      <c r="A57" s="338" t="s">
        <v>271</v>
      </c>
      <c r="C57" s="1292"/>
      <c r="D57" s="1292"/>
      <c r="E57" s="1292">
        <v>221</v>
      </c>
      <c r="F57" s="1292">
        <v>867</v>
      </c>
      <c r="G57" s="1292">
        <f>20.4*(723-644)</f>
        <v>1611.6</v>
      </c>
      <c r="H57" s="1292">
        <f>16.89*(784.7-644)</f>
        <v>2376.4230000000007</v>
      </c>
      <c r="I57" s="1292">
        <f>18.8687*(892.2-644)</f>
        <v>4683.2113400000007</v>
      </c>
      <c r="J57" s="1292">
        <f>13.1544*(880.44-644)</f>
        <v>3110.2263360000011</v>
      </c>
      <c r="K57" s="1292"/>
      <c r="L57" s="1292"/>
      <c r="M57" s="1292"/>
      <c r="N57" s="1292"/>
    </row>
    <row r="58" spans="1:34">
      <c r="A58" s="338" t="s">
        <v>272</v>
      </c>
      <c r="C58" s="1292">
        <f>1425</f>
        <v>1425</v>
      </c>
      <c r="D58" s="1292">
        <v>1938</v>
      </c>
      <c r="E58" s="1292">
        <v>2410</v>
      </c>
      <c r="F58" s="1292">
        <v>4050</v>
      </c>
      <c r="G58" s="1292">
        <v>4739</v>
      </c>
      <c r="H58" s="1292">
        <v>5195</v>
      </c>
      <c r="I58" s="1292">
        <v>5603</v>
      </c>
      <c r="J58" s="1292">
        <v>2525</v>
      </c>
      <c r="K58" s="1292"/>
      <c r="L58" s="1292"/>
      <c r="M58" s="1292"/>
      <c r="N58" s="1292"/>
    </row>
    <row r="62" spans="1:34">
      <c r="AC62" s="338">
        <v>215444795.77000001</v>
      </c>
    </row>
    <row r="63" spans="1:34">
      <c r="AC63" s="338">
        <f>AC62-AC7</f>
        <v>0</v>
      </c>
      <c r="AD63" s="338" t="s">
        <v>1224</v>
      </c>
    </row>
  </sheetData>
  <customSheetViews>
    <customSheetView guid="{1683F931-F47D-47C0-A395-D48080DC7EE6}" showPageBreaks="1">
      <pane xSplit="1" ySplit="2" topLeftCell="AB15" activePane="bottomRight" state="frozen"/>
      <selection pane="bottomRight" activeCell="AG21" sqref="AG21"/>
      <pageMargins left="0.69930555555555596" right="0.69930555555555596" top="0.75" bottom="0.75" header="0.3" footer="0.3"/>
      <pageSetup paperSize="9" orientation="landscape" r:id="rId1"/>
    </customSheetView>
    <customSheetView guid="{43897816-D2F0-4C3D-8F57-E0039BD2296B}">
      <pane xSplit="1" ySplit="3" topLeftCell="U13" activePane="bottomRight" state="frozen"/>
      <selection pane="bottomRight" activeCell="AE35" sqref="AE35"/>
      <pageMargins left="0.69930555555555596" right="0.69930555555555596" top="0.75" bottom="0.75" header="0.3" footer="0.3"/>
    </customSheetView>
    <customSheetView guid="{849C46E5-4ED4-41B9-BDA9-A6465B9DA9C2}">
      <pane xSplit="1" ySplit="2" topLeftCell="U27" activePane="bottomRight" state="frozen"/>
      <selection pane="bottomRight" activeCell="AH50" activeCellId="1" sqref="AH47 AH50"/>
      <pageMargins left="0.69930555555555596" right="0.69930555555555596" top="0.75" bottom="0.75" header="0.3" footer="0.3"/>
    </customSheetView>
    <customSheetView guid="{8C09BCDE-4B8A-4469-B3F2-7F4528A2E78D}">
      <pane xSplit="1" ySplit="2" topLeftCell="U27" activePane="bottomRight" state="frozen"/>
      <selection pane="bottomRight" activeCell="AD48" sqref="AD48"/>
      <pageMargins left="0.69930555555555596" right="0.69930555555555596" top="0.75" bottom="0.75" header="0.3" footer="0.3"/>
    </customSheetView>
    <customSheetView guid="{F4EB51F4-FD23-4D5B-8072-1AF5D59D6686}">
      <pane xSplit="1" ySplit="2" topLeftCell="W9" activePane="bottomRight" state="frozen"/>
      <selection pane="bottomRight" activeCell="AD51" sqref="AD51"/>
      <pageMargins left="0.69930555555555596" right="0.69930555555555596" top="0.75" bottom="0.75" header="0.3" footer="0.3"/>
    </customSheetView>
    <customSheetView guid="{D7BCFB76-2797-401D-A6F1-E020B5162DD4}">
      <pane xSplit="1" ySplit="3" topLeftCell="U19" activePane="bottomRight" state="frozen"/>
      <selection pane="bottomRight" activeCell="AF28" sqref="AF28"/>
      <pageMargins left="0.69930555555555596" right="0.69930555555555596" top="0.75" bottom="0.75" header="0.3" footer="0.3"/>
    </customSheetView>
    <customSheetView guid="{C9A88430-3808-49F4-8D86-BF8C70C55441}">
      <pane xSplit="1" ySplit="3" topLeftCell="U10" activePane="bottomRight" state="frozen"/>
      <selection pane="bottomRight" activeCell="AE34" sqref="AE34"/>
      <pageMargins left="0.69930555555555596" right="0.69930555555555596" top="0.75" bottom="0.75" header="0.3" footer="0.3"/>
    </customSheetView>
    <customSheetView guid="{E61FFED3-723E-484A-93A0-94E1A801AF06}">
      <pane xSplit="1" ySplit="3" topLeftCell="B4" activePane="bottomRight" state="frozen"/>
      <selection pane="bottomRight" activeCell="E35" sqref="E35"/>
      <pageMargins left="0.69930555555555596" right="0.69930555555555596" top="0.75" bottom="0.75" header="0.3" footer="0.3"/>
    </customSheetView>
    <customSheetView guid="{6B5CCA07-2BDD-4B8E-9E3C-2111BBA97430}" scale="85">
      <pane xSplit="1" ySplit="3" topLeftCell="R7" activePane="bottomRight" state="frozen"/>
      <selection pane="bottomRight" activeCell="AA30" sqref="AA30"/>
      <pageMargins left="0.69930555555555596" right="0.69930555555555596" top="0.75" bottom="0.75" header="0.3" footer="0.3"/>
      <pageSetup paperSize="9" orientation="portrait" r:id="rId2"/>
    </customSheetView>
    <customSheetView guid="{2F47A827-9643-4D8A-AC5D-6B09D79AACF9}">
      <pane xSplit="1" ySplit="3" topLeftCell="Q34" activePane="bottomRight" state="frozen"/>
      <selection pane="bottomRight" activeCell="X49" sqref="X49"/>
      <pageMargins left="0.69930555555555596" right="0.69930555555555596" top="0.75" bottom="0.75" header="0.3" footer="0.3"/>
    </customSheetView>
    <customSheetView guid="{B37168A1-DBAB-4BDE-9F92-6261DCDF3D92}">
      <pane xSplit="1" ySplit="2" topLeftCell="N21" activePane="bottomRight" state="frozen"/>
      <selection pane="bottomRight" activeCell="N39" sqref="N39"/>
      <pageMargins left="0.69930555555555596" right="0.69930555555555596" top="0.75" bottom="0.75" header="0.3" footer="0.3"/>
    </customSheetView>
    <customSheetView guid="{AE0DD889-C13C-4059-8024-0F5B234827E9}">
      <selection activeCell="K31" sqref="K31"/>
      <pageMargins left="0.69930555555555596" right="0.69930555555555596" top="0.75" bottom="0.75" header="0.3" footer="0.3"/>
    </customSheetView>
    <customSheetView guid="{CCBBD9B0-4191-4D7A-9F7B-BAC044A49153}">
      <pane xSplit="1" ySplit="2" topLeftCell="J27" state="frozen"/>
      <selection activeCell="U47" sqref="U47"/>
      <pageMargins left="0.69930555555555596" right="0.69930555555555596" top="0.75" bottom="0.75" header="0.3" footer="0.3"/>
    </customSheetView>
    <customSheetView guid="{F5F9735B-EE22-4AC6-B5AB-C856ED6C133D}">
      <pane xSplit="1" ySplit="2" topLeftCell="B36" state="frozen"/>
      <selection activeCell="L23" sqref="L23"/>
      <pageMargins left="0.69930555555555596" right="0.69930555555555596" top="0.75" bottom="0.75" header="0.3" footer="0.3"/>
    </customSheetView>
    <customSheetView guid="{45B4C0D1-53B6-4553-BFF9-393760B8E0CE}">
      <pane xSplit="1" ySplit="3" topLeftCell="G4" state="frozen"/>
      <selection activeCell="I9" sqref="I9"/>
      <pageMargins left="0.69930555555555596" right="0.69930555555555596" top="0.75" bottom="0.75" header="0.3" footer="0.3"/>
    </customSheetView>
    <customSheetView guid="{1BBD1596-143E-4714-99EF-E3545231CCD1}">
      <pane xSplit="1" ySplit="3" topLeftCell="B4" state="frozen"/>
      <selection activeCell="C15" sqref="C15"/>
      <pageMargins left="0.69930555555555596" right="0.69930555555555596" top="0.75" bottom="0.75" header="0.3" footer="0.3"/>
    </customSheetView>
    <customSheetView guid="{A8456D60-99BA-4794-8966-0CBA0A37EA6F}">
      <pane xSplit="1" ySplit="3" topLeftCell="B19" state="frozen"/>
      <selection activeCell="C45" sqref="C45"/>
      <pageMargins left="0.69930555555555596" right="0.69930555555555596" top="0.75" bottom="0.75" header="0.3" footer="0.3"/>
    </customSheetView>
    <customSheetView guid="{500C3980-ED13-4C97-96B1-955D50509B66}" topLeftCell="H1">
      <pane ySplit="3" topLeftCell="A10" state="frozen"/>
      <selection activeCell="Q18" sqref="Q18"/>
      <pageMargins left="0.69930555555555596" right="0.69930555555555596" top="0.75" bottom="0.75" header="0.3" footer="0.3"/>
    </customSheetView>
    <customSheetView guid="{3B943BAF-34C7-494A-A071-85DE0891E5A1}">
      <pane xSplit="1" ySplit="2" topLeftCell="J30" state="frozen"/>
      <selection activeCell="T56" sqref="T56"/>
      <pageMargins left="0.69930555555555596" right="0.69930555555555596" top="0.75" bottom="0.75" header="0.3" footer="0.3"/>
    </customSheetView>
    <customSheetView guid="{EEE4B3DA-ADF6-49CC-9873-068FE5927B92}">
      <pane xSplit="1" ySplit="3" topLeftCell="M4" state="frozen"/>
      <selection activeCell="V24" sqref="V24"/>
      <pageMargins left="0.69930555555555596" right="0.69930555555555596" top="0.75" bottom="0.75" header="0.3" footer="0.3"/>
    </customSheetView>
    <customSheetView guid="{C52D0F53-4D1D-4D01-B833-260359FD02A5}">
      <pane xSplit="1" ySplit="2" topLeftCell="J21" activePane="bottomRight" state="frozen"/>
      <selection pane="bottomRight" activeCell="A22" sqref="A22:XFD22"/>
      <pageMargins left="0.69930555555555596" right="0.69930555555555596" top="0.75" bottom="0.75" header="0.3" footer="0.3"/>
    </customSheetView>
    <customSheetView guid="{6A1E79C9-91E3-4EEA-8ABB-4446083299EC}">
      <pane xSplit="1" ySplit="3" topLeftCell="U4" activePane="bottomRight" state="frozen"/>
      <selection pane="bottomRight" activeCell="AD15" sqref="AD15"/>
      <pageMargins left="0.69930555555555596" right="0.69930555555555596" top="0.75" bottom="0.75" header="0.3" footer="0.3"/>
    </customSheetView>
    <customSheetView guid="{8B80B510-C931-46B1-8591-DEA916D76593}">
      <pane xSplit="1" ySplit="2" topLeftCell="W12" activePane="bottomRight" state="frozen"/>
      <selection pane="bottomRight" activeCell="AG37" sqref="AG37"/>
      <pageMargins left="0.69930555555555596" right="0.69930555555555596" top="0.75" bottom="0.75" header="0.3" footer="0.3"/>
    </customSheetView>
    <customSheetView guid="{303A9D89-611D-4504-BCAA-071C53B021F7}">
      <pane xSplit="1" ySplit="3" topLeftCell="B4" activePane="bottomRight" state="frozen"/>
      <selection pane="bottomRight" activeCell="C15" sqref="C15"/>
      <pageMargins left="0.69930555555555596" right="0.69930555555555596" top="0.75" bottom="0.75" header="0.3" footer="0.3"/>
    </customSheetView>
    <customSheetView guid="{4583A87D-5DFF-47BD-849A-FA4AAF2B9CE3}">
      <pane xSplit="1" ySplit="2" topLeftCell="J3" activePane="bottomRight" state="frozen"/>
      <selection pane="bottomRight" activeCell="M15" sqref="M15"/>
      <pageMargins left="0.69930555555555596" right="0.69930555555555596" top="0.75" bottom="0.75" header="0.3" footer="0.3"/>
    </customSheetView>
    <customSheetView guid="{EA856AC2-CDFF-46B6-B0C4-30449DF132F4}">
      <pane xSplit="1" ySplit="3" topLeftCell="X22" activePane="bottomRight" state="frozen"/>
      <selection pane="bottomRight" activeCell="AH36" sqref="AH36"/>
      <pageMargins left="0.69930555555555596" right="0.69930555555555596" top="0.75" bottom="0.75" header="0.3" footer="0.3"/>
    </customSheetView>
    <customSheetView guid="{322A45A6-8B26-49B8-A4D9-EFB3C94A758D}">
      <pane xSplit="1" ySplit="2" topLeftCell="Y6" activePane="bottomRight" state="frozen"/>
      <selection pane="bottomRight" activeCell="AH30" sqref="AH30"/>
      <pageMargins left="0.69930555555555596" right="0.69930555555555596" top="0.75" bottom="0.75" header="0.3" footer="0.3"/>
      <pageSetup paperSize="9" orientation="landscape" r:id="rId3"/>
    </customSheetView>
  </customSheetViews>
  <phoneticPr fontId="133" type="noConversion"/>
  <pageMargins left="0.69930555555555596" right="0.69930555555555596" top="0.75" bottom="0.75" header="0.3" footer="0.3"/>
  <pageSetup paperSize="9" orientation="landscape" r:id="rId4"/>
  <legacy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AX203"/>
  <sheetViews>
    <sheetView zoomScaleNormal="100" workbookViewId="0">
      <selection activeCell="AT122" sqref="AT122"/>
    </sheetView>
  </sheetViews>
  <sheetFormatPr defaultColWidth="9" defaultRowHeight="14.25"/>
  <cols>
    <col min="1" max="1" width="6.5" style="201" customWidth="1"/>
    <col min="2" max="2" width="27.25" style="1262" customWidth="1"/>
    <col min="3" max="3" width="11.5" style="1262" customWidth="1"/>
    <col min="4" max="4" width="10.25" style="1262" customWidth="1"/>
    <col min="5" max="5" width="9" style="1262"/>
    <col min="6" max="6" width="10.75" style="1262" customWidth="1"/>
    <col min="7" max="7" width="10.5" style="1262" customWidth="1"/>
    <col min="8" max="8" width="11.375" style="1262" customWidth="1"/>
    <col min="9" max="11" width="15.25" style="1262" customWidth="1"/>
    <col min="12" max="13" width="9" style="1262"/>
    <col min="14" max="14" width="11.5" style="1262" customWidth="1"/>
    <col min="15" max="15" width="12.5" style="1262"/>
    <col min="16" max="16" width="10.5" style="1262" customWidth="1"/>
    <col min="17" max="17" width="13.25" style="1262" customWidth="1"/>
    <col min="18" max="18" width="11.375" style="1262" customWidth="1"/>
    <col min="19" max="19" width="14.25" style="1262" customWidth="1"/>
    <col min="20" max="20" width="13.375" style="1262" customWidth="1"/>
    <col min="21" max="21" width="11.25" style="1262" customWidth="1"/>
    <col min="22" max="22" width="11.375" style="1262" customWidth="1"/>
    <col min="23" max="23" width="11.25" style="1262" customWidth="1"/>
    <col min="24" max="25" width="9" style="1262"/>
    <col min="26" max="26" width="10.375" style="1262" customWidth="1"/>
    <col min="27" max="27" width="12.375" style="1262" customWidth="1"/>
    <col min="28" max="28" width="14.125" style="1262" customWidth="1"/>
    <col min="29" max="29" width="11.5" style="1262" customWidth="1"/>
    <col min="30" max="30" width="14.625" style="1262" customWidth="1"/>
    <col min="31" max="31" width="14.125" style="1262"/>
    <col min="32" max="32" width="12.75" style="1262"/>
    <col min="33" max="33" width="11.875" style="1262" customWidth="1"/>
    <col min="34" max="34" width="14.125" style="1262" customWidth="1"/>
    <col min="35" max="36" width="12" style="1262" customWidth="1"/>
    <col min="37" max="37" width="10.5" style="1262" customWidth="1"/>
    <col min="38" max="38" width="12.625" style="1262" customWidth="1"/>
    <col min="39" max="39" width="12.125" style="1262" bestFit="1" customWidth="1"/>
    <col min="40" max="40" width="9.5" style="1262" bestFit="1" customWidth="1"/>
    <col min="41" max="41" width="9" style="1262"/>
    <col min="42" max="42" width="13.5" style="1262" customWidth="1"/>
    <col min="43" max="16384" width="9" style="1262"/>
  </cols>
  <sheetData>
    <row r="1" spans="1:50" s="1252" customFormat="1">
      <c r="A1" s="1254"/>
      <c r="B1" s="1252" t="s">
        <v>0</v>
      </c>
      <c r="C1" s="1252">
        <v>2018</v>
      </c>
      <c r="D1" s="1252">
        <v>2018</v>
      </c>
      <c r="E1" s="1252">
        <v>2018</v>
      </c>
      <c r="F1" s="1252">
        <v>2018</v>
      </c>
      <c r="G1" s="1252">
        <v>2018</v>
      </c>
      <c r="H1" s="1252">
        <v>2018</v>
      </c>
      <c r="I1" s="1252">
        <v>2018</v>
      </c>
      <c r="J1" s="1252">
        <v>2018</v>
      </c>
      <c r="K1" s="1252">
        <v>2018</v>
      </c>
      <c r="L1" s="1252">
        <v>2018</v>
      </c>
      <c r="M1" s="1252">
        <v>2018</v>
      </c>
      <c r="N1" s="1252">
        <v>2018</v>
      </c>
      <c r="O1" s="1252">
        <v>2019</v>
      </c>
      <c r="P1" s="1252">
        <v>2019</v>
      </c>
      <c r="Q1" s="1252">
        <v>2019</v>
      </c>
      <c r="R1" s="1252">
        <v>2019</v>
      </c>
      <c r="S1" s="1252">
        <v>2019</v>
      </c>
      <c r="T1" s="1252">
        <v>2019</v>
      </c>
      <c r="U1" s="1252">
        <v>2019</v>
      </c>
      <c r="V1" s="1252">
        <v>2019</v>
      </c>
      <c r="W1" s="1252">
        <v>2019</v>
      </c>
      <c r="X1" s="1252">
        <v>2019</v>
      </c>
      <c r="Y1" s="1252">
        <v>2019</v>
      </c>
      <c r="Z1" s="1252">
        <v>2019</v>
      </c>
      <c r="AA1" s="1252">
        <v>2020</v>
      </c>
      <c r="AB1" s="1252">
        <v>2020</v>
      </c>
      <c r="AC1" s="1252">
        <v>2020</v>
      </c>
      <c r="AD1" s="1252">
        <v>2020</v>
      </c>
      <c r="AE1" s="1252">
        <v>2020</v>
      </c>
      <c r="AF1" s="1252">
        <v>2020</v>
      </c>
      <c r="AG1" s="1252">
        <v>2020</v>
      </c>
      <c r="AH1" s="1252">
        <v>2020</v>
      </c>
      <c r="AI1" s="1252">
        <v>2020</v>
      </c>
      <c r="AJ1" s="1252">
        <v>2020</v>
      </c>
      <c r="AK1" s="1252">
        <v>2020</v>
      </c>
      <c r="AL1" s="1252">
        <v>2020</v>
      </c>
      <c r="AM1" s="1252">
        <v>2021</v>
      </c>
      <c r="AN1" s="1252">
        <v>2021</v>
      </c>
      <c r="AO1" s="1252">
        <v>2021</v>
      </c>
      <c r="AP1" s="1252">
        <v>2021</v>
      </c>
      <c r="AQ1" s="1252">
        <v>2021</v>
      </c>
      <c r="AR1" s="1252">
        <v>2021</v>
      </c>
      <c r="AS1" s="1252">
        <v>2021</v>
      </c>
      <c r="AT1" s="1252">
        <v>2021</v>
      </c>
      <c r="AU1" s="1252">
        <v>2021</v>
      </c>
      <c r="AV1" s="1252">
        <v>2021</v>
      </c>
      <c r="AW1" s="1252">
        <v>2021</v>
      </c>
      <c r="AX1" s="1252">
        <v>2021</v>
      </c>
    </row>
    <row r="2" spans="1:50" s="1253" customFormat="1">
      <c r="A2" s="1255"/>
      <c r="B2" s="1253" t="s">
        <v>1</v>
      </c>
      <c r="C2" s="1253">
        <v>1</v>
      </c>
      <c r="D2" s="1253">
        <v>2</v>
      </c>
      <c r="E2" s="1253">
        <v>3</v>
      </c>
      <c r="F2" s="1253">
        <v>4</v>
      </c>
      <c r="G2" s="1253">
        <v>5</v>
      </c>
      <c r="H2" s="1253">
        <v>6</v>
      </c>
      <c r="I2" s="1253">
        <v>7</v>
      </c>
      <c r="J2" s="1253">
        <v>8</v>
      </c>
      <c r="K2" s="1253">
        <v>9</v>
      </c>
      <c r="L2" s="1253">
        <v>10</v>
      </c>
      <c r="M2" s="1253">
        <v>11</v>
      </c>
      <c r="N2" s="1253">
        <v>12</v>
      </c>
      <c r="O2" s="1253">
        <v>1</v>
      </c>
      <c r="P2" s="1253">
        <v>2</v>
      </c>
      <c r="Q2" s="1253">
        <v>3</v>
      </c>
      <c r="R2" s="1253">
        <v>4</v>
      </c>
      <c r="S2" s="1253">
        <v>5</v>
      </c>
      <c r="T2" s="1253">
        <v>6</v>
      </c>
      <c r="U2" s="1253">
        <v>7</v>
      </c>
      <c r="V2" s="1253">
        <v>8</v>
      </c>
      <c r="W2" s="1253">
        <v>9</v>
      </c>
      <c r="X2" s="1253">
        <v>10</v>
      </c>
      <c r="Y2" s="1253">
        <v>11</v>
      </c>
      <c r="Z2" s="1253">
        <v>12</v>
      </c>
      <c r="AA2" s="1253">
        <v>1</v>
      </c>
      <c r="AB2" s="1253">
        <v>2</v>
      </c>
      <c r="AC2" s="1253">
        <v>3</v>
      </c>
      <c r="AD2" s="1253">
        <v>4</v>
      </c>
      <c r="AE2" s="1253">
        <v>5</v>
      </c>
      <c r="AF2" s="1253">
        <v>6</v>
      </c>
      <c r="AG2" s="1253">
        <v>7</v>
      </c>
      <c r="AH2" s="1253">
        <v>8</v>
      </c>
      <c r="AI2" s="1253">
        <v>9</v>
      </c>
      <c r="AJ2" s="1253">
        <v>10</v>
      </c>
      <c r="AK2" s="1253">
        <v>11</v>
      </c>
      <c r="AL2" s="1253">
        <v>12</v>
      </c>
      <c r="AM2" s="1253">
        <v>1</v>
      </c>
      <c r="AN2" s="1253">
        <v>2</v>
      </c>
      <c r="AO2" s="1253">
        <v>3</v>
      </c>
      <c r="AP2" s="1253">
        <v>4</v>
      </c>
      <c r="AQ2" s="1253">
        <v>5</v>
      </c>
      <c r="AR2" s="1253">
        <v>6</v>
      </c>
      <c r="AS2" s="1253">
        <v>7</v>
      </c>
      <c r="AT2" s="1253">
        <v>8</v>
      </c>
      <c r="AU2" s="1253">
        <v>9</v>
      </c>
      <c r="AV2" s="1253">
        <v>10</v>
      </c>
      <c r="AW2" s="1253">
        <v>11</v>
      </c>
      <c r="AX2" s="1253">
        <v>12</v>
      </c>
    </row>
    <row r="3" spans="1:50" s="1254" customFormat="1">
      <c r="A3" s="1263" t="s">
        <v>273</v>
      </c>
      <c r="B3" s="1263" t="s">
        <v>274</v>
      </c>
      <c r="C3" s="1254">
        <v>274142</v>
      </c>
      <c r="D3" s="1254">
        <v>242013</v>
      </c>
      <c r="E3" s="1254">
        <v>266860</v>
      </c>
      <c r="F3" s="1254">
        <v>262142</v>
      </c>
      <c r="G3" s="1254">
        <v>277144</v>
      </c>
      <c r="H3" s="1254">
        <v>262292</v>
      </c>
      <c r="I3" s="1254">
        <v>269777</v>
      </c>
      <c r="J3" s="1254">
        <v>257309</v>
      </c>
      <c r="K3" s="1254">
        <v>256564</v>
      </c>
      <c r="L3" s="1254">
        <v>264261</v>
      </c>
      <c r="M3" s="1254">
        <v>257659</v>
      </c>
      <c r="N3" s="1254">
        <v>270292</v>
      </c>
      <c r="O3" s="1254">
        <v>275691</v>
      </c>
      <c r="P3" s="1266">
        <v>248749</v>
      </c>
      <c r="Q3" s="1254">
        <v>275418</v>
      </c>
      <c r="R3" s="1254">
        <v>255794</v>
      </c>
      <c r="S3" s="1254">
        <v>254506</v>
      </c>
      <c r="T3" s="1254">
        <v>249533</v>
      </c>
      <c r="U3" s="1254">
        <v>263026</v>
      </c>
      <c r="V3" s="1254">
        <v>260631</v>
      </c>
      <c r="W3" s="1254">
        <v>235135</v>
      </c>
      <c r="X3" s="1254">
        <v>248126</v>
      </c>
      <c r="Y3" s="1254">
        <v>246864</v>
      </c>
      <c r="Z3" s="1254">
        <v>256524</v>
      </c>
      <c r="AA3" s="1254">
        <v>265436</v>
      </c>
      <c r="AB3" s="1254">
        <v>244480</v>
      </c>
      <c r="AC3" s="1254">
        <v>272809</v>
      </c>
      <c r="AD3" s="1254">
        <v>261239</v>
      </c>
      <c r="AE3" s="1254">
        <v>264586</v>
      </c>
      <c r="AF3" s="1254">
        <v>249673</v>
      </c>
      <c r="AG3" s="1254">
        <v>245615</v>
      </c>
      <c r="AH3" s="1254">
        <v>228054</v>
      </c>
      <c r="AI3" s="1254">
        <v>245362</v>
      </c>
      <c r="AJ3" s="1254">
        <v>265529</v>
      </c>
      <c r="AK3" s="1254">
        <v>260769</v>
      </c>
      <c r="AL3" s="1254">
        <v>264021</v>
      </c>
      <c r="AM3" s="1254">
        <v>269124</v>
      </c>
      <c r="AN3" s="1266">
        <v>244845</v>
      </c>
      <c r="AO3" s="1254">
        <v>263884</v>
      </c>
      <c r="AP3" s="1254">
        <v>263202</v>
      </c>
      <c r="AQ3" s="1254">
        <v>277404</v>
      </c>
      <c r="AR3" s="1254">
        <v>265336</v>
      </c>
      <c r="AS3" s="1254">
        <v>268747</v>
      </c>
      <c r="AT3" s="1254">
        <v>277150</v>
      </c>
    </row>
    <row r="4" spans="1:50" s="1254" customFormat="1">
      <c r="A4" s="1263" t="s">
        <v>273</v>
      </c>
      <c r="B4" s="1263" t="s">
        <v>275</v>
      </c>
      <c r="C4" s="1254">
        <v>865940</v>
      </c>
      <c r="D4" s="1254">
        <v>797522</v>
      </c>
      <c r="E4" s="1254">
        <v>900897</v>
      </c>
      <c r="F4" s="1254">
        <v>900561</v>
      </c>
      <c r="G4" s="1254">
        <v>800791</v>
      </c>
      <c r="H4" s="1254">
        <v>911421</v>
      </c>
      <c r="I4" s="1254">
        <v>908487</v>
      </c>
      <c r="J4" s="1254">
        <v>956610</v>
      </c>
      <c r="K4" s="1254">
        <v>797671</v>
      </c>
      <c r="L4" s="1254">
        <v>904745</v>
      </c>
      <c r="M4" s="1254">
        <v>871706</v>
      </c>
      <c r="N4" s="1254">
        <v>863663</v>
      </c>
      <c r="O4" s="1254">
        <f t="shared" ref="O4:AK4" si="0">SUM(O5:O6)</f>
        <v>846351</v>
      </c>
      <c r="P4" s="1266">
        <f t="shared" si="0"/>
        <v>826161</v>
      </c>
      <c r="Q4" s="1254">
        <f t="shared" si="0"/>
        <v>758939</v>
      </c>
      <c r="R4" s="1254">
        <f t="shared" si="0"/>
        <v>869257</v>
      </c>
      <c r="S4" s="1254">
        <f t="shared" si="0"/>
        <v>872958</v>
      </c>
      <c r="T4" s="1254">
        <f t="shared" si="0"/>
        <v>837724</v>
      </c>
      <c r="U4" s="1254">
        <f t="shared" si="0"/>
        <v>884757</v>
      </c>
      <c r="V4" s="1254">
        <f t="shared" si="0"/>
        <v>898433</v>
      </c>
      <c r="W4" s="1254">
        <f t="shared" si="0"/>
        <v>793382</v>
      </c>
      <c r="X4" s="1254">
        <f t="shared" si="0"/>
        <v>907174</v>
      </c>
      <c r="Y4" s="1254">
        <f t="shared" si="0"/>
        <v>970564</v>
      </c>
      <c r="Z4" s="1254">
        <f t="shared" si="0"/>
        <v>984567</v>
      </c>
      <c r="AA4" s="1254">
        <f t="shared" si="0"/>
        <v>834215</v>
      </c>
      <c r="AB4" s="1254">
        <f t="shared" si="0"/>
        <v>828131</v>
      </c>
      <c r="AC4" s="1254">
        <f t="shared" si="0"/>
        <v>919612</v>
      </c>
      <c r="AD4" s="1254">
        <f t="shared" si="0"/>
        <v>932730</v>
      </c>
      <c r="AE4" s="1254">
        <f t="shared" si="0"/>
        <v>957057</v>
      </c>
      <c r="AF4" s="1254">
        <f t="shared" si="0"/>
        <v>721013</v>
      </c>
      <c r="AG4" s="1254">
        <f t="shared" si="0"/>
        <v>530108</v>
      </c>
      <c r="AH4" s="1254">
        <f t="shared" si="0"/>
        <v>646364</v>
      </c>
      <c r="AI4" s="1254">
        <f t="shared" si="0"/>
        <v>451401</v>
      </c>
      <c r="AJ4" s="1254">
        <f t="shared" si="0"/>
        <v>819527</v>
      </c>
      <c r="AK4" s="1254">
        <f t="shared" si="0"/>
        <v>845333</v>
      </c>
      <c r="AL4" s="1254">
        <f t="shared" ref="AL4:AQ4" si="1">SUM(AL5:AL6)</f>
        <v>764972</v>
      </c>
      <c r="AM4" s="1254">
        <f t="shared" si="1"/>
        <v>932614</v>
      </c>
      <c r="AN4" s="1266">
        <f t="shared" si="1"/>
        <v>918211</v>
      </c>
      <c r="AO4" s="1254">
        <f t="shared" si="1"/>
        <v>991634</v>
      </c>
      <c r="AP4" s="1254">
        <f t="shared" si="1"/>
        <v>972695</v>
      </c>
      <c r="AQ4" s="1254">
        <f t="shared" si="1"/>
        <v>1022017</v>
      </c>
      <c r="AR4" s="1254">
        <f>SUM(AR5:AR6)</f>
        <v>990078</v>
      </c>
      <c r="AS4" s="1254">
        <f t="shared" ref="AS4:AT4" si="2">SUM(AS5:AS6)</f>
        <v>996693</v>
      </c>
      <c r="AT4" s="1254">
        <f t="shared" si="2"/>
        <v>1031862</v>
      </c>
    </row>
    <row r="5" spans="1:50" s="1254" customFormat="1">
      <c r="A5" s="201" t="s">
        <v>273</v>
      </c>
      <c r="B5" s="201" t="s">
        <v>276</v>
      </c>
      <c r="C5" s="1254">
        <v>375591</v>
      </c>
      <c r="D5" s="1254">
        <v>367304</v>
      </c>
      <c r="E5" s="1254">
        <v>398112</v>
      </c>
      <c r="F5" s="1254">
        <v>409417</v>
      </c>
      <c r="G5" s="1254">
        <v>395279</v>
      </c>
      <c r="H5" s="1254">
        <v>409494</v>
      </c>
      <c r="I5" s="1254">
        <v>371103</v>
      </c>
      <c r="J5" s="1254">
        <v>402842</v>
      </c>
      <c r="K5" s="1254">
        <v>328395</v>
      </c>
      <c r="L5" s="1254">
        <v>389807</v>
      </c>
      <c r="M5" s="1254">
        <v>333872</v>
      </c>
      <c r="N5" s="1254">
        <v>372963</v>
      </c>
      <c r="O5" s="1254">
        <v>348574</v>
      </c>
      <c r="P5" s="1266">
        <v>356038</v>
      </c>
      <c r="Q5" s="1254">
        <v>385359</v>
      </c>
      <c r="R5" s="1254">
        <v>370212</v>
      </c>
      <c r="S5" s="1254">
        <v>365563</v>
      </c>
      <c r="T5" s="1254">
        <v>357357</v>
      </c>
      <c r="U5" s="1254">
        <v>381511</v>
      </c>
      <c r="V5" s="1254">
        <v>381464</v>
      </c>
      <c r="W5" s="1254">
        <v>321051</v>
      </c>
      <c r="X5" s="1254">
        <v>379489</v>
      </c>
      <c r="Y5" s="1254">
        <v>434132</v>
      </c>
      <c r="Z5" s="1254">
        <v>422491</v>
      </c>
      <c r="AA5" s="1254">
        <v>359188</v>
      </c>
      <c r="AB5" s="1254">
        <v>358163</v>
      </c>
      <c r="AC5" s="1254">
        <v>382962</v>
      </c>
      <c r="AD5" s="1254">
        <v>421141</v>
      </c>
      <c r="AE5" s="1254">
        <v>422702</v>
      </c>
      <c r="AF5" s="1254">
        <v>221690</v>
      </c>
      <c r="AH5" s="1254">
        <v>334446</v>
      </c>
      <c r="AI5" s="1254">
        <v>442634</v>
      </c>
      <c r="AJ5" s="1254">
        <v>374456</v>
      </c>
      <c r="AK5" s="1254">
        <v>358843</v>
      </c>
      <c r="AL5" s="1254">
        <v>316542</v>
      </c>
      <c r="AM5" s="1254">
        <v>398081</v>
      </c>
      <c r="AN5" s="1266">
        <v>387751</v>
      </c>
      <c r="AO5" s="1254">
        <v>395929</v>
      </c>
      <c r="AP5" s="1254">
        <v>390155</v>
      </c>
      <c r="AQ5" s="1254">
        <v>429476</v>
      </c>
      <c r="AR5" s="1254">
        <v>392657</v>
      </c>
      <c r="AS5" s="1254">
        <v>389007</v>
      </c>
      <c r="AT5" s="1254">
        <v>431654</v>
      </c>
    </row>
    <row r="6" spans="1:50" s="1254" customFormat="1">
      <c r="A6" s="201" t="s">
        <v>273</v>
      </c>
      <c r="B6" s="201" t="s">
        <v>277</v>
      </c>
      <c r="C6" s="1254">
        <v>490349</v>
      </c>
      <c r="D6" s="1254">
        <v>430218</v>
      </c>
      <c r="E6" s="1254">
        <v>502785</v>
      </c>
      <c r="F6" s="1254">
        <v>491144</v>
      </c>
      <c r="G6" s="1254">
        <v>405512</v>
      </c>
      <c r="H6" s="1254">
        <v>501927</v>
      </c>
      <c r="I6" s="1254">
        <v>537384</v>
      </c>
      <c r="J6" s="1254">
        <v>553768</v>
      </c>
      <c r="K6" s="1254">
        <v>469276</v>
      </c>
      <c r="L6" s="1254">
        <v>514938</v>
      </c>
      <c r="M6" s="1254">
        <v>537834</v>
      </c>
      <c r="N6" s="1254">
        <v>490700</v>
      </c>
      <c r="O6" s="1254">
        <v>497777</v>
      </c>
      <c r="P6" s="1266">
        <v>470123</v>
      </c>
      <c r="Q6" s="1254">
        <v>373580</v>
      </c>
      <c r="R6" s="1254">
        <v>499045</v>
      </c>
      <c r="S6" s="1254">
        <v>507395</v>
      </c>
      <c r="T6" s="1254">
        <v>480367</v>
      </c>
      <c r="U6" s="1254">
        <v>503246</v>
      </c>
      <c r="V6" s="1254">
        <v>516969</v>
      </c>
      <c r="W6" s="1254">
        <v>472331</v>
      </c>
      <c r="X6" s="1254">
        <v>527685</v>
      </c>
      <c r="Y6" s="1254">
        <v>536432</v>
      </c>
      <c r="Z6" s="1254">
        <v>562076</v>
      </c>
      <c r="AA6" s="1254">
        <v>475027</v>
      </c>
      <c r="AB6" s="1254">
        <v>469968</v>
      </c>
      <c r="AC6" s="1254">
        <v>536650</v>
      </c>
      <c r="AD6" s="1254">
        <v>511589</v>
      </c>
      <c r="AE6" s="1254">
        <v>534355</v>
      </c>
      <c r="AF6" s="1254">
        <v>499323</v>
      </c>
      <c r="AG6" s="1254">
        <v>530108</v>
      </c>
      <c r="AH6" s="1254">
        <v>311918</v>
      </c>
      <c r="AI6" s="1254">
        <v>8767</v>
      </c>
      <c r="AJ6" s="1254">
        <v>445071</v>
      </c>
      <c r="AK6" s="1254">
        <v>486490</v>
      </c>
      <c r="AL6" s="1254">
        <v>448430</v>
      </c>
      <c r="AM6" s="1254">
        <v>534533</v>
      </c>
      <c r="AN6" s="1266">
        <v>530460</v>
      </c>
      <c r="AO6" s="1254">
        <v>595705</v>
      </c>
      <c r="AP6" s="1254">
        <v>582540</v>
      </c>
      <c r="AQ6" s="1254">
        <v>592541</v>
      </c>
      <c r="AR6" s="1254">
        <v>597421</v>
      </c>
      <c r="AS6" s="1254">
        <v>607686</v>
      </c>
      <c r="AT6" s="1254">
        <v>600208</v>
      </c>
    </row>
    <row r="7" spans="1:50" s="1254" customFormat="1">
      <c r="A7" s="1263" t="s">
        <v>273</v>
      </c>
      <c r="B7" s="1263" t="s">
        <v>278</v>
      </c>
      <c r="C7" s="1254">
        <v>739319</v>
      </c>
      <c r="D7" s="1254">
        <v>627545</v>
      </c>
      <c r="E7" s="1254">
        <v>706848</v>
      </c>
      <c r="F7" s="1254">
        <v>663511</v>
      </c>
      <c r="G7" s="1254">
        <v>668497</v>
      </c>
      <c r="H7" s="1254">
        <v>675371</v>
      </c>
      <c r="I7" s="1254">
        <v>684242</v>
      </c>
      <c r="J7" s="1254">
        <v>717353</v>
      </c>
      <c r="K7" s="1254">
        <v>653124</v>
      </c>
      <c r="L7" s="1254">
        <v>673210</v>
      </c>
      <c r="M7" s="1254">
        <v>659065</v>
      </c>
      <c r="N7" s="1254">
        <v>693946</v>
      </c>
      <c r="O7" s="1254">
        <f t="shared" ref="O7:AL7" si="3">SUM(O8:O10)</f>
        <v>693450</v>
      </c>
      <c r="P7" s="1266">
        <f t="shared" si="3"/>
        <v>652809</v>
      </c>
      <c r="Q7" s="1254">
        <f t="shared" si="3"/>
        <v>653158</v>
      </c>
      <c r="R7" s="1254">
        <f t="shared" si="3"/>
        <v>687630</v>
      </c>
      <c r="S7" s="1254">
        <f t="shared" si="3"/>
        <v>710250</v>
      </c>
      <c r="T7" s="1254">
        <f t="shared" si="3"/>
        <v>679771</v>
      </c>
      <c r="U7" s="1254">
        <f t="shared" si="3"/>
        <v>704953</v>
      </c>
      <c r="V7" s="1254">
        <f t="shared" si="3"/>
        <v>710310</v>
      </c>
      <c r="W7" s="1254">
        <f t="shared" si="3"/>
        <v>604317</v>
      </c>
      <c r="X7" s="1254">
        <f t="shared" si="3"/>
        <v>713071</v>
      </c>
      <c r="Y7" s="1254">
        <f t="shared" si="3"/>
        <v>720798</v>
      </c>
      <c r="Z7" s="1254">
        <f t="shared" si="3"/>
        <v>730776</v>
      </c>
      <c r="AA7" s="1254">
        <f t="shared" si="3"/>
        <v>729286.8</v>
      </c>
      <c r="AB7" s="1254">
        <f t="shared" si="3"/>
        <v>681529</v>
      </c>
      <c r="AC7" s="1254">
        <f t="shared" si="3"/>
        <v>721360</v>
      </c>
      <c r="AD7" s="1254">
        <f t="shared" si="3"/>
        <v>733504</v>
      </c>
      <c r="AE7" s="1254">
        <f t="shared" si="3"/>
        <v>736967</v>
      </c>
      <c r="AF7" s="1254">
        <f t="shared" si="3"/>
        <v>529427</v>
      </c>
      <c r="AG7" s="1254">
        <f t="shared" si="3"/>
        <v>474443</v>
      </c>
      <c r="AH7" s="1254">
        <f t="shared" si="3"/>
        <v>455236</v>
      </c>
      <c r="AI7" s="1254">
        <f t="shared" si="3"/>
        <v>433186</v>
      </c>
      <c r="AJ7" s="1254">
        <f t="shared" si="3"/>
        <v>691217</v>
      </c>
      <c r="AK7" s="1254">
        <f t="shared" si="3"/>
        <v>746962</v>
      </c>
      <c r="AL7" s="1254">
        <f t="shared" si="3"/>
        <v>767002</v>
      </c>
      <c r="AM7" s="1254">
        <f>SUM(AM8:AM10)</f>
        <v>765676</v>
      </c>
      <c r="AN7" s="1254">
        <f t="shared" ref="AN7:AQ7" si="4">SUM(AN8:AN10)</f>
        <v>718384</v>
      </c>
      <c r="AO7" s="1254">
        <f t="shared" si="4"/>
        <v>796822</v>
      </c>
      <c r="AP7" s="1254">
        <f t="shared" si="4"/>
        <v>789981</v>
      </c>
      <c r="AQ7" s="1254">
        <f t="shared" si="4"/>
        <v>811967</v>
      </c>
      <c r="AR7" s="1254">
        <f>SUM(AR8:AR10)</f>
        <v>799267</v>
      </c>
      <c r="AS7" s="1254">
        <f t="shared" ref="AS7:AT7" si="5">SUM(AS8:AS10)</f>
        <v>801083</v>
      </c>
      <c r="AT7" s="1254">
        <f t="shared" si="5"/>
        <v>784915</v>
      </c>
    </row>
    <row r="8" spans="1:50" s="1254" customFormat="1">
      <c r="A8" s="201" t="s">
        <v>273</v>
      </c>
      <c r="B8" s="201" t="s">
        <v>279</v>
      </c>
      <c r="C8" s="1254">
        <v>126320</v>
      </c>
      <c r="D8" s="1254">
        <v>112017</v>
      </c>
      <c r="E8" s="1254">
        <v>128116</v>
      </c>
      <c r="F8" s="1254">
        <v>129738</v>
      </c>
      <c r="G8" s="1254">
        <v>127404</v>
      </c>
      <c r="H8" s="1254">
        <v>115484</v>
      </c>
      <c r="I8" s="1254">
        <v>128198</v>
      </c>
      <c r="J8" s="1254">
        <v>130774</v>
      </c>
      <c r="K8" s="1254">
        <v>122474</v>
      </c>
      <c r="L8" s="1254">
        <v>117863</v>
      </c>
      <c r="M8" s="1254">
        <v>127154</v>
      </c>
      <c r="N8" s="1254">
        <v>132482</v>
      </c>
      <c r="O8" s="1254">
        <v>133175</v>
      </c>
      <c r="P8" s="1266">
        <v>109446</v>
      </c>
      <c r="Q8" s="1254">
        <v>136305</v>
      </c>
      <c r="R8" s="1254">
        <v>138566</v>
      </c>
      <c r="S8" s="1254">
        <v>124824</v>
      </c>
      <c r="T8" s="1254">
        <v>134287</v>
      </c>
      <c r="U8" s="1254">
        <v>132742</v>
      </c>
      <c r="V8" s="1254">
        <v>136912</v>
      </c>
      <c r="W8" s="1254">
        <v>113237</v>
      </c>
      <c r="X8" s="1254">
        <v>136507</v>
      </c>
      <c r="Y8" s="1254">
        <v>137782</v>
      </c>
      <c r="Z8" s="1254">
        <v>137967</v>
      </c>
      <c r="AA8" s="1266">
        <v>125832</v>
      </c>
      <c r="AB8" s="1266">
        <v>126335</v>
      </c>
      <c r="AC8" s="1266">
        <v>144581</v>
      </c>
      <c r="AD8" s="1254">
        <v>142483</v>
      </c>
      <c r="AE8" s="1254">
        <v>131012</v>
      </c>
      <c r="AF8" s="1254">
        <v>135514</v>
      </c>
      <c r="AG8" s="1254">
        <v>153461</v>
      </c>
      <c r="AH8" s="1254">
        <v>143852</v>
      </c>
      <c r="AI8" s="1254">
        <v>141703</v>
      </c>
      <c r="AJ8" s="1254">
        <v>138070</v>
      </c>
      <c r="AK8" s="1254">
        <v>143227</v>
      </c>
      <c r="AL8" s="1254">
        <v>149042</v>
      </c>
      <c r="AM8" s="1254">
        <v>148253</v>
      </c>
      <c r="AN8" s="1266">
        <v>110526</v>
      </c>
      <c r="AO8" s="1254">
        <v>152974</v>
      </c>
      <c r="AP8" s="1254">
        <v>137321</v>
      </c>
      <c r="AQ8" s="1254">
        <v>146981</v>
      </c>
      <c r="AR8" s="1254">
        <v>151256</v>
      </c>
      <c r="AS8" s="1254">
        <v>151831</v>
      </c>
      <c r="AT8" s="1254">
        <v>149884</v>
      </c>
    </row>
    <row r="9" spans="1:50" s="1254" customFormat="1">
      <c r="A9" s="201" t="s">
        <v>273</v>
      </c>
      <c r="B9" s="201" t="s">
        <v>280</v>
      </c>
      <c r="C9" s="1254">
        <v>254085</v>
      </c>
      <c r="D9" s="1254">
        <v>233463</v>
      </c>
      <c r="E9" s="1254">
        <v>242498</v>
      </c>
      <c r="F9" s="1254">
        <v>210669</v>
      </c>
      <c r="G9" s="1254">
        <v>246374</v>
      </c>
      <c r="H9" s="1254">
        <v>245182</v>
      </c>
      <c r="I9" s="1254">
        <v>251909</v>
      </c>
      <c r="J9" s="1254">
        <v>266117</v>
      </c>
      <c r="K9" s="1254">
        <v>247701</v>
      </c>
      <c r="L9" s="1254">
        <v>266409</v>
      </c>
      <c r="M9" s="1254">
        <v>239064</v>
      </c>
      <c r="N9" s="1254">
        <v>269563</v>
      </c>
      <c r="O9" s="1254">
        <v>254025</v>
      </c>
      <c r="P9" s="1266">
        <v>251457</v>
      </c>
      <c r="Q9" s="1266">
        <v>264037</v>
      </c>
      <c r="R9" s="1266">
        <v>242976</v>
      </c>
      <c r="S9" s="1266">
        <v>269320</v>
      </c>
      <c r="T9" s="1266">
        <v>232384</v>
      </c>
      <c r="U9" s="1266">
        <v>267023</v>
      </c>
      <c r="V9" s="1266">
        <v>262794</v>
      </c>
      <c r="W9" s="1266">
        <v>249160</v>
      </c>
      <c r="X9" s="1266">
        <v>253093</v>
      </c>
      <c r="Y9" s="1266">
        <v>268653</v>
      </c>
      <c r="Z9" s="1266">
        <v>269365</v>
      </c>
      <c r="AA9" s="1266">
        <v>291828.40000000002</v>
      </c>
      <c r="AB9" s="1266">
        <v>265357</v>
      </c>
      <c r="AC9" s="1266">
        <v>279554</v>
      </c>
      <c r="AD9" s="1254">
        <v>279676</v>
      </c>
      <c r="AE9" s="1254">
        <v>286658</v>
      </c>
      <c r="AF9" s="1254">
        <v>111147</v>
      </c>
      <c r="AJ9" s="1254">
        <v>256083</v>
      </c>
      <c r="AK9" s="1254">
        <v>297680</v>
      </c>
      <c r="AL9" s="1254">
        <v>313310</v>
      </c>
      <c r="AM9" s="1254">
        <v>328420</v>
      </c>
      <c r="AN9" s="1266">
        <v>321074</v>
      </c>
      <c r="AO9" s="1254">
        <v>328028</v>
      </c>
      <c r="AP9" s="1254">
        <v>338615</v>
      </c>
      <c r="AQ9" s="1254">
        <v>345348</v>
      </c>
      <c r="AR9" s="1254">
        <v>319459</v>
      </c>
      <c r="AS9" s="1254">
        <v>316207</v>
      </c>
      <c r="AT9" s="1254">
        <v>307599</v>
      </c>
    </row>
    <row r="10" spans="1:50" s="1255" customFormat="1">
      <c r="A10" s="1264" t="s">
        <v>273</v>
      </c>
      <c r="B10" s="1264" t="s">
        <v>281</v>
      </c>
      <c r="C10" s="1255">
        <v>358914</v>
      </c>
      <c r="D10" s="1255">
        <v>282065</v>
      </c>
      <c r="E10" s="1255">
        <v>336234</v>
      </c>
      <c r="F10" s="1255">
        <v>323104</v>
      </c>
      <c r="G10" s="1255">
        <v>294719</v>
      </c>
      <c r="H10" s="1255">
        <v>314705</v>
      </c>
      <c r="I10" s="1255">
        <v>304135</v>
      </c>
      <c r="J10" s="1255">
        <v>320462</v>
      </c>
      <c r="K10" s="1255">
        <v>282949</v>
      </c>
      <c r="L10" s="1255">
        <v>288938</v>
      </c>
      <c r="M10" s="1255">
        <v>292847</v>
      </c>
      <c r="N10" s="1255">
        <v>291901</v>
      </c>
      <c r="O10" s="1255">
        <v>306250</v>
      </c>
      <c r="P10" s="1267">
        <v>291906</v>
      </c>
      <c r="Q10" s="1267">
        <v>252816</v>
      </c>
      <c r="R10" s="1267">
        <v>306088</v>
      </c>
      <c r="S10" s="1267">
        <v>316106</v>
      </c>
      <c r="T10" s="1267">
        <v>313100</v>
      </c>
      <c r="U10" s="1267">
        <v>305188</v>
      </c>
      <c r="V10" s="1267">
        <v>310604</v>
      </c>
      <c r="W10" s="1267">
        <v>241920</v>
      </c>
      <c r="X10" s="1267">
        <v>323471</v>
      </c>
      <c r="Y10" s="1267">
        <v>314363</v>
      </c>
      <c r="Z10" s="1267">
        <v>323444</v>
      </c>
      <c r="AA10" s="1267">
        <v>311626.40000000002</v>
      </c>
      <c r="AB10" s="1267">
        <v>289837</v>
      </c>
      <c r="AC10" s="1267">
        <v>297225</v>
      </c>
      <c r="AD10" s="1255">
        <v>311345</v>
      </c>
      <c r="AE10" s="1255">
        <v>319297</v>
      </c>
      <c r="AF10" s="1255">
        <v>282766</v>
      </c>
      <c r="AG10" s="1255">
        <v>320982</v>
      </c>
      <c r="AH10" s="1255">
        <v>311384</v>
      </c>
      <c r="AI10" s="1255">
        <v>291483</v>
      </c>
      <c r="AJ10" s="1255">
        <v>297064</v>
      </c>
      <c r="AK10" s="1255">
        <v>306055</v>
      </c>
      <c r="AL10" s="1255">
        <v>304650</v>
      </c>
      <c r="AM10" s="1255">
        <v>289003</v>
      </c>
      <c r="AN10" s="1267">
        <v>286784</v>
      </c>
      <c r="AO10" s="1255">
        <v>315820</v>
      </c>
      <c r="AP10" s="1255">
        <v>314045</v>
      </c>
      <c r="AQ10" s="1255">
        <v>319638</v>
      </c>
      <c r="AR10" s="1255">
        <v>328552</v>
      </c>
      <c r="AS10" s="1255">
        <v>333045</v>
      </c>
      <c r="AT10" s="1255">
        <v>327432</v>
      </c>
    </row>
    <row r="11" spans="1:50" s="1256" customFormat="1">
      <c r="A11" s="1263" t="s">
        <v>273</v>
      </c>
      <c r="B11" s="1263" t="s">
        <v>282</v>
      </c>
      <c r="C11" s="1256">
        <v>937637</v>
      </c>
      <c r="D11" s="1256">
        <v>829058</v>
      </c>
      <c r="E11" s="1256">
        <v>925966</v>
      </c>
      <c r="F11" s="1256">
        <v>880019</v>
      </c>
      <c r="G11" s="1256">
        <v>889022</v>
      </c>
      <c r="H11" s="1256">
        <v>901096</v>
      </c>
      <c r="I11" s="1256">
        <v>899928</v>
      </c>
      <c r="J11" s="1256">
        <v>918347</v>
      </c>
      <c r="K11" s="1256">
        <v>834093</v>
      </c>
      <c r="L11" s="1256">
        <v>907221</v>
      </c>
      <c r="M11" s="1256">
        <v>868657</v>
      </c>
      <c r="N11" s="1256">
        <v>912815.09499999997</v>
      </c>
      <c r="O11" s="1256">
        <v>899999.06700000004</v>
      </c>
      <c r="P11" s="1256">
        <v>850071.01</v>
      </c>
      <c r="Q11" s="1256">
        <v>898119.28700000001</v>
      </c>
      <c r="R11" s="1256">
        <f>915789.914-35.82</f>
        <v>915754.09400000004</v>
      </c>
      <c r="S11" s="1256">
        <v>935304.94499999995</v>
      </c>
      <c r="T11" s="1256">
        <v>894044.73</v>
      </c>
      <c r="U11" s="1256">
        <v>954510.85</v>
      </c>
      <c r="V11" s="1256">
        <v>949521.76100000006</v>
      </c>
      <c r="W11" s="1256">
        <v>779867.90700000001</v>
      </c>
      <c r="X11" s="1256">
        <v>913370.06700000004</v>
      </c>
      <c r="Y11" s="1256">
        <v>927457.29500000004</v>
      </c>
      <c r="Z11" s="1256">
        <v>940733.95799999998</v>
      </c>
      <c r="AA11" s="1256">
        <v>961186.88500000001</v>
      </c>
      <c r="AB11" s="1256">
        <v>903023.93400000001</v>
      </c>
      <c r="AC11" s="1256">
        <v>927003.32900000003</v>
      </c>
      <c r="AD11" s="1256">
        <v>914366.97400000005</v>
      </c>
      <c r="AE11" s="1256">
        <v>967965.26300000004</v>
      </c>
      <c r="AF11" s="1256">
        <v>783459.04700000002</v>
      </c>
      <c r="AG11" s="1256">
        <v>802165.81300000008</v>
      </c>
      <c r="AH11" s="1256">
        <v>761398.20900000003</v>
      </c>
      <c r="AI11" s="1256">
        <v>758580.25699999998</v>
      </c>
      <c r="AJ11" s="1256">
        <v>929958.50699999998</v>
      </c>
      <c r="AK11" s="1256">
        <v>968348.82000000007</v>
      </c>
      <c r="AL11" s="1256">
        <f>AL13+AL18</f>
        <v>1011171.6159999999</v>
      </c>
      <c r="AM11" s="1256">
        <f>AM13+AM18</f>
        <v>1005207.8129999998</v>
      </c>
      <c r="AN11" s="1256">
        <v>949966.78500000003</v>
      </c>
      <c r="AO11" s="1256">
        <v>1077865.5969999998</v>
      </c>
      <c r="AP11" s="1256">
        <v>1036390.4679999999</v>
      </c>
      <c r="AQ11" s="1256">
        <v>1087027.4110000001</v>
      </c>
      <c r="AR11" s="1256">
        <v>1083451.466</v>
      </c>
      <c r="AS11" s="1256">
        <v>1099973.3669999999</v>
      </c>
      <c r="AT11" s="1256">
        <v>1089890</v>
      </c>
    </row>
    <row r="12" spans="1:50">
      <c r="A12" s="201" t="s">
        <v>273</v>
      </c>
      <c r="B12" s="201" t="s">
        <v>283</v>
      </c>
      <c r="C12" s="1262">
        <v>915232</v>
      </c>
      <c r="D12" s="1262">
        <v>809160</v>
      </c>
      <c r="E12" s="1262">
        <v>901726</v>
      </c>
      <c r="F12" s="1262">
        <v>858599</v>
      </c>
      <c r="G12" s="1262">
        <v>866611</v>
      </c>
      <c r="H12" s="1262">
        <v>879748</v>
      </c>
      <c r="I12" s="1262">
        <v>885775</v>
      </c>
      <c r="J12" s="1262">
        <v>899031</v>
      </c>
      <c r="K12" s="1262">
        <v>814672</v>
      </c>
      <c r="L12" s="1262">
        <v>889526</v>
      </c>
      <c r="M12" s="1262">
        <v>850826</v>
      </c>
      <c r="N12" s="1262">
        <v>894402.62300000002</v>
      </c>
      <c r="O12" s="1262">
        <v>880029.37399999995</v>
      </c>
      <c r="P12" s="1262">
        <v>827998.39</v>
      </c>
      <c r="Q12" s="1262">
        <v>879602.05</v>
      </c>
      <c r="R12" s="1262">
        <f>896255.542-35.82</f>
        <v>896219.72200000007</v>
      </c>
      <c r="S12" s="1262">
        <v>915307.62600000005</v>
      </c>
      <c r="T12" s="1262">
        <v>876986.03399999999</v>
      </c>
      <c r="U12" s="1262">
        <v>941800.42799999996</v>
      </c>
      <c r="V12" s="1262">
        <v>935735.47499999998</v>
      </c>
      <c r="W12" s="1262">
        <v>770517.84699999995</v>
      </c>
      <c r="X12" s="1262">
        <v>903197.8</v>
      </c>
      <c r="Y12" s="1262">
        <v>916756.58400000003</v>
      </c>
      <c r="Z12" s="1262">
        <v>925439.61300000001</v>
      </c>
      <c r="AA12" s="1262">
        <v>946869.49</v>
      </c>
      <c r="AB12" s="1262">
        <v>889344.28799999994</v>
      </c>
      <c r="AC12" s="1262">
        <v>911219.598</v>
      </c>
      <c r="AD12" s="1262">
        <v>904376.16700000002</v>
      </c>
      <c r="AE12" s="1262">
        <v>958032.13199999998</v>
      </c>
      <c r="AF12" s="1262">
        <v>772994.05299999996</v>
      </c>
      <c r="AG12" s="1262">
        <v>787004.83799999999</v>
      </c>
      <c r="AH12" s="1262">
        <v>742088.72</v>
      </c>
      <c r="AI12" s="1262">
        <v>744222.48200000008</v>
      </c>
      <c r="AJ12" s="1262">
        <v>912126.777</v>
      </c>
      <c r="AK12" s="1262">
        <v>954022.38899999997</v>
      </c>
      <c r="AL12" s="1262">
        <v>999214.28499999992</v>
      </c>
      <c r="AM12" s="1262">
        <v>991958.77199999988</v>
      </c>
      <c r="AN12" s="1262">
        <v>936221.34900000005</v>
      </c>
      <c r="AO12" s="1262">
        <v>1061456.0889999999</v>
      </c>
      <c r="AP12" s="1262">
        <v>1021481.787</v>
      </c>
      <c r="AQ12" s="1262">
        <v>1070349.372</v>
      </c>
      <c r="AR12" s="1262">
        <v>1065790.284</v>
      </c>
      <c r="AS12" s="1262">
        <v>1083992.183</v>
      </c>
      <c r="AT12" s="1262">
        <v>1072171.108</v>
      </c>
    </row>
    <row r="13" spans="1:50">
      <c r="A13" s="201" t="s">
        <v>273</v>
      </c>
      <c r="B13" s="201" t="s">
        <v>284</v>
      </c>
      <c r="C13" s="1262">
        <v>90369</v>
      </c>
      <c r="D13" s="1262">
        <v>80248</v>
      </c>
      <c r="E13" s="1262">
        <v>90228</v>
      </c>
      <c r="F13" s="1262">
        <v>85085</v>
      </c>
      <c r="G13" s="1262">
        <v>95927</v>
      </c>
      <c r="H13" s="1262">
        <v>93414</v>
      </c>
      <c r="I13" s="1262">
        <v>85888</v>
      </c>
      <c r="J13" s="1262">
        <v>76632</v>
      </c>
      <c r="K13" s="1262">
        <v>60041</v>
      </c>
      <c r="L13" s="1262">
        <v>88046</v>
      </c>
      <c r="M13" s="1262">
        <v>89356</v>
      </c>
      <c r="N13" s="1262">
        <v>83107.245999999999</v>
      </c>
      <c r="O13" s="1262">
        <v>96164.396999999997</v>
      </c>
      <c r="P13" s="1262">
        <v>86108.968999999997</v>
      </c>
      <c r="Q13" s="1262">
        <v>86541.11</v>
      </c>
      <c r="R13" s="1262">
        <v>91575.345000000001</v>
      </c>
      <c r="S13" s="1262">
        <v>98908.649000000005</v>
      </c>
      <c r="T13" s="1262">
        <v>91433.995999999999</v>
      </c>
      <c r="U13" s="1262">
        <v>90907.217999999993</v>
      </c>
      <c r="V13" s="1262">
        <v>94799.880999999994</v>
      </c>
      <c r="W13" s="1262">
        <v>74061.116999999998</v>
      </c>
      <c r="X13" s="1262">
        <v>74078.3</v>
      </c>
      <c r="Y13" s="1262">
        <v>92971.111000000004</v>
      </c>
      <c r="Z13" s="1262">
        <v>94565.145999999993</v>
      </c>
      <c r="AA13" s="1262">
        <v>91656.428</v>
      </c>
      <c r="AB13" s="1262">
        <v>89919.482999999993</v>
      </c>
      <c r="AC13" s="1262">
        <v>95695.790999999997</v>
      </c>
      <c r="AD13" s="1262">
        <v>68779.471999999994</v>
      </c>
      <c r="AE13" s="1262">
        <v>90976.361999999994</v>
      </c>
      <c r="AF13" s="1262">
        <v>69710.702999999994</v>
      </c>
      <c r="AG13" s="1262">
        <v>99848.917000000001</v>
      </c>
      <c r="AH13" s="1262">
        <v>97087.978999999992</v>
      </c>
      <c r="AI13" s="1262">
        <v>92774.688999999998</v>
      </c>
      <c r="AJ13" s="1262">
        <v>98750.755000000005</v>
      </c>
      <c r="AK13" s="1262">
        <v>92771.173999999999</v>
      </c>
      <c r="AL13" s="1262">
        <v>96019.589000000007</v>
      </c>
      <c r="AM13" s="1262">
        <v>100917.93799999999</v>
      </c>
      <c r="AN13" s="1262">
        <v>92067.426999999996</v>
      </c>
      <c r="AO13" s="1262">
        <v>106344.24400000001</v>
      </c>
      <c r="AP13" s="1262">
        <v>88773.031000000003</v>
      </c>
      <c r="AQ13" s="1262">
        <v>108117.057</v>
      </c>
      <c r="AR13" s="1262">
        <v>104314.769</v>
      </c>
      <c r="AS13" s="1262">
        <v>99305.851999999999</v>
      </c>
      <c r="AT13" s="1262">
        <v>108075</v>
      </c>
    </row>
    <row r="14" spans="1:50">
      <c r="A14" s="201" t="s">
        <v>273</v>
      </c>
      <c r="B14" s="201" t="s">
        <v>285</v>
      </c>
      <c r="C14" s="1262">
        <v>38571</v>
      </c>
      <c r="D14" s="1262">
        <v>36665</v>
      </c>
      <c r="E14" s="1262">
        <v>36423</v>
      </c>
      <c r="F14" s="1262">
        <v>37050</v>
      </c>
      <c r="G14" s="1262">
        <v>40093</v>
      </c>
      <c r="H14" s="1262">
        <v>40066</v>
      </c>
      <c r="I14" s="1262">
        <v>38619</v>
      </c>
      <c r="J14" s="1262">
        <v>20301</v>
      </c>
      <c r="K14" s="1262">
        <v>8272</v>
      </c>
      <c r="L14" s="1262">
        <v>36454</v>
      </c>
      <c r="M14" s="1262">
        <v>37716</v>
      </c>
      <c r="N14" s="1262">
        <v>40422.756000000001</v>
      </c>
      <c r="O14" s="1262">
        <v>41303.222999999998</v>
      </c>
      <c r="P14" s="1262">
        <v>37363.807999999997</v>
      </c>
      <c r="Q14" s="1262">
        <v>40901.618999999999</v>
      </c>
      <c r="R14" s="1262">
        <v>38385.421000000002</v>
      </c>
      <c r="S14" s="1262">
        <v>41469.188000000002</v>
      </c>
      <c r="T14" s="1262">
        <v>40109.726000000002</v>
      </c>
      <c r="U14" s="1262">
        <v>39507.832999999999</v>
      </c>
      <c r="V14" s="1262">
        <v>40241.938000000002</v>
      </c>
      <c r="W14" s="1262">
        <v>31521.35</v>
      </c>
      <c r="X14" s="1262">
        <v>26146.089</v>
      </c>
      <c r="Y14" s="1262">
        <v>39539.976000000002</v>
      </c>
      <c r="Z14" s="1262">
        <v>41215.771999999997</v>
      </c>
      <c r="AA14" s="1262">
        <v>40789.269999999997</v>
      </c>
      <c r="AB14" s="1262">
        <v>39820.063999999998</v>
      </c>
      <c r="AC14" s="1262">
        <v>42301.019</v>
      </c>
      <c r="AD14" s="1262">
        <v>19193.09</v>
      </c>
      <c r="AE14" s="1262">
        <v>40712.004999999997</v>
      </c>
      <c r="AF14" s="1262">
        <v>32628.925999999999</v>
      </c>
      <c r="AG14" s="1262">
        <v>42047.514999999999</v>
      </c>
      <c r="AH14" s="1262">
        <v>40662.688000000002</v>
      </c>
      <c r="AI14" s="1262">
        <v>40062.135000000002</v>
      </c>
      <c r="AJ14" s="1262">
        <v>41334.442999999999</v>
      </c>
      <c r="AK14" s="1262">
        <v>41023.387999999999</v>
      </c>
      <c r="AL14" s="1262">
        <v>44067.03</v>
      </c>
      <c r="AM14" s="1262">
        <v>42088.794999999998</v>
      </c>
      <c r="AN14" s="1262">
        <v>38065.084000000003</v>
      </c>
      <c r="AO14" s="1262">
        <v>43428.496999999996</v>
      </c>
      <c r="AP14" s="1262">
        <v>28426.713</v>
      </c>
      <c r="AQ14" s="1262">
        <v>43357.409</v>
      </c>
      <c r="AR14" s="1262">
        <v>44156.218000000001</v>
      </c>
      <c r="AS14" s="1262">
        <v>45022.563999999998</v>
      </c>
      <c r="AT14" s="1262">
        <v>44586</v>
      </c>
    </row>
    <row r="15" spans="1:50">
      <c r="A15" s="201" t="s">
        <v>273</v>
      </c>
      <c r="B15" s="201" t="s">
        <v>286</v>
      </c>
      <c r="C15" s="1262">
        <v>36870</v>
      </c>
      <c r="D15" s="1262">
        <v>35076</v>
      </c>
      <c r="E15" s="1262">
        <v>34662</v>
      </c>
      <c r="F15" s="1262">
        <v>35640</v>
      </c>
      <c r="G15" s="1262">
        <v>38316</v>
      </c>
      <c r="H15" s="1262">
        <v>38412</v>
      </c>
      <c r="I15" s="1262">
        <v>36267</v>
      </c>
      <c r="J15" s="1262">
        <v>18661</v>
      </c>
      <c r="K15" s="1262">
        <v>7815</v>
      </c>
      <c r="L15" s="1262">
        <v>35192</v>
      </c>
      <c r="M15" s="1262">
        <v>36182</v>
      </c>
      <c r="N15" s="1262">
        <v>38749.614999999998</v>
      </c>
      <c r="O15" s="1262">
        <v>39783.423000000003</v>
      </c>
      <c r="P15" s="1262">
        <v>35039.716</v>
      </c>
      <c r="Q15" s="1262">
        <v>37821.508999999998</v>
      </c>
      <c r="R15" s="1262">
        <v>36122.953000000001</v>
      </c>
      <c r="S15" s="1262">
        <v>40273.616000000002</v>
      </c>
      <c r="T15" s="1262">
        <v>38529.332999999999</v>
      </c>
      <c r="U15" s="1262">
        <v>38076.463000000003</v>
      </c>
      <c r="V15" s="1262">
        <v>39506.177000000003</v>
      </c>
      <c r="W15" s="1262">
        <v>30670.463</v>
      </c>
      <c r="X15" s="1262">
        <v>25422.859</v>
      </c>
      <c r="Y15" s="1262">
        <v>38209.851000000002</v>
      </c>
      <c r="Z15" s="1262">
        <v>38600.324000000001</v>
      </c>
      <c r="AA15" s="1262">
        <v>38690.381999999998</v>
      </c>
      <c r="AB15" s="1262">
        <v>37752.148000000001</v>
      </c>
      <c r="AC15" s="1262">
        <v>39415.444000000003</v>
      </c>
      <c r="AD15" s="1262">
        <v>17900.219000000001</v>
      </c>
      <c r="AE15" s="1262">
        <v>38817.133000000002</v>
      </c>
      <c r="AF15" s="1262">
        <v>30748.221000000001</v>
      </c>
      <c r="AG15" s="1262">
        <v>40142.235999999997</v>
      </c>
      <c r="AH15" s="1262">
        <v>38855.417999999998</v>
      </c>
      <c r="AI15" s="1262">
        <v>37683.951000000001</v>
      </c>
      <c r="AJ15" s="1262">
        <v>39019.696000000004</v>
      </c>
      <c r="AK15" s="1262">
        <v>39755.006999999998</v>
      </c>
      <c r="AL15" s="1262">
        <v>42163.411</v>
      </c>
      <c r="AM15" s="1262">
        <v>40140.961000000003</v>
      </c>
      <c r="AN15" s="1262">
        <v>35696.631000000001</v>
      </c>
      <c r="AO15" s="1262">
        <v>41183.610999999997</v>
      </c>
      <c r="AP15" s="1262">
        <v>27087.228999999999</v>
      </c>
      <c r="AQ15" s="1262">
        <v>40873.97</v>
      </c>
      <c r="AR15" s="1262">
        <v>41050.550999999999</v>
      </c>
      <c r="AS15" s="1262">
        <v>41741.525000000001</v>
      </c>
      <c r="AT15" s="1262">
        <v>41136.339</v>
      </c>
    </row>
    <row r="16" spans="1:50">
      <c r="A16" s="201" t="s">
        <v>273</v>
      </c>
      <c r="B16" s="201" t="s">
        <v>287</v>
      </c>
      <c r="C16" s="1262">
        <v>51798</v>
      </c>
      <c r="D16" s="1262">
        <v>43583</v>
      </c>
      <c r="E16" s="1262">
        <v>53805</v>
      </c>
      <c r="F16" s="1262">
        <v>48035</v>
      </c>
      <c r="G16" s="1262">
        <v>55834</v>
      </c>
      <c r="H16" s="1262">
        <v>53348</v>
      </c>
      <c r="I16" s="1262">
        <v>47269</v>
      </c>
      <c r="J16" s="1262">
        <v>56331</v>
      </c>
      <c r="K16" s="1262">
        <v>51769</v>
      </c>
      <c r="L16" s="1262">
        <v>51592</v>
      </c>
      <c r="M16" s="1262">
        <v>51640</v>
      </c>
      <c r="N16" s="1262">
        <v>42684.49</v>
      </c>
      <c r="O16" s="1262">
        <v>54861.173999999999</v>
      </c>
      <c r="P16" s="1262">
        <v>48745.161</v>
      </c>
      <c r="Q16" s="1262">
        <v>45639.491000000002</v>
      </c>
      <c r="R16" s="1262">
        <v>53189.923999999999</v>
      </c>
      <c r="S16" s="1262">
        <v>57439.461000000003</v>
      </c>
      <c r="T16" s="1262">
        <v>51324.27</v>
      </c>
      <c r="U16" s="1262">
        <v>51399.385000000002</v>
      </c>
      <c r="V16" s="1262">
        <v>54557.942999999999</v>
      </c>
      <c r="W16" s="1262">
        <v>42539.767</v>
      </c>
      <c r="X16" s="1262">
        <v>47932.211000000003</v>
      </c>
      <c r="Y16" s="1262">
        <v>53431.135000000002</v>
      </c>
      <c r="Z16" s="1262">
        <v>53349.374000000003</v>
      </c>
      <c r="AA16" s="1262">
        <v>50867.158000000003</v>
      </c>
      <c r="AB16" s="1262">
        <v>50099.419000000002</v>
      </c>
      <c r="AC16" s="1262">
        <v>53394.771999999997</v>
      </c>
      <c r="AD16" s="1262">
        <v>49586.381999999998</v>
      </c>
      <c r="AE16" s="1262">
        <v>50264.357000000004</v>
      </c>
      <c r="AF16" s="1262">
        <v>37081.777000000002</v>
      </c>
      <c r="AG16" s="1262">
        <v>57801.402000000002</v>
      </c>
      <c r="AH16" s="1262">
        <v>56425.290999999997</v>
      </c>
      <c r="AI16" s="1262">
        <v>52712.553999999996</v>
      </c>
      <c r="AJ16" s="1262">
        <v>57416.311999999998</v>
      </c>
      <c r="AK16" s="1262">
        <v>51747.786</v>
      </c>
      <c r="AL16" s="1262">
        <v>51952.559000000001</v>
      </c>
      <c r="AM16" s="1262">
        <v>58829.142999999996</v>
      </c>
      <c r="AN16" s="1262">
        <v>54002.343000000001</v>
      </c>
      <c r="AO16" s="1262">
        <v>62915.747000000003</v>
      </c>
      <c r="AP16" s="1262">
        <v>60346.317999999999</v>
      </c>
      <c r="AQ16" s="1262">
        <v>64759.648000000001</v>
      </c>
      <c r="AR16" s="1262">
        <v>60158.550999999999</v>
      </c>
      <c r="AS16" s="1262">
        <v>54283.288</v>
      </c>
      <c r="AT16" s="1262">
        <v>63489</v>
      </c>
    </row>
    <row r="17" spans="1:46">
      <c r="A17" s="201" t="s">
        <v>273</v>
      </c>
      <c r="B17" s="201" t="s">
        <v>288</v>
      </c>
      <c r="C17" s="1262">
        <v>33313</v>
      </c>
      <c r="D17" s="1262">
        <v>27409</v>
      </c>
      <c r="E17" s="1262">
        <v>33353</v>
      </c>
      <c r="F17" s="1262">
        <v>29746</v>
      </c>
      <c r="G17" s="1262">
        <v>37427</v>
      </c>
      <c r="H17" s="1262">
        <v>35964</v>
      </c>
      <c r="I17" s="1262">
        <v>38318</v>
      </c>
      <c r="J17" s="1262">
        <v>41994</v>
      </c>
      <c r="K17" s="1262">
        <v>37372</v>
      </c>
      <c r="L17" s="1262">
        <v>38434</v>
      </c>
      <c r="M17" s="1262">
        <v>37883</v>
      </c>
      <c r="N17" s="1262">
        <v>27970.86</v>
      </c>
      <c r="O17" s="1262">
        <v>38406.57</v>
      </c>
      <c r="P17" s="1262">
        <v>31918.76</v>
      </c>
      <c r="Q17" s="1262">
        <v>33068.36</v>
      </c>
      <c r="R17" s="1262">
        <v>38816.565999999999</v>
      </c>
      <c r="S17" s="1262">
        <v>41653.402999999998</v>
      </c>
      <c r="T17" s="1262">
        <v>38424.527000000002</v>
      </c>
      <c r="U17" s="1262">
        <v>43804.542000000001</v>
      </c>
      <c r="V17" s="1262">
        <v>44018.877999999997</v>
      </c>
      <c r="W17" s="1262">
        <v>36393.478999999999</v>
      </c>
      <c r="X17" s="1262">
        <v>41540.034</v>
      </c>
      <c r="Y17" s="1262">
        <v>47473.17</v>
      </c>
      <c r="Z17" s="1262">
        <v>44282.97</v>
      </c>
      <c r="AA17" s="1262">
        <v>41717.093000000001</v>
      </c>
      <c r="AB17" s="1262">
        <v>41691.800999999999</v>
      </c>
      <c r="AC17" s="1262">
        <v>43168.817999999999</v>
      </c>
      <c r="AD17" s="1262">
        <v>43790.04</v>
      </c>
      <c r="AE17" s="1262">
        <v>45249.08</v>
      </c>
      <c r="AF17" s="1262">
        <v>31034.723000000002</v>
      </c>
      <c r="AG17" s="1262">
        <v>47318.171999999999</v>
      </c>
      <c r="AH17" s="1262">
        <v>42476.186999999998</v>
      </c>
      <c r="AI17" s="1262">
        <v>44323.116000000002</v>
      </c>
      <c r="AJ17" s="1262">
        <v>44130.252</v>
      </c>
      <c r="AK17" s="1262">
        <v>39941.175000000003</v>
      </c>
      <c r="AL17" s="1262">
        <v>44482.891000000003</v>
      </c>
      <c r="AM17" s="1262">
        <v>50213.46</v>
      </c>
      <c r="AN17" s="1262">
        <v>45556.12</v>
      </c>
      <c r="AO17" s="1262">
        <v>51590.1</v>
      </c>
      <c r="AP17" s="1262">
        <v>49776.014999999999</v>
      </c>
      <c r="AQ17" s="1262">
        <v>53119.925999999999</v>
      </c>
      <c r="AR17" s="1262">
        <v>46561.466999999997</v>
      </c>
      <c r="AS17" s="1262">
        <v>42467.987999999998</v>
      </c>
      <c r="AT17" s="1262">
        <v>50630.424999999996</v>
      </c>
    </row>
    <row r="18" spans="1:46">
      <c r="A18" s="201" t="s">
        <v>273</v>
      </c>
      <c r="B18" s="201" t="s">
        <v>289</v>
      </c>
      <c r="C18" s="1262">
        <v>847268</v>
      </c>
      <c r="D18" s="1262">
        <v>748810</v>
      </c>
      <c r="E18" s="1262">
        <v>835738</v>
      </c>
      <c r="F18" s="1262">
        <v>794934</v>
      </c>
      <c r="G18" s="1262">
        <v>793095</v>
      </c>
      <c r="H18" s="1262">
        <v>807682</v>
      </c>
      <c r="I18" s="1262">
        <v>814040</v>
      </c>
      <c r="J18" s="1262">
        <v>841715</v>
      </c>
      <c r="K18" s="1262">
        <v>774052</v>
      </c>
      <c r="L18" s="1262">
        <v>819175</v>
      </c>
      <c r="M18" s="1262">
        <v>779301</v>
      </c>
      <c r="N18" s="1262">
        <v>829707.84900000005</v>
      </c>
      <c r="O18" s="1262">
        <v>803834.67</v>
      </c>
      <c r="P18" s="1262">
        <v>763962.04099999997</v>
      </c>
      <c r="Q18" s="1262">
        <v>811578.17700000003</v>
      </c>
      <c r="R18" s="1262">
        <f>824214.569-35.82</f>
        <v>824178.74900000007</v>
      </c>
      <c r="S18" s="1262">
        <v>836396.29599999997</v>
      </c>
      <c r="T18" s="1262">
        <v>802610.73400000005</v>
      </c>
      <c r="U18" s="1262">
        <v>863603.63199999998</v>
      </c>
      <c r="V18" s="1262">
        <v>854721.88</v>
      </c>
      <c r="W18" s="1262">
        <v>705806.79</v>
      </c>
      <c r="X18" s="1262">
        <v>839291.76699999999</v>
      </c>
      <c r="Y18" s="1262">
        <v>834486.18400000001</v>
      </c>
      <c r="Z18" s="1262">
        <v>846168.81200000003</v>
      </c>
      <c r="AA18" s="1262">
        <v>869530.45700000005</v>
      </c>
      <c r="AB18" s="1262">
        <v>813104.451</v>
      </c>
      <c r="AC18" s="1262">
        <v>831307.53799999994</v>
      </c>
      <c r="AD18" s="1262">
        <v>845587.50199999998</v>
      </c>
      <c r="AE18" s="1262">
        <v>876988.90099999995</v>
      </c>
      <c r="AF18" s="1262">
        <v>713748.34400000004</v>
      </c>
      <c r="AG18" s="1262">
        <v>702316.89600000007</v>
      </c>
      <c r="AH18" s="1262">
        <v>664310.23</v>
      </c>
      <c r="AI18" s="1262">
        <v>665805.56799999997</v>
      </c>
      <c r="AJ18" s="1262">
        <v>831207.75199999998</v>
      </c>
      <c r="AK18" s="1262">
        <v>875577.64600000007</v>
      </c>
      <c r="AL18" s="1262">
        <v>915152.02699999989</v>
      </c>
      <c r="AM18" s="1262">
        <v>904289.87499999988</v>
      </c>
      <c r="AN18" s="1262">
        <v>857899.35800000001</v>
      </c>
      <c r="AO18" s="1262">
        <v>971521.35299999989</v>
      </c>
      <c r="AP18" s="1262">
        <v>947617.43699999992</v>
      </c>
      <c r="AQ18" s="1262">
        <v>978910.35400000005</v>
      </c>
      <c r="AR18" s="1262">
        <v>979136.69700000004</v>
      </c>
      <c r="AS18" s="1262">
        <v>1000667.5149999999</v>
      </c>
      <c r="AT18" s="1262">
        <v>981815</v>
      </c>
    </row>
    <row r="19" spans="1:46">
      <c r="A19" s="201" t="s">
        <v>273</v>
      </c>
      <c r="B19" s="201" t="s">
        <v>290</v>
      </c>
      <c r="C19" s="1262">
        <v>246049</v>
      </c>
      <c r="D19" s="1262">
        <v>217801</v>
      </c>
      <c r="E19" s="1262">
        <v>250462</v>
      </c>
      <c r="F19" s="1262">
        <v>229322</v>
      </c>
      <c r="G19" s="1262">
        <v>238788</v>
      </c>
      <c r="H19" s="1262">
        <v>238261</v>
      </c>
      <c r="I19" s="1262">
        <v>226906</v>
      </c>
      <c r="J19" s="1262">
        <v>250465</v>
      </c>
      <c r="K19" s="1262">
        <v>243722</v>
      </c>
      <c r="L19" s="1262">
        <v>227017</v>
      </c>
      <c r="M19" s="1262">
        <v>242827</v>
      </c>
      <c r="N19" s="1262">
        <v>240358.353</v>
      </c>
      <c r="O19" s="1262">
        <v>239697.215</v>
      </c>
      <c r="P19" s="1262">
        <v>225938.011</v>
      </c>
      <c r="Q19" s="1262">
        <v>205491.492</v>
      </c>
      <c r="R19" s="1262">
        <f>244686.016-35.82</f>
        <v>244650.196</v>
      </c>
      <c r="S19" s="1262">
        <v>215464.53599999999</v>
      </c>
      <c r="T19" s="1262">
        <v>232589.03099999999</v>
      </c>
      <c r="U19" s="1262">
        <v>249117.62400000001</v>
      </c>
      <c r="V19" s="1262">
        <v>253124.94399999999</v>
      </c>
      <c r="W19" s="1262">
        <v>203870.601</v>
      </c>
      <c r="X19" s="1262">
        <v>247682.24</v>
      </c>
      <c r="Y19" s="1262">
        <v>232817.76199999999</v>
      </c>
      <c r="Z19" s="1262">
        <v>260784.359</v>
      </c>
      <c r="AA19" s="1262">
        <v>260108.94200000001</v>
      </c>
      <c r="AB19" s="1262">
        <v>244088.50899999999</v>
      </c>
      <c r="AC19" s="1262">
        <v>228986.54399999999</v>
      </c>
      <c r="AD19" s="1262">
        <v>233074.47</v>
      </c>
      <c r="AE19" s="1262">
        <v>257010.394</v>
      </c>
      <c r="AF19" s="1262">
        <v>223598.55900000001</v>
      </c>
      <c r="AG19" s="1262">
        <v>150066.31200000001</v>
      </c>
      <c r="AH19" s="1262">
        <v>188558.37900000002</v>
      </c>
      <c r="AI19" s="1262">
        <v>194774.73</v>
      </c>
      <c r="AJ19" s="1262">
        <v>233071.84</v>
      </c>
      <c r="AK19" s="1262">
        <v>251916.14</v>
      </c>
      <c r="AL19" s="1262">
        <v>264529.84999999998</v>
      </c>
      <c r="AM19" s="1262">
        <v>264839.82299999997</v>
      </c>
      <c r="AN19" s="1262">
        <v>243935.85699999999</v>
      </c>
      <c r="AO19" s="1262">
        <v>271318.08199999999</v>
      </c>
      <c r="AP19" s="1262">
        <v>251575.62599999999</v>
      </c>
      <c r="AQ19" s="1262">
        <v>277684.97100000002</v>
      </c>
      <c r="AR19" s="1262">
        <v>252494.55900000001</v>
      </c>
      <c r="AS19" s="1262">
        <v>278058.80799999996</v>
      </c>
      <c r="AT19" s="1262">
        <v>266342</v>
      </c>
    </row>
    <row r="20" spans="1:46">
      <c r="A20" s="201" t="s">
        <v>273</v>
      </c>
      <c r="B20" s="201" t="s">
        <v>285</v>
      </c>
      <c r="C20" s="1262">
        <v>50338</v>
      </c>
      <c r="D20" s="1262">
        <v>46855</v>
      </c>
      <c r="E20" s="1262">
        <v>52874</v>
      </c>
      <c r="F20" s="1262">
        <v>49311</v>
      </c>
      <c r="G20" s="1262">
        <v>50724</v>
      </c>
      <c r="H20" s="1262">
        <v>49704</v>
      </c>
      <c r="I20" s="1262">
        <v>51826</v>
      </c>
      <c r="J20" s="1262">
        <v>51780</v>
      </c>
      <c r="K20" s="1262">
        <v>51106</v>
      </c>
      <c r="L20" s="1262">
        <v>51910</v>
      </c>
      <c r="M20" s="1262">
        <v>51070</v>
      </c>
      <c r="N20" s="1262">
        <v>52606.749000000003</v>
      </c>
      <c r="O20" s="1262">
        <v>53154.968999999997</v>
      </c>
      <c r="P20" s="1262">
        <v>45332.173999999999</v>
      </c>
      <c r="Q20" s="1262">
        <v>27466.733</v>
      </c>
      <c r="R20" s="1262">
        <v>50968.633999999998</v>
      </c>
      <c r="S20" s="1262">
        <v>51860.563000000002</v>
      </c>
      <c r="T20" s="1262">
        <v>52949.500999999997</v>
      </c>
      <c r="U20" s="1262">
        <v>52465.226999999999</v>
      </c>
      <c r="V20" s="1262">
        <v>52940.235000000001</v>
      </c>
      <c r="W20" s="1262">
        <v>49475.459000000003</v>
      </c>
      <c r="X20" s="1262">
        <v>54704.035000000003</v>
      </c>
      <c r="Y20" s="1262">
        <v>52996.457999999999</v>
      </c>
      <c r="Z20" s="1262">
        <v>57228.31</v>
      </c>
      <c r="AA20" s="1262">
        <v>55974.887999999999</v>
      </c>
      <c r="AB20" s="1262">
        <v>51884.394999999997</v>
      </c>
      <c r="AC20" s="1262">
        <v>53799.190999999999</v>
      </c>
      <c r="AD20" s="1262">
        <v>26879.298999999999</v>
      </c>
      <c r="AE20" s="1262">
        <v>54067.822999999997</v>
      </c>
      <c r="AF20" s="1262">
        <v>53134.656999999999</v>
      </c>
      <c r="AG20" s="1262">
        <v>50269.455000000002</v>
      </c>
      <c r="AH20" s="1262">
        <v>54960.868000000002</v>
      </c>
      <c r="AI20" s="1262">
        <v>56901.972999999998</v>
      </c>
      <c r="AJ20" s="1262">
        <v>57066.055</v>
      </c>
      <c r="AK20" s="1262">
        <v>54070.463000000003</v>
      </c>
      <c r="AL20" s="1262">
        <v>57893.858</v>
      </c>
      <c r="AM20" s="1262">
        <v>57102.180999999997</v>
      </c>
      <c r="AN20" s="1262">
        <v>51932.158000000003</v>
      </c>
      <c r="AO20" s="1262">
        <v>58304.639000000003</v>
      </c>
      <c r="AP20" s="1262">
        <v>56108.99</v>
      </c>
      <c r="AQ20" s="1262">
        <v>58234.559000000001</v>
      </c>
      <c r="AR20" s="1262">
        <v>56053.900999999998</v>
      </c>
      <c r="AS20" s="1262">
        <v>58888.932000000001</v>
      </c>
      <c r="AT20" s="1262">
        <v>56180</v>
      </c>
    </row>
    <row r="21" spans="1:46">
      <c r="A21" s="201" t="s">
        <v>273</v>
      </c>
      <c r="B21" s="201" t="s">
        <v>286</v>
      </c>
      <c r="C21" s="1262">
        <v>48363</v>
      </c>
      <c r="D21" s="1262">
        <v>44863</v>
      </c>
      <c r="E21" s="1262">
        <v>50914</v>
      </c>
      <c r="F21" s="1262">
        <v>47657</v>
      </c>
      <c r="G21" s="1262">
        <v>48622</v>
      </c>
      <c r="H21" s="1262">
        <v>47726</v>
      </c>
      <c r="I21" s="1262">
        <v>49091</v>
      </c>
      <c r="J21" s="1262">
        <v>48916</v>
      </c>
      <c r="K21" s="1262">
        <v>46985</v>
      </c>
      <c r="L21" s="1262">
        <v>48897</v>
      </c>
      <c r="M21" s="1262">
        <v>48924</v>
      </c>
      <c r="N21" s="1262">
        <v>50644.154999999999</v>
      </c>
      <c r="O21" s="1262">
        <v>51640.684000000001</v>
      </c>
      <c r="P21" s="1262">
        <v>42477.326999999997</v>
      </c>
      <c r="Q21" s="1262">
        <v>25092.237000000001</v>
      </c>
      <c r="R21" s="1262">
        <v>48190.41</v>
      </c>
      <c r="S21" s="1262">
        <v>49083.885999999999</v>
      </c>
      <c r="T21" s="1262">
        <v>50438.220999999998</v>
      </c>
      <c r="U21" s="1262">
        <v>48968.57</v>
      </c>
      <c r="V21" s="1262">
        <v>50499.775000000001</v>
      </c>
      <c r="W21" s="1262">
        <v>47294.493999999999</v>
      </c>
      <c r="X21" s="1262">
        <v>51635.711000000003</v>
      </c>
      <c r="Y21" s="1262">
        <v>50043.476999999999</v>
      </c>
      <c r="Z21" s="1262">
        <v>53754.567000000003</v>
      </c>
      <c r="AA21" s="1262">
        <v>52999.466</v>
      </c>
      <c r="AB21" s="1262">
        <v>48893.623</v>
      </c>
      <c r="AC21" s="1262">
        <v>51572.718999999997</v>
      </c>
      <c r="AD21" s="1262">
        <v>24247.625</v>
      </c>
      <c r="AE21" s="1262">
        <v>51210.546999999999</v>
      </c>
      <c r="AF21" s="1262">
        <v>50816.082000000002</v>
      </c>
      <c r="AG21" s="1262">
        <v>47690.419000000002</v>
      </c>
      <c r="AH21" s="1262">
        <v>51340.472999999998</v>
      </c>
      <c r="AI21" s="1262">
        <v>53665.04</v>
      </c>
      <c r="AJ21" s="1262">
        <v>54835.131999999998</v>
      </c>
      <c r="AK21" s="1262">
        <v>52819.023999999998</v>
      </c>
      <c r="AL21" s="1262">
        <v>55671.413999999997</v>
      </c>
      <c r="AM21" s="1262">
        <v>54643.726999999999</v>
      </c>
      <c r="AN21" s="1262">
        <v>49441.277999999998</v>
      </c>
      <c r="AO21" s="1262">
        <v>55701.144</v>
      </c>
      <c r="AP21" s="1262">
        <v>53253.065999999999</v>
      </c>
      <c r="AQ21" s="1262">
        <v>55674.033000000003</v>
      </c>
      <c r="AR21" s="1262">
        <v>55095.47</v>
      </c>
      <c r="AS21" s="1262">
        <v>58004.087</v>
      </c>
      <c r="AT21" s="1262">
        <v>54769.343999999997</v>
      </c>
    </row>
    <row r="22" spans="1:46">
      <c r="A22" s="201" t="s">
        <v>273</v>
      </c>
      <c r="B22" s="201" t="s">
        <v>287</v>
      </c>
      <c r="C22" s="1262">
        <v>195711</v>
      </c>
      <c r="D22" s="1262">
        <v>170946</v>
      </c>
      <c r="E22" s="1262">
        <v>197588</v>
      </c>
      <c r="F22" s="1262">
        <v>180011</v>
      </c>
      <c r="G22" s="1262">
        <v>188064</v>
      </c>
      <c r="H22" s="1262">
        <v>188557</v>
      </c>
      <c r="I22" s="1262">
        <v>175080</v>
      </c>
      <c r="J22" s="1262">
        <v>198685</v>
      </c>
      <c r="K22" s="1262">
        <v>192616</v>
      </c>
      <c r="L22" s="1262">
        <v>175107</v>
      </c>
      <c r="M22" s="1262">
        <v>191757</v>
      </c>
      <c r="N22" s="1262">
        <v>187751.60399999999</v>
      </c>
      <c r="O22" s="1262">
        <v>186542.24600000001</v>
      </c>
      <c r="P22" s="1262">
        <v>180605.837</v>
      </c>
      <c r="Q22" s="1262">
        <v>178024.75899999999</v>
      </c>
      <c r="R22" s="1262">
        <f>193717.382-35.82</f>
        <v>193681.56200000001</v>
      </c>
      <c r="S22" s="1262">
        <v>163603.973</v>
      </c>
      <c r="T22" s="1262">
        <v>179639.53</v>
      </c>
      <c r="U22" s="1262">
        <v>196652.397</v>
      </c>
      <c r="V22" s="1262">
        <v>200184.709</v>
      </c>
      <c r="W22" s="1262">
        <v>154395.14199999999</v>
      </c>
      <c r="X22" s="1262">
        <v>192978.20499999999</v>
      </c>
      <c r="Y22" s="1262">
        <v>179821.304</v>
      </c>
      <c r="Z22" s="1262">
        <v>203556.049</v>
      </c>
      <c r="AA22" s="1262">
        <v>204134.054</v>
      </c>
      <c r="AB22" s="1262">
        <v>192204.114</v>
      </c>
      <c r="AC22" s="1262">
        <v>175187.353</v>
      </c>
      <c r="AD22" s="1262">
        <v>206195.171</v>
      </c>
      <c r="AE22" s="1262">
        <v>202942.571</v>
      </c>
      <c r="AF22" s="1262">
        <v>170463.902</v>
      </c>
      <c r="AG22" s="1262">
        <v>99796.857000000004</v>
      </c>
      <c r="AH22" s="1262">
        <v>133597.511</v>
      </c>
      <c r="AI22" s="1262">
        <v>137872.75700000001</v>
      </c>
      <c r="AJ22" s="1262">
        <v>176005.785</v>
      </c>
      <c r="AK22" s="1262">
        <v>197845.677</v>
      </c>
      <c r="AL22" s="1262">
        <v>206635.992</v>
      </c>
      <c r="AM22" s="1262">
        <v>207737.64199999999</v>
      </c>
      <c r="AN22" s="1262">
        <v>192003.69899999999</v>
      </c>
      <c r="AO22" s="1262">
        <v>213013.443</v>
      </c>
      <c r="AP22" s="1262">
        <v>195466.636</v>
      </c>
      <c r="AQ22" s="1262">
        <v>219450.41200000001</v>
      </c>
      <c r="AR22" s="1262">
        <v>196440.658</v>
      </c>
      <c r="AS22" s="1262">
        <v>219169.87599999999</v>
      </c>
      <c r="AT22" s="1262">
        <v>210162</v>
      </c>
    </row>
    <row r="23" spans="1:46">
      <c r="A23" s="201" t="s">
        <v>273</v>
      </c>
      <c r="B23" s="201" t="s">
        <v>288</v>
      </c>
      <c r="C23" s="1262">
        <v>195467</v>
      </c>
      <c r="D23" s="1262">
        <v>170803</v>
      </c>
      <c r="E23" s="1262">
        <v>197521</v>
      </c>
      <c r="F23" s="1262">
        <v>179944</v>
      </c>
      <c r="G23" s="1262">
        <v>187939</v>
      </c>
      <c r="H23" s="1262">
        <v>188225</v>
      </c>
      <c r="I23" s="1262">
        <v>174965</v>
      </c>
      <c r="J23" s="1262">
        <v>198210</v>
      </c>
      <c r="K23" s="1262">
        <v>192170</v>
      </c>
      <c r="L23" s="1262">
        <v>174845</v>
      </c>
      <c r="M23" s="1262">
        <v>191363</v>
      </c>
      <c r="N23" s="1262">
        <v>187688.497</v>
      </c>
      <c r="O23" s="1262">
        <v>186061.242</v>
      </c>
      <c r="P23" s="1262">
        <v>180538.557</v>
      </c>
      <c r="Q23" s="1262">
        <v>177533.25899999999</v>
      </c>
      <c r="R23" s="1262">
        <f>193597.06-35.82</f>
        <v>193561.24</v>
      </c>
      <c r="S23" s="1262">
        <v>163364.96100000001</v>
      </c>
      <c r="T23" s="1262">
        <v>179572.25</v>
      </c>
      <c r="U23" s="1262">
        <v>196464.845</v>
      </c>
      <c r="V23" s="1262">
        <v>200113.709</v>
      </c>
      <c r="W23" s="1262">
        <v>154223.22200000001</v>
      </c>
      <c r="X23" s="1262">
        <v>192989.66899999999</v>
      </c>
      <c r="Y23" s="1262">
        <v>179361.66399999999</v>
      </c>
      <c r="Z23" s="1262">
        <v>203417.299</v>
      </c>
      <c r="AA23" s="1262">
        <v>204041.03400000001</v>
      </c>
      <c r="AB23" s="1262">
        <v>191990.774</v>
      </c>
      <c r="AC23" s="1262">
        <v>174741.62299999999</v>
      </c>
      <c r="AD23" s="1262">
        <v>205925.25099999999</v>
      </c>
      <c r="AE23" s="1262">
        <v>202776.86499999999</v>
      </c>
      <c r="AF23" s="1262">
        <v>170245.242</v>
      </c>
      <c r="AG23" s="1262">
        <v>99603.426999999996</v>
      </c>
      <c r="AH23" s="1262">
        <v>133664.791</v>
      </c>
      <c r="AI23" s="1262">
        <v>137519.53700000001</v>
      </c>
      <c r="AJ23" s="1262">
        <v>176005.785</v>
      </c>
      <c r="AK23" s="1262">
        <v>197845.677</v>
      </c>
      <c r="AL23" s="1262">
        <v>206274.39199999999</v>
      </c>
      <c r="AM23" s="1262">
        <v>207510.57199999999</v>
      </c>
      <c r="AN23" s="1262">
        <v>191563.81899999999</v>
      </c>
      <c r="AO23" s="1262">
        <v>212777.96299999999</v>
      </c>
      <c r="AP23" s="1262">
        <v>195323.666</v>
      </c>
      <c r="AQ23" s="1262">
        <v>219456.06</v>
      </c>
      <c r="AR23" s="1262">
        <v>196440.658</v>
      </c>
      <c r="AS23" s="1262">
        <v>219169.87599999999</v>
      </c>
      <c r="AT23" s="1262">
        <v>210162</v>
      </c>
    </row>
    <row r="24" spans="1:46">
      <c r="A24" s="201" t="s">
        <v>273</v>
      </c>
      <c r="B24" s="201" t="s">
        <v>291</v>
      </c>
      <c r="C24" s="1262">
        <v>601219</v>
      </c>
      <c r="D24" s="1262">
        <v>531009</v>
      </c>
      <c r="E24" s="1262">
        <v>585276</v>
      </c>
      <c r="F24" s="1262">
        <v>565612</v>
      </c>
      <c r="G24" s="1262">
        <v>554307</v>
      </c>
      <c r="H24" s="1262">
        <v>569421</v>
      </c>
      <c r="I24" s="1262">
        <v>587134</v>
      </c>
      <c r="J24" s="1262">
        <v>591250</v>
      </c>
      <c r="K24" s="1262">
        <v>530330</v>
      </c>
      <c r="L24" s="1262">
        <v>592158</v>
      </c>
      <c r="M24" s="1262">
        <v>536474</v>
      </c>
      <c r="N24" s="1262">
        <v>589349.49600000004</v>
      </c>
      <c r="O24" s="1262">
        <v>564137.45499999996</v>
      </c>
      <c r="P24" s="1262">
        <v>538024.03</v>
      </c>
      <c r="Q24" s="1262">
        <v>606086.68500000006</v>
      </c>
      <c r="R24" s="1262">
        <f>579528.553</f>
        <v>579528.55299999996</v>
      </c>
      <c r="S24" s="1262">
        <v>620931.76</v>
      </c>
      <c r="T24" s="1262">
        <v>570021.70299999998</v>
      </c>
      <c r="U24" s="1262">
        <v>614486.00800000003</v>
      </c>
      <c r="V24" s="1262">
        <v>601596.93599999999</v>
      </c>
      <c r="W24" s="1262">
        <v>501936.18900000001</v>
      </c>
      <c r="X24" s="1262">
        <v>591609.527</v>
      </c>
      <c r="Y24" s="1262">
        <v>601668.42200000002</v>
      </c>
      <c r="Z24" s="1262">
        <v>585384.45299999998</v>
      </c>
      <c r="AA24" s="1262">
        <v>609421.51500000001</v>
      </c>
      <c r="AB24" s="1262">
        <v>569015.94200000004</v>
      </c>
      <c r="AC24" s="1262">
        <v>602320.99399999995</v>
      </c>
      <c r="AD24" s="1262">
        <v>612513.03200000001</v>
      </c>
      <c r="AE24" s="1262">
        <v>619978.50699999998</v>
      </c>
      <c r="AF24" s="1262">
        <v>490149.78499999997</v>
      </c>
      <c r="AG24" s="1262">
        <v>552250.58400000003</v>
      </c>
      <c r="AH24" s="1262">
        <v>475751.85100000002</v>
      </c>
      <c r="AI24" s="1262">
        <v>471030.83799999999</v>
      </c>
      <c r="AJ24" s="1262">
        <v>598135.91200000001</v>
      </c>
      <c r="AK24" s="1262">
        <v>623661.50600000005</v>
      </c>
      <c r="AL24" s="1262">
        <v>650622.17699999991</v>
      </c>
      <c r="AM24" s="1262">
        <v>639450.05199999991</v>
      </c>
      <c r="AN24" s="1262">
        <v>613963.50100000005</v>
      </c>
      <c r="AO24" s="1262">
        <v>700203.27099999995</v>
      </c>
      <c r="AP24" s="1262">
        <v>696041.81099999999</v>
      </c>
      <c r="AQ24" s="1262">
        <v>701225.38300000003</v>
      </c>
      <c r="AR24" s="1262">
        <v>726642.13800000004</v>
      </c>
      <c r="AS24" s="1262">
        <v>722608.70699999994</v>
      </c>
      <c r="AT24" s="1262">
        <v>715473</v>
      </c>
    </row>
    <row r="25" spans="1:46">
      <c r="A25" s="201" t="s">
        <v>273</v>
      </c>
      <c r="B25" s="201" t="s">
        <v>285</v>
      </c>
      <c r="C25" s="1262">
        <v>268066</v>
      </c>
      <c r="D25" s="1262">
        <v>241541</v>
      </c>
      <c r="E25" s="1262">
        <v>267315</v>
      </c>
      <c r="F25" s="1262">
        <v>261648</v>
      </c>
      <c r="G25" s="1262">
        <v>260919</v>
      </c>
      <c r="H25" s="1262">
        <v>265926</v>
      </c>
      <c r="I25" s="1262">
        <v>267421</v>
      </c>
      <c r="J25" s="1262">
        <v>266956</v>
      </c>
      <c r="K25" s="1262">
        <v>259058</v>
      </c>
      <c r="L25" s="1262">
        <v>274739</v>
      </c>
      <c r="M25" s="1262">
        <v>254552</v>
      </c>
      <c r="N25" s="1262">
        <v>257288.35200000001</v>
      </c>
      <c r="O25" s="1262">
        <v>260460.86600000001</v>
      </c>
      <c r="P25" s="1262">
        <v>235062.77299999999</v>
      </c>
      <c r="Q25" s="1262">
        <v>274796.69400000002</v>
      </c>
      <c r="R25" s="1262">
        <v>260482.09</v>
      </c>
      <c r="S25" s="1262">
        <v>267599.755</v>
      </c>
      <c r="T25" s="1262">
        <v>259195.08600000001</v>
      </c>
      <c r="U25" s="1262">
        <v>268851.50199999998</v>
      </c>
      <c r="V25" s="1262">
        <v>273669.495</v>
      </c>
      <c r="W25" s="1262">
        <v>218671.26300000001</v>
      </c>
      <c r="X25" s="1262">
        <v>261062.948</v>
      </c>
      <c r="Y25" s="1262">
        <v>266515.98300000001</v>
      </c>
      <c r="Z25" s="1262">
        <v>270385.66100000002</v>
      </c>
      <c r="AA25" s="1262">
        <v>259422.731</v>
      </c>
      <c r="AB25" s="1262">
        <v>241900.913</v>
      </c>
      <c r="AC25" s="1262">
        <v>245636.02100000001</v>
      </c>
      <c r="AD25" s="1262">
        <v>219539.299</v>
      </c>
      <c r="AE25" s="1262">
        <v>249533.731</v>
      </c>
      <c r="AF25" s="1262">
        <v>263029.51199999999</v>
      </c>
      <c r="AG25" s="1262">
        <v>277927.60499999998</v>
      </c>
      <c r="AH25" s="1262">
        <v>253691.8</v>
      </c>
      <c r="AI25" s="1262">
        <v>271012.82500000001</v>
      </c>
      <c r="AJ25" s="1262">
        <v>268549.62900000002</v>
      </c>
      <c r="AK25" s="1262">
        <v>261051.90700000001</v>
      </c>
      <c r="AL25" s="1262">
        <v>285564.77399999998</v>
      </c>
      <c r="AM25" s="1262">
        <v>267020.80099999998</v>
      </c>
      <c r="AN25" s="1262">
        <v>244459.87100000001</v>
      </c>
      <c r="AO25" s="1262">
        <v>276291.40500000003</v>
      </c>
      <c r="AP25" s="1262">
        <v>266025.91200000001</v>
      </c>
      <c r="AQ25" s="1262">
        <v>280144.41200000001</v>
      </c>
      <c r="AR25" s="1262">
        <v>271374.587</v>
      </c>
      <c r="AS25" s="1262">
        <v>283221.78899999999</v>
      </c>
      <c r="AT25" s="1262">
        <v>277214</v>
      </c>
    </row>
    <row r="26" spans="1:46">
      <c r="A26" s="201" t="s">
        <v>273</v>
      </c>
      <c r="B26" s="201" t="s">
        <v>286</v>
      </c>
      <c r="C26" s="1262">
        <v>268066</v>
      </c>
      <c r="D26" s="1262">
        <v>241541</v>
      </c>
      <c r="E26" s="1262">
        <v>267315</v>
      </c>
      <c r="F26" s="1262">
        <v>261648</v>
      </c>
      <c r="G26" s="1262">
        <v>260919</v>
      </c>
      <c r="H26" s="1262">
        <v>265926</v>
      </c>
      <c r="I26" s="1262">
        <v>267421</v>
      </c>
      <c r="J26" s="1262">
        <v>266956</v>
      </c>
      <c r="K26" s="1262">
        <v>259058</v>
      </c>
      <c r="L26" s="1262">
        <v>274739</v>
      </c>
      <c r="M26" s="1262">
        <v>254552</v>
      </c>
      <c r="N26" s="1262">
        <v>257288.35200000001</v>
      </c>
      <c r="O26" s="1262">
        <v>260460.86600000001</v>
      </c>
      <c r="P26" s="1262">
        <v>235062.77299999999</v>
      </c>
      <c r="Q26" s="1262">
        <v>274796.69400000002</v>
      </c>
      <c r="R26" s="1262">
        <v>260482.09</v>
      </c>
      <c r="S26" s="1262">
        <v>267599.755</v>
      </c>
      <c r="T26" s="1262">
        <v>259195.08600000001</v>
      </c>
      <c r="U26" s="1262">
        <v>268851.50199999998</v>
      </c>
      <c r="V26" s="1262">
        <v>273669.495</v>
      </c>
      <c r="W26" s="1262">
        <v>218671.26300000001</v>
      </c>
      <c r="X26" s="1262">
        <v>261062.948</v>
      </c>
      <c r="Y26" s="1262">
        <v>266515.98300000001</v>
      </c>
      <c r="Z26" s="1262">
        <v>270385.66100000002</v>
      </c>
      <c r="AA26" s="1262">
        <v>259422.731</v>
      </c>
      <c r="AB26" s="1262">
        <v>241900.913</v>
      </c>
      <c r="AC26" s="1262">
        <v>245636.02100000001</v>
      </c>
      <c r="AD26" s="1262">
        <v>219539.299</v>
      </c>
      <c r="AE26" s="1262">
        <v>249533.731</v>
      </c>
      <c r="AF26" s="1262">
        <v>263029.51199999999</v>
      </c>
      <c r="AG26" s="1262">
        <v>277927.60499999998</v>
      </c>
      <c r="AH26" s="1262">
        <v>253691.8</v>
      </c>
      <c r="AI26" s="1262">
        <v>271012.82500000001</v>
      </c>
      <c r="AJ26" s="1262">
        <v>268549.62900000002</v>
      </c>
      <c r="AK26" s="1262">
        <v>261051.90700000001</v>
      </c>
      <c r="AL26" s="1262">
        <v>285564.77399999998</v>
      </c>
      <c r="AM26" s="1262">
        <v>267020.80099999998</v>
      </c>
      <c r="AN26" s="1262">
        <v>244459.87100000001</v>
      </c>
      <c r="AO26" s="1262">
        <v>276291.40500000003</v>
      </c>
      <c r="AP26" s="1262">
        <v>266025.91200000001</v>
      </c>
      <c r="AQ26" s="1262">
        <v>280144.41200000001</v>
      </c>
      <c r="AR26" s="1262">
        <v>271374.587</v>
      </c>
      <c r="AS26" s="1262">
        <v>283221.78899999999</v>
      </c>
      <c r="AT26" s="1262">
        <v>277214</v>
      </c>
    </row>
    <row r="27" spans="1:46">
      <c r="A27" s="201" t="s">
        <v>273</v>
      </c>
      <c r="B27" s="201" t="s">
        <v>287</v>
      </c>
      <c r="C27" s="1262">
        <v>333153</v>
      </c>
      <c r="D27" s="1262">
        <v>289468</v>
      </c>
      <c r="E27" s="1262">
        <v>317961</v>
      </c>
      <c r="F27" s="1262">
        <v>303964</v>
      </c>
      <c r="G27" s="1262">
        <v>293388</v>
      </c>
      <c r="H27" s="1262">
        <v>303495</v>
      </c>
      <c r="I27" s="1262">
        <v>319713</v>
      </c>
      <c r="J27" s="1262">
        <v>324294</v>
      </c>
      <c r="K27" s="1262">
        <v>271272</v>
      </c>
      <c r="L27" s="1262">
        <v>317419</v>
      </c>
      <c r="M27" s="1262">
        <v>281922</v>
      </c>
      <c r="N27" s="1262">
        <v>332061.14399999997</v>
      </c>
      <c r="O27" s="1262">
        <v>303676.58899999998</v>
      </c>
      <c r="P27" s="1262">
        <v>302961.25699999998</v>
      </c>
      <c r="Q27" s="1262">
        <v>331289.99099999998</v>
      </c>
      <c r="R27" s="1262">
        <f>319046.463</f>
        <v>319046.46299999999</v>
      </c>
      <c r="S27" s="1262">
        <v>353332.005</v>
      </c>
      <c r="T27" s="1262">
        <v>310826.61700000003</v>
      </c>
      <c r="U27" s="1262">
        <v>345634.50599999999</v>
      </c>
      <c r="V27" s="1262">
        <v>327927.44099999999</v>
      </c>
      <c r="W27" s="1262">
        <v>283264.92599999998</v>
      </c>
      <c r="X27" s="1262">
        <v>330546.57900000003</v>
      </c>
      <c r="Y27" s="1262">
        <v>335152.43900000001</v>
      </c>
      <c r="Z27" s="1262">
        <v>314998.79200000002</v>
      </c>
      <c r="AA27" s="1262">
        <v>349998.78399999999</v>
      </c>
      <c r="AB27" s="1262">
        <v>327115.02899999998</v>
      </c>
      <c r="AC27" s="1262">
        <v>356684.973</v>
      </c>
      <c r="AD27" s="1262">
        <v>392973.73300000001</v>
      </c>
      <c r="AE27" s="1262">
        <v>370444.77600000001</v>
      </c>
      <c r="AF27" s="1262">
        <v>227120.27299999999</v>
      </c>
      <c r="AG27" s="1262">
        <v>274322.97899999999</v>
      </c>
      <c r="AH27" s="1262">
        <v>222060.05100000001</v>
      </c>
      <c r="AI27" s="1262">
        <v>200018.01300000001</v>
      </c>
      <c r="AJ27" s="1262">
        <v>329586.283</v>
      </c>
      <c r="AK27" s="1262">
        <v>362609.59899999999</v>
      </c>
      <c r="AL27" s="1262">
        <v>365057.40299999999</v>
      </c>
      <c r="AM27" s="1262">
        <v>372429.25099999999</v>
      </c>
      <c r="AN27" s="1262">
        <v>369503.63</v>
      </c>
      <c r="AO27" s="1262">
        <v>423911.86599999998</v>
      </c>
      <c r="AP27" s="1262">
        <v>430015.89899999998</v>
      </c>
      <c r="AQ27" s="1262">
        <v>421080.97100000002</v>
      </c>
      <c r="AR27" s="1262">
        <v>455267.55099999998</v>
      </c>
      <c r="AS27" s="1262">
        <v>439386.91800000001</v>
      </c>
      <c r="AT27" s="1262">
        <v>438259</v>
      </c>
    </row>
    <row r="28" spans="1:46" s="1257" customFormat="1">
      <c r="A28" s="1264" t="s">
        <v>273</v>
      </c>
      <c r="B28" s="1264" t="s">
        <v>288</v>
      </c>
      <c r="C28" s="1257">
        <v>333153</v>
      </c>
      <c r="D28" s="1257">
        <v>289468</v>
      </c>
      <c r="E28" s="1257">
        <v>317961</v>
      </c>
      <c r="F28" s="1257">
        <v>303964</v>
      </c>
      <c r="G28" s="1257">
        <v>293388</v>
      </c>
      <c r="H28" s="1257">
        <v>303495</v>
      </c>
      <c r="I28" s="1257">
        <v>319713</v>
      </c>
      <c r="J28" s="1257">
        <v>324294</v>
      </c>
      <c r="K28" s="1257">
        <v>271272</v>
      </c>
      <c r="L28" s="1257">
        <v>317419</v>
      </c>
      <c r="M28" s="1257">
        <v>281922</v>
      </c>
      <c r="N28" s="1257">
        <v>332061.14399999997</v>
      </c>
      <c r="O28" s="1257">
        <v>303676.58899999998</v>
      </c>
      <c r="P28" s="1257">
        <v>302961.25699999998</v>
      </c>
      <c r="Q28" s="1257">
        <v>331289.99099999998</v>
      </c>
      <c r="R28" s="1257">
        <f>319046.463</f>
        <v>319046.46299999999</v>
      </c>
      <c r="S28" s="1257">
        <v>353332.005</v>
      </c>
      <c r="T28" s="1257">
        <v>310826.61700000003</v>
      </c>
      <c r="U28" s="1257">
        <v>345634.50599999999</v>
      </c>
      <c r="V28" s="1257">
        <v>327927.44099999999</v>
      </c>
      <c r="W28" s="1257">
        <v>283264.92599999998</v>
      </c>
      <c r="X28" s="1257">
        <v>330546.57900000003</v>
      </c>
      <c r="Y28" s="1257">
        <v>335152.43900000001</v>
      </c>
      <c r="Z28" s="1257">
        <v>314998.79200000002</v>
      </c>
      <c r="AA28" s="1257">
        <v>349998.78399999999</v>
      </c>
      <c r="AB28" s="1257">
        <v>327115.02899999998</v>
      </c>
      <c r="AC28" s="1257">
        <v>356684.973</v>
      </c>
      <c r="AD28" s="1257">
        <v>392973.73300000001</v>
      </c>
      <c r="AE28" s="1257">
        <v>370444.77600000001</v>
      </c>
      <c r="AF28" s="1257">
        <v>227120.27299999999</v>
      </c>
      <c r="AG28" s="1257">
        <v>274322.97899999999</v>
      </c>
      <c r="AH28" s="1262">
        <v>222060.05100000001</v>
      </c>
      <c r="AI28" s="1257">
        <v>200018.01300000001</v>
      </c>
      <c r="AJ28" s="1257">
        <v>329586.283</v>
      </c>
      <c r="AK28" s="1257">
        <v>362609.59899999999</v>
      </c>
      <c r="AL28" s="1257">
        <v>365057.40299999999</v>
      </c>
      <c r="AM28" s="1257">
        <v>372429.25099999999</v>
      </c>
      <c r="AN28" s="1257">
        <v>369503.63</v>
      </c>
      <c r="AO28" s="1257">
        <v>423911.86599999998</v>
      </c>
      <c r="AP28" s="1257">
        <v>430015.89899999998</v>
      </c>
      <c r="AQ28" s="1257">
        <v>421080.97100000002</v>
      </c>
      <c r="AR28" s="1257">
        <v>455267.55099999998</v>
      </c>
      <c r="AS28" s="1257">
        <v>439386.91800000001</v>
      </c>
      <c r="AT28" s="1257">
        <v>438259</v>
      </c>
    </row>
    <row r="29" spans="1:46">
      <c r="A29" s="201" t="s">
        <v>273</v>
      </c>
      <c r="B29" s="201" t="s">
        <v>292</v>
      </c>
      <c r="C29" s="1262">
        <v>5863.3320000000003</v>
      </c>
      <c r="D29" s="1262">
        <v>5429.4139999999998</v>
      </c>
      <c r="E29" s="1262">
        <v>5410.2939999999999</v>
      </c>
      <c r="F29" s="1262">
        <v>5942.8720000000003</v>
      </c>
      <c r="G29" s="1262">
        <v>5476.74</v>
      </c>
      <c r="H29" s="1262">
        <v>5642.78</v>
      </c>
      <c r="I29" s="1262">
        <v>5415.2020000000002</v>
      </c>
      <c r="J29" s="1262">
        <v>5554.3339999999998</v>
      </c>
      <c r="K29" s="1262">
        <v>5239.2700000000004</v>
      </c>
      <c r="L29" s="1262">
        <v>4917.1499999999996</v>
      </c>
      <c r="M29" s="1262">
        <v>5921.6620000000003</v>
      </c>
      <c r="N29" s="1262">
        <v>5941</v>
      </c>
      <c r="O29" s="1262">
        <v>5228.2449999999999</v>
      </c>
      <c r="P29" s="1268">
        <v>5780.2120000000004</v>
      </c>
      <c r="Q29" s="1268">
        <v>2671.3359999999998</v>
      </c>
      <c r="R29" s="1268">
        <v>2682.886</v>
      </c>
      <c r="S29" s="1268">
        <v>818.37800000000004</v>
      </c>
      <c r="T29" s="1268">
        <v>2586.3879999999999</v>
      </c>
      <c r="U29" s="1268">
        <v>5909.067</v>
      </c>
      <c r="V29" s="1268">
        <v>6439.058</v>
      </c>
      <c r="W29" s="1268">
        <v>5635.826</v>
      </c>
      <c r="X29" s="1268">
        <v>7319.2690000000002</v>
      </c>
      <c r="Y29" s="1268">
        <v>6396.9660000000003</v>
      </c>
      <c r="Z29" s="1268">
        <v>5554</v>
      </c>
      <c r="AA29" s="1262">
        <v>6517.3019999999997</v>
      </c>
      <c r="AB29" s="1262">
        <v>3207.69</v>
      </c>
      <c r="AC29" s="1262">
        <v>6115.2079999999996</v>
      </c>
      <c r="AD29" s="1262">
        <v>6166.85</v>
      </c>
      <c r="AE29" s="1262">
        <v>6125.3220000000001</v>
      </c>
      <c r="AF29" s="1262">
        <v>6326.9059999999999</v>
      </c>
      <c r="AG29" s="1262">
        <v>6167.7129999999997</v>
      </c>
      <c r="AH29" s="1262">
        <v>6290.9539999999997</v>
      </c>
      <c r="AI29" s="1262">
        <v>6329.9690000000001</v>
      </c>
      <c r="AJ29" s="1262">
        <v>5959.3069999999998</v>
      </c>
      <c r="AK29" s="1262">
        <v>6069.3519999999999</v>
      </c>
      <c r="AL29" s="1262">
        <v>5718.8950000000004</v>
      </c>
      <c r="AM29" s="1268">
        <v>2889.12</v>
      </c>
      <c r="AN29" s="1268">
        <v>2757.5419999999999</v>
      </c>
      <c r="AO29" s="1268">
        <v>3047.201</v>
      </c>
      <c r="AP29" s="1268">
        <v>3285.9560000000001</v>
      </c>
      <c r="AQ29" s="1268">
        <v>3151.366</v>
      </c>
      <c r="AR29" s="1268">
        <v>4345.5309999999999</v>
      </c>
      <c r="AS29" s="1268">
        <v>5613.85</v>
      </c>
      <c r="AT29" s="1262">
        <v>5642.7030000000004</v>
      </c>
    </row>
    <row r="30" spans="1:46">
      <c r="A30" s="201" t="s">
        <v>273</v>
      </c>
      <c r="B30" s="201" t="s">
        <v>293</v>
      </c>
      <c r="C30" s="1262">
        <v>2048.328</v>
      </c>
      <c r="D30" s="1262">
        <v>1909.61</v>
      </c>
      <c r="E30" s="1262">
        <v>1880.2370000000001</v>
      </c>
      <c r="F30" s="1262">
        <v>2037.577</v>
      </c>
      <c r="G30" s="1262">
        <v>1870.846</v>
      </c>
      <c r="H30" s="1262">
        <v>1917.38</v>
      </c>
      <c r="I30" s="1262">
        <v>1850.5719999999999</v>
      </c>
      <c r="J30" s="1262">
        <v>1910.0889999999999</v>
      </c>
      <c r="K30" s="1262">
        <v>1791.07</v>
      </c>
      <c r="L30" s="1262">
        <v>1726.683</v>
      </c>
      <c r="M30" s="1262">
        <v>1986.722</v>
      </c>
      <c r="N30" s="1262">
        <v>1999</v>
      </c>
      <c r="O30" s="1262">
        <v>1708.12</v>
      </c>
      <c r="P30" s="1268">
        <v>1904</v>
      </c>
      <c r="Q30" s="1268">
        <v>875.37699999999995</v>
      </c>
      <c r="R30" s="1268">
        <v>912.08699999999999</v>
      </c>
      <c r="S30" s="1268">
        <v>272.786</v>
      </c>
      <c r="T30" s="1268">
        <v>898.43200000000002</v>
      </c>
      <c r="U30" s="1268">
        <v>2003.925</v>
      </c>
      <c r="V30" s="1268">
        <v>2142.1</v>
      </c>
      <c r="W30" s="1268">
        <v>1883.3140000000001</v>
      </c>
      <c r="X30" s="1268">
        <v>2414.62</v>
      </c>
      <c r="Y30" s="1268">
        <v>2155.7469999999998</v>
      </c>
      <c r="Z30" s="1268">
        <v>1872</v>
      </c>
      <c r="AA30" s="1262">
        <v>2206.9050000000002</v>
      </c>
      <c r="AB30" s="1262">
        <v>1068.069</v>
      </c>
      <c r="AC30" s="1262">
        <v>2062.1680000000001</v>
      </c>
      <c r="AD30" s="1262">
        <v>2114.7530000000002</v>
      </c>
      <c r="AE30" s="1262">
        <v>2153.8180000000002</v>
      </c>
      <c r="AF30" s="1262">
        <v>2079.279</v>
      </c>
      <c r="AG30" s="1262">
        <v>2073.7310000000002</v>
      </c>
      <c r="AH30" s="1262">
        <v>2048.6570000000002</v>
      </c>
      <c r="AI30" s="1262">
        <v>2128.7130000000002</v>
      </c>
      <c r="AJ30" s="1262">
        <v>2014.675</v>
      </c>
      <c r="AK30" s="1262">
        <v>2013.867</v>
      </c>
      <c r="AL30" s="1262">
        <v>1916.7260000000001</v>
      </c>
      <c r="AM30" s="1268">
        <v>1019.673</v>
      </c>
      <c r="AN30" s="1268">
        <v>1003.9160000000001</v>
      </c>
      <c r="AO30" s="1268">
        <v>1104.9490000000001</v>
      </c>
      <c r="AP30" s="1268">
        <v>1096.4490000000001</v>
      </c>
      <c r="AQ30" s="1268">
        <v>1065.759</v>
      </c>
      <c r="AR30" s="1268">
        <v>1490.21</v>
      </c>
      <c r="AS30" s="1268">
        <v>1891.21</v>
      </c>
      <c r="AT30" s="1262">
        <v>1936.146</v>
      </c>
    </row>
    <row r="31" spans="1:46" s="1257" customFormat="1">
      <c r="A31" s="1264" t="s">
        <v>273</v>
      </c>
      <c r="B31" s="1264" t="s">
        <v>23</v>
      </c>
      <c r="C31" s="1257">
        <v>27456.58</v>
      </c>
      <c r="D31" s="1257">
        <v>24003</v>
      </c>
      <c r="E31" s="1257">
        <v>25174.27</v>
      </c>
      <c r="F31" s="1257">
        <v>26406.54</v>
      </c>
      <c r="G31" s="1257">
        <v>24700</v>
      </c>
      <c r="H31" s="1257">
        <v>27383</v>
      </c>
      <c r="I31" s="1257">
        <v>22887.61</v>
      </c>
      <c r="J31" s="1257">
        <v>24816.34</v>
      </c>
      <c r="K31" s="1257">
        <v>26019.55</v>
      </c>
      <c r="L31" s="1257">
        <v>24051</v>
      </c>
      <c r="M31" s="1257">
        <v>24012</v>
      </c>
      <c r="N31" s="1257">
        <v>26272</v>
      </c>
      <c r="O31" s="1257">
        <v>24319.21</v>
      </c>
      <c r="P31" s="1269">
        <v>24021.67</v>
      </c>
      <c r="Q31" s="1269">
        <v>26022.28</v>
      </c>
      <c r="R31" s="1269">
        <v>26633.119999999999</v>
      </c>
      <c r="S31" s="1269">
        <v>24504.5</v>
      </c>
      <c r="T31" s="1269">
        <v>23503.29</v>
      </c>
      <c r="U31" s="1269">
        <v>19670.099999999999</v>
      </c>
      <c r="V31" s="1269">
        <v>21134.53</v>
      </c>
      <c r="W31" s="1269">
        <v>26056.080000000002</v>
      </c>
      <c r="X31" s="1269">
        <v>21784.99</v>
      </c>
      <c r="Y31" s="1269">
        <v>19541.93</v>
      </c>
      <c r="Z31" s="1269">
        <v>22520.77</v>
      </c>
      <c r="AA31" s="1257">
        <v>23505.4</v>
      </c>
      <c r="AB31" s="1257">
        <v>22631.1</v>
      </c>
      <c r="AC31" s="1257">
        <v>24258.53</v>
      </c>
      <c r="AD31" s="1257">
        <v>12835.73</v>
      </c>
      <c r="AE31" s="1257">
        <v>21416</v>
      </c>
      <c r="AF31" s="1257">
        <v>25125.67</v>
      </c>
      <c r="AG31" s="1257">
        <v>22305.64</v>
      </c>
      <c r="AH31" s="1257">
        <v>21250.07</v>
      </c>
      <c r="AI31" s="1257">
        <v>22887.7</v>
      </c>
      <c r="AJ31" s="1257">
        <v>25058</v>
      </c>
      <c r="AK31" s="1257">
        <v>22645.77</v>
      </c>
      <c r="AL31" s="1257">
        <v>19635.169999999998</v>
      </c>
      <c r="AM31" s="1269">
        <v>23006</v>
      </c>
      <c r="AN31" s="1269">
        <v>20415.490000000002</v>
      </c>
      <c r="AO31" s="1269">
        <v>25126</v>
      </c>
      <c r="AP31" s="1269">
        <v>26010</v>
      </c>
      <c r="AQ31" s="1269">
        <v>24211.68</v>
      </c>
      <c r="AR31" s="1269">
        <v>25307.57</v>
      </c>
      <c r="AS31" s="1269">
        <v>23011.62</v>
      </c>
      <c r="AT31" s="1257">
        <v>24240.1</v>
      </c>
    </row>
    <row r="32" spans="1:46" s="1256" customFormat="1">
      <c r="A32" s="1263" t="s">
        <v>273</v>
      </c>
      <c r="B32" s="1263" t="s">
        <v>294</v>
      </c>
      <c r="C32" s="1256">
        <v>356975</v>
      </c>
      <c r="D32" s="1256">
        <v>325061</v>
      </c>
      <c r="E32" s="1256">
        <v>356612</v>
      </c>
      <c r="F32" s="1256">
        <v>348009</v>
      </c>
      <c r="G32" s="1256">
        <v>351736</v>
      </c>
      <c r="H32" s="1256">
        <v>355696</v>
      </c>
      <c r="I32" s="1256">
        <v>357866</v>
      </c>
      <c r="J32" s="1256">
        <v>339037</v>
      </c>
      <c r="K32" s="1256">
        <v>318436</v>
      </c>
      <c r="L32" s="1256">
        <v>363103</v>
      </c>
      <c r="M32" s="1256">
        <v>343338</v>
      </c>
      <c r="N32" s="1256">
        <v>350317.85700000002</v>
      </c>
      <c r="O32" s="1256">
        <v>354919.05800000002</v>
      </c>
      <c r="P32" s="1256">
        <v>317758.755</v>
      </c>
      <c r="Q32" s="1256">
        <v>343165.04599999997</v>
      </c>
      <c r="R32" s="1256">
        <v>349836.14500000002</v>
      </c>
      <c r="S32" s="1256">
        <v>360929.50599999999</v>
      </c>
      <c r="T32" s="1256">
        <v>352254.31300000002</v>
      </c>
      <c r="U32" s="1256">
        <v>360824.56199999998</v>
      </c>
      <c r="V32" s="1256">
        <v>366851.66800000001</v>
      </c>
      <c r="W32" s="1256">
        <v>299668.07199999999</v>
      </c>
      <c r="X32" s="1256">
        <v>341913.07199999999</v>
      </c>
      <c r="Y32" s="1256">
        <v>359052.41700000002</v>
      </c>
      <c r="Z32" s="1256">
        <v>368829.74300000002</v>
      </c>
      <c r="AA32" s="1256">
        <v>356186.88900000002</v>
      </c>
      <c r="AB32" s="1256">
        <v>333605.37199999997</v>
      </c>
      <c r="AC32" s="1256">
        <v>341736.23100000003</v>
      </c>
      <c r="AD32" s="1256">
        <v>265611.68800000002</v>
      </c>
      <c r="AE32" s="1256">
        <v>344313.55900000001</v>
      </c>
      <c r="AF32" s="1256">
        <v>348793.09499999997</v>
      </c>
      <c r="AG32" s="1256">
        <v>370244.57499999995</v>
      </c>
      <c r="AH32" s="1256">
        <v>349315.35600000003</v>
      </c>
      <c r="AI32" s="1256">
        <v>367976.93300000002</v>
      </c>
      <c r="AJ32" s="1256">
        <v>366950.12699999998</v>
      </c>
      <c r="AK32" s="1256">
        <v>356145.75800000003</v>
      </c>
      <c r="AL32" s="1256">
        <v>387525.66200000001</v>
      </c>
      <c r="AM32" s="1256">
        <f>AM35+AM36</f>
        <v>366211.77699999994</v>
      </c>
      <c r="AN32" s="1256">
        <v>334457.11300000001</v>
      </c>
      <c r="AO32" s="1256">
        <v>378024.54100000003</v>
      </c>
      <c r="AP32" s="1256">
        <v>350561.61499999999</v>
      </c>
      <c r="AQ32" s="1256">
        <v>381736.38</v>
      </c>
      <c r="AR32" s="1256">
        <v>371584.70600000001</v>
      </c>
      <c r="AS32" s="1256">
        <v>387133.28499999997</v>
      </c>
      <c r="AT32" s="1256">
        <v>377980</v>
      </c>
    </row>
    <row r="33" spans="1:46">
      <c r="A33" s="201" t="s">
        <v>273</v>
      </c>
      <c r="B33" s="201" t="s">
        <v>295</v>
      </c>
      <c r="C33" s="1262">
        <v>142536</v>
      </c>
      <c r="D33" s="1262">
        <v>124931</v>
      </c>
      <c r="E33" s="1262">
        <v>154296</v>
      </c>
      <c r="F33" s="1262">
        <v>137488</v>
      </c>
      <c r="G33" s="1262">
        <v>139755</v>
      </c>
      <c r="H33" s="1262">
        <v>156338</v>
      </c>
      <c r="I33" s="1262">
        <v>156837</v>
      </c>
      <c r="J33" s="1262">
        <v>157887</v>
      </c>
      <c r="K33" s="1262">
        <v>157485</v>
      </c>
      <c r="L33" s="1262">
        <v>170048</v>
      </c>
      <c r="M33" s="1262">
        <v>160514</v>
      </c>
      <c r="N33" s="1262">
        <v>140609.13</v>
      </c>
      <c r="O33" s="1262">
        <v>157495.40100000001</v>
      </c>
      <c r="P33" s="1262">
        <v>129577.533</v>
      </c>
      <c r="Q33" s="1262">
        <v>127804.982</v>
      </c>
      <c r="R33" s="1262">
        <v>147748.37899999999</v>
      </c>
      <c r="S33" s="1262">
        <v>164665.29</v>
      </c>
      <c r="T33" s="1262">
        <v>163036.73199999999</v>
      </c>
      <c r="U33" s="1262">
        <v>130059.947</v>
      </c>
      <c r="V33" s="1262">
        <v>155627.26699999999</v>
      </c>
      <c r="W33" s="1262">
        <v>150669.951</v>
      </c>
      <c r="X33" s="1262">
        <v>181289.76500000001</v>
      </c>
      <c r="Y33" s="1262">
        <v>194736.76500000001</v>
      </c>
      <c r="Z33" s="1262">
        <v>199663.30499999999</v>
      </c>
      <c r="AA33" s="1262">
        <v>184762.948</v>
      </c>
      <c r="AB33" s="1262">
        <v>126242.314</v>
      </c>
      <c r="AC33" s="1262">
        <v>150154.35800000001</v>
      </c>
      <c r="AD33" s="1262">
        <v>94272.61</v>
      </c>
      <c r="AE33" s="1262">
        <v>142584.49299999999</v>
      </c>
      <c r="AF33" s="1262">
        <v>156569.32800000001</v>
      </c>
      <c r="AG33" s="1262">
        <v>141927.99</v>
      </c>
      <c r="AH33" s="1262">
        <v>137975.34</v>
      </c>
      <c r="AI33" s="1262">
        <v>147913.389</v>
      </c>
      <c r="AJ33" s="1262">
        <v>209040.405</v>
      </c>
      <c r="AK33" s="1262">
        <v>190752.62</v>
      </c>
      <c r="AL33" s="1262">
        <v>208767.96299999999</v>
      </c>
      <c r="AM33" s="1262">
        <v>188973.12400000001</v>
      </c>
      <c r="AN33" s="1262">
        <v>165533.755</v>
      </c>
      <c r="AO33" s="1262">
        <v>176482.272</v>
      </c>
      <c r="AP33" s="1262">
        <v>142103.55499999999</v>
      </c>
      <c r="AQ33" s="1262">
        <v>137550.44099999999</v>
      </c>
      <c r="AR33" s="1262">
        <v>152396.943</v>
      </c>
      <c r="AS33" s="1262">
        <v>160198.14600000001</v>
      </c>
      <c r="AT33" s="1262">
        <v>172101</v>
      </c>
    </row>
    <row r="34" spans="1:46">
      <c r="A34" s="201" t="s">
        <v>273</v>
      </c>
      <c r="B34" s="201" t="s">
        <v>296</v>
      </c>
      <c r="C34" s="1262">
        <v>39.928846557882203</v>
      </c>
      <c r="D34" s="1262">
        <v>38.433094096185002</v>
      </c>
      <c r="E34" s="1262">
        <v>43.267192354716101</v>
      </c>
      <c r="F34" s="1262">
        <v>39.507024243625899</v>
      </c>
      <c r="G34" s="1262">
        <v>39.732924693520097</v>
      </c>
      <c r="H34" s="1262">
        <v>43.952701183032701</v>
      </c>
      <c r="I34" s="1262">
        <v>43.825621880815703</v>
      </c>
      <c r="J34" s="1262">
        <v>46.5692535033049</v>
      </c>
      <c r="K34" s="1262">
        <v>49.455777613083903</v>
      </c>
      <c r="L34" s="1262">
        <v>46.831890675648502</v>
      </c>
      <c r="M34" s="1262">
        <v>46.751015034747098</v>
      </c>
      <c r="N34" s="1262">
        <v>40.137585678368701</v>
      </c>
      <c r="O34" s="1262">
        <v>44.375019444574299</v>
      </c>
      <c r="P34" s="1262">
        <v>40.778587831513903</v>
      </c>
      <c r="Q34" s="1262">
        <v>37.243006969888199</v>
      </c>
      <c r="R34" s="1262">
        <v>42.2335945303765</v>
      </c>
      <c r="S34" s="1262">
        <v>45.622562650779798</v>
      </c>
      <c r="T34" s="1262">
        <v>46.283814273694901</v>
      </c>
      <c r="U34" s="1262">
        <v>36.045203319612099</v>
      </c>
      <c r="V34" s="1262">
        <v>42.4223959096187</v>
      </c>
      <c r="W34" s="1262">
        <v>50.278946967697003</v>
      </c>
      <c r="X34" s="1262">
        <v>53.022180152269797</v>
      </c>
      <c r="Y34" s="1262">
        <v>54.236305280184197</v>
      </c>
      <c r="Z34" s="1262">
        <v>54.134274360839697</v>
      </c>
      <c r="AA34" s="1262">
        <v>51.872473048832497</v>
      </c>
      <c r="AB34" s="1262">
        <v>37.841810892661499</v>
      </c>
      <c r="AC34" s="1262">
        <v>43.938670933606701</v>
      </c>
      <c r="AD34" s="1262">
        <v>35.492643682156</v>
      </c>
      <c r="AE34" s="1262">
        <v>41.411233822482103</v>
      </c>
      <c r="AF34" s="1262">
        <v>44.888884053166301</v>
      </c>
      <c r="AG34" s="1262">
        <v>38.333577203663282</v>
      </c>
      <c r="AH34" s="1262">
        <v>39.498790313701519</v>
      </c>
      <c r="AI34" s="1262">
        <v>40.196375298339689</v>
      </c>
      <c r="AJ34" s="1262">
        <v>56.966979875169798</v>
      </c>
      <c r="AK34" s="1262">
        <v>53.560267310554345</v>
      </c>
      <c r="AL34" s="1262">
        <v>53.87203570534124</v>
      </c>
      <c r="AM34" s="1262">
        <v>51.602142767789807</v>
      </c>
      <c r="AN34" s="1262">
        <v>49.493267915638562</v>
      </c>
      <c r="AO34" s="1262">
        <v>46.685400776665446</v>
      </c>
      <c r="AP34" s="1262">
        <v>40.53597111594776</v>
      </c>
      <c r="AQ34" s="1262">
        <v>36.03283527758083</v>
      </c>
      <c r="AR34" s="1262">
        <v>41.012705996570261</v>
      </c>
      <c r="AS34" s="1262">
        <v>41.380618047347703</v>
      </c>
      <c r="AT34" s="1262">
        <v>45.531774167945393</v>
      </c>
    </row>
    <row r="35" spans="1:46">
      <c r="A35" s="201" t="s">
        <v>273</v>
      </c>
      <c r="B35" s="201" t="s">
        <v>284</v>
      </c>
      <c r="C35" s="1262">
        <v>38571</v>
      </c>
      <c r="D35" s="1262">
        <v>36665</v>
      </c>
      <c r="E35" s="1262">
        <v>36423</v>
      </c>
      <c r="F35" s="1262">
        <v>37050</v>
      </c>
      <c r="G35" s="1262">
        <v>40093</v>
      </c>
      <c r="H35" s="1262">
        <v>40066</v>
      </c>
      <c r="I35" s="1262">
        <v>38619</v>
      </c>
      <c r="J35" s="1262">
        <v>20301</v>
      </c>
      <c r="K35" s="1262">
        <v>8272</v>
      </c>
      <c r="L35" s="1262">
        <v>36454</v>
      </c>
      <c r="M35" s="1262">
        <v>37716</v>
      </c>
      <c r="N35" s="1262">
        <v>40422.756000000001</v>
      </c>
      <c r="O35" s="1262">
        <v>41303.222999999998</v>
      </c>
      <c r="P35" s="1262">
        <v>37363.807999999997</v>
      </c>
      <c r="Q35" s="1262">
        <v>40901.618999999999</v>
      </c>
      <c r="R35" s="1262">
        <v>38385.421000000002</v>
      </c>
      <c r="S35" s="1262">
        <v>41469.188000000002</v>
      </c>
      <c r="T35" s="1262">
        <v>40109.726000000002</v>
      </c>
      <c r="U35" s="1262">
        <v>39507.832999999999</v>
      </c>
      <c r="V35" s="1262">
        <v>40241.938000000002</v>
      </c>
      <c r="W35" s="1262">
        <v>31521.35</v>
      </c>
      <c r="X35" s="1262">
        <v>26146.089</v>
      </c>
      <c r="Y35" s="1262">
        <v>39539.976000000002</v>
      </c>
      <c r="Z35" s="1262">
        <v>41215.771999999997</v>
      </c>
      <c r="AA35" s="1262">
        <v>40789.269999999997</v>
      </c>
      <c r="AB35" s="1262">
        <v>39820.063999999998</v>
      </c>
      <c r="AC35" s="1262">
        <v>42301.019</v>
      </c>
      <c r="AD35" s="1262">
        <v>19193.09</v>
      </c>
      <c r="AE35" s="1262">
        <v>40712.004999999997</v>
      </c>
      <c r="AF35" s="1262">
        <v>32628.925999999999</v>
      </c>
      <c r="AG35" s="1262">
        <v>42047.514999999999</v>
      </c>
      <c r="AH35" s="1262">
        <v>40662.688000000002</v>
      </c>
      <c r="AI35" s="1262">
        <v>40062.135000000002</v>
      </c>
      <c r="AJ35" s="1262">
        <v>41334.442999999999</v>
      </c>
      <c r="AK35" s="1262">
        <v>41023.387999999999</v>
      </c>
      <c r="AL35" s="1262">
        <v>44067.03</v>
      </c>
      <c r="AM35" s="1262">
        <v>42088.794999999998</v>
      </c>
      <c r="AN35" s="1262">
        <v>38065.084000000003</v>
      </c>
      <c r="AO35" s="1262">
        <v>43428.496999999996</v>
      </c>
      <c r="AP35" s="1262">
        <v>28426.713</v>
      </c>
      <c r="AQ35" s="1262">
        <v>43357.409</v>
      </c>
      <c r="AR35" s="1262">
        <v>44156.218000000001</v>
      </c>
      <c r="AS35" s="1262">
        <v>45022.563999999998</v>
      </c>
      <c r="AT35" s="1262">
        <v>44586</v>
      </c>
    </row>
    <row r="36" spans="1:46">
      <c r="A36" s="201" t="s">
        <v>273</v>
      </c>
      <c r="B36" s="201" t="s">
        <v>289</v>
      </c>
      <c r="C36" s="1262">
        <v>318404</v>
      </c>
      <c r="D36" s="1262">
        <v>288396</v>
      </c>
      <c r="E36" s="1262">
        <v>320189</v>
      </c>
      <c r="F36" s="1262">
        <v>310959</v>
      </c>
      <c r="G36" s="1262">
        <v>311643</v>
      </c>
      <c r="H36" s="1262">
        <v>315630</v>
      </c>
      <c r="I36" s="1262">
        <v>319247</v>
      </c>
      <c r="J36" s="1262">
        <v>318736</v>
      </c>
      <c r="K36" s="1262">
        <v>310164</v>
      </c>
      <c r="L36" s="1262">
        <v>326649</v>
      </c>
      <c r="M36" s="1262">
        <v>305622</v>
      </c>
      <c r="N36" s="1262">
        <v>309895.10100000002</v>
      </c>
      <c r="O36" s="1262">
        <v>313615.83500000002</v>
      </c>
      <c r="P36" s="1262">
        <v>280394.94699999999</v>
      </c>
      <c r="Q36" s="1262">
        <v>302263.42700000003</v>
      </c>
      <c r="R36" s="1262">
        <v>311450.72399999999</v>
      </c>
      <c r="S36" s="1262">
        <v>319460.31800000003</v>
      </c>
      <c r="T36" s="1262">
        <v>312144.587</v>
      </c>
      <c r="U36" s="1262">
        <v>321316.72899999999</v>
      </c>
      <c r="V36" s="1262">
        <v>326609.73</v>
      </c>
      <c r="W36" s="1262">
        <v>268146.72200000001</v>
      </c>
      <c r="X36" s="1262">
        <v>315766.98300000001</v>
      </c>
      <c r="Y36" s="1262">
        <v>319512.44099999999</v>
      </c>
      <c r="Z36" s="1262">
        <v>327613.97100000002</v>
      </c>
      <c r="AA36" s="1262">
        <v>315397.61900000001</v>
      </c>
      <c r="AB36" s="1262">
        <v>293785.30800000002</v>
      </c>
      <c r="AC36" s="1262">
        <v>299435.212</v>
      </c>
      <c r="AD36" s="1262">
        <v>246418.598</v>
      </c>
      <c r="AE36" s="1262">
        <v>303601.554</v>
      </c>
      <c r="AF36" s="1262">
        <v>316164.16899999999</v>
      </c>
      <c r="AG36" s="1262">
        <v>328197.06</v>
      </c>
      <c r="AH36" s="1262">
        <v>308652.66800000001</v>
      </c>
      <c r="AI36" s="1262">
        <v>327914.79800000001</v>
      </c>
      <c r="AJ36" s="1262">
        <v>325615.68400000001</v>
      </c>
      <c r="AK36" s="1262">
        <v>315122.37</v>
      </c>
      <c r="AL36" s="1262">
        <v>343458.63199999998</v>
      </c>
      <c r="AM36" s="1262">
        <v>324122.98199999996</v>
      </c>
      <c r="AN36" s="1262">
        <v>296392.02900000004</v>
      </c>
      <c r="AO36" s="1262">
        <v>334596.04400000005</v>
      </c>
      <c r="AP36" s="1262">
        <v>322134.902</v>
      </c>
      <c r="AQ36" s="1262">
        <v>338378.97100000002</v>
      </c>
      <c r="AR36" s="1262">
        <v>327428.48800000001</v>
      </c>
      <c r="AS36" s="1262">
        <v>342110.72100000002</v>
      </c>
      <c r="AT36" s="1262">
        <v>333394</v>
      </c>
    </row>
    <row r="37" spans="1:46">
      <c r="A37" s="201" t="s">
        <v>273</v>
      </c>
      <c r="B37" s="201" t="s">
        <v>297</v>
      </c>
      <c r="C37" s="1262">
        <v>50338</v>
      </c>
      <c r="D37" s="1262">
        <v>46855</v>
      </c>
      <c r="E37" s="1262">
        <v>52874</v>
      </c>
      <c r="F37" s="1262">
        <v>49311</v>
      </c>
      <c r="G37" s="1262">
        <v>50724</v>
      </c>
      <c r="H37" s="1262">
        <v>49704</v>
      </c>
      <c r="I37" s="1262">
        <v>51826</v>
      </c>
      <c r="J37" s="1262">
        <v>51780</v>
      </c>
      <c r="K37" s="1262">
        <v>51106</v>
      </c>
      <c r="L37" s="1262">
        <v>51910</v>
      </c>
      <c r="M37" s="1262">
        <v>51070</v>
      </c>
      <c r="N37" s="1262">
        <v>52606.749000000003</v>
      </c>
      <c r="O37" s="1262">
        <v>53154.968999999997</v>
      </c>
      <c r="P37" s="1262">
        <v>45332.173999999999</v>
      </c>
      <c r="Q37" s="1262">
        <v>27466.733</v>
      </c>
      <c r="R37" s="1262">
        <v>50968.633999999998</v>
      </c>
      <c r="S37" s="1262">
        <v>51860.563000000002</v>
      </c>
      <c r="T37" s="1262">
        <v>52949.500999999997</v>
      </c>
      <c r="U37" s="1262">
        <v>52465.226999999999</v>
      </c>
      <c r="V37" s="1262">
        <v>52940.235000000001</v>
      </c>
      <c r="W37" s="1262">
        <v>49475.459000000003</v>
      </c>
      <c r="X37" s="1262">
        <v>54704.035000000003</v>
      </c>
      <c r="Y37" s="1262">
        <v>52996.457999999999</v>
      </c>
      <c r="Z37" s="1262">
        <v>57228.31</v>
      </c>
      <c r="AA37" s="1262">
        <v>55974.887999999999</v>
      </c>
      <c r="AB37" s="1262">
        <v>51884.394999999997</v>
      </c>
      <c r="AC37" s="1262">
        <v>53799.190999999999</v>
      </c>
      <c r="AD37" s="1262">
        <v>26879.298999999999</v>
      </c>
      <c r="AE37" s="1262">
        <v>54067.822999999997</v>
      </c>
      <c r="AF37" s="1262">
        <v>53134.656999999999</v>
      </c>
      <c r="AG37" s="1262">
        <v>50269.455000000002</v>
      </c>
      <c r="AH37" s="1262">
        <v>54960.868000000002</v>
      </c>
      <c r="AI37" s="1262">
        <v>56901.972999999998</v>
      </c>
      <c r="AJ37" s="1262">
        <v>57066.055</v>
      </c>
      <c r="AK37" s="1262">
        <v>54070.463000000003</v>
      </c>
      <c r="AL37" s="1262">
        <v>57893.858</v>
      </c>
      <c r="AM37" s="1262">
        <v>57102.180999999997</v>
      </c>
      <c r="AN37" s="1262">
        <v>51932.158000000003</v>
      </c>
      <c r="AO37" s="1262">
        <v>58304.639000000003</v>
      </c>
      <c r="AP37" s="1262">
        <v>56108.99</v>
      </c>
      <c r="AQ37" s="1262">
        <v>58234.559000000001</v>
      </c>
      <c r="AR37" s="1262">
        <v>56053.900999999998</v>
      </c>
      <c r="AS37" s="1262">
        <v>58888.932000000001</v>
      </c>
      <c r="AT37" s="1262">
        <v>56180</v>
      </c>
    </row>
    <row r="38" spans="1:46" s="1257" customFormat="1">
      <c r="A38" s="1264" t="s">
        <v>273</v>
      </c>
      <c r="B38" s="1264" t="s">
        <v>298</v>
      </c>
      <c r="C38" s="1257">
        <v>268066</v>
      </c>
      <c r="D38" s="1257">
        <v>241541</v>
      </c>
      <c r="E38" s="1257">
        <v>267315</v>
      </c>
      <c r="F38" s="1257">
        <v>261648</v>
      </c>
      <c r="G38" s="1257">
        <v>260919</v>
      </c>
      <c r="H38" s="1257">
        <v>265926</v>
      </c>
      <c r="I38" s="1257">
        <v>267421</v>
      </c>
      <c r="J38" s="1257">
        <v>266956</v>
      </c>
      <c r="K38" s="1257">
        <v>259058</v>
      </c>
      <c r="L38" s="1257">
        <v>274739</v>
      </c>
      <c r="M38" s="1257">
        <v>254552</v>
      </c>
      <c r="N38" s="1257">
        <v>257288.35200000001</v>
      </c>
      <c r="O38" s="1257">
        <v>260460.86600000001</v>
      </c>
      <c r="P38" s="1257">
        <v>235062.77299999999</v>
      </c>
      <c r="Q38" s="1257">
        <v>274796.69400000002</v>
      </c>
      <c r="R38" s="1257">
        <v>260482.09</v>
      </c>
      <c r="S38" s="1257">
        <v>267599.755</v>
      </c>
      <c r="T38" s="1257">
        <v>259195.08600000001</v>
      </c>
      <c r="U38" s="1257">
        <v>268851.50199999998</v>
      </c>
      <c r="V38" s="1257">
        <v>273669.495</v>
      </c>
      <c r="W38" s="1257">
        <v>218671.26300000001</v>
      </c>
      <c r="X38" s="1257">
        <v>261062.948</v>
      </c>
      <c r="Y38" s="1257">
        <v>266515.98300000001</v>
      </c>
      <c r="Z38" s="1257">
        <v>270385.66100000002</v>
      </c>
      <c r="AA38" s="1257">
        <v>259422.731</v>
      </c>
      <c r="AB38" s="1257">
        <v>241900.913</v>
      </c>
      <c r="AC38" s="1257">
        <v>245636.02100000001</v>
      </c>
      <c r="AD38" s="1257">
        <v>219539.299</v>
      </c>
      <c r="AE38" s="1257">
        <v>249533.731</v>
      </c>
      <c r="AF38" s="1257">
        <v>263029.51199999999</v>
      </c>
      <c r="AG38" s="1257">
        <v>277927.60499999998</v>
      </c>
      <c r="AH38" s="1257">
        <v>253691.8</v>
      </c>
      <c r="AI38" s="1257">
        <v>271012.82500000001</v>
      </c>
      <c r="AJ38" s="1257">
        <v>268549.62900000002</v>
      </c>
      <c r="AK38" s="1257">
        <v>261051.90700000001</v>
      </c>
      <c r="AL38" s="1257">
        <v>285564.77399999998</v>
      </c>
      <c r="AM38" s="1257">
        <v>267020.80099999998</v>
      </c>
      <c r="AN38" s="1257">
        <v>244459.87100000001</v>
      </c>
      <c r="AO38" s="1257">
        <v>276291.40500000003</v>
      </c>
      <c r="AP38" s="1257">
        <v>266025.91200000001</v>
      </c>
      <c r="AQ38" s="1257">
        <v>280144.41200000001</v>
      </c>
      <c r="AR38" s="1257">
        <v>271374.587</v>
      </c>
      <c r="AS38" s="1257">
        <v>283221.78899999999</v>
      </c>
      <c r="AT38" s="1257">
        <v>277214</v>
      </c>
    </row>
    <row r="39" spans="1:46" s="1258" customFormat="1">
      <c r="A39" s="201" t="s">
        <v>299</v>
      </c>
      <c r="B39" s="1258" t="s">
        <v>300</v>
      </c>
      <c r="C39" s="1258">
        <v>899874.42700000003</v>
      </c>
      <c r="D39" s="1258">
        <v>775534.57200000004</v>
      </c>
      <c r="E39" s="1258">
        <v>876835</v>
      </c>
      <c r="F39" s="1258">
        <v>814130.40800000005</v>
      </c>
      <c r="G39" s="1258">
        <v>826114.44499999995</v>
      </c>
      <c r="H39" s="1258">
        <v>828717.43700000003</v>
      </c>
      <c r="I39" s="1258">
        <v>826944.03799999994</v>
      </c>
      <c r="J39" s="1258">
        <v>885858.98499999999</v>
      </c>
      <c r="K39" s="1258">
        <v>780727.28599999996</v>
      </c>
      <c r="L39" s="1258">
        <v>850607.65899999999</v>
      </c>
      <c r="M39" s="1258">
        <v>795889.875</v>
      </c>
      <c r="N39" s="1258">
        <v>845769.38569999998</v>
      </c>
      <c r="O39" s="1258">
        <v>798010.29642999999</v>
      </c>
      <c r="P39" s="1258">
        <v>802361.64428000001</v>
      </c>
      <c r="Q39" s="1258">
        <v>864995.53799999994</v>
      </c>
      <c r="R39" s="1258">
        <v>865495.67099999997</v>
      </c>
      <c r="S39" s="1258">
        <v>855458.62899999996</v>
      </c>
      <c r="T39" s="1258">
        <v>744252.02009999997</v>
      </c>
      <c r="U39" s="1258">
        <v>918964.04570000002</v>
      </c>
      <c r="V39" s="1258">
        <v>902000.76809999999</v>
      </c>
      <c r="W39" s="1258">
        <v>773066.85800000001</v>
      </c>
      <c r="X39" s="1258">
        <v>822089.96799999999</v>
      </c>
      <c r="Y39" s="1258">
        <v>849761.7291</v>
      </c>
      <c r="Z39" s="1258">
        <v>896103.41722299997</v>
      </c>
      <c r="AA39" s="1258">
        <v>878933.82</v>
      </c>
      <c r="AB39" s="1258">
        <v>825243.65359999996</v>
      </c>
      <c r="AC39" s="1258">
        <v>859538.93530000001</v>
      </c>
      <c r="AD39" s="1258">
        <v>922087.674</v>
      </c>
      <c r="AE39" s="1258">
        <v>884362.99320000003</v>
      </c>
      <c r="AF39" s="1258">
        <v>712209.99800000002</v>
      </c>
      <c r="AG39" s="1258">
        <v>647363.3496999999</v>
      </c>
      <c r="AH39" s="1258">
        <v>692683.69989999989</v>
      </c>
      <c r="AI39" s="1258">
        <v>689079.27679999999</v>
      </c>
      <c r="AJ39" s="1258">
        <v>889162.99119999993</v>
      </c>
      <c r="AK39" s="1258">
        <v>916345.54349999991</v>
      </c>
      <c r="AL39" s="1258">
        <v>959428.33890000009</v>
      </c>
      <c r="AM39" s="1258">
        <v>985684.75820000004</v>
      </c>
      <c r="AN39" s="1258">
        <v>882608.31010000012</v>
      </c>
      <c r="AO39" s="1258">
        <v>1018844.7848999997</v>
      </c>
      <c r="AP39" s="1258">
        <v>998029.30199999991</v>
      </c>
      <c r="AQ39" s="1258">
        <v>1019156.0761999999</v>
      </c>
      <c r="AR39" s="1258">
        <v>1022386.9342999998</v>
      </c>
      <c r="AS39" s="1258">
        <v>1039730.9213</v>
      </c>
      <c r="AT39" s="1258">
        <v>1043941.0379999999</v>
      </c>
    </row>
    <row r="40" spans="1:46">
      <c r="A40" s="201" t="s">
        <v>299</v>
      </c>
      <c r="B40" s="1262" t="s">
        <v>301</v>
      </c>
      <c r="C40" s="1262">
        <v>110049</v>
      </c>
      <c r="D40" s="1262">
        <v>100804</v>
      </c>
      <c r="E40" s="1262">
        <v>98476</v>
      </c>
      <c r="F40" s="1262">
        <v>72643</v>
      </c>
      <c r="G40" s="1262">
        <v>85583</v>
      </c>
      <c r="H40" s="1262">
        <v>96299</v>
      </c>
      <c r="I40" s="1262">
        <v>69493</v>
      </c>
      <c r="J40" s="1262">
        <v>200115</v>
      </c>
      <c r="K40" s="1262">
        <v>101673</v>
      </c>
      <c r="L40" s="1262">
        <v>111290</v>
      </c>
      <c r="M40" s="1262">
        <v>84036</v>
      </c>
      <c r="N40" s="1262">
        <v>122498.129</v>
      </c>
      <c r="O40" s="1262">
        <v>180027.25</v>
      </c>
      <c r="P40" s="1262">
        <v>122714.673</v>
      </c>
      <c r="Q40" s="1262">
        <v>171347.38500000001</v>
      </c>
      <c r="R40" s="1262">
        <v>150186.01</v>
      </c>
      <c r="S40" s="1262">
        <v>119809.46</v>
      </c>
      <c r="T40" s="1262">
        <v>93379.441000000006</v>
      </c>
      <c r="U40" s="1262">
        <v>197571.49100000001</v>
      </c>
      <c r="V40" s="1262">
        <v>190290.57699999999</v>
      </c>
      <c r="W40" s="1262">
        <v>141780.06099999999</v>
      </c>
      <c r="X40" s="1262">
        <v>107918.622</v>
      </c>
      <c r="Y40" s="1262">
        <v>160478.677</v>
      </c>
      <c r="Z40" s="1262">
        <v>172781.91200000001</v>
      </c>
      <c r="AA40" s="1262">
        <v>193322.96299999999</v>
      </c>
      <c r="AB40" s="1262">
        <v>141242.25099999999</v>
      </c>
      <c r="AC40" s="1262">
        <v>149305.63699999999</v>
      </c>
      <c r="AD40" s="1262">
        <v>122547.66499999999</v>
      </c>
      <c r="AE40" s="1262">
        <v>121305.90399999999</v>
      </c>
      <c r="AF40" s="1262">
        <v>36262.383000000002</v>
      </c>
      <c r="AG40" s="1262">
        <v>66376.722000000009</v>
      </c>
      <c r="AH40" s="1262">
        <v>138254.484</v>
      </c>
      <c r="AI40" s="1262">
        <v>61383.735000000001</v>
      </c>
      <c r="AJ40" s="1262">
        <v>149607.28700000001</v>
      </c>
      <c r="AK40" s="1262">
        <v>219473.73699999999</v>
      </c>
      <c r="AL40" s="1262">
        <v>207568.318</v>
      </c>
      <c r="AM40" s="1262">
        <v>211385.50399999999</v>
      </c>
      <c r="AN40" s="1262">
        <v>252674.93000000002</v>
      </c>
      <c r="AO40" s="1262">
        <v>277224.59999999998</v>
      </c>
      <c r="AP40" s="1262">
        <v>273627.81099999999</v>
      </c>
      <c r="AQ40" s="1262">
        <v>240593.06299999999</v>
      </c>
      <c r="AR40" s="1262">
        <v>257736.11599999998</v>
      </c>
      <c r="AS40" s="1262">
        <v>244299.75300000003</v>
      </c>
      <c r="AT40" s="1262">
        <v>251572.34899999999</v>
      </c>
    </row>
    <row r="41" spans="1:46">
      <c r="A41" s="201" t="s">
        <v>299</v>
      </c>
      <c r="B41" s="1262" t="s">
        <v>289</v>
      </c>
      <c r="N41" s="1262">
        <v>0</v>
      </c>
      <c r="O41" s="1262">
        <v>0</v>
      </c>
      <c r="P41" s="1262">
        <v>0</v>
      </c>
      <c r="Q41" s="1262">
        <v>0</v>
      </c>
      <c r="R41" s="1262">
        <v>0</v>
      </c>
      <c r="S41" s="1262">
        <v>0</v>
      </c>
      <c r="T41" s="1262">
        <v>0</v>
      </c>
      <c r="U41" s="1262">
        <v>0</v>
      </c>
      <c r="V41" s="1262">
        <v>0</v>
      </c>
      <c r="W41" s="1262">
        <v>0</v>
      </c>
      <c r="X41" s="1262">
        <v>0</v>
      </c>
      <c r="Y41" s="1262">
        <v>0</v>
      </c>
      <c r="Z41" s="1262">
        <v>0</v>
      </c>
      <c r="AA41" s="1262">
        <v>0</v>
      </c>
      <c r="AB41" s="1262">
        <v>0</v>
      </c>
      <c r="AC41" s="1262">
        <v>0</v>
      </c>
      <c r="AD41" s="1262">
        <v>0</v>
      </c>
      <c r="AE41" s="1262">
        <v>0</v>
      </c>
      <c r="AF41" s="1262">
        <v>0</v>
      </c>
      <c r="AG41" s="1262">
        <v>0</v>
      </c>
      <c r="AH41" s="1262">
        <v>0</v>
      </c>
      <c r="AI41" s="1262">
        <v>0</v>
      </c>
      <c r="AJ41" s="1262">
        <v>0</v>
      </c>
      <c r="AK41" s="1262">
        <v>0</v>
      </c>
      <c r="AL41" s="1262">
        <v>0</v>
      </c>
      <c r="AM41" s="1262">
        <v>0</v>
      </c>
      <c r="AN41" s="1262">
        <v>0</v>
      </c>
      <c r="AO41" s="1262">
        <v>0</v>
      </c>
      <c r="AP41" s="1262">
        <v>0</v>
      </c>
      <c r="AQ41" s="1262">
        <v>0</v>
      </c>
      <c r="AR41" s="1262">
        <v>0</v>
      </c>
      <c r="AS41" s="1262">
        <v>0</v>
      </c>
      <c r="AT41" s="1262">
        <v>0</v>
      </c>
    </row>
    <row r="42" spans="1:46">
      <c r="A42" s="201" t="s">
        <v>299</v>
      </c>
      <c r="B42" s="1262" t="s">
        <v>302</v>
      </c>
      <c r="C42" s="1262">
        <v>110049</v>
      </c>
      <c r="D42" s="1262">
        <v>100804</v>
      </c>
      <c r="E42" s="1262">
        <v>98476</v>
      </c>
      <c r="F42" s="1262">
        <v>72643</v>
      </c>
      <c r="G42" s="1262">
        <v>85583</v>
      </c>
      <c r="H42" s="1262">
        <v>96299</v>
      </c>
      <c r="I42" s="1262">
        <v>69493</v>
      </c>
      <c r="J42" s="1262">
        <v>200115</v>
      </c>
      <c r="K42" s="1262">
        <v>101673</v>
      </c>
      <c r="L42" s="1262">
        <v>111290</v>
      </c>
      <c r="M42" s="1262">
        <v>84036</v>
      </c>
      <c r="N42" s="1262">
        <v>122498.129</v>
      </c>
      <c r="O42" s="1262">
        <v>180027.25</v>
      </c>
      <c r="P42" s="1262">
        <v>122714.673</v>
      </c>
      <c r="Q42" s="1262">
        <f>Q40</f>
        <v>171347.38500000001</v>
      </c>
      <c r="R42" s="1262">
        <f>R40</f>
        <v>150186.01</v>
      </c>
      <c r="S42" s="1262">
        <f>S40</f>
        <v>119809.46</v>
      </c>
      <c r="T42" s="1262">
        <f>T40</f>
        <v>93379.441000000006</v>
      </c>
      <c r="U42" s="1262">
        <v>197571.49100000001</v>
      </c>
      <c r="V42" s="1262">
        <v>190290.57699999999</v>
      </c>
      <c r="W42" s="1262">
        <v>141780.06099999999</v>
      </c>
      <c r="X42" s="1262">
        <v>107918.622</v>
      </c>
      <c r="Y42" s="1262">
        <v>160478.677</v>
      </c>
      <c r="Z42" s="1262">
        <v>172781.91200000001</v>
      </c>
      <c r="AA42" s="1262">
        <v>193322.96299999999</v>
      </c>
      <c r="AB42" s="1262">
        <v>141242.25099999999</v>
      </c>
      <c r="AC42" s="1262">
        <v>149305.63699999999</v>
      </c>
      <c r="AD42" s="1262">
        <v>122547.66499999999</v>
      </c>
      <c r="AE42" s="1262">
        <v>121305.90399999999</v>
      </c>
      <c r="AF42" s="1262">
        <v>36262.383000000002</v>
      </c>
      <c r="AG42" s="1262">
        <v>66376.722000000009</v>
      </c>
      <c r="AH42" s="1262">
        <v>138254.484</v>
      </c>
      <c r="AI42" s="1262">
        <v>61383.735000000001</v>
      </c>
      <c r="AJ42" s="1262">
        <v>149607.28700000001</v>
      </c>
      <c r="AK42" s="1262">
        <v>219473.73699999999</v>
      </c>
      <c r="AL42" s="1262">
        <v>207568.318</v>
      </c>
      <c r="AM42" s="1262">
        <v>211385.50399999999</v>
      </c>
      <c r="AN42" s="1262">
        <v>252674.93000000002</v>
      </c>
      <c r="AO42" s="1262">
        <v>277224.59999999998</v>
      </c>
      <c r="AP42" s="1262">
        <v>273627.81099999999</v>
      </c>
      <c r="AQ42" s="1262">
        <v>240593.06299999999</v>
      </c>
      <c r="AR42" s="1262">
        <v>257736.11599999998</v>
      </c>
      <c r="AS42" s="1262">
        <v>244299.75300000003</v>
      </c>
      <c r="AT42" s="1262">
        <v>251572.34899999999</v>
      </c>
    </row>
    <row r="43" spans="1:46">
      <c r="A43" s="201" t="s">
        <v>299</v>
      </c>
      <c r="B43" s="1262" t="s">
        <v>303</v>
      </c>
      <c r="C43" s="1262">
        <v>789825.42700000003</v>
      </c>
      <c r="D43" s="1262">
        <v>674730.57200000004</v>
      </c>
      <c r="E43" s="1262">
        <v>778359</v>
      </c>
      <c r="F43" s="1262">
        <v>741487.40800000005</v>
      </c>
      <c r="G43" s="1262">
        <v>740531.44499999995</v>
      </c>
      <c r="H43" s="1262">
        <v>732418.43700000003</v>
      </c>
      <c r="I43" s="1262">
        <v>757451.03799999994</v>
      </c>
      <c r="J43" s="1262">
        <v>685743.98499999999</v>
      </c>
      <c r="K43" s="1262">
        <v>679054.28599999996</v>
      </c>
      <c r="L43" s="1262">
        <v>739317.65899999999</v>
      </c>
      <c r="M43" s="1262">
        <v>711853.875</v>
      </c>
      <c r="N43" s="1262">
        <v>723271.25670000003</v>
      </c>
      <c r="O43" s="1262">
        <v>617983.04642999999</v>
      </c>
      <c r="P43" s="1262">
        <v>679646.97128000006</v>
      </c>
      <c r="Q43" s="1262">
        <v>693648.15300000005</v>
      </c>
      <c r="R43" s="1262">
        <v>715309.66815000004</v>
      </c>
      <c r="S43" s="1262">
        <v>735650.17044999998</v>
      </c>
      <c r="T43" s="1262">
        <v>650872.57909999997</v>
      </c>
      <c r="U43" s="1262">
        <v>721392.55469999998</v>
      </c>
      <c r="V43" s="1262">
        <v>711710.19110000005</v>
      </c>
      <c r="W43" s="1262">
        <v>631286.79700000002</v>
      </c>
      <c r="X43" s="1262">
        <v>714171.34600000002</v>
      </c>
      <c r="Y43" s="1262">
        <v>689283.05209999997</v>
      </c>
      <c r="Z43" s="1262">
        <v>723321.50522299996</v>
      </c>
      <c r="AA43" s="1262">
        <v>685610.85699999996</v>
      </c>
      <c r="AB43" s="1262">
        <v>684001.40260000003</v>
      </c>
      <c r="AC43" s="1262">
        <v>710233.29830000002</v>
      </c>
      <c r="AD43" s="1262">
        <v>799540.00899999996</v>
      </c>
      <c r="AE43" s="1262">
        <v>763057.08920000005</v>
      </c>
      <c r="AF43" s="1262">
        <v>675947.61499999999</v>
      </c>
      <c r="AG43" s="1262">
        <v>580986.62769999995</v>
      </c>
      <c r="AH43" s="1262">
        <v>554429.21589999995</v>
      </c>
      <c r="AI43" s="1262">
        <v>627695.54180000001</v>
      </c>
      <c r="AJ43" s="1262">
        <v>739555.70419999992</v>
      </c>
      <c r="AK43" s="1262">
        <v>696871.80649999995</v>
      </c>
      <c r="AL43" s="1262">
        <v>751860.02090000012</v>
      </c>
      <c r="AM43" s="1262">
        <v>774299.25420000008</v>
      </c>
      <c r="AN43" s="1262">
        <v>629933.38010000007</v>
      </c>
      <c r="AO43" s="1262">
        <v>741620.18489999976</v>
      </c>
      <c r="AP43" s="1262">
        <v>724401.49099999992</v>
      </c>
      <c r="AQ43" s="1262">
        <v>778563.01319999993</v>
      </c>
      <c r="AR43" s="1262">
        <v>764650.81829999993</v>
      </c>
      <c r="AS43" s="1262">
        <v>795431.16830000002</v>
      </c>
      <c r="AT43" s="1262">
        <v>792368.68900000001</v>
      </c>
    </row>
    <row r="44" spans="1:46">
      <c r="A44" s="201" t="s">
        <v>299</v>
      </c>
      <c r="B44" s="1262" t="s">
        <v>302</v>
      </c>
      <c r="C44" s="1262">
        <v>26190</v>
      </c>
      <c r="D44" s="1262">
        <v>23258</v>
      </c>
      <c r="E44" s="1262">
        <v>27629</v>
      </c>
      <c r="F44" s="1262">
        <v>29487</v>
      </c>
      <c r="G44" s="1262">
        <v>28092</v>
      </c>
      <c r="H44" s="1262">
        <v>29568</v>
      </c>
      <c r="I44" s="1262">
        <v>22855</v>
      </c>
      <c r="J44" s="1262">
        <v>19460</v>
      </c>
      <c r="K44" s="1262">
        <v>29032</v>
      </c>
      <c r="L44" s="1262">
        <v>23714</v>
      </c>
      <c r="M44" s="1262">
        <v>20962</v>
      </c>
      <c r="N44" s="1262">
        <v>16739.188999999998</v>
      </c>
      <c r="O44" s="1262">
        <v>22066.76</v>
      </c>
      <c r="P44" s="1262">
        <v>23841.782999999999</v>
      </c>
      <c r="Q44" s="1262">
        <v>20104.678</v>
      </c>
      <c r="R44" s="1262">
        <v>22323.753000000001</v>
      </c>
      <c r="S44" s="1262">
        <v>20417.645</v>
      </c>
      <c r="T44" s="1262">
        <v>20653.773000000001</v>
      </c>
      <c r="U44" s="1262">
        <v>19874.152999999998</v>
      </c>
      <c r="V44" s="1262">
        <v>23646.946</v>
      </c>
      <c r="W44" s="1262">
        <v>22348.812000000002</v>
      </c>
      <c r="X44" s="1262">
        <v>17724.358</v>
      </c>
      <c r="Y44" s="1262">
        <v>14868.682000000001</v>
      </c>
      <c r="Z44" s="1262">
        <v>21819.195</v>
      </c>
      <c r="AA44" s="1262">
        <v>19150.045999999998</v>
      </c>
      <c r="AB44" s="1262">
        <v>23454.813999999998</v>
      </c>
      <c r="AC44" s="1262">
        <v>23273.846000000001</v>
      </c>
      <c r="AD44" s="1262">
        <v>24297.444</v>
      </c>
      <c r="AE44" s="1262">
        <v>16788.37</v>
      </c>
      <c r="AF44" s="1262">
        <v>17684.061000000002</v>
      </c>
      <c r="AG44" s="1262">
        <v>21326.146999999997</v>
      </c>
      <c r="AH44" s="1262">
        <v>24011.911</v>
      </c>
      <c r="AI44" s="1262">
        <v>19242.141</v>
      </c>
      <c r="AJ44" s="1262">
        <v>18116.776000000005</v>
      </c>
      <c r="AK44" s="1262">
        <v>26543.009000000002</v>
      </c>
      <c r="AL44" s="1262">
        <v>21395.432000000001</v>
      </c>
      <c r="AM44" s="1262">
        <v>21895.204999999998</v>
      </c>
      <c r="AN44" s="1262">
        <v>15829.549999999997</v>
      </c>
      <c r="AO44" s="1262">
        <v>25258.475999999995</v>
      </c>
      <c r="AP44" s="1262">
        <v>25514.791999999998</v>
      </c>
      <c r="AQ44" s="1262">
        <v>19987.501000000004</v>
      </c>
      <c r="AR44" s="1262">
        <v>22432.483</v>
      </c>
      <c r="AS44" s="1262">
        <v>21046.042999999994</v>
      </c>
      <c r="AT44" s="1262">
        <v>24006.680999999997</v>
      </c>
    </row>
    <row r="45" spans="1:46">
      <c r="A45" s="201" t="s">
        <v>299</v>
      </c>
      <c r="B45" s="1262" t="s">
        <v>304</v>
      </c>
      <c r="C45" s="1262">
        <v>21248</v>
      </c>
      <c r="D45" s="1262">
        <v>18283</v>
      </c>
      <c r="E45" s="1262">
        <v>21699</v>
      </c>
      <c r="F45" s="1262">
        <v>23471</v>
      </c>
      <c r="G45" s="1262">
        <v>22491</v>
      </c>
      <c r="H45" s="1262">
        <v>24807</v>
      </c>
      <c r="I45" s="1262">
        <v>18575</v>
      </c>
      <c r="J45" s="1262">
        <v>15474</v>
      </c>
      <c r="K45" s="1262">
        <v>25036</v>
      </c>
      <c r="L45" s="1262">
        <v>19741</v>
      </c>
      <c r="M45" s="1262">
        <v>16432</v>
      </c>
      <c r="N45" s="1262">
        <v>12968.550999999999</v>
      </c>
      <c r="O45" s="1262">
        <v>17254.38</v>
      </c>
      <c r="P45" s="1262">
        <v>18506.146000000001</v>
      </c>
      <c r="Q45" s="1262">
        <v>14707.89</v>
      </c>
      <c r="R45" s="1262">
        <v>16592.151000000002</v>
      </c>
      <c r="S45" s="1262">
        <v>14706.289000000001</v>
      </c>
      <c r="T45" s="1262">
        <v>15621.696</v>
      </c>
      <c r="U45" s="1262">
        <v>13072.31</v>
      </c>
      <c r="V45" s="1262">
        <v>17991.920999999998</v>
      </c>
      <c r="W45" s="1262">
        <v>16513.397000000001</v>
      </c>
      <c r="X45" s="1262">
        <v>12305.602000000001</v>
      </c>
      <c r="Y45" s="1262">
        <v>10004.665999999999</v>
      </c>
      <c r="Z45" s="1262">
        <v>15707.624</v>
      </c>
      <c r="AA45" s="1262">
        <v>14407.380999999999</v>
      </c>
      <c r="AB45" s="1262">
        <v>19229.84</v>
      </c>
      <c r="AC45" s="1262">
        <v>18939.476999999999</v>
      </c>
      <c r="AD45" s="1262">
        <v>18447.951000000001</v>
      </c>
      <c r="AE45" s="1262">
        <v>12666.119000000001</v>
      </c>
      <c r="AF45" s="1262">
        <v>12626.031999999999</v>
      </c>
      <c r="AG45" s="1262">
        <v>15280.411999999997</v>
      </c>
      <c r="AH45" s="1262">
        <v>19508.565000000002</v>
      </c>
      <c r="AI45" s="1262">
        <v>14287.853999999999</v>
      </c>
      <c r="AJ45" s="1262">
        <v>14368.382000000005</v>
      </c>
      <c r="AK45" s="1262">
        <v>21839.991000000002</v>
      </c>
      <c r="AL45" s="1262">
        <v>17889.288</v>
      </c>
      <c r="AM45" s="1262">
        <v>16461.065999999999</v>
      </c>
      <c r="AN45" s="1262">
        <v>10886.078999999998</v>
      </c>
      <c r="AO45" s="1262">
        <v>20811.916999999994</v>
      </c>
      <c r="AP45" s="1262">
        <v>19606.866999999998</v>
      </c>
      <c r="AQ45" s="1262">
        <v>14673.080000000002</v>
      </c>
      <c r="AR45" s="1262">
        <v>18336.271000000001</v>
      </c>
      <c r="AS45" s="1262">
        <v>16769.520999999993</v>
      </c>
      <c r="AT45" s="1262">
        <v>19912.684999999998</v>
      </c>
    </row>
    <row r="46" spans="1:46">
      <c r="A46" s="201" t="s">
        <v>299</v>
      </c>
      <c r="B46" s="1262" t="s">
        <v>305</v>
      </c>
      <c r="C46" s="1262">
        <v>4942</v>
      </c>
      <c r="D46" s="1262">
        <v>4975</v>
      </c>
      <c r="E46" s="1262">
        <v>5930</v>
      </c>
      <c r="F46" s="1262">
        <v>6016</v>
      </c>
      <c r="G46" s="1262">
        <v>5601</v>
      </c>
      <c r="H46" s="1262">
        <v>4761</v>
      </c>
      <c r="I46" s="1262">
        <v>4280</v>
      </c>
      <c r="J46" s="1262">
        <v>3986</v>
      </c>
      <c r="K46" s="1262">
        <v>3996</v>
      </c>
      <c r="L46" s="1262">
        <v>3973</v>
      </c>
      <c r="M46" s="1262">
        <v>4530</v>
      </c>
      <c r="N46" s="1262">
        <v>3770.6379999999999</v>
      </c>
      <c r="O46" s="1262">
        <v>4812.38</v>
      </c>
      <c r="P46" s="1262">
        <v>5335.6369999999997</v>
      </c>
      <c r="Q46" s="1262">
        <v>5396.7879999999996</v>
      </c>
      <c r="R46" s="1262">
        <v>5731.6019999999999</v>
      </c>
      <c r="S46" s="1262">
        <v>5711.3559999999998</v>
      </c>
      <c r="T46" s="1262">
        <v>5032.0770000000002</v>
      </c>
      <c r="U46" s="1262">
        <v>6801.8429999999998</v>
      </c>
      <c r="V46" s="1262">
        <v>5655.0249999999996</v>
      </c>
      <c r="W46" s="1262">
        <v>5835.415</v>
      </c>
      <c r="X46" s="1262">
        <v>5418.7560000000003</v>
      </c>
      <c r="Y46" s="1262">
        <v>4864.0159999999996</v>
      </c>
      <c r="Z46" s="1262">
        <v>6111.5709999999999</v>
      </c>
      <c r="AA46" s="1262">
        <v>4742.665</v>
      </c>
      <c r="AB46" s="1262">
        <v>4224.9740000000002</v>
      </c>
      <c r="AC46" s="1262">
        <v>4334.3689999999997</v>
      </c>
      <c r="AD46" s="1262">
        <v>5849.4930000000004</v>
      </c>
      <c r="AE46" s="1262">
        <v>4122.2510000000002</v>
      </c>
      <c r="AF46" s="1262">
        <v>5058.0290000000005</v>
      </c>
      <c r="AG46" s="1262">
        <v>6045.7349999999997</v>
      </c>
      <c r="AH46" s="1262">
        <v>4503.3459999999995</v>
      </c>
      <c r="AI46" s="1262">
        <v>4954.2870000000003</v>
      </c>
      <c r="AJ46" s="1262">
        <v>3748.3940000000002</v>
      </c>
      <c r="AK46" s="1262">
        <v>4703.018</v>
      </c>
      <c r="AL46" s="1262">
        <v>3506.1439999999998</v>
      </c>
      <c r="AM46" s="1262">
        <v>5434.1390000000001</v>
      </c>
      <c r="AN46" s="1262">
        <v>4943.4709999999995</v>
      </c>
      <c r="AO46" s="1262">
        <v>4446.5590000000002</v>
      </c>
      <c r="AP46" s="1262">
        <v>5907.9250000000002</v>
      </c>
      <c r="AQ46" s="1262">
        <v>5314.4210000000003</v>
      </c>
      <c r="AR46" s="1262">
        <v>4096.2120000000004</v>
      </c>
      <c r="AS46" s="1262">
        <v>4276.5219999999999</v>
      </c>
      <c r="AT46" s="1262">
        <v>4093.9960000000001</v>
      </c>
    </row>
    <row r="47" spans="1:46" s="1259" customFormat="1">
      <c r="A47" s="1265" t="s">
        <v>299</v>
      </c>
      <c r="B47" s="1259" t="s">
        <v>306</v>
      </c>
      <c r="C47" s="1259">
        <v>3153</v>
      </c>
      <c r="D47" s="1259">
        <v>3101</v>
      </c>
      <c r="E47" s="1259">
        <v>3919</v>
      </c>
      <c r="F47" s="1259">
        <v>3635</v>
      </c>
      <c r="G47" s="1259">
        <v>3583</v>
      </c>
      <c r="H47" s="1259">
        <v>3140</v>
      </c>
      <c r="I47" s="1259">
        <v>3239</v>
      </c>
      <c r="J47" s="1259">
        <v>2674</v>
      </c>
      <c r="K47" s="1259">
        <v>2722</v>
      </c>
      <c r="L47" s="1259">
        <v>2677</v>
      </c>
      <c r="M47" s="1259">
        <v>2635</v>
      </c>
      <c r="N47" s="1259">
        <v>2503</v>
      </c>
      <c r="O47" s="1259">
        <v>2503</v>
      </c>
      <c r="P47" s="1259">
        <v>2503</v>
      </c>
      <c r="Q47" s="1259">
        <v>2503</v>
      </c>
      <c r="R47" s="1259">
        <v>2503</v>
      </c>
      <c r="S47" s="1259">
        <v>2503</v>
      </c>
      <c r="T47" s="1259">
        <v>2503</v>
      </c>
      <c r="U47" s="1259">
        <v>2503</v>
      </c>
      <c r="V47" s="1259">
        <v>2503</v>
      </c>
      <c r="W47" s="1259">
        <v>2503</v>
      </c>
      <c r="X47" s="1259">
        <v>2503</v>
      </c>
      <c r="Y47" s="1259">
        <v>2503</v>
      </c>
      <c r="Z47" s="1259">
        <v>2503</v>
      </c>
      <c r="AA47" s="1259">
        <v>2503</v>
      </c>
      <c r="AB47" s="1259">
        <v>2503</v>
      </c>
      <c r="AC47" s="1259">
        <v>2503</v>
      </c>
      <c r="AD47" s="1259">
        <v>2503</v>
      </c>
      <c r="AE47" s="1259">
        <v>2503</v>
      </c>
      <c r="AF47" s="1259">
        <v>2503</v>
      </c>
      <c r="AG47" s="1259">
        <v>2503</v>
      </c>
      <c r="AH47" s="1259">
        <v>2503</v>
      </c>
      <c r="AI47" s="1259">
        <v>2503</v>
      </c>
      <c r="AJ47" s="1259">
        <v>2503</v>
      </c>
      <c r="AK47" s="1259">
        <v>2503</v>
      </c>
      <c r="AL47" s="1259">
        <v>2503</v>
      </c>
      <c r="AM47" s="1259">
        <v>2503</v>
      </c>
      <c r="AN47" s="1259">
        <v>2503</v>
      </c>
      <c r="AO47" s="1259">
        <v>2503</v>
      </c>
      <c r="AP47" s="1259">
        <v>2503</v>
      </c>
      <c r="AQ47" s="1259">
        <v>2503</v>
      </c>
      <c r="AR47" s="1259">
        <v>2503</v>
      </c>
      <c r="AS47" s="1259">
        <v>2503</v>
      </c>
      <c r="AT47" s="1259">
        <v>2503</v>
      </c>
    </row>
    <row r="48" spans="1:46">
      <c r="A48" s="201" t="s">
        <v>299</v>
      </c>
      <c r="B48" s="1262" t="s">
        <v>307</v>
      </c>
      <c r="C48" s="1262">
        <v>12141</v>
      </c>
      <c r="D48" s="1262">
        <v>9926</v>
      </c>
      <c r="E48" s="1262">
        <v>12128</v>
      </c>
      <c r="F48" s="1262">
        <v>12860</v>
      </c>
      <c r="G48" s="1262">
        <v>10953</v>
      </c>
      <c r="H48" s="1262">
        <v>11677</v>
      </c>
      <c r="I48" s="1262">
        <v>11310</v>
      </c>
      <c r="J48" s="1262">
        <v>9423</v>
      </c>
      <c r="K48" s="1262">
        <v>12208</v>
      </c>
      <c r="L48" s="1262">
        <v>11870</v>
      </c>
      <c r="M48" s="1262">
        <v>11012</v>
      </c>
      <c r="N48" s="1262">
        <v>9973.9110000000001</v>
      </c>
      <c r="O48" s="1262">
        <v>9847.9030000000002</v>
      </c>
      <c r="P48" s="1262">
        <v>9190.6309999999994</v>
      </c>
      <c r="Q48" s="1262">
        <v>11998.321</v>
      </c>
      <c r="R48" s="1262">
        <v>12081.753000000001</v>
      </c>
      <c r="S48" s="1262">
        <v>12151.316000000001</v>
      </c>
      <c r="T48" s="1262">
        <v>4.1820000000000199</v>
      </c>
      <c r="U48" s="1262">
        <v>6516.9620000000004</v>
      </c>
      <c r="V48" s="1262">
        <v>11911.957</v>
      </c>
      <c r="W48" s="1262">
        <v>6926.6540000000005</v>
      </c>
      <c r="X48" s="1262">
        <v>10538.79</v>
      </c>
      <c r="Y48" s="1262">
        <v>7730.8519999999999</v>
      </c>
      <c r="Z48" s="1262">
        <v>6075.9859999999999</v>
      </c>
      <c r="AA48" s="1262">
        <v>1742.501</v>
      </c>
      <c r="AB48" s="1262">
        <v>6771.674</v>
      </c>
      <c r="AC48" s="1262">
        <v>9457.1450000000004</v>
      </c>
      <c r="AD48" s="1262">
        <v>8735.9339999999993</v>
      </c>
      <c r="AE48" s="1262">
        <v>11095.607</v>
      </c>
      <c r="AF48" s="1262">
        <v>9834.2790000000005</v>
      </c>
      <c r="AG48" s="1262">
        <v>12499.406999999999</v>
      </c>
      <c r="AH48" s="1262">
        <v>10555.505999999999</v>
      </c>
      <c r="AI48" s="1262">
        <v>8804.7990000000009</v>
      </c>
      <c r="AJ48" s="1262">
        <v>9333.1869999999999</v>
      </c>
      <c r="AK48" s="1262">
        <v>10446.797999999999</v>
      </c>
      <c r="AL48" s="1262">
        <v>11062.874</v>
      </c>
      <c r="AM48" s="1262">
        <v>10525.906999999999</v>
      </c>
      <c r="AN48" s="1262">
        <v>9528.875</v>
      </c>
      <c r="AO48" s="1262">
        <v>11525.871000000001</v>
      </c>
      <c r="AP48" s="1262">
        <v>8675.0889999999999</v>
      </c>
      <c r="AQ48" s="1262">
        <v>13825.94</v>
      </c>
      <c r="AR48" s="1262">
        <v>11292.631000000001</v>
      </c>
      <c r="AS48" s="1262">
        <v>16608.563000000002</v>
      </c>
      <c r="AT48" s="1262">
        <v>16503.731000000003</v>
      </c>
    </row>
    <row r="49" spans="1:46">
      <c r="A49" s="201" t="s">
        <v>299</v>
      </c>
      <c r="B49" s="1262" t="s">
        <v>308</v>
      </c>
      <c r="C49" s="1262">
        <v>32338</v>
      </c>
      <c r="D49" s="1262">
        <v>27453</v>
      </c>
      <c r="E49" s="1262">
        <v>30864</v>
      </c>
      <c r="F49" s="1262">
        <v>31155</v>
      </c>
      <c r="G49" s="1262">
        <v>20213</v>
      </c>
      <c r="H49" s="1262">
        <v>31075</v>
      </c>
      <c r="I49" s="1262">
        <v>32787</v>
      </c>
      <c r="J49" s="1262">
        <v>32318</v>
      </c>
      <c r="K49" s="1262">
        <v>32957</v>
      </c>
      <c r="L49" s="1262">
        <v>31798</v>
      </c>
      <c r="M49" s="1262">
        <v>29859</v>
      </c>
      <c r="N49" s="1262">
        <v>31117.962</v>
      </c>
      <c r="O49" s="1262">
        <v>31900.870999999999</v>
      </c>
      <c r="P49" s="1262">
        <v>31084.156999999999</v>
      </c>
      <c r="Q49" s="1262">
        <v>33251.591</v>
      </c>
      <c r="R49" s="1262">
        <v>31659.647000000001</v>
      </c>
      <c r="S49" s="1262">
        <v>31996.607</v>
      </c>
      <c r="T49" s="1262">
        <v>30702.216</v>
      </c>
      <c r="U49" s="1262">
        <v>32803.603999999999</v>
      </c>
      <c r="V49" s="1262">
        <v>33066.286999999997</v>
      </c>
      <c r="W49" s="1262">
        <v>27024.144</v>
      </c>
      <c r="X49" s="1262">
        <v>30871.837</v>
      </c>
      <c r="Y49" s="1262">
        <v>32574.216</v>
      </c>
      <c r="Z49" s="1262">
        <v>32943.394999999997</v>
      </c>
      <c r="AA49" s="1262">
        <v>33562.578000000001</v>
      </c>
      <c r="AB49" s="1262">
        <v>29826.57</v>
      </c>
      <c r="AC49" s="1262">
        <v>33034.01</v>
      </c>
      <c r="AD49" s="1262">
        <v>34404.040999999997</v>
      </c>
      <c r="AE49" s="1262">
        <v>35660.421999999999</v>
      </c>
      <c r="AF49" s="1262">
        <v>29888.580999999998</v>
      </c>
      <c r="AG49" s="1262">
        <v>20978.314000000002</v>
      </c>
      <c r="AH49" s="1262">
        <v>32830.794999999998</v>
      </c>
      <c r="AI49" s="1262">
        <v>32259.127</v>
      </c>
      <c r="AJ49" s="1262">
        <v>33468.351999999999</v>
      </c>
      <c r="AK49" s="1262">
        <v>24117.302</v>
      </c>
      <c r="AL49" s="1262">
        <v>32677.136999999995</v>
      </c>
      <c r="AM49" s="1262">
        <v>33113.035000000003</v>
      </c>
      <c r="AN49" s="1262">
        <v>30958.252</v>
      </c>
      <c r="AO49" s="1262">
        <v>32983.356</v>
      </c>
      <c r="AP49" s="1262">
        <v>31913.447</v>
      </c>
      <c r="AQ49" s="1262">
        <v>32674.453000000001</v>
      </c>
      <c r="AR49" s="1262">
        <v>31353.941999999995</v>
      </c>
      <c r="AS49" s="1262">
        <v>33300.275999999998</v>
      </c>
      <c r="AT49" s="1262">
        <v>34019.214999999997</v>
      </c>
    </row>
    <row r="50" spans="1:46">
      <c r="A50" s="201" t="s">
        <v>299</v>
      </c>
      <c r="B50" s="1262" t="s">
        <v>309</v>
      </c>
      <c r="C50" s="1262">
        <v>92721</v>
      </c>
      <c r="D50" s="1262">
        <v>77203</v>
      </c>
      <c r="E50" s="1262">
        <v>83491</v>
      </c>
      <c r="F50" s="1262">
        <v>84189</v>
      </c>
      <c r="G50" s="1262">
        <v>78771</v>
      </c>
      <c r="H50" s="1262">
        <v>76903</v>
      </c>
      <c r="I50" s="1262">
        <v>86727</v>
      </c>
      <c r="J50" s="1262">
        <v>79648</v>
      </c>
      <c r="K50" s="1262">
        <v>62466</v>
      </c>
      <c r="L50" s="1262">
        <v>85788</v>
      </c>
      <c r="M50" s="1262">
        <v>82992</v>
      </c>
      <c r="N50" s="1262">
        <v>71590.293999999994</v>
      </c>
      <c r="O50" s="1262">
        <v>67181.38</v>
      </c>
      <c r="P50" s="1262">
        <v>79488.831000000006</v>
      </c>
      <c r="Q50" s="1262">
        <v>88004.361999999994</v>
      </c>
      <c r="R50" s="1262">
        <v>78103.100999999995</v>
      </c>
      <c r="S50" s="1262">
        <v>80602.448999999993</v>
      </c>
      <c r="T50" s="1262">
        <v>72577.497000000003</v>
      </c>
      <c r="U50" s="1262">
        <v>81334.587</v>
      </c>
      <c r="V50" s="1262">
        <v>79905.692999999999</v>
      </c>
      <c r="W50" s="1262">
        <v>72404.778999999995</v>
      </c>
      <c r="X50" s="1262">
        <v>72601.926999999996</v>
      </c>
      <c r="Y50" s="1262">
        <v>78049.938999999998</v>
      </c>
      <c r="Z50" s="1262">
        <v>85929.587</v>
      </c>
      <c r="AA50" s="1262">
        <v>77859.157000000007</v>
      </c>
      <c r="AB50" s="1262">
        <v>76615.952000000005</v>
      </c>
      <c r="AC50" s="1262">
        <v>73379.998000000007</v>
      </c>
      <c r="AD50" s="1262">
        <v>72156.164999999994</v>
      </c>
      <c r="AE50" s="1262">
        <v>76322.902000000002</v>
      </c>
      <c r="AF50" s="1262">
        <v>78150.096999999994</v>
      </c>
      <c r="AG50" s="1262">
        <v>58863.222999999998</v>
      </c>
      <c r="AH50" s="1262">
        <v>85635.393999999986</v>
      </c>
      <c r="AI50" s="1262">
        <v>80001.379000000001</v>
      </c>
      <c r="AJ50" s="1262">
        <v>83986.853000000017</v>
      </c>
      <c r="AK50" s="1262">
        <v>80897.104000000007</v>
      </c>
      <c r="AL50" s="1262">
        <v>90386.182000000015</v>
      </c>
      <c r="AM50" s="1262">
        <v>90388.082000000009</v>
      </c>
      <c r="AN50" s="1262">
        <v>83854.021999999997</v>
      </c>
      <c r="AO50" s="1262">
        <v>97925.462</v>
      </c>
      <c r="AP50" s="1262">
        <v>95006.02</v>
      </c>
      <c r="AQ50" s="1262">
        <v>88994.565000000002</v>
      </c>
      <c r="AR50" s="1262">
        <v>78187.296000000002</v>
      </c>
      <c r="AS50" s="1262">
        <v>77696.820000000007</v>
      </c>
      <c r="AT50" s="1262">
        <v>98156.89</v>
      </c>
    </row>
    <row r="51" spans="1:46">
      <c r="A51" s="201" t="s">
        <v>299</v>
      </c>
      <c r="B51" s="1262" t="s">
        <v>310</v>
      </c>
      <c r="C51" s="1262">
        <v>2469</v>
      </c>
      <c r="D51" s="1262">
        <v>2136</v>
      </c>
      <c r="E51" s="1262">
        <v>2474</v>
      </c>
      <c r="F51" s="1262">
        <v>2463</v>
      </c>
      <c r="G51" s="1262">
        <v>2475</v>
      </c>
      <c r="H51" s="1262">
        <v>2447</v>
      </c>
      <c r="I51" s="1262">
        <v>2554</v>
      </c>
      <c r="J51" s="1262">
        <v>2147</v>
      </c>
      <c r="K51" s="1262">
        <v>2114</v>
      </c>
      <c r="L51" s="1262">
        <v>2264</v>
      </c>
      <c r="M51" s="1262">
        <v>2087</v>
      </c>
      <c r="N51" s="1262">
        <v>1558.5150000000001</v>
      </c>
      <c r="O51" s="1262">
        <v>1855.2</v>
      </c>
      <c r="P51" s="1262">
        <v>2019.2</v>
      </c>
      <c r="Q51" s="1262">
        <v>1948.06</v>
      </c>
      <c r="R51" s="1262">
        <v>1950.63</v>
      </c>
      <c r="S51" s="1262">
        <v>1841.635</v>
      </c>
      <c r="T51" s="1262">
        <v>1226.6199999999999</v>
      </c>
      <c r="U51" s="1262">
        <v>1518.73</v>
      </c>
      <c r="V51" s="1262">
        <v>1085.49</v>
      </c>
      <c r="W51" s="1262">
        <v>1819.8150000000001</v>
      </c>
      <c r="X51" s="1262">
        <v>2092.9299999999998</v>
      </c>
      <c r="Y51" s="1262">
        <v>2024.6420000000001</v>
      </c>
      <c r="Z51" s="1262">
        <v>2160.3649999999998</v>
      </c>
      <c r="AA51" s="1262">
        <v>2530.7649999999999</v>
      </c>
      <c r="AB51" s="1262">
        <v>2384.9699999999998</v>
      </c>
      <c r="AC51" s="1262">
        <v>1831.415</v>
      </c>
      <c r="AD51" s="1262">
        <v>2039.345</v>
      </c>
      <c r="AE51" s="1262">
        <v>2172.2550000000001</v>
      </c>
      <c r="AF51" s="1262">
        <v>1987.395</v>
      </c>
      <c r="AG51" s="1262">
        <v>1530.93</v>
      </c>
      <c r="AH51" s="1262">
        <v>2051.665</v>
      </c>
      <c r="AI51" s="1262">
        <v>2170.7049999999999</v>
      </c>
      <c r="AJ51" s="1262">
        <v>2184.895</v>
      </c>
      <c r="AK51" s="1262">
        <v>2543.1750000000002</v>
      </c>
      <c r="AL51" s="1262">
        <v>2462.585</v>
      </c>
      <c r="AM51" s="1262">
        <v>2196.38</v>
      </c>
      <c r="AN51" s="1262">
        <v>1849.625</v>
      </c>
      <c r="AO51" s="1262">
        <v>1897.835</v>
      </c>
      <c r="AP51" s="1262">
        <v>2096.63</v>
      </c>
      <c r="AQ51" s="1262">
        <v>2553.8200000000002</v>
      </c>
      <c r="AR51" s="1262">
        <v>2085.5</v>
      </c>
      <c r="AS51" s="1262">
        <v>2134.1999999999998</v>
      </c>
      <c r="AT51" s="1262">
        <v>2121.0749999999998</v>
      </c>
    </row>
    <row r="52" spans="1:46">
      <c r="A52" s="201" t="s">
        <v>299</v>
      </c>
      <c r="B52" s="1262" t="s">
        <v>311</v>
      </c>
      <c r="C52" s="1262">
        <v>90252</v>
      </c>
      <c r="D52" s="1262">
        <v>75067</v>
      </c>
      <c r="E52" s="1262">
        <v>81017</v>
      </c>
      <c r="F52" s="1262">
        <v>81726</v>
      </c>
      <c r="G52" s="1262">
        <v>76296</v>
      </c>
      <c r="H52" s="1262">
        <v>74456</v>
      </c>
      <c r="I52" s="1262">
        <v>84173</v>
      </c>
      <c r="J52" s="1262">
        <v>77501</v>
      </c>
      <c r="K52" s="1262">
        <v>60352</v>
      </c>
      <c r="L52" s="1262">
        <v>83524</v>
      </c>
      <c r="M52" s="1262">
        <v>80905</v>
      </c>
      <c r="N52" s="1262">
        <v>70031.778999999995</v>
      </c>
      <c r="O52" s="1262">
        <v>65326.18</v>
      </c>
      <c r="P52" s="1262">
        <v>77469.630999999994</v>
      </c>
      <c r="Q52" s="1262">
        <v>86056.301999999996</v>
      </c>
      <c r="R52" s="1262">
        <v>76152.471000000005</v>
      </c>
      <c r="S52" s="1262">
        <v>78760.813999999998</v>
      </c>
      <c r="T52" s="1262">
        <v>71350.876999999993</v>
      </c>
      <c r="U52" s="1262">
        <v>79815.857000000004</v>
      </c>
      <c r="V52" s="1262">
        <v>78820.202999999994</v>
      </c>
      <c r="W52" s="1262">
        <v>70584.964000000007</v>
      </c>
      <c r="X52" s="1262">
        <v>70508.997000000003</v>
      </c>
      <c r="Y52" s="1262">
        <v>76025.297000000006</v>
      </c>
      <c r="Z52" s="1262">
        <v>83769.221999999994</v>
      </c>
      <c r="AA52" s="1262">
        <v>75328.392000000007</v>
      </c>
      <c r="AB52" s="1262">
        <v>74230.982000000004</v>
      </c>
      <c r="AC52" s="1262">
        <v>71548.582999999999</v>
      </c>
      <c r="AD52" s="1262">
        <v>70116.820000000007</v>
      </c>
      <c r="AE52" s="1262">
        <v>74150.646999999997</v>
      </c>
      <c r="AF52" s="1262">
        <v>76162.702000000005</v>
      </c>
      <c r="AG52" s="1262">
        <v>57332.292999999998</v>
      </c>
      <c r="AH52" s="1262">
        <v>83583.728999999992</v>
      </c>
      <c r="AI52" s="1262">
        <v>77830.673999999999</v>
      </c>
      <c r="AJ52" s="1262">
        <v>81801.958000000013</v>
      </c>
      <c r="AK52" s="1262">
        <v>78353.929000000004</v>
      </c>
      <c r="AL52" s="1262">
        <v>87923.597000000009</v>
      </c>
      <c r="AM52" s="1262">
        <v>88191.702000000005</v>
      </c>
      <c r="AN52" s="1262">
        <v>82004.396999999997</v>
      </c>
      <c r="AO52" s="1262">
        <v>96027.626999999993</v>
      </c>
      <c r="AP52" s="1262">
        <v>92909.39</v>
      </c>
      <c r="AQ52" s="1262">
        <v>86440.744999999995</v>
      </c>
      <c r="AR52" s="1262">
        <v>76101.796000000002</v>
      </c>
      <c r="AS52" s="1262">
        <v>75562.62000000001</v>
      </c>
      <c r="AT52" s="1262">
        <v>96035.815000000002</v>
      </c>
    </row>
    <row r="53" spans="1:46">
      <c r="A53" s="201" t="s">
        <v>299</v>
      </c>
      <c r="B53" s="1262" t="s">
        <v>312</v>
      </c>
      <c r="C53" s="1262">
        <v>300312</v>
      </c>
      <c r="D53" s="1262">
        <v>261394</v>
      </c>
      <c r="E53" s="1262">
        <v>305571</v>
      </c>
      <c r="F53" s="1262">
        <v>292794</v>
      </c>
      <c r="G53" s="1262">
        <v>288360</v>
      </c>
      <c r="H53" s="1262">
        <v>292775</v>
      </c>
      <c r="I53" s="1262">
        <v>294331</v>
      </c>
      <c r="J53" s="1262">
        <v>249719</v>
      </c>
      <c r="K53" s="1262">
        <v>257128</v>
      </c>
      <c r="L53" s="1262">
        <v>281129</v>
      </c>
      <c r="M53" s="1262">
        <v>273822</v>
      </c>
      <c r="N53" s="1262">
        <v>293784.89600000001</v>
      </c>
      <c r="O53" s="1262">
        <v>187561.66800000001</v>
      </c>
      <c r="P53" s="1262">
        <v>248106.82199999999</v>
      </c>
      <c r="Q53" s="1262">
        <v>223346.356</v>
      </c>
      <c r="R53" s="1262">
        <v>251701.53700000001</v>
      </c>
      <c r="S53" s="1262">
        <v>263431.505</v>
      </c>
      <c r="T53" s="1262">
        <v>238731.58100000001</v>
      </c>
      <c r="U53" s="1262">
        <v>244485.11199999999</v>
      </c>
      <c r="V53" s="1262">
        <v>225296.66500000001</v>
      </c>
      <c r="W53" s="1262">
        <v>224088.61499999999</v>
      </c>
      <c r="X53" s="1262">
        <v>280374.17</v>
      </c>
      <c r="Y53" s="1262">
        <v>243710.17499999999</v>
      </c>
      <c r="Z53" s="1262">
        <v>265146.85200000001</v>
      </c>
      <c r="AA53" s="1262">
        <v>250301.14300000001</v>
      </c>
      <c r="AB53" s="1262">
        <v>264781.76899999997</v>
      </c>
      <c r="AC53" s="1262">
        <v>251583.98499999999</v>
      </c>
      <c r="AD53" s="1262">
        <v>338937.141</v>
      </c>
      <c r="AE53" s="1262">
        <v>307565.201</v>
      </c>
      <c r="AF53" s="1262">
        <v>238353.625</v>
      </c>
      <c r="AG53" s="1262">
        <v>161653.54799999998</v>
      </c>
      <c r="AH53" s="1262">
        <v>122989.42199999999</v>
      </c>
      <c r="AI53" s="1262">
        <v>207689.71300000002</v>
      </c>
      <c r="AJ53" s="1262">
        <v>264740.57400000002</v>
      </c>
      <c r="AK53" s="1262">
        <v>248669.45499999999</v>
      </c>
      <c r="AL53" s="1262">
        <v>276656.09299999999</v>
      </c>
      <c r="AM53" s="1262">
        <v>282947.99900000001</v>
      </c>
      <c r="AN53" s="1262">
        <v>190661.63700000002</v>
      </c>
      <c r="AO53" s="1262">
        <v>226733.89299999998</v>
      </c>
      <c r="AP53" s="1262">
        <v>223787.82299999997</v>
      </c>
      <c r="AQ53" s="1262">
        <v>284817.77299999999</v>
      </c>
      <c r="AR53" s="1262">
        <v>284389.20600000001</v>
      </c>
      <c r="AS53" s="1262">
        <v>298964.62400000001</v>
      </c>
      <c r="AT53" s="1262">
        <v>281938.97700000001</v>
      </c>
    </row>
    <row r="54" spans="1:46">
      <c r="A54" s="201" t="s">
        <v>299</v>
      </c>
      <c r="B54" s="1262" t="s">
        <v>313</v>
      </c>
      <c r="C54" s="1262">
        <v>77796</v>
      </c>
      <c r="D54" s="1262">
        <v>72226</v>
      </c>
      <c r="E54" s="1262">
        <v>87592</v>
      </c>
      <c r="F54" s="1262">
        <v>83563</v>
      </c>
      <c r="G54" s="1262">
        <v>64463</v>
      </c>
      <c r="H54" s="1262">
        <v>87860</v>
      </c>
      <c r="I54" s="1262">
        <v>76638</v>
      </c>
      <c r="J54" s="1262">
        <v>54153</v>
      </c>
      <c r="K54" s="1262">
        <v>69476</v>
      </c>
      <c r="L54" s="1262">
        <v>69748</v>
      </c>
      <c r="M54" s="1262">
        <v>82813</v>
      </c>
      <c r="N54" s="1262">
        <v>96353.78</v>
      </c>
      <c r="O54" s="1262">
        <v>62237.54</v>
      </c>
      <c r="P54" s="1262">
        <v>61320.87</v>
      </c>
      <c r="Q54" s="1262">
        <v>75016.25</v>
      </c>
      <c r="R54" s="1262">
        <v>79299.37</v>
      </c>
      <c r="S54" s="1262">
        <v>72079.48</v>
      </c>
      <c r="T54" s="1262">
        <v>70334.23</v>
      </c>
      <c r="U54" s="1262">
        <v>69047.34</v>
      </c>
      <c r="V54" s="1262">
        <v>75377.899999999994</v>
      </c>
      <c r="W54" s="1262">
        <v>65639.25</v>
      </c>
      <c r="X54" s="1262">
        <v>85941.440000000002</v>
      </c>
      <c r="Y54" s="1262">
        <v>63915.55</v>
      </c>
      <c r="Z54" s="1262">
        <v>82046.460000000006</v>
      </c>
      <c r="AA54" s="1262">
        <v>76065.990000000005</v>
      </c>
      <c r="AB54" s="1262">
        <v>72380.89</v>
      </c>
      <c r="AC54" s="1262">
        <v>68938.8</v>
      </c>
      <c r="AD54" s="1262">
        <v>117990.51</v>
      </c>
      <c r="AE54" s="1262">
        <v>93720.774999999994</v>
      </c>
      <c r="AF54" s="1262">
        <v>69006.58</v>
      </c>
      <c r="AG54" s="1262">
        <v>41991.62</v>
      </c>
      <c r="AH54" s="1262">
        <v>75444.232999999993</v>
      </c>
      <c r="AI54" s="1262">
        <v>72565.16</v>
      </c>
      <c r="AJ54" s="1262">
        <v>85895.41</v>
      </c>
      <c r="AK54" s="1262">
        <v>74828.258999999991</v>
      </c>
      <c r="AL54" s="1262">
        <v>82673.703999999998</v>
      </c>
      <c r="AM54" s="1262">
        <v>108124.31200000001</v>
      </c>
      <c r="AN54" s="1262">
        <v>79495.798999999999</v>
      </c>
      <c r="AO54" s="1262">
        <v>68458.97</v>
      </c>
      <c r="AP54" s="1262">
        <v>83805.679999999993</v>
      </c>
      <c r="AQ54" s="1262">
        <v>124901.39</v>
      </c>
      <c r="AR54" s="1262">
        <v>114985.62299999999</v>
      </c>
      <c r="AS54" s="1262">
        <v>116931.89</v>
      </c>
      <c r="AT54" s="1262">
        <v>108347.38</v>
      </c>
    </row>
    <row r="55" spans="1:46">
      <c r="A55" s="201" t="s">
        <v>299</v>
      </c>
      <c r="B55" s="1262" t="s">
        <v>314</v>
      </c>
      <c r="C55" s="1262">
        <v>222516</v>
      </c>
      <c r="D55" s="1262">
        <v>189168</v>
      </c>
      <c r="E55" s="1262">
        <v>217979</v>
      </c>
      <c r="F55" s="1262">
        <v>209231</v>
      </c>
      <c r="G55" s="1262">
        <v>223897</v>
      </c>
      <c r="H55" s="1262">
        <v>204915</v>
      </c>
      <c r="I55" s="1262">
        <v>217693</v>
      </c>
      <c r="J55" s="1262">
        <v>195566</v>
      </c>
      <c r="K55" s="1262">
        <v>187652</v>
      </c>
      <c r="L55" s="1262">
        <v>211381</v>
      </c>
      <c r="M55" s="1262">
        <v>191009</v>
      </c>
      <c r="N55" s="1262">
        <v>197431.11600000001</v>
      </c>
      <c r="O55" s="1262">
        <v>125324.128</v>
      </c>
      <c r="P55" s="1262">
        <v>186785.95199999999</v>
      </c>
      <c r="Q55" s="1262">
        <v>148330.106</v>
      </c>
      <c r="R55" s="1262">
        <v>172402.16699999999</v>
      </c>
      <c r="S55" s="1262">
        <v>191352.02499999999</v>
      </c>
      <c r="T55" s="1262">
        <v>168397.351</v>
      </c>
      <c r="U55" s="1262">
        <v>175437.772</v>
      </c>
      <c r="V55" s="1262">
        <v>149918.76500000001</v>
      </c>
      <c r="W55" s="1262">
        <v>158449.36499999999</v>
      </c>
      <c r="X55" s="1262">
        <v>194432.73</v>
      </c>
      <c r="Y55" s="1262">
        <v>179794.625</v>
      </c>
      <c r="Z55" s="1262">
        <v>183100.39199999999</v>
      </c>
      <c r="AA55" s="1262">
        <v>174235.15299999999</v>
      </c>
      <c r="AB55" s="1262">
        <v>192400.87899999999</v>
      </c>
      <c r="AC55" s="1262">
        <v>182645.185</v>
      </c>
      <c r="AD55" s="1262">
        <v>220946.63099999999</v>
      </c>
      <c r="AE55" s="1262">
        <v>213844.42600000001</v>
      </c>
      <c r="AF55" s="1262">
        <v>169347.04500000001</v>
      </c>
      <c r="AG55" s="1262">
        <v>119661.92799999999</v>
      </c>
      <c r="AH55" s="1262">
        <v>47545.189000000006</v>
      </c>
      <c r="AI55" s="1262">
        <v>135124.55300000001</v>
      </c>
      <c r="AJ55" s="1262">
        <v>178845.16400000002</v>
      </c>
      <c r="AK55" s="1262">
        <v>173841.196</v>
      </c>
      <c r="AL55" s="1262">
        <v>193982.38900000002</v>
      </c>
      <c r="AM55" s="1262">
        <v>174823.68700000001</v>
      </c>
      <c r="AN55" s="1262">
        <v>111165.83800000002</v>
      </c>
      <c r="AO55" s="1262">
        <v>158274.92299999998</v>
      </c>
      <c r="AP55" s="1262">
        <v>139982.14299999998</v>
      </c>
      <c r="AQ55" s="1262">
        <v>159916.383</v>
      </c>
      <c r="AR55" s="1262">
        <v>169403.58300000001</v>
      </c>
      <c r="AS55" s="1262">
        <v>182032.734</v>
      </c>
      <c r="AT55" s="1262">
        <v>173591.59700000001</v>
      </c>
    </row>
    <row r="56" spans="1:46">
      <c r="A56" s="201" t="s">
        <v>299</v>
      </c>
      <c r="B56" s="1262" t="s">
        <v>315</v>
      </c>
      <c r="C56" s="1262">
        <v>241704</v>
      </c>
      <c r="D56" s="1262">
        <v>205611</v>
      </c>
      <c r="E56" s="1262">
        <v>247513</v>
      </c>
      <c r="F56" s="1262">
        <v>212764</v>
      </c>
      <c r="G56" s="1262">
        <v>231382</v>
      </c>
      <c r="H56" s="1262">
        <v>210211</v>
      </c>
      <c r="I56" s="1262">
        <v>226987</v>
      </c>
      <c r="J56" s="1262">
        <v>215129</v>
      </c>
      <c r="K56" s="1262">
        <v>201713</v>
      </c>
      <c r="L56" s="1262">
        <v>233107</v>
      </c>
      <c r="M56" s="1262">
        <v>211674</v>
      </c>
      <c r="N56" s="1262">
        <v>220942.68599999999</v>
      </c>
      <c r="O56" s="1262">
        <v>216714.834</v>
      </c>
      <c r="P56" s="1262">
        <v>206092.954</v>
      </c>
      <c r="Q56" s="1262">
        <v>229034.02100000001</v>
      </c>
      <c r="R56" s="1262">
        <v>226772.98499999999</v>
      </c>
      <c r="S56" s="1262">
        <v>233412.57</v>
      </c>
      <c r="T56" s="1262">
        <v>201402.20800000001</v>
      </c>
      <c r="U56" s="1262">
        <v>242596.21400000001</v>
      </c>
      <c r="V56" s="1262">
        <v>242851.68299999999</v>
      </c>
      <c r="W56" s="1262">
        <v>205003.057</v>
      </c>
      <c r="X56" s="1262">
        <v>222994.14300000001</v>
      </c>
      <c r="Y56" s="1262">
        <v>225738.364</v>
      </c>
      <c r="Z56" s="1262">
        <v>221195.15100000001</v>
      </c>
      <c r="AA56" s="1262">
        <v>226277.117</v>
      </c>
      <c r="AB56" s="1262">
        <v>209846.84599999999</v>
      </c>
      <c r="AC56" s="1262">
        <v>225798.26</v>
      </c>
      <c r="AD56" s="1262">
        <v>225219.39199999999</v>
      </c>
      <c r="AE56" s="1262">
        <v>225094.20699999999</v>
      </c>
      <c r="AF56" s="1262">
        <v>211417.171</v>
      </c>
      <c r="AG56" s="1262">
        <v>210168.527</v>
      </c>
      <c r="AH56" s="1262">
        <v>189074.511</v>
      </c>
      <c r="AI56" s="1262">
        <v>206804.94199999998</v>
      </c>
      <c r="AJ56" s="1262">
        <v>245815.67399999997</v>
      </c>
      <c r="AK56" s="1262">
        <v>220456.31899999999</v>
      </c>
      <c r="AL56" s="1262">
        <v>228190.038</v>
      </c>
      <c r="AM56" s="1262">
        <v>247241.34700000001</v>
      </c>
      <c r="AN56" s="1262">
        <v>218928.255</v>
      </c>
      <c r="AO56" s="1262">
        <v>259588.511</v>
      </c>
      <c r="AP56" s="1262">
        <v>254097.965</v>
      </c>
      <c r="AQ56" s="1262">
        <v>252927.43099999998</v>
      </c>
      <c r="AR56" s="1262">
        <v>251180.58100000001</v>
      </c>
      <c r="AS56" s="1262">
        <v>257372.81199999998</v>
      </c>
      <c r="AT56" s="1262">
        <v>251074.43900000001</v>
      </c>
    </row>
    <row r="57" spans="1:46">
      <c r="A57" s="201" t="s">
        <v>299</v>
      </c>
      <c r="B57" s="1262" t="s">
        <v>310</v>
      </c>
      <c r="C57" s="1262">
        <v>128824</v>
      </c>
      <c r="D57" s="1262">
        <v>102705</v>
      </c>
      <c r="E57" s="1262">
        <v>123846</v>
      </c>
      <c r="F57" s="1262">
        <v>105938</v>
      </c>
      <c r="G57" s="1262">
        <v>118231</v>
      </c>
      <c r="H57" s="1262">
        <v>111247</v>
      </c>
      <c r="I57" s="1262">
        <v>122229</v>
      </c>
      <c r="J57" s="1262">
        <v>120649</v>
      </c>
      <c r="K57" s="1262">
        <v>107694</v>
      </c>
      <c r="L57" s="1262">
        <v>115878</v>
      </c>
      <c r="M57" s="1262">
        <v>109145</v>
      </c>
      <c r="N57" s="1262">
        <v>126059.826</v>
      </c>
      <c r="O57" s="1262">
        <v>112455.799</v>
      </c>
      <c r="P57" s="1262">
        <v>102475.80899999999</v>
      </c>
      <c r="Q57" s="1262">
        <v>118651.514</v>
      </c>
      <c r="R57" s="1262">
        <v>124196.962</v>
      </c>
      <c r="S57" s="1262">
        <v>133328.33499999999</v>
      </c>
      <c r="T57" s="1262">
        <v>102687.932</v>
      </c>
      <c r="U57" s="1262">
        <v>124659.967</v>
      </c>
      <c r="V57" s="1262">
        <v>131793.889</v>
      </c>
      <c r="W57" s="1262">
        <v>105180.32</v>
      </c>
      <c r="X57" s="1262">
        <v>111490.291</v>
      </c>
      <c r="Y57" s="1262">
        <v>111890.686</v>
      </c>
      <c r="Z57" s="1262">
        <v>119960.198</v>
      </c>
      <c r="AA57" s="1262">
        <v>120716.57799999999</v>
      </c>
      <c r="AB57" s="1262">
        <v>121467.425</v>
      </c>
      <c r="AC57" s="1262">
        <v>128709.917</v>
      </c>
      <c r="AD57" s="1262">
        <v>125218.766</v>
      </c>
      <c r="AE57" s="1262">
        <v>106555.151</v>
      </c>
      <c r="AF57" s="1262">
        <v>105690.421</v>
      </c>
      <c r="AG57" s="1262">
        <v>108505.484</v>
      </c>
      <c r="AH57" s="1262">
        <v>115501.667</v>
      </c>
      <c r="AI57" s="1262">
        <v>112983.435</v>
      </c>
      <c r="AJ57" s="1262">
        <v>136002.07299999997</v>
      </c>
      <c r="AK57" s="1262">
        <v>119547.514</v>
      </c>
      <c r="AL57" s="1262">
        <v>124333.94899999999</v>
      </c>
      <c r="AM57" s="1262">
        <v>146261.91800000001</v>
      </c>
      <c r="AN57" s="1262">
        <v>124255.64</v>
      </c>
      <c r="AO57" s="1262">
        <v>144106.09899999999</v>
      </c>
      <c r="AP57" s="1262">
        <v>132630.408</v>
      </c>
      <c r="AQ57" s="1262">
        <v>144202.59399999998</v>
      </c>
      <c r="AR57" s="1262">
        <v>130302.15400000001</v>
      </c>
      <c r="AS57" s="1262">
        <v>145943.03999999998</v>
      </c>
      <c r="AT57" s="1262">
        <v>146321.72099999999</v>
      </c>
    </row>
    <row r="58" spans="1:46">
      <c r="A58" s="201" t="s">
        <v>299</v>
      </c>
      <c r="B58" s="1262" t="s">
        <v>316</v>
      </c>
      <c r="C58" s="1262">
        <v>112880</v>
      </c>
      <c r="D58" s="1262">
        <v>102906</v>
      </c>
      <c r="E58" s="1262">
        <v>123667</v>
      </c>
      <c r="F58" s="1262">
        <v>106826</v>
      </c>
      <c r="G58" s="1262">
        <v>113151</v>
      </c>
      <c r="H58" s="1262">
        <v>98964</v>
      </c>
      <c r="I58" s="1262">
        <v>104758</v>
      </c>
      <c r="J58" s="1262">
        <v>94480</v>
      </c>
      <c r="K58" s="1262">
        <v>94019</v>
      </c>
      <c r="L58" s="1262">
        <v>117229</v>
      </c>
      <c r="M58" s="1262">
        <v>102529</v>
      </c>
      <c r="N58" s="1262">
        <v>94882.86</v>
      </c>
      <c r="O58" s="1262">
        <v>104259.035</v>
      </c>
      <c r="P58" s="1262">
        <v>103617.145</v>
      </c>
      <c r="Q58" s="1262">
        <v>110382.507</v>
      </c>
      <c r="R58" s="1262">
        <v>102576.023</v>
      </c>
      <c r="S58" s="1262">
        <v>100084.235</v>
      </c>
      <c r="T58" s="1262">
        <v>98714.275999999998</v>
      </c>
      <c r="U58" s="1262">
        <v>117936.247</v>
      </c>
      <c r="V58" s="1262">
        <v>111057.79399999999</v>
      </c>
      <c r="W58" s="1262">
        <v>99822.736999999994</v>
      </c>
      <c r="X58" s="1262">
        <v>111503.852</v>
      </c>
      <c r="Y58" s="1262">
        <v>113847.678</v>
      </c>
      <c r="Z58" s="1262">
        <v>101234.95299999999</v>
      </c>
      <c r="AA58" s="1262">
        <v>105560.539</v>
      </c>
      <c r="AB58" s="1262">
        <v>88379.421000000002</v>
      </c>
      <c r="AC58" s="1262">
        <v>97088.342999999993</v>
      </c>
      <c r="AD58" s="1262">
        <v>100000.626</v>
      </c>
      <c r="AE58" s="1262">
        <v>118539.056</v>
      </c>
      <c r="AF58" s="1262">
        <v>105726.75</v>
      </c>
      <c r="AG58" s="1262">
        <v>101663.04300000001</v>
      </c>
      <c r="AH58" s="1262">
        <v>73572.843999999997</v>
      </c>
      <c r="AI58" s="1262">
        <v>93821.506999999983</v>
      </c>
      <c r="AJ58" s="1262">
        <v>109813.601</v>
      </c>
      <c r="AK58" s="1262">
        <v>100908.80499999999</v>
      </c>
      <c r="AL58" s="1262">
        <v>103856.08900000001</v>
      </c>
      <c r="AM58" s="1262">
        <v>100979.42899999999</v>
      </c>
      <c r="AN58" s="1262">
        <v>94672.615000000005</v>
      </c>
      <c r="AO58" s="1262">
        <v>115482.41200000001</v>
      </c>
      <c r="AP58" s="1262">
        <v>121467.557</v>
      </c>
      <c r="AQ58" s="1262">
        <v>108724.83700000001</v>
      </c>
      <c r="AR58" s="1262">
        <v>120878.427</v>
      </c>
      <c r="AS58" s="1262">
        <v>111429.77200000001</v>
      </c>
      <c r="AT58" s="1262">
        <v>104752.71800000001</v>
      </c>
    </row>
    <row r="59" spans="1:46" s="1259" customFormat="1">
      <c r="A59" s="1265" t="s">
        <v>299</v>
      </c>
      <c r="B59" s="1259" t="s">
        <v>317</v>
      </c>
      <c r="C59" s="1259">
        <v>1309.549</v>
      </c>
      <c r="D59" s="1259">
        <v>1002</v>
      </c>
      <c r="E59" s="1259">
        <v>871</v>
      </c>
      <c r="F59" s="1259">
        <v>1427.2180000000001</v>
      </c>
      <c r="G59" s="1259">
        <v>1519</v>
      </c>
      <c r="H59" s="1259">
        <v>1360.63</v>
      </c>
      <c r="I59" s="1259">
        <v>1680</v>
      </c>
      <c r="J59" s="1259">
        <v>1341.761</v>
      </c>
      <c r="K59" s="1259">
        <v>1235.2660000000001</v>
      </c>
      <c r="L59" s="1259">
        <v>1314.529</v>
      </c>
      <c r="M59" s="1259">
        <v>941.78399999999999</v>
      </c>
      <c r="N59" s="1268">
        <v>1798.6089999999999</v>
      </c>
      <c r="O59" s="1259">
        <v>1959.126</v>
      </c>
      <c r="P59" s="1259">
        <v>1649.94</v>
      </c>
      <c r="Q59" s="1259">
        <v>1432.8050000000001</v>
      </c>
      <c r="R59" s="1259">
        <v>1606.0340000000001</v>
      </c>
      <c r="S59" s="1259">
        <v>1766.4749999999999</v>
      </c>
      <c r="T59" s="1259">
        <v>1672.2570000000001</v>
      </c>
      <c r="U59" s="1259">
        <v>1558.694</v>
      </c>
      <c r="V59" s="1259">
        <v>868.8</v>
      </c>
      <c r="W59" s="1259">
        <v>806.81299999999999</v>
      </c>
      <c r="X59" s="1259">
        <v>1057.443</v>
      </c>
      <c r="Y59" s="1259">
        <v>1503.0440000000001</v>
      </c>
      <c r="Z59" s="1259">
        <v>1587.62</v>
      </c>
      <c r="AA59" s="1259">
        <v>1811.8510000000001</v>
      </c>
      <c r="AB59" s="1259">
        <v>1082.287</v>
      </c>
      <c r="AC59" s="1259">
        <v>1641.98</v>
      </c>
      <c r="AD59" s="1259">
        <v>1004.04</v>
      </c>
      <c r="AE59" s="1259">
        <v>1184.579</v>
      </c>
      <c r="AF59" s="1259">
        <v>1574.8209999999999</v>
      </c>
      <c r="AG59" s="1259">
        <v>1206.049</v>
      </c>
      <c r="AH59" s="1259">
        <v>1381.1950000000002</v>
      </c>
      <c r="AI59" s="1259">
        <v>1535.51</v>
      </c>
      <c r="AJ59" s="1259">
        <v>2149.1410000000001</v>
      </c>
      <c r="AK59" s="1259">
        <v>1480.154</v>
      </c>
      <c r="AL59" s="1259">
        <v>2179.2020000000002</v>
      </c>
      <c r="AM59" s="1259">
        <v>1650.579</v>
      </c>
      <c r="AN59" s="1259">
        <v>1209.9690000000001</v>
      </c>
      <c r="AO59" s="1259">
        <v>1620.4010000000001</v>
      </c>
      <c r="AP59" s="1259">
        <v>2020.684</v>
      </c>
      <c r="AQ59" s="1259">
        <v>2235.98</v>
      </c>
      <c r="AR59" s="1259">
        <v>2124.64</v>
      </c>
      <c r="AS59" s="1259">
        <v>1261.914</v>
      </c>
      <c r="AT59" s="1259">
        <v>2278.75</v>
      </c>
    </row>
    <row r="60" spans="1:46">
      <c r="A60" s="201" t="s">
        <v>299</v>
      </c>
      <c r="B60" s="1262" t="s">
        <v>318</v>
      </c>
      <c r="C60" s="1262">
        <v>1193</v>
      </c>
      <c r="D60" s="1262">
        <v>1251</v>
      </c>
      <c r="E60" s="1262">
        <v>774</v>
      </c>
      <c r="F60" s="1262">
        <v>1281</v>
      </c>
      <c r="G60" s="1262">
        <v>1610</v>
      </c>
      <c r="H60" s="1262">
        <v>1472</v>
      </c>
      <c r="I60" s="1262">
        <v>1204</v>
      </c>
      <c r="J60" s="1262">
        <v>1183</v>
      </c>
      <c r="K60" s="1262">
        <v>1934</v>
      </c>
      <c r="L60" s="1262">
        <v>2141</v>
      </c>
      <c r="M60" s="1262">
        <v>1523</v>
      </c>
      <c r="N60" s="1262">
        <v>1385.3689999999999</v>
      </c>
      <c r="O60" s="1262">
        <v>1353.96</v>
      </c>
      <c r="P60" s="1262">
        <v>1292.4179999999999</v>
      </c>
      <c r="Q60" s="1262">
        <v>2371.1260000000002</v>
      </c>
      <c r="R60" s="1262">
        <v>2498.194</v>
      </c>
      <c r="S60" s="1262">
        <v>1798.3979999999999</v>
      </c>
      <c r="T60" s="1262">
        <v>1857.241</v>
      </c>
      <c r="U60" s="1262">
        <v>1546.77</v>
      </c>
      <c r="V60" s="1262">
        <v>674.92510000000004</v>
      </c>
      <c r="W60" s="1262">
        <v>1306.7670000000001</v>
      </c>
      <c r="X60" s="1262">
        <v>1317.6959999999999</v>
      </c>
      <c r="Y60" s="1262">
        <v>1496.7950000000001</v>
      </c>
      <c r="Z60" s="1262">
        <v>1700.9179999999999</v>
      </c>
      <c r="AA60" s="1262">
        <v>1533.36</v>
      </c>
      <c r="AB60" s="1262">
        <v>1326.3440000000001</v>
      </c>
      <c r="AC60" s="1262">
        <v>1526.105</v>
      </c>
      <c r="AD60" s="1262">
        <v>1613.8969999999999</v>
      </c>
      <c r="AE60" s="1262">
        <v>1762.221</v>
      </c>
      <c r="AF60" s="1262">
        <v>1922.6479999999999</v>
      </c>
      <c r="AG60" s="1262">
        <v>1955.4409999999998</v>
      </c>
      <c r="AH60" s="1262">
        <v>1914.8940000000002</v>
      </c>
      <c r="AI60" s="1262">
        <v>1738.751</v>
      </c>
      <c r="AJ60" s="1262">
        <v>1726.4540000000002</v>
      </c>
      <c r="AK60" s="1262">
        <v>1963.415</v>
      </c>
      <c r="AL60" s="1262">
        <v>1786.8940000000002</v>
      </c>
      <c r="AM60" s="1262">
        <v>2127.9879999999998</v>
      </c>
      <c r="AN60" s="1262">
        <v>1602.473</v>
      </c>
      <c r="AO60" s="1262">
        <v>2056.6219999999998</v>
      </c>
      <c r="AP60" s="1262">
        <v>2177.8109999999997</v>
      </c>
      <c r="AQ60" s="1262">
        <v>2348.875</v>
      </c>
      <c r="AR60" s="1262">
        <v>1871.924</v>
      </c>
      <c r="AS60" s="1262">
        <v>2431.7239999999997</v>
      </c>
      <c r="AT60" s="1262">
        <v>2563.0149999999999</v>
      </c>
    </row>
    <row r="61" spans="1:46">
      <c r="A61" s="201" t="s">
        <v>299</v>
      </c>
      <c r="B61" s="1262" t="s">
        <v>319</v>
      </c>
      <c r="C61" s="1262">
        <v>900</v>
      </c>
      <c r="D61" s="1262">
        <v>830</v>
      </c>
      <c r="E61" s="1262">
        <v>701</v>
      </c>
      <c r="F61" s="1262">
        <v>913</v>
      </c>
      <c r="G61" s="1262">
        <v>1102</v>
      </c>
      <c r="H61" s="1262">
        <v>1009</v>
      </c>
      <c r="I61" s="1262">
        <v>968</v>
      </c>
      <c r="J61" s="1262">
        <v>962</v>
      </c>
      <c r="K61" s="1262">
        <v>1153</v>
      </c>
      <c r="L61" s="1262">
        <v>916</v>
      </c>
      <c r="M61" s="1262">
        <v>1204</v>
      </c>
      <c r="N61" s="1262">
        <v>862.56299999999999</v>
      </c>
      <c r="O61" s="1262">
        <v>905.101</v>
      </c>
      <c r="P61" s="1262">
        <v>798.60500000000002</v>
      </c>
      <c r="Q61" s="1262">
        <v>1097.74</v>
      </c>
      <c r="R61" s="1262">
        <v>1103.5360000000001</v>
      </c>
      <c r="S61" s="1262">
        <v>1073.1199999999999</v>
      </c>
      <c r="T61" s="1262">
        <v>804.18299999999999</v>
      </c>
      <c r="U61" s="1262">
        <v>907.53099999999995</v>
      </c>
      <c r="V61" s="1262">
        <v>489.5421</v>
      </c>
      <c r="W61" s="1262">
        <v>833.06899999999996</v>
      </c>
      <c r="X61" s="1262">
        <v>888.10299999999995</v>
      </c>
      <c r="Y61" s="1262">
        <v>791.25599999999997</v>
      </c>
      <c r="Z61" s="1262">
        <v>894.65200000000004</v>
      </c>
      <c r="AA61" s="1262">
        <v>1119.4290000000001</v>
      </c>
      <c r="AB61" s="1262">
        <v>1303.0530000000001</v>
      </c>
      <c r="AC61" s="1262">
        <v>1372.288</v>
      </c>
      <c r="AD61" s="1262">
        <v>1406.944</v>
      </c>
      <c r="AE61" s="1262">
        <v>1475.3019999999999</v>
      </c>
      <c r="AF61" s="1262">
        <v>1450.0820000000001</v>
      </c>
      <c r="AG61" s="1262">
        <v>1452.3979999999999</v>
      </c>
      <c r="AH61" s="1262">
        <v>1472.0990000000002</v>
      </c>
      <c r="AI61" s="1262">
        <v>1416.1089999999999</v>
      </c>
      <c r="AJ61" s="1262">
        <v>1420.8020000000001</v>
      </c>
      <c r="AK61" s="1262">
        <v>1408.173</v>
      </c>
      <c r="AL61" s="1262">
        <v>1219.0930000000003</v>
      </c>
      <c r="AM61" s="1262">
        <v>1603.752</v>
      </c>
      <c r="AN61" s="1262">
        <v>1401.8979999999999</v>
      </c>
      <c r="AO61" s="1262">
        <v>1652.0119999999999</v>
      </c>
      <c r="AP61" s="1262">
        <v>1670.5399999999997</v>
      </c>
      <c r="AQ61" s="1262">
        <v>1608.827</v>
      </c>
      <c r="AR61" s="1262">
        <v>1571.2470000000001</v>
      </c>
      <c r="AS61" s="1262">
        <v>1671.3799999999999</v>
      </c>
      <c r="AT61" s="1262">
        <v>1671.0809999999999</v>
      </c>
    </row>
    <row r="62" spans="1:46">
      <c r="A62" s="201" t="s">
        <v>299</v>
      </c>
      <c r="B62" s="1262" t="s">
        <v>320</v>
      </c>
      <c r="C62" s="1262">
        <v>293</v>
      </c>
      <c r="D62" s="1262">
        <v>421</v>
      </c>
      <c r="E62" s="1262">
        <v>73</v>
      </c>
      <c r="F62" s="1262">
        <v>368</v>
      </c>
      <c r="G62" s="1262">
        <v>508</v>
      </c>
      <c r="H62" s="1262">
        <v>463</v>
      </c>
      <c r="I62" s="1262">
        <v>236</v>
      </c>
      <c r="J62" s="1262">
        <v>221</v>
      </c>
      <c r="K62" s="1262">
        <v>781</v>
      </c>
      <c r="L62" s="1262">
        <v>1225</v>
      </c>
      <c r="M62" s="1262">
        <v>319</v>
      </c>
      <c r="N62" s="1262">
        <v>522.80600000000004</v>
      </c>
      <c r="O62" s="1262">
        <v>448.85899999999998</v>
      </c>
      <c r="P62" s="1262">
        <v>493.81299999999999</v>
      </c>
      <c r="Q62" s="1262">
        <v>1273.386</v>
      </c>
      <c r="R62" s="1262">
        <v>1394.6579999999999</v>
      </c>
      <c r="S62" s="1262">
        <v>725.27800000000002</v>
      </c>
      <c r="T62" s="1262">
        <v>1053.058</v>
      </c>
      <c r="U62" s="1262">
        <v>639.23900000000003</v>
      </c>
      <c r="V62" s="1262">
        <v>185.38300000000001</v>
      </c>
      <c r="W62" s="1262">
        <v>473.69799999999998</v>
      </c>
      <c r="X62" s="1262">
        <v>429.59300000000002</v>
      </c>
      <c r="Y62" s="1262">
        <v>705.53899999999999</v>
      </c>
      <c r="Z62" s="1262">
        <v>806.26599999999996</v>
      </c>
      <c r="AA62" s="1262">
        <v>413.93099999999998</v>
      </c>
      <c r="AB62" s="1262">
        <v>23.291</v>
      </c>
      <c r="AC62" s="1262">
        <v>153.81700000000001</v>
      </c>
      <c r="AD62" s="1262">
        <v>206.953</v>
      </c>
      <c r="AE62" s="1262">
        <v>286.91899999999998</v>
      </c>
      <c r="AF62" s="1262">
        <v>472.56599999999997</v>
      </c>
      <c r="AG62" s="1262">
        <v>503.04300000000001</v>
      </c>
      <c r="AH62" s="1262">
        <v>442.79500000000002</v>
      </c>
      <c r="AI62" s="1262">
        <v>322.642</v>
      </c>
      <c r="AJ62" s="1262">
        <v>305.65199999999999</v>
      </c>
      <c r="AK62" s="1262">
        <v>555.24199999999996</v>
      </c>
      <c r="AL62" s="1262">
        <v>567.80099999999993</v>
      </c>
      <c r="AM62" s="1262">
        <v>524.23599999999999</v>
      </c>
      <c r="AN62" s="1262">
        <v>200.57499999999999</v>
      </c>
      <c r="AO62" s="1262">
        <v>404.61</v>
      </c>
      <c r="AP62" s="1262">
        <v>507.27099999999996</v>
      </c>
      <c r="AQ62" s="1262">
        <v>740.04800000000012</v>
      </c>
      <c r="AR62" s="1262">
        <v>300.67699999999996</v>
      </c>
      <c r="AS62" s="1262">
        <v>760.34399999999994</v>
      </c>
      <c r="AT62" s="1262">
        <v>891.93400000000008</v>
      </c>
    </row>
    <row r="63" spans="1:46">
      <c r="A63" s="201" t="s">
        <v>299</v>
      </c>
      <c r="B63" s="1262" t="s">
        <v>321</v>
      </c>
      <c r="C63" s="1262">
        <v>2007</v>
      </c>
      <c r="D63" s="1262">
        <v>2009</v>
      </c>
      <c r="E63" s="1262">
        <v>2008</v>
      </c>
      <c r="F63" s="1262">
        <v>2012</v>
      </c>
      <c r="G63" s="1262">
        <v>2013</v>
      </c>
      <c r="H63" s="1262">
        <v>1952</v>
      </c>
      <c r="I63" s="1262">
        <v>2108</v>
      </c>
      <c r="J63" s="1262">
        <v>1963</v>
      </c>
      <c r="K63" s="1262">
        <v>2064</v>
      </c>
      <c r="L63" s="1262">
        <v>2002</v>
      </c>
      <c r="M63" s="1262">
        <v>1951</v>
      </c>
      <c r="N63" s="1262">
        <v>1918.2687000000001</v>
      </c>
      <c r="O63" s="1262">
        <v>1891.63743</v>
      </c>
      <c r="P63" s="1262">
        <v>1851.2932800000001</v>
      </c>
      <c r="Q63" s="1262">
        <v>2001.3420000000001</v>
      </c>
      <c r="R63" s="1262">
        <v>1902.8081500000001</v>
      </c>
      <c r="S63" s="1262">
        <v>1920.26045</v>
      </c>
      <c r="T63" s="1262">
        <v>1720.2381</v>
      </c>
      <c r="U63" s="1262">
        <v>1900.2936999999999</v>
      </c>
      <c r="V63" s="1262">
        <v>1903.03</v>
      </c>
      <c r="W63" s="1262">
        <v>2008.671</v>
      </c>
      <c r="X63" s="1262">
        <v>2100.502</v>
      </c>
      <c r="Y63" s="1262">
        <v>2000.5110999999999</v>
      </c>
      <c r="Z63" s="1262">
        <v>1830.8722230000001</v>
      </c>
      <c r="AA63" s="1262">
        <v>2002.0920000000001</v>
      </c>
      <c r="AB63" s="1262">
        <v>1902.7775999999999</v>
      </c>
      <c r="AC63" s="1262">
        <v>1800.6183000000001</v>
      </c>
      <c r="AD63" s="1262">
        <v>1801.009</v>
      </c>
      <c r="AE63" s="1262">
        <v>2002.0062</v>
      </c>
      <c r="AF63" s="1262">
        <v>2100.7429999999999</v>
      </c>
      <c r="AG63" s="1262">
        <v>2003.7597000000001</v>
      </c>
      <c r="AH63" s="1262">
        <v>2001.6279</v>
      </c>
      <c r="AI63" s="1262">
        <v>2003.0237999999999</v>
      </c>
      <c r="AJ63" s="1262">
        <v>2006.2502000000004</v>
      </c>
      <c r="AK63" s="1262">
        <v>2001.6875</v>
      </c>
      <c r="AL63" s="1262">
        <v>2011.2529</v>
      </c>
      <c r="AM63" s="1262">
        <v>2050.5531999999994</v>
      </c>
      <c r="AN63" s="1262">
        <v>2050.3450999999995</v>
      </c>
      <c r="AO63" s="1262">
        <v>2402.7778999999996</v>
      </c>
      <c r="AP63" s="1262">
        <v>3003.7859999999996</v>
      </c>
      <c r="AQ63" s="1262">
        <v>2702.2522000000004</v>
      </c>
      <c r="AR63" s="1262">
        <v>2502.0762999999997</v>
      </c>
      <c r="AS63" s="1262">
        <v>2306.1562999999996</v>
      </c>
      <c r="AT63" s="1262">
        <v>2153.143</v>
      </c>
    </row>
    <row r="64" spans="1:46">
      <c r="A64" s="201" t="s">
        <v>299</v>
      </c>
      <c r="B64" s="1262" t="s">
        <v>322</v>
      </c>
      <c r="C64" s="1262">
        <v>35645</v>
      </c>
      <c r="D64" s="1262">
        <v>32596</v>
      </c>
      <c r="E64" s="1262">
        <v>30234</v>
      </c>
      <c r="F64" s="1262">
        <v>36140</v>
      </c>
      <c r="G64" s="1262">
        <v>39535</v>
      </c>
      <c r="H64" s="1262">
        <v>38270</v>
      </c>
      <c r="I64" s="1262">
        <v>42019</v>
      </c>
      <c r="J64" s="1262">
        <v>36189</v>
      </c>
      <c r="K64" s="1262">
        <v>37320</v>
      </c>
      <c r="L64" s="1262">
        <v>29830</v>
      </c>
      <c r="M64" s="1262">
        <v>37536</v>
      </c>
      <c r="N64" s="1262">
        <v>35825.427000000003</v>
      </c>
      <c r="O64" s="1262">
        <v>37169.273000000001</v>
      </c>
      <c r="P64" s="1262">
        <v>36887.46</v>
      </c>
      <c r="Q64" s="1262">
        <v>37439.883999999998</v>
      </c>
      <c r="R64" s="1262">
        <v>39088.849000000002</v>
      </c>
      <c r="S64" s="1262">
        <v>38506.468999999997</v>
      </c>
      <c r="T64" s="1262">
        <v>36764.247000000003</v>
      </c>
      <c r="U64" s="1262">
        <v>41001.771000000001</v>
      </c>
      <c r="V64" s="1262">
        <v>38559.870999999999</v>
      </c>
      <c r="W64" s="1262">
        <v>33393.307999999997</v>
      </c>
      <c r="X64" s="1262">
        <v>29585.912</v>
      </c>
      <c r="Y64" s="1262">
        <v>36401.542999999998</v>
      </c>
      <c r="Z64" s="1262">
        <v>36948.786</v>
      </c>
      <c r="AA64" s="1262">
        <v>35791.832999999999</v>
      </c>
      <c r="AB64" s="1262">
        <v>22220.977999999999</v>
      </c>
      <c r="AC64" s="1262">
        <v>37161.038</v>
      </c>
      <c r="AD64" s="1262">
        <v>39136.614999999998</v>
      </c>
      <c r="AE64" s="1262">
        <v>37094.425000000003</v>
      </c>
      <c r="AF64" s="1262">
        <v>36122.231</v>
      </c>
      <c r="AG64" s="1262">
        <v>41416.704000000005</v>
      </c>
      <c r="AH64" s="1262">
        <v>40630.675000000003</v>
      </c>
      <c r="AI64" s="1262">
        <v>40012.428999999996</v>
      </c>
      <c r="AJ64" s="1262">
        <v>33531.779000000002</v>
      </c>
      <c r="AK64" s="1262">
        <v>37426.112999999998</v>
      </c>
      <c r="AL64" s="1262">
        <v>41102.194000000003</v>
      </c>
      <c r="AM64" s="1262">
        <v>39536.272000000012</v>
      </c>
      <c r="AN64" s="1262">
        <v>38310.183999999994</v>
      </c>
      <c r="AO64" s="1262">
        <v>38124.716999999997</v>
      </c>
      <c r="AP64" s="1262">
        <v>40235.252</v>
      </c>
      <c r="AQ64" s="1262">
        <v>40505.186999999998</v>
      </c>
      <c r="AR64" s="1262">
        <v>37477.191999999995</v>
      </c>
      <c r="AS64" s="1262">
        <v>40041.266000000003</v>
      </c>
      <c r="AT64" s="1262">
        <v>39418.876000000004</v>
      </c>
    </row>
    <row r="65" spans="1:46">
      <c r="A65" s="201" t="s">
        <v>299</v>
      </c>
      <c r="B65" s="1262" t="s">
        <v>323</v>
      </c>
      <c r="C65" s="1262">
        <v>10259</v>
      </c>
      <c r="D65" s="1262">
        <v>3637</v>
      </c>
      <c r="E65" s="1262">
        <v>8324</v>
      </c>
      <c r="F65" s="1262">
        <v>12311</v>
      </c>
      <c r="G65" s="1262">
        <v>8237</v>
      </c>
      <c r="H65" s="1262">
        <v>10329</v>
      </c>
      <c r="I65" s="1262">
        <v>11014</v>
      </c>
      <c r="J65" s="1262">
        <v>11788</v>
      </c>
      <c r="K65" s="1262">
        <v>10110</v>
      </c>
      <c r="L65" s="1262">
        <v>11078</v>
      </c>
      <c r="M65" s="1262">
        <v>11559</v>
      </c>
      <c r="N65" s="1262">
        <v>13655.932000000001</v>
      </c>
      <c r="O65" s="1262">
        <v>10157.398999999999</v>
      </c>
      <c r="P65" s="1262">
        <v>5271.1840000000002</v>
      </c>
      <c r="Q65" s="1262">
        <v>9458.2549999999992</v>
      </c>
      <c r="R65" s="1262">
        <v>10817.727000000001</v>
      </c>
      <c r="S65" s="1262">
        <v>13980.513999999999</v>
      </c>
      <c r="T65" s="1262">
        <v>7809.2160000000003</v>
      </c>
      <c r="U65" s="1262">
        <v>11219.697</v>
      </c>
      <c r="V65" s="1262">
        <v>13048.489</v>
      </c>
      <c r="W65" s="1262">
        <v>10327.531000000001</v>
      </c>
      <c r="X65" s="1262">
        <v>11355.573</v>
      </c>
      <c r="Y65" s="1262">
        <v>11626.206</v>
      </c>
      <c r="Z65" s="1262">
        <v>11779.43</v>
      </c>
      <c r="AA65" s="1262">
        <v>6848.87</v>
      </c>
      <c r="AB65" s="1262">
        <v>8086.5870000000004</v>
      </c>
      <c r="AC65" s="1262">
        <v>11225.029</v>
      </c>
      <c r="AD65" s="1262">
        <v>11461.788</v>
      </c>
      <c r="AE65" s="1262">
        <v>9678.8019999999997</v>
      </c>
      <c r="AF65" s="1262">
        <v>9481.8520000000008</v>
      </c>
      <c r="AG65" s="1262">
        <v>9418.5329999999994</v>
      </c>
      <c r="AH65" s="1262">
        <v>6882.29</v>
      </c>
      <c r="AI65" s="1262">
        <v>9081.6929999999993</v>
      </c>
      <c r="AJ65" s="1262">
        <v>7966.0540000000001</v>
      </c>
      <c r="AK65" s="1262">
        <v>5372.6629999999996</v>
      </c>
      <c r="AL65" s="1262">
        <v>9535.7080000000005</v>
      </c>
      <c r="AM65" s="1262">
        <v>-42.075000000000003</v>
      </c>
      <c r="AN65" s="1262">
        <v>0</v>
      </c>
      <c r="AO65" s="1262">
        <v>0</v>
      </c>
      <c r="AP65" s="1262">
        <v>0</v>
      </c>
      <c r="AQ65" s="1262">
        <v>0</v>
      </c>
      <c r="AR65" s="1262">
        <v>0</v>
      </c>
      <c r="AS65" s="1262">
        <v>0</v>
      </c>
      <c r="AT65" s="1262">
        <v>0</v>
      </c>
    </row>
    <row r="66" spans="1:46">
      <c r="A66" s="201" t="s">
        <v>299</v>
      </c>
      <c r="B66" s="1262" t="s">
        <v>324</v>
      </c>
      <c r="C66" s="1262">
        <v>34822</v>
      </c>
      <c r="D66" s="1262">
        <v>30337</v>
      </c>
      <c r="E66" s="1262">
        <v>29961</v>
      </c>
      <c r="F66" s="1262">
        <v>26832</v>
      </c>
      <c r="G66" s="1262">
        <v>30753</v>
      </c>
      <c r="H66" s="1262">
        <v>27718</v>
      </c>
      <c r="I66" s="1262">
        <v>25369</v>
      </c>
      <c r="J66" s="1262">
        <v>27946</v>
      </c>
      <c r="K66" s="1262">
        <v>31948</v>
      </c>
      <c r="L66" s="1262">
        <v>26355</v>
      </c>
      <c r="M66" s="1262">
        <v>29655</v>
      </c>
      <c r="N66" s="1262">
        <v>26312.032999999999</v>
      </c>
      <c r="O66" s="1262">
        <v>31984.954000000002</v>
      </c>
      <c r="P66" s="1262">
        <v>35433.743000000002</v>
      </c>
      <c r="Q66" s="1262">
        <v>35915.769999999997</v>
      </c>
      <c r="R66" s="1262">
        <v>38168</v>
      </c>
      <c r="S66" s="1262">
        <v>37273.781999999999</v>
      </c>
      <c r="T66" s="1262">
        <v>38261.680999999997</v>
      </c>
      <c r="U66" s="1262">
        <v>37639.873</v>
      </c>
      <c r="V66" s="1262">
        <v>40510.527999999998</v>
      </c>
      <c r="W66" s="1262">
        <v>26176.44</v>
      </c>
      <c r="X66" s="1262">
        <v>34481.599999999897</v>
      </c>
      <c r="Y66" s="1262">
        <v>36236.082999999999</v>
      </c>
      <c r="Z66" s="1262">
        <v>38007.487000000001</v>
      </c>
      <c r="AA66" s="1262">
        <v>29668.427</v>
      </c>
      <c r="AB66" s="1262">
        <v>39634.241999999998</v>
      </c>
      <c r="AC66" s="1262">
        <v>40585.417000000001</v>
      </c>
      <c r="AD66" s="1262">
        <v>41647.700999999899</v>
      </c>
      <c r="AE66" s="1262">
        <v>40366.281999999999</v>
      </c>
      <c r="AF66" s="1262">
        <v>40341.616000000002</v>
      </c>
      <c r="AG66" s="1262">
        <v>41772.017</v>
      </c>
      <c r="AH66" s="1262">
        <v>39879.805000000008</v>
      </c>
      <c r="AI66" s="1262">
        <v>18759.437999999998</v>
      </c>
      <c r="AJ66" s="1262">
        <v>38469.515999999996</v>
      </c>
      <c r="AK66" s="1262">
        <v>38502.89</v>
      </c>
      <c r="AL66" s="1262">
        <v>36600.633000000002</v>
      </c>
      <c r="AM66" s="1262">
        <v>43758.413</v>
      </c>
      <c r="AN66" s="1262">
        <v>39153.678</v>
      </c>
      <c r="AO66" s="1262">
        <v>43800.633000000002</v>
      </c>
      <c r="AP66" s="1262">
        <v>42314.661999999997</v>
      </c>
      <c r="AQ66" s="1262">
        <v>39417.695999999996</v>
      </c>
      <c r="AR66" s="1262">
        <v>43600.477000000006</v>
      </c>
      <c r="AS66" s="1262">
        <v>46048.739999999991</v>
      </c>
      <c r="AT66" s="1262">
        <v>43148.399000000019</v>
      </c>
    </row>
    <row r="67" spans="1:46" s="1260" customFormat="1">
      <c r="A67" s="1270" t="s">
        <v>299</v>
      </c>
      <c r="B67" s="1260" t="s">
        <v>325</v>
      </c>
      <c r="C67" s="1260">
        <v>816</v>
      </c>
      <c r="D67" s="1260">
        <v>946</v>
      </c>
      <c r="E67" s="1260">
        <v>1009</v>
      </c>
      <c r="F67" s="1260">
        <v>1764.81</v>
      </c>
      <c r="G67" s="1260">
        <v>906.55499999999995</v>
      </c>
      <c r="H67" s="1260">
        <v>892.19299999999998</v>
      </c>
      <c r="I67" s="1260">
        <v>939.96199999999999</v>
      </c>
      <c r="J67" s="1260">
        <v>363.77600000000001</v>
      </c>
      <c r="K67" s="1260">
        <v>1060.98</v>
      </c>
      <c r="L67" s="1260">
        <v>808.87</v>
      </c>
      <c r="M67" s="1260">
        <v>1632.9090000000001</v>
      </c>
      <c r="N67" s="1269">
        <v>1773.32</v>
      </c>
      <c r="O67" s="1260">
        <v>1806.7190000000001</v>
      </c>
      <c r="P67" s="1260">
        <v>544.245</v>
      </c>
      <c r="Q67" s="1260">
        <v>710.35799999999995</v>
      </c>
      <c r="R67" s="1260">
        <v>1414.72</v>
      </c>
      <c r="S67" s="1260">
        <v>1607.82</v>
      </c>
      <c r="T67" s="1260">
        <v>1283.758</v>
      </c>
      <c r="U67" s="1260">
        <v>1085.1759999999999</v>
      </c>
      <c r="V67" s="1260">
        <v>534.68299999999999</v>
      </c>
      <c r="W67" s="1260">
        <v>528.79399999999998</v>
      </c>
      <c r="X67" s="1260">
        <v>832.60500000000002</v>
      </c>
      <c r="Y67" s="1260">
        <v>2653.3580000000002</v>
      </c>
      <c r="Z67" s="1260">
        <v>1643.7739999999999</v>
      </c>
      <c r="AA67" s="1260">
        <v>938.11800000000005</v>
      </c>
      <c r="AB67" s="1260">
        <v>1549.4380000000001</v>
      </c>
      <c r="AC67" s="1260">
        <v>234.13300000000001</v>
      </c>
      <c r="AD67" s="1260">
        <v>875.15800000000002</v>
      </c>
      <c r="AE67" s="1260">
        <v>1557.9349999999999</v>
      </c>
      <c r="AF67" s="1260">
        <v>924.11</v>
      </c>
      <c r="AG67" s="1260">
        <v>2275.0419999999999</v>
      </c>
      <c r="AH67" s="1260">
        <v>3358.81</v>
      </c>
      <c r="AI67" s="1260">
        <v>237.404</v>
      </c>
      <c r="AJ67" s="1260">
        <v>1754.9059999999999</v>
      </c>
      <c r="AK67" s="1260">
        <v>1005.103</v>
      </c>
      <c r="AL67" s="1260">
        <v>1723.6189999999999</v>
      </c>
      <c r="AM67" s="1260">
        <v>894.05100000000004</v>
      </c>
      <c r="AN67" s="1260">
        <v>2153.86</v>
      </c>
      <c r="AO67" s="1260">
        <v>400.53500000000003</v>
      </c>
      <c r="AP67" s="1260">
        <v>4345.84</v>
      </c>
      <c r="AQ67" s="1260">
        <v>1874.64</v>
      </c>
      <c r="AR67" s="1260">
        <v>1761.63</v>
      </c>
      <c r="AS67" s="1260">
        <v>1647.77</v>
      </c>
      <c r="AT67" s="1260">
        <v>2893.4270000000001</v>
      </c>
    </row>
    <row r="68" spans="1:46" s="1258" customFormat="1">
      <c r="A68" s="201" t="s">
        <v>299</v>
      </c>
      <c r="B68" s="1258" t="s">
        <v>326</v>
      </c>
      <c r="C68" s="1258">
        <v>353242.42700000003</v>
      </c>
      <c r="D68" s="1258">
        <v>293032.57199999999</v>
      </c>
      <c r="E68" s="1258">
        <v>340489</v>
      </c>
      <c r="F68" s="1258">
        <v>308545.408</v>
      </c>
      <c r="G68" s="1258">
        <v>327147.95500000002</v>
      </c>
      <c r="H68" s="1258">
        <v>310471.43699999998</v>
      </c>
      <c r="I68" s="1258">
        <v>323907.038</v>
      </c>
      <c r="J68" s="1258">
        <v>318024.98499999999</v>
      </c>
      <c r="K68" s="1258">
        <v>304895.28600000002</v>
      </c>
      <c r="L68" s="1258">
        <v>322424.65899999999</v>
      </c>
      <c r="M68" s="1258">
        <v>301687.875</v>
      </c>
      <c r="N68" s="1258">
        <v>305908.68070000003</v>
      </c>
      <c r="O68" s="1258">
        <v>302855.50442999997</v>
      </c>
      <c r="P68" s="1258">
        <v>309487.72227999999</v>
      </c>
      <c r="Q68" s="1258">
        <v>327241.20400000003</v>
      </c>
      <c r="R68" s="1258">
        <v>314978.20699999999</v>
      </c>
      <c r="S68" s="1258">
        <v>315988.08100000001</v>
      </c>
      <c r="T68" s="1258">
        <v>280256.46909999999</v>
      </c>
      <c r="U68" s="1258">
        <v>337899.80670000002</v>
      </c>
      <c r="V68" s="1258">
        <v>338759.9241</v>
      </c>
      <c r="W68" s="1258">
        <v>285773.66100000002</v>
      </c>
      <c r="X68" s="1258">
        <v>305258.00400000002</v>
      </c>
      <c r="Y68" s="1258">
        <v>318977.09610000002</v>
      </c>
      <c r="Z68" s="1258">
        <v>327680.50022300001</v>
      </c>
      <c r="AA68" s="1258">
        <v>314010.60100000002</v>
      </c>
      <c r="AB68" s="1258">
        <v>289786.52360000001</v>
      </c>
      <c r="AC68" s="1258">
        <v>313192.77130000002</v>
      </c>
      <c r="AD68" s="1258">
        <v>307902.26199999999</v>
      </c>
      <c r="AE68" s="1258">
        <v>317706.29119999998</v>
      </c>
      <c r="AF68" s="1258">
        <v>293045.18199999997</v>
      </c>
      <c r="AG68" s="1258">
        <v>286264.76769999997</v>
      </c>
      <c r="AH68" s="1258">
        <v>267139.05090000003</v>
      </c>
      <c r="AI68" s="1258">
        <v>309236.69079999998</v>
      </c>
      <c r="AJ68" s="1258">
        <v>368516.40120000002</v>
      </c>
      <c r="AK68" s="1258">
        <v>342873.94649999996</v>
      </c>
      <c r="AL68" s="1258">
        <v>369330.76390000008</v>
      </c>
      <c r="AM68" s="1258">
        <v>366600.84620000009</v>
      </c>
      <c r="AN68" s="1258">
        <v>306002.98710000003</v>
      </c>
      <c r="AO68" s="1258">
        <v>342714.58189999999</v>
      </c>
      <c r="AP68" s="1258">
        <v>342214.59299999994</v>
      </c>
      <c r="AQ68" s="1258">
        <v>351088.54519999993</v>
      </c>
      <c r="AR68" s="1258">
        <v>337846.3273</v>
      </c>
      <c r="AS68" s="1258">
        <v>355706.64029999991</v>
      </c>
      <c r="AT68" s="1258">
        <v>344126.47700000001</v>
      </c>
    </row>
    <row r="69" spans="1:46">
      <c r="A69" s="201" t="s">
        <v>299</v>
      </c>
      <c r="B69" s="1262" t="s">
        <v>327</v>
      </c>
      <c r="C69" s="1262">
        <v>128672</v>
      </c>
      <c r="D69" s="1262">
        <v>104026</v>
      </c>
      <c r="E69" s="1262">
        <v>141215</v>
      </c>
      <c r="F69" s="1262">
        <v>124888</v>
      </c>
      <c r="G69" s="1262">
        <v>125489</v>
      </c>
      <c r="H69" s="1262">
        <v>127202</v>
      </c>
      <c r="I69" s="1262">
        <v>136008</v>
      </c>
      <c r="J69" s="1262">
        <v>140256</v>
      </c>
      <c r="K69" s="1262">
        <v>132999</v>
      </c>
      <c r="L69" s="1262">
        <v>139986</v>
      </c>
      <c r="M69" s="1262">
        <v>134556</v>
      </c>
      <c r="N69" s="1262">
        <v>123701.637</v>
      </c>
      <c r="O69" s="1262">
        <v>122707.607</v>
      </c>
      <c r="P69" s="1262">
        <v>127627.73699999999</v>
      </c>
      <c r="Q69" s="1262">
        <v>138786.13699999999</v>
      </c>
      <c r="R69" s="1262">
        <v>120778.38</v>
      </c>
      <c r="S69" s="1262">
        <v>132058.76999999999</v>
      </c>
      <c r="T69" s="1262">
        <v>120223.981</v>
      </c>
      <c r="U69" s="1262">
        <v>123237.232</v>
      </c>
      <c r="V69" s="1262">
        <v>126598.274</v>
      </c>
      <c r="W69" s="1262">
        <v>126735.52220000001</v>
      </c>
      <c r="X69" s="1262">
        <v>162648.20600000001</v>
      </c>
      <c r="Y69" s="1262">
        <v>162005.345</v>
      </c>
      <c r="Z69" s="1262">
        <v>169651.33499999999</v>
      </c>
      <c r="AA69" s="1262">
        <v>171285.58799999999</v>
      </c>
      <c r="AB69" s="1262">
        <v>132201.2292</v>
      </c>
      <c r="AC69" s="1262">
        <v>131161.967</v>
      </c>
      <c r="AD69" s="1262">
        <v>112610.372</v>
      </c>
      <c r="AE69" s="1262">
        <v>129571.726</v>
      </c>
      <c r="AF69" s="1262">
        <v>127657.3196</v>
      </c>
      <c r="AG69" s="1262">
        <v>117029.50199999999</v>
      </c>
      <c r="AH69" s="1262">
        <v>124507.58499999998</v>
      </c>
      <c r="AI69" s="1262">
        <v>138473.592</v>
      </c>
      <c r="AJ69" s="1262">
        <v>163814.82500000001</v>
      </c>
      <c r="AK69" s="1262">
        <v>173036.91750000001</v>
      </c>
      <c r="AL69" s="1262">
        <v>201857.91099999999</v>
      </c>
      <c r="AM69" s="1262">
        <v>181075.64560000002</v>
      </c>
      <c r="AN69" s="1262">
        <v>143342.302</v>
      </c>
      <c r="AO69" s="1262">
        <v>153553.95609999995</v>
      </c>
      <c r="AP69" s="1262">
        <v>146647.967</v>
      </c>
      <c r="AQ69" s="1262">
        <v>143594.86500000002</v>
      </c>
      <c r="AR69" s="1262">
        <v>134195.16130000001</v>
      </c>
      <c r="AS69" s="1262">
        <v>150553.85020000002</v>
      </c>
      <c r="AT69" s="1262">
        <v>151439.0674</v>
      </c>
    </row>
    <row r="70" spans="1:46">
      <c r="A70" s="201" t="s">
        <v>299</v>
      </c>
      <c r="B70" s="1262" t="s">
        <v>328</v>
      </c>
      <c r="C70" s="1262">
        <v>36.425975524168798</v>
      </c>
      <c r="D70" s="1262">
        <v>35.499807850712202</v>
      </c>
      <c r="E70" s="1262">
        <v>41.4741739087019</v>
      </c>
      <c r="F70" s="1262">
        <v>40.476376170861698</v>
      </c>
      <c r="G70" s="1262">
        <v>38.358485230329499</v>
      </c>
      <c r="H70" s="1262">
        <v>40.970596596298201</v>
      </c>
      <c r="I70" s="1262">
        <v>41.989825488138997</v>
      </c>
      <c r="J70" s="1262">
        <v>44.1021953039319</v>
      </c>
      <c r="K70" s="1262">
        <v>43.621205740780098</v>
      </c>
      <c r="L70" s="1262">
        <v>43.416654431508597</v>
      </c>
      <c r="M70" s="1262">
        <v>44.601063267789598</v>
      </c>
      <c r="N70" s="1262">
        <v>40.437439276629199</v>
      </c>
      <c r="O70" s="1262">
        <v>40.516881880996699</v>
      </c>
      <c r="P70" s="1262">
        <v>41.238384534211797</v>
      </c>
      <c r="Q70" s="1273">
        <f>Q69/Q68*100</f>
        <v>42.410960265260478</v>
      </c>
      <c r="R70" s="1273">
        <f>R69/R68*100</f>
        <v>38.34499572219611</v>
      </c>
      <c r="S70" s="1273">
        <f>S69/S68*100</f>
        <v>41.792326337777276</v>
      </c>
      <c r="T70" s="1273">
        <f>T69/T68*100</f>
        <v>42.897843316902055</v>
      </c>
      <c r="U70" s="1262">
        <v>36.471530778179599</v>
      </c>
      <c r="V70" s="1262">
        <v>37.371089374382102</v>
      </c>
      <c r="W70" s="1262">
        <v>44.348216611887104</v>
      </c>
      <c r="X70" s="1262">
        <v>53.282208449479299</v>
      </c>
      <c r="Y70" s="1262">
        <v>50.789021212109503</v>
      </c>
      <c r="Z70" s="1262">
        <v>51.773399663558003</v>
      </c>
      <c r="AA70" s="1262">
        <v>54.547708725286</v>
      </c>
      <c r="AB70" s="1262">
        <v>45.620212961483602</v>
      </c>
      <c r="AC70" s="1262">
        <v>41.878989242175997</v>
      </c>
      <c r="AD70" s="1262">
        <v>36.573414975431398</v>
      </c>
      <c r="AE70" s="1262">
        <v>40.783493934161001</v>
      </c>
      <c r="AF70" s="1262">
        <v>43.562333538041202</v>
      </c>
      <c r="AG70" s="1262">
        <v>40.881559732368004</v>
      </c>
      <c r="AH70" s="1262">
        <v>46.607781445853732</v>
      </c>
      <c r="AI70" s="1262">
        <v>44.779159821483901</v>
      </c>
      <c r="AJ70" s="1262">
        <v>44.452519471743933</v>
      </c>
      <c r="AK70" s="1262">
        <v>50.466627536542795</v>
      </c>
      <c r="AL70" s="1262">
        <v>54.655049275736744</v>
      </c>
      <c r="AM70" s="1262">
        <v>49.393133561184882</v>
      </c>
      <c r="AN70" s="1262">
        <v>46.843432267919837</v>
      </c>
      <c r="AO70" s="1262">
        <v>44.805200656680888</v>
      </c>
      <c r="AP70" s="1262">
        <v>42.852633990392114</v>
      </c>
      <c r="AQ70" s="1262">
        <v>40.899900313808374</v>
      </c>
      <c r="AR70" s="1262">
        <v>39.720769609206883</v>
      </c>
      <c r="AS70" s="1262">
        <v>42.325285261198445</v>
      </c>
      <c r="AT70" s="1262">
        <v>44.00680491667022</v>
      </c>
    </row>
    <row r="71" spans="1:46">
      <c r="A71" s="201" t="s">
        <v>299</v>
      </c>
      <c r="B71" s="1262" t="s">
        <v>329</v>
      </c>
      <c r="C71" s="1262">
        <v>478</v>
      </c>
      <c r="D71" s="1262">
        <v>509</v>
      </c>
      <c r="E71" s="1262">
        <v>166</v>
      </c>
      <c r="F71" s="1262">
        <v>664</v>
      </c>
      <c r="G71" s="1262">
        <v>21.51</v>
      </c>
      <c r="H71" s="1262">
        <v>439</v>
      </c>
      <c r="I71" s="1262">
        <v>423</v>
      </c>
      <c r="J71" s="1262">
        <v>66</v>
      </c>
      <c r="K71" s="1262">
        <v>207</v>
      </c>
      <c r="L71" s="1262">
        <v>137</v>
      </c>
      <c r="M71" s="1262">
        <v>276</v>
      </c>
      <c r="N71" s="1262">
        <v>143.64599999999999</v>
      </c>
      <c r="O71" s="1262">
        <v>407.78399999999999</v>
      </c>
      <c r="P71" s="1262">
        <v>909.98</v>
      </c>
      <c r="Q71" s="1262">
        <v>787.37199999999996</v>
      </c>
      <c r="R71" s="1262">
        <v>134.43</v>
      </c>
      <c r="S71" s="1262">
        <v>351.82600000000002</v>
      </c>
      <c r="T71" s="1262">
        <v>96.197999999999993</v>
      </c>
      <c r="U71" s="1262">
        <v>0</v>
      </c>
      <c r="V71" s="1262">
        <v>147.62</v>
      </c>
      <c r="W71" s="1262">
        <v>281.07299999999998</v>
      </c>
      <c r="X71" s="1262">
        <v>60.317</v>
      </c>
      <c r="Y71" s="1262">
        <v>93.656999999999996</v>
      </c>
      <c r="Z71" s="1262">
        <v>192.64699999999999</v>
      </c>
      <c r="AA71" s="1262">
        <v>0</v>
      </c>
      <c r="AB71" s="1262">
        <v>0</v>
      </c>
      <c r="AC71" s="1262">
        <v>244.9</v>
      </c>
      <c r="AD71" s="1262">
        <v>316.86399999999998</v>
      </c>
      <c r="AE71" s="1262">
        <v>0</v>
      </c>
      <c r="AF71" s="1262">
        <v>387.59800000000001</v>
      </c>
      <c r="AG71" s="1262">
        <v>168.66</v>
      </c>
      <c r="AH71" s="1262">
        <v>52.591000000000001</v>
      </c>
      <c r="AI71" s="1262">
        <v>258.18</v>
      </c>
      <c r="AJ71" s="1262">
        <v>387.44200000000001</v>
      </c>
      <c r="AK71" s="1262">
        <v>442.69</v>
      </c>
      <c r="AL71" s="1262">
        <v>1106.527</v>
      </c>
      <c r="AM71" s="1262">
        <v>478.08</v>
      </c>
      <c r="AN71" s="1262">
        <v>0</v>
      </c>
      <c r="AO71" s="1262">
        <v>117.98</v>
      </c>
      <c r="AP71" s="1262">
        <v>0</v>
      </c>
      <c r="AQ71" s="1262">
        <v>1245.6890000000001</v>
      </c>
      <c r="AR71" s="1262">
        <v>0</v>
      </c>
      <c r="AS71" s="1262">
        <v>74.400000000000006</v>
      </c>
      <c r="AT71" s="1262">
        <v>170.7</v>
      </c>
    </row>
    <row r="72" spans="1:46">
      <c r="A72" s="201" t="s">
        <v>299</v>
      </c>
      <c r="B72" s="1262" t="s">
        <v>330</v>
      </c>
      <c r="N72" s="1262">
        <v>0</v>
      </c>
      <c r="O72" s="1262">
        <v>0</v>
      </c>
      <c r="P72" s="1262">
        <v>0</v>
      </c>
      <c r="Q72" s="1262">
        <v>0</v>
      </c>
      <c r="R72" s="1262">
        <v>0</v>
      </c>
      <c r="S72" s="1262">
        <v>0</v>
      </c>
      <c r="T72" s="1262">
        <v>0</v>
      </c>
      <c r="U72" s="1262">
        <v>0</v>
      </c>
      <c r="V72" s="1262">
        <v>0</v>
      </c>
      <c r="W72" s="1262">
        <v>0</v>
      </c>
      <c r="X72" s="1262">
        <v>0</v>
      </c>
      <c r="Y72" s="1262">
        <v>0</v>
      </c>
      <c r="Z72" s="1262">
        <v>0</v>
      </c>
      <c r="AA72" s="1262">
        <v>0</v>
      </c>
      <c r="AB72" s="1262">
        <v>0</v>
      </c>
      <c r="AC72" s="1262">
        <v>0</v>
      </c>
      <c r="AD72" s="1262">
        <v>0</v>
      </c>
      <c r="AE72" s="1262">
        <v>0</v>
      </c>
      <c r="AF72" s="1262">
        <v>0</v>
      </c>
      <c r="AG72" s="1262">
        <v>0</v>
      </c>
      <c r="AH72" s="1262">
        <v>0</v>
      </c>
      <c r="AI72" s="1262">
        <v>0</v>
      </c>
      <c r="AJ72" s="1262">
        <v>0</v>
      </c>
      <c r="AK72" s="1262">
        <v>0</v>
      </c>
      <c r="AL72" s="1262">
        <v>0</v>
      </c>
      <c r="AM72" s="1262">
        <v>0</v>
      </c>
      <c r="AN72" s="1262">
        <v>0</v>
      </c>
      <c r="AO72" s="1262">
        <v>0</v>
      </c>
      <c r="AP72" s="1262">
        <v>0</v>
      </c>
      <c r="AQ72" s="1262">
        <v>0</v>
      </c>
      <c r="AR72" s="1262">
        <v>0</v>
      </c>
      <c r="AS72" s="1262">
        <v>0</v>
      </c>
      <c r="AT72" s="1262">
        <v>0</v>
      </c>
    </row>
    <row r="73" spans="1:46">
      <c r="A73" s="201" t="s">
        <v>299</v>
      </c>
      <c r="B73" s="1262" t="s">
        <v>331</v>
      </c>
      <c r="N73" s="1262">
        <v>0</v>
      </c>
      <c r="O73" s="1262">
        <v>0</v>
      </c>
      <c r="P73" s="1262">
        <v>0</v>
      </c>
      <c r="Q73" s="1262">
        <v>0</v>
      </c>
      <c r="R73" s="1262">
        <v>0</v>
      </c>
      <c r="S73" s="1262">
        <v>0</v>
      </c>
      <c r="T73" s="1262">
        <v>0</v>
      </c>
      <c r="U73" s="1262">
        <v>0</v>
      </c>
      <c r="V73" s="1262">
        <v>0</v>
      </c>
      <c r="W73" s="1262">
        <v>0</v>
      </c>
      <c r="X73" s="1262">
        <v>0</v>
      </c>
      <c r="Y73" s="1262">
        <v>0</v>
      </c>
      <c r="Z73" s="1262">
        <v>0</v>
      </c>
      <c r="AA73" s="1262">
        <v>0</v>
      </c>
      <c r="AB73" s="1262">
        <v>0</v>
      </c>
      <c r="AC73" s="1262">
        <v>0</v>
      </c>
      <c r="AD73" s="1262">
        <v>0</v>
      </c>
      <c r="AE73" s="1262">
        <v>0</v>
      </c>
      <c r="AF73" s="1262">
        <v>0</v>
      </c>
      <c r="AG73" s="1262">
        <v>0</v>
      </c>
      <c r="AH73" s="1262">
        <v>0</v>
      </c>
      <c r="AI73" s="1262">
        <v>0</v>
      </c>
      <c r="AJ73" s="1262">
        <v>0</v>
      </c>
      <c r="AK73" s="1262">
        <v>0</v>
      </c>
      <c r="AL73" s="1262">
        <v>0</v>
      </c>
      <c r="AM73" s="1262">
        <v>0</v>
      </c>
      <c r="AN73" s="1262">
        <v>0</v>
      </c>
      <c r="AO73" s="1262">
        <v>0</v>
      </c>
      <c r="AP73" s="1262">
        <v>0</v>
      </c>
      <c r="AQ73" s="1262">
        <v>0</v>
      </c>
      <c r="AR73" s="1262">
        <v>0</v>
      </c>
      <c r="AS73" s="1262">
        <v>0</v>
      </c>
      <c r="AT73" s="1262">
        <v>0</v>
      </c>
    </row>
    <row r="74" spans="1:46">
      <c r="A74" s="201" t="s">
        <v>299</v>
      </c>
      <c r="B74" s="1262" t="s">
        <v>332</v>
      </c>
      <c r="C74" s="1262">
        <v>478</v>
      </c>
      <c r="D74" s="1262">
        <v>509</v>
      </c>
      <c r="E74" s="1262">
        <v>166</v>
      </c>
      <c r="F74" s="1262">
        <v>664</v>
      </c>
      <c r="G74" s="1262">
        <v>21.51</v>
      </c>
      <c r="H74" s="1262">
        <v>439</v>
      </c>
      <c r="I74" s="1262">
        <v>423</v>
      </c>
      <c r="J74" s="1262">
        <v>66</v>
      </c>
      <c r="K74" s="1262">
        <v>207</v>
      </c>
      <c r="L74" s="1262">
        <v>137</v>
      </c>
      <c r="M74" s="1262">
        <v>276</v>
      </c>
      <c r="N74" s="1262">
        <v>143.64599999999999</v>
      </c>
      <c r="O74" s="1262">
        <v>407.78399999999999</v>
      </c>
      <c r="P74" s="1262">
        <v>909.98</v>
      </c>
      <c r="Q74" s="1262">
        <v>787.37199999999996</v>
      </c>
      <c r="R74" s="1262">
        <f>R71</f>
        <v>134.43</v>
      </c>
      <c r="S74" s="1262">
        <v>351.82600000000002</v>
      </c>
      <c r="T74" s="1262">
        <v>96.197999999999993</v>
      </c>
      <c r="U74" s="1262">
        <v>0</v>
      </c>
      <c r="V74" s="1262">
        <v>147.62</v>
      </c>
      <c r="W74" s="1262">
        <v>281.07299999999998</v>
      </c>
      <c r="X74" s="1262">
        <v>60.317</v>
      </c>
      <c r="Y74" s="1262">
        <v>93.656999999999996</v>
      </c>
      <c r="Z74" s="1262">
        <v>192.64699999999999</v>
      </c>
      <c r="AA74" s="1262">
        <v>0</v>
      </c>
      <c r="AB74" s="1262">
        <v>0</v>
      </c>
      <c r="AC74" s="1262">
        <v>244.9</v>
      </c>
      <c r="AD74" s="1262">
        <v>316.86399999999998</v>
      </c>
      <c r="AE74" s="1262">
        <v>0</v>
      </c>
      <c r="AF74" s="1262">
        <v>387.59800000000001</v>
      </c>
      <c r="AG74" s="1262">
        <v>168.66</v>
      </c>
      <c r="AH74" s="1262">
        <v>52.591000000000001</v>
      </c>
      <c r="AI74" s="1262">
        <v>258.18</v>
      </c>
      <c r="AJ74" s="1262">
        <v>387.44200000000001</v>
      </c>
      <c r="AK74" s="1262">
        <v>442.69</v>
      </c>
      <c r="AL74" s="1262">
        <v>1106.527</v>
      </c>
      <c r="AM74" s="1262">
        <v>478.08</v>
      </c>
      <c r="AN74" s="1262">
        <v>0</v>
      </c>
      <c r="AO74" s="1262">
        <v>117.98</v>
      </c>
      <c r="AP74" s="1262">
        <v>0</v>
      </c>
      <c r="AQ74" s="1262">
        <v>1245.6890000000001</v>
      </c>
      <c r="AR74" s="1262">
        <v>0</v>
      </c>
      <c r="AS74" s="1262">
        <v>74.400000000000006</v>
      </c>
      <c r="AT74" s="1262">
        <v>170.7</v>
      </c>
    </row>
    <row r="75" spans="1:46">
      <c r="A75" s="201" t="s">
        <v>299</v>
      </c>
      <c r="B75" s="1262" t="s">
        <v>333</v>
      </c>
      <c r="C75" s="1262">
        <v>352764.42700000003</v>
      </c>
      <c r="D75" s="1262">
        <v>292523.57199999999</v>
      </c>
      <c r="E75" s="1262">
        <v>340323</v>
      </c>
      <c r="F75" s="1262">
        <v>307881.408</v>
      </c>
      <c r="G75" s="1262">
        <v>327126.44500000001</v>
      </c>
      <c r="H75" s="1262">
        <v>310032.43699999998</v>
      </c>
      <c r="I75" s="1262">
        <v>323484.038</v>
      </c>
      <c r="J75" s="1262">
        <v>317958.98499999999</v>
      </c>
      <c r="K75" s="1262">
        <v>304688.28600000002</v>
      </c>
      <c r="L75" s="1262">
        <v>322287.65899999999</v>
      </c>
      <c r="M75" s="1262">
        <v>301411.875</v>
      </c>
      <c r="N75" s="1262">
        <v>305765.03470000002</v>
      </c>
      <c r="O75" s="1262">
        <v>302447.72042999999</v>
      </c>
      <c r="P75" s="1262">
        <v>308577.74228000001</v>
      </c>
      <c r="Q75" s="1262">
        <v>326453.83199999999</v>
      </c>
      <c r="R75" s="1262">
        <v>314843.62514999998</v>
      </c>
      <c r="S75" s="1262">
        <v>315636.255</v>
      </c>
      <c r="T75" s="1262">
        <v>280160.27110000001</v>
      </c>
      <c r="U75" s="1262">
        <v>337899.80670000002</v>
      </c>
      <c r="V75" s="1262">
        <v>338612.30410000001</v>
      </c>
      <c r="W75" s="1262">
        <v>285492.58799999999</v>
      </c>
      <c r="X75" s="1262">
        <v>305197.68699999998</v>
      </c>
      <c r="Y75" s="1262">
        <v>318883.43910000002</v>
      </c>
      <c r="Z75" s="1262">
        <v>327487.85322300001</v>
      </c>
      <c r="AA75" s="1262">
        <v>314010.60100000002</v>
      </c>
      <c r="AB75" s="1262">
        <v>289786.52360000001</v>
      </c>
      <c r="AC75" s="1262">
        <v>312947.8713</v>
      </c>
      <c r="AD75" s="1262">
        <v>307585.39799999999</v>
      </c>
      <c r="AE75" s="1262">
        <v>317706.29119999998</v>
      </c>
      <c r="AF75" s="1262">
        <v>292657.58399999997</v>
      </c>
      <c r="AG75" s="1262">
        <v>286096.10769999999</v>
      </c>
      <c r="AH75" s="1262">
        <v>267086.45990000002</v>
      </c>
      <c r="AI75" s="1262">
        <v>308978.51079999999</v>
      </c>
      <c r="AJ75" s="1262">
        <v>368128.95920000004</v>
      </c>
      <c r="AK75" s="1262">
        <v>342431.25649999996</v>
      </c>
      <c r="AL75" s="1262">
        <v>368224.23690000008</v>
      </c>
      <c r="AM75" s="1262">
        <v>366122.76620000007</v>
      </c>
      <c r="AN75" s="1262">
        <v>306002.98710000003</v>
      </c>
      <c r="AO75" s="1262">
        <v>342596.60190000001</v>
      </c>
      <c r="AP75" s="1262">
        <v>342214.59299999994</v>
      </c>
      <c r="AQ75" s="1262">
        <v>349842.85619999992</v>
      </c>
      <c r="AR75" s="1262">
        <v>337846.3273</v>
      </c>
      <c r="AS75" s="1262">
        <v>355632.24029999989</v>
      </c>
      <c r="AT75" s="1262">
        <v>343955.777</v>
      </c>
    </row>
    <row r="76" spans="1:46">
      <c r="A76" s="201" t="s">
        <v>299</v>
      </c>
      <c r="B76" s="1262" t="s">
        <v>302</v>
      </c>
      <c r="C76" s="1262">
        <v>2075</v>
      </c>
      <c r="D76" s="1262">
        <v>1581</v>
      </c>
      <c r="E76" s="1262">
        <v>1950</v>
      </c>
      <c r="F76" s="1262">
        <v>1316</v>
      </c>
      <c r="G76" s="1262">
        <v>1848</v>
      </c>
      <c r="H76" s="1262">
        <v>2056</v>
      </c>
      <c r="I76" s="1262">
        <v>1848</v>
      </c>
      <c r="J76" s="1262">
        <v>2333</v>
      </c>
      <c r="K76" s="1262">
        <v>7873</v>
      </c>
      <c r="L76" s="1262">
        <v>4279</v>
      </c>
      <c r="M76" s="1262">
        <v>1609</v>
      </c>
      <c r="N76" s="1262">
        <v>1386.4870000000001</v>
      </c>
      <c r="O76" s="1262">
        <v>1223.2070000000001</v>
      </c>
      <c r="P76" s="1262">
        <v>2433.8890000000001</v>
      </c>
      <c r="Q76" s="1262">
        <v>2300.9929999999999</v>
      </c>
      <c r="R76" s="1262">
        <v>2080.924</v>
      </c>
      <c r="S76" s="1262">
        <v>2185.1109999999999</v>
      </c>
      <c r="T76" s="1262">
        <v>2576.127</v>
      </c>
      <c r="U76" s="1262">
        <v>3206.7869999999998</v>
      </c>
      <c r="V76" s="1262">
        <v>1682.825</v>
      </c>
      <c r="W76" s="1262">
        <v>1962.306</v>
      </c>
      <c r="X76" s="1262">
        <v>2132.1120000000001</v>
      </c>
      <c r="Y76" s="1262">
        <v>2155.529</v>
      </c>
      <c r="Z76" s="1262">
        <v>2431.6370000000002</v>
      </c>
      <c r="AA76" s="1262">
        <v>1200.739</v>
      </c>
      <c r="AB76" s="1262">
        <v>395.37900000000002</v>
      </c>
      <c r="AC76" s="1262">
        <v>1192.664</v>
      </c>
      <c r="AD76" s="1262">
        <v>2333.5219999999999</v>
      </c>
      <c r="AE76" s="1262">
        <v>2132.1329999999998</v>
      </c>
      <c r="AF76" s="1262">
        <v>2571.8739999999998</v>
      </c>
      <c r="AG76" s="1262">
        <v>2621.1419999999998</v>
      </c>
      <c r="AH76" s="1262">
        <v>2034.8109999999999</v>
      </c>
      <c r="AI76" s="1262">
        <v>2361.308</v>
      </c>
      <c r="AJ76" s="1262">
        <v>2183.5439999999999</v>
      </c>
      <c r="AK76" s="1262">
        <v>2582.3229999999999</v>
      </c>
      <c r="AL76" s="1262">
        <v>747.11299999999983</v>
      </c>
      <c r="AM76" s="1262">
        <v>1662.761</v>
      </c>
      <c r="AN76" s="1262">
        <v>1581.0080000000003</v>
      </c>
      <c r="AO76" s="1262">
        <v>674.02600000000007</v>
      </c>
      <c r="AP76" s="1262">
        <v>1721.309</v>
      </c>
      <c r="AQ76" s="1262">
        <v>1569.6770000000004</v>
      </c>
      <c r="AR76" s="1262">
        <v>1039.482</v>
      </c>
      <c r="AS76" s="1262">
        <v>1122.9949999999999</v>
      </c>
      <c r="AT76" s="1262">
        <v>1578.4519999999998</v>
      </c>
    </row>
    <row r="77" spans="1:46">
      <c r="A77" s="201" t="s">
        <v>299</v>
      </c>
      <c r="B77" s="1262" t="s">
        <v>304</v>
      </c>
      <c r="C77" s="1262">
        <v>851</v>
      </c>
      <c r="D77" s="1262">
        <v>610</v>
      </c>
      <c r="E77" s="1262">
        <v>610</v>
      </c>
      <c r="F77" s="1262">
        <v>449</v>
      </c>
      <c r="G77" s="1262">
        <v>864</v>
      </c>
      <c r="H77" s="1262">
        <v>1075</v>
      </c>
      <c r="I77" s="1262">
        <v>809</v>
      </c>
      <c r="J77" s="1262">
        <v>1392</v>
      </c>
      <c r="K77" s="1262">
        <v>6516</v>
      </c>
      <c r="L77" s="1262">
        <v>2963</v>
      </c>
      <c r="M77" s="1262">
        <v>722</v>
      </c>
      <c r="N77" s="1262">
        <v>690.66800000000001</v>
      </c>
      <c r="O77" s="1262">
        <v>1084.2190000000001</v>
      </c>
      <c r="P77" s="1262">
        <v>804.62400000000002</v>
      </c>
      <c r="Q77" s="1262">
        <v>661.04300000000001</v>
      </c>
      <c r="R77" s="1262">
        <v>719.56399999999996</v>
      </c>
      <c r="S77" s="1262">
        <v>774.74300000000005</v>
      </c>
      <c r="T77" s="1262">
        <v>1131.9100000000001</v>
      </c>
      <c r="U77" s="1262">
        <v>808.75199999999995</v>
      </c>
      <c r="V77" s="1262">
        <v>474.07</v>
      </c>
      <c r="W77" s="1262">
        <v>438.33800000000002</v>
      </c>
      <c r="X77" s="1262">
        <v>476.83</v>
      </c>
      <c r="Y77" s="1262">
        <v>417.86399999999998</v>
      </c>
      <c r="Z77" s="1262">
        <v>440.52499999999998</v>
      </c>
      <c r="AA77" s="1262">
        <v>255.24700000000001</v>
      </c>
      <c r="AB77" s="1262">
        <v>209.869</v>
      </c>
      <c r="AC77" s="1262">
        <v>201.233</v>
      </c>
      <c r="AD77" s="1262">
        <v>653.61400000000003</v>
      </c>
      <c r="AE77" s="1262">
        <v>800.67600000000004</v>
      </c>
      <c r="AF77" s="1262">
        <v>743.15599999999995</v>
      </c>
      <c r="AG77" s="1262">
        <v>834.47</v>
      </c>
      <c r="AH77" s="1262">
        <v>527.19299999999998</v>
      </c>
      <c r="AI77" s="1262">
        <v>548.28800000000001</v>
      </c>
      <c r="AJ77" s="1262">
        <v>257.97399999999999</v>
      </c>
      <c r="AK77" s="1262">
        <v>1262.2329999999999</v>
      </c>
      <c r="AL77" s="1262">
        <v>495.74799999999999</v>
      </c>
      <c r="AM77" s="1262">
        <v>411.59800000000001</v>
      </c>
      <c r="AN77" s="1262">
        <v>263.363</v>
      </c>
      <c r="AO77" s="1262">
        <v>349.36700000000002</v>
      </c>
      <c r="AP77" s="1262">
        <v>151.459</v>
      </c>
      <c r="AQ77" s="1262">
        <v>105.324</v>
      </c>
      <c r="AR77" s="1262">
        <v>395.99599999999998</v>
      </c>
      <c r="AS77" s="1262">
        <v>162.226</v>
      </c>
      <c r="AT77" s="1262">
        <v>205.547</v>
      </c>
    </row>
    <row r="78" spans="1:46">
      <c r="A78" s="201" t="s">
        <v>299</v>
      </c>
      <c r="B78" s="1262" t="s">
        <v>305</v>
      </c>
      <c r="C78" s="1262">
        <v>1224</v>
      </c>
      <c r="D78" s="1262">
        <v>971</v>
      </c>
      <c r="E78" s="1262">
        <v>1340</v>
      </c>
      <c r="F78" s="1262">
        <v>867</v>
      </c>
      <c r="G78" s="1262">
        <v>984</v>
      </c>
      <c r="H78" s="1262">
        <v>981</v>
      </c>
      <c r="I78" s="1262">
        <v>1039</v>
      </c>
      <c r="J78" s="1262">
        <v>941</v>
      </c>
      <c r="K78" s="1262">
        <v>1357</v>
      </c>
      <c r="L78" s="1262">
        <v>1316</v>
      </c>
      <c r="M78" s="1262">
        <v>887</v>
      </c>
      <c r="N78" s="1262">
        <v>695.81899999999996</v>
      </c>
      <c r="O78" s="1262">
        <v>138.988</v>
      </c>
      <c r="P78" s="1262">
        <v>1629.2650000000001</v>
      </c>
      <c r="Q78" s="1262">
        <v>1639.95</v>
      </c>
      <c r="R78" s="1262">
        <v>1361.36</v>
      </c>
      <c r="S78" s="1262">
        <v>1410.3679999999999</v>
      </c>
      <c r="T78" s="1262">
        <v>1444.2170000000001</v>
      </c>
      <c r="U78" s="1262">
        <v>2398.0349999999999</v>
      </c>
      <c r="V78" s="1262">
        <v>1208.7550000000001</v>
      </c>
      <c r="W78" s="1262">
        <v>1523.9680000000001</v>
      </c>
      <c r="X78" s="1262">
        <v>1655.2819999999999</v>
      </c>
      <c r="Y78" s="1262">
        <v>1737.665</v>
      </c>
      <c r="Z78" s="1262">
        <v>1991.1120000000001</v>
      </c>
      <c r="AA78" s="1262">
        <v>945.49199999999996</v>
      </c>
      <c r="AB78" s="1262">
        <v>185.51</v>
      </c>
      <c r="AC78" s="1262">
        <v>991.43100000000004</v>
      </c>
      <c r="AD78" s="1262">
        <v>1679.9079999999999</v>
      </c>
      <c r="AE78" s="1262">
        <v>1331.4570000000001</v>
      </c>
      <c r="AF78" s="1262">
        <v>1828.7180000000001</v>
      </c>
      <c r="AG78" s="1262">
        <v>1786.672</v>
      </c>
      <c r="AH78" s="1262">
        <v>1507.6179999999999</v>
      </c>
      <c r="AI78" s="1262">
        <v>1813.02</v>
      </c>
      <c r="AJ78" s="1262">
        <v>1925.57</v>
      </c>
      <c r="AK78" s="1262">
        <v>1320.09</v>
      </c>
      <c r="AL78" s="1262">
        <v>251.36499999999978</v>
      </c>
      <c r="AM78" s="1262">
        <v>1251.163</v>
      </c>
      <c r="AN78" s="1262">
        <v>1317.6450000000002</v>
      </c>
      <c r="AO78" s="1262">
        <v>324.65899999999999</v>
      </c>
      <c r="AP78" s="1262">
        <v>1569.85</v>
      </c>
      <c r="AQ78" s="1262">
        <v>1464.3530000000003</v>
      </c>
      <c r="AR78" s="1262">
        <v>643.48599999999999</v>
      </c>
      <c r="AS78" s="1262">
        <v>960.76900000000001</v>
      </c>
      <c r="AT78" s="1262">
        <v>1372.9049999999997</v>
      </c>
    </row>
    <row r="79" spans="1:46">
      <c r="A79" s="201" t="s">
        <v>299</v>
      </c>
      <c r="B79" s="1262" t="s">
        <v>307</v>
      </c>
      <c r="C79" s="1262">
        <v>7825</v>
      </c>
      <c r="D79" s="1262">
        <v>5847</v>
      </c>
      <c r="E79" s="1262">
        <v>7287</v>
      </c>
      <c r="F79" s="1262">
        <v>6584</v>
      </c>
      <c r="G79" s="1262">
        <v>6561</v>
      </c>
      <c r="H79" s="1262">
        <v>7500</v>
      </c>
      <c r="I79" s="1262">
        <v>6425</v>
      </c>
      <c r="J79" s="1262">
        <v>6136</v>
      </c>
      <c r="K79" s="1262">
        <v>7061</v>
      </c>
      <c r="L79" s="1262">
        <v>7748</v>
      </c>
      <c r="M79" s="1262">
        <v>5809</v>
      </c>
      <c r="N79" s="1262">
        <v>5979.835</v>
      </c>
      <c r="O79" s="1262">
        <v>5251.4629999999997</v>
      </c>
      <c r="P79" s="1262">
        <v>6097.817</v>
      </c>
      <c r="Q79" s="1262">
        <v>7728.7349999999997</v>
      </c>
      <c r="R79" s="1262">
        <v>6964.2190000000001</v>
      </c>
      <c r="S79" s="1262">
        <v>8621.7199999999993</v>
      </c>
      <c r="T79" s="1262">
        <v>-72.22</v>
      </c>
      <c r="U79" s="1262">
        <v>2771.116</v>
      </c>
      <c r="V79" s="1262">
        <v>6281.7079999999996</v>
      </c>
      <c r="W79" s="1262">
        <v>4608.8890000000001</v>
      </c>
      <c r="X79" s="1262">
        <v>7723.88</v>
      </c>
      <c r="Y79" s="1262">
        <v>2469.498</v>
      </c>
      <c r="Z79" s="1262">
        <v>2017.06</v>
      </c>
      <c r="AA79" s="1262">
        <v>1538.923</v>
      </c>
      <c r="AB79" s="1262">
        <v>4348.1639999999998</v>
      </c>
      <c r="AC79" s="1262">
        <v>7462.8429999999998</v>
      </c>
      <c r="AD79" s="1262">
        <v>4414.12</v>
      </c>
      <c r="AE79" s="1262">
        <v>5981.8379999999997</v>
      </c>
      <c r="AF79" s="1262">
        <v>7703.3630000000003</v>
      </c>
      <c r="AG79" s="1262">
        <v>8750.6149999999998</v>
      </c>
      <c r="AH79" s="1262">
        <v>7269.2729999999992</v>
      </c>
      <c r="AI79" s="1262">
        <v>5340.6049999999996</v>
      </c>
      <c r="AJ79" s="1262">
        <v>6088.3940000000002</v>
      </c>
      <c r="AK79" s="1262">
        <v>5972.3939999999993</v>
      </c>
      <c r="AL79" s="1262">
        <v>6886.2070000000003</v>
      </c>
      <c r="AM79" s="1262">
        <v>5787.95</v>
      </c>
      <c r="AN79" s="1262">
        <v>4652.6440000000002</v>
      </c>
      <c r="AO79" s="1262">
        <v>5902.5959999999995</v>
      </c>
      <c r="AP79" s="1262">
        <v>4331.3609999999999</v>
      </c>
      <c r="AQ79" s="1262">
        <v>7318.5810000000001</v>
      </c>
      <c r="AR79" s="1262">
        <v>5577.3270000000002</v>
      </c>
      <c r="AS79" s="1262">
        <v>7245.9259999999995</v>
      </c>
      <c r="AT79" s="1262">
        <v>6190.415</v>
      </c>
    </row>
    <row r="80" spans="1:46">
      <c r="A80" s="201" t="s">
        <v>299</v>
      </c>
      <c r="B80" s="1262" t="s">
        <v>334</v>
      </c>
      <c r="C80" s="1262">
        <v>10266</v>
      </c>
      <c r="D80" s="1262">
        <v>9854</v>
      </c>
      <c r="E80" s="1262">
        <v>9989</v>
      </c>
      <c r="F80" s="1262">
        <v>9761</v>
      </c>
      <c r="G80" s="1262">
        <v>7210</v>
      </c>
      <c r="H80" s="1262">
        <v>10351</v>
      </c>
      <c r="I80" s="1262">
        <v>10050</v>
      </c>
      <c r="J80" s="1262">
        <v>10444</v>
      </c>
      <c r="K80" s="1262">
        <v>9695</v>
      </c>
      <c r="L80" s="1262">
        <v>10851</v>
      </c>
      <c r="M80" s="1262">
        <v>10145</v>
      </c>
      <c r="N80" s="1262">
        <v>8894.8349999999991</v>
      </c>
      <c r="O80" s="1262">
        <v>10985.709000000001</v>
      </c>
      <c r="P80" s="1262">
        <v>9647.5460000000003</v>
      </c>
      <c r="Q80" s="1262">
        <v>11159.593999999999</v>
      </c>
      <c r="R80" s="1262">
        <v>10130.245000000001</v>
      </c>
      <c r="S80" s="1262">
        <v>9950.8189999999995</v>
      </c>
      <c r="T80" s="1262">
        <v>9447.3780000000006</v>
      </c>
      <c r="U80" s="1262">
        <v>10150.981</v>
      </c>
      <c r="V80" s="1262">
        <v>9749.93</v>
      </c>
      <c r="W80" s="1262">
        <v>8545.5349999999999</v>
      </c>
      <c r="X80" s="1262">
        <v>8117.41</v>
      </c>
      <c r="Y80" s="1262">
        <v>10894.029</v>
      </c>
      <c r="Z80" s="1262">
        <v>10197.026</v>
      </c>
      <c r="AA80" s="1262">
        <v>10548.796</v>
      </c>
      <c r="AB80" s="1262">
        <v>9712.8510000000006</v>
      </c>
      <c r="AC80" s="1262">
        <v>10800.891</v>
      </c>
      <c r="AD80" s="1262">
        <v>10294.005999999999</v>
      </c>
      <c r="AE80" s="1262">
        <v>10003.281999999999</v>
      </c>
      <c r="AF80" s="1262">
        <v>10049.957</v>
      </c>
      <c r="AG80" s="1262">
        <v>7055.308</v>
      </c>
      <c r="AH80" s="1262">
        <v>10400.156000000001</v>
      </c>
      <c r="AI80" s="1262">
        <v>10086.164999999999</v>
      </c>
      <c r="AJ80" s="1262">
        <v>10363.798000000001</v>
      </c>
      <c r="AK80" s="1262">
        <v>8787.5989999999983</v>
      </c>
      <c r="AL80" s="1262">
        <v>10367.683999999999</v>
      </c>
      <c r="AM80" s="1262">
        <v>11260.431</v>
      </c>
      <c r="AN80" s="1262">
        <v>9727.1309999999994</v>
      </c>
      <c r="AO80" s="1262">
        <v>10681.992</v>
      </c>
      <c r="AP80" s="1262">
        <v>10129.156000000001</v>
      </c>
      <c r="AQ80" s="1262">
        <v>10560.888999999999</v>
      </c>
      <c r="AR80" s="1262">
        <v>10187.366</v>
      </c>
      <c r="AS80" s="1262">
        <v>10095.776</v>
      </c>
      <c r="AT80" s="1262">
        <v>10520.130999999999</v>
      </c>
    </row>
    <row r="81" spans="1:46">
      <c r="A81" s="201" t="s">
        <v>299</v>
      </c>
      <c r="B81" s="1262" t="s">
        <v>335</v>
      </c>
      <c r="M81" s="1262">
        <v>11</v>
      </c>
      <c r="N81" s="1262">
        <v>0</v>
      </c>
      <c r="O81" s="1262">
        <v>6.33</v>
      </c>
      <c r="P81" s="1262">
        <v>0</v>
      </c>
      <c r="Q81" s="1262">
        <v>0</v>
      </c>
      <c r="R81" s="1262">
        <v>0.125</v>
      </c>
      <c r="S81" s="1262">
        <v>9.24</v>
      </c>
      <c r="T81" s="1262">
        <v>0</v>
      </c>
      <c r="U81" s="1262">
        <v>-10.545</v>
      </c>
      <c r="V81" s="1262">
        <v>0</v>
      </c>
      <c r="W81" s="1262">
        <v>0</v>
      </c>
      <c r="X81" s="1262">
        <v>0</v>
      </c>
      <c r="Y81" s="1262">
        <v>0</v>
      </c>
      <c r="Z81" s="1262">
        <v>0</v>
      </c>
      <c r="AA81" s="1262">
        <v>4.915</v>
      </c>
      <c r="AB81" s="1262">
        <v>0</v>
      </c>
      <c r="AC81" s="1262">
        <v>12.03</v>
      </c>
      <c r="AD81" s="1262">
        <v>0</v>
      </c>
      <c r="AE81" s="1262">
        <v>14.71</v>
      </c>
      <c r="AF81" s="1262">
        <v>0</v>
      </c>
      <c r="AG81" s="1262">
        <v>0</v>
      </c>
      <c r="AH81" s="1262">
        <v>0</v>
      </c>
      <c r="AI81" s="1262">
        <v>0</v>
      </c>
      <c r="AJ81" s="1262">
        <v>6.24</v>
      </c>
      <c r="AK81" s="1262">
        <v>20.75</v>
      </c>
      <c r="AL81" s="1262">
        <v>4.0199999999999996</v>
      </c>
      <c r="AM81" s="1262">
        <v>0</v>
      </c>
      <c r="AN81" s="1262">
        <v>23.545000000000002</v>
      </c>
      <c r="AO81" s="1262">
        <v>0</v>
      </c>
      <c r="AP81" s="1262">
        <v>27.35</v>
      </c>
      <c r="AQ81" s="1262">
        <v>0</v>
      </c>
      <c r="AR81" s="1262">
        <v>0</v>
      </c>
      <c r="AS81" s="1262">
        <v>0</v>
      </c>
      <c r="AT81" s="1262">
        <v>26.09</v>
      </c>
    </row>
    <row r="82" spans="1:46">
      <c r="A82" s="201" t="s">
        <v>299</v>
      </c>
      <c r="B82" s="1262" t="s">
        <v>312</v>
      </c>
      <c r="C82" s="1262">
        <v>39432</v>
      </c>
      <c r="D82" s="1262">
        <v>24084</v>
      </c>
      <c r="E82" s="1262">
        <v>27111</v>
      </c>
      <c r="F82" s="1262">
        <v>25198</v>
      </c>
      <c r="G82" s="1262">
        <v>24865</v>
      </c>
      <c r="H82" s="1262">
        <v>23120</v>
      </c>
      <c r="I82" s="1262">
        <v>18091</v>
      </c>
      <c r="J82" s="1262">
        <v>28442</v>
      </c>
      <c r="K82" s="1262">
        <v>22366</v>
      </c>
      <c r="L82" s="1262">
        <v>19221</v>
      </c>
      <c r="M82" s="1262">
        <v>18134</v>
      </c>
      <c r="N82" s="1262">
        <v>15631.26</v>
      </c>
      <c r="O82" s="1262">
        <v>15966.78</v>
      </c>
      <c r="P82" s="1262">
        <v>30830.85</v>
      </c>
      <c r="Q82" s="1262">
        <v>19637.28</v>
      </c>
      <c r="R82" s="1262">
        <v>11096.5</v>
      </c>
      <c r="S82" s="1262">
        <v>4285.13</v>
      </c>
      <c r="T82" s="1262">
        <v>12449.4</v>
      </c>
      <c r="U82" s="1262">
        <v>20230.57</v>
      </c>
      <c r="V82" s="1262">
        <v>21197.1</v>
      </c>
      <c r="W82" s="1262">
        <v>15092.24</v>
      </c>
      <c r="X82" s="1262">
        <v>16329.22</v>
      </c>
      <c r="Y82" s="1262">
        <v>25704.9</v>
      </c>
      <c r="Z82" s="1262">
        <v>38315.64</v>
      </c>
      <c r="AA82" s="1262">
        <v>22805.85</v>
      </c>
      <c r="AB82" s="1262">
        <v>26881.38</v>
      </c>
      <c r="AC82" s="1262">
        <v>13196.7</v>
      </c>
      <c r="AD82" s="1262">
        <v>9954.8799999999992</v>
      </c>
      <c r="AE82" s="1262">
        <v>22563.15</v>
      </c>
      <c r="AF82" s="1262">
        <v>7495.06</v>
      </c>
      <c r="AG82" s="1262">
        <v>0</v>
      </c>
      <c r="AH82" s="1262">
        <v>3484.53</v>
      </c>
      <c r="AI82" s="1262">
        <v>31640.31</v>
      </c>
      <c r="AJ82" s="1262">
        <v>53487.815999999999</v>
      </c>
      <c r="AK82" s="1262">
        <v>49759.678999999989</v>
      </c>
      <c r="AL82" s="1262">
        <v>65149.042000000001</v>
      </c>
      <c r="AM82" s="1262">
        <v>42727.45</v>
      </c>
      <c r="AN82" s="1262">
        <v>17999.868999999995</v>
      </c>
      <c r="AO82" s="1262">
        <v>9023.8049999999967</v>
      </c>
      <c r="AP82" s="1262">
        <v>16666.04</v>
      </c>
      <c r="AQ82" s="1262">
        <v>19660.679999999997</v>
      </c>
      <c r="AR82" s="1262">
        <v>15614.170000000002</v>
      </c>
      <c r="AS82" s="1262">
        <v>20948.309999999998</v>
      </c>
      <c r="AT82" s="1262">
        <v>17535.27</v>
      </c>
    </row>
    <row r="83" spans="1:46">
      <c r="A83" s="201" t="s">
        <v>299</v>
      </c>
      <c r="B83" s="1262" t="s">
        <v>313</v>
      </c>
      <c r="C83" s="1262">
        <v>5595</v>
      </c>
      <c r="D83" s="1262">
        <v>8615</v>
      </c>
      <c r="E83" s="1262">
        <v>4120</v>
      </c>
      <c r="F83" s="1262">
        <v>2900</v>
      </c>
      <c r="H83" s="1262">
        <v>10339</v>
      </c>
      <c r="I83" s="1262">
        <v>5516</v>
      </c>
      <c r="J83" s="1262">
        <v>2308</v>
      </c>
      <c r="L83" s="1262">
        <v>6633</v>
      </c>
      <c r="M83" s="1262">
        <v>7457</v>
      </c>
      <c r="N83" s="1262">
        <v>7132.71</v>
      </c>
      <c r="O83" s="1262">
        <v>7551.74</v>
      </c>
      <c r="P83" s="1262">
        <v>0</v>
      </c>
      <c r="Q83" s="1262">
        <v>4881.96</v>
      </c>
      <c r="R83" s="1262">
        <v>11096.5</v>
      </c>
      <c r="S83" s="1262">
        <v>4285.13</v>
      </c>
      <c r="T83" s="1262">
        <v>4208.1000000000004</v>
      </c>
      <c r="U83" s="1262">
        <v>11414.55</v>
      </c>
      <c r="V83" s="1262">
        <v>6012.66</v>
      </c>
      <c r="W83" s="1262">
        <v>0</v>
      </c>
      <c r="X83" s="1262">
        <v>680.36</v>
      </c>
      <c r="Y83" s="1262">
        <v>652.47</v>
      </c>
      <c r="Z83" s="1262">
        <v>5271.31</v>
      </c>
      <c r="AA83" s="1262">
        <v>3532.08</v>
      </c>
      <c r="AB83" s="1262">
        <v>2797.17</v>
      </c>
      <c r="AC83" s="1262">
        <v>0</v>
      </c>
      <c r="AD83" s="1262">
        <v>0</v>
      </c>
      <c r="AE83" s="1262">
        <v>3386.61</v>
      </c>
      <c r="AF83" s="1262">
        <v>4645.1400000000003</v>
      </c>
      <c r="AG83" s="1262">
        <v>0</v>
      </c>
      <c r="AH83" s="1262">
        <v>3484.53</v>
      </c>
      <c r="AI83" s="1262">
        <v>0</v>
      </c>
      <c r="AJ83" s="1262">
        <v>1785.57</v>
      </c>
      <c r="AK83" s="1262">
        <v>1376.3889999999956</v>
      </c>
      <c r="AL83" s="1262">
        <v>2772.403999999995</v>
      </c>
      <c r="AM83" s="1262">
        <v>22058.701999999997</v>
      </c>
      <c r="AN83" s="1262">
        <v>17999.868999999995</v>
      </c>
      <c r="AO83" s="1262">
        <v>0</v>
      </c>
      <c r="AP83" s="1262">
        <v>16666.04</v>
      </c>
      <c r="AQ83" s="1262">
        <v>19660.679999999997</v>
      </c>
      <c r="AR83" s="1262">
        <v>15614.170000000002</v>
      </c>
      <c r="AS83" s="1262">
        <v>16041.879999999997</v>
      </c>
      <c r="AT83" s="1262">
        <v>17535.27</v>
      </c>
    </row>
    <row r="84" spans="1:46">
      <c r="A84" s="201" t="s">
        <v>299</v>
      </c>
      <c r="B84" s="1262" t="s">
        <v>314</v>
      </c>
      <c r="C84" s="1262">
        <v>33837</v>
      </c>
      <c r="D84" s="1262">
        <v>15469</v>
      </c>
      <c r="E84" s="1262">
        <v>22991</v>
      </c>
      <c r="F84" s="1262">
        <v>22298</v>
      </c>
      <c r="G84" s="1262">
        <v>24865</v>
      </c>
      <c r="H84" s="1262">
        <v>12781</v>
      </c>
      <c r="I84" s="1262">
        <v>12575</v>
      </c>
      <c r="J84" s="1262">
        <v>26134</v>
      </c>
      <c r="K84" s="1262">
        <v>22366</v>
      </c>
      <c r="L84" s="1262">
        <v>12588</v>
      </c>
      <c r="M84" s="1262">
        <v>10677</v>
      </c>
      <c r="N84" s="1262">
        <v>8498.5499999999993</v>
      </c>
      <c r="O84" s="1262">
        <v>8415.0400000000009</v>
      </c>
      <c r="P84" s="1262">
        <v>30830.85</v>
      </c>
      <c r="Q84" s="1262">
        <v>14755.32</v>
      </c>
      <c r="R84" s="1262">
        <v>0</v>
      </c>
      <c r="S84" s="1262">
        <v>0</v>
      </c>
      <c r="T84" s="1262">
        <v>8241.2999999999993</v>
      </c>
      <c r="U84" s="1262">
        <v>8816.02</v>
      </c>
      <c r="V84" s="1262">
        <v>15184.44</v>
      </c>
      <c r="W84" s="1262">
        <v>15092.24</v>
      </c>
      <c r="X84" s="1262">
        <v>15648.86</v>
      </c>
      <c r="Y84" s="1262">
        <v>25052.43</v>
      </c>
      <c r="Z84" s="1262">
        <v>33044.33</v>
      </c>
      <c r="AA84" s="1262">
        <v>19273.77</v>
      </c>
      <c r="AB84" s="1262">
        <v>24084.21</v>
      </c>
      <c r="AC84" s="1262">
        <v>13196.7</v>
      </c>
      <c r="AD84" s="1262">
        <v>9954.8799999999992</v>
      </c>
      <c r="AE84" s="1262">
        <v>19176.54</v>
      </c>
      <c r="AF84" s="1262">
        <v>2849.92</v>
      </c>
      <c r="AG84" s="1262">
        <v>0</v>
      </c>
      <c r="AH84" s="1262">
        <v>0</v>
      </c>
      <c r="AI84" s="1262">
        <v>31640.31</v>
      </c>
      <c r="AJ84" s="1262">
        <v>51702.245999999999</v>
      </c>
      <c r="AK84" s="1262">
        <v>48383.289999999994</v>
      </c>
      <c r="AL84" s="1262">
        <v>62376.638000000006</v>
      </c>
      <c r="AM84" s="1262">
        <v>20668.748</v>
      </c>
      <c r="AN84" s="1262">
        <v>0</v>
      </c>
      <c r="AO84" s="1262">
        <v>9023.8049999999967</v>
      </c>
      <c r="AP84" s="1262">
        <v>0</v>
      </c>
      <c r="AQ84" s="1262">
        <v>0</v>
      </c>
      <c r="AR84" s="1262">
        <v>0</v>
      </c>
      <c r="AS84" s="1262">
        <v>4906.43</v>
      </c>
      <c r="AT84" s="1262">
        <v>0</v>
      </c>
    </row>
    <row r="85" spans="1:46">
      <c r="A85" s="201" t="s">
        <v>299</v>
      </c>
      <c r="B85" s="1262" t="s">
        <v>315</v>
      </c>
      <c r="C85" s="1262">
        <v>240356</v>
      </c>
      <c r="D85" s="1262">
        <v>205229</v>
      </c>
      <c r="E85" s="1262">
        <v>247435</v>
      </c>
      <c r="F85" s="1262">
        <v>212768</v>
      </c>
      <c r="G85" s="1262">
        <v>231382</v>
      </c>
      <c r="H85" s="1262">
        <v>210024</v>
      </c>
      <c r="I85" s="1262">
        <v>226976</v>
      </c>
      <c r="J85" s="1262">
        <v>215129</v>
      </c>
      <c r="K85" s="1262">
        <v>201713</v>
      </c>
      <c r="L85" s="1262">
        <v>233107</v>
      </c>
      <c r="M85" s="1262">
        <v>211693</v>
      </c>
      <c r="N85" s="1262">
        <v>221027.56299999999</v>
      </c>
      <c r="O85" s="1262">
        <v>216714.834</v>
      </c>
      <c r="P85" s="1262">
        <v>206092.954</v>
      </c>
      <c r="Q85" s="1262">
        <v>229034.02100000001</v>
      </c>
      <c r="R85" s="1262">
        <v>226772.98499999999</v>
      </c>
      <c r="S85" s="1262">
        <v>233412.57</v>
      </c>
      <c r="T85" s="1262">
        <v>201402.20800000001</v>
      </c>
      <c r="U85" s="1262">
        <v>242578.83</v>
      </c>
      <c r="V85" s="1262">
        <v>242851.73800000001</v>
      </c>
      <c r="W85" s="1262">
        <v>205016.33799999999</v>
      </c>
      <c r="X85" s="1262">
        <v>222994.14300000001</v>
      </c>
      <c r="Y85" s="1262">
        <v>225738.364</v>
      </c>
      <c r="Z85" s="1262">
        <v>221195.15100000001</v>
      </c>
      <c r="AA85" s="1262">
        <v>226277.117</v>
      </c>
      <c r="AB85" s="1262">
        <v>209846.84599999999</v>
      </c>
      <c r="AC85" s="1262">
        <v>225798.26</v>
      </c>
      <c r="AD85" s="1262">
        <v>225219.39199999999</v>
      </c>
      <c r="AE85" s="1262">
        <v>225094.20699999999</v>
      </c>
      <c r="AF85" s="1262">
        <v>211417.171</v>
      </c>
      <c r="AG85" s="1262">
        <v>210168.527</v>
      </c>
      <c r="AH85" s="1262">
        <v>189074.511</v>
      </c>
      <c r="AI85" s="1262">
        <v>206804.94199999998</v>
      </c>
      <c r="AJ85" s="1262">
        <v>245815.67399999997</v>
      </c>
      <c r="AK85" s="1262">
        <v>220456.31899999999</v>
      </c>
      <c r="AL85" s="1262">
        <v>228190.038</v>
      </c>
      <c r="AM85" s="1262">
        <v>247241.34700000001</v>
      </c>
      <c r="AN85" s="1262">
        <v>218928.255</v>
      </c>
      <c r="AO85" s="1262">
        <v>259588.511</v>
      </c>
      <c r="AP85" s="1262">
        <v>254097.965</v>
      </c>
      <c r="AQ85" s="1262">
        <v>252927.43099999998</v>
      </c>
      <c r="AR85" s="1262">
        <v>251180.58100000001</v>
      </c>
      <c r="AS85" s="1262">
        <v>257372.81199999998</v>
      </c>
      <c r="AT85" s="1262">
        <v>251074.43900000001</v>
      </c>
    </row>
    <row r="86" spans="1:46">
      <c r="A86" s="201" t="s">
        <v>299</v>
      </c>
      <c r="B86" s="1262" t="s">
        <v>310</v>
      </c>
      <c r="C86" s="1262">
        <v>127476</v>
      </c>
      <c r="D86" s="1262">
        <v>102323</v>
      </c>
      <c r="E86" s="1262">
        <v>123768</v>
      </c>
      <c r="F86" s="1262">
        <v>105942</v>
      </c>
      <c r="G86" s="1262">
        <v>118231</v>
      </c>
      <c r="H86" s="1262">
        <v>111060</v>
      </c>
      <c r="I86" s="1262">
        <v>122218</v>
      </c>
      <c r="J86" s="1262">
        <v>120649</v>
      </c>
      <c r="K86" s="1262">
        <v>107694</v>
      </c>
      <c r="L86" s="1262">
        <v>115878</v>
      </c>
      <c r="M86" s="1262">
        <v>109164</v>
      </c>
      <c r="N86" s="1262">
        <v>126144.70299999999</v>
      </c>
      <c r="O86" s="1262">
        <v>112455.799</v>
      </c>
      <c r="P86" s="1262">
        <v>102475.80899999999</v>
      </c>
      <c r="Q86" s="1262">
        <v>118651.514</v>
      </c>
      <c r="R86" s="1262">
        <v>124196.962</v>
      </c>
      <c r="S86" s="1262">
        <v>133328.33499999999</v>
      </c>
      <c r="T86" s="1262">
        <v>102687.932</v>
      </c>
      <c r="U86" s="1262">
        <v>124642.583</v>
      </c>
      <c r="V86" s="1262">
        <v>131793.94399999999</v>
      </c>
      <c r="W86" s="1262">
        <v>105193.601</v>
      </c>
      <c r="X86" s="1262">
        <v>111490.291</v>
      </c>
      <c r="Y86" s="1262">
        <v>111890.686</v>
      </c>
      <c r="Z86" s="1262">
        <v>119960.198</v>
      </c>
      <c r="AA86" s="1262">
        <v>120716.57799999999</v>
      </c>
      <c r="AB86" s="1262">
        <v>121467.425</v>
      </c>
      <c r="AC86" s="1262">
        <v>128709.917</v>
      </c>
      <c r="AD86" s="1262">
        <v>125218.766</v>
      </c>
      <c r="AE86" s="1262">
        <v>106555.151</v>
      </c>
      <c r="AF86" s="1262">
        <v>105690.421</v>
      </c>
      <c r="AG86" s="1262">
        <v>108505.484</v>
      </c>
      <c r="AH86" s="1262">
        <v>115501.667</v>
      </c>
      <c r="AI86" s="1262">
        <v>112983.435</v>
      </c>
      <c r="AJ86" s="1262">
        <v>136002.07299999997</v>
      </c>
      <c r="AK86" s="1262">
        <v>119547.514</v>
      </c>
      <c r="AL86" s="1262">
        <v>124333.94899999999</v>
      </c>
      <c r="AM86" s="1262">
        <v>146261.91800000001</v>
      </c>
      <c r="AN86" s="1262">
        <v>124255.64</v>
      </c>
      <c r="AO86" s="1262">
        <v>144106.09899999999</v>
      </c>
      <c r="AP86" s="1262">
        <v>132630.408</v>
      </c>
      <c r="AQ86" s="1262">
        <v>144202.59399999998</v>
      </c>
      <c r="AR86" s="1262">
        <v>130302.15400000001</v>
      </c>
      <c r="AS86" s="1262">
        <v>145943.03999999998</v>
      </c>
      <c r="AT86" s="1262">
        <v>146321.72099999999</v>
      </c>
    </row>
    <row r="87" spans="1:46">
      <c r="A87" s="201" t="s">
        <v>299</v>
      </c>
      <c r="B87" s="1262" t="s">
        <v>316</v>
      </c>
      <c r="C87" s="1262">
        <v>112880</v>
      </c>
      <c r="D87" s="1262">
        <v>102906</v>
      </c>
      <c r="E87" s="1262">
        <v>123667</v>
      </c>
      <c r="F87" s="1262">
        <v>106826</v>
      </c>
      <c r="G87" s="1262">
        <v>113151</v>
      </c>
      <c r="H87" s="1262">
        <v>98964</v>
      </c>
      <c r="I87" s="1262">
        <v>104758</v>
      </c>
      <c r="J87" s="1262">
        <v>94480</v>
      </c>
      <c r="K87" s="1262">
        <v>94019</v>
      </c>
      <c r="L87" s="1262">
        <v>117229</v>
      </c>
      <c r="M87" s="1262">
        <v>102529</v>
      </c>
      <c r="N87" s="1262">
        <v>94882.86</v>
      </c>
      <c r="O87" s="1262">
        <v>104259.035</v>
      </c>
      <c r="P87" s="1262">
        <v>103617.145</v>
      </c>
      <c r="Q87" s="1262">
        <v>110382.507</v>
      </c>
      <c r="R87" s="1262">
        <v>102576.023</v>
      </c>
      <c r="S87" s="1262">
        <v>100084.235</v>
      </c>
      <c r="T87" s="1262">
        <v>98714.275999999998</v>
      </c>
      <c r="U87" s="1262">
        <v>117936.247</v>
      </c>
      <c r="V87" s="1262">
        <v>111057.79399999999</v>
      </c>
      <c r="W87" s="1262">
        <v>99822.736999999994</v>
      </c>
      <c r="X87" s="1262">
        <v>111503.852</v>
      </c>
      <c r="Y87" s="1262">
        <v>113847.678</v>
      </c>
      <c r="Z87" s="1262">
        <v>101234.95299999999</v>
      </c>
      <c r="AA87" s="1262">
        <v>105560.539</v>
      </c>
      <c r="AB87" s="1262">
        <v>88379.421000000002</v>
      </c>
      <c r="AC87" s="1262">
        <v>97088.342999999993</v>
      </c>
      <c r="AD87" s="1262">
        <v>100000.626</v>
      </c>
      <c r="AE87" s="1262">
        <v>118539.056</v>
      </c>
      <c r="AF87" s="1262">
        <v>105726.75</v>
      </c>
      <c r="AG87" s="1262">
        <v>101663.04300000001</v>
      </c>
      <c r="AH87" s="1262">
        <v>73572.843999999997</v>
      </c>
      <c r="AI87" s="1262">
        <v>93821.506999999983</v>
      </c>
      <c r="AJ87" s="1262">
        <v>109813.601</v>
      </c>
      <c r="AK87" s="1262">
        <v>100908.80499999999</v>
      </c>
      <c r="AL87" s="1262">
        <v>103856.08900000001</v>
      </c>
      <c r="AM87" s="1262">
        <v>100979.42899999999</v>
      </c>
      <c r="AN87" s="1262">
        <v>94672.615000000005</v>
      </c>
      <c r="AO87" s="1262">
        <v>115482.41200000001</v>
      </c>
      <c r="AP87" s="1262">
        <v>121467.557</v>
      </c>
      <c r="AQ87" s="1262">
        <v>108724.83700000001</v>
      </c>
      <c r="AR87" s="1262">
        <v>120878.427</v>
      </c>
      <c r="AS87" s="1262">
        <v>111429.77200000001</v>
      </c>
      <c r="AT87" s="1262">
        <v>104752.71800000001</v>
      </c>
    </row>
    <row r="88" spans="1:46" s="1259" customFormat="1">
      <c r="A88" s="1265" t="s">
        <v>299</v>
      </c>
      <c r="B88" s="1259" t="s">
        <v>336</v>
      </c>
      <c r="C88" s="1259">
        <v>1309.549</v>
      </c>
      <c r="D88" s="1259">
        <v>1002</v>
      </c>
      <c r="E88" s="1259">
        <v>871</v>
      </c>
      <c r="F88" s="1259">
        <v>1427.2180000000001</v>
      </c>
      <c r="G88" s="1259">
        <v>1519</v>
      </c>
      <c r="H88" s="1259">
        <v>1360.63</v>
      </c>
      <c r="I88" s="1259">
        <v>1680</v>
      </c>
      <c r="J88" s="1259">
        <v>1341.761</v>
      </c>
      <c r="K88" s="1259">
        <v>1235.2660000000001</v>
      </c>
      <c r="L88" s="1259">
        <v>1314.529</v>
      </c>
      <c r="M88" s="1259">
        <v>941.78399999999999</v>
      </c>
      <c r="N88" s="1271">
        <v>1798.6089999999999</v>
      </c>
      <c r="O88" s="1259">
        <v>1959.126</v>
      </c>
      <c r="P88" s="1259">
        <v>1649.94</v>
      </c>
      <c r="Q88" s="1259">
        <v>1432.8050000000001</v>
      </c>
      <c r="R88" s="1259">
        <v>1606.0340000000001</v>
      </c>
      <c r="S88" s="1259">
        <v>1766.4749999999999</v>
      </c>
      <c r="T88" s="1259">
        <v>1672.2570000000001</v>
      </c>
      <c r="U88" s="1259">
        <v>1558.694</v>
      </c>
      <c r="V88" s="1259">
        <v>868.8</v>
      </c>
      <c r="W88" s="1259">
        <v>806.81299999999999</v>
      </c>
      <c r="X88" s="1259">
        <v>1057.443</v>
      </c>
      <c r="Y88" s="1259">
        <v>1503.0440000000001</v>
      </c>
      <c r="Z88" s="1259">
        <v>1587.62</v>
      </c>
      <c r="AA88" s="1259">
        <v>1811.8510000000001</v>
      </c>
      <c r="AB88" s="1259">
        <v>1082.287</v>
      </c>
      <c r="AC88" s="1259">
        <v>1641.98</v>
      </c>
      <c r="AD88" s="1259">
        <v>1004.04</v>
      </c>
      <c r="AE88" s="1259">
        <v>1184.579</v>
      </c>
      <c r="AF88" s="1259">
        <v>1574.8209999999999</v>
      </c>
      <c r="AG88" s="1259">
        <v>1206.049</v>
      </c>
      <c r="AH88" s="1259">
        <v>1381.1950000000002</v>
      </c>
      <c r="AI88" s="1259">
        <v>1535.51</v>
      </c>
      <c r="AJ88" s="1259">
        <v>2149.1410000000001</v>
      </c>
      <c r="AK88" s="1259">
        <v>1480.154</v>
      </c>
      <c r="AL88" s="1259">
        <v>2179.2020000000002</v>
      </c>
      <c r="AM88" s="1259">
        <v>1650.579</v>
      </c>
      <c r="AN88" s="1259">
        <v>1209.9690000000001</v>
      </c>
      <c r="AO88" s="1259">
        <v>1620.4010000000001</v>
      </c>
      <c r="AP88" s="1259">
        <v>2020.684</v>
      </c>
      <c r="AQ88" s="1259">
        <v>2235.98</v>
      </c>
      <c r="AR88" s="1259">
        <v>2124.64</v>
      </c>
      <c r="AS88" s="1259">
        <v>1261.914</v>
      </c>
      <c r="AT88" s="1259">
        <v>2278.75</v>
      </c>
    </row>
    <row r="89" spans="1:46">
      <c r="A89" s="201" t="s">
        <v>299</v>
      </c>
      <c r="B89" s="1262" t="s">
        <v>337</v>
      </c>
      <c r="C89" s="1262">
        <v>1193</v>
      </c>
      <c r="D89" s="1262">
        <v>1251</v>
      </c>
      <c r="E89" s="1262">
        <v>774</v>
      </c>
      <c r="F89" s="1262">
        <v>1281</v>
      </c>
      <c r="G89" s="1262">
        <v>1610</v>
      </c>
      <c r="H89" s="1262">
        <v>1472</v>
      </c>
      <c r="I89" s="1262">
        <v>1204</v>
      </c>
      <c r="J89" s="1262">
        <v>1183</v>
      </c>
      <c r="K89" s="1262">
        <v>1934</v>
      </c>
      <c r="L89" s="1262">
        <v>2141</v>
      </c>
      <c r="M89" s="1262">
        <v>1523</v>
      </c>
      <c r="N89" s="1262">
        <v>1385.3689999999999</v>
      </c>
      <c r="O89" s="1262">
        <v>1353.96</v>
      </c>
      <c r="P89" s="1262">
        <v>1292.4179999999999</v>
      </c>
      <c r="Q89" s="1262">
        <v>2371.1260000000002</v>
      </c>
      <c r="R89" s="1262">
        <v>2498.194</v>
      </c>
      <c r="S89" s="1262">
        <v>1798.3979999999999</v>
      </c>
      <c r="T89" s="1262">
        <v>1857.241</v>
      </c>
      <c r="U89" s="1262">
        <v>1546.77</v>
      </c>
      <c r="V89" s="1262">
        <v>674.92510000000004</v>
      </c>
      <c r="W89" s="1262">
        <v>1306.7670000000001</v>
      </c>
      <c r="X89" s="1262">
        <v>1317.6959999999999</v>
      </c>
      <c r="Y89" s="1262">
        <v>1496.7950000000001</v>
      </c>
      <c r="Z89" s="1262">
        <v>1700.9179999999999</v>
      </c>
      <c r="AA89" s="1262">
        <v>1533.36</v>
      </c>
      <c r="AB89" s="1262">
        <v>1326.3440000000001</v>
      </c>
      <c r="AC89" s="1262">
        <v>1526.105</v>
      </c>
      <c r="AD89" s="1262">
        <v>1613.8969999999999</v>
      </c>
      <c r="AE89" s="1262">
        <v>1762.221</v>
      </c>
      <c r="AF89" s="1262">
        <v>1922.6479999999999</v>
      </c>
      <c r="AG89" s="1262">
        <v>1955.4409999999998</v>
      </c>
      <c r="AH89" s="1262">
        <v>1914.8940000000002</v>
      </c>
      <c r="AI89" s="1262">
        <v>1738.751</v>
      </c>
      <c r="AJ89" s="1262">
        <v>1726.4540000000002</v>
      </c>
      <c r="AK89" s="1262">
        <v>1963.415</v>
      </c>
      <c r="AL89" s="1262">
        <v>1786.8940000000002</v>
      </c>
      <c r="AM89" s="1262">
        <v>2127.9879999999998</v>
      </c>
      <c r="AN89" s="1262">
        <v>1602.473</v>
      </c>
      <c r="AO89" s="1262">
        <v>2056.6219999999998</v>
      </c>
      <c r="AP89" s="1262">
        <v>2177.8109999999997</v>
      </c>
      <c r="AQ89" s="1262">
        <v>2348.875</v>
      </c>
      <c r="AR89" s="1262">
        <v>1871.924</v>
      </c>
      <c r="AS89" s="1262">
        <v>2431.7239999999997</v>
      </c>
      <c r="AT89" s="1262">
        <v>2563.0149999999999</v>
      </c>
    </row>
    <row r="90" spans="1:46">
      <c r="A90" s="201" t="s">
        <v>299</v>
      </c>
      <c r="B90" s="1262" t="s">
        <v>338</v>
      </c>
      <c r="C90" s="1262">
        <v>900</v>
      </c>
      <c r="D90" s="1262">
        <v>830</v>
      </c>
      <c r="E90" s="1262">
        <v>701</v>
      </c>
      <c r="F90" s="1262">
        <v>913</v>
      </c>
      <c r="G90" s="1262">
        <v>1102</v>
      </c>
      <c r="H90" s="1262">
        <v>1009</v>
      </c>
      <c r="I90" s="1262">
        <v>968</v>
      </c>
      <c r="J90" s="1262">
        <v>962</v>
      </c>
      <c r="K90" s="1262">
        <v>1153</v>
      </c>
      <c r="L90" s="1262">
        <v>916</v>
      </c>
      <c r="M90" s="1262">
        <v>1204</v>
      </c>
      <c r="N90" s="1262">
        <v>862.56299999999999</v>
      </c>
      <c r="O90" s="1262">
        <v>905.101</v>
      </c>
      <c r="P90" s="1262">
        <v>798.60500000000002</v>
      </c>
      <c r="Q90" s="1262">
        <v>1097.74</v>
      </c>
      <c r="R90" s="1262">
        <v>1103.5360000000001</v>
      </c>
      <c r="S90" s="1262">
        <v>1073.1199999999999</v>
      </c>
      <c r="T90" s="1262">
        <v>804.18299999999999</v>
      </c>
      <c r="U90" s="1262">
        <v>907.53099999999995</v>
      </c>
      <c r="V90" s="1262">
        <v>489.5421</v>
      </c>
      <c r="W90" s="1262">
        <v>833.06899999999996</v>
      </c>
      <c r="X90" s="1262">
        <v>888.10299999999995</v>
      </c>
      <c r="Y90" s="1262">
        <v>791.25599999999997</v>
      </c>
      <c r="Z90" s="1262">
        <v>894.65200000000004</v>
      </c>
      <c r="AA90" s="1262">
        <v>1119.4290000000001</v>
      </c>
      <c r="AB90" s="1262">
        <v>1303.0530000000001</v>
      </c>
      <c r="AC90" s="1262">
        <v>1372.288</v>
      </c>
      <c r="AD90" s="1262">
        <v>1406.944</v>
      </c>
      <c r="AE90" s="1262">
        <v>1475.3019999999999</v>
      </c>
      <c r="AF90" s="1262">
        <v>1450.0820000000001</v>
      </c>
      <c r="AG90" s="1262">
        <v>1452.3979999999999</v>
      </c>
      <c r="AH90" s="1262">
        <v>1472.0990000000002</v>
      </c>
      <c r="AI90" s="1262">
        <v>1416.1089999999999</v>
      </c>
      <c r="AJ90" s="1262">
        <v>1420.8020000000001</v>
      </c>
      <c r="AK90" s="1262">
        <v>1408.173</v>
      </c>
      <c r="AL90" s="1262">
        <v>1219.0930000000003</v>
      </c>
      <c r="AM90" s="1262">
        <v>1603.752</v>
      </c>
      <c r="AN90" s="1262">
        <v>1401.8979999999999</v>
      </c>
      <c r="AO90" s="1262">
        <v>1652.0119999999999</v>
      </c>
      <c r="AP90" s="1262">
        <v>1670.5399999999997</v>
      </c>
      <c r="AQ90" s="1262">
        <v>1608.827</v>
      </c>
      <c r="AR90" s="1262">
        <v>1571.2470000000001</v>
      </c>
      <c r="AS90" s="1262">
        <v>1671.3799999999999</v>
      </c>
      <c r="AT90" s="1262">
        <v>1671.0809999999999</v>
      </c>
    </row>
    <row r="91" spans="1:46">
      <c r="A91" s="201" t="s">
        <v>299</v>
      </c>
      <c r="B91" s="1262" t="s">
        <v>339</v>
      </c>
      <c r="C91" s="1262">
        <v>293</v>
      </c>
      <c r="D91" s="1262">
        <v>421</v>
      </c>
      <c r="E91" s="1262">
        <v>73</v>
      </c>
      <c r="F91" s="1262">
        <v>368</v>
      </c>
      <c r="G91" s="1262">
        <v>508</v>
      </c>
      <c r="H91" s="1262">
        <v>463</v>
      </c>
      <c r="I91" s="1262">
        <v>236</v>
      </c>
      <c r="J91" s="1262">
        <v>221</v>
      </c>
      <c r="K91" s="1262">
        <v>781</v>
      </c>
      <c r="L91" s="1262">
        <v>1225</v>
      </c>
      <c r="M91" s="1262">
        <v>319</v>
      </c>
      <c r="N91" s="1262">
        <v>522.80600000000004</v>
      </c>
      <c r="O91" s="1262">
        <v>448.85899999999998</v>
      </c>
      <c r="P91" s="1262">
        <v>493.81299999999999</v>
      </c>
      <c r="Q91" s="1262">
        <v>1273.386</v>
      </c>
      <c r="R91" s="1262">
        <v>1394.6579999999999</v>
      </c>
      <c r="S91" s="1262">
        <v>725.27800000000002</v>
      </c>
      <c r="T91" s="1262">
        <v>1053.058</v>
      </c>
      <c r="U91" s="1262">
        <v>639.23900000000003</v>
      </c>
      <c r="V91" s="1262">
        <v>185.38300000000001</v>
      </c>
      <c r="W91" s="1262">
        <v>473.69799999999998</v>
      </c>
      <c r="X91" s="1262">
        <v>429.59300000000002</v>
      </c>
      <c r="Y91" s="1262">
        <v>705.53899999999999</v>
      </c>
      <c r="Z91" s="1262">
        <v>806.26599999999996</v>
      </c>
      <c r="AA91" s="1262">
        <v>413.93099999999998</v>
      </c>
      <c r="AB91" s="1262">
        <v>23.291</v>
      </c>
      <c r="AC91" s="1262">
        <v>153.81700000000001</v>
      </c>
      <c r="AD91" s="1262">
        <v>206.953</v>
      </c>
      <c r="AE91" s="1262">
        <v>286.91899999999998</v>
      </c>
      <c r="AF91" s="1262">
        <v>472.56599999999997</v>
      </c>
      <c r="AG91" s="1262">
        <v>503.04300000000001</v>
      </c>
      <c r="AH91" s="1262">
        <v>442.79500000000002</v>
      </c>
      <c r="AI91" s="1262">
        <v>322.642</v>
      </c>
      <c r="AJ91" s="1262">
        <v>305.65199999999999</v>
      </c>
      <c r="AK91" s="1262">
        <v>555.24199999999996</v>
      </c>
      <c r="AL91" s="1262">
        <v>567.80099999999993</v>
      </c>
      <c r="AM91" s="1262">
        <v>524.23599999999999</v>
      </c>
      <c r="AN91" s="1262">
        <v>200.57499999999999</v>
      </c>
      <c r="AO91" s="1262">
        <v>404.61</v>
      </c>
      <c r="AP91" s="1262">
        <v>507.27099999999996</v>
      </c>
      <c r="AQ91" s="1262">
        <v>740.04800000000012</v>
      </c>
      <c r="AR91" s="1262">
        <v>300.67699999999996</v>
      </c>
      <c r="AS91" s="1262">
        <v>760.34399999999994</v>
      </c>
      <c r="AT91" s="1262">
        <v>891.93400000000008</v>
      </c>
    </row>
    <row r="92" spans="1:46">
      <c r="A92" s="201" t="s">
        <v>299</v>
      </c>
      <c r="B92" s="1262" t="s">
        <v>321</v>
      </c>
      <c r="C92" s="1262">
        <v>2007</v>
      </c>
      <c r="D92" s="1262">
        <v>2009</v>
      </c>
      <c r="E92" s="1262">
        <v>2008</v>
      </c>
      <c r="F92" s="1262">
        <v>2012</v>
      </c>
      <c r="G92" s="1262">
        <v>2013</v>
      </c>
      <c r="H92" s="1262">
        <v>1952</v>
      </c>
      <c r="I92" s="1262">
        <v>2108</v>
      </c>
      <c r="J92" s="1262">
        <v>1963</v>
      </c>
      <c r="K92" s="1262">
        <v>2064</v>
      </c>
      <c r="L92" s="1262">
        <v>2002</v>
      </c>
      <c r="M92" s="1262">
        <v>1951</v>
      </c>
      <c r="N92" s="1262">
        <v>1918.2687000000001</v>
      </c>
      <c r="O92" s="1262">
        <v>1891.63743</v>
      </c>
      <c r="P92" s="1262">
        <v>1851.2932800000001</v>
      </c>
      <c r="Q92" s="1262">
        <v>2001.3420000000001</v>
      </c>
      <c r="R92" s="1262">
        <v>1902.8081500000001</v>
      </c>
      <c r="S92" s="1262">
        <v>1920.26045</v>
      </c>
      <c r="T92" s="1262">
        <v>1720.2381</v>
      </c>
      <c r="U92" s="1262">
        <v>1900.2936999999999</v>
      </c>
      <c r="V92" s="1262">
        <v>1903.03</v>
      </c>
      <c r="W92" s="1262">
        <v>2008.671</v>
      </c>
      <c r="X92" s="1262">
        <v>2100.502</v>
      </c>
      <c r="Y92" s="1262">
        <v>2000.5110999999999</v>
      </c>
      <c r="Z92" s="1262">
        <v>1830.8722230000001</v>
      </c>
      <c r="AA92" s="1262">
        <v>2002.0920000000001</v>
      </c>
      <c r="AB92" s="1262">
        <v>1902.7775999999999</v>
      </c>
      <c r="AC92" s="1262">
        <v>1800.6183000000001</v>
      </c>
      <c r="AD92" s="1262">
        <v>1801.009</v>
      </c>
      <c r="AE92" s="1262">
        <v>2002.0062</v>
      </c>
      <c r="AF92" s="1262">
        <v>2100.7429999999999</v>
      </c>
      <c r="AG92" s="1262">
        <v>2003.7597000000001</v>
      </c>
      <c r="AH92" s="1262">
        <v>2001.6279</v>
      </c>
      <c r="AI92" s="1262">
        <v>2003.0237999999999</v>
      </c>
      <c r="AJ92" s="1262">
        <v>2006.2502000000004</v>
      </c>
      <c r="AK92" s="1262">
        <v>2001.6875</v>
      </c>
      <c r="AL92" s="1262">
        <v>2011.2529</v>
      </c>
      <c r="AM92" s="1262">
        <v>2050.5531999999994</v>
      </c>
      <c r="AN92" s="1262">
        <v>2050.3450999999995</v>
      </c>
      <c r="AO92" s="1262">
        <v>2402.7778999999996</v>
      </c>
      <c r="AP92" s="1262">
        <v>3003.7859999999996</v>
      </c>
      <c r="AQ92" s="1262">
        <v>2702.2522000000004</v>
      </c>
      <c r="AR92" s="1262">
        <v>2502.0762999999997</v>
      </c>
      <c r="AS92" s="1262">
        <v>2306.1562999999996</v>
      </c>
      <c r="AT92" s="1262">
        <v>2153.143</v>
      </c>
    </row>
    <row r="93" spans="1:46">
      <c r="A93" s="201" t="s">
        <v>299</v>
      </c>
      <c r="B93" s="1262" t="s">
        <v>322</v>
      </c>
      <c r="C93" s="1262">
        <v>35645</v>
      </c>
      <c r="D93" s="1262">
        <v>32596</v>
      </c>
      <c r="E93" s="1262">
        <v>30234</v>
      </c>
      <c r="F93" s="1262">
        <v>36140</v>
      </c>
      <c r="G93" s="1262">
        <v>39535</v>
      </c>
      <c r="H93" s="1262">
        <v>38270</v>
      </c>
      <c r="I93" s="1262">
        <v>42019</v>
      </c>
      <c r="J93" s="1262">
        <v>36189</v>
      </c>
      <c r="K93" s="1262">
        <v>37320</v>
      </c>
      <c r="L93" s="1262">
        <v>29830</v>
      </c>
      <c r="M93" s="1262">
        <v>37536</v>
      </c>
      <c r="N93" s="1262">
        <v>35825.427000000003</v>
      </c>
      <c r="O93" s="1262">
        <v>37169.273000000001</v>
      </c>
      <c r="P93" s="1262">
        <v>36887.46</v>
      </c>
      <c r="Q93" s="1262">
        <v>37439.883999999998</v>
      </c>
      <c r="R93" s="1262">
        <v>39088.849000000002</v>
      </c>
      <c r="S93" s="1262">
        <v>38506.468999999997</v>
      </c>
      <c r="T93" s="1262">
        <v>36764.247000000003</v>
      </c>
      <c r="U93" s="1262">
        <v>41001.771000000001</v>
      </c>
      <c r="V93" s="1262">
        <v>38559.870999999999</v>
      </c>
      <c r="W93" s="1262">
        <v>33393.307999999997</v>
      </c>
      <c r="X93" s="1262">
        <v>29585.912</v>
      </c>
      <c r="Y93" s="1262">
        <v>36401.542999999998</v>
      </c>
      <c r="Z93" s="1262">
        <v>36948.786</v>
      </c>
      <c r="AA93" s="1262">
        <v>35791.832999999999</v>
      </c>
      <c r="AB93" s="1262">
        <v>22220.977999999999</v>
      </c>
      <c r="AC93" s="1262">
        <v>37161.038</v>
      </c>
      <c r="AD93" s="1262">
        <v>39136.614999999998</v>
      </c>
      <c r="AE93" s="1262">
        <v>37094.425000000003</v>
      </c>
      <c r="AF93" s="1262">
        <v>36122.231</v>
      </c>
      <c r="AG93" s="1262">
        <v>41416.704000000005</v>
      </c>
      <c r="AH93" s="1262">
        <v>40630.675000000003</v>
      </c>
      <c r="AI93" s="1262">
        <v>40012.428999999996</v>
      </c>
      <c r="AJ93" s="1262">
        <v>33531.779000000002</v>
      </c>
      <c r="AK93" s="1262">
        <v>37426.112999999998</v>
      </c>
      <c r="AL93" s="1262">
        <v>41102.194000000003</v>
      </c>
      <c r="AM93" s="1262">
        <v>39536.272000000012</v>
      </c>
      <c r="AN93" s="1262">
        <v>38310.183999999994</v>
      </c>
      <c r="AO93" s="1262">
        <v>38124.716999999997</v>
      </c>
      <c r="AP93" s="1262">
        <v>40235.252</v>
      </c>
      <c r="AQ93" s="1262">
        <v>40505.186999999998</v>
      </c>
      <c r="AR93" s="1262">
        <v>37477.191999999995</v>
      </c>
      <c r="AS93" s="1262">
        <v>40041.266000000003</v>
      </c>
      <c r="AT93" s="1262">
        <v>39418.876000000004</v>
      </c>
    </row>
    <row r="94" spans="1:46">
      <c r="A94" s="201" t="s">
        <v>299</v>
      </c>
      <c r="B94" s="1262" t="s">
        <v>323</v>
      </c>
      <c r="C94" s="1262">
        <v>4858</v>
      </c>
      <c r="D94" s="1262">
        <v>2385</v>
      </c>
      <c r="E94" s="1262">
        <v>5106</v>
      </c>
      <c r="F94" s="1262">
        <v>4802</v>
      </c>
      <c r="G94" s="1262">
        <v>3911</v>
      </c>
      <c r="H94" s="1262">
        <v>4816</v>
      </c>
      <c r="I94" s="1262">
        <v>5513</v>
      </c>
      <c r="J94" s="1262">
        <v>5095</v>
      </c>
      <c r="K94" s="1262">
        <v>4569</v>
      </c>
      <c r="L94" s="1262">
        <v>4087</v>
      </c>
      <c r="M94" s="1262">
        <v>5051</v>
      </c>
      <c r="N94" s="1262">
        <v>5502.2380000000003</v>
      </c>
      <c r="O94" s="1262">
        <v>4608.4989999999998</v>
      </c>
      <c r="P94" s="1262">
        <v>2124.4839999999999</v>
      </c>
      <c r="Q94" s="1262">
        <v>3031.8180000000002</v>
      </c>
      <c r="R94" s="1262">
        <v>3521.944</v>
      </c>
      <c r="S94" s="1262">
        <v>3587.5940000000001</v>
      </c>
      <c r="T94" s="1262">
        <v>2624.413</v>
      </c>
      <c r="U94" s="1262">
        <v>3212.8220000000001</v>
      </c>
      <c r="V94" s="1262">
        <v>3880</v>
      </c>
      <c r="W94" s="1262">
        <v>3846.819</v>
      </c>
      <c r="X94" s="1262">
        <v>3535.8029999999999</v>
      </c>
      <c r="Y94" s="1262">
        <v>2571.39</v>
      </c>
      <c r="Z94" s="1262">
        <v>1929.43</v>
      </c>
      <c r="AA94" s="1262">
        <v>1329.89</v>
      </c>
      <c r="AB94" s="1262">
        <v>1528.912</v>
      </c>
      <c r="AC94" s="1262">
        <v>2010.749</v>
      </c>
      <c r="AD94" s="1262">
        <v>2198.7730000000001</v>
      </c>
      <c r="AE94" s="1262">
        <v>1276.567</v>
      </c>
      <c r="AF94" s="1262">
        <v>996.74199999999996</v>
      </c>
      <c r="AG94" s="1262">
        <v>684.53799999999865</v>
      </c>
      <c r="AH94" s="1262">
        <v>1316.92</v>
      </c>
      <c r="AI94" s="1262">
        <v>848.67900000000009</v>
      </c>
      <c r="AJ94" s="1262">
        <v>33.677999999999884</v>
      </c>
      <c r="AK94" s="1262">
        <v>383.78799999999956</v>
      </c>
      <c r="AL94" s="1262">
        <v>0</v>
      </c>
      <c r="AM94" s="1262">
        <v>-42.075000000000003</v>
      </c>
      <c r="AN94" s="1262">
        <v>0</v>
      </c>
      <c r="AO94" s="1262">
        <v>0</v>
      </c>
      <c r="AP94" s="1262">
        <v>0</v>
      </c>
      <c r="AQ94" s="1262">
        <v>0</v>
      </c>
      <c r="AR94" s="1262">
        <v>0</v>
      </c>
      <c r="AS94" s="1262">
        <v>0</v>
      </c>
      <c r="AT94" s="1262">
        <v>0</v>
      </c>
    </row>
    <row r="95" spans="1:46">
      <c r="A95" s="201" t="s">
        <v>299</v>
      </c>
      <c r="B95" s="1262" t="s">
        <v>324</v>
      </c>
      <c r="C95" s="1262">
        <v>8614</v>
      </c>
      <c r="D95" s="1262">
        <v>7632</v>
      </c>
      <c r="E95" s="1262">
        <v>8567</v>
      </c>
      <c r="F95" s="1262">
        <v>8357</v>
      </c>
      <c r="G95" s="1262">
        <v>7579</v>
      </c>
      <c r="H95" s="1262">
        <v>10003</v>
      </c>
      <c r="I95" s="1262">
        <v>8510</v>
      </c>
      <c r="J95" s="1262">
        <v>10067</v>
      </c>
      <c r="K95" s="1262">
        <v>9919</v>
      </c>
      <c r="L95" s="1262">
        <v>8516</v>
      </c>
      <c r="M95" s="1262">
        <v>8641</v>
      </c>
      <c r="N95" s="1262">
        <v>8188.4629999999997</v>
      </c>
      <c r="O95" s="1262">
        <v>7123.6210000000001</v>
      </c>
      <c r="P95" s="1262">
        <v>10213.335999999999</v>
      </c>
      <c r="Q95" s="1262">
        <v>11026.592000000001</v>
      </c>
      <c r="R95" s="1262">
        <v>10595.518</v>
      </c>
      <c r="S95" s="1262">
        <v>11200.289000000001</v>
      </c>
      <c r="T95" s="1262">
        <v>11002.74</v>
      </c>
      <c r="U95" s="1262">
        <v>10836.893</v>
      </c>
      <c r="V95" s="1262">
        <v>11497.06</v>
      </c>
      <c r="W95" s="1262">
        <v>9433.6959999999999</v>
      </c>
      <c r="X95" s="1262">
        <v>11136.171</v>
      </c>
      <c r="Y95" s="1262">
        <v>10601.194</v>
      </c>
      <c r="Z95" s="1262">
        <v>10977.486999999999</v>
      </c>
      <c r="AA95" s="1262">
        <v>10103.352999999999</v>
      </c>
      <c r="AB95" s="1262">
        <v>12090.043</v>
      </c>
      <c r="AC95" s="1262">
        <v>10578.126</v>
      </c>
      <c r="AD95" s="1262">
        <v>10490.302</v>
      </c>
      <c r="AE95" s="1262">
        <v>10155.108</v>
      </c>
      <c r="AF95" s="1262">
        <v>11627.084000000001</v>
      </c>
      <c r="AG95" s="1262">
        <v>12509.065999999999</v>
      </c>
      <c r="AH95" s="1262">
        <v>10936.677</v>
      </c>
      <c r="AI95" s="1262">
        <v>6844.192</v>
      </c>
      <c r="AJ95" s="1262">
        <v>12491.096999999998</v>
      </c>
      <c r="AK95" s="1262">
        <v>12602.137999999999</v>
      </c>
      <c r="AL95" s="1262">
        <v>11524.208999999999</v>
      </c>
      <c r="AM95" s="1262">
        <v>13013.561</v>
      </c>
      <c r="AN95" s="1262">
        <v>12071.423999999999</v>
      </c>
      <c r="AO95" s="1262">
        <v>12921.688999999998</v>
      </c>
      <c r="AP95" s="1262">
        <v>12149.719000000001</v>
      </c>
      <c r="AQ95" s="1262">
        <v>11887.944000000001</v>
      </c>
      <c r="AR95" s="1262">
        <v>12033.199000000001</v>
      </c>
      <c r="AS95" s="1262">
        <v>14453.130999999996</v>
      </c>
      <c r="AT95" s="1262">
        <v>13510.623</v>
      </c>
    </row>
    <row r="96" spans="1:46" s="1260" customFormat="1">
      <c r="A96" s="1270" t="s">
        <v>299</v>
      </c>
      <c r="B96" s="1260" t="s">
        <v>340</v>
      </c>
      <c r="C96" s="1260">
        <v>816.12199999999996</v>
      </c>
      <c r="D96" s="1260">
        <v>946.428</v>
      </c>
      <c r="E96" s="1260">
        <v>1009</v>
      </c>
      <c r="F96" s="1260">
        <v>1764.81</v>
      </c>
      <c r="G96" s="1260">
        <v>906.55499999999995</v>
      </c>
      <c r="H96" s="1260">
        <v>892.19299999999998</v>
      </c>
      <c r="I96" s="1260">
        <f t="shared" ref="I96:N96" si="6">I67</f>
        <v>939.96199999999999</v>
      </c>
      <c r="J96" s="1260">
        <f t="shared" si="6"/>
        <v>363.77600000000001</v>
      </c>
      <c r="K96" s="1260">
        <f t="shared" si="6"/>
        <v>1060.98</v>
      </c>
      <c r="L96" s="1260">
        <f t="shared" si="6"/>
        <v>808.87</v>
      </c>
      <c r="M96" s="1260">
        <f t="shared" si="6"/>
        <v>1632.9090000000001</v>
      </c>
      <c r="N96" s="1272">
        <f t="shared" si="6"/>
        <v>1773.32</v>
      </c>
      <c r="O96" s="1260">
        <v>1806.7190000000001</v>
      </c>
      <c r="P96" s="1260">
        <v>544.245</v>
      </c>
      <c r="Q96" s="1260">
        <v>710.35799999999995</v>
      </c>
      <c r="R96" s="1260">
        <v>1414.72</v>
      </c>
      <c r="S96" s="1260">
        <v>1607.82</v>
      </c>
      <c r="T96" s="1260">
        <v>1283.758</v>
      </c>
      <c r="U96" s="1260">
        <v>1085.1759999999999</v>
      </c>
      <c r="V96" s="1260">
        <v>534.68299999999999</v>
      </c>
      <c r="W96" s="1260">
        <v>528.79399999999998</v>
      </c>
      <c r="X96" s="1260">
        <v>832.60500000000002</v>
      </c>
      <c r="Y96" s="1260">
        <v>2653.3580000000002</v>
      </c>
      <c r="Z96" s="1260">
        <v>1643.7739999999999</v>
      </c>
      <c r="AA96" s="1260">
        <v>938.11800000000005</v>
      </c>
      <c r="AB96" s="1260">
        <v>1549.4380000000001</v>
      </c>
      <c r="AC96" s="1260">
        <v>234.13300000000001</v>
      </c>
      <c r="AD96" s="1260">
        <v>875.15800000000002</v>
      </c>
      <c r="AE96" s="1260">
        <v>1557.9349999999999</v>
      </c>
      <c r="AF96" s="1260">
        <v>924.11</v>
      </c>
      <c r="AG96" s="1260">
        <v>2275.0419999999999</v>
      </c>
      <c r="AH96" s="1260">
        <v>3358.81</v>
      </c>
      <c r="AI96" s="1260">
        <v>237.404</v>
      </c>
      <c r="AJ96" s="1260">
        <v>1754.9059999999999</v>
      </c>
      <c r="AK96" s="1260">
        <v>1005.103</v>
      </c>
      <c r="AL96" s="1260">
        <v>1723.6189999999999</v>
      </c>
      <c r="AM96" s="1260">
        <v>894.05100000000004</v>
      </c>
      <c r="AN96" s="1260">
        <v>2153.86</v>
      </c>
      <c r="AO96" s="1260">
        <v>400.53500000000003</v>
      </c>
      <c r="AP96" s="1260">
        <v>4345.84</v>
      </c>
      <c r="AQ96" s="1260">
        <v>1874.64</v>
      </c>
      <c r="AR96" s="1260">
        <v>1761.63</v>
      </c>
      <c r="AS96" s="1260">
        <v>1647.77</v>
      </c>
      <c r="AT96" s="1260">
        <v>2893.4270000000001</v>
      </c>
    </row>
    <row r="97" spans="1:46">
      <c r="A97" s="201" t="s">
        <v>341</v>
      </c>
      <c r="B97" s="1262" t="s">
        <v>342</v>
      </c>
      <c r="C97" s="1262">
        <v>11740179.99</v>
      </c>
      <c r="D97" s="1262">
        <v>10572385.304</v>
      </c>
      <c r="E97" s="1262">
        <v>9723031</v>
      </c>
      <c r="F97" s="1262">
        <v>11259976</v>
      </c>
      <c r="G97" s="1262">
        <v>12231198.23</v>
      </c>
      <c r="H97" s="1262">
        <v>12065009.551039999</v>
      </c>
      <c r="I97" s="1262">
        <v>13647817.058384901</v>
      </c>
      <c r="J97" s="1262">
        <v>13138668.918</v>
      </c>
      <c r="K97" s="1262">
        <v>12789189.494000001</v>
      </c>
      <c r="L97" s="1262">
        <v>11935837.047702899</v>
      </c>
      <c r="M97" s="1262">
        <v>11325631.7292</v>
      </c>
      <c r="N97" s="1262">
        <v>26437872.140000001</v>
      </c>
      <c r="O97" s="1262">
        <v>13096654.32</v>
      </c>
      <c r="P97" s="1262">
        <v>10056201.1845676</v>
      </c>
      <c r="Q97" s="1262">
        <v>11230108.883000299</v>
      </c>
      <c r="R97" s="1262">
        <v>11850190.269560801</v>
      </c>
      <c r="S97" s="1262">
        <v>11844434.566596299</v>
      </c>
      <c r="T97" s="1262">
        <v>12050442.015681</v>
      </c>
      <c r="U97" s="1262">
        <v>12889677.761537099</v>
      </c>
      <c r="V97" s="1262">
        <v>13513424.032</v>
      </c>
      <c r="W97" s="1262">
        <v>13653301.170778999</v>
      </c>
      <c r="X97" s="1262">
        <v>11938184.093054</v>
      </c>
      <c r="Y97" s="1262">
        <v>13624048.025366399</v>
      </c>
      <c r="Z97" s="1262">
        <v>11697310.088</v>
      </c>
      <c r="AA97" s="1262">
        <v>11332241.136</v>
      </c>
      <c r="AB97" s="1262">
        <v>10145926.884</v>
      </c>
      <c r="AC97" s="1262">
        <v>11544001.903999999</v>
      </c>
      <c r="AD97" s="1262">
        <v>11424714.12408</v>
      </c>
      <c r="AE97" s="1262">
        <v>11987066.536</v>
      </c>
      <c r="AF97" s="1262">
        <v>11764368.903999999</v>
      </c>
      <c r="AG97" s="1262">
        <v>13767258.144000001</v>
      </c>
      <c r="AH97" s="1262">
        <v>13641776.191999998</v>
      </c>
      <c r="AI97" s="1262">
        <v>13638850.535999998</v>
      </c>
      <c r="AJ97" s="1262">
        <v>10998865.845999999</v>
      </c>
      <c r="AK97" s="1262">
        <v>11312629.850000001</v>
      </c>
      <c r="AL97" s="1262">
        <v>11742160.006000001</v>
      </c>
      <c r="AM97" s="1262">
        <v>14109622.614239998</v>
      </c>
      <c r="AN97" s="1262">
        <v>13943172.923599999</v>
      </c>
      <c r="AO97" s="1262">
        <v>12436243</v>
      </c>
      <c r="AP97" s="1262">
        <v>15858233.728</v>
      </c>
      <c r="AQ97" s="1262">
        <v>14351391.167279998</v>
      </c>
      <c r="AR97" s="1262">
        <v>15376126.529999999</v>
      </c>
      <c r="AS97" s="1262">
        <v>14235077.124639999</v>
      </c>
      <c r="AT97" s="1262">
        <v>13870438.32</v>
      </c>
    </row>
    <row r="98" spans="1:46">
      <c r="A98" s="201" t="s">
        <v>341</v>
      </c>
      <c r="B98" s="1262" t="s">
        <v>343</v>
      </c>
      <c r="C98" s="1262">
        <v>8005587.9900000002</v>
      </c>
      <c r="D98" s="1262">
        <v>6725635.3039999995</v>
      </c>
      <c r="E98" s="1262">
        <v>6061778</v>
      </c>
      <c r="F98" s="1262">
        <v>7826523</v>
      </c>
      <c r="G98" s="1262">
        <v>9001921.2300000004</v>
      </c>
      <c r="H98" s="1262">
        <v>8999446.5510399994</v>
      </c>
      <c r="I98" s="1262">
        <v>9082680.1005199999</v>
      </c>
      <c r="J98" s="1262">
        <v>8951412.2679999992</v>
      </c>
      <c r="K98" s="1262">
        <v>8825831.8440000005</v>
      </c>
      <c r="L98" s="1262">
        <v>8220255.7359999996</v>
      </c>
      <c r="M98" s="1262">
        <v>7992365.7291999999</v>
      </c>
      <c r="N98" s="1262">
        <v>23092479.440000001</v>
      </c>
      <c r="O98" s="1262">
        <v>10209390.32</v>
      </c>
      <c r="P98" s="1262">
        <v>7055026.8943999996</v>
      </c>
      <c r="Q98" s="1262">
        <v>8714911.9159999993</v>
      </c>
      <c r="R98" s="1262">
        <v>8749733.0519999992</v>
      </c>
      <c r="S98" s="1262">
        <v>8801786.784</v>
      </c>
      <c r="T98" s="1262">
        <v>8893027.0624000002</v>
      </c>
      <c r="U98" s="1262">
        <v>10006203.970799999</v>
      </c>
      <c r="V98" s="1262">
        <v>10522831.032</v>
      </c>
      <c r="W98" s="1262">
        <v>10636682.696</v>
      </c>
      <c r="X98" s="1262">
        <v>9784121.6640000008</v>
      </c>
      <c r="Y98" s="1262">
        <v>10604446.823999999</v>
      </c>
      <c r="Z98" s="1262">
        <v>8884408.0879999995</v>
      </c>
      <c r="AA98" s="1262">
        <v>8217263.1359999999</v>
      </c>
      <c r="AB98" s="1262">
        <v>7162855.8839999996</v>
      </c>
      <c r="AC98" s="1262">
        <v>8753044.9039999992</v>
      </c>
      <c r="AD98" s="1262">
        <v>8629319.1240800004</v>
      </c>
      <c r="AE98" s="1262">
        <v>9012290.5360000003</v>
      </c>
      <c r="AF98" s="1262">
        <v>9131265.9039999992</v>
      </c>
      <c r="AG98" s="1262">
        <v>11249003.144000001</v>
      </c>
      <c r="AH98" s="1262">
        <v>10831274.191999998</v>
      </c>
      <c r="AI98" s="1262">
        <v>11058098.535999998</v>
      </c>
      <c r="AJ98" s="1262">
        <v>9511154.845999999</v>
      </c>
      <c r="AK98" s="1262">
        <v>8560369.8500000015</v>
      </c>
      <c r="AL98" s="1262">
        <v>8884408.006000001</v>
      </c>
      <c r="AM98" s="1262">
        <v>11272456.614239998</v>
      </c>
      <c r="AN98" s="1262">
        <v>11297069.923599999</v>
      </c>
      <c r="AO98" s="1262">
        <v>10053532</v>
      </c>
      <c r="AP98" s="1262">
        <v>13521144.128</v>
      </c>
      <c r="AQ98" s="1262">
        <v>11521501.167279998</v>
      </c>
      <c r="AR98" s="1262">
        <v>12186346.529999999</v>
      </c>
      <c r="AS98" s="1262">
        <v>11611191.124639999</v>
      </c>
      <c r="AT98" s="1262">
        <v>11184392.32</v>
      </c>
    </row>
    <row r="99" spans="1:46">
      <c r="A99" s="201" t="s">
        <v>341</v>
      </c>
      <c r="B99" s="1262" t="s">
        <v>344</v>
      </c>
      <c r="C99" s="1262">
        <v>3122722</v>
      </c>
      <c r="D99" s="1262">
        <v>3159538</v>
      </c>
      <c r="E99" s="1262">
        <v>2799271</v>
      </c>
      <c r="F99" s="1262">
        <v>2812017</v>
      </c>
      <c r="G99" s="1262">
        <v>2552472</v>
      </c>
      <c r="H99" s="1262">
        <v>2709182</v>
      </c>
      <c r="I99" s="1262">
        <v>3955267.9578649099</v>
      </c>
      <c r="J99" s="1262">
        <v>3555225.65</v>
      </c>
      <c r="K99" s="1262">
        <v>3461346.65</v>
      </c>
      <c r="L99" s="1262">
        <v>3113100.3117029099</v>
      </c>
      <c r="M99" s="1262">
        <v>2861313</v>
      </c>
      <c r="N99" s="1262">
        <v>2880294.7</v>
      </c>
      <c r="O99" s="1262">
        <v>2464610</v>
      </c>
      <c r="P99" s="1262">
        <v>2453370.2901675901</v>
      </c>
      <c r="Q99" s="1262">
        <v>2014203.96700027</v>
      </c>
      <c r="R99" s="1262">
        <v>2465741.2175608198</v>
      </c>
      <c r="S99" s="1262">
        <v>2470109.7825963101</v>
      </c>
      <c r="T99" s="1262">
        <v>2406652.9532809998</v>
      </c>
      <c r="U99" s="1262">
        <v>2511758.7907370999</v>
      </c>
      <c r="V99" s="1262">
        <v>2367329</v>
      </c>
      <c r="W99" s="1262">
        <v>2458488.4747789502</v>
      </c>
      <c r="X99" s="1262">
        <v>1670178.4290539799</v>
      </c>
      <c r="Y99" s="1262">
        <v>2353888.2013664199</v>
      </c>
      <c r="Z99" s="1262">
        <v>2263700</v>
      </c>
      <c r="AA99" s="1262">
        <v>2712234</v>
      </c>
      <c r="AB99" s="1262">
        <v>2573773</v>
      </c>
      <c r="AC99" s="1262">
        <v>2375076</v>
      </c>
      <c r="AD99" s="1262">
        <v>2420347</v>
      </c>
      <c r="AE99" s="1262">
        <v>2612481</v>
      </c>
      <c r="AF99" s="1262">
        <v>2232782</v>
      </c>
      <c r="AG99" s="1262">
        <v>2260683</v>
      </c>
      <c r="AH99" s="1262">
        <v>2481181</v>
      </c>
      <c r="AI99" s="1262">
        <v>2174921</v>
      </c>
      <c r="AJ99" s="1262">
        <v>1021597</v>
      </c>
      <c r="AK99" s="1262">
        <v>2302983</v>
      </c>
      <c r="AL99" s="1262">
        <v>2414601</v>
      </c>
      <c r="AM99" s="1262">
        <v>2571383</v>
      </c>
      <c r="AN99" s="1262">
        <v>2413452</v>
      </c>
      <c r="AO99" s="1262">
        <v>2241015</v>
      </c>
      <c r="AP99" s="1262">
        <v>2194178.6</v>
      </c>
      <c r="AQ99" s="1262">
        <v>2403841</v>
      </c>
      <c r="AR99" s="1262">
        <v>2631849</v>
      </c>
      <c r="AS99" s="1262">
        <v>2369794</v>
      </c>
      <c r="AT99" s="1262">
        <v>2131797</v>
      </c>
    </row>
    <row r="100" spans="1:46">
      <c r="A100" s="201" t="s">
        <v>341</v>
      </c>
      <c r="B100" s="1262" t="s">
        <v>345</v>
      </c>
      <c r="C100" s="1262">
        <v>611870</v>
      </c>
      <c r="D100" s="1262">
        <v>687212</v>
      </c>
      <c r="E100" s="1262">
        <v>861982</v>
      </c>
      <c r="F100" s="1262">
        <v>621436</v>
      </c>
      <c r="G100" s="1262">
        <v>676805</v>
      </c>
      <c r="H100" s="1262">
        <v>356381</v>
      </c>
      <c r="I100" s="1262">
        <v>609869</v>
      </c>
      <c r="J100" s="1262">
        <v>632031</v>
      </c>
      <c r="K100" s="1262">
        <v>502011</v>
      </c>
      <c r="L100" s="1262">
        <v>602481</v>
      </c>
      <c r="M100" s="1262">
        <v>471953</v>
      </c>
      <c r="N100" s="1262">
        <v>465098</v>
      </c>
      <c r="O100" s="1262">
        <v>422654</v>
      </c>
      <c r="P100" s="1262">
        <v>547804</v>
      </c>
      <c r="Q100" s="1262">
        <v>500993</v>
      </c>
      <c r="R100" s="1262">
        <v>634716</v>
      </c>
      <c r="S100" s="1262">
        <v>572538</v>
      </c>
      <c r="T100" s="1262">
        <v>750762</v>
      </c>
      <c r="U100" s="1262">
        <v>371715</v>
      </c>
      <c r="V100" s="1262">
        <v>623264</v>
      </c>
      <c r="W100" s="1262">
        <v>558130</v>
      </c>
      <c r="X100" s="1262">
        <v>483884</v>
      </c>
      <c r="Y100" s="1262">
        <v>665713</v>
      </c>
      <c r="Z100" s="1262">
        <v>549202</v>
      </c>
      <c r="AA100" s="1262">
        <v>402744</v>
      </c>
      <c r="AB100" s="1262">
        <v>409298</v>
      </c>
      <c r="AC100" s="1262">
        <v>415881</v>
      </c>
      <c r="AD100" s="1262">
        <v>375048</v>
      </c>
      <c r="AE100" s="1262">
        <v>362295</v>
      </c>
      <c r="AF100" s="1262">
        <v>400321</v>
      </c>
      <c r="AG100" s="1262">
        <v>257572</v>
      </c>
      <c r="AH100" s="1262">
        <v>329321</v>
      </c>
      <c r="AI100" s="1262">
        <v>405831</v>
      </c>
      <c r="AJ100" s="1262">
        <v>466114</v>
      </c>
      <c r="AK100" s="1262">
        <v>449277</v>
      </c>
      <c r="AL100" s="1262">
        <v>443151</v>
      </c>
      <c r="AM100" s="1262">
        <v>265783</v>
      </c>
      <c r="AN100" s="1262">
        <v>232651</v>
      </c>
      <c r="AO100" s="1262">
        <v>141696</v>
      </c>
      <c r="AP100" s="1262">
        <v>142911</v>
      </c>
      <c r="AQ100" s="1262">
        <v>426049</v>
      </c>
      <c r="AR100" s="1262">
        <v>557931</v>
      </c>
      <c r="AS100" s="1262">
        <v>254092</v>
      </c>
      <c r="AT100" s="1262">
        <v>554249</v>
      </c>
    </row>
    <row r="101" spans="1:46">
      <c r="A101" s="201" t="s">
        <v>341</v>
      </c>
      <c r="B101" s="1262" t="s">
        <v>346</v>
      </c>
      <c r="C101" s="1262">
        <v>3502784</v>
      </c>
      <c r="D101" s="1262">
        <v>3321816</v>
      </c>
      <c r="E101" s="1262">
        <v>3050137</v>
      </c>
      <c r="F101" s="1262">
        <v>3231084</v>
      </c>
      <c r="G101" s="1262">
        <v>3288141</v>
      </c>
      <c r="H101" s="1262">
        <v>2787120</v>
      </c>
      <c r="I101" s="1262">
        <v>3249662</v>
      </c>
      <c r="J101" s="1262">
        <v>3426893</v>
      </c>
      <c r="K101" s="1262">
        <v>3236182</v>
      </c>
      <c r="L101" s="1262">
        <v>3116887</v>
      </c>
      <c r="M101" s="1262">
        <v>3273617</v>
      </c>
      <c r="N101" s="1262">
        <v>3106464</v>
      </c>
      <c r="O101" s="1262">
        <v>3214645</v>
      </c>
      <c r="P101" s="1262">
        <v>3371586</v>
      </c>
      <c r="Q101" s="1262">
        <v>2946080</v>
      </c>
      <c r="R101" s="1262">
        <v>3540482</v>
      </c>
      <c r="S101" s="1262">
        <v>3181596</v>
      </c>
      <c r="T101" s="1262">
        <v>3497891</v>
      </c>
      <c r="U101" s="1262">
        <v>3185439</v>
      </c>
      <c r="V101" s="1262">
        <v>3479304</v>
      </c>
      <c r="W101" s="1262">
        <v>3407051</v>
      </c>
      <c r="X101" s="1262">
        <v>3029200</v>
      </c>
      <c r="Y101" s="1262">
        <v>3347623</v>
      </c>
      <c r="Z101" s="1262">
        <v>3208756</v>
      </c>
      <c r="AA101" s="1262">
        <v>3336798</v>
      </c>
      <c r="AB101" s="1262">
        <v>3336929</v>
      </c>
      <c r="AC101" s="1262">
        <v>3281836</v>
      </c>
      <c r="AD101" s="1262">
        <v>3532242</v>
      </c>
      <c r="AE101" s="1262">
        <v>3222273</v>
      </c>
      <c r="AF101" s="1262">
        <v>3546281</v>
      </c>
      <c r="AG101" s="1262">
        <v>2831614</v>
      </c>
      <c r="AH101" s="1262">
        <v>3281984</v>
      </c>
      <c r="AI101" s="1262">
        <v>2931997</v>
      </c>
      <c r="AJ101" s="1262">
        <v>3509111</v>
      </c>
      <c r="AK101" s="1262">
        <v>3317277</v>
      </c>
      <c r="AL101" s="1262">
        <v>3228934</v>
      </c>
      <c r="AM101" s="1262">
        <v>3381343</v>
      </c>
      <c r="AN101" s="1262">
        <v>3510213</v>
      </c>
      <c r="AO101" s="1262">
        <v>3218258</v>
      </c>
      <c r="AP101" s="1262">
        <v>3467703</v>
      </c>
      <c r="AQ101" s="1262">
        <v>3686642</v>
      </c>
      <c r="AR101" s="1262">
        <v>3620057</v>
      </c>
      <c r="AS101" s="1262">
        <v>3140558</v>
      </c>
      <c r="AT101" s="1262">
        <v>3393685</v>
      </c>
    </row>
    <row r="102" spans="1:46">
      <c r="A102" s="201" t="s">
        <v>341</v>
      </c>
      <c r="B102" s="1262" t="s">
        <v>343</v>
      </c>
      <c r="C102" s="1262">
        <v>1941145</v>
      </c>
      <c r="D102" s="1262">
        <v>1806741</v>
      </c>
      <c r="E102" s="1262">
        <v>1648483</v>
      </c>
      <c r="F102" s="1262">
        <v>1806806</v>
      </c>
      <c r="G102" s="1262">
        <v>1798071</v>
      </c>
      <c r="H102" s="1262">
        <v>1652504</v>
      </c>
      <c r="I102" s="1262">
        <v>1889551</v>
      </c>
      <c r="J102" s="1262">
        <v>1929310</v>
      </c>
      <c r="K102" s="1262">
        <v>1829840</v>
      </c>
      <c r="L102" s="1262">
        <v>1874634</v>
      </c>
      <c r="M102" s="1262">
        <v>1918410</v>
      </c>
      <c r="N102" s="1262">
        <v>1754850</v>
      </c>
      <c r="O102" s="1262">
        <v>1807414</v>
      </c>
      <c r="P102" s="1262">
        <v>1962176</v>
      </c>
      <c r="Q102" s="1262">
        <v>1666733</v>
      </c>
      <c r="R102" s="1262">
        <v>1978911</v>
      </c>
      <c r="S102" s="1262">
        <v>1719168</v>
      </c>
      <c r="T102" s="1262">
        <v>1879904</v>
      </c>
      <c r="U102" s="1262">
        <v>1964780</v>
      </c>
      <c r="V102" s="1262">
        <v>1961582</v>
      </c>
      <c r="W102" s="1262">
        <v>1813873</v>
      </c>
      <c r="X102" s="1262">
        <v>1678858</v>
      </c>
      <c r="Y102" s="1262">
        <v>1893163</v>
      </c>
      <c r="Z102" s="1262">
        <v>1783170</v>
      </c>
      <c r="AA102" s="1262">
        <v>1871923</v>
      </c>
      <c r="AB102" s="1262">
        <v>1834961</v>
      </c>
      <c r="AC102" s="1262">
        <v>1914451</v>
      </c>
      <c r="AD102" s="1262">
        <v>1961858</v>
      </c>
      <c r="AE102" s="1262">
        <v>1751734</v>
      </c>
      <c r="AF102" s="1262">
        <v>2025659</v>
      </c>
      <c r="AG102" s="1262">
        <v>1948730</v>
      </c>
      <c r="AH102" s="1262">
        <v>1912010</v>
      </c>
      <c r="AI102" s="1262">
        <v>1919765</v>
      </c>
      <c r="AJ102" s="1262">
        <v>1903397</v>
      </c>
      <c r="AK102" s="1262">
        <v>1803998</v>
      </c>
      <c r="AL102" s="1262">
        <v>1814384</v>
      </c>
      <c r="AM102" s="1262">
        <v>1951460</v>
      </c>
      <c r="AN102" s="1262">
        <v>1980604</v>
      </c>
      <c r="AO102" s="1262">
        <v>1884966</v>
      </c>
      <c r="AP102" s="1262">
        <v>2068187</v>
      </c>
      <c r="AQ102" s="1262">
        <v>2027537</v>
      </c>
      <c r="AR102" s="1262">
        <v>1980760</v>
      </c>
      <c r="AS102" s="1262">
        <v>1991070</v>
      </c>
      <c r="AT102" s="1262">
        <v>2058547</v>
      </c>
    </row>
    <row r="103" spans="1:46">
      <c r="A103" s="201" t="s">
        <v>341</v>
      </c>
      <c r="B103" s="1262" t="s">
        <v>344</v>
      </c>
      <c r="C103" s="1262">
        <v>922122</v>
      </c>
      <c r="D103" s="1262">
        <v>885818</v>
      </c>
      <c r="E103" s="1262">
        <v>837940</v>
      </c>
      <c r="F103" s="1262">
        <v>855074</v>
      </c>
      <c r="G103" s="1262">
        <v>870757</v>
      </c>
      <c r="H103" s="1262">
        <v>868519</v>
      </c>
      <c r="I103" s="1262">
        <v>891788</v>
      </c>
      <c r="J103" s="1262">
        <v>880241</v>
      </c>
      <c r="K103" s="1262">
        <v>837543</v>
      </c>
      <c r="L103" s="1262">
        <v>690655</v>
      </c>
      <c r="M103" s="1262">
        <v>805138</v>
      </c>
      <c r="N103" s="1262">
        <v>804508</v>
      </c>
      <c r="O103" s="1262">
        <v>836405</v>
      </c>
      <c r="P103" s="1262">
        <v>856859</v>
      </c>
      <c r="Q103" s="1262">
        <v>755034</v>
      </c>
      <c r="R103" s="1262">
        <v>885625</v>
      </c>
      <c r="S103" s="1262">
        <v>761295</v>
      </c>
      <c r="T103" s="1262">
        <v>893670</v>
      </c>
      <c r="U103" s="1262">
        <v>815220</v>
      </c>
      <c r="V103" s="1262">
        <v>872928</v>
      </c>
      <c r="W103" s="1262">
        <v>865674</v>
      </c>
      <c r="X103" s="1262">
        <v>853870</v>
      </c>
      <c r="Y103" s="1262">
        <v>714739</v>
      </c>
      <c r="Z103" s="1262">
        <v>814418</v>
      </c>
      <c r="AA103" s="1262">
        <v>904690</v>
      </c>
      <c r="AB103" s="1262">
        <v>879035</v>
      </c>
      <c r="AC103" s="1262">
        <v>841812</v>
      </c>
      <c r="AD103" s="1262">
        <v>986107</v>
      </c>
      <c r="AE103" s="1262">
        <v>918020</v>
      </c>
      <c r="AF103" s="1262">
        <v>946698</v>
      </c>
      <c r="AG103" s="1262">
        <v>304934</v>
      </c>
      <c r="AH103" s="1262">
        <v>779735</v>
      </c>
      <c r="AI103" s="1262">
        <v>818255</v>
      </c>
      <c r="AJ103" s="1262">
        <v>896279</v>
      </c>
      <c r="AK103" s="1262">
        <v>886980</v>
      </c>
      <c r="AL103" s="1262">
        <v>831929</v>
      </c>
      <c r="AM103" s="1262">
        <v>912250</v>
      </c>
      <c r="AN103" s="1262">
        <v>933387</v>
      </c>
      <c r="AO103" s="1262">
        <v>823007</v>
      </c>
      <c r="AP103" s="1262">
        <v>881458</v>
      </c>
      <c r="AQ103" s="1262">
        <v>935564</v>
      </c>
      <c r="AR103" s="1262">
        <v>1007396</v>
      </c>
      <c r="AS103" s="1262">
        <v>960392</v>
      </c>
      <c r="AT103" s="1262">
        <v>929852</v>
      </c>
    </row>
    <row r="104" spans="1:46">
      <c r="A104" s="201" t="s">
        <v>341</v>
      </c>
      <c r="B104" s="1262" t="s">
        <v>347</v>
      </c>
      <c r="C104" s="1262">
        <v>639517</v>
      </c>
      <c r="D104" s="1262">
        <v>629257</v>
      </c>
      <c r="E104" s="1262">
        <v>563714</v>
      </c>
      <c r="F104" s="1262">
        <v>569204</v>
      </c>
      <c r="G104" s="1262">
        <v>619313</v>
      </c>
      <c r="H104" s="1262">
        <v>266097</v>
      </c>
      <c r="I104" s="1262">
        <v>468323</v>
      </c>
      <c r="J104" s="1262">
        <v>617342</v>
      </c>
      <c r="K104" s="1262">
        <v>568799</v>
      </c>
      <c r="L104" s="1262">
        <v>551598</v>
      </c>
      <c r="M104" s="1262">
        <v>550069</v>
      </c>
      <c r="N104" s="1262">
        <v>547106</v>
      </c>
      <c r="O104" s="1262">
        <v>570826</v>
      </c>
      <c r="P104" s="1262">
        <v>552551</v>
      </c>
      <c r="Q104" s="1262">
        <v>524313</v>
      </c>
      <c r="R104" s="1262">
        <v>675946</v>
      </c>
      <c r="S104" s="1262">
        <v>701133</v>
      </c>
      <c r="T104" s="1262">
        <v>724317</v>
      </c>
      <c r="U104" s="1262">
        <v>405439</v>
      </c>
      <c r="V104" s="1262">
        <v>644794</v>
      </c>
      <c r="W104" s="1262">
        <v>727504</v>
      </c>
      <c r="X104" s="1262">
        <v>496472</v>
      </c>
      <c r="Y104" s="1262">
        <v>739721</v>
      </c>
      <c r="Z104" s="1262">
        <v>611168</v>
      </c>
      <c r="AA104" s="1262">
        <v>560185</v>
      </c>
      <c r="AB104" s="1262">
        <v>622933</v>
      </c>
      <c r="AC104" s="1262">
        <v>525573</v>
      </c>
      <c r="AD104" s="1262">
        <v>584277</v>
      </c>
      <c r="AE104" s="1262">
        <v>552519</v>
      </c>
      <c r="AF104" s="1262">
        <v>573924</v>
      </c>
      <c r="AG104" s="1262">
        <v>577950</v>
      </c>
      <c r="AH104" s="1262">
        <v>590239</v>
      </c>
      <c r="AI104" s="1262">
        <v>193977</v>
      </c>
      <c r="AJ104" s="1262">
        <v>709435</v>
      </c>
      <c r="AK104" s="1262">
        <v>626299</v>
      </c>
      <c r="AL104" s="1262">
        <v>582621</v>
      </c>
      <c r="AM104" s="1262">
        <v>517633</v>
      </c>
      <c r="AN104" s="1262">
        <v>596222</v>
      </c>
      <c r="AO104" s="1262">
        <v>510285</v>
      </c>
      <c r="AP104" s="1262">
        <v>518058</v>
      </c>
      <c r="AQ104" s="1262">
        <v>723541</v>
      </c>
      <c r="AR104" s="1262">
        <v>631901</v>
      </c>
      <c r="AS104" s="1262">
        <v>189096</v>
      </c>
      <c r="AT104" s="1262">
        <v>405286</v>
      </c>
    </row>
    <row r="105" spans="1:46">
      <c r="A105" s="201" t="s">
        <v>341</v>
      </c>
      <c r="B105" s="1262" t="s">
        <v>348</v>
      </c>
      <c r="C105" s="1262">
        <v>3229329</v>
      </c>
      <c r="D105" s="1262">
        <v>3058038</v>
      </c>
      <c r="E105" s="1262">
        <v>2815679</v>
      </c>
      <c r="F105" s="1262">
        <v>2984322</v>
      </c>
      <c r="G105" s="1262">
        <v>3008865</v>
      </c>
      <c r="H105" s="1262">
        <v>2589416</v>
      </c>
      <c r="I105" s="1262">
        <v>3057786</v>
      </c>
      <c r="J105" s="1262">
        <v>3218892</v>
      </c>
      <c r="K105" s="1262">
        <v>3019135</v>
      </c>
      <c r="L105" s="1262">
        <v>2934866</v>
      </c>
      <c r="M105" s="1262">
        <v>3066301</v>
      </c>
      <c r="N105" s="1262">
        <v>2878790</v>
      </c>
      <c r="O105" s="1262">
        <v>3017860</v>
      </c>
      <c r="P105" s="1262">
        <v>3164881</v>
      </c>
      <c r="Q105" s="1262">
        <v>2753300</v>
      </c>
      <c r="R105" s="1262">
        <v>3285372</v>
      </c>
      <c r="S105" s="1262">
        <v>2941026</v>
      </c>
      <c r="T105" s="1262">
        <v>3210918</v>
      </c>
      <c r="U105" s="1262">
        <v>2970801</v>
      </c>
      <c r="V105" s="1262">
        <v>3206969</v>
      </c>
      <c r="W105" s="1262">
        <v>3105357</v>
      </c>
      <c r="X105" s="1262">
        <v>2797344</v>
      </c>
      <c r="Y105" s="1262">
        <v>3094717</v>
      </c>
      <c r="Z105" s="1262">
        <v>2974311</v>
      </c>
      <c r="AA105" s="1262">
        <v>3127402</v>
      </c>
      <c r="AB105" s="1262">
        <v>3115561</v>
      </c>
      <c r="AC105" s="1262">
        <v>3095261</v>
      </c>
      <c r="AD105" s="1262">
        <v>3270288</v>
      </c>
      <c r="AE105" s="1262">
        <v>2979726</v>
      </c>
      <c r="AF105" s="1262">
        <v>3322185</v>
      </c>
      <c r="AG105" s="1262">
        <v>2681960</v>
      </c>
      <c r="AH105" s="1262">
        <v>3062443</v>
      </c>
      <c r="AI105" s="1262">
        <v>2783944</v>
      </c>
      <c r="AJ105" s="1262">
        <v>3256507</v>
      </c>
      <c r="AK105" s="1262">
        <v>3038540</v>
      </c>
      <c r="AL105" s="1262">
        <v>3010568</v>
      </c>
      <c r="AM105" s="1262">
        <v>3171486</v>
      </c>
      <c r="AN105" s="1262">
        <v>3235680</v>
      </c>
      <c r="AO105" s="1262">
        <v>3002507</v>
      </c>
      <c r="AP105" s="1262">
        <v>3273440</v>
      </c>
      <c r="AQ105" s="1262">
        <v>3421128</v>
      </c>
      <c r="AR105" s="1262">
        <v>3340178</v>
      </c>
      <c r="AS105" s="1262">
        <v>2951069</v>
      </c>
      <c r="AT105" s="1262">
        <v>3171967</v>
      </c>
    </row>
    <row r="106" spans="1:46">
      <c r="A106" s="201" t="s">
        <v>341</v>
      </c>
      <c r="B106" s="1262" t="s">
        <v>343</v>
      </c>
      <c r="C106" s="1262">
        <v>1942941</v>
      </c>
      <c r="D106" s="1262">
        <v>1800702</v>
      </c>
      <c r="E106" s="1262">
        <v>1653155</v>
      </c>
      <c r="F106" s="1262">
        <v>1807280</v>
      </c>
      <c r="G106" s="1262">
        <v>1799497</v>
      </c>
      <c r="H106" s="1262">
        <v>1657971</v>
      </c>
      <c r="I106" s="1262">
        <v>1883867</v>
      </c>
      <c r="J106" s="1262">
        <v>1935814</v>
      </c>
      <c r="K106" s="1262">
        <v>1824061</v>
      </c>
      <c r="L106" s="1262">
        <v>1873174</v>
      </c>
      <c r="M106" s="1262">
        <v>1921339</v>
      </c>
      <c r="N106" s="1262">
        <v>1743011</v>
      </c>
      <c r="O106" s="1262">
        <v>1814564</v>
      </c>
      <c r="P106" s="1262">
        <v>1957887</v>
      </c>
      <c r="Q106" s="1262">
        <v>1671216</v>
      </c>
      <c r="R106" s="1262">
        <v>1982244</v>
      </c>
      <c r="S106" s="1262">
        <v>1720393</v>
      </c>
      <c r="T106" s="1262">
        <v>1874973</v>
      </c>
      <c r="U106" s="1262">
        <v>1966166</v>
      </c>
      <c r="V106" s="1262">
        <v>1968206</v>
      </c>
      <c r="W106" s="1262">
        <v>1817203</v>
      </c>
      <c r="X106" s="1262">
        <v>1665498</v>
      </c>
      <c r="Y106" s="1262">
        <v>1906125</v>
      </c>
      <c r="Z106" s="1262">
        <v>1775671</v>
      </c>
      <c r="AA106" s="1262">
        <v>1877442</v>
      </c>
      <c r="AB106" s="1262">
        <v>1833720</v>
      </c>
      <c r="AC106" s="1262">
        <v>1914139</v>
      </c>
      <c r="AD106" s="1262">
        <v>1962666</v>
      </c>
      <c r="AE106" s="1262">
        <v>1741490</v>
      </c>
      <c r="AF106" s="1262">
        <v>2032365</v>
      </c>
      <c r="AG106" s="1262">
        <v>1954795</v>
      </c>
      <c r="AH106" s="1262">
        <v>1911225</v>
      </c>
      <c r="AI106" s="1262">
        <v>1917710</v>
      </c>
      <c r="AJ106" s="1262">
        <v>1903931</v>
      </c>
      <c r="AK106" s="1262">
        <v>1806081</v>
      </c>
      <c r="AL106" s="1262">
        <v>1808221</v>
      </c>
      <c r="AM106" s="1262">
        <v>1954580</v>
      </c>
      <c r="AN106" s="1262">
        <v>1975697</v>
      </c>
      <c r="AO106" s="1262">
        <v>1883378</v>
      </c>
      <c r="AP106" s="1262">
        <v>2081905</v>
      </c>
      <c r="AQ106" s="1262">
        <v>2036222</v>
      </c>
      <c r="AR106" s="1262">
        <v>1981559</v>
      </c>
      <c r="AS106" s="1262">
        <v>1990895</v>
      </c>
      <c r="AT106" s="1262">
        <v>2058372</v>
      </c>
    </row>
    <row r="107" spans="1:46">
      <c r="A107" s="201" t="s">
        <v>341</v>
      </c>
      <c r="B107" s="1262" t="s">
        <v>344</v>
      </c>
      <c r="C107" s="1262">
        <v>778993</v>
      </c>
      <c r="D107" s="1262">
        <v>746284</v>
      </c>
      <c r="E107" s="1262">
        <v>719147</v>
      </c>
      <c r="F107" s="1262">
        <v>720311</v>
      </c>
      <c r="G107" s="1262">
        <v>729738</v>
      </c>
      <c r="H107" s="1262">
        <v>733035</v>
      </c>
      <c r="I107" s="1262">
        <v>783743</v>
      </c>
      <c r="J107" s="1262">
        <v>764502</v>
      </c>
      <c r="K107" s="1262">
        <v>725837</v>
      </c>
      <c r="L107" s="1262">
        <v>613636</v>
      </c>
      <c r="M107" s="1262">
        <v>702994</v>
      </c>
      <c r="N107" s="1262">
        <v>698426</v>
      </c>
      <c r="O107" s="1262">
        <v>725964</v>
      </c>
      <c r="P107" s="1262">
        <v>744306</v>
      </c>
      <c r="Q107" s="1262">
        <v>655594</v>
      </c>
      <c r="R107" s="1262">
        <v>769016</v>
      </c>
      <c r="S107" s="1262">
        <v>672016</v>
      </c>
      <c r="T107" s="1262">
        <v>760811</v>
      </c>
      <c r="U107" s="1262">
        <v>696925</v>
      </c>
      <c r="V107" s="1262">
        <v>755679</v>
      </c>
      <c r="W107" s="1262">
        <v>731578</v>
      </c>
      <c r="X107" s="1262">
        <v>732452</v>
      </c>
      <c r="Y107" s="1262">
        <v>615807</v>
      </c>
      <c r="Z107" s="1262">
        <v>694793</v>
      </c>
      <c r="AA107" s="1262">
        <v>775767</v>
      </c>
      <c r="AB107" s="1262">
        <v>762891</v>
      </c>
      <c r="AC107" s="1262">
        <v>731246</v>
      </c>
      <c r="AD107" s="1262">
        <v>822324</v>
      </c>
      <c r="AE107" s="1262">
        <v>779348</v>
      </c>
      <c r="AF107" s="1262">
        <v>817910</v>
      </c>
      <c r="AG107" s="1262">
        <v>262090</v>
      </c>
      <c r="AH107" s="1262">
        <v>669393</v>
      </c>
      <c r="AI107" s="1262">
        <v>706637</v>
      </c>
      <c r="AJ107" s="1262">
        <v>775212</v>
      </c>
      <c r="AK107" s="1262">
        <v>771132</v>
      </c>
      <c r="AL107" s="1262">
        <v>726492</v>
      </c>
      <c r="AM107" s="1262">
        <v>779437</v>
      </c>
      <c r="AN107" s="1262">
        <v>783817</v>
      </c>
      <c r="AO107" s="1262">
        <v>711155</v>
      </c>
      <c r="AP107" s="1262">
        <v>763341</v>
      </c>
      <c r="AQ107" s="1262">
        <v>800016</v>
      </c>
      <c r="AR107" s="1262">
        <v>844255</v>
      </c>
      <c r="AS107" s="1262">
        <v>799977</v>
      </c>
      <c r="AT107" s="1262">
        <v>786587</v>
      </c>
    </row>
    <row r="108" spans="1:46">
      <c r="A108" s="201" t="s">
        <v>341</v>
      </c>
      <c r="B108" s="1262" t="s">
        <v>347</v>
      </c>
      <c r="C108" s="1262">
        <v>507395</v>
      </c>
      <c r="D108" s="1262">
        <v>511052</v>
      </c>
      <c r="E108" s="1262">
        <v>443377</v>
      </c>
      <c r="F108" s="1262">
        <v>456731</v>
      </c>
      <c r="G108" s="1262">
        <v>479630</v>
      </c>
      <c r="H108" s="1262">
        <v>198410</v>
      </c>
      <c r="I108" s="1262">
        <v>390176</v>
      </c>
      <c r="J108" s="1262">
        <v>518576</v>
      </c>
      <c r="K108" s="1262">
        <v>469237</v>
      </c>
      <c r="L108" s="1262">
        <v>448056</v>
      </c>
      <c r="M108" s="1262">
        <v>441968</v>
      </c>
      <c r="N108" s="1262">
        <v>437353</v>
      </c>
      <c r="O108" s="1262">
        <v>477332</v>
      </c>
      <c r="P108" s="1262">
        <v>462688</v>
      </c>
      <c r="Q108" s="1262">
        <v>426490</v>
      </c>
      <c r="R108" s="1262">
        <v>534112</v>
      </c>
      <c r="S108" s="1262">
        <v>548617</v>
      </c>
      <c r="T108" s="1262">
        <v>575134</v>
      </c>
      <c r="U108" s="1262">
        <v>307710</v>
      </c>
      <c r="V108" s="1262">
        <v>483084</v>
      </c>
      <c r="W108" s="1262">
        <v>556576</v>
      </c>
      <c r="X108" s="1262">
        <v>399394</v>
      </c>
      <c r="Y108" s="1262">
        <v>572785</v>
      </c>
      <c r="Z108" s="1262">
        <v>503847</v>
      </c>
      <c r="AA108" s="1262">
        <v>474193</v>
      </c>
      <c r="AB108" s="1262">
        <v>518950</v>
      </c>
      <c r="AC108" s="1262">
        <v>449876</v>
      </c>
      <c r="AD108" s="1262">
        <v>485298</v>
      </c>
      <c r="AE108" s="1262">
        <v>458888</v>
      </c>
      <c r="AF108" s="1262">
        <v>471910</v>
      </c>
      <c r="AG108" s="1262">
        <v>465075</v>
      </c>
      <c r="AH108" s="1262">
        <v>481825</v>
      </c>
      <c r="AI108" s="1262">
        <v>159597</v>
      </c>
      <c r="AJ108" s="1262">
        <v>577364</v>
      </c>
      <c r="AK108" s="1262">
        <v>461327</v>
      </c>
      <c r="AL108" s="1262">
        <v>475855</v>
      </c>
      <c r="AM108" s="1262">
        <v>437469</v>
      </c>
      <c r="AN108" s="1262">
        <v>476166</v>
      </c>
      <c r="AO108" s="1262">
        <v>407974</v>
      </c>
      <c r="AP108" s="1262">
        <v>428194</v>
      </c>
      <c r="AQ108" s="1262">
        <v>584890</v>
      </c>
      <c r="AR108" s="1262">
        <v>514364</v>
      </c>
      <c r="AS108" s="1262">
        <v>160197</v>
      </c>
      <c r="AT108" s="1262">
        <v>327008</v>
      </c>
    </row>
    <row r="109" spans="1:46">
      <c r="A109" s="201" t="s">
        <v>341</v>
      </c>
      <c r="B109" s="1262" t="s">
        <v>13</v>
      </c>
      <c r="C109" s="1262">
        <v>1063275.8589999999</v>
      </c>
      <c r="D109" s="1262">
        <v>1051857.362</v>
      </c>
      <c r="E109" s="1262">
        <v>954317.75800000003</v>
      </c>
      <c r="F109" s="1262">
        <v>1035080</v>
      </c>
      <c r="G109" s="1262">
        <v>1038244</v>
      </c>
      <c r="H109" s="1262">
        <v>879181.90399999998</v>
      </c>
      <c r="I109" s="1262">
        <v>1040497.1189999999</v>
      </c>
      <c r="J109" s="1262">
        <v>1081707.1939999999</v>
      </c>
      <c r="K109" s="1262">
        <v>1010677</v>
      </c>
      <c r="L109" s="1262">
        <v>988238.99600000004</v>
      </c>
      <c r="M109" s="1262">
        <v>1047922.621</v>
      </c>
      <c r="N109" s="1262">
        <v>962698.272</v>
      </c>
      <c r="O109" s="1262">
        <v>1015628.154</v>
      </c>
      <c r="P109" s="1262">
        <v>1071112.44</v>
      </c>
      <c r="Q109" s="1262">
        <v>943584.12899999996</v>
      </c>
      <c r="R109" s="1262">
        <v>1116078.4269999999</v>
      </c>
      <c r="S109" s="1262">
        <v>1016699.086</v>
      </c>
      <c r="T109" s="1262">
        <v>1131186.899</v>
      </c>
      <c r="U109" s="1262">
        <v>1089514.5390000001</v>
      </c>
      <c r="V109" s="1262">
        <v>1090262.1580000001</v>
      </c>
      <c r="W109" s="1262">
        <v>1062614.4739999999</v>
      </c>
      <c r="X109" s="1262">
        <v>963912.16200000001</v>
      </c>
      <c r="Y109" s="1262">
        <v>1072998.6070000001</v>
      </c>
      <c r="Z109" s="1262">
        <v>1021747.402</v>
      </c>
      <c r="AA109" s="1262">
        <v>1098150.98</v>
      </c>
      <c r="AB109" s="1262">
        <v>1048703.3500000001</v>
      </c>
      <c r="AC109" s="1262">
        <v>1065326.8700000001</v>
      </c>
      <c r="AD109" s="1262">
        <v>1142429.8899999999</v>
      </c>
      <c r="AE109" s="1262">
        <v>1056422.83</v>
      </c>
      <c r="AF109" s="1262">
        <v>1190264.9602128</v>
      </c>
      <c r="AG109" s="1262">
        <v>940679.42500000005</v>
      </c>
      <c r="AH109" s="1262">
        <v>1091961.138</v>
      </c>
      <c r="AI109" s="1262">
        <v>1003893</v>
      </c>
      <c r="AJ109" s="1262">
        <v>1216012.9809999999</v>
      </c>
      <c r="AK109" s="1262">
        <v>1055382.0430000001</v>
      </c>
      <c r="AL109" s="1262">
        <v>1008115.5</v>
      </c>
      <c r="AM109" s="1262">
        <v>1164649.93</v>
      </c>
      <c r="AN109" s="1262">
        <v>1178951.1040000001</v>
      </c>
      <c r="AO109" s="1262">
        <v>1091826.7097236984</v>
      </c>
      <c r="AP109" s="1262">
        <v>1190024.18</v>
      </c>
      <c r="AQ109" s="1262">
        <v>1274978.909</v>
      </c>
      <c r="AR109" s="1262">
        <v>1291703.8899999999</v>
      </c>
      <c r="AS109" s="1262">
        <v>1117134.44</v>
      </c>
      <c r="AT109" s="1262">
        <v>1126791.83</v>
      </c>
    </row>
    <row r="110" spans="1:46">
      <c r="A110" s="201" t="s">
        <v>341</v>
      </c>
      <c r="B110" s="1262" t="s">
        <v>343</v>
      </c>
      <c r="C110" s="1262">
        <v>635866</v>
      </c>
      <c r="D110" s="1262">
        <v>637779.36199999996</v>
      </c>
      <c r="E110" s="1262">
        <v>569908.63800000004</v>
      </c>
      <c r="F110" s="1262">
        <v>647568</v>
      </c>
      <c r="G110" s="1262">
        <v>646482</v>
      </c>
      <c r="H110" s="1262">
        <v>564607.42000000004</v>
      </c>
      <c r="I110" s="1262">
        <v>652704.96</v>
      </c>
      <c r="J110" s="1262">
        <v>668166</v>
      </c>
      <c r="K110" s="1262">
        <v>628335</v>
      </c>
      <c r="L110" s="1262">
        <v>657374.12</v>
      </c>
      <c r="M110" s="1262">
        <v>684622.27</v>
      </c>
      <c r="N110" s="1262">
        <v>609165.14800000004</v>
      </c>
      <c r="O110" s="1262">
        <v>632028</v>
      </c>
      <c r="P110" s="1262">
        <v>672176</v>
      </c>
      <c r="Q110" s="1262">
        <v>586176</v>
      </c>
      <c r="R110" s="1262">
        <v>687926</v>
      </c>
      <c r="S110" s="1262">
        <v>614928</v>
      </c>
      <c r="T110" s="1262">
        <v>705086</v>
      </c>
      <c r="U110" s="1262">
        <v>744928</v>
      </c>
      <c r="V110" s="1262">
        <v>682106.08</v>
      </c>
      <c r="W110" s="1262">
        <v>649470.34600000002</v>
      </c>
      <c r="X110" s="1262">
        <v>583851.28899999999</v>
      </c>
      <c r="Y110" s="1262">
        <v>697461</v>
      </c>
      <c r="Z110" s="1262">
        <v>634421</v>
      </c>
      <c r="AA110" s="1262">
        <v>686612.31</v>
      </c>
      <c r="AB110" s="1262">
        <v>631647</v>
      </c>
      <c r="AC110" s="1262">
        <v>669186</v>
      </c>
      <c r="AD110" s="1262">
        <v>719309.22</v>
      </c>
      <c r="AE110" s="1262">
        <v>642828.19999999995</v>
      </c>
      <c r="AF110" s="1262">
        <v>759977.08021279995</v>
      </c>
      <c r="AG110" s="1262">
        <v>704045.29</v>
      </c>
      <c r="AH110" s="1262">
        <v>708185</v>
      </c>
      <c r="AI110" s="1262">
        <v>703016</v>
      </c>
      <c r="AJ110" s="1262">
        <v>785864</v>
      </c>
      <c r="AK110" s="1262">
        <v>649131</v>
      </c>
      <c r="AL110" s="1262">
        <v>602491.67000000004</v>
      </c>
      <c r="AM110" s="1262">
        <v>761088</v>
      </c>
      <c r="AN110" s="1262">
        <v>748190</v>
      </c>
      <c r="AO110" s="1262">
        <v>713453</v>
      </c>
      <c r="AP110" s="1262">
        <v>777114</v>
      </c>
      <c r="AQ110" s="1262">
        <v>800514</v>
      </c>
      <c r="AR110" s="1262">
        <v>822202</v>
      </c>
      <c r="AS110" s="1262">
        <v>761560</v>
      </c>
      <c r="AT110" s="1262">
        <v>735933</v>
      </c>
    </row>
    <row r="111" spans="1:46">
      <c r="A111" s="201" t="s">
        <v>341</v>
      </c>
      <c r="B111" s="1262" t="s">
        <v>349</v>
      </c>
      <c r="C111" s="1262">
        <v>635866</v>
      </c>
      <c r="D111" s="1262">
        <v>614682</v>
      </c>
      <c r="E111" s="1262">
        <v>568006</v>
      </c>
      <c r="F111" s="1262">
        <v>617568</v>
      </c>
      <c r="G111" s="1262">
        <v>617360</v>
      </c>
      <c r="H111" s="1262">
        <v>561278</v>
      </c>
      <c r="I111" s="1262">
        <v>631698</v>
      </c>
      <c r="J111" s="1262">
        <v>658466</v>
      </c>
      <c r="K111" s="1262">
        <v>620758</v>
      </c>
      <c r="L111" s="1262">
        <v>636758</v>
      </c>
      <c r="M111" s="1262">
        <v>644586</v>
      </c>
      <c r="N111" s="1262">
        <v>594990</v>
      </c>
      <c r="O111" s="1262">
        <v>602028</v>
      </c>
      <c r="P111" s="1262">
        <v>662176</v>
      </c>
      <c r="Q111" s="1262">
        <v>566176</v>
      </c>
      <c r="R111" s="1262">
        <v>667926</v>
      </c>
      <c r="S111" s="1262">
        <v>594928</v>
      </c>
      <c r="T111" s="1262">
        <v>645086</v>
      </c>
      <c r="U111" s="1262">
        <v>680928</v>
      </c>
      <c r="V111" s="1262">
        <v>681669</v>
      </c>
      <c r="W111" s="1262">
        <v>626569</v>
      </c>
      <c r="X111" s="1262">
        <v>577286</v>
      </c>
      <c r="Y111" s="1262">
        <v>658158</v>
      </c>
      <c r="Z111" s="1262">
        <v>611258</v>
      </c>
      <c r="AA111" s="1262">
        <v>650688</v>
      </c>
      <c r="AB111" s="1262">
        <v>630688</v>
      </c>
      <c r="AC111" s="1262">
        <v>654186</v>
      </c>
      <c r="AD111" s="1262">
        <v>675634</v>
      </c>
      <c r="AE111" s="1262">
        <v>597634</v>
      </c>
      <c r="AF111" s="1262">
        <v>682170.08021279995</v>
      </c>
      <c r="AG111" s="1262">
        <v>668088</v>
      </c>
      <c r="AH111" s="1262">
        <v>657127</v>
      </c>
      <c r="AI111" s="1262">
        <v>658416</v>
      </c>
      <c r="AJ111" s="1262">
        <v>624422</v>
      </c>
      <c r="AK111" s="1262">
        <v>555844</v>
      </c>
      <c r="AL111" s="1262">
        <v>461804</v>
      </c>
      <c r="AM111" s="1262">
        <v>672588</v>
      </c>
      <c r="AN111" s="1262">
        <v>676928</v>
      </c>
      <c r="AO111" s="1262">
        <v>648618</v>
      </c>
      <c r="AP111" s="1262">
        <v>639251</v>
      </c>
      <c r="AQ111" s="1262">
        <v>604375</v>
      </c>
      <c r="AR111" s="1262">
        <v>691177</v>
      </c>
      <c r="AS111" s="1262">
        <v>693571</v>
      </c>
      <c r="AT111" s="1262">
        <v>495138</v>
      </c>
    </row>
    <row r="112" spans="1:46">
      <c r="B112" s="1262" t="s">
        <v>350</v>
      </c>
      <c r="AF112" s="1262">
        <v>14734</v>
      </c>
      <c r="AG112" s="1262">
        <v>0</v>
      </c>
      <c r="AH112" s="1262">
        <v>0</v>
      </c>
      <c r="AI112" s="1262">
        <v>0</v>
      </c>
      <c r="AJ112" s="1262">
        <v>27803</v>
      </c>
      <c r="AK112" s="1262">
        <v>50051</v>
      </c>
      <c r="AL112" s="1262">
        <v>135052</v>
      </c>
      <c r="AM112" s="1262">
        <v>0</v>
      </c>
      <c r="AN112" s="1262">
        <v>0</v>
      </c>
      <c r="AO112" s="1262">
        <v>0</v>
      </c>
      <c r="AP112" s="1262">
        <v>72517</v>
      </c>
      <c r="AQ112" s="1262">
        <v>91159</v>
      </c>
      <c r="AR112" s="1262">
        <v>0</v>
      </c>
      <c r="AS112" s="1262">
        <v>0</v>
      </c>
      <c r="AT112" s="1262">
        <v>197831</v>
      </c>
    </row>
    <row r="113" spans="1:46">
      <c r="A113" s="201" t="s">
        <v>341</v>
      </c>
      <c r="B113" s="1262" t="s">
        <v>351</v>
      </c>
      <c r="D113" s="1262">
        <v>23097.362000000001</v>
      </c>
      <c r="E113" s="1262">
        <v>1902.6379999999999</v>
      </c>
      <c r="F113" s="1262">
        <v>30000</v>
      </c>
      <c r="G113" s="1262">
        <v>29122</v>
      </c>
      <c r="H113" s="1262">
        <v>3329.42</v>
      </c>
      <c r="I113" s="1262">
        <v>21006.959999999999</v>
      </c>
      <c r="J113" s="1262">
        <v>9700</v>
      </c>
      <c r="K113" s="1262">
        <v>7577</v>
      </c>
      <c r="L113" s="1262">
        <v>20616.12</v>
      </c>
      <c r="M113" s="1262">
        <v>40036.269999999997</v>
      </c>
      <c r="N113" s="1262">
        <v>14175.147999999999</v>
      </c>
      <c r="O113" s="1262">
        <v>30000</v>
      </c>
      <c r="P113" s="1262">
        <v>10000</v>
      </c>
      <c r="Q113" s="1262">
        <v>20000</v>
      </c>
      <c r="R113" s="1262">
        <v>20000</v>
      </c>
      <c r="S113" s="1262">
        <v>20000</v>
      </c>
      <c r="T113" s="1262">
        <v>60000</v>
      </c>
      <c r="U113" s="1262">
        <v>64000</v>
      </c>
      <c r="V113" s="1262">
        <v>437.08</v>
      </c>
      <c r="W113" s="1262">
        <v>22901.346000000001</v>
      </c>
      <c r="X113" s="1262">
        <v>6565.2889999999998</v>
      </c>
      <c r="Y113" s="1262">
        <v>39303</v>
      </c>
      <c r="Z113" s="1262">
        <v>23163</v>
      </c>
      <c r="AA113" s="1262">
        <v>35924.31</v>
      </c>
      <c r="AB113" s="1262">
        <v>959</v>
      </c>
      <c r="AC113" s="1262">
        <v>15000</v>
      </c>
      <c r="AD113" s="1262">
        <v>43675.22</v>
      </c>
      <c r="AE113" s="1262">
        <v>45194.2</v>
      </c>
      <c r="AF113" s="1262">
        <v>63073</v>
      </c>
      <c r="AG113" s="1262">
        <v>35957.29</v>
      </c>
      <c r="AH113" s="1262">
        <v>51058</v>
      </c>
      <c r="AI113" s="1262">
        <v>44600</v>
      </c>
      <c r="AJ113" s="1262">
        <v>133639</v>
      </c>
      <c r="AK113" s="1262">
        <v>43236</v>
      </c>
      <c r="AL113" s="1262">
        <v>5635.67</v>
      </c>
      <c r="AM113" s="1262">
        <v>88500</v>
      </c>
      <c r="AN113" s="1262">
        <v>71262</v>
      </c>
      <c r="AO113" s="1262">
        <v>64835</v>
      </c>
      <c r="AP113" s="1262">
        <v>65346</v>
      </c>
      <c r="AQ113" s="1262">
        <v>104980</v>
      </c>
      <c r="AR113" s="1262">
        <v>131025</v>
      </c>
      <c r="AS113" s="1262">
        <v>67989</v>
      </c>
      <c r="AT113" s="1262">
        <v>42964</v>
      </c>
    </row>
    <row r="114" spans="1:46">
      <c r="A114" s="201" t="s">
        <v>341</v>
      </c>
      <c r="B114" s="1262" t="s">
        <v>344</v>
      </c>
      <c r="C114" s="1262">
        <v>279609.859</v>
      </c>
      <c r="D114" s="1262">
        <v>270746</v>
      </c>
      <c r="E114" s="1262">
        <v>264392.12</v>
      </c>
      <c r="F114" s="1262">
        <v>257346</v>
      </c>
      <c r="G114" s="1262">
        <v>261555</v>
      </c>
      <c r="H114" s="1262">
        <v>261563.484</v>
      </c>
      <c r="I114" s="1262">
        <v>283541.15899999999</v>
      </c>
      <c r="J114" s="1262">
        <v>273272.19400000002</v>
      </c>
      <c r="K114" s="1262">
        <v>257415</v>
      </c>
      <c r="L114" s="1262">
        <v>214892.87599999999</v>
      </c>
      <c r="M114" s="1262">
        <v>248245.351</v>
      </c>
      <c r="N114" s="1262">
        <v>238567.12400000001</v>
      </c>
      <c r="O114" s="1262">
        <v>257434.15400000001</v>
      </c>
      <c r="P114" s="1262">
        <v>262079.44</v>
      </c>
      <c r="Q114" s="1262">
        <v>244351.12899999999</v>
      </c>
      <c r="R114" s="1262">
        <v>286529.42700000003</v>
      </c>
      <c r="S114" s="1262">
        <v>251033.08100000001</v>
      </c>
      <c r="T114" s="1262">
        <v>279401.89899999998</v>
      </c>
      <c r="U114" s="1262">
        <v>263487.53899999999</v>
      </c>
      <c r="V114" s="1262">
        <v>278130.07799999998</v>
      </c>
      <c r="W114" s="1262">
        <v>268272.12800000003</v>
      </c>
      <c r="X114" s="1262">
        <v>266055.87300000002</v>
      </c>
      <c r="Y114" s="1262">
        <v>228669.60699999999</v>
      </c>
      <c r="Z114" s="1262">
        <v>255063.402</v>
      </c>
      <c r="AA114" s="1262">
        <v>285103.67</v>
      </c>
      <c r="AB114" s="1262">
        <v>278021.34999999998</v>
      </c>
      <c r="AC114" s="1262">
        <v>275007.87</v>
      </c>
      <c r="AD114" s="1262">
        <v>298159.67</v>
      </c>
      <c r="AE114" s="1262">
        <v>287052.63</v>
      </c>
      <c r="AF114" s="1262">
        <v>301366.88</v>
      </c>
      <c r="AG114" s="1262">
        <v>101624.645</v>
      </c>
      <c r="AH114" s="1262">
        <v>247541.10799999998</v>
      </c>
      <c r="AI114" s="1262">
        <v>259602</v>
      </c>
      <c r="AJ114" s="1262">
        <v>281179.50099999999</v>
      </c>
      <c r="AK114" s="1262">
        <v>281230.04300000001</v>
      </c>
      <c r="AL114" s="1262">
        <v>265627.82999999996</v>
      </c>
      <c r="AM114" s="1262">
        <v>284465.93</v>
      </c>
      <c r="AN114" s="1262">
        <v>292881.10399999999</v>
      </c>
      <c r="AO114" s="1262">
        <v>268170.39972369839</v>
      </c>
      <c r="AP114" s="1262">
        <v>285417.19</v>
      </c>
      <c r="AQ114" s="1262">
        <v>309958.52899999998</v>
      </c>
      <c r="AR114" s="1262">
        <v>328088.38</v>
      </c>
      <c r="AS114" s="1262">
        <v>314259.44</v>
      </c>
      <c r="AT114" s="1262">
        <v>308374.82999999996</v>
      </c>
    </row>
    <row r="115" spans="1:46">
      <c r="A115" s="201" t="s">
        <v>341</v>
      </c>
      <c r="B115" s="1262" t="s">
        <v>352</v>
      </c>
      <c r="C115" s="1262">
        <v>279609.859</v>
      </c>
      <c r="D115" s="1262">
        <v>270746</v>
      </c>
      <c r="E115" s="1262">
        <v>264392.12</v>
      </c>
      <c r="F115" s="1262">
        <v>257346</v>
      </c>
      <c r="G115" s="1262">
        <v>261555</v>
      </c>
      <c r="H115" s="1262">
        <v>261563.484</v>
      </c>
      <c r="I115" s="1262">
        <v>283541.15899999999</v>
      </c>
      <c r="J115" s="1262">
        <v>273272.19400000002</v>
      </c>
      <c r="K115" s="1262">
        <v>257415</v>
      </c>
      <c r="L115" s="1262">
        <v>214892.87599999999</v>
      </c>
      <c r="M115" s="1262">
        <v>248245.351</v>
      </c>
      <c r="N115" s="1262">
        <v>238567.12400000001</v>
      </c>
      <c r="O115" s="1262">
        <v>257434.15400000001</v>
      </c>
      <c r="P115" s="1262">
        <v>262079.44</v>
      </c>
      <c r="Q115" s="1262">
        <v>244351.12899999999</v>
      </c>
      <c r="R115" s="1262">
        <v>286529.42700000003</v>
      </c>
      <c r="S115" s="1262">
        <v>251033.08100000001</v>
      </c>
      <c r="T115" s="1262">
        <v>279401.89899999998</v>
      </c>
      <c r="U115" s="1262">
        <v>263487.53899999999</v>
      </c>
      <c r="V115" s="1262">
        <v>278130.07799999998</v>
      </c>
      <c r="W115" s="1262">
        <v>268272.12800000003</v>
      </c>
      <c r="X115" s="1262">
        <v>266055.87300000002</v>
      </c>
      <c r="Y115" s="1262">
        <v>228669.60699999999</v>
      </c>
      <c r="Z115" s="1262">
        <v>255063.402</v>
      </c>
      <c r="AA115" s="1262">
        <v>285103.67</v>
      </c>
      <c r="AB115" s="1262">
        <v>278021.34999999998</v>
      </c>
      <c r="AC115" s="1262">
        <v>275007.87</v>
      </c>
      <c r="AD115" s="1262">
        <v>298159.67</v>
      </c>
      <c r="AE115" s="1262">
        <v>287052.63</v>
      </c>
      <c r="AF115" s="1262">
        <v>301366.88</v>
      </c>
      <c r="AG115" s="1262">
        <v>101624.645</v>
      </c>
      <c r="AH115" s="1262">
        <v>247541.10799999998</v>
      </c>
      <c r="AI115" s="1262">
        <v>259602</v>
      </c>
      <c r="AJ115" s="1262">
        <v>281179.50099999999</v>
      </c>
      <c r="AK115" s="1262">
        <v>281230.04300000001</v>
      </c>
      <c r="AL115" s="1262">
        <v>265627.82999999996</v>
      </c>
      <c r="AM115" s="1262">
        <v>284465.93</v>
      </c>
      <c r="AN115" s="1262">
        <v>292578.10399999999</v>
      </c>
      <c r="AO115" s="1262">
        <v>264962.42972369841</v>
      </c>
      <c r="AP115" s="1262">
        <v>276372.62</v>
      </c>
      <c r="AQ115" s="1262">
        <v>296082.799</v>
      </c>
      <c r="AR115" s="1262">
        <v>317389.19</v>
      </c>
      <c r="AS115" s="1262">
        <v>297499.84000000003</v>
      </c>
      <c r="AT115" s="1262">
        <v>293612.23</v>
      </c>
    </row>
    <row r="116" spans="1:46">
      <c r="A116" s="201" t="s">
        <v>341</v>
      </c>
      <c r="B116" s="1262" t="s">
        <v>351</v>
      </c>
      <c r="N116" s="1262">
        <v>0</v>
      </c>
      <c r="O116" s="1262">
        <v>0</v>
      </c>
      <c r="P116" s="1262">
        <v>0</v>
      </c>
      <c r="Q116" s="1262">
        <v>0</v>
      </c>
      <c r="R116" s="1262">
        <v>0</v>
      </c>
      <c r="S116" s="1262">
        <v>0</v>
      </c>
      <c r="T116" s="1262">
        <v>0</v>
      </c>
      <c r="U116" s="1262">
        <v>0</v>
      </c>
      <c r="V116" s="1262">
        <v>0</v>
      </c>
      <c r="W116" s="1262">
        <v>0</v>
      </c>
      <c r="X116" s="1262">
        <v>0</v>
      </c>
      <c r="Y116" s="1262">
        <v>0</v>
      </c>
      <c r="Z116" s="1262">
        <v>0</v>
      </c>
      <c r="AA116" s="1262">
        <v>0</v>
      </c>
      <c r="AB116" s="1262">
        <v>0</v>
      </c>
      <c r="AC116" s="1262">
        <v>0</v>
      </c>
      <c r="AD116" s="1262">
        <v>0</v>
      </c>
      <c r="AE116" s="1262">
        <v>0</v>
      </c>
      <c r="AF116" s="1262">
        <v>0</v>
      </c>
      <c r="AG116" s="1262">
        <v>0</v>
      </c>
      <c r="AH116" s="1262">
        <v>0</v>
      </c>
      <c r="AI116" s="1262">
        <v>0</v>
      </c>
      <c r="AJ116" s="1262">
        <v>0</v>
      </c>
      <c r="AK116" s="1262">
        <v>0</v>
      </c>
      <c r="AL116" s="1262">
        <v>0</v>
      </c>
      <c r="AM116" s="1262">
        <v>0</v>
      </c>
      <c r="AN116" s="1262">
        <v>303</v>
      </c>
      <c r="AO116" s="1262">
        <v>3207.97</v>
      </c>
      <c r="AP116" s="1262">
        <v>9044.57</v>
      </c>
      <c r="AQ116" s="1262">
        <v>13875.73</v>
      </c>
      <c r="AR116" s="1262">
        <v>10699.19</v>
      </c>
      <c r="AS116" s="1262">
        <v>16759.599999999999</v>
      </c>
      <c r="AT116" s="1262">
        <v>14762.6</v>
      </c>
    </row>
    <row r="117" spans="1:46">
      <c r="A117" s="201" t="s">
        <v>341</v>
      </c>
      <c r="B117" s="1262" t="s">
        <v>345</v>
      </c>
      <c r="C117" s="1262">
        <v>147800</v>
      </c>
      <c r="D117" s="1262">
        <v>143332</v>
      </c>
      <c r="E117" s="1262">
        <v>120017</v>
      </c>
      <c r="F117" s="1262">
        <v>130166</v>
      </c>
      <c r="G117" s="1262">
        <v>130207</v>
      </c>
      <c r="H117" s="1262">
        <v>53011</v>
      </c>
      <c r="I117" s="1262">
        <v>104251</v>
      </c>
      <c r="J117" s="1262">
        <v>140269</v>
      </c>
      <c r="K117" s="1262">
        <v>124927</v>
      </c>
      <c r="L117" s="1262">
        <v>115972</v>
      </c>
      <c r="M117" s="1262">
        <v>115055</v>
      </c>
      <c r="N117" s="1262">
        <v>114966</v>
      </c>
      <c r="O117" s="1262">
        <v>126166</v>
      </c>
      <c r="P117" s="1262">
        <v>136857</v>
      </c>
      <c r="Q117" s="1262">
        <v>113057</v>
      </c>
      <c r="R117" s="1262">
        <v>141623</v>
      </c>
      <c r="S117" s="1262">
        <v>150738.005</v>
      </c>
      <c r="T117" s="1262">
        <v>146699</v>
      </c>
      <c r="U117" s="1262">
        <v>81099</v>
      </c>
      <c r="V117" s="1262">
        <v>130026</v>
      </c>
      <c r="W117" s="1262">
        <v>144872</v>
      </c>
      <c r="X117" s="1262">
        <v>114005</v>
      </c>
      <c r="Y117" s="1262">
        <v>146868</v>
      </c>
      <c r="Z117" s="1262">
        <v>132263</v>
      </c>
      <c r="AA117" s="1262">
        <v>126435</v>
      </c>
      <c r="AB117" s="1262">
        <v>139035</v>
      </c>
      <c r="AC117" s="1262">
        <v>121133</v>
      </c>
      <c r="AD117" s="1262">
        <v>124961</v>
      </c>
      <c r="AE117" s="1262">
        <v>126542</v>
      </c>
      <c r="AF117" s="1262">
        <v>128921</v>
      </c>
      <c r="AG117" s="1262">
        <v>135009.49</v>
      </c>
      <c r="AH117" s="1262">
        <v>136235.03</v>
      </c>
      <c r="AI117" s="1262">
        <v>41275</v>
      </c>
      <c r="AJ117" s="1262">
        <v>148969.48000000001</v>
      </c>
      <c r="AK117" s="1262">
        <v>125021</v>
      </c>
      <c r="AL117" s="1262">
        <v>139996</v>
      </c>
      <c r="AM117" s="1262">
        <v>119096</v>
      </c>
      <c r="AN117" s="1262">
        <v>137880</v>
      </c>
      <c r="AO117" s="1262">
        <v>110203.31</v>
      </c>
      <c r="AP117" s="1262">
        <v>127492.99</v>
      </c>
      <c r="AQ117" s="1262">
        <v>164506.38</v>
      </c>
      <c r="AR117" s="1262">
        <v>141413.51</v>
      </c>
      <c r="AS117" s="1262">
        <v>41315</v>
      </c>
      <c r="AT117" s="1262">
        <v>82484</v>
      </c>
    </row>
    <row r="118" spans="1:46">
      <c r="A118" s="201" t="s">
        <v>341</v>
      </c>
      <c r="B118" s="1262" t="s">
        <v>352</v>
      </c>
      <c r="C118" s="1262">
        <v>144986</v>
      </c>
      <c r="D118" s="1262">
        <v>143332</v>
      </c>
      <c r="E118" s="1262">
        <v>120017</v>
      </c>
      <c r="F118" s="1262">
        <v>130166</v>
      </c>
      <c r="G118" s="1262">
        <v>130207</v>
      </c>
      <c r="H118" s="1262">
        <v>53011</v>
      </c>
      <c r="I118" s="1262">
        <v>104251</v>
      </c>
      <c r="J118" s="1262">
        <v>140269</v>
      </c>
      <c r="K118" s="1262">
        <v>124927</v>
      </c>
      <c r="L118" s="1262">
        <v>115972</v>
      </c>
      <c r="M118" s="1262">
        <v>115055</v>
      </c>
      <c r="N118" s="1262">
        <v>112935</v>
      </c>
      <c r="O118" s="1262">
        <v>126166</v>
      </c>
      <c r="P118" s="1262">
        <v>136857</v>
      </c>
      <c r="Q118" s="1262">
        <v>113057</v>
      </c>
      <c r="R118" s="1262">
        <v>141623</v>
      </c>
      <c r="S118" s="1262">
        <v>147362</v>
      </c>
      <c r="T118" s="1262">
        <v>146699</v>
      </c>
      <c r="U118" s="1262">
        <v>81099</v>
      </c>
      <c r="V118" s="1262">
        <v>130026</v>
      </c>
      <c r="W118" s="1262">
        <v>144872</v>
      </c>
      <c r="X118" s="1262">
        <v>114005</v>
      </c>
      <c r="Y118" s="1262">
        <v>146868</v>
      </c>
      <c r="Z118" s="1262">
        <v>132263</v>
      </c>
      <c r="AA118" s="1262">
        <v>126435</v>
      </c>
      <c r="AB118" s="1262">
        <v>139035</v>
      </c>
      <c r="AC118" s="1262">
        <v>121133</v>
      </c>
      <c r="AD118" s="1262">
        <v>124961</v>
      </c>
      <c r="AE118" s="1262">
        <v>126542</v>
      </c>
      <c r="AF118" s="1262">
        <v>128921</v>
      </c>
      <c r="AG118" s="1262">
        <v>130021</v>
      </c>
      <c r="AH118" s="1262">
        <v>126265</v>
      </c>
      <c r="AI118" s="1262">
        <v>41275</v>
      </c>
      <c r="AJ118" s="1262">
        <v>148969.48000000001</v>
      </c>
      <c r="AK118" s="1262">
        <v>125021</v>
      </c>
      <c r="AL118" s="1262">
        <v>130038.94</v>
      </c>
      <c r="AM118" s="1262">
        <v>119096</v>
      </c>
      <c r="AN118" s="1262">
        <v>128009.69</v>
      </c>
      <c r="AO118" s="1262">
        <v>110203.31</v>
      </c>
      <c r="AP118" s="1262">
        <v>113060</v>
      </c>
      <c r="AQ118" s="1262">
        <v>160020</v>
      </c>
      <c r="AR118" s="1262">
        <v>140180</v>
      </c>
      <c r="AS118" s="1262">
        <v>41315</v>
      </c>
      <c r="AT118" s="1262">
        <v>82484</v>
      </c>
    </row>
    <row r="119" spans="1:46">
      <c r="A119" s="201" t="s">
        <v>341</v>
      </c>
      <c r="B119" s="1262" t="s">
        <v>351</v>
      </c>
      <c r="C119" s="1262">
        <v>2814</v>
      </c>
      <c r="N119" s="1262">
        <v>2031</v>
      </c>
      <c r="O119" s="1262">
        <v>0</v>
      </c>
      <c r="P119" s="1262">
        <v>0</v>
      </c>
      <c r="Q119" s="1262">
        <v>0</v>
      </c>
      <c r="R119" s="1262">
        <v>0</v>
      </c>
      <c r="S119" s="1262">
        <v>3376.0050000000001</v>
      </c>
      <c r="T119" s="1262">
        <v>0</v>
      </c>
      <c r="U119" s="1262">
        <v>0</v>
      </c>
      <c r="V119" s="1262">
        <v>0</v>
      </c>
      <c r="W119" s="1262">
        <v>0</v>
      </c>
      <c r="X119" s="1262">
        <v>0</v>
      </c>
      <c r="Y119" s="1262">
        <v>0</v>
      </c>
      <c r="Z119" s="1262">
        <v>0</v>
      </c>
      <c r="AA119" s="1262">
        <v>0</v>
      </c>
      <c r="AB119" s="1262">
        <v>0</v>
      </c>
      <c r="AC119" s="1262">
        <v>0</v>
      </c>
      <c r="AD119" s="1262">
        <v>0</v>
      </c>
      <c r="AE119" s="1262">
        <v>0</v>
      </c>
      <c r="AF119" s="1262">
        <v>0</v>
      </c>
      <c r="AG119" s="1262">
        <v>4988.49</v>
      </c>
      <c r="AH119" s="1262">
        <v>9970.0300000000007</v>
      </c>
      <c r="AI119" s="1262">
        <v>0</v>
      </c>
      <c r="AJ119" s="1262">
        <v>0</v>
      </c>
      <c r="AK119" s="1262">
        <v>0</v>
      </c>
      <c r="AL119" s="1262">
        <v>9957.06</v>
      </c>
      <c r="AM119" s="1262">
        <v>0</v>
      </c>
      <c r="AN119" s="1262">
        <v>9870.31</v>
      </c>
      <c r="AO119" s="1262">
        <v>0</v>
      </c>
      <c r="AP119" s="1262">
        <v>14432.990000000002</v>
      </c>
      <c r="AQ119" s="1262">
        <v>4486.38</v>
      </c>
      <c r="AR119" s="1262">
        <v>1233.51</v>
      </c>
      <c r="AS119" s="1262">
        <v>0</v>
      </c>
      <c r="AT119" s="1262">
        <v>0</v>
      </c>
    </row>
    <row r="120" spans="1:46">
      <c r="A120" s="201" t="s">
        <v>341</v>
      </c>
      <c r="B120" s="1262" t="s">
        <v>353</v>
      </c>
      <c r="C120" s="1262">
        <v>401249</v>
      </c>
      <c r="D120" s="1262">
        <v>395415</v>
      </c>
      <c r="E120" s="1262">
        <v>385384</v>
      </c>
      <c r="F120" s="1262">
        <v>383582</v>
      </c>
      <c r="G120" s="1262">
        <v>389327</v>
      </c>
      <c r="H120" s="1262">
        <v>281212</v>
      </c>
      <c r="I120" s="1262">
        <v>342585</v>
      </c>
      <c r="J120" s="1262">
        <v>396665</v>
      </c>
      <c r="K120" s="1262">
        <v>199806</v>
      </c>
      <c r="L120" s="1262">
        <v>344670</v>
      </c>
      <c r="M120" s="1262">
        <v>367137</v>
      </c>
      <c r="N120" s="1262">
        <v>326638</v>
      </c>
      <c r="O120" s="1262">
        <v>395964</v>
      </c>
      <c r="P120" s="1262">
        <v>435214</v>
      </c>
      <c r="Q120" s="1262">
        <v>384844</v>
      </c>
      <c r="R120" s="1262">
        <v>426209</v>
      </c>
      <c r="S120" s="1262">
        <v>392010</v>
      </c>
      <c r="T120" s="1262">
        <v>407023</v>
      </c>
      <c r="U120" s="1262">
        <v>272132</v>
      </c>
      <c r="V120" s="1262">
        <v>448877</v>
      </c>
      <c r="W120" s="1262">
        <v>382003</v>
      </c>
      <c r="X120" s="1262">
        <v>232344</v>
      </c>
      <c r="Y120" s="1262">
        <v>442265</v>
      </c>
      <c r="Z120" s="1262">
        <v>385235</v>
      </c>
      <c r="AA120" s="1262">
        <v>400984</v>
      </c>
      <c r="AB120" s="1262">
        <v>416988</v>
      </c>
      <c r="AC120" s="1262">
        <v>406324</v>
      </c>
      <c r="AD120" s="1262">
        <v>401010</v>
      </c>
      <c r="AE120" s="1262">
        <v>402109</v>
      </c>
      <c r="AF120" s="1262">
        <v>403488.08</v>
      </c>
      <c r="AG120" s="1262">
        <v>407157</v>
      </c>
      <c r="AH120" s="1262">
        <v>349666</v>
      </c>
      <c r="AI120" s="1262">
        <v>152064.386</v>
      </c>
      <c r="AJ120" s="1262">
        <v>359494</v>
      </c>
      <c r="AK120" s="1262">
        <v>356174</v>
      </c>
      <c r="AL120" s="1262">
        <v>387844</v>
      </c>
      <c r="AM120" s="1262">
        <v>393334</v>
      </c>
      <c r="AN120" s="1262">
        <v>406719</v>
      </c>
      <c r="AO120" s="1262">
        <v>386896</v>
      </c>
      <c r="AP120" s="1262">
        <v>392912</v>
      </c>
      <c r="AQ120" s="1262">
        <v>421098</v>
      </c>
      <c r="AR120" s="1262">
        <v>417494</v>
      </c>
      <c r="AS120" s="1262">
        <v>226425</v>
      </c>
      <c r="AT120" s="1262">
        <v>418852</v>
      </c>
    </row>
    <row r="121" spans="1:46">
      <c r="A121" s="201" t="s">
        <v>341</v>
      </c>
      <c r="B121" s="1262" t="s">
        <v>354</v>
      </c>
      <c r="C121" s="1262">
        <v>227568</v>
      </c>
      <c r="D121" s="1262">
        <v>235406</v>
      </c>
      <c r="E121" s="1262">
        <v>235356</v>
      </c>
      <c r="F121" s="1262">
        <v>223576</v>
      </c>
      <c r="G121" s="1262">
        <v>229316</v>
      </c>
      <c r="H121" s="1262">
        <v>214839</v>
      </c>
      <c r="I121" s="1262">
        <v>222516</v>
      </c>
      <c r="J121" s="1262">
        <v>235628</v>
      </c>
      <c r="K121" s="1262">
        <v>51486</v>
      </c>
      <c r="L121" s="1262">
        <v>204568</v>
      </c>
      <c r="M121" s="1262">
        <v>225869</v>
      </c>
      <c r="N121" s="1262">
        <v>185562</v>
      </c>
      <c r="O121" s="1262">
        <v>229878</v>
      </c>
      <c r="P121" s="1262">
        <v>248218</v>
      </c>
      <c r="Q121" s="1262">
        <v>221218</v>
      </c>
      <c r="R121" s="1262">
        <v>243208</v>
      </c>
      <c r="S121" s="1262">
        <v>216948</v>
      </c>
      <c r="T121" s="1262">
        <v>240908</v>
      </c>
      <c r="U121" s="1262">
        <v>241876</v>
      </c>
      <c r="V121" s="1262">
        <v>256868</v>
      </c>
      <c r="W121" s="1262">
        <v>191688</v>
      </c>
      <c r="X121" s="1262">
        <v>103388</v>
      </c>
      <c r="Y121" s="1262">
        <v>251678</v>
      </c>
      <c r="Z121" s="1262">
        <v>195168</v>
      </c>
      <c r="AA121" s="1262">
        <v>230976</v>
      </c>
      <c r="AB121" s="1262">
        <v>236976</v>
      </c>
      <c r="AC121" s="1262">
        <v>240238</v>
      </c>
      <c r="AD121" s="1262">
        <v>225983</v>
      </c>
      <c r="AE121" s="1262">
        <v>226983</v>
      </c>
      <c r="AF121" s="1262">
        <v>202419.08</v>
      </c>
      <c r="AG121" s="1262">
        <v>232128</v>
      </c>
      <c r="AH121" s="1262">
        <v>179630</v>
      </c>
      <c r="AI121" s="1262">
        <v>121962.386</v>
      </c>
      <c r="AJ121" s="1262">
        <v>174426</v>
      </c>
      <c r="AK121" s="1262">
        <v>211172</v>
      </c>
      <c r="AL121" s="1262">
        <v>198320</v>
      </c>
      <c r="AM121" s="1262">
        <v>219528</v>
      </c>
      <c r="AN121" s="1262">
        <v>221717</v>
      </c>
      <c r="AO121" s="1262">
        <v>208816</v>
      </c>
      <c r="AP121" s="1262">
        <v>222862</v>
      </c>
      <c r="AQ121" s="1262">
        <v>223079</v>
      </c>
      <c r="AR121" s="1262">
        <v>225908</v>
      </c>
      <c r="AS121" s="1262">
        <v>216176</v>
      </c>
      <c r="AT121" s="1262">
        <v>228564</v>
      </c>
    </row>
    <row r="122" spans="1:46">
      <c r="B122" s="1262" t="s">
        <v>1106</v>
      </c>
      <c r="O122" s="1262">
        <f t="shared" ref="O122:AF122" si="7">O121</f>
        <v>229878</v>
      </c>
      <c r="P122" s="1262">
        <f t="shared" si="7"/>
        <v>248218</v>
      </c>
      <c r="Q122" s="1262">
        <f t="shared" si="7"/>
        <v>221218</v>
      </c>
      <c r="R122" s="1262">
        <f t="shared" si="7"/>
        <v>243208</v>
      </c>
      <c r="S122" s="1262">
        <f t="shared" si="7"/>
        <v>216948</v>
      </c>
      <c r="T122" s="1262">
        <f t="shared" si="7"/>
        <v>240908</v>
      </c>
      <c r="U122" s="1262">
        <f t="shared" si="7"/>
        <v>241876</v>
      </c>
      <c r="V122" s="1262">
        <f t="shared" si="7"/>
        <v>256868</v>
      </c>
      <c r="W122" s="1262">
        <f t="shared" si="7"/>
        <v>191688</v>
      </c>
      <c r="X122" s="1262">
        <f t="shared" si="7"/>
        <v>103388</v>
      </c>
      <c r="Y122" s="1262">
        <f t="shared" si="7"/>
        <v>251678</v>
      </c>
      <c r="Z122" s="1262">
        <f t="shared" si="7"/>
        <v>195168</v>
      </c>
      <c r="AA122" s="1262">
        <f t="shared" si="7"/>
        <v>230976</v>
      </c>
      <c r="AB122" s="1262">
        <f t="shared" si="7"/>
        <v>236976</v>
      </c>
      <c r="AC122" s="1262">
        <f t="shared" si="7"/>
        <v>240238</v>
      </c>
      <c r="AD122" s="1262">
        <f t="shared" si="7"/>
        <v>225983</v>
      </c>
      <c r="AE122" s="1262">
        <f t="shared" si="7"/>
        <v>226983</v>
      </c>
      <c r="AF122" s="1262">
        <f t="shared" si="7"/>
        <v>202419.08</v>
      </c>
      <c r="AG122" s="1262">
        <v>209105</v>
      </c>
      <c r="AH122" s="1262">
        <v>35871</v>
      </c>
      <c r="AI122" s="1262">
        <v>121536</v>
      </c>
      <c r="AJ122" s="1262">
        <v>174426</v>
      </c>
      <c r="AK122" s="1262">
        <v>211172</v>
      </c>
      <c r="AL122" s="1262">
        <v>198320</v>
      </c>
      <c r="AM122" s="1262">
        <v>219528</v>
      </c>
      <c r="AN122" s="1262">
        <v>221717</v>
      </c>
      <c r="AO122" s="1262">
        <v>208816</v>
      </c>
      <c r="AP122" s="1262">
        <v>222862</v>
      </c>
      <c r="AQ122" s="1262">
        <v>223079</v>
      </c>
      <c r="AR122" s="1262">
        <v>225908</v>
      </c>
      <c r="AS122" s="1262">
        <v>216176</v>
      </c>
      <c r="AT122" s="1262">
        <v>228564</v>
      </c>
    </row>
    <row r="123" spans="1:46">
      <c r="B123" s="1262" t="s">
        <v>1107</v>
      </c>
      <c r="AG123" s="1262">
        <v>23023</v>
      </c>
      <c r="AH123" s="1262">
        <v>143759</v>
      </c>
      <c r="AI123" s="1262">
        <v>426.38600000000002</v>
      </c>
      <c r="AJ123" s="1262">
        <v>0</v>
      </c>
      <c r="AK123" s="1262">
        <v>0</v>
      </c>
      <c r="AL123" s="1262">
        <v>0</v>
      </c>
      <c r="AM123" s="1262">
        <v>0</v>
      </c>
      <c r="AN123" s="1262">
        <v>0</v>
      </c>
      <c r="AO123" s="1262">
        <v>0</v>
      </c>
      <c r="AP123" s="1262">
        <v>0</v>
      </c>
      <c r="AQ123" s="1262">
        <v>0</v>
      </c>
      <c r="AR123" s="1262">
        <v>0</v>
      </c>
      <c r="AS123" s="1262">
        <v>0</v>
      </c>
      <c r="AT123" s="1262">
        <v>0</v>
      </c>
    </row>
    <row r="124" spans="1:46">
      <c r="A124" s="201" t="s">
        <v>341</v>
      </c>
      <c r="B124" s="1262" t="s">
        <v>355</v>
      </c>
      <c r="C124" s="1262">
        <v>173681</v>
      </c>
      <c r="D124" s="1262">
        <v>160009</v>
      </c>
      <c r="E124" s="1262">
        <v>150028</v>
      </c>
      <c r="F124" s="1262">
        <v>160006</v>
      </c>
      <c r="G124" s="1262">
        <v>160011</v>
      </c>
      <c r="H124" s="1262">
        <v>66373</v>
      </c>
      <c r="I124" s="1262">
        <v>120069</v>
      </c>
      <c r="J124" s="1262">
        <v>161037</v>
      </c>
      <c r="K124" s="1262">
        <v>148320</v>
      </c>
      <c r="L124" s="1262">
        <v>140102</v>
      </c>
      <c r="M124" s="1262">
        <v>141268</v>
      </c>
      <c r="N124" s="1262">
        <v>141076</v>
      </c>
      <c r="O124" s="1262">
        <v>166086</v>
      </c>
      <c r="P124" s="1262">
        <v>186996</v>
      </c>
      <c r="Q124" s="1262">
        <v>163626</v>
      </c>
      <c r="R124" s="1262">
        <v>183001</v>
      </c>
      <c r="S124" s="1262">
        <v>175062</v>
      </c>
      <c r="T124" s="1262">
        <v>166115</v>
      </c>
      <c r="U124" s="1262">
        <v>30256</v>
      </c>
      <c r="V124" s="1262">
        <v>192009</v>
      </c>
      <c r="W124" s="1262">
        <v>190315</v>
      </c>
      <c r="X124" s="1262">
        <v>128956</v>
      </c>
      <c r="Y124" s="1262">
        <v>190587</v>
      </c>
      <c r="Z124" s="1262">
        <v>190067</v>
      </c>
      <c r="AA124" s="1262">
        <v>170008</v>
      </c>
      <c r="AB124" s="1262">
        <v>180012</v>
      </c>
      <c r="AC124" s="1262">
        <v>166086</v>
      </c>
      <c r="AD124" s="1262">
        <v>175027</v>
      </c>
      <c r="AE124" s="1262">
        <v>175126</v>
      </c>
      <c r="AF124" s="1262">
        <v>201069</v>
      </c>
      <c r="AG124" s="1262">
        <v>175029</v>
      </c>
      <c r="AH124" s="1262">
        <v>170036</v>
      </c>
      <c r="AI124" s="1262">
        <v>30102</v>
      </c>
      <c r="AJ124" s="1262">
        <v>185068</v>
      </c>
      <c r="AK124" s="1262">
        <v>145002</v>
      </c>
      <c r="AL124" s="1262">
        <v>189524</v>
      </c>
      <c r="AM124" s="1262">
        <v>173806</v>
      </c>
      <c r="AN124" s="1262">
        <v>185002</v>
      </c>
      <c r="AO124" s="1262">
        <v>178080</v>
      </c>
      <c r="AP124" s="1262">
        <v>170050</v>
      </c>
      <c r="AQ124" s="1262">
        <v>198019</v>
      </c>
      <c r="AR124" s="1262">
        <v>191586</v>
      </c>
      <c r="AS124" s="1262">
        <v>10249</v>
      </c>
      <c r="AT124" s="1262">
        <v>190288</v>
      </c>
    </row>
    <row r="125" spans="1:46">
      <c r="A125" s="201" t="s">
        <v>341</v>
      </c>
      <c r="B125" s="1262" t="s">
        <v>356</v>
      </c>
      <c r="C125" s="1262">
        <v>126100</v>
      </c>
      <c r="D125" s="1262">
        <v>120074</v>
      </c>
      <c r="E125" s="1262">
        <v>120743</v>
      </c>
      <c r="F125" s="1262">
        <v>118183</v>
      </c>
      <c r="G125" s="1262">
        <v>135398</v>
      </c>
      <c r="H125" s="1262">
        <v>141727</v>
      </c>
      <c r="I125" s="1262">
        <v>126546</v>
      </c>
      <c r="J125" s="1262">
        <v>146041</v>
      </c>
      <c r="K125" s="1262">
        <v>145923</v>
      </c>
      <c r="L125" s="1262">
        <v>107929</v>
      </c>
      <c r="M125" s="1262">
        <v>134964</v>
      </c>
      <c r="N125" s="1262">
        <v>116760.6</v>
      </c>
      <c r="O125" s="1262">
        <v>96788</v>
      </c>
      <c r="P125" s="1262">
        <v>110823</v>
      </c>
      <c r="Q125" s="1262">
        <v>138058</v>
      </c>
      <c r="R125" s="1262">
        <v>145939</v>
      </c>
      <c r="S125" s="1262">
        <v>150141</v>
      </c>
      <c r="T125" s="1262">
        <v>140622</v>
      </c>
      <c r="U125" s="1262">
        <v>145879</v>
      </c>
      <c r="V125" s="1262">
        <v>165761</v>
      </c>
      <c r="W125" s="1262">
        <v>144242</v>
      </c>
      <c r="X125" s="1262">
        <v>133733</v>
      </c>
      <c r="Y125" s="1262">
        <v>129779</v>
      </c>
      <c r="Z125" s="1262">
        <v>146563</v>
      </c>
      <c r="AA125" s="1262">
        <v>112843</v>
      </c>
      <c r="AB125" s="1262">
        <v>123634</v>
      </c>
      <c r="AC125" s="1262">
        <v>194489</v>
      </c>
      <c r="AD125" s="1262">
        <v>153856</v>
      </c>
      <c r="AE125" s="1262">
        <v>170506</v>
      </c>
      <c r="AF125" s="1262">
        <v>151993</v>
      </c>
      <c r="AG125" s="1262">
        <v>90340</v>
      </c>
      <c r="AH125" s="1262">
        <v>139456</v>
      </c>
      <c r="AI125" s="1262">
        <v>109881</v>
      </c>
      <c r="AJ125" s="1262">
        <v>129746</v>
      </c>
      <c r="AK125" s="1262">
        <v>137248</v>
      </c>
      <c r="AL125" s="1262">
        <v>116685.5</v>
      </c>
      <c r="AM125" s="1262">
        <v>101590</v>
      </c>
      <c r="AN125" s="1262">
        <v>73219</v>
      </c>
      <c r="AO125" s="1262">
        <v>75814</v>
      </c>
      <c r="AP125" s="1262">
        <v>117901</v>
      </c>
      <c r="AQ125" s="1262">
        <v>204000</v>
      </c>
      <c r="AR125" s="1262">
        <v>148986.12</v>
      </c>
      <c r="AS125" s="1262">
        <v>182418</v>
      </c>
      <c r="AT125" s="1262">
        <v>265364</v>
      </c>
    </row>
    <row r="126" spans="1:46">
      <c r="A126" s="201" t="s">
        <v>341</v>
      </c>
      <c r="B126" s="1262" t="s">
        <v>357</v>
      </c>
      <c r="C126" s="1262">
        <v>57950</v>
      </c>
      <c r="D126" s="1262">
        <v>58574</v>
      </c>
      <c r="E126" s="1262">
        <v>60183</v>
      </c>
      <c r="F126" s="1262">
        <v>58968</v>
      </c>
      <c r="G126" s="1262">
        <v>67538</v>
      </c>
      <c r="H126" s="1262">
        <v>70658</v>
      </c>
      <c r="I126" s="1262">
        <v>63557</v>
      </c>
      <c r="J126" s="1262">
        <v>80352</v>
      </c>
      <c r="K126" s="1262">
        <v>73107</v>
      </c>
      <c r="L126" s="1262">
        <v>54067</v>
      </c>
      <c r="M126" s="1262">
        <v>67236</v>
      </c>
      <c r="N126" s="1262">
        <v>54365</v>
      </c>
      <c r="O126" s="1262">
        <v>52156</v>
      </c>
      <c r="P126" s="1262">
        <v>61181</v>
      </c>
      <c r="Q126" s="1262">
        <v>75186</v>
      </c>
      <c r="R126" s="1262">
        <v>76992</v>
      </c>
      <c r="S126" s="1262">
        <v>75795</v>
      </c>
      <c r="T126" s="1262">
        <v>78096</v>
      </c>
      <c r="U126" s="1262">
        <v>75326</v>
      </c>
      <c r="V126" s="1262">
        <v>68566</v>
      </c>
      <c r="W126" s="1262">
        <v>42984</v>
      </c>
      <c r="X126" s="1262">
        <v>63901</v>
      </c>
      <c r="Y126" s="1262">
        <v>68528</v>
      </c>
      <c r="Z126" s="1262">
        <v>65397</v>
      </c>
      <c r="AA126" s="1262">
        <v>65000</v>
      </c>
      <c r="AB126" s="1262">
        <v>77156</v>
      </c>
      <c r="AC126" s="1262">
        <v>76160</v>
      </c>
      <c r="AD126" s="1262">
        <v>65455</v>
      </c>
      <c r="AE126" s="1262">
        <v>76387.5</v>
      </c>
      <c r="AF126" s="1262">
        <v>67341</v>
      </c>
      <c r="AG126" s="1262">
        <v>69344</v>
      </c>
      <c r="AH126" s="1262">
        <v>90310</v>
      </c>
      <c r="AI126" s="1262">
        <v>71551</v>
      </c>
      <c r="AJ126" s="1262">
        <v>79782</v>
      </c>
      <c r="AK126" s="1262">
        <v>87512</v>
      </c>
      <c r="AL126" s="1262">
        <v>77498</v>
      </c>
      <c r="AM126" s="1262">
        <v>80973</v>
      </c>
      <c r="AN126" s="1262">
        <v>72344</v>
      </c>
      <c r="AO126" s="1262">
        <v>75814</v>
      </c>
      <c r="AP126" s="1262">
        <v>101946</v>
      </c>
      <c r="AQ126" s="1262">
        <v>85500</v>
      </c>
      <c r="AR126" s="1262">
        <v>95845</v>
      </c>
      <c r="AS126" s="1262">
        <v>88252</v>
      </c>
      <c r="AT126" s="1262">
        <v>117692</v>
      </c>
    </row>
    <row r="127" spans="1:46">
      <c r="A127" s="201" t="s">
        <v>341</v>
      </c>
      <c r="B127" s="1262" t="s">
        <v>358</v>
      </c>
      <c r="C127" s="1262">
        <v>15297.15</v>
      </c>
      <c r="D127" s="1262">
        <v>13592.41</v>
      </c>
      <c r="E127" s="1262">
        <v>13033.86</v>
      </c>
      <c r="F127" s="1262">
        <v>10750.33</v>
      </c>
      <c r="G127" s="1262">
        <v>15749.36</v>
      </c>
      <c r="H127" s="1262">
        <v>14268.43</v>
      </c>
      <c r="I127" s="1262">
        <v>13472.579</v>
      </c>
      <c r="J127" s="1262">
        <v>16592.388999999999</v>
      </c>
      <c r="K127" s="1262">
        <v>15826</v>
      </c>
      <c r="L127" s="1262">
        <v>12925.88</v>
      </c>
      <c r="M127" s="1262">
        <v>16235.66</v>
      </c>
      <c r="N127" s="1262">
        <v>13501.058999999999</v>
      </c>
      <c r="O127" s="1262">
        <v>11469.26</v>
      </c>
      <c r="P127" s="1262">
        <v>14228.54</v>
      </c>
      <c r="Q127" s="1262">
        <v>19006</v>
      </c>
      <c r="R127" s="1262">
        <v>19005</v>
      </c>
      <c r="S127" s="1262">
        <v>19050.04</v>
      </c>
      <c r="T127" s="1262">
        <v>19016.099999999999</v>
      </c>
      <c r="U127" s="1262">
        <v>19288</v>
      </c>
      <c r="V127" s="1262">
        <v>18218.763999999999</v>
      </c>
      <c r="W127" s="1262">
        <v>10688.55</v>
      </c>
      <c r="X127" s="1262">
        <v>14083.55</v>
      </c>
      <c r="Y127" s="1262">
        <v>16899.34</v>
      </c>
      <c r="Z127" s="1262">
        <v>14897.859</v>
      </c>
      <c r="AA127" s="1262">
        <v>14000</v>
      </c>
      <c r="AB127" s="1262">
        <v>12258.759</v>
      </c>
      <c r="AC127" s="1262">
        <v>15620.36</v>
      </c>
      <c r="AD127" s="1262">
        <v>14066.789000000001</v>
      </c>
      <c r="AE127" s="1262">
        <v>15801.95</v>
      </c>
      <c r="AF127" s="1262">
        <v>10700.08</v>
      </c>
      <c r="AG127" s="1262">
        <v>8669.9789999999994</v>
      </c>
      <c r="AH127" s="1262">
        <v>14001.94</v>
      </c>
      <c r="AI127" s="1262">
        <v>10846.259</v>
      </c>
      <c r="AJ127" s="1262">
        <v>11513.35</v>
      </c>
      <c r="AK127" s="1262">
        <v>17765.47</v>
      </c>
      <c r="AL127" s="1262">
        <v>14158.48</v>
      </c>
      <c r="AM127" s="1262">
        <v>19048.36</v>
      </c>
      <c r="AN127" s="1262">
        <v>17589.439999999999</v>
      </c>
      <c r="AO127" s="1262">
        <v>17962.150000000001</v>
      </c>
      <c r="AP127" s="1262">
        <v>20643.04</v>
      </c>
      <c r="AQ127" s="1262">
        <v>14588.32</v>
      </c>
      <c r="AR127" s="1262">
        <v>17804.64</v>
      </c>
      <c r="AS127" s="1262">
        <v>17019.86</v>
      </c>
      <c r="AT127" s="1262">
        <v>21553.68</v>
      </c>
    </row>
    <row r="128" spans="1:46">
      <c r="A128" s="201" t="s">
        <v>341</v>
      </c>
      <c r="B128" s="1262" t="s">
        <v>359</v>
      </c>
      <c r="C128" s="1262">
        <v>1143245</v>
      </c>
      <c r="D128" s="1262">
        <v>1219799</v>
      </c>
      <c r="E128" s="1262">
        <v>1165605</v>
      </c>
      <c r="F128" s="1262">
        <v>1217096</v>
      </c>
      <c r="G128" s="1262">
        <v>1181020</v>
      </c>
      <c r="H128" s="1262">
        <v>1330696</v>
      </c>
      <c r="I128" s="1262">
        <v>1260834</v>
      </c>
      <c r="J128" s="1262">
        <v>1149875</v>
      </c>
      <c r="K128" s="1262">
        <v>1091503</v>
      </c>
      <c r="L128" s="1262">
        <v>1265041.2328000001</v>
      </c>
      <c r="M128" s="1262">
        <v>1180135.808</v>
      </c>
      <c r="N128" s="1262">
        <v>1130261.7779999999</v>
      </c>
      <c r="O128" s="1262">
        <v>1219958.93722721</v>
      </c>
      <c r="P128" s="1262">
        <v>1252768</v>
      </c>
      <c r="Q128" s="1262">
        <v>965823</v>
      </c>
      <c r="R128" s="1262">
        <v>1284323</v>
      </c>
      <c r="S128" s="1262">
        <v>1228690</v>
      </c>
      <c r="T128" s="1262">
        <v>1187201</v>
      </c>
      <c r="U128" s="1262">
        <v>1107127</v>
      </c>
      <c r="V128" s="1262">
        <v>1182681</v>
      </c>
      <c r="W128" s="1262">
        <v>1313111</v>
      </c>
      <c r="X128" s="1262">
        <v>885428</v>
      </c>
      <c r="Y128" s="1262">
        <v>1175772</v>
      </c>
      <c r="Z128" s="1262">
        <v>1116946</v>
      </c>
      <c r="AA128" s="1262">
        <v>922248</v>
      </c>
      <c r="AB128" s="1262">
        <v>1026641</v>
      </c>
      <c r="AC128" s="1262">
        <v>966348</v>
      </c>
      <c r="AD128" s="1262">
        <v>1010210</v>
      </c>
      <c r="AE128" s="1262">
        <v>1132184</v>
      </c>
      <c r="AF128" s="1262">
        <v>1111338</v>
      </c>
      <c r="AG128" s="1262">
        <v>1110528</v>
      </c>
      <c r="AH128" s="1262">
        <v>1038720</v>
      </c>
      <c r="AI128" s="1262">
        <v>901370.11</v>
      </c>
      <c r="AJ128" s="1262">
        <v>913461</v>
      </c>
      <c r="AK128" s="1262">
        <v>760848</v>
      </c>
      <c r="AL128" s="1262">
        <v>781204</v>
      </c>
      <c r="AM128" s="1262">
        <v>751478</v>
      </c>
      <c r="AN128" s="1262">
        <v>914907</v>
      </c>
      <c r="AO128" s="1262">
        <v>758214</v>
      </c>
      <c r="AP128" s="1262">
        <v>961098</v>
      </c>
      <c r="AQ128" s="1262">
        <v>1016864</v>
      </c>
      <c r="AR128" s="1262">
        <v>992451</v>
      </c>
      <c r="AS128" s="1262">
        <v>903722</v>
      </c>
      <c r="AT128" s="1262">
        <v>1009123</v>
      </c>
    </row>
    <row r="129" spans="1:46">
      <c r="A129" s="201" t="s">
        <v>341</v>
      </c>
      <c r="B129" s="1262" t="s">
        <v>360</v>
      </c>
      <c r="C129" s="1262">
        <v>730034</v>
      </c>
      <c r="D129" s="1262">
        <v>730595</v>
      </c>
      <c r="E129" s="1262">
        <v>706105</v>
      </c>
      <c r="F129" s="1262">
        <v>838004</v>
      </c>
      <c r="G129" s="1262">
        <v>801604</v>
      </c>
      <c r="H129" s="1262">
        <v>769628</v>
      </c>
      <c r="I129" s="1262">
        <v>740532</v>
      </c>
      <c r="J129" s="1262">
        <v>722031</v>
      </c>
      <c r="K129" s="1262">
        <v>705771</v>
      </c>
      <c r="L129" s="1262">
        <v>717093.2328</v>
      </c>
      <c r="M129" s="1262">
        <v>641475.80799999996</v>
      </c>
      <c r="N129" s="1262">
        <v>620463.77800000005</v>
      </c>
      <c r="O129" s="1262">
        <v>730646.937227207</v>
      </c>
      <c r="P129" s="1262">
        <v>737246</v>
      </c>
      <c r="Q129" s="1262">
        <v>691528</v>
      </c>
      <c r="R129" s="1262">
        <v>755326</v>
      </c>
      <c r="S129" s="1262">
        <v>711449</v>
      </c>
      <c r="T129" s="1262">
        <v>756167</v>
      </c>
      <c r="U129" s="1262">
        <v>715277</v>
      </c>
      <c r="V129" s="1262">
        <v>641929</v>
      </c>
      <c r="W129" s="1262">
        <v>771771</v>
      </c>
      <c r="X129" s="1262">
        <v>561956</v>
      </c>
      <c r="Y129" s="1262">
        <v>636572</v>
      </c>
      <c r="Z129" s="1262">
        <v>587949</v>
      </c>
      <c r="AA129" s="1262">
        <v>491214</v>
      </c>
      <c r="AB129" s="1262">
        <v>581108</v>
      </c>
      <c r="AC129" s="1262">
        <v>622500</v>
      </c>
      <c r="AD129" s="1262">
        <v>674876</v>
      </c>
      <c r="AE129" s="1262">
        <v>654128</v>
      </c>
      <c r="AF129" s="1262">
        <v>673642</v>
      </c>
      <c r="AG129" s="1262">
        <v>636390</v>
      </c>
      <c r="AH129" s="1262">
        <v>624468</v>
      </c>
      <c r="AI129" s="1262">
        <v>626149</v>
      </c>
      <c r="AJ129" s="1262">
        <v>502646</v>
      </c>
      <c r="AK129" s="1262">
        <v>402348</v>
      </c>
      <c r="AL129" s="1262">
        <v>452182</v>
      </c>
      <c r="AM129" s="1262">
        <v>423183</v>
      </c>
      <c r="AN129" s="1262">
        <v>570080</v>
      </c>
      <c r="AO129" s="1262">
        <v>450371</v>
      </c>
      <c r="AP129" s="1262">
        <v>524578</v>
      </c>
      <c r="AQ129" s="1262">
        <v>601856</v>
      </c>
      <c r="AR129" s="1262">
        <v>570175</v>
      </c>
      <c r="AS129" s="1262">
        <v>605922</v>
      </c>
      <c r="AT129" s="1262">
        <v>684363</v>
      </c>
    </row>
    <row r="130" spans="1:46">
      <c r="A130" s="201" t="s">
        <v>341</v>
      </c>
      <c r="B130" s="1262" t="s">
        <v>361</v>
      </c>
      <c r="C130" s="1262">
        <v>413211</v>
      </c>
      <c r="D130" s="1262">
        <v>489204</v>
      </c>
      <c r="E130" s="1262">
        <v>459500</v>
      </c>
      <c r="F130" s="1262">
        <v>379092</v>
      </c>
      <c r="G130" s="1262">
        <v>379416</v>
      </c>
      <c r="H130" s="1262">
        <v>561068</v>
      </c>
      <c r="I130" s="1262">
        <v>520302</v>
      </c>
      <c r="J130" s="1262">
        <v>427844</v>
      </c>
      <c r="K130" s="1262">
        <v>385732</v>
      </c>
      <c r="L130" s="1262">
        <v>547948</v>
      </c>
      <c r="M130" s="1262">
        <v>538660</v>
      </c>
      <c r="N130" s="1262">
        <v>509798</v>
      </c>
      <c r="O130" s="1262">
        <v>489312</v>
      </c>
      <c r="P130" s="1262">
        <v>515522</v>
      </c>
      <c r="Q130" s="1262">
        <v>274295</v>
      </c>
      <c r="R130" s="1262">
        <v>528997</v>
      </c>
      <c r="S130" s="1262">
        <v>517241</v>
      </c>
      <c r="T130" s="1262">
        <v>431034</v>
      </c>
      <c r="U130" s="1262">
        <v>391850</v>
      </c>
      <c r="V130" s="1262">
        <v>540752</v>
      </c>
      <c r="W130" s="1262">
        <v>541340</v>
      </c>
      <c r="X130" s="1262">
        <v>323472</v>
      </c>
      <c r="Y130" s="1262">
        <v>539200</v>
      </c>
      <c r="Z130" s="1262">
        <v>528997</v>
      </c>
      <c r="AA130" s="1262">
        <v>431034</v>
      </c>
      <c r="AB130" s="1262">
        <v>445533</v>
      </c>
      <c r="AC130" s="1262">
        <v>343848</v>
      </c>
      <c r="AD130" s="1262">
        <v>335334</v>
      </c>
      <c r="AE130" s="1262">
        <v>478056</v>
      </c>
      <c r="AF130" s="1262">
        <v>437696</v>
      </c>
      <c r="AG130" s="1262">
        <v>474138</v>
      </c>
      <c r="AH130" s="1262">
        <v>414252</v>
      </c>
      <c r="AI130" s="1262">
        <v>275221.11</v>
      </c>
      <c r="AJ130" s="1262">
        <v>410815</v>
      </c>
      <c r="AK130" s="1262">
        <v>358500</v>
      </c>
      <c r="AL130" s="1262">
        <v>329022</v>
      </c>
      <c r="AM130" s="1262">
        <v>328295</v>
      </c>
      <c r="AN130" s="1262">
        <v>344827</v>
      </c>
      <c r="AO130" s="1262">
        <v>307843</v>
      </c>
      <c r="AP130" s="1262">
        <v>436520</v>
      </c>
      <c r="AQ130" s="1262">
        <v>415008</v>
      </c>
      <c r="AR130" s="1262">
        <v>422276</v>
      </c>
      <c r="AS130" s="1262">
        <v>297800</v>
      </c>
      <c r="AT130" s="1262">
        <v>324760</v>
      </c>
    </row>
    <row r="131" spans="1:46">
      <c r="A131" s="201" t="s">
        <v>341</v>
      </c>
      <c r="B131" s="1262" t="s">
        <v>362</v>
      </c>
      <c r="C131" s="1262">
        <v>282092</v>
      </c>
      <c r="D131" s="1262">
        <v>295741</v>
      </c>
      <c r="E131" s="1262">
        <v>259607</v>
      </c>
      <c r="F131" s="1262">
        <v>269742</v>
      </c>
      <c r="G131" s="1262">
        <v>258754</v>
      </c>
      <c r="H131" s="1262">
        <v>270227</v>
      </c>
      <c r="I131" s="1262">
        <v>254509</v>
      </c>
      <c r="J131" s="1262">
        <v>232776</v>
      </c>
      <c r="K131" s="1262">
        <v>248011</v>
      </c>
      <c r="L131" s="1262">
        <v>289771</v>
      </c>
      <c r="M131" s="1262">
        <v>262527</v>
      </c>
      <c r="N131" s="1262">
        <v>234142</v>
      </c>
      <c r="O131" s="1262">
        <v>263269</v>
      </c>
      <c r="P131" s="1262">
        <v>259889</v>
      </c>
      <c r="Q131" s="1262">
        <v>216138</v>
      </c>
      <c r="R131" s="1262">
        <v>269209</v>
      </c>
      <c r="S131" s="1262">
        <v>264700</v>
      </c>
      <c r="T131" s="1262">
        <v>253352</v>
      </c>
      <c r="U131" s="1262">
        <v>238167</v>
      </c>
      <c r="V131" s="1262">
        <v>234624</v>
      </c>
      <c r="W131" s="1262">
        <v>273448</v>
      </c>
      <c r="X131" s="1262">
        <v>183549</v>
      </c>
      <c r="Y131" s="1262">
        <v>277799</v>
      </c>
      <c r="Z131" s="1262">
        <v>296889</v>
      </c>
      <c r="AA131" s="1262">
        <v>193782</v>
      </c>
      <c r="AB131" s="1262">
        <v>301940</v>
      </c>
      <c r="AC131" s="1262">
        <v>205055.02</v>
      </c>
      <c r="AD131" s="1262">
        <v>174824</v>
      </c>
      <c r="AE131" s="1262">
        <v>176088</v>
      </c>
      <c r="AF131" s="1262">
        <v>184899</v>
      </c>
      <c r="AG131" s="1262">
        <v>161086</v>
      </c>
      <c r="AH131" s="1262">
        <v>194697</v>
      </c>
      <c r="AI131" s="1262">
        <v>142779</v>
      </c>
      <c r="AJ131" s="1262">
        <v>197600</v>
      </c>
      <c r="AK131" s="1262">
        <v>198770.99</v>
      </c>
      <c r="AL131" s="1262">
        <v>244295</v>
      </c>
      <c r="AM131" s="1262">
        <v>226684</v>
      </c>
      <c r="AN131" s="1262">
        <v>242255</v>
      </c>
      <c r="AO131" s="1262">
        <v>237956</v>
      </c>
      <c r="AP131" s="1262">
        <v>213592</v>
      </c>
      <c r="AQ131" s="1262">
        <v>226680</v>
      </c>
      <c r="AR131" s="1262">
        <v>186209</v>
      </c>
      <c r="AS131" s="1262">
        <v>174435</v>
      </c>
      <c r="AT131" s="1262">
        <v>207176</v>
      </c>
    </row>
    <row r="132" spans="1:46">
      <c r="A132" s="201" t="s">
        <v>341</v>
      </c>
      <c r="B132" s="1262" t="s">
        <v>360</v>
      </c>
      <c r="C132" s="1262">
        <v>185896</v>
      </c>
      <c r="D132" s="1262">
        <v>185211</v>
      </c>
      <c r="E132" s="1262">
        <v>161799</v>
      </c>
      <c r="F132" s="1262">
        <v>188432</v>
      </c>
      <c r="G132" s="1262">
        <v>171575</v>
      </c>
      <c r="H132" s="1262">
        <v>144552</v>
      </c>
      <c r="I132" s="1262">
        <v>138964</v>
      </c>
      <c r="J132" s="1262">
        <v>144440</v>
      </c>
      <c r="K132" s="1262">
        <v>162002</v>
      </c>
      <c r="L132" s="1262">
        <v>168233</v>
      </c>
      <c r="M132" s="1262">
        <v>152167</v>
      </c>
      <c r="N132" s="1262">
        <v>121840</v>
      </c>
      <c r="O132" s="1262">
        <v>148210</v>
      </c>
      <c r="P132" s="1262">
        <v>145017</v>
      </c>
      <c r="Q132" s="1262">
        <v>149610</v>
      </c>
      <c r="R132" s="1262">
        <v>150205</v>
      </c>
      <c r="S132" s="1262">
        <v>145059</v>
      </c>
      <c r="T132" s="1262">
        <v>154231</v>
      </c>
      <c r="U132" s="1262">
        <v>147506</v>
      </c>
      <c r="V132" s="1262">
        <v>111838</v>
      </c>
      <c r="W132" s="1262">
        <v>150553</v>
      </c>
      <c r="X132" s="1262">
        <v>107301</v>
      </c>
      <c r="Y132" s="1262">
        <v>154370</v>
      </c>
      <c r="Z132" s="1262">
        <v>174908</v>
      </c>
      <c r="AA132" s="1262">
        <v>83764</v>
      </c>
      <c r="AB132" s="1262">
        <v>187272</v>
      </c>
      <c r="AC132" s="1262">
        <v>116655.02</v>
      </c>
      <c r="AD132" s="1262">
        <v>88897</v>
      </c>
      <c r="AE132" s="1262">
        <v>55895</v>
      </c>
      <c r="AF132" s="1262">
        <v>74271</v>
      </c>
      <c r="AG132" s="1262">
        <v>51119</v>
      </c>
      <c r="AH132" s="1262">
        <v>93857</v>
      </c>
      <c r="AI132" s="1262">
        <v>70869</v>
      </c>
      <c r="AJ132" s="1262">
        <v>92477</v>
      </c>
      <c r="AK132" s="1262">
        <v>75677</v>
      </c>
      <c r="AL132" s="1262">
        <v>127728</v>
      </c>
      <c r="AM132" s="1262">
        <v>106532</v>
      </c>
      <c r="AN132" s="1262">
        <v>124514</v>
      </c>
      <c r="AO132" s="1262">
        <v>131256</v>
      </c>
      <c r="AP132" s="1262">
        <v>93366</v>
      </c>
      <c r="AQ132" s="1262">
        <v>110728</v>
      </c>
      <c r="AR132" s="1262">
        <v>73011</v>
      </c>
      <c r="AS132" s="1262">
        <v>94081</v>
      </c>
      <c r="AT132" s="1262">
        <v>117932</v>
      </c>
    </row>
    <row r="133" spans="1:46">
      <c r="A133" s="201" t="s">
        <v>341</v>
      </c>
      <c r="B133" s="1262" t="s">
        <v>361</v>
      </c>
      <c r="C133" s="1262">
        <v>96196</v>
      </c>
      <c r="D133" s="1262">
        <v>110530</v>
      </c>
      <c r="E133" s="1262">
        <v>97808</v>
      </c>
      <c r="F133" s="1262">
        <v>81310</v>
      </c>
      <c r="G133" s="1262">
        <v>87179</v>
      </c>
      <c r="H133" s="1262">
        <v>125675</v>
      </c>
      <c r="I133" s="1262">
        <v>115545</v>
      </c>
      <c r="J133" s="1262">
        <v>88336</v>
      </c>
      <c r="K133" s="1262">
        <v>86009</v>
      </c>
      <c r="L133" s="1262">
        <v>121538</v>
      </c>
      <c r="M133" s="1262">
        <v>110360</v>
      </c>
      <c r="N133" s="1262">
        <v>112302</v>
      </c>
      <c r="O133" s="1262">
        <v>115059</v>
      </c>
      <c r="P133" s="1262">
        <v>114872</v>
      </c>
      <c r="Q133" s="1262">
        <v>66528</v>
      </c>
      <c r="R133" s="1262">
        <v>119004</v>
      </c>
      <c r="S133" s="1262">
        <v>119641</v>
      </c>
      <c r="T133" s="1262">
        <v>99121</v>
      </c>
      <c r="U133" s="1262">
        <v>90661</v>
      </c>
      <c r="V133" s="1262">
        <v>122786</v>
      </c>
      <c r="W133" s="1262">
        <v>122895</v>
      </c>
      <c r="X133" s="1262">
        <v>76248</v>
      </c>
      <c r="Y133" s="1262">
        <v>123429</v>
      </c>
      <c r="Z133" s="1262">
        <v>121981</v>
      </c>
      <c r="AA133" s="1262">
        <v>110018</v>
      </c>
      <c r="AB133" s="1262">
        <v>114668</v>
      </c>
      <c r="AC133" s="1262">
        <v>88400</v>
      </c>
      <c r="AD133" s="1262">
        <v>85927</v>
      </c>
      <c r="AE133" s="1262">
        <v>120193</v>
      </c>
      <c r="AF133" s="1262">
        <v>110628</v>
      </c>
      <c r="AG133" s="1262">
        <v>109967</v>
      </c>
      <c r="AH133" s="1262">
        <v>100840</v>
      </c>
      <c r="AI133" s="1262">
        <v>71910</v>
      </c>
      <c r="AJ133" s="1262">
        <v>105123</v>
      </c>
      <c r="AK133" s="1262">
        <v>123093.99</v>
      </c>
      <c r="AL133" s="1262">
        <v>116567</v>
      </c>
      <c r="AM133" s="1262">
        <v>120152</v>
      </c>
      <c r="AN133" s="1262">
        <v>117741</v>
      </c>
      <c r="AO133" s="1262">
        <v>106700</v>
      </c>
      <c r="AP133" s="1262">
        <v>120226</v>
      </c>
      <c r="AQ133" s="1262">
        <v>115952</v>
      </c>
      <c r="AR133" s="1262">
        <v>113198</v>
      </c>
      <c r="AS133" s="1262">
        <v>80354</v>
      </c>
      <c r="AT133" s="1262">
        <v>89244</v>
      </c>
    </row>
    <row r="134" spans="1:46">
      <c r="A134" s="201" t="s">
        <v>341</v>
      </c>
      <c r="B134" s="1262" t="s">
        <v>363</v>
      </c>
      <c r="C134" s="1262">
        <v>142011.35999999999</v>
      </c>
      <c r="D134" s="1262">
        <v>150451.80499999999</v>
      </c>
      <c r="E134" s="1262">
        <v>133356</v>
      </c>
      <c r="F134" s="1262">
        <v>135249.56</v>
      </c>
      <c r="G134" s="1262">
        <v>131795.46799999999</v>
      </c>
      <c r="H134" s="1262">
        <v>132484.57199999999</v>
      </c>
      <c r="I134" s="1262">
        <v>124854.827</v>
      </c>
      <c r="J134" s="1262">
        <v>126581.072</v>
      </c>
      <c r="K134" s="1262">
        <v>136319.04000000001</v>
      </c>
      <c r="L134" s="1262">
        <v>153199.84899999999</v>
      </c>
      <c r="M134" s="1262">
        <v>147415.215</v>
      </c>
      <c r="N134" s="1262">
        <v>143662.27600000001</v>
      </c>
      <c r="O134" s="1262">
        <v>145502.927</v>
      </c>
      <c r="P134" s="1262">
        <v>146720.88099999999</v>
      </c>
      <c r="Q134" s="1262">
        <v>117081.478</v>
      </c>
      <c r="R134" s="1262">
        <v>146893.285</v>
      </c>
      <c r="S134" s="1262">
        <v>146614.78700000001</v>
      </c>
      <c r="T134" s="1262">
        <v>143116.24600000001</v>
      </c>
      <c r="U134" s="1262">
        <v>143043.72700000001</v>
      </c>
      <c r="V134" s="1262">
        <v>136397.47099999999</v>
      </c>
      <c r="W134" s="1262">
        <v>158937.54699999999</v>
      </c>
      <c r="X134" s="1262">
        <v>105443.105</v>
      </c>
      <c r="Y134" s="1262">
        <v>162436.601</v>
      </c>
      <c r="Z134" s="1262">
        <v>153686.04800000001</v>
      </c>
      <c r="AA134" s="1262">
        <v>137991.079</v>
      </c>
      <c r="AB134" s="1262">
        <v>162245.52600000001</v>
      </c>
      <c r="AC134" s="1262">
        <v>133621.43799999999</v>
      </c>
      <c r="AD134" s="1262">
        <v>138885.807</v>
      </c>
      <c r="AE134" s="1262">
        <v>140686.31400000001</v>
      </c>
      <c r="AF134" s="1262">
        <v>146869.94899999999</v>
      </c>
      <c r="AG134" s="1262">
        <v>115760.87099999998</v>
      </c>
      <c r="AH134" s="1262">
        <v>122068.144</v>
      </c>
      <c r="AI134" s="1262">
        <v>122850.046</v>
      </c>
      <c r="AJ134" s="1262">
        <v>146031.29399999999</v>
      </c>
      <c r="AK134" s="1262">
        <v>160793.647</v>
      </c>
      <c r="AL134" s="1262">
        <v>158020.92799999999</v>
      </c>
      <c r="AM134" s="1262">
        <v>153331.44400000002</v>
      </c>
      <c r="AN134" s="1262">
        <v>160662.25899999999</v>
      </c>
      <c r="AO134" s="1262">
        <v>152650.576</v>
      </c>
      <c r="AP134" s="1262">
        <v>157813.72999999998</v>
      </c>
      <c r="AQ134" s="1262">
        <v>158753.84199999998</v>
      </c>
      <c r="AR134" s="1262">
        <v>157637.68</v>
      </c>
      <c r="AS134" s="1262">
        <v>118887.44000000002</v>
      </c>
      <c r="AT134" s="1262">
        <v>135359.64000000001</v>
      </c>
    </row>
    <row r="135" spans="1:46">
      <c r="A135" s="201" t="s">
        <v>341</v>
      </c>
      <c r="B135" s="1262" t="s">
        <v>360</v>
      </c>
      <c r="C135" s="1262">
        <v>94390.74</v>
      </c>
      <c r="D135" s="1262">
        <v>95378.294999999998</v>
      </c>
      <c r="E135" s="1262">
        <v>84008</v>
      </c>
      <c r="F135" s="1262">
        <v>95228</v>
      </c>
      <c r="G135" s="1262">
        <v>88636.508000000002</v>
      </c>
      <c r="H135" s="1262">
        <v>74500.381999999998</v>
      </c>
      <c r="I135" s="1262">
        <v>69687.767000000007</v>
      </c>
      <c r="J135" s="1262">
        <v>85562.072</v>
      </c>
      <c r="K135" s="1262">
        <v>96585.49</v>
      </c>
      <c r="L135" s="1262">
        <v>95702.399000000005</v>
      </c>
      <c r="M135" s="1262">
        <v>95343.214999999997</v>
      </c>
      <c r="N135" s="1262">
        <v>89641.645999999993</v>
      </c>
      <c r="O135" s="1262">
        <v>89608.047000000006</v>
      </c>
      <c r="P135" s="1262">
        <v>90269.841</v>
      </c>
      <c r="Q135" s="1262">
        <v>87056.097999999998</v>
      </c>
      <c r="R135" s="1262">
        <v>87185.505000000005</v>
      </c>
      <c r="S135" s="1262">
        <v>87287.006999999998</v>
      </c>
      <c r="T135" s="1262">
        <v>95106.365999999995</v>
      </c>
      <c r="U135" s="1262">
        <v>93721.717000000004</v>
      </c>
      <c r="V135" s="1262">
        <v>74891.150999999998</v>
      </c>
      <c r="W135" s="1262">
        <v>96087.807000000001</v>
      </c>
      <c r="X135" s="1262">
        <v>66627.705000000002</v>
      </c>
      <c r="Y135" s="1262">
        <v>100158.451</v>
      </c>
      <c r="Z135" s="1262">
        <v>92654.588000000003</v>
      </c>
      <c r="AA135" s="1262">
        <v>82982.099000000002</v>
      </c>
      <c r="AB135" s="1262">
        <v>104393.906</v>
      </c>
      <c r="AC135" s="1262">
        <v>91025.487999999998</v>
      </c>
      <c r="AD135" s="1262">
        <v>95323.577000000005</v>
      </c>
      <c r="AE135" s="1262">
        <v>80203.134000000005</v>
      </c>
      <c r="AF135" s="1262">
        <v>89113.468999999997</v>
      </c>
      <c r="AG135" s="1262">
        <v>65561.140999999974</v>
      </c>
      <c r="AH135" s="1262">
        <v>68670.26400000001</v>
      </c>
      <c r="AI135" s="1262">
        <v>91809.255999999994</v>
      </c>
      <c r="AJ135" s="1262">
        <v>90976.874000000011</v>
      </c>
      <c r="AK135" s="1262">
        <v>100453.427</v>
      </c>
      <c r="AL135" s="1262">
        <v>99695.407999999996</v>
      </c>
      <c r="AM135" s="1262">
        <v>91489.284000000014</v>
      </c>
      <c r="AN135" s="1262">
        <v>99805.318999999989</v>
      </c>
      <c r="AO135" s="1262">
        <v>98825.286000000007</v>
      </c>
      <c r="AP135" s="1262">
        <v>97616.529999999984</v>
      </c>
      <c r="AQ135" s="1262">
        <v>98083.001999999979</v>
      </c>
      <c r="AR135" s="1262">
        <v>98581.21</v>
      </c>
      <c r="AS135" s="1262">
        <v>77852.140000000014</v>
      </c>
      <c r="AT135" s="1262">
        <v>92973.35</v>
      </c>
    </row>
    <row r="136" spans="1:46" s="1257" customFormat="1">
      <c r="A136" s="1264" t="s">
        <v>341</v>
      </c>
      <c r="B136" s="1257" t="s">
        <v>361</v>
      </c>
      <c r="C136" s="1257">
        <v>47620.62</v>
      </c>
      <c r="D136" s="1257">
        <v>55073.51</v>
      </c>
      <c r="E136" s="1257">
        <v>49348</v>
      </c>
      <c r="F136" s="1257">
        <v>40021.56</v>
      </c>
      <c r="G136" s="1257">
        <v>43158.96</v>
      </c>
      <c r="H136" s="1257">
        <v>57984.19</v>
      </c>
      <c r="I136" s="1257">
        <v>55167.06</v>
      </c>
      <c r="J136" s="1257">
        <v>41019</v>
      </c>
      <c r="K136" s="1257">
        <v>39733.550000000003</v>
      </c>
      <c r="L136" s="1257">
        <v>57497.45</v>
      </c>
      <c r="M136" s="1257">
        <v>52072</v>
      </c>
      <c r="N136" s="1257">
        <v>54020.63</v>
      </c>
      <c r="O136" s="1257">
        <v>55894.879999999997</v>
      </c>
      <c r="P136" s="1257">
        <v>56451.040000000001</v>
      </c>
      <c r="Q136" s="1257">
        <v>30025.38</v>
      </c>
      <c r="R136" s="1257">
        <v>59707.78</v>
      </c>
      <c r="S136" s="1257">
        <v>59327.78</v>
      </c>
      <c r="T136" s="1257">
        <v>48009.88</v>
      </c>
      <c r="U136" s="1257">
        <v>49322.01</v>
      </c>
      <c r="V136" s="1257">
        <v>61506.32</v>
      </c>
      <c r="W136" s="1257">
        <v>62849.74</v>
      </c>
      <c r="X136" s="1257">
        <v>38815.4</v>
      </c>
      <c r="Y136" s="1257">
        <v>62278.15</v>
      </c>
      <c r="Z136" s="1257">
        <v>61031.46</v>
      </c>
      <c r="AA136" s="1257">
        <v>55008.98</v>
      </c>
      <c r="AB136" s="1257">
        <v>57851.62</v>
      </c>
      <c r="AC136" s="1257">
        <v>42595.95</v>
      </c>
      <c r="AD136" s="1257">
        <v>43562.23</v>
      </c>
      <c r="AE136" s="1257">
        <v>60483.18</v>
      </c>
      <c r="AF136" s="1257">
        <v>57756.480000000003</v>
      </c>
      <c r="AG136" s="1257">
        <v>50199.73</v>
      </c>
      <c r="AH136" s="1257">
        <v>53397.88</v>
      </c>
      <c r="AI136" s="1257">
        <v>31040.79</v>
      </c>
      <c r="AJ136" s="1257">
        <v>55054.42</v>
      </c>
      <c r="AK136" s="1257">
        <v>60340.22</v>
      </c>
      <c r="AL136" s="1257">
        <v>58325.52</v>
      </c>
      <c r="AM136" s="1257">
        <v>61842.16</v>
      </c>
      <c r="AN136" s="1257">
        <v>60856.94</v>
      </c>
      <c r="AO136" s="1257">
        <v>53825.29</v>
      </c>
      <c r="AP136" s="1257">
        <v>60197.2</v>
      </c>
      <c r="AQ136" s="1257">
        <v>60670.84</v>
      </c>
      <c r="AR136" s="1257">
        <v>59056.47</v>
      </c>
      <c r="AS136" s="1257">
        <v>41035.300000000003</v>
      </c>
      <c r="AT136" s="1257">
        <v>42386.29</v>
      </c>
    </row>
    <row r="137" spans="1:46">
      <c r="A137" s="201" t="s">
        <v>364</v>
      </c>
      <c r="B137" s="1262" t="s">
        <v>365</v>
      </c>
    </row>
    <row r="138" spans="1:46">
      <c r="A138" s="201" t="s">
        <v>364</v>
      </c>
      <c r="B138" s="1262" t="s">
        <v>366</v>
      </c>
      <c r="C138" s="1262">
        <v>11740179.99</v>
      </c>
      <c r="D138" s="1262">
        <v>10572385.304</v>
      </c>
      <c r="E138" s="1262">
        <v>9723031</v>
      </c>
      <c r="F138" s="1262">
        <v>11259976</v>
      </c>
      <c r="G138" s="1262">
        <v>12231198.23</v>
      </c>
      <c r="H138" s="1262">
        <v>12065009.551039999</v>
      </c>
      <c r="I138" s="1262">
        <v>13647817.058384901</v>
      </c>
      <c r="J138" s="1262">
        <v>13138668.918</v>
      </c>
      <c r="K138" s="1262">
        <v>12789189.494000001</v>
      </c>
      <c r="L138" s="1262">
        <v>11935837.047702899</v>
      </c>
      <c r="M138" s="1262">
        <v>11325631.7292</v>
      </c>
      <c r="N138" s="1262">
        <f t="shared" ref="N138:AL138" si="8">N97</f>
        <v>26437872.140000001</v>
      </c>
      <c r="O138" s="1262">
        <f t="shared" si="8"/>
        <v>13096654.32</v>
      </c>
      <c r="P138" s="1262">
        <f t="shared" si="8"/>
        <v>10056201.1845676</v>
      </c>
      <c r="Q138" s="1262">
        <f t="shared" si="8"/>
        <v>11230108.883000299</v>
      </c>
      <c r="R138" s="1262">
        <f t="shared" si="8"/>
        <v>11850190.269560801</v>
      </c>
      <c r="S138" s="1262">
        <f t="shared" si="8"/>
        <v>11844434.566596299</v>
      </c>
      <c r="T138" s="1262">
        <f t="shared" si="8"/>
        <v>12050442.015681</v>
      </c>
      <c r="U138" s="1262">
        <f t="shared" si="8"/>
        <v>12889677.761537099</v>
      </c>
      <c r="V138" s="1262">
        <f t="shared" si="8"/>
        <v>13513424.032</v>
      </c>
      <c r="W138" s="1262">
        <f t="shared" si="8"/>
        <v>13653301.170778999</v>
      </c>
      <c r="X138" s="1262">
        <f t="shared" si="8"/>
        <v>11938184.093054</v>
      </c>
      <c r="Y138" s="1262">
        <f t="shared" si="8"/>
        <v>13624048.025366399</v>
      </c>
      <c r="Z138" s="1262">
        <f t="shared" si="8"/>
        <v>11697310.088</v>
      </c>
      <c r="AA138" s="1262">
        <f t="shared" si="8"/>
        <v>11332241.136</v>
      </c>
      <c r="AB138" s="1262">
        <f t="shared" si="8"/>
        <v>10145926.884</v>
      </c>
      <c r="AC138" s="1262">
        <f t="shared" si="8"/>
        <v>11544001.903999999</v>
      </c>
      <c r="AD138" s="1262">
        <f t="shared" si="8"/>
        <v>11424714.12408</v>
      </c>
      <c r="AE138" s="1262">
        <f t="shared" si="8"/>
        <v>11987066.536</v>
      </c>
      <c r="AF138" s="1262">
        <f t="shared" si="8"/>
        <v>11764368.903999999</v>
      </c>
      <c r="AG138" s="1262">
        <f t="shared" si="8"/>
        <v>13767258.144000001</v>
      </c>
      <c r="AH138" s="1262">
        <f t="shared" si="8"/>
        <v>13641776.191999998</v>
      </c>
      <c r="AI138" s="1262">
        <f t="shared" si="8"/>
        <v>13638850.535999998</v>
      </c>
      <c r="AJ138" s="1262">
        <f t="shared" si="8"/>
        <v>10998865.845999999</v>
      </c>
      <c r="AK138" s="1262">
        <f t="shared" si="8"/>
        <v>11312629.850000001</v>
      </c>
      <c r="AL138" s="1262">
        <f t="shared" si="8"/>
        <v>11742160.006000001</v>
      </c>
      <c r="AM138" s="1262">
        <f t="shared" ref="AM138:AN138" si="9">AM97</f>
        <v>14109622.614239998</v>
      </c>
      <c r="AN138" s="1262">
        <f t="shared" si="9"/>
        <v>13943172.923599999</v>
      </c>
      <c r="AO138" s="1262">
        <f t="shared" ref="AO138:AP138" si="10">AO97</f>
        <v>12436243</v>
      </c>
      <c r="AP138" s="1262">
        <f t="shared" si="10"/>
        <v>15858233.728</v>
      </c>
      <c r="AQ138" s="1262">
        <f>AQ97</f>
        <v>14351391.167279998</v>
      </c>
      <c r="AR138" s="1262">
        <f>AR97</f>
        <v>15376126.529999999</v>
      </c>
      <c r="AS138" s="1262">
        <f>AS97</f>
        <v>14235077.124639999</v>
      </c>
      <c r="AT138" s="1262">
        <f>AT97</f>
        <v>13870438.32</v>
      </c>
    </row>
    <row r="139" spans="1:46">
      <c r="A139" s="201" t="s">
        <v>364</v>
      </c>
      <c r="B139" s="1262" t="s">
        <v>367</v>
      </c>
      <c r="C139" s="1262">
        <v>3502784</v>
      </c>
      <c r="D139" s="1262">
        <v>3321816</v>
      </c>
      <c r="E139" s="1262">
        <v>3050137</v>
      </c>
      <c r="F139" s="1262">
        <v>3231084</v>
      </c>
      <c r="G139" s="1262">
        <v>3288141</v>
      </c>
      <c r="H139" s="1262">
        <v>2787120</v>
      </c>
      <c r="I139" s="1262">
        <v>3249662</v>
      </c>
      <c r="J139" s="1262">
        <v>3426893</v>
      </c>
      <c r="K139" s="1262">
        <v>3236182</v>
      </c>
      <c r="L139" s="1262">
        <v>3116887</v>
      </c>
      <c r="M139" s="1262">
        <v>3273617</v>
      </c>
      <c r="N139" s="1262">
        <f t="shared" ref="N139:AL139" si="11">N101</f>
        <v>3106464</v>
      </c>
      <c r="O139" s="1262">
        <f t="shared" si="11"/>
        <v>3214645</v>
      </c>
      <c r="P139" s="1262">
        <f t="shared" si="11"/>
        <v>3371586</v>
      </c>
      <c r="Q139" s="1262">
        <f t="shared" si="11"/>
        <v>2946080</v>
      </c>
      <c r="R139" s="1262">
        <f t="shared" si="11"/>
        <v>3540482</v>
      </c>
      <c r="S139" s="1262">
        <f t="shared" si="11"/>
        <v>3181596</v>
      </c>
      <c r="T139" s="1262">
        <f t="shared" si="11"/>
        <v>3497891</v>
      </c>
      <c r="U139" s="1262">
        <f t="shared" si="11"/>
        <v>3185439</v>
      </c>
      <c r="V139" s="1262">
        <f t="shared" si="11"/>
        <v>3479304</v>
      </c>
      <c r="W139" s="1262">
        <f t="shared" si="11"/>
        <v>3407051</v>
      </c>
      <c r="X139" s="1262">
        <f t="shared" si="11"/>
        <v>3029200</v>
      </c>
      <c r="Y139" s="1262">
        <f t="shared" si="11"/>
        <v>3347623</v>
      </c>
      <c r="Z139" s="1262">
        <f t="shared" si="11"/>
        <v>3208756</v>
      </c>
      <c r="AA139" s="1262">
        <f t="shared" si="11"/>
        <v>3336798</v>
      </c>
      <c r="AB139" s="1262">
        <f t="shared" si="11"/>
        <v>3336929</v>
      </c>
      <c r="AC139" s="1262">
        <f t="shared" si="11"/>
        <v>3281836</v>
      </c>
      <c r="AD139" s="1262">
        <f t="shared" si="11"/>
        <v>3532242</v>
      </c>
      <c r="AE139" s="1262">
        <f t="shared" si="11"/>
        <v>3222273</v>
      </c>
      <c r="AF139" s="1262">
        <f t="shared" si="11"/>
        <v>3546281</v>
      </c>
      <c r="AG139" s="1262">
        <f t="shared" si="11"/>
        <v>2831614</v>
      </c>
      <c r="AH139" s="1262">
        <f t="shared" si="11"/>
        <v>3281984</v>
      </c>
      <c r="AI139" s="1262">
        <f t="shared" si="11"/>
        <v>2931997</v>
      </c>
      <c r="AJ139" s="1262">
        <f t="shared" si="11"/>
        <v>3509111</v>
      </c>
      <c r="AK139" s="1262">
        <f t="shared" si="11"/>
        <v>3317277</v>
      </c>
      <c r="AL139" s="1262">
        <f t="shared" si="11"/>
        <v>3228934</v>
      </c>
      <c r="AM139" s="1262">
        <f t="shared" ref="AM139:AN139" si="12">AM101</f>
        <v>3381343</v>
      </c>
      <c r="AN139" s="1262">
        <f t="shared" si="12"/>
        <v>3510213</v>
      </c>
      <c r="AO139" s="1262">
        <f t="shared" ref="AO139:AP139" si="13">AO101</f>
        <v>3218258</v>
      </c>
      <c r="AP139" s="1262">
        <f t="shared" si="13"/>
        <v>3467703</v>
      </c>
      <c r="AQ139" s="1262">
        <f>AQ101</f>
        <v>3686642</v>
      </c>
      <c r="AR139" s="1262">
        <f>AR101</f>
        <v>3620057</v>
      </c>
      <c r="AS139" s="1262">
        <f>AS101</f>
        <v>3140558</v>
      </c>
      <c r="AT139" s="1262">
        <f>AT101</f>
        <v>3393685</v>
      </c>
    </row>
    <row r="140" spans="1:46">
      <c r="A140" s="201" t="s">
        <v>364</v>
      </c>
      <c r="B140" s="1262" t="s">
        <v>368</v>
      </c>
      <c r="C140" s="1262">
        <v>1063275.8589999999</v>
      </c>
      <c r="D140" s="1262">
        <v>1051857.362</v>
      </c>
      <c r="E140" s="1262">
        <v>954317.75800000003</v>
      </c>
      <c r="F140" s="1262">
        <v>1035080</v>
      </c>
      <c r="G140" s="1262">
        <v>1038244</v>
      </c>
      <c r="H140" s="1262">
        <v>879181.90399999998</v>
      </c>
      <c r="I140" s="1262">
        <v>1040497.1189999999</v>
      </c>
      <c r="J140" s="1262">
        <v>1081707.1939999999</v>
      </c>
      <c r="K140" s="1262">
        <v>1010677</v>
      </c>
      <c r="L140" s="1262">
        <v>988238.99600000004</v>
      </c>
      <c r="M140" s="1262">
        <v>1047922.621</v>
      </c>
      <c r="N140" s="1262">
        <f t="shared" ref="N140:AL140" si="14">N109</f>
        <v>962698.272</v>
      </c>
      <c r="O140" s="1262">
        <f t="shared" si="14"/>
        <v>1015628.154</v>
      </c>
      <c r="P140" s="1262">
        <f t="shared" si="14"/>
        <v>1071112.44</v>
      </c>
      <c r="Q140" s="1262">
        <f t="shared" si="14"/>
        <v>943584.12899999996</v>
      </c>
      <c r="R140" s="1262">
        <f t="shared" si="14"/>
        <v>1116078.4269999999</v>
      </c>
      <c r="S140" s="1262">
        <f t="shared" si="14"/>
        <v>1016699.086</v>
      </c>
      <c r="T140" s="1262">
        <f t="shared" si="14"/>
        <v>1131186.899</v>
      </c>
      <c r="U140" s="1262">
        <f t="shared" si="14"/>
        <v>1089514.5390000001</v>
      </c>
      <c r="V140" s="1262">
        <f t="shared" si="14"/>
        <v>1090262.1580000001</v>
      </c>
      <c r="W140" s="1262">
        <f t="shared" si="14"/>
        <v>1062614.4739999999</v>
      </c>
      <c r="X140" s="1262">
        <f t="shared" si="14"/>
        <v>963912.16200000001</v>
      </c>
      <c r="Y140" s="1262">
        <f t="shared" si="14"/>
        <v>1072998.6070000001</v>
      </c>
      <c r="Z140" s="1262">
        <f t="shared" si="14"/>
        <v>1021747.402</v>
      </c>
      <c r="AA140" s="1262">
        <f t="shared" si="14"/>
        <v>1098150.98</v>
      </c>
      <c r="AB140" s="1262">
        <f t="shared" si="14"/>
        <v>1048703.3500000001</v>
      </c>
      <c r="AC140" s="1262">
        <f t="shared" si="14"/>
        <v>1065326.8700000001</v>
      </c>
      <c r="AD140" s="1262">
        <f t="shared" si="14"/>
        <v>1142429.8899999999</v>
      </c>
      <c r="AE140" s="1262">
        <f t="shared" si="14"/>
        <v>1056422.83</v>
      </c>
      <c r="AF140" s="1262">
        <f t="shared" si="14"/>
        <v>1190264.9602128</v>
      </c>
      <c r="AG140" s="1262">
        <f t="shared" si="14"/>
        <v>940679.42500000005</v>
      </c>
      <c r="AH140" s="1262">
        <f t="shared" si="14"/>
        <v>1091961.138</v>
      </c>
      <c r="AI140" s="1262">
        <f t="shared" si="14"/>
        <v>1003893</v>
      </c>
      <c r="AJ140" s="1262">
        <f t="shared" si="14"/>
        <v>1216012.9809999999</v>
      </c>
      <c r="AK140" s="1262">
        <f t="shared" si="14"/>
        <v>1055382.0430000001</v>
      </c>
      <c r="AL140" s="1262">
        <f t="shared" si="14"/>
        <v>1008115.5</v>
      </c>
      <c r="AM140" s="1262">
        <f t="shared" ref="AM140:AN140" si="15">AM109</f>
        <v>1164649.93</v>
      </c>
      <c r="AN140" s="1262">
        <f t="shared" si="15"/>
        <v>1178951.1040000001</v>
      </c>
      <c r="AO140" s="1262">
        <f t="shared" ref="AO140:AP140" si="16">AO109</f>
        <v>1091826.7097236984</v>
      </c>
      <c r="AP140" s="1262">
        <f t="shared" si="16"/>
        <v>1190024.18</v>
      </c>
      <c r="AQ140" s="1262">
        <f>AQ109</f>
        <v>1274978.909</v>
      </c>
      <c r="AR140" s="1262">
        <f>AR109</f>
        <v>1291703.8899999999</v>
      </c>
      <c r="AS140" s="1262">
        <f>AS109</f>
        <v>1117134.44</v>
      </c>
      <c r="AT140" s="1262">
        <f>AT109</f>
        <v>1126791.83</v>
      </c>
    </row>
    <row r="141" spans="1:46">
      <c r="A141" s="201" t="s">
        <v>364</v>
      </c>
      <c r="B141" s="1262" t="s">
        <v>369</v>
      </c>
      <c r="C141" s="1262">
        <v>401249</v>
      </c>
      <c r="D141" s="1262">
        <v>395415</v>
      </c>
      <c r="E141" s="1262">
        <v>385384</v>
      </c>
      <c r="F141" s="1262">
        <v>383582</v>
      </c>
      <c r="G141" s="1262">
        <v>389327</v>
      </c>
      <c r="H141" s="1262">
        <v>281212</v>
      </c>
      <c r="I141" s="1262">
        <v>342585</v>
      </c>
      <c r="J141" s="1262">
        <v>396665</v>
      </c>
      <c r="K141" s="1262">
        <v>199806</v>
      </c>
      <c r="L141" s="1262">
        <v>344670</v>
      </c>
      <c r="M141" s="1262">
        <v>367137</v>
      </c>
      <c r="N141" s="1262">
        <f t="shared" ref="N141:AL141" si="17">N120</f>
        <v>326638</v>
      </c>
      <c r="O141" s="1262">
        <f t="shared" si="17"/>
        <v>395964</v>
      </c>
      <c r="P141" s="1262">
        <f t="shared" si="17"/>
        <v>435214</v>
      </c>
      <c r="Q141" s="1262">
        <f t="shared" si="17"/>
        <v>384844</v>
      </c>
      <c r="R141" s="1262">
        <f t="shared" si="17"/>
        <v>426209</v>
      </c>
      <c r="S141" s="1262">
        <f t="shared" si="17"/>
        <v>392010</v>
      </c>
      <c r="T141" s="1262">
        <f t="shared" si="17"/>
        <v>407023</v>
      </c>
      <c r="U141" s="1262">
        <f t="shared" si="17"/>
        <v>272132</v>
      </c>
      <c r="V141" s="1262">
        <f t="shared" si="17"/>
        <v>448877</v>
      </c>
      <c r="W141" s="1262">
        <f t="shared" si="17"/>
        <v>382003</v>
      </c>
      <c r="X141" s="1262">
        <f t="shared" si="17"/>
        <v>232344</v>
      </c>
      <c r="Y141" s="1262">
        <f t="shared" si="17"/>
        <v>442265</v>
      </c>
      <c r="Z141" s="1262">
        <f t="shared" si="17"/>
        <v>385235</v>
      </c>
      <c r="AA141" s="1262">
        <f t="shared" si="17"/>
        <v>400984</v>
      </c>
      <c r="AB141" s="1262">
        <f t="shared" si="17"/>
        <v>416988</v>
      </c>
      <c r="AC141" s="1262">
        <f t="shared" si="17"/>
        <v>406324</v>
      </c>
      <c r="AD141" s="1262">
        <f t="shared" si="17"/>
        <v>401010</v>
      </c>
      <c r="AE141" s="1262">
        <f t="shared" si="17"/>
        <v>402109</v>
      </c>
      <c r="AF141" s="1262">
        <f t="shared" si="17"/>
        <v>403488.08</v>
      </c>
      <c r="AG141" s="1262">
        <f t="shared" si="17"/>
        <v>407157</v>
      </c>
      <c r="AH141" s="1262">
        <f t="shared" si="17"/>
        <v>349666</v>
      </c>
      <c r="AI141" s="1262">
        <f t="shared" si="17"/>
        <v>152064.386</v>
      </c>
      <c r="AJ141" s="1262">
        <f t="shared" si="17"/>
        <v>359494</v>
      </c>
      <c r="AK141" s="1262">
        <f t="shared" si="17"/>
        <v>356174</v>
      </c>
      <c r="AL141" s="1262">
        <f t="shared" si="17"/>
        <v>387844</v>
      </c>
      <c r="AM141" s="1262">
        <f t="shared" ref="AM141:AN141" si="18">AM120</f>
        <v>393334</v>
      </c>
      <c r="AN141" s="1262">
        <f t="shared" si="18"/>
        <v>406719</v>
      </c>
      <c r="AO141" s="1262">
        <f t="shared" ref="AO141:AP141" si="19">AO120</f>
        <v>386896</v>
      </c>
      <c r="AP141" s="1262">
        <f t="shared" si="19"/>
        <v>392912</v>
      </c>
      <c r="AQ141" s="1262">
        <f>AQ120</f>
        <v>421098</v>
      </c>
      <c r="AR141" s="1262">
        <f>AR120</f>
        <v>417494</v>
      </c>
      <c r="AS141" s="1262">
        <f>AS120</f>
        <v>226425</v>
      </c>
      <c r="AT141" s="1262">
        <f>AT120</f>
        <v>418852</v>
      </c>
    </row>
    <row r="142" spans="1:46">
      <c r="A142" s="201" t="s">
        <v>364</v>
      </c>
      <c r="B142" s="1262" t="s">
        <v>370</v>
      </c>
      <c r="C142" s="1262">
        <v>274142</v>
      </c>
      <c r="D142" s="1262">
        <v>242013</v>
      </c>
      <c r="E142" s="1262">
        <v>266860</v>
      </c>
      <c r="F142" s="1262">
        <v>262142</v>
      </c>
      <c r="G142" s="1262">
        <v>277144</v>
      </c>
      <c r="H142" s="1262">
        <v>262292</v>
      </c>
      <c r="I142" s="1262">
        <v>269777</v>
      </c>
      <c r="J142" s="1262">
        <v>257309</v>
      </c>
      <c r="K142" s="1262">
        <v>256564</v>
      </c>
      <c r="L142" s="1262">
        <v>264261</v>
      </c>
      <c r="M142" s="1262">
        <v>257659</v>
      </c>
      <c r="N142" s="1271">
        <v>270292</v>
      </c>
      <c r="O142" s="1262">
        <f t="shared" ref="O142:AL142" si="20">O3</f>
        <v>275691</v>
      </c>
      <c r="P142" s="1262">
        <f t="shared" si="20"/>
        <v>248749</v>
      </c>
      <c r="Q142" s="1262">
        <f t="shared" si="20"/>
        <v>275418</v>
      </c>
      <c r="R142" s="1262">
        <f t="shared" si="20"/>
        <v>255794</v>
      </c>
      <c r="S142" s="1262">
        <f t="shared" si="20"/>
        <v>254506</v>
      </c>
      <c r="T142" s="1262">
        <f t="shared" si="20"/>
        <v>249533</v>
      </c>
      <c r="U142" s="1262">
        <f t="shared" si="20"/>
        <v>263026</v>
      </c>
      <c r="V142" s="1262">
        <f t="shared" si="20"/>
        <v>260631</v>
      </c>
      <c r="W142" s="1262">
        <f t="shared" si="20"/>
        <v>235135</v>
      </c>
      <c r="X142" s="1262">
        <f t="shared" si="20"/>
        <v>248126</v>
      </c>
      <c r="Y142" s="1262">
        <f t="shared" si="20"/>
        <v>246864</v>
      </c>
      <c r="Z142" s="1262">
        <f t="shared" si="20"/>
        <v>256524</v>
      </c>
      <c r="AA142" s="1262">
        <f t="shared" si="20"/>
        <v>265436</v>
      </c>
      <c r="AB142" s="1262">
        <f t="shared" si="20"/>
        <v>244480</v>
      </c>
      <c r="AC142" s="1262">
        <f t="shared" si="20"/>
        <v>272809</v>
      </c>
      <c r="AD142" s="1262">
        <f t="shared" si="20"/>
        <v>261239</v>
      </c>
      <c r="AE142" s="1262">
        <f t="shared" si="20"/>
        <v>264586</v>
      </c>
      <c r="AF142" s="1262">
        <f t="shared" si="20"/>
        <v>249673</v>
      </c>
      <c r="AG142" s="1262">
        <f t="shared" si="20"/>
        <v>245615</v>
      </c>
      <c r="AH142" s="1262">
        <f t="shared" si="20"/>
        <v>228054</v>
      </c>
      <c r="AI142" s="1262">
        <f t="shared" si="20"/>
        <v>245362</v>
      </c>
      <c r="AJ142" s="1262">
        <f t="shared" si="20"/>
        <v>265529</v>
      </c>
      <c r="AK142" s="1262">
        <f t="shared" si="20"/>
        <v>260769</v>
      </c>
      <c r="AL142" s="1262">
        <f t="shared" si="20"/>
        <v>264021</v>
      </c>
      <c r="AM142" s="1262">
        <f t="shared" ref="AM142:AN142" si="21">AM3</f>
        <v>269124</v>
      </c>
      <c r="AN142" s="1262">
        <f t="shared" si="21"/>
        <v>244845</v>
      </c>
      <c r="AO142" s="1262">
        <f t="shared" ref="AO142:AP142" si="22">AO3</f>
        <v>263884</v>
      </c>
      <c r="AP142" s="1262">
        <f t="shared" si="22"/>
        <v>263202</v>
      </c>
      <c r="AQ142" s="1262">
        <f t="shared" ref="AQ142:AS143" si="23">AQ3</f>
        <v>277404</v>
      </c>
      <c r="AR142" s="1262">
        <f t="shared" si="23"/>
        <v>265336</v>
      </c>
      <c r="AS142" s="1262">
        <f t="shared" si="23"/>
        <v>268747</v>
      </c>
      <c r="AT142" s="1262">
        <f t="shared" ref="AT142" si="24">AT3</f>
        <v>277150</v>
      </c>
    </row>
    <row r="143" spans="1:46">
      <c r="A143" s="201" t="s">
        <v>364</v>
      </c>
      <c r="B143" s="1262" t="s">
        <v>371</v>
      </c>
      <c r="C143" s="1262">
        <v>865940</v>
      </c>
      <c r="D143" s="1262">
        <v>797522</v>
      </c>
      <c r="E143" s="1262">
        <v>900897</v>
      </c>
      <c r="F143" s="1262">
        <v>900561</v>
      </c>
      <c r="G143" s="1262">
        <v>800791</v>
      </c>
      <c r="H143" s="1262">
        <v>911421</v>
      </c>
      <c r="I143" s="1262">
        <v>908487</v>
      </c>
      <c r="J143" s="1262">
        <v>956610</v>
      </c>
      <c r="K143" s="1262">
        <v>797671</v>
      </c>
      <c r="L143" s="1262">
        <v>904745</v>
      </c>
      <c r="M143" s="1262">
        <v>871706</v>
      </c>
      <c r="N143" s="1271">
        <v>863663</v>
      </c>
      <c r="O143" s="1262">
        <f t="shared" ref="O143:AL143" si="25">O4</f>
        <v>846351</v>
      </c>
      <c r="P143" s="1262">
        <f t="shared" si="25"/>
        <v>826161</v>
      </c>
      <c r="Q143" s="1262">
        <f t="shared" si="25"/>
        <v>758939</v>
      </c>
      <c r="R143" s="1262">
        <f t="shared" si="25"/>
        <v>869257</v>
      </c>
      <c r="S143" s="1262">
        <f t="shared" si="25"/>
        <v>872958</v>
      </c>
      <c r="T143" s="1262">
        <f t="shared" si="25"/>
        <v>837724</v>
      </c>
      <c r="U143" s="1262">
        <f t="shared" si="25"/>
        <v>884757</v>
      </c>
      <c r="V143" s="1262">
        <f t="shared" si="25"/>
        <v>898433</v>
      </c>
      <c r="W143" s="1262">
        <f t="shared" si="25"/>
        <v>793382</v>
      </c>
      <c r="X143" s="1262">
        <f t="shared" si="25"/>
        <v>907174</v>
      </c>
      <c r="Y143" s="1262">
        <f t="shared" si="25"/>
        <v>970564</v>
      </c>
      <c r="Z143" s="1262">
        <f t="shared" si="25"/>
        <v>984567</v>
      </c>
      <c r="AA143" s="1262">
        <f t="shared" si="25"/>
        <v>834215</v>
      </c>
      <c r="AB143" s="1262">
        <f t="shared" si="25"/>
        <v>828131</v>
      </c>
      <c r="AC143" s="1262">
        <f t="shared" si="25"/>
        <v>919612</v>
      </c>
      <c r="AD143" s="1262">
        <f t="shared" si="25"/>
        <v>932730</v>
      </c>
      <c r="AE143" s="1262">
        <f t="shared" si="25"/>
        <v>957057</v>
      </c>
      <c r="AF143" s="1262">
        <f t="shared" si="25"/>
        <v>721013</v>
      </c>
      <c r="AG143" s="1262">
        <f t="shared" si="25"/>
        <v>530108</v>
      </c>
      <c r="AH143" s="1262">
        <f t="shared" si="25"/>
        <v>646364</v>
      </c>
      <c r="AI143" s="1262">
        <f t="shared" si="25"/>
        <v>451401</v>
      </c>
      <c r="AJ143" s="1262">
        <f t="shared" si="25"/>
        <v>819527</v>
      </c>
      <c r="AK143" s="1262">
        <f t="shared" si="25"/>
        <v>845333</v>
      </c>
      <c r="AL143" s="1262">
        <f t="shared" si="25"/>
        <v>764972</v>
      </c>
      <c r="AM143" s="1262">
        <f t="shared" ref="AM143:AN143" si="26">AM4</f>
        <v>932614</v>
      </c>
      <c r="AN143" s="1262">
        <f t="shared" si="26"/>
        <v>918211</v>
      </c>
      <c r="AO143" s="1262">
        <f t="shared" ref="AO143:AP143" si="27">AO4</f>
        <v>991634</v>
      </c>
      <c r="AP143" s="1262">
        <f t="shared" si="27"/>
        <v>972695</v>
      </c>
      <c r="AQ143" s="1262">
        <f t="shared" si="23"/>
        <v>1022017</v>
      </c>
      <c r="AR143" s="1262">
        <f t="shared" si="23"/>
        <v>990078</v>
      </c>
      <c r="AS143" s="1262">
        <f t="shared" si="23"/>
        <v>996693</v>
      </c>
      <c r="AT143" s="1262">
        <f t="shared" ref="AT143" si="28">AT4</f>
        <v>1031862</v>
      </c>
    </row>
    <row r="144" spans="1:46">
      <c r="A144" s="201" t="s">
        <v>364</v>
      </c>
      <c r="B144" s="1262" t="s">
        <v>372</v>
      </c>
      <c r="C144" s="1262">
        <v>739318</v>
      </c>
      <c r="D144" s="1262">
        <v>627545</v>
      </c>
      <c r="E144" s="1262">
        <v>706848</v>
      </c>
      <c r="F144" s="1262">
        <v>663511</v>
      </c>
      <c r="G144" s="1262">
        <v>668497</v>
      </c>
      <c r="H144" s="1262">
        <v>675371</v>
      </c>
      <c r="I144" s="1262">
        <v>684242</v>
      </c>
      <c r="J144" s="1262">
        <v>717353</v>
      </c>
      <c r="K144" s="1262">
        <v>653124</v>
      </c>
      <c r="L144" s="1262">
        <v>673210</v>
      </c>
      <c r="M144" s="1262">
        <v>659065</v>
      </c>
      <c r="N144" s="1271">
        <f>SUM(N145:N147)</f>
        <v>693946</v>
      </c>
      <c r="O144" s="1262">
        <f t="shared" ref="O144:AL144" si="29">O7</f>
        <v>693450</v>
      </c>
      <c r="P144" s="1262">
        <f t="shared" si="29"/>
        <v>652809</v>
      </c>
      <c r="Q144" s="1262">
        <f t="shared" si="29"/>
        <v>653158</v>
      </c>
      <c r="R144" s="1262">
        <f t="shared" si="29"/>
        <v>687630</v>
      </c>
      <c r="S144" s="1262">
        <f t="shared" si="29"/>
        <v>710250</v>
      </c>
      <c r="T144" s="1262">
        <f t="shared" si="29"/>
        <v>679771</v>
      </c>
      <c r="U144" s="1262">
        <f t="shared" si="29"/>
        <v>704953</v>
      </c>
      <c r="V144" s="1262">
        <f t="shared" si="29"/>
        <v>710310</v>
      </c>
      <c r="W144" s="1262">
        <f t="shared" si="29"/>
        <v>604317</v>
      </c>
      <c r="X144" s="1262">
        <f t="shared" si="29"/>
        <v>713071</v>
      </c>
      <c r="Y144" s="1262">
        <f t="shared" si="29"/>
        <v>720798</v>
      </c>
      <c r="Z144" s="1262">
        <f t="shared" si="29"/>
        <v>730776</v>
      </c>
      <c r="AA144" s="1262">
        <f t="shared" si="29"/>
        <v>729286.8</v>
      </c>
      <c r="AB144" s="1262">
        <f t="shared" si="29"/>
        <v>681529</v>
      </c>
      <c r="AC144" s="1262">
        <f t="shared" si="29"/>
        <v>721360</v>
      </c>
      <c r="AD144" s="1262">
        <f t="shared" si="29"/>
        <v>733504</v>
      </c>
      <c r="AE144" s="1262">
        <f t="shared" si="29"/>
        <v>736967</v>
      </c>
      <c r="AF144" s="1262">
        <f t="shared" si="29"/>
        <v>529427</v>
      </c>
      <c r="AG144" s="1262">
        <f t="shared" si="29"/>
        <v>474443</v>
      </c>
      <c r="AH144" s="1262">
        <f t="shared" si="29"/>
        <v>455236</v>
      </c>
      <c r="AI144" s="1262">
        <f t="shared" si="29"/>
        <v>433186</v>
      </c>
      <c r="AJ144" s="1262">
        <f t="shared" si="29"/>
        <v>691217</v>
      </c>
      <c r="AK144" s="1262">
        <f t="shared" si="29"/>
        <v>746962</v>
      </c>
      <c r="AL144" s="1262">
        <f t="shared" si="29"/>
        <v>767002</v>
      </c>
      <c r="AM144" s="1262">
        <f t="shared" ref="AM144:AN144" si="30">AM7</f>
        <v>765676</v>
      </c>
      <c r="AN144" s="1262">
        <f t="shared" si="30"/>
        <v>718384</v>
      </c>
      <c r="AO144" s="1262">
        <f t="shared" ref="AO144:AP144" si="31">AO7</f>
        <v>796822</v>
      </c>
      <c r="AP144" s="1262">
        <f t="shared" si="31"/>
        <v>789981</v>
      </c>
      <c r="AQ144" s="1262">
        <f>AQ7</f>
        <v>811967</v>
      </c>
      <c r="AR144" s="1262">
        <f>AR7</f>
        <v>799267</v>
      </c>
      <c r="AS144" s="1262">
        <f>AS7</f>
        <v>801083</v>
      </c>
      <c r="AT144" s="1262">
        <f>AT7</f>
        <v>784915</v>
      </c>
    </row>
    <row r="145" spans="1:46">
      <c r="A145" s="201" t="s">
        <v>364</v>
      </c>
      <c r="B145" s="1262" t="s">
        <v>373</v>
      </c>
      <c r="C145" s="1262">
        <v>732779</v>
      </c>
      <c r="D145" s="1262">
        <v>624803</v>
      </c>
      <c r="E145" s="1262">
        <v>700615</v>
      </c>
      <c r="F145" s="1262">
        <v>609820</v>
      </c>
      <c r="G145" s="1262">
        <v>664619</v>
      </c>
      <c r="H145" s="1262">
        <v>673185</v>
      </c>
      <c r="I145" s="1262">
        <v>678467</v>
      </c>
      <c r="J145" s="1262">
        <v>716189</v>
      </c>
      <c r="K145" s="1262">
        <v>647826</v>
      </c>
      <c r="L145" s="1262">
        <v>670628</v>
      </c>
      <c r="M145" s="1262">
        <v>655509</v>
      </c>
      <c r="N145" s="1268">
        <v>689290</v>
      </c>
      <c r="O145" s="1268">
        <v>689557</v>
      </c>
      <c r="P145" s="1268">
        <v>651287</v>
      </c>
      <c r="Q145" s="1268">
        <v>645466</v>
      </c>
      <c r="R145" s="1268">
        <v>684759</v>
      </c>
      <c r="S145" s="1268">
        <v>709519</v>
      </c>
      <c r="T145" s="1268">
        <v>673909</v>
      </c>
      <c r="U145" s="1268">
        <v>702148</v>
      </c>
      <c r="V145" s="1268">
        <v>705851</v>
      </c>
      <c r="W145" s="1268">
        <v>599918</v>
      </c>
      <c r="X145" s="1268">
        <v>688493</v>
      </c>
      <c r="Y145" s="1268">
        <v>720798</v>
      </c>
      <c r="Z145" s="1268">
        <v>727160</v>
      </c>
      <c r="AA145" s="1268">
        <v>725579</v>
      </c>
      <c r="AB145" s="1268">
        <v>678193</v>
      </c>
      <c r="AC145" s="1268">
        <v>716921</v>
      </c>
      <c r="AD145" s="1268">
        <v>733504</v>
      </c>
      <c r="AE145" s="1268">
        <v>734959</v>
      </c>
      <c r="AF145" s="1268">
        <v>521831</v>
      </c>
      <c r="AG145" s="1268">
        <v>474443</v>
      </c>
      <c r="AH145" s="1268">
        <v>453049</v>
      </c>
      <c r="AI145" s="1268">
        <v>432915</v>
      </c>
      <c r="AJ145" s="1268">
        <v>691217</v>
      </c>
      <c r="AK145" s="1268">
        <v>740853</v>
      </c>
      <c r="AL145" s="1268">
        <v>749077</v>
      </c>
      <c r="AM145" s="1268">
        <v>751797</v>
      </c>
      <c r="AN145" s="1268">
        <v>714613</v>
      </c>
      <c r="AO145" s="1268">
        <v>793785</v>
      </c>
      <c r="AP145" s="1268">
        <v>784557</v>
      </c>
      <c r="AQ145" s="1268">
        <v>811967</v>
      </c>
      <c r="AR145" s="1268">
        <v>797436</v>
      </c>
      <c r="AS145" s="1268">
        <v>797437</v>
      </c>
      <c r="AT145" s="1268">
        <v>782457</v>
      </c>
    </row>
    <row r="146" spans="1:46" s="1261" customFormat="1">
      <c r="A146" s="1274" t="s">
        <v>364</v>
      </c>
      <c r="B146" s="1261" t="s">
        <v>374</v>
      </c>
      <c r="C146" s="1261">
        <v>6539</v>
      </c>
      <c r="D146" s="1261">
        <v>2742</v>
      </c>
      <c r="E146" s="1261">
        <v>6233</v>
      </c>
      <c r="F146" s="1261">
        <v>53691</v>
      </c>
      <c r="G146" s="1261">
        <v>3878</v>
      </c>
      <c r="H146" s="1261">
        <v>2186</v>
      </c>
      <c r="I146" s="1261">
        <v>5775</v>
      </c>
      <c r="J146" s="1261">
        <v>1164</v>
      </c>
      <c r="K146" s="1261">
        <v>5298</v>
      </c>
      <c r="L146" s="1261">
        <v>2582</v>
      </c>
      <c r="M146" s="1261">
        <v>3556</v>
      </c>
      <c r="N146" s="1268">
        <v>4656</v>
      </c>
      <c r="O146" s="1268">
        <v>3893</v>
      </c>
      <c r="P146" s="1268">
        <v>1522</v>
      </c>
      <c r="Q146" s="1268">
        <v>7692</v>
      </c>
      <c r="R146" s="1268">
        <v>2871</v>
      </c>
      <c r="S146" s="1268">
        <v>732</v>
      </c>
      <c r="T146" s="1268">
        <v>5862</v>
      </c>
      <c r="U146" s="1268">
        <v>2805</v>
      </c>
      <c r="V146" s="1268">
        <v>4459</v>
      </c>
      <c r="W146" s="1268">
        <v>4398</v>
      </c>
      <c r="X146" s="1268">
        <v>24578</v>
      </c>
      <c r="Y146" s="1268"/>
      <c r="Z146" s="1268">
        <v>3616</v>
      </c>
      <c r="AA146" s="1268">
        <v>3708</v>
      </c>
      <c r="AB146" s="1268">
        <v>3336</v>
      </c>
      <c r="AC146" s="1268">
        <v>4439</v>
      </c>
      <c r="AD146" s="1268"/>
      <c r="AE146" s="1268">
        <v>2008</v>
      </c>
      <c r="AF146" s="1268">
        <v>7596</v>
      </c>
      <c r="AG146" s="1268"/>
      <c r="AH146" s="1268">
        <v>2187</v>
      </c>
      <c r="AI146" s="1268">
        <v>271</v>
      </c>
      <c r="AJ146" s="1268"/>
      <c r="AK146" s="1268">
        <v>6109</v>
      </c>
      <c r="AL146" s="1268">
        <v>17925</v>
      </c>
      <c r="AM146" s="1268">
        <v>13879</v>
      </c>
      <c r="AN146" s="1268">
        <v>3771</v>
      </c>
      <c r="AO146" s="1268">
        <v>3037</v>
      </c>
      <c r="AP146" s="1268">
        <v>5424</v>
      </c>
      <c r="AQ146" s="1268">
        <v>0</v>
      </c>
      <c r="AR146" s="1268">
        <f>AR144-AR145</f>
        <v>1831</v>
      </c>
      <c r="AS146" s="1268">
        <f>AS144-AS145</f>
        <v>3646</v>
      </c>
      <c r="AT146" s="1268">
        <f>AT144-AT145</f>
        <v>2458</v>
      </c>
    </row>
    <row r="147" spans="1:46">
      <c r="A147" s="201" t="s">
        <v>364</v>
      </c>
      <c r="B147" s="1262" t="s">
        <v>375</v>
      </c>
      <c r="C147" s="1262">
        <v>0</v>
      </c>
      <c r="E147" s="1262">
        <v>0</v>
      </c>
      <c r="F147" s="1262">
        <v>0</v>
      </c>
      <c r="G147" s="1262">
        <v>0</v>
      </c>
      <c r="H147" s="1262">
        <v>0</v>
      </c>
      <c r="I147" s="1262">
        <v>0</v>
      </c>
      <c r="J147" s="1262">
        <v>0</v>
      </c>
      <c r="K147" s="1262">
        <v>0</v>
      </c>
      <c r="L147" s="1262">
        <v>0</v>
      </c>
      <c r="M147" s="1262">
        <v>0</v>
      </c>
      <c r="N147" s="1268"/>
      <c r="O147" s="1268"/>
      <c r="P147" s="1268"/>
      <c r="Q147" s="1268"/>
      <c r="R147" s="1268"/>
      <c r="S147" s="1268"/>
      <c r="T147" s="1268"/>
      <c r="U147" s="1268"/>
      <c r="V147" s="1268"/>
      <c r="W147" s="1268"/>
      <c r="X147" s="1268"/>
      <c r="Y147" s="1268"/>
      <c r="Z147" s="1268"/>
      <c r="AA147" s="1268"/>
      <c r="AB147" s="1268"/>
      <c r="AC147" s="1268"/>
      <c r="AD147" s="1268"/>
      <c r="AE147" s="1268"/>
      <c r="AF147" s="1268"/>
      <c r="AG147" s="1268"/>
      <c r="AH147" s="1268"/>
      <c r="AI147" s="1268"/>
      <c r="AJ147" s="1268"/>
      <c r="AK147" s="1268"/>
      <c r="AL147" s="1268"/>
      <c r="AM147" s="1268"/>
      <c r="AN147" s="1268"/>
      <c r="AO147" s="1268"/>
      <c r="AP147" s="1268"/>
      <c r="AQ147" s="1268"/>
      <c r="AR147" s="1268"/>
      <c r="AS147" s="1268"/>
      <c r="AT147" s="1268"/>
    </row>
    <row r="148" spans="1:46">
      <c r="A148" s="201" t="s">
        <v>364</v>
      </c>
      <c r="B148" s="1262" t="s">
        <v>376</v>
      </c>
      <c r="C148" s="1262">
        <v>937637</v>
      </c>
      <c r="D148" s="1262">
        <v>829058</v>
      </c>
      <c r="E148" s="1262">
        <v>925966</v>
      </c>
      <c r="F148" s="1262">
        <v>880019</v>
      </c>
      <c r="G148" s="1262">
        <v>889022</v>
      </c>
      <c r="H148" s="1262">
        <v>901096</v>
      </c>
      <c r="I148" s="1262">
        <v>899928</v>
      </c>
      <c r="J148" s="1262">
        <v>918347</v>
      </c>
      <c r="K148" s="1262">
        <v>834093</v>
      </c>
      <c r="L148" s="1262">
        <v>907221</v>
      </c>
      <c r="M148" s="1262">
        <v>868657</v>
      </c>
      <c r="N148" s="1262">
        <f t="shared" ref="N148:AL148" si="32">N11</f>
        <v>912815.09499999997</v>
      </c>
      <c r="O148" s="1262">
        <f t="shared" si="32"/>
        <v>899999.06700000004</v>
      </c>
      <c r="P148" s="1262">
        <f t="shared" si="32"/>
        <v>850071.01</v>
      </c>
      <c r="Q148" s="1262">
        <f t="shared" si="32"/>
        <v>898119.28700000001</v>
      </c>
      <c r="R148" s="1262">
        <f t="shared" si="32"/>
        <v>915754.09400000004</v>
      </c>
      <c r="S148" s="1262">
        <f t="shared" si="32"/>
        <v>935304.94499999995</v>
      </c>
      <c r="T148" s="1262">
        <f t="shared" si="32"/>
        <v>894044.73</v>
      </c>
      <c r="U148" s="1262">
        <f t="shared" si="32"/>
        <v>954510.85</v>
      </c>
      <c r="V148" s="1262">
        <f t="shared" si="32"/>
        <v>949521.76100000006</v>
      </c>
      <c r="W148" s="1262">
        <f t="shared" si="32"/>
        <v>779867.90700000001</v>
      </c>
      <c r="X148" s="1262">
        <f t="shared" si="32"/>
        <v>913370.06700000004</v>
      </c>
      <c r="Y148" s="1262">
        <f t="shared" si="32"/>
        <v>927457.29500000004</v>
      </c>
      <c r="Z148" s="1262">
        <f t="shared" si="32"/>
        <v>940733.95799999998</v>
      </c>
      <c r="AA148" s="1262">
        <f t="shared" si="32"/>
        <v>961186.88500000001</v>
      </c>
      <c r="AB148" s="1262">
        <f t="shared" si="32"/>
        <v>903023.93400000001</v>
      </c>
      <c r="AC148" s="1262">
        <f t="shared" si="32"/>
        <v>927003.32900000003</v>
      </c>
      <c r="AD148" s="1262">
        <f t="shared" si="32"/>
        <v>914366.97400000005</v>
      </c>
      <c r="AE148" s="1262">
        <f t="shared" si="32"/>
        <v>967965.26300000004</v>
      </c>
      <c r="AF148" s="1262">
        <f t="shared" si="32"/>
        <v>783459.04700000002</v>
      </c>
      <c r="AG148" s="1262">
        <f t="shared" si="32"/>
        <v>802165.81300000008</v>
      </c>
      <c r="AH148" s="1262">
        <f t="shared" si="32"/>
        <v>761398.20900000003</v>
      </c>
      <c r="AI148" s="1262">
        <f t="shared" si="32"/>
        <v>758580.25699999998</v>
      </c>
      <c r="AJ148" s="1262">
        <f t="shared" si="32"/>
        <v>929958.50699999998</v>
      </c>
      <c r="AK148" s="1262">
        <f t="shared" si="32"/>
        <v>968348.82000000007</v>
      </c>
      <c r="AL148" s="1262">
        <f t="shared" si="32"/>
        <v>1011171.6159999999</v>
      </c>
      <c r="AM148" s="1262">
        <f t="shared" ref="AM148:AN148" si="33">AM11</f>
        <v>1005207.8129999998</v>
      </c>
      <c r="AN148" s="1262">
        <f t="shared" si="33"/>
        <v>949966.78500000003</v>
      </c>
      <c r="AO148" s="1262">
        <f t="shared" ref="AO148:AP148" si="34">AO11</f>
        <v>1077865.5969999998</v>
      </c>
      <c r="AP148" s="1262">
        <f t="shared" si="34"/>
        <v>1036390.4679999999</v>
      </c>
      <c r="AQ148" s="1262">
        <f t="shared" ref="AQ148:AS149" si="35">AQ11</f>
        <v>1087027.4110000001</v>
      </c>
      <c r="AR148" s="1262">
        <f t="shared" si="35"/>
        <v>1083451.466</v>
      </c>
      <c r="AS148" s="1262">
        <f t="shared" si="35"/>
        <v>1099973.3669999999</v>
      </c>
      <c r="AT148" s="1262">
        <f t="shared" ref="AT148" si="36">AT11</f>
        <v>1089890</v>
      </c>
    </row>
    <row r="149" spans="1:46">
      <c r="A149" s="201" t="s">
        <v>364</v>
      </c>
      <c r="B149" s="1262" t="s">
        <v>377</v>
      </c>
      <c r="C149" s="1262">
        <v>915232</v>
      </c>
      <c r="D149" s="1262">
        <v>809160</v>
      </c>
      <c r="E149" s="1262">
        <v>901726</v>
      </c>
      <c r="F149" s="1262">
        <v>858599</v>
      </c>
      <c r="G149" s="1262">
        <v>866611</v>
      </c>
      <c r="H149" s="1262">
        <v>879748</v>
      </c>
      <c r="I149" s="1262">
        <v>885775</v>
      </c>
      <c r="J149" s="1262">
        <v>899031</v>
      </c>
      <c r="K149" s="1262">
        <v>814672</v>
      </c>
      <c r="L149" s="1262">
        <v>889526</v>
      </c>
      <c r="M149" s="1262">
        <v>850826</v>
      </c>
      <c r="N149" s="1262">
        <f t="shared" ref="N149:AL149" si="37">N12</f>
        <v>894402.62300000002</v>
      </c>
      <c r="O149" s="1262">
        <f t="shared" si="37"/>
        <v>880029.37399999995</v>
      </c>
      <c r="P149" s="1262">
        <f t="shared" si="37"/>
        <v>827998.39</v>
      </c>
      <c r="Q149" s="1262">
        <f t="shared" si="37"/>
        <v>879602.05</v>
      </c>
      <c r="R149" s="1262">
        <f t="shared" si="37"/>
        <v>896219.72200000007</v>
      </c>
      <c r="S149" s="1262">
        <f t="shared" si="37"/>
        <v>915307.62600000005</v>
      </c>
      <c r="T149" s="1262">
        <f t="shared" si="37"/>
        <v>876986.03399999999</v>
      </c>
      <c r="U149" s="1262">
        <f t="shared" si="37"/>
        <v>941800.42799999996</v>
      </c>
      <c r="V149" s="1262">
        <f t="shared" si="37"/>
        <v>935735.47499999998</v>
      </c>
      <c r="W149" s="1262">
        <f t="shared" si="37"/>
        <v>770517.84699999995</v>
      </c>
      <c r="X149" s="1262">
        <f t="shared" si="37"/>
        <v>903197.8</v>
      </c>
      <c r="Y149" s="1262">
        <f t="shared" si="37"/>
        <v>916756.58400000003</v>
      </c>
      <c r="Z149" s="1262">
        <f t="shared" si="37"/>
        <v>925439.61300000001</v>
      </c>
      <c r="AA149" s="1262">
        <f t="shared" si="37"/>
        <v>946869.49</v>
      </c>
      <c r="AB149" s="1262">
        <f t="shared" si="37"/>
        <v>889344.28799999994</v>
      </c>
      <c r="AC149" s="1262">
        <f t="shared" si="37"/>
        <v>911219.598</v>
      </c>
      <c r="AD149" s="1262">
        <f t="shared" si="37"/>
        <v>904376.16700000002</v>
      </c>
      <c r="AE149" s="1262">
        <f t="shared" si="37"/>
        <v>958032.13199999998</v>
      </c>
      <c r="AF149" s="1262">
        <f t="shared" si="37"/>
        <v>772994.05299999996</v>
      </c>
      <c r="AG149" s="1262">
        <f t="shared" si="37"/>
        <v>787004.83799999999</v>
      </c>
      <c r="AH149" s="1262">
        <f t="shared" si="37"/>
        <v>742088.72</v>
      </c>
      <c r="AI149" s="1262">
        <f t="shared" si="37"/>
        <v>744222.48200000008</v>
      </c>
      <c r="AJ149" s="1262">
        <f t="shared" si="37"/>
        <v>912126.777</v>
      </c>
      <c r="AK149" s="1262">
        <f t="shared" si="37"/>
        <v>954022.38899999997</v>
      </c>
      <c r="AL149" s="1262">
        <f t="shared" si="37"/>
        <v>999214.28499999992</v>
      </c>
      <c r="AM149" s="1262">
        <f t="shared" ref="AM149:AN149" si="38">AM12</f>
        <v>991958.77199999988</v>
      </c>
      <c r="AN149" s="1262">
        <f t="shared" si="38"/>
        <v>936221.34900000005</v>
      </c>
      <c r="AO149" s="1262">
        <f t="shared" ref="AO149:AP149" si="39">AO12</f>
        <v>1061456.0889999999</v>
      </c>
      <c r="AP149" s="1262">
        <f t="shared" si="39"/>
        <v>1021481.787</v>
      </c>
      <c r="AQ149" s="1262">
        <f t="shared" si="35"/>
        <v>1070349.372</v>
      </c>
      <c r="AR149" s="1262">
        <f t="shared" si="35"/>
        <v>1065790.284</v>
      </c>
      <c r="AS149" s="1262">
        <f t="shared" si="35"/>
        <v>1083992.183</v>
      </c>
      <c r="AT149" s="1262">
        <f t="shared" ref="AT149" si="40">AT12</f>
        <v>1072171.108</v>
      </c>
    </row>
    <row r="150" spans="1:46">
      <c r="A150" s="201" t="s">
        <v>364</v>
      </c>
      <c r="B150" s="1262" t="s">
        <v>378</v>
      </c>
      <c r="C150" s="1262">
        <v>22405</v>
      </c>
      <c r="D150" s="1262">
        <v>19898</v>
      </c>
      <c r="E150" s="1262">
        <v>24240</v>
      </c>
      <c r="F150" s="1262">
        <v>21420</v>
      </c>
      <c r="G150" s="1262">
        <v>22411</v>
      </c>
      <c r="H150" s="1262">
        <v>21348</v>
      </c>
      <c r="I150" s="1262">
        <v>14153</v>
      </c>
      <c r="J150" s="1262">
        <v>19316</v>
      </c>
      <c r="K150" s="1262">
        <v>19421</v>
      </c>
      <c r="L150" s="1262">
        <v>17695</v>
      </c>
      <c r="M150" s="1262">
        <v>17831</v>
      </c>
      <c r="N150" s="1277">
        <f t="shared" ref="N150:Z150" si="41">N148-N149</f>
        <v>18412.471999999951</v>
      </c>
      <c r="O150" s="1262">
        <f t="shared" si="41"/>
        <v>19969.693000000087</v>
      </c>
      <c r="P150" s="1262">
        <f t="shared" si="41"/>
        <v>22072.619999999995</v>
      </c>
      <c r="Q150" s="1262">
        <f t="shared" si="41"/>
        <v>18517.236999999965</v>
      </c>
      <c r="R150" s="1262">
        <f t="shared" si="41"/>
        <v>19534.371999999974</v>
      </c>
      <c r="S150" s="1262">
        <f t="shared" si="41"/>
        <v>19997.318999999901</v>
      </c>
      <c r="T150" s="1262">
        <f t="shared" si="41"/>
        <v>17058.695999999996</v>
      </c>
      <c r="U150" s="1262">
        <f t="shared" si="41"/>
        <v>12710.42200000002</v>
      </c>
      <c r="V150" s="1262">
        <f t="shared" si="41"/>
        <v>13786.28600000008</v>
      </c>
      <c r="W150" s="1262">
        <f t="shared" si="41"/>
        <v>9350.0600000000559</v>
      </c>
      <c r="X150" s="1262">
        <f t="shared" si="41"/>
        <v>10172.266999999993</v>
      </c>
      <c r="Y150" s="1262">
        <f t="shared" si="41"/>
        <v>10700.71100000001</v>
      </c>
      <c r="Z150" s="1262">
        <f t="shared" si="41"/>
        <v>15294.344999999972</v>
      </c>
      <c r="AA150" s="1262">
        <f>AA148-AA149</f>
        <v>14317.395000000019</v>
      </c>
      <c r="AB150" s="1262">
        <f>AB148-AB149</f>
        <v>13679.646000000066</v>
      </c>
      <c r="AC150" s="1262">
        <f t="shared" ref="AC150:AL150" si="42">AC148-AC149</f>
        <v>15783.731000000029</v>
      </c>
      <c r="AD150" s="1262">
        <f t="shared" si="42"/>
        <v>9990.8070000000298</v>
      </c>
      <c r="AE150" s="1262">
        <f t="shared" si="42"/>
        <v>9933.1310000000522</v>
      </c>
      <c r="AF150" s="1262">
        <f t="shared" si="42"/>
        <v>10464.994000000064</v>
      </c>
      <c r="AG150" s="1262">
        <f t="shared" si="42"/>
        <v>15160.975000000093</v>
      </c>
      <c r="AH150" s="1262">
        <f t="shared" si="42"/>
        <v>19309.48900000006</v>
      </c>
      <c r="AI150" s="1262">
        <f t="shared" si="42"/>
        <v>14357.774999999907</v>
      </c>
      <c r="AJ150" s="1262">
        <f t="shared" si="42"/>
        <v>17831.729999999981</v>
      </c>
      <c r="AK150" s="1262">
        <f t="shared" si="42"/>
        <v>14326.431000000099</v>
      </c>
      <c r="AL150" s="1262">
        <f t="shared" si="42"/>
        <v>11957.331000000006</v>
      </c>
      <c r="AM150" s="1262">
        <f t="shared" ref="AM150:AN150" si="43">AM148-AM149</f>
        <v>13249.040999999968</v>
      </c>
      <c r="AN150" s="1262">
        <f t="shared" si="43"/>
        <v>13745.435999999987</v>
      </c>
      <c r="AO150" s="1262">
        <f t="shared" ref="AO150:AP150" si="44">AO148-AO149</f>
        <v>16409.507999999914</v>
      </c>
      <c r="AP150" s="1262">
        <f t="shared" si="44"/>
        <v>14908.680999999866</v>
      </c>
      <c r="AQ150" s="1262">
        <f>AQ148-AQ149</f>
        <v>16678.039000000106</v>
      </c>
      <c r="AR150" s="1262">
        <f>AR148-AR149</f>
        <v>17661.18200000003</v>
      </c>
      <c r="AS150" s="1262">
        <f>AS148-AS149</f>
        <v>15981.183999999892</v>
      </c>
      <c r="AT150" s="1262">
        <f>AT148-AT149</f>
        <v>17718.891999999993</v>
      </c>
    </row>
    <row r="151" spans="1:46">
      <c r="A151" s="201" t="s">
        <v>364</v>
      </c>
      <c r="B151" s="1262" t="s">
        <v>51</v>
      </c>
      <c r="C151" s="1262">
        <v>356975</v>
      </c>
      <c r="D151" s="1262">
        <v>325061</v>
      </c>
      <c r="E151" s="1262">
        <v>356612</v>
      </c>
      <c r="F151" s="1262">
        <v>348009</v>
      </c>
      <c r="G151" s="1262">
        <v>351736</v>
      </c>
      <c r="H151" s="1262">
        <v>355696</v>
      </c>
      <c r="I151" s="1262">
        <v>357866</v>
      </c>
      <c r="J151" s="1262">
        <v>339037</v>
      </c>
      <c r="K151" s="1262">
        <v>318436</v>
      </c>
      <c r="L151" s="1262">
        <v>363103</v>
      </c>
      <c r="M151" s="1262">
        <v>343338</v>
      </c>
      <c r="N151" s="1262">
        <f t="shared" ref="N151:AL151" si="45">N32</f>
        <v>350317.85700000002</v>
      </c>
      <c r="O151" s="1262">
        <f t="shared" si="45"/>
        <v>354919.05800000002</v>
      </c>
      <c r="P151" s="1262">
        <f t="shared" si="45"/>
        <v>317758.755</v>
      </c>
      <c r="Q151" s="1262">
        <f t="shared" si="45"/>
        <v>343165.04599999997</v>
      </c>
      <c r="R151" s="1262">
        <f t="shared" si="45"/>
        <v>349836.14500000002</v>
      </c>
      <c r="S151" s="1262">
        <f t="shared" si="45"/>
        <v>360929.50599999999</v>
      </c>
      <c r="T151" s="1262">
        <f t="shared" si="45"/>
        <v>352254.31300000002</v>
      </c>
      <c r="U151" s="1262">
        <f t="shared" si="45"/>
        <v>360824.56199999998</v>
      </c>
      <c r="V151" s="1262">
        <f t="shared" si="45"/>
        <v>366851.66800000001</v>
      </c>
      <c r="W151" s="1262">
        <f t="shared" si="45"/>
        <v>299668.07199999999</v>
      </c>
      <c r="X151" s="1262">
        <f t="shared" si="45"/>
        <v>341913.07199999999</v>
      </c>
      <c r="Y151" s="1262">
        <f t="shared" si="45"/>
        <v>359052.41700000002</v>
      </c>
      <c r="Z151" s="1262">
        <f t="shared" si="45"/>
        <v>368829.74300000002</v>
      </c>
      <c r="AA151" s="1262">
        <f t="shared" si="45"/>
        <v>356186.88900000002</v>
      </c>
      <c r="AB151" s="1262">
        <f t="shared" si="45"/>
        <v>333605.37199999997</v>
      </c>
      <c r="AC151" s="1262">
        <f t="shared" si="45"/>
        <v>341736.23100000003</v>
      </c>
      <c r="AD151" s="1262">
        <f t="shared" si="45"/>
        <v>265611.68800000002</v>
      </c>
      <c r="AE151" s="1262">
        <f t="shared" si="45"/>
        <v>344313.55900000001</v>
      </c>
      <c r="AF151" s="1262">
        <f t="shared" si="45"/>
        <v>348793.09499999997</v>
      </c>
      <c r="AG151" s="1262">
        <f t="shared" si="45"/>
        <v>370244.57499999995</v>
      </c>
      <c r="AH151" s="1262">
        <f t="shared" si="45"/>
        <v>349315.35600000003</v>
      </c>
      <c r="AI151" s="1262">
        <f t="shared" si="45"/>
        <v>367976.93300000002</v>
      </c>
      <c r="AJ151" s="1262">
        <f t="shared" si="45"/>
        <v>366950.12699999998</v>
      </c>
      <c r="AK151" s="1262">
        <f t="shared" si="45"/>
        <v>356145.75800000003</v>
      </c>
      <c r="AL151" s="1262">
        <f t="shared" si="45"/>
        <v>387525.66200000001</v>
      </c>
      <c r="AM151" s="1262">
        <f t="shared" ref="AM151:AN151" si="46">AM32</f>
        <v>366211.77699999994</v>
      </c>
      <c r="AN151" s="1262">
        <f t="shared" si="46"/>
        <v>334457.11300000001</v>
      </c>
      <c r="AO151" s="1262">
        <f t="shared" ref="AO151:AP151" si="47">AO32</f>
        <v>378024.54100000003</v>
      </c>
      <c r="AP151" s="1262">
        <f t="shared" si="47"/>
        <v>350561.61499999999</v>
      </c>
      <c r="AQ151" s="1262">
        <f t="shared" ref="AQ151:AS152" si="48">AQ32</f>
        <v>381736.38</v>
      </c>
      <c r="AR151" s="1262">
        <f t="shared" si="48"/>
        <v>371584.70600000001</v>
      </c>
      <c r="AS151" s="1262">
        <f t="shared" si="48"/>
        <v>387133.28499999997</v>
      </c>
      <c r="AT151" s="1262">
        <f t="shared" ref="AT151" si="49">AT32</f>
        <v>377980</v>
      </c>
    </row>
    <row r="152" spans="1:46">
      <c r="A152" s="201" t="s">
        <v>364</v>
      </c>
      <c r="B152" s="1262" t="s">
        <v>379</v>
      </c>
      <c r="C152" s="1262">
        <v>142536</v>
      </c>
      <c r="D152" s="1262">
        <v>124931</v>
      </c>
      <c r="E152" s="1262">
        <v>154296</v>
      </c>
      <c r="F152" s="1262">
        <v>137488</v>
      </c>
      <c r="G152" s="1262">
        <v>139755</v>
      </c>
      <c r="H152" s="1262">
        <v>156338</v>
      </c>
      <c r="I152" s="1262">
        <v>156837</v>
      </c>
      <c r="J152" s="1262">
        <v>157887</v>
      </c>
      <c r="K152" s="1262">
        <v>157485</v>
      </c>
      <c r="L152" s="1262">
        <v>170048</v>
      </c>
      <c r="M152" s="1262">
        <v>160514</v>
      </c>
      <c r="N152" s="1262">
        <f t="shared" ref="N152:AL152" si="50">N33</f>
        <v>140609.13</v>
      </c>
      <c r="O152" s="1262">
        <f t="shared" si="50"/>
        <v>157495.40100000001</v>
      </c>
      <c r="P152" s="1262">
        <f t="shared" si="50"/>
        <v>129577.533</v>
      </c>
      <c r="Q152" s="1262">
        <f t="shared" si="50"/>
        <v>127804.982</v>
      </c>
      <c r="R152" s="1262">
        <f t="shared" si="50"/>
        <v>147748.37899999999</v>
      </c>
      <c r="S152" s="1262">
        <f t="shared" si="50"/>
        <v>164665.29</v>
      </c>
      <c r="T152" s="1262">
        <f t="shared" si="50"/>
        <v>163036.73199999999</v>
      </c>
      <c r="U152" s="1262">
        <f t="shared" si="50"/>
        <v>130059.947</v>
      </c>
      <c r="V152" s="1262">
        <f t="shared" si="50"/>
        <v>155627.26699999999</v>
      </c>
      <c r="W152" s="1262">
        <f t="shared" si="50"/>
        <v>150669.951</v>
      </c>
      <c r="X152" s="1262">
        <f t="shared" si="50"/>
        <v>181289.76500000001</v>
      </c>
      <c r="Y152" s="1262">
        <f t="shared" si="50"/>
        <v>194736.76500000001</v>
      </c>
      <c r="Z152" s="1262">
        <f t="shared" si="50"/>
        <v>199663.30499999999</v>
      </c>
      <c r="AA152" s="1262">
        <f t="shared" si="50"/>
        <v>184762.948</v>
      </c>
      <c r="AB152" s="1262">
        <f t="shared" si="50"/>
        <v>126242.314</v>
      </c>
      <c r="AC152" s="1262">
        <f t="shared" si="50"/>
        <v>150154.35800000001</v>
      </c>
      <c r="AD152" s="1262">
        <f t="shared" si="50"/>
        <v>94272.61</v>
      </c>
      <c r="AE152" s="1262">
        <f t="shared" si="50"/>
        <v>142584.49299999999</v>
      </c>
      <c r="AF152" s="1262">
        <f t="shared" si="50"/>
        <v>156569.32800000001</v>
      </c>
      <c r="AG152" s="1262">
        <f t="shared" si="50"/>
        <v>141927.99</v>
      </c>
      <c r="AH152" s="1262">
        <f t="shared" si="50"/>
        <v>137975.34</v>
      </c>
      <c r="AI152" s="1262">
        <f t="shared" si="50"/>
        <v>147913.389</v>
      </c>
      <c r="AJ152" s="1262">
        <f t="shared" si="50"/>
        <v>209040.405</v>
      </c>
      <c r="AK152" s="1262">
        <f t="shared" si="50"/>
        <v>190752.62</v>
      </c>
      <c r="AL152" s="1262">
        <f t="shared" si="50"/>
        <v>208767.96299999999</v>
      </c>
      <c r="AM152" s="1262">
        <f t="shared" ref="AM152:AN152" si="51">AM33</f>
        <v>188973.12400000001</v>
      </c>
      <c r="AN152" s="1262">
        <f t="shared" si="51"/>
        <v>165533.755</v>
      </c>
      <c r="AO152" s="1262">
        <f t="shared" ref="AO152:AP152" si="52">AO33</f>
        <v>176482.272</v>
      </c>
      <c r="AP152" s="1262">
        <f t="shared" si="52"/>
        <v>142103.55499999999</v>
      </c>
      <c r="AQ152" s="1262">
        <f t="shared" si="48"/>
        <v>137550.44099999999</v>
      </c>
      <c r="AR152" s="1262">
        <f t="shared" si="48"/>
        <v>152396.943</v>
      </c>
      <c r="AS152" s="1262">
        <f t="shared" si="48"/>
        <v>160198.14600000001</v>
      </c>
      <c r="AT152" s="1262">
        <f t="shared" ref="AT152" si="53">AT33</f>
        <v>172101</v>
      </c>
    </row>
    <row r="153" spans="1:46">
      <c r="A153" s="201" t="s">
        <v>364</v>
      </c>
      <c r="B153" s="1262" t="s">
        <v>380</v>
      </c>
      <c r="C153" s="1262">
        <v>899874.42700000003</v>
      </c>
      <c r="D153" s="1262">
        <v>775534.57200000004</v>
      </c>
      <c r="E153" s="1262">
        <v>876835</v>
      </c>
      <c r="F153" s="1262">
        <v>814130.40800000005</v>
      </c>
      <c r="G153" s="1262">
        <v>826114.44499999995</v>
      </c>
      <c r="H153" s="1262">
        <v>828717.43700000003</v>
      </c>
      <c r="I153" s="1262">
        <v>826944.03799999994</v>
      </c>
      <c r="J153" s="1262">
        <v>885858.98499999999</v>
      </c>
      <c r="K153" s="1262">
        <v>780727.28599999996</v>
      </c>
      <c r="L153" s="1262">
        <v>850607.65899999999</v>
      </c>
      <c r="M153" s="1262">
        <v>795889.875</v>
      </c>
      <c r="N153" s="1262">
        <f>N39</f>
        <v>845769.38569999998</v>
      </c>
      <c r="O153" s="1262">
        <f t="shared" ref="O153:Z153" si="54">O156+O158</f>
        <v>798010.29642999999</v>
      </c>
      <c r="P153" s="1262">
        <f t="shared" si="54"/>
        <v>802361.64428000001</v>
      </c>
      <c r="Q153" s="1262">
        <f t="shared" si="54"/>
        <v>864995.53800000006</v>
      </c>
      <c r="R153" s="1262">
        <f t="shared" si="54"/>
        <v>865495.67815000005</v>
      </c>
      <c r="S153" s="1262">
        <f t="shared" si="54"/>
        <v>855459.63044999994</v>
      </c>
      <c r="T153" s="1262">
        <f t="shared" si="54"/>
        <v>744252.02009999997</v>
      </c>
      <c r="U153" s="1262">
        <f t="shared" si="54"/>
        <v>918964.04570000002</v>
      </c>
      <c r="V153" s="1262">
        <f t="shared" si="54"/>
        <v>902000.76809999999</v>
      </c>
      <c r="W153" s="1262">
        <f t="shared" si="54"/>
        <v>773066.85800000001</v>
      </c>
      <c r="X153" s="1262">
        <f t="shared" si="54"/>
        <v>822089.96799999999</v>
      </c>
      <c r="Y153" s="1262">
        <f t="shared" si="54"/>
        <v>849761.7291</v>
      </c>
      <c r="Z153" s="1262">
        <f t="shared" si="54"/>
        <v>896103.41722299997</v>
      </c>
      <c r="AA153" s="1262">
        <f>AA156+AA158</f>
        <v>878933.82</v>
      </c>
      <c r="AB153" s="1262">
        <f>AB156+AB158</f>
        <v>825243.65360000008</v>
      </c>
      <c r="AC153" s="1262">
        <f t="shared" ref="AC153:AL153" si="55">AC156+AC158</f>
        <v>859538.93530000001</v>
      </c>
      <c r="AD153" s="1262">
        <f t="shared" si="55"/>
        <v>922087.674</v>
      </c>
      <c r="AE153" s="1262">
        <f t="shared" si="55"/>
        <v>884362.99320000003</v>
      </c>
      <c r="AF153" s="1262">
        <f t="shared" si="55"/>
        <v>712209.99800000002</v>
      </c>
      <c r="AG153" s="1262">
        <f t="shared" si="55"/>
        <v>647363.3496999999</v>
      </c>
      <c r="AH153" s="1262">
        <f t="shared" si="55"/>
        <v>692683.69989999989</v>
      </c>
      <c r="AI153" s="1262">
        <f t="shared" si="55"/>
        <v>689079.27679999999</v>
      </c>
      <c r="AJ153" s="1262">
        <f t="shared" si="55"/>
        <v>889162.99119999993</v>
      </c>
      <c r="AK153" s="1262">
        <f t="shared" si="55"/>
        <v>916345.54349999991</v>
      </c>
      <c r="AL153" s="1262">
        <f t="shared" si="55"/>
        <v>959428.33890000009</v>
      </c>
      <c r="AM153" s="1262">
        <f t="shared" ref="AM153:AN153" si="56">AM156+AM158</f>
        <v>985684.75820000004</v>
      </c>
      <c r="AN153" s="1262">
        <f t="shared" si="56"/>
        <v>882608.31010000012</v>
      </c>
      <c r="AO153" s="1262">
        <f t="shared" ref="AO153:AP153" si="57">AO156+AO158</f>
        <v>1018844.7848999997</v>
      </c>
      <c r="AP153" s="1262">
        <f t="shared" si="57"/>
        <v>998029.30199999991</v>
      </c>
      <c r="AQ153" s="1262">
        <f t="shared" ref="AQ153:AS154" si="58">AQ156+AQ158</f>
        <v>1019156.0761999999</v>
      </c>
      <c r="AR153" s="1262">
        <f t="shared" si="58"/>
        <v>1022386.9342999998</v>
      </c>
      <c r="AS153" s="1262">
        <f t="shared" si="58"/>
        <v>1039730.9213</v>
      </c>
      <c r="AT153" s="1262">
        <f t="shared" ref="AT153" si="59">AT156+AT158</f>
        <v>1043941.0379999999</v>
      </c>
    </row>
    <row r="154" spans="1:46">
      <c r="A154" s="201" t="s">
        <v>364</v>
      </c>
      <c r="B154" s="1262" t="s">
        <v>381</v>
      </c>
      <c r="C154" s="1262">
        <v>353242.42700000003</v>
      </c>
      <c r="D154" s="1262">
        <v>293032.57199999999</v>
      </c>
      <c r="E154" s="1262">
        <v>340489</v>
      </c>
      <c r="F154" s="1262">
        <v>308545.408</v>
      </c>
      <c r="G154" s="1262">
        <v>327147.95500000002</v>
      </c>
      <c r="H154" s="1262">
        <v>310471.43699999998</v>
      </c>
      <c r="I154" s="1262">
        <v>323907.038</v>
      </c>
      <c r="J154" s="1262">
        <v>318024.98499999999</v>
      </c>
      <c r="K154" s="1262">
        <v>304895.28600000002</v>
      </c>
      <c r="L154" s="1262">
        <v>322424.65899999999</v>
      </c>
      <c r="M154" s="1262">
        <v>301687.875</v>
      </c>
      <c r="N154" s="1262">
        <f>N68</f>
        <v>305908.68070000003</v>
      </c>
      <c r="O154" s="1262">
        <f t="shared" ref="O154:Z154" si="60">O157+O159</f>
        <v>302855.50442999997</v>
      </c>
      <c r="P154" s="1262">
        <f t="shared" si="60"/>
        <v>309487.72227999999</v>
      </c>
      <c r="Q154" s="1262">
        <f t="shared" si="60"/>
        <v>327241.20399999997</v>
      </c>
      <c r="R154" s="1262">
        <f t="shared" si="60"/>
        <v>314978.05514999997</v>
      </c>
      <c r="S154" s="1262">
        <f t="shared" si="60"/>
        <v>315988.08100000001</v>
      </c>
      <c r="T154" s="1262">
        <f t="shared" si="60"/>
        <v>280256.46909999999</v>
      </c>
      <c r="U154" s="1262">
        <f t="shared" si="60"/>
        <v>337899.80670000002</v>
      </c>
      <c r="V154" s="1262">
        <f t="shared" si="60"/>
        <v>338759.9241</v>
      </c>
      <c r="W154" s="1262">
        <f t="shared" si="60"/>
        <v>285773.66099999996</v>
      </c>
      <c r="X154" s="1262">
        <f t="shared" si="60"/>
        <v>305258.00399999996</v>
      </c>
      <c r="Y154" s="1262">
        <f t="shared" si="60"/>
        <v>318977.09610000002</v>
      </c>
      <c r="Z154" s="1262">
        <f t="shared" si="60"/>
        <v>327680.50022300001</v>
      </c>
      <c r="AA154" s="1262">
        <f>AA157+AA159</f>
        <v>314010.60100000002</v>
      </c>
      <c r="AB154" s="1262">
        <f>AB157+AB159</f>
        <v>289786.52360000001</v>
      </c>
      <c r="AC154" s="1262">
        <f t="shared" ref="AC154:AL154" si="61">AC157+AC159</f>
        <v>313192.77130000002</v>
      </c>
      <c r="AD154" s="1262">
        <f t="shared" si="61"/>
        <v>307902.26199999999</v>
      </c>
      <c r="AE154" s="1262">
        <f t="shared" si="61"/>
        <v>317706.29119999998</v>
      </c>
      <c r="AF154" s="1262">
        <f t="shared" si="61"/>
        <v>293045.18199999997</v>
      </c>
      <c r="AG154" s="1262">
        <f t="shared" si="61"/>
        <v>286264.76769999997</v>
      </c>
      <c r="AH154" s="1262">
        <f t="shared" si="61"/>
        <v>267139.05090000003</v>
      </c>
      <c r="AI154" s="1262">
        <f t="shared" si="61"/>
        <v>309236.69079999998</v>
      </c>
      <c r="AJ154" s="1262">
        <f t="shared" si="61"/>
        <v>368516.40120000002</v>
      </c>
      <c r="AK154" s="1262">
        <f t="shared" si="61"/>
        <v>342873.94649999996</v>
      </c>
      <c r="AL154" s="1262">
        <f t="shared" si="61"/>
        <v>369330.76390000008</v>
      </c>
      <c r="AM154" s="1262">
        <f t="shared" ref="AM154:AN154" si="62">AM157+AM159</f>
        <v>366600.84620000009</v>
      </c>
      <c r="AN154" s="1262">
        <f t="shared" si="62"/>
        <v>306002.98710000003</v>
      </c>
      <c r="AO154" s="1262">
        <f t="shared" ref="AO154:AP154" si="63">AO157+AO159</f>
        <v>342714.58189999999</v>
      </c>
      <c r="AP154" s="1262">
        <f t="shared" si="63"/>
        <v>342214.59299999994</v>
      </c>
      <c r="AQ154" s="1262">
        <f t="shared" si="58"/>
        <v>351088.54519999993</v>
      </c>
      <c r="AR154" s="1262">
        <f t="shared" si="58"/>
        <v>337846.3273</v>
      </c>
      <c r="AS154" s="1262">
        <f t="shared" si="58"/>
        <v>355706.64029999991</v>
      </c>
      <c r="AT154" s="1262">
        <f t="shared" ref="AT154" si="64">AT157+AT159</f>
        <v>344126.47700000001</v>
      </c>
    </row>
    <row r="155" spans="1:46">
      <c r="A155" s="201" t="s">
        <v>364</v>
      </c>
      <c r="B155" s="1262" t="s">
        <v>382</v>
      </c>
      <c r="C155" s="1262">
        <v>128672</v>
      </c>
      <c r="D155" s="1262">
        <v>104026</v>
      </c>
      <c r="E155" s="1262">
        <v>141215</v>
      </c>
      <c r="F155" s="1262">
        <v>124888</v>
      </c>
      <c r="G155" s="1262">
        <v>125489</v>
      </c>
      <c r="H155" s="1262">
        <v>127202</v>
      </c>
      <c r="I155" s="1262">
        <v>136008</v>
      </c>
      <c r="J155" s="1262">
        <v>140256</v>
      </c>
      <c r="K155" s="1262">
        <v>132999</v>
      </c>
      <c r="L155" s="1262">
        <v>139986</v>
      </c>
      <c r="M155" s="1262">
        <v>134556</v>
      </c>
      <c r="N155" s="1262">
        <f>N69</f>
        <v>123701.637</v>
      </c>
      <c r="O155" s="1262">
        <f t="shared" ref="O155:AL155" si="65">O69</f>
        <v>122707.607</v>
      </c>
      <c r="P155" s="1262">
        <f t="shared" si="65"/>
        <v>127627.73699999999</v>
      </c>
      <c r="Q155" s="1262">
        <f t="shared" si="65"/>
        <v>138786.13699999999</v>
      </c>
      <c r="R155" s="1262">
        <f t="shared" si="65"/>
        <v>120778.38</v>
      </c>
      <c r="S155" s="1262">
        <f t="shared" si="65"/>
        <v>132058.76999999999</v>
      </c>
      <c r="T155" s="1262">
        <f t="shared" si="65"/>
        <v>120223.981</v>
      </c>
      <c r="U155" s="1262">
        <f t="shared" si="65"/>
        <v>123237.232</v>
      </c>
      <c r="V155" s="1262">
        <f t="shared" si="65"/>
        <v>126598.274</v>
      </c>
      <c r="W155" s="1262">
        <f t="shared" si="65"/>
        <v>126735.52220000001</v>
      </c>
      <c r="X155" s="1262">
        <f t="shared" si="65"/>
        <v>162648.20600000001</v>
      </c>
      <c r="Y155" s="1262">
        <f t="shared" si="65"/>
        <v>162005.345</v>
      </c>
      <c r="Z155" s="1262">
        <f t="shared" si="65"/>
        <v>169651.33499999999</v>
      </c>
      <c r="AA155" s="1262">
        <f t="shared" si="65"/>
        <v>171285.58799999999</v>
      </c>
      <c r="AB155" s="1262">
        <f t="shared" si="65"/>
        <v>132201.2292</v>
      </c>
      <c r="AC155" s="1262">
        <f t="shared" si="65"/>
        <v>131161.967</v>
      </c>
      <c r="AD155" s="1262">
        <f t="shared" si="65"/>
        <v>112610.372</v>
      </c>
      <c r="AE155" s="1262">
        <f t="shared" si="65"/>
        <v>129571.726</v>
      </c>
      <c r="AF155" s="1262">
        <f t="shared" si="65"/>
        <v>127657.3196</v>
      </c>
      <c r="AG155" s="1262">
        <f t="shared" si="65"/>
        <v>117029.50199999999</v>
      </c>
      <c r="AH155" s="1262">
        <f t="shared" si="65"/>
        <v>124507.58499999998</v>
      </c>
      <c r="AI155" s="1262">
        <f t="shared" si="65"/>
        <v>138473.592</v>
      </c>
      <c r="AJ155" s="1262">
        <f t="shared" si="65"/>
        <v>163814.82500000001</v>
      </c>
      <c r="AK155" s="1262">
        <f t="shared" si="65"/>
        <v>173036.91750000001</v>
      </c>
      <c r="AL155" s="1262">
        <f t="shared" si="65"/>
        <v>201857.91099999999</v>
      </c>
      <c r="AM155" s="1262">
        <f t="shared" ref="AM155:AN155" si="66">AM69</f>
        <v>181075.64560000002</v>
      </c>
      <c r="AN155" s="1262">
        <f t="shared" si="66"/>
        <v>143342.302</v>
      </c>
      <c r="AO155" s="1262">
        <f t="shared" ref="AO155:AP155" si="67">AO69</f>
        <v>153553.95609999995</v>
      </c>
      <c r="AP155" s="1262">
        <f t="shared" si="67"/>
        <v>146647.967</v>
      </c>
      <c r="AQ155" s="1262">
        <f>AQ69</f>
        <v>143594.86500000002</v>
      </c>
      <c r="AR155" s="1262">
        <f>AR69</f>
        <v>134195.16130000001</v>
      </c>
      <c r="AS155" s="1262">
        <f>AS69</f>
        <v>150553.85020000002</v>
      </c>
      <c r="AT155" s="1262">
        <f>AT69</f>
        <v>151439.0674</v>
      </c>
    </row>
    <row r="156" spans="1:46">
      <c r="A156" s="201" t="s">
        <v>364</v>
      </c>
      <c r="B156" s="1262" t="s">
        <v>383</v>
      </c>
      <c r="C156" s="1262">
        <v>110049</v>
      </c>
      <c r="D156" s="1262">
        <v>100804</v>
      </c>
      <c r="E156" s="1262">
        <v>98476</v>
      </c>
      <c r="F156" s="1262">
        <v>72643</v>
      </c>
      <c r="G156" s="1262">
        <v>85583</v>
      </c>
      <c r="H156" s="1262">
        <v>96299</v>
      </c>
      <c r="I156" s="1262">
        <v>69493</v>
      </c>
      <c r="J156" s="1262">
        <v>200115</v>
      </c>
      <c r="K156" s="1262">
        <v>101673</v>
      </c>
      <c r="L156" s="1262">
        <v>111290</v>
      </c>
      <c r="M156" s="1262">
        <v>84036</v>
      </c>
      <c r="N156" s="1262">
        <f t="shared" ref="N156:AL156" si="68">N40</f>
        <v>122498.129</v>
      </c>
      <c r="O156" s="1262">
        <f t="shared" si="68"/>
        <v>180027.25</v>
      </c>
      <c r="P156" s="1262">
        <f t="shared" si="68"/>
        <v>122714.673</v>
      </c>
      <c r="Q156" s="1262">
        <f t="shared" si="68"/>
        <v>171347.38500000001</v>
      </c>
      <c r="R156" s="1262">
        <f t="shared" si="68"/>
        <v>150186.01</v>
      </c>
      <c r="S156" s="1262">
        <f t="shared" si="68"/>
        <v>119809.46</v>
      </c>
      <c r="T156" s="1262">
        <f t="shared" si="68"/>
        <v>93379.441000000006</v>
      </c>
      <c r="U156" s="1262">
        <f t="shared" si="68"/>
        <v>197571.49100000001</v>
      </c>
      <c r="V156" s="1262">
        <f t="shared" si="68"/>
        <v>190290.57699999999</v>
      </c>
      <c r="W156" s="1262">
        <f t="shared" si="68"/>
        <v>141780.06099999999</v>
      </c>
      <c r="X156" s="1262">
        <f t="shared" si="68"/>
        <v>107918.622</v>
      </c>
      <c r="Y156" s="1262">
        <f t="shared" si="68"/>
        <v>160478.677</v>
      </c>
      <c r="Z156" s="1262">
        <f t="shared" si="68"/>
        <v>172781.91200000001</v>
      </c>
      <c r="AA156" s="1262">
        <f t="shared" si="68"/>
        <v>193322.96299999999</v>
      </c>
      <c r="AB156" s="1262">
        <f t="shared" si="68"/>
        <v>141242.25099999999</v>
      </c>
      <c r="AC156" s="1262">
        <f t="shared" si="68"/>
        <v>149305.63699999999</v>
      </c>
      <c r="AD156" s="1262">
        <f t="shared" si="68"/>
        <v>122547.66499999999</v>
      </c>
      <c r="AE156" s="1262">
        <f t="shared" si="68"/>
        <v>121305.90399999999</v>
      </c>
      <c r="AF156" s="1262">
        <f t="shared" si="68"/>
        <v>36262.383000000002</v>
      </c>
      <c r="AG156" s="1262">
        <f t="shared" si="68"/>
        <v>66376.722000000009</v>
      </c>
      <c r="AH156" s="1262">
        <f t="shared" si="68"/>
        <v>138254.484</v>
      </c>
      <c r="AI156" s="1262">
        <f t="shared" si="68"/>
        <v>61383.735000000001</v>
      </c>
      <c r="AJ156" s="1262">
        <f t="shared" si="68"/>
        <v>149607.28700000001</v>
      </c>
      <c r="AK156" s="1262">
        <f t="shared" si="68"/>
        <v>219473.73699999999</v>
      </c>
      <c r="AL156" s="1262">
        <f t="shared" si="68"/>
        <v>207568.318</v>
      </c>
      <c r="AM156" s="1262">
        <f t="shared" ref="AM156:AN156" si="69">AM40</f>
        <v>211385.50399999999</v>
      </c>
      <c r="AN156" s="1262">
        <f t="shared" si="69"/>
        <v>252674.93000000002</v>
      </c>
      <c r="AO156" s="1262">
        <f t="shared" ref="AO156:AP156" si="70">AO40</f>
        <v>277224.59999999998</v>
      </c>
      <c r="AP156" s="1262">
        <f t="shared" si="70"/>
        <v>273627.81099999999</v>
      </c>
      <c r="AQ156" s="1262">
        <f>AQ40</f>
        <v>240593.06299999999</v>
      </c>
      <c r="AR156" s="1262">
        <f>AR40</f>
        <v>257736.11599999998</v>
      </c>
      <c r="AS156" s="1262">
        <f>AS40</f>
        <v>244299.75300000003</v>
      </c>
      <c r="AT156" s="1262">
        <f>AT40</f>
        <v>251572.34899999999</v>
      </c>
    </row>
    <row r="157" spans="1:46">
      <c r="A157" s="201" t="s">
        <v>364</v>
      </c>
      <c r="B157" s="1262" t="s">
        <v>384</v>
      </c>
      <c r="C157" s="1262">
        <v>478</v>
      </c>
      <c r="D157" s="1262">
        <v>509</v>
      </c>
      <c r="E157" s="1262">
        <v>166</v>
      </c>
      <c r="F157" s="1262">
        <v>664</v>
      </c>
      <c r="G157" s="1262">
        <v>21.51</v>
      </c>
      <c r="H157" s="1262">
        <v>439</v>
      </c>
      <c r="I157" s="1262">
        <v>423</v>
      </c>
      <c r="J157" s="1262">
        <v>66</v>
      </c>
      <c r="K157" s="1262">
        <v>207</v>
      </c>
      <c r="L157" s="1262">
        <v>137</v>
      </c>
      <c r="M157" s="1262">
        <v>276</v>
      </c>
      <c r="N157" s="1271">
        <v>144</v>
      </c>
      <c r="O157" s="1262">
        <f t="shared" ref="O157:AL157" si="71">O71</f>
        <v>407.78399999999999</v>
      </c>
      <c r="P157" s="1262">
        <f t="shared" si="71"/>
        <v>909.98</v>
      </c>
      <c r="Q157" s="1262">
        <f t="shared" si="71"/>
        <v>787.37199999999996</v>
      </c>
      <c r="R157" s="1262">
        <f t="shared" si="71"/>
        <v>134.43</v>
      </c>
      <c r="S157" s="1262">
        <f t="shared" si="71"/>
        <v>351.82600000000002</v>
      </c>
      <c r="T157" s="1262">
        <f t="shared" si="71"/>
        <v>96.197999999999993</v>
      </c>
      <c r="U157" s="1262">
        <f t="shared" si="71"/>
        <v>0</v>
      </c>
      <c r="V157" s="1262">
        <f t="shared" si="71"/>
        <v>147.62</v>
      </c>
      <c r="W157" s="1262">
        <f t="shared" si="71"/>
        <v>281.07299999999998</v>
      </c>
      <c r="X157" s="1262">
        <f t="shared" si="71"/>
        <v>60.317</v>
      </c>
      <c r="Y157" s="1262">
        <f t="shared" si="71"/>
        <v>93.656999999999996</v>
      </c>
      <c r="Z157" s="1262">
        <f t="shared" si="71"/>
        <v>192.64699999999999</v>
      </c>
      <c r="AA157" s="1262">
        <f t="shared" si="71"/>
        <v>0</v>
      </c>
      <c r="AB157" s="1262">
        <f t="shared" si="71"/>
        <v>0</v>
      </c>
      <c r="AC157" s="1262">
        <f t="shared" si="71"/>
        <v>244.9</v>
      </c>
      <c r="AD157" s="1262">
        <f t="shared" si="71"/>
        <v>316.86399999999998</v>
      </c>
      <c r="AE157" s="1262">
        <f t="shared" si="71"/>
        <v>0</v>
      </c>
      <c r="AF157" s="1262">
        <f t="shared" si="71"/>
        <v>387.59800000000001</v>
      </c>
      <c r="AG157" s="1262">
        <f t="shared" si="71"/>
        <v>168.66</v>
      </c>
      <c r="AH157" s="1262">
        <f t="shared" si="71"/>
        <v>52.591000000000001</v>
      </c>
      <c r="AI157" s="1262">
        <f t="shared" si="71"/>
        <v>258.18</v>
      </c>
      <c r="AJ157" s="1262">
        <f t="shared" si="71"/>
        <v>387.44200000000001</v>
      </c>
      <c r="AK157" s="1262">
        <f t="shared" si="71"/>
        <v>442.69</v>
      </c>
      <c r="AL157" s="1262">
        <f t="shared" si="71"/>
        <v>1106.527</v>
      </c>
      <c r="AM157" s="1262">
        <f t="shared" ref="AM157:AN157" si="72">AM71</f>
        <v>478.08</v>
      </c>
      <c r="AN157" s="1262">
        <f t="shared" si="72"/>
        <v>0</v>
      </c>
      <c r="AO157" s="1262">
        <f t="shared" ref="AO157:AP157" si="73">AO71</f>
        <v>117.98</v>
      </c>
      <c r="AP157" s="1262">
        <f t="shared" si="73"/>
        <v>0</v>
      </c>
      <c r="AQ157" s="1262">
        <f>AQ71</f>
        <v>1245.6890000000001</v>
      </c>
      <c r="AR157" s="1262">
        <f>AR71</f>
        <v>0</v>
      </c>
      <c r="AS157" s="1262">
        <f>AS71</f>
        <v>74.400000000000006</v>
      </c>
      <c r="AT157" s="1262">
        <f>AT71</f>
        <v>170.7</v>
      </c>
    </row>
    <row r="158" spans="1:46">
      <c r="A158" s="201" t="s">
        <v>364</v>
      </c>
      <c r="B158" s="1262" t="s">
        <v>385</v>
      </c>
      <c r="C158" s="1262">
        <v>789825.42700000003</v>
      </c>
      <c r="D158" s="1262">
        <v>674730.57200000004</v>
      </c>
      <c r="E158" s="1262">
        <v>778359</v>
      </c>
      <c r="F158" s="1262">
        <v>741487.40800000005</v>
      </c>
      <c r="G158" s="1262">
        <v>740531.44499999995</v>
      </c>
      <c r="H158" s="1262">
        <v>732418.43700000003</v>
      </c>
      <c r="I158" s="1262">
        <v>757451.03799999994</v>
      </c>
      <c r="J158" s="1262">
        <v>685743.98499999999</v>
      </c>
      <c r="K158" s="1262">
        <v>679054.28599999996</v>
      </c>
      <c r="L158" s="1262">
        <v>739317.65899999999</v>
      </c>
      <c r="M158" s="1262">
        <v>711853.875</v>
      </c>
      <c r="N158" s="1262">
        <f>N153-N156</f>
        <v>723271.25670000003</v>
      </c>
      <c r="O158" s="1262">
        <f t="shared" ref="O158:AL158" si="74">O43</f>
        <v>617983.04642999999</v>
      </c>
      <c r="P158" s="1262">
        <f t="shared" si="74"/>
        <v>679646.97128000006</v>
      </c>
      <c r="Q158" s="1262">
        <f t="shared" si="74"/>
        <v>693648.15300000005</v>
      </c>
      <c r="R158" s="1262">
        <f t="shared" si="74"/>
        <v>715309.66815000004</v>
      </c>
      <c r="S158" s="1262">
        <f t="shared" si="74"/>
        <v>735650.17044999998</v>
      </c>
      <c r="T158" s="1262">
        <f t="shared" si="74"/>
        <v>650872.57909999997</v>
      </c>
      <c r="U158" s="1262">
        <f t="shared" si="74"/>
        <v>721392.55469999998</v>
      </c>
      <c r="V158" s="1262">
        <f t="shared" si="74"/>
        <v>711710.19110000005</v>
      </c>
      <c r="W158" s="1262">
        <f t="shared" si="74"/>
        <v>631286.79700000002</v>
      </c>
      <c r="X158" s="1262">
        <f t="shared" si="74"/>
        <v>714171.34600000002</v>
      </c>
      <c r="Y158" s="1262">
        <f t="shared" si="74"/>
        <v>689283.05209999997</v>
      </c>
      <c r="Z158" s="1262">
        <f t="shared" si="74"/>
        <v>723321.50522299996</v>
      </c>
      <c r="AA158" s="1262">
        <f t="shared" si="74"/>
        <v>685610.85699999996</v>
      </c>
      <c r="AB158" s="1262">
        <f t="shared" si="74"/>
        <v>684001.40260000003</v>
      </c>
      <c r="AC158" s="1262">
        <f t="shared" si="74"/>
        <v>710233.29830000002</v>
      </c>
      <c r="AD158" s="1262">
        <f t="shared" si="74"/>
        <v>799540.00899999996</v>
      </c>
      <c r="AE158" s="1262">
        <f t="shared" si="74"/>
        <v>763057.08920000005</v>
      </c>
      <c r="AF158" s="1262">
        <f t="shared" si="74"/>
        <v>675947.61499999999</v>
      </c>
      <c r="AG158" s="1262">
        <f t="shared" si="74"/>
        <v>580986.62769999995</v>
      </c>
      <c r="AH158" s="1262">
        <f t="shared" si="74"/>
        <v>554429.21589999995</v>
      </c>
      <c r="AI158" s="1262">
        <f t="shared" si="74"/>
        <v>627695.54180000001</v>
      </c>
      <c r="AJ158" s="1262">
        <f t="shared" si="74"/>
        <v>739555.70419999992</v>
      </c>
      <c r="AK158" s="1262">
        <f t="shared" si="74"/>
        <v>696871.80649999995</v>
      </c>
      <c r="AL158" s="1262">
        <f t="shared" si="74"/>
        <v>751860.02090000012</v>
      </c>
      <c r="AM158" s="1262">
        <f t="shared" ref="AM158:AN158" si="75">AM43</f>
        <v>774299.25420000008</v>
      </c>
      <c r="AN158" s="1262">
        <f t="shared" si="75"/>
        <v>629933.38010000007</v>
      </c>
      <c r="AO158" s="1262">
        <f t="shared" ref="AO158:AP158" si="76">AO43</f>
        <v>741620.18489999976</v>
      </c>
      <c r="AP158" s="1262">
        <f t="shared" si="76"/>
        <v>724401.49099999992</v>
      </c>
      <c r="AQ158" s="1262">
        <f>AQ43</f>
        <v>778563.01319999993</v>
      </c>
      <c r="AR158" s="1262">
        <f>AR43</f>
        <v>764650.81829999993</v>
      </c>
      <c r="AS158" s="1262">
        <f>AS43</f>
        <v>795431.16830000002</v>
      </c>
      <c r="AT158" s="1262">
        <f>AT43</f>
        <v>792368.68900000001</v>
      </c>
    </row>
    <row r="159" spans="1:46">
      <c r="A159" s="201" t="s">
        <v>364</v>
      </c>
      <c r="B159" s="1262" t="s">
        <v>386</v>
      </c>
      <c r="C159" s="1262">
        <v>352764.42700000003</v>
      </c>
      <c r="D159" s="1262">
        <v>292523.57199999999</v>
      </c>
      <c r="E159" s="1262">
        <v>340323</v>
      </c>
      <c r="F159" s="1262">
        <v>307881.408</v>
      </c>
      <c r="G159" s="1262">
        <v>327126.44500000001</v>
      </c>
      <c r="H159" s="1262">
        <v>310032.43699999998</v>
      </c>
      <c r="I159" s="1262">
        <v>323484.038</v>
      </c>
      <c r="J159" s="1262">
        <v>317958.98499999999</v>
      </c>
      <c r="K159" s="1262">
        <v>304688.28600000002</v>
      </c>
      <c r="L159" s="1262">
        <v>322287.65899999999</v>
      </c>
      <c r="M159" s="1262">
        <v>301411.875</v>
      </c>
      <c r="N159" s="1262">
        <f>N154-N157</f>
        <v>305764.68070000003</v>
      </c>
      <c r="O159" s="1262">
        <f t="shared" ref="O159:AL159" si="77">O75</f>
        <v>302447.72042999999</v>
      </c>
      <c r="P159" s="1262">
        <f t="shared" si="77"/>
        <v>308577.74228000001</v>
      </c>
      <c r="Q159" s="1262">
        <f t="shared" si="77"/>
        <v>326453.83199999999</v>
      </c>
      <c r="R159" s="1262">
        <f t="shared" si="77"/>
        <v>314843.62514999998</v>
      </c>
      <c r="S159" s="1262">
        <f t="shared" si="77"/>
        <v>315636.255</v>
      </c>
      <c r="T159" s="1262">
        <f t="shared" si="77"/>
        <v>280160.27110000001</v>
      </c>
      <c r="U159" s="1262">
        <f t="shared" si="77"/>
        <v>337899.80670000002</v>
      </c>
      <c r="V159" s="1262">
        <f t="shared" si="77"/>
        <v>338612.30410000001</v>
      </c>
      <c r="W159" s="1262">
        <f t="shared" si="77"/>
        <v>285492.58799999999</v>
      </c>
      <c r="X159" s="1262">
        <f t="shared" si="77"/>
        <v>305197.68699999998</v>
      </c>
      <c r="Y159" s="1262">
        <f t="shared" si="77"/>
        <v>318883.43910000002</v>
      </c>
      <c r="Z159" s="1262">
        <f t="shared" si="77"/>
        <v>327487.85322300001</v>
      </c>
      <c r="AA159" s="1262">
        <f t="shared" si="77"/>
        <v>314010.60100000002</v>
      </c>
      <c r="AB159" s="1262">
        <f t="shared" si="77"/>
        <v>289786.52360000001</v>
      </c>
      <c r="AC159" s="1262">
        <f t="shared" si="77"/>
        <v>312947.8713</v>
      </c>
      <c r="AD159" s="1262">
        <f t="shared" si="77"/>
        <v>307585.39799999999</v>
      </c>
      <c r="AE159" s="1262">
        <f t="shared" si="77"/>
        <v>317706.29119999998</v>
      </c>
      <c r="AF159" s="1262">
        <f t="shared" si="77"/>
        <v>292657.58399999997</v>
      </c>
      <c r="AG159" s="1262">
        <f t="shared" si="77"/>
        <v>286096.10769999999</v>
      </c>
      <c r="AH159" s="1262">
        <f t="shared" si="77"/>
        <v>267086.45990000002</v>
      </c>
      <c r="AI159" s="1262">
        <f t="shared" si="77"/>
        <v>308978.51079999999</v>
      </c>
      <c r="AJ159" s="1262">
        <f t="shared" si="77"/>
        <v>368128.95920000004</v>
      </c>
      <c r="AK159" s="1262">
        <f t="shared" si="77"/>
        <v>342431.25649999996</v>
      </c>
      <c r="AL159" s="1262">
        <f t="shared" si="77"/>
        <v>368224.23690000008</v>
      </c>
      <c r="AM159" s="1262">
        <f t="shared" ref="AM159:AN159" si="78">AM75</f>
        <v>366122.76620000007</v>
      </c>
      <c r="AN159" s="1262">
        <f t="shared" si="78"/>
        <v>306002.98710000003</v>
      </c>
      <c r="AO159" s="1262">
        <f t="shared" ref="AO159:AP159" si="79">AO75</f>
        <v>342596.60190000001</v>
      </c>
      <c r="AP159" s="1262">
        <f t="shared" si="79"/>
        <v>342214.59299999994</v>
      </c>
      <c r="AQ159" s="1262">
        <f>AQ75</f>
        <v>349842.85619999992</v>
      </c>
      <c r="AR159" s="1262">
        <f>AR75</f>
        <v>337846.3273</v>
      </c>
      <c r="AS159" s="1262">
        <f>AS75</f>
        <v>355632.24029999989</v>
      </c>
      <c r="AT159" s="1262">
        <f>AT75</f>
        <v>343955.777</v>
      </c>
    </row>
    <row r="162" spans="1:46" s="1256" customFormat="1">
      <c r="A162" s="1263" t="s">
        <v>364</v>
      </c>
      <c r="B162" s="152" t="s">
        <v>13</v>
      </c>
      <c r="C162" s="1275">
        <f t="shared" ref="C162:AA162" si="80">C163+C167+C168</f>
        <v>1063296</v>
      </c>
      <c r="D162" s="1275">
        <f t="shared" si="80"/>
        <v>1051857</v>
      </c>
      <c r="E162" s="1275">
        <f t="shared" si="80"/>
        <v>954318</v>
      </c>
      <c r="F162" s="1275">
        <f t="shared" si="80"/>
        <v>1035080</v>
      </c>
      <c r="G162" s="1275">
        <f t="shared" si="80"/>
        <v>1038223.7339999999</v>
      </c>
      <c r="H162" s="1275">
        <f t="shared" si="80"/>
        <v>879181</v>
      </c>
      <c r="I162" s="1275">
        <f t="shared" si="80"/>
        <v>1040497</v>
      </c>
      <c r="J162" s="1275">
        <f t="shared" si="80"/>
        <v>1081707.1940000001</v>
      </c>
      <c r="K162" s="1275">
        <f t="shared" si="80"/>
        <v>1010677</v>
      </c>
      <c r="L162" s="1275">
        <f t="shared" si="80"/>
        <v>988239</v>
      </c>
      <c r="M162" s="1275">
        <f t="shared" si="80"/>
        <v>1047922</v>
      </c>
      <c r="N162" s="1275">
        <f t="shared" si="80"/>
        <v>962698.27200000011</v>
      </c>
      <c r="O162" s="1275">
        <f t="shared" si="80"/>
        <v>1015628.154</v>
      </c>
      <c r="P162" s="1275">
        <f t="shared" si="80"/>
        <v>1071112.44</v>
      </c>
      <c r="Q162" s="1275">
        <f t="shared" si="80"/>
        <v>943584.12899999996</v>
      </c>
      <c r="R162" s="1275">
        <f t="shared" si="80"/>
        <v>1116078.4270000001</v>
      </c>
      <c r="S162" s="1275">
        <f t="shared" si="80"/>
        <v>1016699.086</v>
      </c>
      <c r="T162" s="1275">
        <f t="shared" si="80"/>
        <v>1131186.899</v>
      </c>
      <c r="U162" s="1275">
        <f t="shared" si="80"/>
        <v>1089514.5389999999</v>
      </c>
      <c r="V162" s="1275">
        <f t="shared" si="80"/>
        <v>1090262.1579999998</v>
      </c>
      <c r="W162" s="1275">
        <f t="shared" si="80"/>
        <v>1062614.4739999999</v>
      </c>
      <c r="X162" s="1275">
        <f t="shared" si="80"/>
        <v>963912.16200000001</v>
      </c>
      <c r="Y162" s="1275">
        <f t="shared" si="80"/>
        <v>1072998.6069999998</v>
      </c>
      <c r="Z162" s="1275">
        <f t="shared" si="80"/>
        <v>1021747.402</v>
      </c>
      <c r="AA162" s="1275">
        <f t="shared" si="80"/>
        <v>1098150.98</v>
      </c>
      <c r="AB162" s="1275">
        <f t="shared" ref="AB162:AL162" si="81">AB163+AB167+AB168</f>
        <v>1048703.3500000001</v>
      </c>
      <c r="AC162" s="1275">
        <f t="shared" si="81"/>
        <v>1065326.8700000001</v>
      </c>
      <c r="AD162" s="1275">
        <f t="shared" si="81"/>
        <v>1142429.8899999999</v>
      </c>
      <c r="AE162" s="1275">
        <f t="shared" si="81"/>
        <v>1056422.83</v>
      </c>
      <c r="AF162" s="1275">
        <f t="shared" si="81"/>
        <v>1190264.9602128</v>
      </c>
      <c r="AG162" s="1275">
        <f t="shared" si="81"/>
        <v>940679.42500000005</v>
      </c>
      <c r="AH162" s="1275">
        <f t="shared" si="81"/>
        <v>1091961.138</v>
      </c>
      <c r="AI162" s="1275">
        <f t="shared" si="81"/>
        <v>1003893</v>
      </c>
      <c r="AJ162" s="1275">
        <f t="shared" si="81"/>
        <v>1216012.9809999999</v>
      </c>
      <c r="AK162" s="1275">
        <f t="shared" si="81"/>
        <v>1055382.0430000001</v>
      </c>
      <c r="AL162" s="1275">
        <f t="shared" si="81"/>
        <v>1008115.5</v>
      </c>
      <c r="AM162" s="1275">
        <f t="shared" ref="AM162:AR162" si="82">AM163+AM167+AM168</f>
        <v>1164649.93</v>
      </c>
      <c r="AN162" s="1275">
        <f t="shared" si="82"/>
        <v>1178951.1040000001</v>
      </c>
      <c r="AO162" s="1275">
        <f t="shared" si="82"/>
        <v>1091826.7097236984</v>
      </c>
      <c r="AP162" s="1275">
        <f t="shared" si="82"/>
        <v>1190024.18</v>
      </c>
      <c r="AQ162" s="1275">
        <f t="shared" si="82"/>
        <v>1274978.909</v>
      </c>
      <c r="AR162" s="1275">
        <f t="shared" si="82"/>
        <v>1291703.8899999999</v>
      </c>
      <c r="AS162" s="1275">
        <f t="shared" ref="AS162:AT162" si="83">AS163+AS167+AS168</f>
        <v>1117134.44</v>
      </c>
      <c r="AT162" s="1275">
        <f t="shared" si="83"/>
        <v>1126791.83</v>
      </c>
    </row>
    <row r="163" spans="1:46">
      <c r="B163" s="154" t="s">
        <v>387</v>
      </c>
      <c r="C163" s="1262">
        <v>635886</v>
      </c>
      <c r="D163" s="1262">
        <v>637779</v>
      </c>
      <c r="E163" s="1262">
        <v>569909</v>
      </c>
      <c r="F163" s="1262">
        <v>647568</v>
      </c>
      <c r="G163" s="1262">
        <v>646462</v>
      </c>
      <c r="H163" s="1262">
        <v>564607</v>
      </c>
      <c r="I163" s="1262">
        <v>652705</v>
      </c>
      <c r="J163" s="1262">
        <v>668166</v>
      </c>
      <c r="K163" s="1262">
        <v>628335</v>
      </c>
      <c r="L163" s="1262">
        <v>657374</v>
      </c>
      <c r="M163" s="1262">
        <v>684622</v>
      </c>
      <c r="N163" s="1277">
        <f t="shared" ref="N163:T163" si="84">N110</f>
        <v>609165.14800000004</v>
      </c>
      <c r="O163" s="1277">
        <f t="shared" si="84"/>
        <v>632028</v>
      </c>
      <c r="P163" s="1277">
        <f t="shared" si="84"/>
        <v>672176</v>
      </c>
      <c r="Q163" s="1277">
        <f t="shared" si="84"/>
        <v>586176</v>
      </c>
      <c r="R163" s="1277">
        <f t="shared" si="84"/>
        <v>687926</v>
      </c>
      <c r="S163" s="1277">
        <f t="shared" si="84"/>
        <v>614928</v>
      </c>
      <c r="T163" s="1277">
        <f t="shared" si="84"/>
        <v>705086</v>
      </c>
      <c r="U163" s="1277">
        <f>U164+U165+U166</f>
        <v>744928</v>
      </c>
      <c r="V163" s="1277">
        <f t="shared" ref="V163:AD163" si="85">V164+V165+V166</f>
        <v>682106.08</v>
      </c>
      <c r="W163" s="1277">
        <f t="shared" si="85"/>
        <v>649470.34600000002</v>
      </c>
      <c r="X163" s="1277">
        <f t="shared" si="85"/>
        <v>583851.28899999999</v>
      </c>
      <c r="Y163" s="1277">
        <f t="shared" si="85"/>
        <v>697461</v>
      </c>
      <c r="Z163" s="1277">
        <f t="shared" si="85"/>
        <v>634421</v>
      </c>
      <c r="AA163" s="1277">
        <f t="shared" si="85"/>
        <v>686612.31</v>
      </c>
      <c r="AB163" s="1277">
        <f t="shared" si="85"/>
        <v>631647</v>
      </c>
      <c r="AC163" s="1277">
        <f t="shared" si="85"/>
        <v>669186</v>
      </c>
      <c r="AD163" s="1277">
        <f t="shared" si="85"/>
        <v>719309.22</v>
      </c>
      <c r="AE163" s="1277">
        <f t="shared" ref="AE163:AL163" si="86">AE164+AE165+AE166</f>
        <v>642828.19999999995</v>
      </c>
      <c r="AF163" s="1277">
        <f t="shared" si="86"/>
        <v>759977.08021279995</v>
      </c>
      <c r="AG163" s="1277">
        <f t="shared" si="86"/>
        <v>704045.29</v>
      </c>
      <c r="AH163" s="1277">
        <f t="shared" si="86"/>
        <v>708185</v>
      </c>
      <c r="AI163" s="1277">
        <f t="shared" si="86"/>
        <v>703016</v>
      </c>
      <c r="AJ163" s="1277">
        <f t="shared" si="86"/>
        <v>785864</v>
      </c>
      <c r="AK163" s="1277">
        <f t="shared" si="86"/>
        <v>649131</v>
      </c>
      <c r="AL163" s="1277">
        <f t="shared" si="86"/>
        <v>602491.67000000004</v>
      </c>
      <c r="AM163" s="1277">
        <f t="shared" ref="AM163:AR163" si="87">AM164+AM165+AM166</f>
        <v>761088</v>
      </c>
      <c r="AN163" s="1277">
        <f t="shared" si="87"/>
        <v>748190</v>
      </c>
      <c r="AO163" s="1277">
        <f t="shared" si="87"/>
        <v>713453</v>
      </c>
      <c r="AP163" s="1277">
        <f t="shared" si="87"/>
        <v>777114</v>
      </c>
      <c r="AQ163" s="1277">
        <f t="shared" si="87"/>
        <v>800514</v>
      </c>
      <c r="AR163" s="1277">
        <f t="shared" si="87"/>
        <v>822202</v>
      </c>
      <c r="AS163" s="1277">
        <f t="shared" ref="AS163:AT163" si="88">AS164+AS165+AS166</f>
        <v>761560</v>
      </c>
      <c r="AT163" s="1277">
        <f t="shared" si="88"/>
        <v>735933</v>
      </c>
    </row>
    <row r="164" spans="1:46">
      <c r="B164" s="1276" t="s">
        <v>388</v>
      </c>
      <c r="N164" s="1277"/>
      <c r="O164" s="1277">
        <f t="shared" ref="O164:AL164" si="89">O111</f>
        <v>602028</v>
      </c>
      <c r="P164" s="1277">
        <f t="shared" si="89"/>
        <v>662176</v>
      </c>
      <c r="Q164" s="1277">
        <f t="shared" si="89"/>
        <v>566176</v>
      </c>
      <c r="R164" s="1277">
        <f t="shared" si="89"/>
        <v>667926</v>
      </c>
      <c r="S164" s="1277">
        <f t="shared" si="89"/>
        <v>594928</v>
      </c>
      <c r="T164" s="1277">
        <f t="shared" si="89"/>
        <v>645086</v>
      </c>
      <c r="U164" s="1277">
        <f t="shared" si="89"/>
        <v>680928</v>
      </c>
      <c r="V164" s="1277">
        <f t="shared" si="89"/>
        <v>681669</v>
      </c>
      <c r="W164" s="1277">
        <f t="shared" si="89"/>
        <v>626569</v>
      </c>
      <c r="X164" s="1277">
        <f t="shared" si="89"/>
        <v>577286</v>
      </c>
      <c r="Y164" s="1277">
        <f t="shared" si="89"/>
        <v>658158</v>
      </c>
      <c r="Z164" s="1277">
        <f t="shared" si="89"/>
        <v>611258</v>
      </c>
      <c r="AA164" s="1277">
        <f t="shared" si="89"/>
        <v>650688</v>
      </c>
      <c r="AB164" s="1277">
        <f t="shared" si="89"/>
        <v>630688</v>
      </c>
      <c r="AC164" s="1277">
        <f t="shared" si="89"/>
        <v>654186</v>
      </c>
      <c r="AD164" s="1277">
        <f t="shared" si="89"/>
        <v>675634</v>
      </c>
      <c r="AE164" s="1277">
        <f t="shared" si="89"/>
        <v>597634</v>
      </c>
      <c r="AF164" s="1277">
        <f t="shared" si="89"/>
        <v>682170.08021279995</v>
      </c>
      <c r="AG164" s="1277">
        <f t="shared" si="89"/>
        <v>668088</v>
      </c>
      <c r="AH164" s="1277">
        <f t="shared" si="89"/>
        <v>657127</v>
      </c>
      <c r="AI164" s="1277">
        <f t="shared" si="89"/>
        <v>658416</v>
      </c>
      <c r="AJ164" s="1277">
        <f t="shared" si="89"/>
        <v>624422</v>
      </c>
      <c r="AK164" s="1277">
        <f t="shared" si="89"/>
        <v>555844</v>
      </c>
      <c r="AL164" s="1277">
        <f t="shared" si="89"/>
        <v>461804</v>
      </c>
      <c r="AM164" s="1277">
        <f t="shared" ref="AM164:AN167" si="90">AM111</f>
        <v>672588</v>
      </c>
      <c r="AN164" s="1277">
        <f t="shared" si="90"/>
        <v>676928</v>
      </c>
      <c r="AO164" s="1277">
        <f t="shared" ref="AO164:AP164" si="91">AO111</f>
        <v>648618</v>
      </c>
      <c r="AP164" s="1277">
        <f t="shared" si="91"/>
        <v>639251</v>
      </c>
      <c r="AQ164" s="1277">
        <f t="shared" ref="AQ164:AR167" si="92">AQ111</f>
        <v>604375</v>
      </c>
      <c r="AR164" s="1277">
        <f t="shared" si="92"/>
        <v>691177</v>
      </c>
      <c r="AS164" s="1277">
        <f t="shared" ref="AS164:AT164" si="93">AS111</f>
        <v>693571</v>
      </c>
      <c r="AT164" s="1277">
        <f t="shared" si="93"/>
        <v>495138</v>
      </c>
    </row>
    <row r="165" spans="1:46">
      <c r="B165" s="1276" t="s">
        <v>389</v>
      </c>
      <c r="N165" s="1277"/>
      <c r="O165" s="1277"/>
      <c r="P165" s="1277"/>
      <c r="Q165" s="1277">
        <f t="shared" ref="Q165:AL165" si="94">Q112</f>
        <v>0</v>
      </c>
      <c r="R165" s="1277">
        <f t="shared" si="94"/>
        <v>0</v>
      </c>
      <c r="S165" s="1277">
        <f t="shared" si="94"/>
        <v>0</v>
      </c>
      <c r="T165" s="1277">
        <f t="shared" si="94"/>
        <v>0</v>
      </c>
      <c r="U165" s="1277">
        <f t="shared" si="94"/>
        <v>0</v>
      </c>
      <c r="V165" s="1277">
        <f t="shared" si="94"/>
        <v>0</v>
      </c>
      <c r="W165" s="1277">
        <f t="shared" si="94"/>
        <v>0</v>
      </c>
      <c r="X165" s="1277">
        <f t="shared" si="94"/>
        <v>0</v>
      </c>
      <c r="Y165" s="1277">
        <f t="shared" si="94"/>
        <v>0</v>
      </c>
      <c r="Z165" s="1277">
        <f t="shared" si="94"/>
        <v>0</v>
      </c>
      <c r="AA165" s="1277">
        <f t="shared" si="94"/>
        <v>0</v>
      </c>
      <c r="AB165" s="1277">
        <f t="shared" si="94"/>
        <v>0</v>
      </c>
      <c r="AC165" s="1277">
        <f t="shared" si="94"/>
        <v>0</v>
      </c>
      <c r="AD165" s="1277">
        <f t="shared" si="94"/>
        <v>0</v>
      </c>
      <c r="AE165" s="1277">
        <f t="shared" si="94"/>
        <v>0</v>
      </c>
      <c r="AF165" s="1277">
        <f t="shared" si="94"/>
        <v>14734</v>
      </c>
      <c r="AG165" s="1277">
        <f t="shared" si="94"/>
        <v>0</v>
      </c>
      <c r="AH165" s="1277">
        <f t="shared" si="94"/>
        <v>0</v>
      </c>
      <c r="AI165" s="1277">
        <f t="shared" si="94"/>
        <v>0</v>
      </c>
      <c r="AJ165" s="1277">
        <f t="shared" si="94"/>
        <v>27803</v>
      </c>
      <c r="AK165" s="1277">
        <f t="shared" si="94"/>
        <v>50051</v>
      </c>
      <c r="AL165" s="1277">
        <f t="shared" si="94"/>
        <v>135052</v>
      </c>
      <c r="AM165" s="1277">
        <f t="shared" si="90"/>
        <v>0</v>
      </c>
      <c r="AN165" s="1277">
        <f t="shared" si="90"/>
        <v>0</v>
      </c>
      <c r="AO165" s="1277">
        <f t="shared" ref="AO165:AP165" si="95">AO112</f>
        <v>0</v>
      </c>
      <c r="AP165" s="1277">
        <f t="shared" si="95"/>
        <v>72517</v>
      </c>
      <c r="AQ165" s="1277">
        <f t="shared" si="92"/>
        <v>91159</v>
      </c>
      <c r="AR165" s="1277">
        <f t="shared" si="92"/>
        <v>0</v>
      </c>
      <c r="AS165" s="1277">
        <f t="shared" ref="AS165:AT165" si="96">AS112</f>
        <v>0</v>
      </c>
      <c r="AT165" s="1277">
        <f t="shared" si="96"/>
        <v>197831</v>
      </c>
    </row>
    <row r="166" spans="1:46">
      <c r="B166" s="1276" t="s">
        <v>390</v>
      </c>
      <c r="C166" s="1277">
        <f t="shared" ref="C166:P166" si="97">C113</f>
        <v>0</v>
      </c>
      <c r="D166" s="1277">
        <f t="shared" si="97"/>
        <v>23097.362000000001</v>
      </c>
      <c r="E166" s="1277">
        <f t="shared" si="97"/>
        <v>1902.6379999999999</v>
      </c>
      <c r="F166" s="1277">
        <f t="shared" si="97"/>
        <v>30000</v>
      </c>
      <c r="G166" s="1277">
        <f t="shared" si="97"/>
        <v>29122</v>
      </c>
      <c r="H166" s="1277">
        <f t="shared" si="97"/>
        <v>3329.42</v>
      </c>
      <c r="I166" s="1277">
        <f t="shared" si="97"/>
        <v>21006.959999999999</v>
      </c>
      <c r="J166" s="1277">
        <f t="shared" si="97"/>
        <v>9700</v>
      </c>
      <c r="K166" s="1277">
        <f t="shared" si="97"/>
        <v>7577</v>
      </c>
      <c r="L166" s="1277">
        <f t="shared" si="97"/>
        <v>20616.12</v>
      </c>
      <c r="M166" s="1277">
        <f t="shared" si="97"/>
        <v>40036.269999999997</v>
      </c>
      <c r="N166" s="1277">
        <f t="shared" si="97"/>
        <v>14175.147999999999</v>
      </c>
      <c r="O166" s="1277">
        <f t="shared" si="97"/>
        <v>30000</v>
      </c>
      <c r="P166" s="1277">
        <f t="shared" si="97"/>
        <v>10000</v>
      </c>
      <c r="Q166" s="1277">
        <f t="shared" ref="Q166:AL166" si="98">Q113</f>
        <v>20000</v>
      </c>
      <c r="R166" s="1277">
        <f t="shared" si="98"/>
        <v>20000</v>
      </c>
      <c r="S166" s="1277">
        <f t="shared" si="98"/>
        <v>20000</v>
      </c>
      <c r="T166" s="1277">
        <f t="shared" si="98"/>
        <v>60000</v>
      </c>
      <c r="U166" s="1277">
        <f t="shared" si="98"/>
        <v>64000</v>
      </c>
      <c r="V166" s="1277">
        <f t="shared" si="98"/>
        <v>437.08</v>
      </c>
      <c r="W166" s="1277">
        <f t="shared" si="98"/>
        <v>22901.346000000001</v>
      </c>
      <c r="X166" s="1277">
        <f t="shared" si="98"/>
        <v>6565.2889999999998</v>
      </c>
      <c r="Y166" s="1277">
        <f t="shared" si="98"/>
        <v>39303</v>
      </c>
      <c r="Z166" s="1277">
        <f t="shared" si="98"/>
        <v>23163</v>
      </c>
      <c r="AA166" s="1277">
        <f t="shared" si="98"/>
        <v>35924.31</v>
      </c>
      <c r="AB166" s="1277">
        <f t="shared" si="98"/>
        <v>959</v>
      </c>
      <c r="AC166" s="1277">
        <f t="shared" si="98"/>
        <v>15000</v>
      </c>
      <c r="AD166" s="1277">
        <f t="shared" si="98"/>
        <v>43675.22</v>
      </c>
      <c r="AE166" s="1277">
        <f t="shared" si="98"/>
        <v>45194.2</v>
      </c>
      <c r="AF166" s="1277">
        <f t="shared" si="98"/>
        <v>63073</v>
      </c>
      <c r="AG166" s="1277">
        <f t="shared" si="98"/>
        <v>35957.29</v>
      </c>
      <c r="AH166" s="1277">
        <f t="shared" si="98"/>
        <v>51058</v>
      </c>
      <c r="AI166" s="1277">
        <f t="shared" si="98"/>
        <v>44600</v>
      </c>
      <c r="AJ166" s="1277">
        <f t="shared" si="98"/>
        <v>133639</v>
      </c>
      <c r="AK166" s="1277">
        <f t="shared" si="98"/>
        <v>43236</v>
      </c>
      <c r="AL166" s="1277">
        <f t="shared" si="98"/>
        <v>5635.67</v>
      </c>
      <c r="AM166" s="1277">
        <f t="shared" si="90"/>
        <v>88500</v>
      </c>
      <c r="AN166" s="1277">
        <f t="shared" si="90"/>
        <v>71262</v>
      </c>
      <c r="AO166" s="1277">
        <f t="shared" ref="AO166:AP166" si="99">AO113</f>
        <v>64835</v>
      </c>
      <c r="AP166" s="1277">
        <f t="shared" si="99"/>
        <v>65346</v>
      </c>
      <c r="AQ166" s="1277">
        <f t="shared" si="92"/>
        <v>104980</v>
      </c>
      <c r="AR166" s="1277">
        <f t="shared" si="92"/>
        <v>131025</v>
      </c>
      <c r="AS166" s="1277">
        <f t="shared" ref="AS166:AT166" si="100">AS113</f>
        <v>67989</v>
      </c>
      <c r="AT166" s="1277">
        <f t="shared" si="100"/>
        <v>42964</v>
      </c>
    </row>
    <row r="167" spans="1:46">
      <c r="B167" s="154" t="s">
        <v>391</v>
      </c>
      <c r="C167" s="1262">
        <v>279610</v>
      </c>
      <c r="D167" s="1262">
        <v>270746</v>
      </c>
      <c r="E167" s="1262">
        <v>264392</v>
      </c>
      <c r="F167" s="1262">
        <v>257346</v>
      </c>
      <c r="G167" s="1262">
        <v>261554.734</v>
      </c>
      <c r="H167" s="1262">
        <v>261563</v>
      </c>
      <c r="I167" s="1262">
        <v>283541</v>
      </c>
      <c r="J167" s="1262">
        <v>273272.19400000002</v>
      </c>
      <c r="K167" s="1262">
        <v>257415</v>
      </c>
      <c r="L167" s="1262">
        <v>214893</v>
      </c>
      <c r="M167" s="1262">
        <v>248245</v>
      </c>
      <c r="N167" s="1277">
        <f>N114</f>
        <v>238567.12400000001</v>
      </c>
      <c r="O167" s="1277">
        <f>O114</f>
        <v>257434.15400000001</v>
      </c>
      <c r="P167" s="1277">
        <f>P114</f>
        <v>262079.44</v>
      </c>
      <c r="Q167" s="1277">
        <f t="shared" ref="Q167:AL167" si="101">Q114</f>
        <v>244351.12899999999</v>
      </c>
      <c r="R167" s="1277">
        <f t="shared" si="101"/>
        <v>286529.42700000003</v>
      </c>
      <c r="S167" s="1277">
        <f t="shared" si="101"/>
        <v>251033.08100000001</v>
      </c>
      <c r="T167" s="1277">
        <f t="shared" si="101"/>
        <v>279401.89899999998</v>
      </c>
      <c r="U167" s="1277">
        <f t="shared" si="101"/>
        <v>263487.53899999999</v>
      </c>
      <c r="V167" s="1277">
        <f t="shared" si="101"/>
        <v>278130.07799999998</v>
      </c>
      <c r="W167" s="1277">
        <f t="shared" si="101"/>
        <v>268272.12800000003</v>
      </c>
      <c r="X167" s="1277">
        <f t="shared" si="101"/>
        <v>266055.87300000002</v>
      </c>
      <c r="Y167" s="1277">
        <f t="shared" si="101"/>
        <v>228669.60699999999</v>
      </c>
      <c r="Z167" s="1277">
        <f t="shared" si="101"/>
        <v>255063.402</v>
      </c>
      <c r="AA167" s="1277">
        <f t="shared" si="101"/>
        <v>285103.67</v>
      </c>
      <c r="AB167" s="1277">
        <f t="shared" si="101"/>
        <v>278021.34999999998</v>
      </c>
      <c r="AC167" s="1277">
        <f t="shared" si="101"/>
        <v>275007.87</v>
      </c>
      <c r="AD167" s="1277">
        <f t="shared" si="101"/>
        <v>298159.67</v>
      </c>
      <c r="AE167" s="1277">
        <f t="shared" si="101"/>
        <v>287052.63</v>
      </c>
      <c r="AF167" s="1277">
        <f t="shared" si="101"/>
        <v>301366.88</v>
      </c>
      <c r="AG167" s="1277">
        <f t="shared" si="101"/>
        <v>101624.645</v>
      </c>
      <c r="AH167" s="1277">
        <f t="shared" si="101"/>
        <v>247541.10799999998</v>
      </c>
      <c r="AI167" s="1277">
        <f t="shared" si="101"/>
        <v>259602</v>
      </c>
      <c r="AJ167" s="1277">
        <f t="shared" si="101"/>
        <v>281179.50099999999</v>
      </c>
      <c r="AK167" s="1277">
        <f t="shared" si="101"/>
        <v>281230.04300000001</v>
      </c>
      <c r="AL167" s="1277">
        <f t="shared" si="101"/>
        <v>265627.82999999996</v>
      </c>
      <c r="AM167" s="1277">
        <f t="shared" si="90"/>
        <v>284465.93</v>
      </c>
      <c r="AN167" s="1277">
        <f t="shared" si="90"/>
        <v>292881.10399999999</v>
      </c>
      <c r="AO167" s="1277">
        <f t="shared" ref="AO167:AP167" si="102">AO114</f>
        <v>268170.39972369839</v>
      </c>
      <c r="AP167" s="1277">
        <f t="shared" si="102"/>
        <v>285417.19</v>
      </c>
      <c r="AQ167" s="1277">
        <f t="shared" si="92"/>
        <v>309958.52899999998</v>
      </c>
      <c r="AR167" s="1277">
        <f t="shared" si="92"/>
        <v>328088.38</v>
      </c>
      <c r="AS167" s="1277">
        <f t="shared" ref="AS167:AT167" si="103">AS114</f>
        <v>314259.44</v>
      </c>
      <c r="AT167" s="1277">
        <f t="shared" si="103"/>
        <v>308374.82999999996</v>
      </c>
    </row>
    <row r="168" spans="1:46">
      <c r="B168" s="154" t="s">
        <v>392</v>
      </c>
      <c r="C168" s="1277">
        <f t="shared" ref="C168:AL168" si="104">C117</f>
        <v>147800</v>
      </c>
      <c r="D168" s="1277">
        <f t="shared" si="104"/>
        <v>143332</v>
      </c>
      <c r="E168" s="1277">
        <f t="shared" si="104"/>
        <v>120017</v>
      </c>
      <c r="F168" s="1277">
        <f t="shared" si="104"/>
        <v>130166</v>
      </c>
      <c r="G168" s="1277">
        <f t="shared" si="104"/>
        <v>130207</v>
      </c>
      <c r="H168" s="1277">
        <f t="shared" si="104"/>
        <v>53011</v>
      </c>
      <c r="I168" s="1277">
        <f t="shared" si="104"/>
        <v>104251</v>
      </c>
      <c r="J168" s="1277">
        <f t="shared" si="104"/>
        <v>140269</v>
      </c>
      <c r="K168" s="1277">
        <f t="shared" si="104"/>
        <v>124927</v>
      </c>
      <c r="L168" s="1277">
        <f t="shared" si="104"/>
        <v>115972</v>
      </c>
      <c r="M168" s="1277">
        <f t="shared" si="104"/>
        <v>115055</v>
      </c>
      <c r="N168" s="1277">
        <f t="shared" si="104"/>
        <v>114966</v>
      </c>
      <c r="O168" s="1277">
        <f t="shared" si="104"/>
        <v>126166</v>
      </c>
      <c r="P168" s="1277">
        <f t="shared" si="104"/>
        <v>136857</v>
      </c>
      <c r="Q168" s="1277">
        <f t="shared" si="104"/>
        <v>113057</v>
      </c>
      <c r="R168" s="1277">
        <f t="shared" si="104"/>
        <v>141623</v>
      </c>
      <c r="S168" s="1277">
        <f t="shared" si="104"/>
        <v>150738.005</v>
      </c>
      <c r="T168" s="1277">
        <f t="shared" si="104"/>
        <v>146699</v>
      </c>
      <c r="U168" s="1277">
        <f t="shared" si="104"/>
        <v>81099</v>
      </c>
      <c r="V168" s="1277">
        <f t="shared" si="104"/>
        <v>130026</v>
      </c>
      <c r="W168" s="1277">
        <f t="shared" si="104"/>
        <v>144872</v>
      </c>
      <c r="X168" s="1277">
        <f t="shared" si="104"/>
        <v>114005</v>
      </c>
      <c r="Y168" s="1277">
        <f t="shared" si="104"/>
        <v>146868</v>
      </c>
      <c r="Z168" s="1277">
        <f t="shared" si="104"/>
        <v>132263</v>
      </c>
      <c r="AA168" s="1277">
        <f t="shared" si="104"/>
        <v>126435</v>
      </c>
      <c r="AB168" s="1277">
        <f t="shared" si="104"/>
        <v>139035</v>
      </c>
      <c r="AC168" s="1277">
        <f t="shared" si="104"/>
        <v>121133</v>
      </c>
      <c r="AD168" s="1277">
        <f t="shared" si="104"/>
        <v>124961</v>
      </c>
      <c r="AE168" s="1277">
        <f t="shared" si="104"/>
        <v>126542</v>
      </c>
      <c r="AF168" s="1277">
        <f t="shared" si="104"/>
        <v>128921</v>
      </c>
      <c r="AG168" s="1277">
        <f t="shared" si="104"/>
        <v>135009.49</v>
      </c>
      <c r="AH168" s="1277">
        <f t="shared" si="104"/>
        <v>136235.03</v>
      </c>
      <c r="AI168" s="1277">
        <f t="shared" si="104"/>
        <v>41275</v>
      </c>
      <c r="AJ168" s="1277">
        <f t="shared" si="104"/>
        <v>148969.48000000001</v>
      </c>
      <c r="AK168" s="1277">
        <f t="shared" si="104"/>
        <v>125021</v>
      </c>
      <c r="AL168" s="1277">
        <f t="shared" si="104"/>
        <v>139996</v>
      </c>
      <c r="AM168" s="1277">
        <f t="shared" ref="AM168:AR168" si="105">AM117</f>
        <v>119096</v>
      </c>
      <c r="AN168" s="1277">
        <f t="shared" si="105"/>
        <v>137880</v>
      </c>
      <c r="AO168" s="1277">
        <f t="shared" si="105"/>
        <v>110203.31</v>
      </c>
      <c r="AP168" s="1277">
        <f t="shared" si="105"/>
        <v>127492.99</v>
      </c>
      <c r="AQ168" s="1277">
        <f t="shared" si="105"/>
        <v>164506.38</v>
      </c>
      <c r="AR168" s="1277">
        <f t="shared" si="105"/>
        <v>141413.51</v>
      </c>
      <c r="AS168" s="1277">
        <f t="shared" ref="AS168:AT168" si="106">AS117</f>
        <v>41315</v>
      </c>
      <c r="AT168" s="1277">
        <f t="shared" si="106"/>
        <v>82484</v>
      </c>
    </row>
    <row r="169" spans="1:46" s="1256" customFormat="1">
      <c r="A169" s="1263"/>
      <c r="B169" s="152" t="s">
        <v>17</v>
      </c>
      <c r="C169" s="1256">
        <f>C170+C173</f>
        <v>401249</v>
      </c>
      <c r="D169" s="1256">
        <f t="shared" ref="D169:AL169" si="107">D170+D173</f>
        <v>395415</v>
      </c>
      <c r="E169" s="1256">
        <f t="shared" si="107"/>
        <v>385384</v>
      </c>
      <c r="F169" s="1256">
        <f t="shared" si="107"/>
        <v>383582</v>
      </c>
      <c r="G169" s="1256">
        <f t="shared" si="107"/>
        <v>389327</v>
      </c>
      <c r="H169" s="1256">
        <f t="shared" si="107"/>
        <v>281212</v>
      </c>
      <c r="I169" s="1256">
        <f t="shared" si="107"/>
        <v>342585</v>
      </c>
      <c r="J169" s="1256">
        <f t="shared" si="107"/>
        <v>396665</v>
      </c>
      <c r="K169" s="1256">
        <f t="shared" si="107"/>
        <v>199806</v>
      </c>
      <c r="L169" s="1256">
        <f t="shared" si="107"/>
        <v>344670</v>
      </c>
      <c r="M169" s="1256">
        <f t="shared" si="107"/>
        <v>367137</v>
      </c>
      <c r="N169" s="1256">
        <f t="shared" si="107"/>
        <v>326638</v>
      </c>
      <c r="O169" s="1256">
        <f t="shared" si="107"/>
        <v>395964</v>
      </c>
      <c r="P169" s="1256">
        <f t="shared" si="107"/>
        <v>435214</v>
      </c>
      <c r="Q169" s="1256">
        <f t="shared" si="107"/>
        <v>384844</v>
      </c>
      <c r="R169" s="1256">
        <f t="shared" si="107"/>
        <v>426209</v>
      </c>
      <c r="S169" s="1256">
        <f t="shared" si="107"/>
        <v>392010</v>
      </c>
      <c r="T169" s="1256">
        <f t="shared" si="107"/>
        <v>407023</v>
      </c>
      <c r="U169" s="1256">
        <f t="shared" si="107"/>
        <v>272132</v>
      </c>
      <c r="V169" s="1256">
        <f t="shared" si="107"/>
        <v>448877</v>
      </c>
      <c r="W169" s="1256">
        <f t="shared" si="107"/>
        <v>382003</v>
      </c>
      <c r="X169" s="1256">
        <f t="shared" si="107"/>
        <v>232344</v>
      </c>
      <c r="Y169" s="1256">
        <f t="shared" si="107"/>
        <v>442265</v>
      </c>
      <c r="Z169" s="1256">
        <f t="shared" si="107"/>
        <v>385235</v>
      </c>
      <c r="AA169" s="1256">
        <f t="shared" si="107"/>
        <v>400984</v>
      </c>
      <c r="AB169" s="1256">
        <f t="shared" si="107"/>
        <v>416988</v>
      </c>
      <c r="AC169" s="1256">
        <f t="shared" si="107"/>
        <v>406324</v>
      </c>
      <c r="AD169" s="1256">
        <f t="shared" si="107"/>
        <v>401010</v>
      </c>
      <c r="AE169" s="1256">
        <f t="shared" si="107"/>
        <v>402109</v>
      </c>
      <c r="AF169" s="1256">
        <f t="shared" si="107"/>
        <v>403488.07999999996</v>
      </c>
      <c r="AG169" s="1256">
        <f t="shared" si="107"/>
        <v>407157</v>
      </c>
      <c r="AH169" s="1256">
        <f t="shared" si="107"/>
        <v>349666</v>
      </c>
      <c r="AI169" s="1256">
        <f t="shared" si="107"/>
        <v>152064.386</v>
      </c>
      <c r="AJ169" s="1256">
        <f t="shared" si="107"/>
        <v>359494</v>
      </c>
      <c r="AK169" s="1256">
        <f t="shared" si="107"/>
        <v>356174</v>
      </c>
      <c r="AL169" s="1256">
        <f t="shared" si="107"/>
        <v>387844</v>
      </c>
      <c r="AM169" s="1256">
        <f t="shared" ref="AM169:AR169" si="108">AM170+AM173</f>
        <v>393334</v>
      </c>
      <c r="AN169" s="1256">
        <f t="shared" si="108"/>
        <v>406719</v>
      </c>
      <c r="AO169" s="1256">
        <f t="shared" si="108"/>
        <v>386896</v>
      </c>
      <c r="AP169" s="1256">
        <f t="shared" si="108"/>
        <v>392912</v>
      </c>
      <c r="AQ169" s="1256">
        <f t="shared" si="108"/>
        <v>421098</v>
      </c>
      <c r="AR169" s="1256">
        <f t="shared" si="108"/>
        <v>417494</v>
      </c>
      <c r="AS169" s="1256">
        <f t="shared" ref="AS169:AT169" si="109">AS170+AS173</f>
        <v>226425</v>
      </c>
      <c r="AT169" s="1256">
        <f t="shared" si="109"/>
        <v>418852</v>
      </c>
    </row>
    <row r="170" spans="1:46">
      <c r="B170" s="154" t="s">
        <v>387</v>
      </c>
      <c r="C170" s="1262">
        <v>227568</v>
      </c>
      <c r="D170" s="1262">
        <v>235406</v>
      </c>
      <c r="E170" s="1262">
        <v>235356</v>
      </c>
      <c r="F170" s="1262">
        <v>223576</v>
      </c>
      <c r="G170" s="1262">
        <v>229316</v>
      </c>
      <c r="H170" s="1262">
        <v>214839</v>
      </c>
      <c r="I170" s="1262">
        <v>222516</v>
      </c>
      <c r="J170" s="1262">
        <v>235628</v>
      </c>
      <c r="K170" s="1262">
        <v>51486</v>
      </c>
      <c r="L170" s="1262">
        <v>204568</v>
      </c>
      <c r="M170" s="1262">
        <v>225869</v>
      </c>
      <c r="N170" s="1277">
        <f t="shared" ref="N170:AL170" si="110">N121</f>
        <v>185562</v>
      </c>
      <c r="O170" s="1277">
        <f t="shared" si="110"/>
        <v>229878</v>
      </c>
      <c r="P170" s="1277">
        <f t="shared" si="110"/>
        <v>248218</v>
      </c>
      <c r="Q170" s="1277">
        <f t="shared" si="110"/>
        <v>221218</v>
      </c>
      <c r="R170" s="1277">
        <f t="shared" si="110"/>
        <v>243208</v>
      </c>
      <c r="S170" s="1277">
        <f t="shared" si="110"/>
        <v>216948</v>
      </c>
      <c r="T170" s="1277">
        <f t="shared" si="110"/>
        <v>240908</v>
      </c>
      <c r="U170" s="1277">
        <f t="shared" si="110"/>
        <v>241876</v>
      </c>
      <c r="V170" s="1277">
        <f t="shared" si="110"/>
        <v>256868</v>
      </c>
      <c r="W170" s="1277">
        <f t="shared" si="110"/>
        <v>191688</v>
      </c>
      <c r="X170" s="1277">
        <f t="shared" si="110"/>
        <v>103388</v>
      </c>
      <c r="Y170" s="1277">
        <f t="shared" si="110"/>
        <v>251678</v>
      </c>
      <c r="Z170" s="1277">
        <f t="shared" si="110"/>
        <v>195168</v>
      </c>
      <c r="AA170" s="1277">
        <f t="shared" si="110"/>
        <v>230976</v>
      </c>
      <c r="AB170" s="1277">
        <f t="shared" si="110"/>
        <v>236976</v>
      </c>
      <c r="AC170" s="1277">
        <f t="shared" si="110"/>
        <v>240238</v>
      </c>
      <c r="AD170" s="1277">
        <f t="shared" si="110"/>
        <v>225983</v>
      </c>
      <c r="AE170" s="1277">
        <f t="shared" si="110"/>
        <v>226983</v>
      </c>
      <c r="AF170" s="1277">
        <f t="shared" si="110"/>
        <v>202419.08</v>
      </c>
      <c r="AG170" s="1277">
        <f t="shared" si="110"/>
        <v>232128</v>
      </c>
      <c r="AH170" s="1277">
        <f t="shared" si="110"/>
        <v>179630</v>
      </c>
      <c r="AI170" s="1277">
        <f t="shared" si="110"/>
        <v>121962.386</v>
      </c>
      <c r="AJ170" s="1277">
        <f t="shared" si="110"/>
        <v>174426</v>
      </c>
      <c r="AK170" s="1277">
        <f t="shared" si="110"/>
        <v>211172</v>
      </c>
      <c r="AL170" s="1277">
        <f t="shared" si="110"/>
        <v>198320</v>
      </c>
      <c r="AM170" s="1277">
        <f t="shared" ref="AM170:AN173" si="111">AM121</f>
        <v>219528</v>
      </c>
      <c r="AN170" s="1277">
        <f t="shared" si="111"/>
        <v>221717</v>
      </c>
      <c r="AO170" s="1277">
        <f t="shared" ref="AO170:AP170" si="112">AO121</f>
        <v>208816</v>
      </c>
      <c r="AP170" s="1277">
        <f t="shared" si="112"/>
        <v>222862</v>
      </c>
      <c r="AQ170" s="1277">
        <f t="shared" ref="AQ170:AR173" si="113">AQ121</f>
        <v>223079</v>
      </c>
      <c r="AR170" s="1277">
        <f t="shared" si="113"/>
        <v>225908</v>
      </c>
      <c r="AS170" s="1277">
        <f t="shared" ref="AS170:AT170" si="114">AS121</f>
        <v>216176</v>
      </c>
      <c r="AT170" s="1277">
        <f t="shared" si="114"/>
        <v>228564</v>
      </c>
    </row>
    <row r="171" spans="1:46">
      <c r="B171" s="154" t="s">
        <v>1108</v>
      </c>
      <c r="N171" s="1277"/>
      <c r="O171" s="1277">
        <f t="shared" ref="O171:T171" si="115">O122</f>
        <v>229878</v>
      </c>
      <c r="P171" s="1277">
        <f t="shared" si="115"/>
        <v>248218</v>
      </c>
      <c r="Q171" s="1277">
        <f t="shared" si="115"/>
        <v>221218</v>
      </c>
      <c r="R171" s="1277">
        <f t="shared" si="115"/>
        <v>243208</v>
      </c>
      <c r="S171" s="1277">
        <f t="shared" si="115"/>
        <v>216948</v>
      </c>
      <c r="T171" s="1277">
        <f t="shared" si="115"/>
        <v>240908</v>
      </c>
      <c r="U171" s="1277">
        <f>U122</f>
        <v>241876</v>
      </c>
      <c r="V171" s="1277">
        <f t="shared" ref="V171:AL171" si="116">V122</f>
        <v>256868</v>
      </c>
      <c r="W171" s="1277">
        <f t="shared" si="116"/>
        <v>191688</v>
      </c>
      <c r="X171" s="1277">
        <f t="shared" si="116"/>
        <v>103388</v>
      </c>
      <c r="Y171" s="1277">
        <f t="shared" si="116"/>
        <v>251678</v>
      </c>
      <c r="Z171" s="1277">
        <f t="shared" si="116"/>
        <v>195168</v>
      </c>
      <c r="AA171" s="1277">
        <f t="shared" si="116"/>
        <v>230976</v>
      </c>
      <c r="AB171" s="1277">
        <f t="shared" si="116"/>
        <v>236976</v>
      </c>
      <c r="AC171" s="1277">
        <f t="shared" si="116"/>
        <v>240238</v>
      </c>
      <c r="AD171" s="1277">
        <f t="shared" si="116"/>
        <v>225983</v>
      </c>
      <c r="AE171" s="1277">
        <f t="shared" si="116"/>
        <v>226983</v>
      </c>
      <c r="AF171" s="1277">
        <f t="shared" si="116"/>
        <v>202419.08</v>
      </c>
      <c r="AG171" s="1277">
        <f t="shared" si="116"/>
        <v>209105</v>
      </c>
      <c r="AH171" s="1277">
        <f t="shared" si="116"/>
        <v>35871</v>
      </c>
      <c r="AI171" s="1277">
        <f t="shared" si="116"/>
        <v>121536</v>
      </c>
      <c r="AJ171" s="1277">
        <f t="shared" si="116"/>
        <v>174426</v>
      </c>
      <c r="AK171" s="1277">
        <f t="shared" si="116"/>
        <v>211172</v>
      </c>
      <c r="AL171" s="1277">
        <f t="shared" si="116"/>
        <v>198320</v>
      </c>
      <c r="AM171" s="1277">
        <f t="shared" si="111"/>
        <v>219528</v>
      </c>
      <c r="AN171" s="1277">
        <f t="shared" si="111"/>
        <v>221717</v>
      </c>
      <c r="AO171" s="1277">
        <f t="shared" ref="AO171:AP171" si="117">AO122</f>
        <v>208816</v>
      </c>
      <c r="AP171" s="1277">
        <f t="shared" si="117"/>
        <v>222862</v>
      </c>
      <c r="AQ171" s="1277">
        <f t="shared" si="113"/>
        <v>223079</v>
      </c>
      <c r="AR171" s="1277">
        <f t="shared" si="113"/>
        <v>225908</v>
      </c>
      <c r="AS171" s="1277">
        <f t="shared" ref="AS171:AT171" si="118">AS122</f>
        <v>216176</v>
      </c>
      <c r="AT171" s="1277">
        <f t="shared" si="118"/>
        <v>228564</v>
      </c>
    </row>
    <row r="172" spans="1:46">
      <c r="B172" s="154" t="s">
        <v>1109</v>
      </c>
      <c r="N172" s="1277"/>
      <c r="O172" s="1277"/>
      <c r="P172" s="1277"/>
      <c r="Q172" s="1277"/>
      <c r="R172" s="1277"/>
      <c r="S172" s="1277"/>
      <c r="T172" s="1277"/>
      <c r="U172" s="1277">
        <f>U123</f>
        <v>0</v>
      </c>
      <c r="V172" s="1277">
        <f t="shared" ref="V172:AL172" si="119">V123</f>
        <v>0</v>
      </c>
      <c r="W172" s="1277">
        <f t="shared" si="119"/>
        <v>0</v>
      </c>
      <c r="X172" s="1277">
        <f t="shared" si="119"/>
        <v>0</v>
      </c>
      <c r="Y172" s="1277">
        <f t="shared" si="119"/>
        <v>0</v>
      </c>
      <c r="Z172" s="1277">
        <f t="shared" si="119"/>
        <v>0</v>
      </c>
      <c r="AA172" s="1277">
        <f t="shared" si="119"/>
        <v>0</v>
      </c>
      <c r="AB172" s="1277">
        <f t="shared" si="119"/>
        <v>0</v>
      </c>
      <c r="AC172" s="1277">
        <f t="shared" si="119"/>
        <v>0</v>
      </c>
      <c r="AD172" s="1277">
        <f t="shared" si="119"/>
        <v>0</v>
      </c>
      <c r="AE172" s="1277">
        <f t="shared" si="119"/>
        <v>0</v>
      </c>
      <c r="AF172" s="1277">
        <f t="shared" si="119"/>
        <v>0</v>
      </c>
      <c r="AG172" s="1277">
        <f t="shared" si="119"/>
        <v>23023</v>
      </c>
      <c r="AH172" s="1277">
        <f t="shared" si="119"/>
        <v>143759</v>
      </c>
      <c r="AI172" s="1277">
        <f t="shared" si="119"/>
        <v>426.38600000000002</v>
      </c>
      <c r="AJ172" s="1277">
        <f t="shared" si="119"/>
        <v>0</v>
      </c>
      <c r="AK172" s="1277">
        <f t="shared" si="119"/>
        <v>0</v>
      </c>
      <c r="AL172" s="1277">
        <f t="shared" si="119"/>
        <v>0</v>
      </c>
      <c r="AM172" s="1277">
        <f t="shared" si="111"/>
        <v>0</v>
      </c>
      <c r="AN172" s="1277">
        <f t="shared" si="111"/>
        <v>0</v>
      </c>
      <c r="AO172" s="1277">
        <f t="shared" ref="AO172:AP172" si="120">AO123</f>
        <v>0</v>
      </c>
      <c r="AP172" s="1277">
        <f t="shared" si="120"/>
        <v>0</v>
      </c>
      <c r="AQ172" s="1277">
        <f t="shared" si="113"/>
        <v>0</v>
      </c>
      <c r="AR172" s="1277">
        <f t="shared" si="113"/>
        <v>0</v>
      </c>
      <c r="AS172" s="1277">
        <f t="shared" ref="AS172:AT172" si="121">AS123</f>
        <v>0</v>
      </c>
      <c r="AT172" s="1277">
        <f t="shared" si="121"/>
        <v>0</v>
      </c>
    </row>
    <row r="173" spans="1:46">
      <c r="B173" s="154" t="s">
        <v>392</v>
      </c>
      <c r="C173" s="1262">
        <v>173681</v>
      </c>
      <c r="D173" s="1262">
        <v>160009</v>
      </c>
      <c r="E173" s="1262">
        <v>150028</v>
      </c>
      <c r="F173" s="1262">
        <v>160006</v>
      </c>
      <c r="G173" s="1262">
        <v>160011</v>
      </c>
      <c r="H173" s="1262">
        <v>66373</v>
      </c>
      <c r="I173" s="1262">
        <v>120069</v>
      </c>
      <c r="J173" s="1262">
        <v>161037</v>
      </c>
      <c r="K173" s="1262">
        <v>148320</v>
      </c>
      <c r="L173" s="1262">
        <v>140102</v>
      </c>
      <c r="M173" s="1262">
        <v>141268</v>
      </c>
      <c r="N173" s="1277">
        <f>N124</f>
        <v>141076</v>
      </c>
      <c r="O173" s="1277">
        <f>O124</f>
        <v>166086</v>
      </c>
      <c r="P173" s="1277">
        <f t="shared" ref="P173:Z173" si="122">P124</f>
        <v>186996</v>
      </c>
      <c r="Q173" s="1277">
        <f t="shared" si="122"/>
        <v>163626</v>
      </c>
      <c r="R173" s="1277">
        <f t="shared" si="122"/>
        <v>183001</v>
      </c>
      <c r="S173" s="1277">
        <f t="shared" si="122"/>
        <v>175062</v>
      </c>
      <c r="T173" s="1277">
        <f t="shared" si="122"/>
        <v>166115</v>
      </c>
      <c r="U173" s="1277">
        <f t="shared" si="122"/>
        <v>30256</v>
      </c>
      <c r="V173" s="1277">
        <f t="shared" si="122"/>
        <v>192009</v>
      </c>
      <c r="W173" s="1277">
        <f t="shared" si="122"/>
        <v>190315</v>
      </c>
      <c r="X173" s="1277">
        <f t="shared" si="122"/>
        <v>128956</v>
      </c>
      <c r="Y173" s="1277">
        <f t="shared" si="122"/>
        <v>190587</v>
      </c>
      <c r="Z173" s="1277">
        <f t="shared" si="122"/>
        <v>190067</v>
      </c>
      <c r="AA173" s="1277">
        <f>AA124</f>
        <v>170008</v>
      </c>
      <c r="AB173" s="1277">
        <f>AB124</f>
        <v>180012</v>
      </c>
      <c r="AC173" s="1277">
        <f t="shared" ref="AC173:AL173" si="123">AC124</f>
        <v>166086</v>
      </c>
      <c r="AD173" s="1277">
        <f t="shared" si="123"/>
        <v>175027</v>
      </c>
      <c r="AE173" s="1277">
        <f t="shared" si="123"/>
        <v>175126</v>
      </c>
      <c r="AF173" s="1277">
        <f t="shared" si="123"/>
        <v>201069</v>
      </c>
      <c r="AG173" s="1277">
        <f t="shared" si="123"/>
        <v>175029</v>
      </c>
      <c r="AH173" s="1277">
        <f t="shared" si="123"/>
        <v>170036</v>
      </c>
      <c r="AI173" s="1277">
        <f t="shared" si="123"/>
        <v>30102</v>
      </c>
      <c r="AJ173" s="1277">
        <f t="shared" si="123"/>
        <v>185068</v>
      </c>
      <c r="AK173" s="1277">
        <f t="shared" si="123"/>
        <v>145002</v>
      </c>
      <c r="AL173" s="1277">
        <f t="shared" si="123"/>
        <v>189524</v>
      </c>
      <c r="AM173" s="1277">
        <f t="shared" si="111"/>
        <v>173806</v>
      </c>
      <c r="AN173" s="1277">
        <f t="shared" si="111"/>
        <v>185002</v>
      </c>
      <c r="AO173" s="1277">
        <f t="shared" ref="AO173:AP173" si="124">AO124</f>
        <v>178080</v>
      </c>
      <c r="AP173" s="1277">
        <f t="shared" si="124"/>
        <v>170050</v>
      </c>
      <c r="AQ173" s="1277">
        <f t="shared" si="113"/>
        <v>198019</v>
      </c>
      <c r="AR173" s="1277">
        <f t="shared" si="113"/>
        <v>191586</v>
      </c>
      <c r="AS173" s="1277">
        <f t="shared" ref="AS173:AT173" si="125">AS124</f>
        <v>10249</v>
      </c>
      <c r="AT173" s="1277">
        <f t="shared" si="125"/>
        <v>190288</v>
      </c>
    </row>
    <row r="174" spans="1:46">
      <c r="B174" s="152" t="s">
        <v>18</v>
      </c>
      <c r="C174" s="1256">
        <f>SUM(C175:C176)</f>
        <v>142011</v>
      </c>
      <c r="D174" s="1256">
        <f t="shared" ref="D174:N174" si="126">SUM(D175:D176)</f>
        <v>150451</v>
      </c>
      <c r="E174" s="1256">
        <f t="shared" si="126"/>
        <v>133356</v>
      </c>
      <c r="F174" s="1256">
        <f t="shared" si="126"/>
        <v>135200</v>
      </c>
      <c r="G174" s="1256">
        <f t="shared" si="126"/>
        <v>131795.408</v>
      </c>
      <c r="H174" s="1256">
        <f t="shared" si="126"/>
        <v>132484</v>
      </c>
      <c r="I174" s="1256">
        <f t="shared" si="126"/>
        <v>124855</v>
      </c>
      <c r="J174" s="1256">
        <f t="shared" si="126"/>
        <v>126581</v>
      </c>
      <c r="K174" s="1256">
        <f t="shared" si="126"/>
        <v>136319</v>
      </c>
      <c r="L174" s="1256">
        <f t="shared" si="126"/>
        <v>153199</v>
      </c>
      <c r="M174" s="1256">
        <f t="shared" si="126"/>
        <v>147415</v>
      </c>
      <c r="N174" s="1275">
        <f t="shared" si="126"/>
        <v>143662.27599999998</v>
      </c>
      <c r="O174" s="1275">
        <f t="shared" ref="O174:Z174" si="127">SUM(O175:O176)</f>
        <v>145502.927</v>
      </c>
      <c r="P174" s="1275">
        <f t="shared" si="127"/>
        <v>146720.88099999999</v>
      </c>
      <c r="Q174" s="1275">
        <f t="shared" si="127"/>
        <v>117081.478</v>
      </c>
      <c r="R174" s="1275">
        <f t="shared" si="127"/>
        <v>146893.285</v>
      </c>
      <c r="S174" s="1275">
        <f t="shared" si="127"/>
        <v>146614.78700000001</v>
      </c>
      <c r="T174" s="1275">
        <f t="shared" si="127"/>
        <v>143116.24599999998</v>
      </c>
      <c r="U174" s="1275">
        <f t="shared" si="127"/>
        <v>143043.72700000001</v>
      </c>
      <c r="V174" s="1275">
        <f t="shared" si="127"/>
        <v>136397.47099999999</v>
      </c>
      <c r="W174" s="1275">
        <f t="shared" si="127"/>
        <v>158937.54699999999</v>
      </c>
      <c r="X174" s="1275">
        <f t="shared" si="127"/>
        <v>105443.10500000001</v>
      </c>
      <c r="Y174" s="1275">
        <f t="shared" si="127"/>
        <v>162436.601</v>
      </c>
      <c r="Z174" s="1275">
        <f t="shared" si="127"/>
        <v>153686.04800000001</v>
      </c>
      <c r="AA174" s="1275">
        <f>SUM(AA175:AA176)</f>
        <v>137991.079</v>
      </c>
      <c r="AB174" s="1275">
        <f>SUM(AB175:AB176)</f>
        <v>162245.52600000001</v>
      </c>
      <c r="AC174" s="1275">
        <f t="shared" ref="AC174:AL174" si="128">SUM(AC175:AC176)</f>
        <v>133621.43799999999</v>
      </c>
      <c r="AD174" s="1275">
        <f t="shared" si="128"/>
        <v>138885.807</v>
      </c>
      <c r="AE174" s="1275">
        <f t="shared" si="128"/>
        <v>140686.31400000001</v>
      </c>
      <c r="AF174" s="1275">
        <f t="shared" si="128"/>
        <v>146869.94899999999</v>
      </c>
      <c r="AG174" s="1275">
        <f t="shared" si="128"/>
        <v>115760.87099999998</v>
      </c>
      <c r="AH174" s="1275">
        <f t="shared" si="128"/>
        <v>122068.144</v>
      </c>
      <c r="AI174" s="1275">
        <f t="shared" si="128"/>
        <v>122850.046</v>
      </c>
      <c r="AJ174" s="1275">
        <f t="shared" si="128"/>
        <v>146031.29399999999</v>
      </c>
      <c r="AK174" s="1275">
        <f t="shared" si="128"/>
        <v>160793.647</v>
      </c>
      <c r="AL174" s="1275">
        <f t="shared" si="128"/>
        <v>158020.92799999999</v>
      </c>
      <c r="AM174" s="1962">
        <f t="shared" ref="AM174:AR174" si="129">SUM(AM175:AM176)</f>
        <v>153331.44400000002</v>
      </c>
      <c r="AN174" s="1962">
        <f t="shared" si="129"/>
        <v>160662.25899999999</v>
      </c>
      <c r="AO174" s="1962">
        <f t="shared" si="129"/>
        <v>152650.576</v>
      </c>
      <c r="AP174" s="1962">
        <f t="shared" si="129"/>
        <v>157813.72999999998</v>
      </c>
      <c r="AQ174" s="1962">
        <f t="shared" si="129"/>
        <v>158753.84199999998</v>
      </c>
      <c r="AR174" s="1962">
        <f t="shared" si="129"/>
        <v>157637.68</v>
      </c>
      <c r="AS174" s="1962">
        <f t="shared" ref="AS174:AT174" si="130">SUM(AS175:AS176)</f>
        <v>118887.44000000002</v>
      </c>
      <c r="AT174" s="1962">
        <f t="shared" si="130"/>
        <v>135359.64000000001</v>
      </c>
    </row>
    <row r="175" spans="1:46">
      <c r="B175" s="154" t="s">
        <v>393</v>
      </c>
      <c r="C175" s="1262">
        <v>94391</v>
      </c>
      <c r="D175" s="1262">
        <v>95378</v>
      </c>
      <c r="E175" s="1262">
        <v>84008</v>
      </c>
      <c r="F175" s="1262">
        <v>95200</v>
      </c>
      <c r="G175" s="1262">
        <v>88636.407999999996</v>
      </c>
      <c r="H175" s="1262">
        <v>74500</v>
      </c>
      <c r="I175" s="1262">
        <v>69688</v>
      </c>
      <c r="J175" s="1262">
        <v>85562</v>
      </c>
      <c r="K175" s="1262">
        <v>96585</v>
      </c>
      <c r="L175" s="1262">
        <v>95702</v>
      </c>
      <c r="M175" s="1262">
        <v>95343</v>
      </c>
      <c r="N175" s="1277">
        <f>N135</f>
        <v>89641.645999999993</v>
      </c>
      <c r="O175" s="1277">
        <f>O135</f>
        <v>89608.047000000006</v>
      </c>
      <c r="P175" s="1277">
        <f t="shared" ref="P175:Z175" si="131">P135</f>
        <v>90269.841</v>
      </c>
      <c r="Q175" s="1277">
        <f t="shared" si="131"/>
        <v>87056.097999999998</v>
      </c>
      <c r="R175" s="1277">
        <f t="shared" si="131"/>
        <v>87185.505000000005</v>
      </c>
      <c r="S175" s="1277">
        <f t="shared" si="131"/>
        <v>87287.006999999998</v>
      </c>
      <c r="T175" s="1277">
        <f t="shared" si="131"/>
        <v>95106.365999999995</v>
      </c>
      <c r="U175" s="1277">
        <f t="shared" si="131"/>
        <v>93721.717000000004</v>
      </c>
      <c r="V175" s="1277">
        <f t="shared" si="131"/>
        <v>74891.150999999998</v>
      </c>
      <c r="W175" s="1277">
        <f t="shared" si="131"/>
        <v>96087.807000000001</v>
      </c>
      <c r="X175" s="1277">
        <f t="shared" si="131"/>
        <v>66627.705000000002</v>
      </c>
      <c r="Y175" s="1277">
        <f t="shared" si="131"/>
        <v>100158.451</v>
      </c>
      <c r="Z175" s="1277">
        <f t="shared" si="131"/>
        <v>92654.588000000003</v>
      </c>
      <c r="AA175" s="1277">
        <f>AA135</f>
        <v>82982.099000000002</v>
      </c>
      <c r="AB175" s="1277">
        <f>AB135</f>
        <v>104393.906</v>
      </c>
      <c r="AC175" s="1277">
        <f t="shared" ref="AC175:AL175" si="132">AC135</f>
        <v>91025.487999999998</v>
      </c>
      <c r="AD175" s="1277">
        <f t="shared" si="132"/>
        <v>95323.577000000005</v>
      </c>
      <c r="AE175" s="1277">
        <f t="shared" si="132"/>
        <v>80203.134000000005</v>
      </c>
      <c r="AF175" s="1277">
        <f t="shared" si="132"/>
        <v>89113.468999999997</v>
      </c>
      <c r="AG175" s="1277">
        <f t="shared" si="132"/>
        <v>65561.140999999974</v>
      </c>
      <c r="AH175" s="1277">
        <f t="shared" si="132"/>
        <v>68670.26400000001</v>
      </c>
      <c r="AI175" s="1277">
        <f t="shared" si="132"/>
        <v>91809.255999999994</v>
      </c>
      <c r="AJ175" s="1277">
        <f t="shared" si="132"/>
        <v>90976.874000000011</v>
      </c>
      <c r="AK175" s="1277">
        <f t="shared" si="132"/>
        <v>100453.427</v>
      </c>
      <c r="AL175" s="1277">
        <f t="shared" si="132"/>
        <v>99695.407999999996</v>
      </c>
      <c r="AM175" s="1277">
        <f t="shared" ref="AM175:AO176" si="133">AM135</f>
        <v>91489.284000000014</v>
      </c>
      <c r="AN175" s="1277">
        <f t="shared" si="133"/>
        <v>99805.318999999989</v>
      </c>
      <c r="AO175" s="1277">
        <f t="shared" si="133"/>
        <v>98825.286000000007</v>
      </c>
      <c r="AP175" s="1277">
        <f t="shared" ref="AP175" si="134">AP135</f>
        <v>97616.529999999984</v>
      </c>
      <c r="AQ175" s="1277">
        <f t="shared" ref="AQ175:AS176" si="135">AQ135</f>
        <v>98083.001999999979</v>
      </c>
      <c r="AR175" s="1277">
        <f t="shared" si="135"/>
        <v>98581.21</v>
      </c>
      <c r="AS175" s="1277">
        <f t="shared" si="135"/>
        <v>77852.140000000014</v>
      </c>
      <c r="AT175" s="1277">
        <f t="shared" ref="AT175" si="136">AT135</f>
        <v>92973.35</v>
      </c>
    </row>
    <row r="176" spans="1:46">
      <c r="B176" s="154" t="s">
        <v>394</v>
      </c>
      <c r="C176" s="1262">
        <v>47620</v>
      </c>
      <c r="D176" s="1262">
        <v>55073</v>
      </c>
      <c r="E176" s="1262">
        <v>49348</v>
      </c>
      <c r="F176" s="1262">
        <v>40000</v>
      </c>
      <c r="G176" s="1262">
        <v>43159</v>
      </c>
      <c r="H176" s="1262">
        <v>57984</v>
      </c>
      <c r="I176" s="1262">
        <v>55167</v>
      </c>
      <c r="J176" s="1262">
        <v>41019</v>
      </c>
      <c r="K176" s="1262">
        <v>39734</v>
      </c>
      <c r="L176" s="1262">
        <v>57497</v>
      </c>
      <c r="M176" s="1262">
        <v>52072</v>
      </c>
      <c r="N176" s="1277">
        <f>N136</f>
        <v>54020.63</v>
      </c>
      <c r="O176" s="1277">
        <f>O136</f>
        <v>55894.879999999997</v>
      </c>
      <c r="P176" s="1277">
        <f t="shared" ref="P176:Z176" si="137">P136</f>
        <v>56451.040000000001</v>
      </c>
      <c r="Q176" s="1277">
        <f t="shared" si="137"/>
        <v>30025.38</v>
      </c>
      <c r="R176" s="1277">
        <f t="shared" si="137"/>
        <v>59707.78</v>
      </c>
      <c r="S176" s="1277">
        <f t="shared" si="137"/>
        <v>59327.78</v>
      </c>
      <c r="T176" s="1277">
        <f t="shared" si="137"/>
        <v>48009.88</v>
      </c>
      <c r="U176" s="1277">
        <f t="shared" si="137"/>
        <v>49322.01</v>
      </c>
      <c r="V176" s="1277">
        <f t="shared" si="137"/>
        <v>61506.32</v>
      </c>
      <c r="W176" s="1277">
        <f t="shared" si="137"/>
        <v>62849.74</v>
      </c>
      <c r="X176" s="1277">
        <f t="shared" si="137"/>
        <v>38815.4</v>
      </c>
      <c r="Y176" s="1277">
        <f t="shared" si="137"/>
        <v>62278.15</v>
      </c>
      <c r="Z176" s="1277">
        <f t="shared" si="137"/>
        <v>61031.46</v>
      </c>
      <c r="AA176" s="1277">
        <f>AA136</f>
        <v>55008.98</v>
      </c>
      <c r="AB176" s="1277">
        <f>AB136</f>
        <v>57851.62</v>
      </c>
      <c r="AC176" s="1277">
        <f t="shared" ref="AC176:AL176" si="138">AC136</f>
        <v>42595.95</v>
      </c>
      <c r="AD176" s="1277">
        <f t="shared" si="138"/>
        <v>43562.23</v>
      </c>
      <c r="AE176" s="1277">
        <f t="shared" si="138"/>
        <v>60483.18</v>
      </c>
      <c r="AF176" s="1277">
        <f t="shared" si="138"/>
        <v>57756.480000000003</v>
      </c>
      <c r="AG176" s="1277">
        <f t="shared" si="138"/>
        <v>50199.73</v>
      </c>
      <c r="AH176" s="1277">
        <f t="shared" si="138"/>
        <v>53397.88</v>
      </c>
      <c r="AI176" s="1277">
        <f t="shared" si="138"/>
        <v>31040.79</v>
      </c>
      <c r="AJ176" s="1277">
        <f t="shared" si="138"/>
        <v>55054.42</v>
      </c>
      <c r="AK176" s="1277">
        <f t="shared" si="138"/>
        <v>60340.22</v>
      </c>
      <c r="AL176" s="1277">
        <f t="shared" si="138"/>
        <v>58325.52</v>
      </c>
      <c r="AM176" s="1277">
        <f t="shared" si="133"/>
        <v>61842.16</v>
      </c>
      <c r="AN176" s="1277">
        <f t="shared" si="133"/>
        <v>60856.94</v>
      </c>
      <c r="AO176" s="1277">
        <f t="shared" si="133"/>
        <v>53825.29</v>
      </c>
      <c r="AP176" s="1277">
        <f t="shared" ref="AP176" si="139">AP136</f>
        <v>60197.2</v>
      </c>
      <c r="AQ176" s="1277">
        <f t="shared" si="135"/>
        <v>60670.84</v>
      </c>
      <c r="AR176" s="1277">
        <f t="shared" si="135"/>
        <v>59056.47</v>
      </c>
      <c r="AS176" s="1277">
        <f t="shared" si="135"/>
        <v>41035.300000000003</v>
      </c>
      <c r="AT176" s="1277">
        <f t="shared" ref="AT176" si="140">AT136</f>
        <v>42386.29</v>
      </c>
    </row>
    <row r="177" spans="1:46" s="1256" customFormat="1">
      <c r="A177" s="1263"/>
      <c r="B177" s="152" t="s">
        <v>21</v>
      </c>
      <c r="C177" s="1256">
        <v>15300</v>
      </c>
      <c r="D177" s="1256">
        <v>13592</v>
      </c>
      <c r="E177" s="1256">
        <v>13034</v>
      </c>
      <c r="F177" s="1256">
        <v>10800</v>
      </c>
      <c r="G177" s="1256">
        <v>15749.36</v>
      </c>
      <c r="H177" s="1256">
        <v>14268</v>
      </c>
      <c r="I177" s="1256">
        <v>13473</v>
      </c>
      <c r="J177" s="1256">
        <v>16592</v>
      </c>
      <c r="K177" s="1256">
        <v>15826</v>
      </c>
      <c r="L177" s="1256">
        <v>12926</v>
      </c>
      <c r="M177" s="1256">
        <v>16236</v>
      </c>
      <c r="N177" s="1275">
        <f>N127</f>
        <v>13501.058999999999</v>
      </c>
      <c r="O177" s="1275">
        <f>O127</f>
        <v>11469.26</v>
      </c>
      <c r="P177" s="1275">
        <f t="shared" ref="P177:Z177" si="141">P127</f>
        <v>14228.54</v>
      </c>
      <c r="Q177" s="1275">
        <f t="shared" si="141"/>
        <v>19006</v>
      </c>
      <c r="R177" s="1275">
        <f t="shared" si="141"/>
        <v>19005</v>
      </c>
      <c r="S177" s="1275">
        <f t="shared" si="141"/>
        <v>19050.04</v>
      </c>
      <c r="T177" s="1275">
        <f t="shared" si="141"/>
        <v>19016.099999999999</v>
      </c>
      <c r="U177" s="1275">
        <f t="shared" si="141"/>
        <v>19288</v>
      </c>
      <c r="V177" s="1275">
        <f t="shared" si="141"/>
        <v>18218.763999999999</v>
      </c>
      <c r="W177" s="1275">
        <f t="shared" si="141"/>
        <v>10688.55</v>
      </c>
      <c r="X177" s="1275">
        <f t="shared" si="141"/>
        <v>14083.55</v>
      </c>
      <c r="Y177" s="1275">
        <f t="shared" si="141"/>
        <v>16899.34</v>
      </c>
      <c r="Z177" s="1275">
        <f t="shared" si="141"/>
        <v>14897.859</v>
      </c>
      <c r="AA177" s="1275">
        <f>AA127</f>
        <v>14000</v>
      </c>
      <c r="AB177" s="1275">
        <f>AB127</f>
        <v>12258.759</v>
      </c>
      <c r="AC177" s="1275">
        <f t="shared" ref="AC177:AL177" si="142">AC127</f>
        <v>15620.36</v>
      </c>
      <c r="AD177" s="1275">
        <f t="shared" si="142"/>
        <v>14066.789000000001</v>
      </c>
      <c r="AE177" s="1275">
        <f t="shared" si="142"/>
        <v>15801.95</v>
      </c>
      <c r="AF177" s="1275">
        <f t="shared" si="142"/>
        <v>10700.08</v>
      </c>
      <c r="AG177" s="1275">
        <f t="shared" si="142"/>
        <v>8669.9789999999994</v>
      </c>
      <c r="AH177" s="1275">
        <f t="shared" si="142"/>
        <v>14001.94</v>
      </c>
      <c r="AI177" s="1275">
        <f t="shared" si="142"/>
        <v>10846.259</v>
      </c>
      <c r="AJ177" s="1275">
        <f t="shared" si="142"/>
        <v>11513.35</v>
      </c>
      <c r="AK177" s="1275">
        <f t="shared" si="142"/>
        <v>17765.47</v>
      </c>
      <c r="AL177" s="1275">
        <f t="shared" si="142"/>
        <v>14158.48</v>
      </c>
      <c r="AM177" s="1275">
        <f t="shared" ref="AM177:AR177" si="143">AM127</f>
        <v>19048.36</v>
      </c>
      <c r="AN177" s="1275">
        <f t="shared" si="143"/>
        <v>17589.439999999999</v>
      </c>
      <c r="AO177" s="1275">
        <f t="shared" si="143"/>
        <v>17962.150000000001</v>
      </c>
      <c r="AP177" s="1275">
        <f t="shared" si="143"/>
        <v>20643.04</v>
      </c>
      <c r="AQ177" s="1275">
        <f t="shared" si="143"/>
        <v>14588.32</v>
      </c>
      <c r="AR177" s="1275">
        <f t="shared" si="143"/>
        <v>17804.64</v>
      </c>
      <c r="AS177" s="1275">
        <f t="shared" ref="AS177:AT177" si="144">AS127</f>
        <v>17019.86</v>
      </c>
      <c r="AT177" s="1275">
        <f t="shared" si="144"/>
        <v>21553.68</v>
      </c>
    </row>
    <row r="178" spans="1:46" s="1256" customFormat="1">
      <c r="A178" s="1263"/>
      <c r="B178" s="152" t="s">
        <v>22</v>
      </c>
      <c r="C178" s="1256">
        <v>1309</v>
      </c>
      <c r="D178" s="1256">
        <v>1002</v>
      </c>
      <c r="E178" s="1256">
        <v>871</v>
      </c>
      <c r="F178" s="1256">
        <v>1400</v>
      </c>
      <c r="G178" s="1256">
        <v>1518.58</v>
      </c>
      <c r="H178" s="1256">
        <v>1361</v>
      </c>
      <c r="I178" s="1256">
        <v>1680</v>
      </c>
      <c r="J178" s="1256">
        <v>1342</v>
      </c>
      <c r="K178" s="1256">
        <v>1235</v>
      </c>
      <c r="L178" s="1256">
        <v>1315</v>
      </c>
      <c r="M178" s="1256">
        <v>942</v>
      </c>
      <c r="N178" s="1275">
        <f t="shared" ref="N178:AL178" si="145">N59</f>
        <v>1798.6089999999999</v>
      </c>
      <c r="O178" s="1275">
        <f t="shared" si="145"/>
        <v>1959.126</v>
      </c>
      <c r="P178" s="1275">
        <f t="shared" si="145"/>
        <v>1649.94</v>
      </c>
      <c r="Q178" s="1275">
        <f t="shared" si="145"/>
        <v>1432.8050000000001</v>
      </c>
      <c r="R178" s="1275">
        <f t="shared" si="145"/>
        <v>1606.0340000000001</v>
      </c>
      <c r="S178" s="1275">
        <f t="shared" si="145"/>
        <v>1766.4749999999999</v>
      </c>
      <c r="T178" s="1275">
        <f t="shared" si="145"/>
        <v>1672.2570000000001</v>
      </c>
      <c r="U178" s="1275">
        <f t="shared" si="145"/>
        <v>1558.694</v>
      </c>
      <c r="V178" s="1275">
        <f t="shared" si="145"/>
        <v>868.8</v>
      </c>
      <c r="W178" s="1275">
        <f t="shared" si="145"/>
        <v>806.81299999999999</v>
      </c>
      <c r="X178" s="1275">
        <f t="shared" si="145"/>
        <v>1057.443</v>
      </c>
      <c r="Y178" s="1275">
        <f t="shared" si="145"/>
        <v>1503.0440000000001</v>
      </c>
      <c r="Z178" s="1275">
        <f t="shared" si="145"/>
        <v>1587.62</v>
      </c>
      <c r="AA178" s="1275">
        <f t="shared" si="145"/>
        <v>1811.8510000000001</v>
      </c>
      <c r="AB178" s="1275">
        <f t="shared" si="145"/>
        <v>1082.287</v>
      </c>
      <c r="AC178" s="1275">
        <f t="shared" si="145"/>
        <v>1641.98</v>
      </c>
      <c r="AD178" s="1275">
        <f t="shared" si="145"/>
        <v>1004.04</v>
      </c>
      <c r="AE178" s="1275">
        <f t="shared" si="145"/>
        <v>1184.579</v>
      </c>
      <c r="AF178" s="1275">
        <f t="shared" si="145"/>
        <v>1574.8209999999999</v>
      </c>
      <c r="AG178" s="1275">
        <f t="shared" si="145"/>
        <v>1206.049</v>
      </c>
      <c r="AH178" s="1275">
        <f t="shared" si="145"/>
        <v>1381.1950000000002</v>
      </c>
      <c r="AI178" s="1275">
        <f t="shared" si="145"/>
        <v>1535.51</v>
      </c>
      <c r="AJ178" s="1275">
        <f t="shared" si="145"/>
        <v>2149.1410000000001</v>
      </c>
      <c r="AK178" s="1275">
        <f t="shared" si="145"/>
        <v>1480.154</v>
      </c>
      <c r="AL178" s="1275">
        <f t="shared" si="145"/>
        <v>2179.2020000000002</v>
      </c>
      <c r="AM178" s="1275">
        <f t="shared" ref="AM178:AR178" si="146">AM59</f>
        <v>1650.579</v>
      </c>
      <c r="AN178" s="1275">
        <f t="shared" si="146"/>
        <v>1209.9690000000001</v>
      </c>
      <c r="AO178" s="1275">
        <f t="shared" si="146"/>
        <v>1620.4010000000001</v>
      </c>
      <c r="AP178" s="1275">
        <f t="shared" si="146"/>
        <v>2020.684</v>
      </c>
      <c r="AQ178" s="1275">
        <f t="shared" si="146"/>
        <v>2235.98</v>
      </c>
      <c r="AR178" s="1275">
        <f t="shared" si="146"/>
        <v>2124.64</v>
      </c>
      <c r="AS178" s="1275">
        <f t="shared" ref="AS178:AT178" si="147">AS59</f>
        <v>1261.914</v>
      </c>
      <c r="AT178" s="1275">
        <f t="shared" si="147"/>
        <v>2278.75</v>
      </c>
    </row>
    <row r="179" spans="1:46" s="1256" customFormat="1">
      <c r="A179" s="1263"/>
      <c r="B179" s="152" t="s">
        <v>23</v>
      </c>
      <c r="C179" s="1256">
        <v>27457</v>
      </c>
      <c r="D179" s="1256">
        <v>24003</v>
      </c>
      <c r="E179" s="1256">
        <v>25174</v>
      </c>
      <c r="F179" s="1256">
        <v>26407</v>
      </c>
      <c r="G179" s="1256">
        <v>24700</v>
      </c>
      <c r="H179" s="1256">
        <v>27383</v>
      </c>
      <c r="I179" s="1256">
        <v>22888</v>
      </c>
      <c r="J179" s="1256">
        <v>24816</v>
      </c>
      <c r="K179" s="1256">
        <v>26020</v>
      </c>
      <c r="L179" s="1256">
        <v>24051</v>
      </c>
      <c r="M179" s="1256">
        <v>24012</v>
      </c>
      <c r="N179" s="1275">
        <f t="shared" ref="N179:AL179" si="148">N31</f>
        <v>26272</v>
      </c>
      <c r="O179" s="1275">
        <f t="shared" si="148"/>
        <v>24319.21</v>
      </c>
      <c r="P179" s="1275">
        <f t="shared" si="148"/>
        <v>24021.67</v>
      </c>
      <c r="Q179" s="1275">
        <f t="shared" si="148"/>
        <v>26022.28</v>
      </c>
      <c r="R179" s="1275">
        <f t="shared" si="148"/>
        <v>26633.119999999999</v>
      </c>
      <c r="S179" s="1275">
        <f t="shared" si="148"/>
        <v>24504.5</v>
      </c>
      <c r="T179" s="1275">
        <f t="shared" si="148"/>
        <v>23503.29</v>
      </c>
      <c r="U179" s="1275">
        <f t="shared" si="148"/>
        <v>19670.099999999999</v>
      </c>
      <c r="V179" s="1275">
        <f t="shared" si="148"/>
        <v>21134.53</v>
      </c>
      <c r="W179" s="1275">
        <f t="shared" si="148"/>
        <v>26056.080000000002</v>
      </c>
      <c r="X179" s="1275">
        <f t="shared" si="148"/>
        <v>21784.99</v>
      </c>
      <c r="Y179" s="1275">
        <f t="shared" si="148"/>
        <v>19541.93</v>
      </c>
      <c r="Z179" s="1275">
        <f t="shared" si="148"/>
        <v>22520.77</v>
      </c>
      <c r="AA179" s="1275">
        <f t="shared" si="148"/>
        <v>23505.4</v>
      </c>
      <c r="AB179" s="1275">
        <f t="shared" si="148"/>
        <v>22631.1</v>
      </c>
      <c r="AC179" s="1275">
        <f t="shared" si="148"/>
        <v>24258.53</v>
      </c>
      <c r="AD179" s="1275">
        <f t="shared" si="148"/>
        <v>12835.73</v>
      </c>
      <c r="AE179" s="1275">
        <f t="shared" si="148"/>
        <v>21416</v>
      </c>
      <c r="AF179" s="1275">
        <f t="shared" si="148"/>
        <v>25125.67</v>
      </c>
      <c r="AG179" s="1275">
        <f t="shared" si="148"/>
        <v>22305.64</v>
      </c>
      <c r="AH179" s="1275">
        <f t="shared" si="148"/>
        <v>21250.07</v>
      </c>
      <c r="AI179" s="1275">
        <f t="shared" si="148"/>
        <v>22887.7</v>
      </c>
      <c r="AJ179" s="1275">
        <f t="shared" si="148"/>
        <v>25058</v>
      </c>
      <c r="AK179" s="1275">
        <f t="shared" si="148"/>
        <v>22645.77</v>
      </c>
      <c r="AL179" s="1275">
        <f t="shared" si="148"/>
        <v>19635.169999999998</v>
      </c>
      <c r="AM179" s="1275">
        <f t="shared" ref="AM179:AR179" si="149">AM31</f>
        <v>23006</v>
      </c>
      <c r="AN179" s="1275">
        <f t="shared" si="149"/>
        <v>20415.490000000002</v>
      </c>
      <c r="AO179" s="1275">
        <f t="shared" si="149"/>
        <v>25126</v>
      </c>
      <c r="AP179" s="1275">
        <f t="shared" si="149"/>
        <v>26010</v>
      </c>
      <c r="AQ179" s="1275">
        <f t="shared" si="149"/>
        <v>24211.68</v>
      </c>
      <c r="AR179" s="1275">
        <f t="shared" si="149"/>
        <v>25307.57</v>
      </c>
      <c r="AS179" s="1275">
        <f t="shared" ref="AS179:AT179" si="150">AS31</f>
        <v>23011.62</v>
      </c>
      <c r="AT179" s="1275">
        <f t="shared" si="150"/>
        <v>24240.1</v>
      </c>
    </row>
    <row r="180" spans="1:46" s="1256" customFormat="1">
      <c r="A180" s="1263"/>
      <c r="B180" s="152" t="s">
        <v>395</v>
      </c>
      <c r="C180" s="1256">
        <v>274142</v>
      </c>
      <c r="D180" s="1256">
        <v>242013</v>
      </c>
      <c r="E180" s="1256">
        <v>266860</v>
      </c>
      <c r="F180" s="1256">
        <v>262142</v>
      </c>
      <c r="G180" s="1256">
        <v>277144</v>
      </c>
      <c r="H180" s="1256">
        <v>262292</v>
      </c>
      <c r="I180" s="1256">
        <v>269777</v>
      </c>
      <c r="J180" s="1256">
        <v>257309</v>
      </c>
      <c r="K180" s="1256">
        <v>256564</v>
      </c>
      <c r="L180" s="1256">
        <v>264261</v>
      </c>
      <c r="M180" s="1256">
        <v>257659</v>
      </c>
      <c r="N180" s="1275">
        <f t="shared" ref="N180:AL180" si="151">N3</f>
        <v>270292</v>
      </c>
      <c r="O180" s="1275">
        <f t="shared" si="151"/>
        <v>275691</v>
      </c>
      <c r="P180" s="1275">
        <f t="shared" si="151"/>
        <v>248749</v>
      </c>
      <c r="Q180" s="1275">
        <f t="shared" si="151"/>
        <v>275418</v>
      </c>
      <c r="R180" s="1275">
        <f t="shared" si="151"/>
        <v>255794</v>
      </c>
      <c r="S180" s="1275">
        <f t="shared" si="151"/>
        <v>254506</v>
      </c>
      <c r="T180" s="1275">
        <f t="shared" si="151"/>
        <v>249533</v>
      </c>
      <c r="U180" s="1275">
        <f t="shared" si="151"/>
        <v>263026</v>
      </c>
      <c r="V180" s="1275">
        <f t="shared" si="151"/>
        <v>260631</v>
      </c>
      <c r="W180" s="1275">
        <f t="shared" si="151"/>
        <v>235135</v>
      </c>
      <c r="X180" s="1275">
        <f t="shared" si="151"/>
        <v>248126</v>
      </c>
      <c r="Y180" s="1275">
        <f t="shared" si="151"/>
        <v>246864</v>
      </c>
      <c r="Z180" s="1275">
        <f t="shared" si="151"/>
        <v>256524</v>
      </c>
      <c r="AA180" s="1275">
        <f t="shared" si="151"/>
        <v>265436</v>
      </c>
      <c r="AB180" s="1275">
        <f t="shared" si="151"/>
        <v>244480</v>
      </c>
      <c r="AC180" s="1275">
        <f t="shared" si="151"/>
        <v>272809</v>
      </c>
      <c r="AD180" s="1275">
        <f t="shared" si="151"/>
        <v>261239</v>
      </c>
      <c r="AE180" s="1275">
        <f t="shared" si="151"/>
        <v>264586</v>
      </c>
      <c r="AF180" s="1275">
        <f t="shared" si="151"/>
        <v>249673</v>
      </c>
      <c r="AG180" s="1275">
        <f t="shared" si="151"/>
        <v>245615</v>
      </c>
      <c r="AH180" s="1275">
        <f t="shared" si="151"/>
        <v>228054</v>
      </c>
      <c r="AI180" s="1275">
        <f t="shared" si="151"/>
        <v>245362</v>
      </c>
      <c r="AJ180" s="1275">
        <f t="shared" si="151"/>
        <v>265529</v>
      </c>
      <c r="AK180" s="1275">
        <f t="shared" si="151"/>
        <v>260769</v>
      </c>
      <c r="AL180" s="1275">
        <f t="shared" si="151"/>
        <v>264021</v>
      </c>
      <c r="AM180" s="1275">
        <f t="shared" ref="AM180:AO181" si="152">AM3</f>
        <v>269124</v>
      </c>
      <c r="AN180" s="1275">
        <f t="shared" si="152"/>
        <v>244845</v>
      </c>
      <c r="AO180" s="1275">
        <f t="shared" si="152"/>
        <v>263884</v>
      </c>
      <c r="AP180" s="1275">
        <f t="shared" ref="AP180" si="153">AP3</f>
        <v>263202</v>
      </c>
      <c r="AQ180" s="1275">
        <f t="shared" ref="AQ180:AS181" si="154">AQ3</f>
        <v>277404</v>
      </c>
      <c r="AR180" s="1275">
        <f t="shared" si="154"/>
        <v>265336</v>
      </c>
      <c r="AS180" s="1275">
        <f t="shared" si="154"/>
        <v>268747</v>
      </c>
      <c r="AT180" s="1275">
        <f t="shared" ref="AT180" si="155">AT3</f>
        <v>277150</v>
      </c>
    </row>
    <row r="181" spans="1:46" s="1256" customFormat="1">
      <c r="A181" s="1263"/>
      <c r="B181" s="152" t="s">
        <v>275</v>
      </c>
      <c r="C181" s="1256">
        <v>865940</v>
      </c>
      <c r="D181" s="1256">
        <v>797522</v>
      </c>
      <c r="E181" s="1256">
        <v>900897</v>
      </c>
      <c r="F181" s="1256">
        <v>900561</v>
      </c>
      <c r="G181" s="1256">
        <v>800791</v>
      </c>
      <c r="H181" s="1256">
        <v>911421</v>
      </c>
      <c r="I181" s="1256">
        <v>908487</v>
      </c>
      <c r="J181" s="1256">
        <v>956610</v>
      </c>
      <c r="K181" s="1256">
        <v>797671</v>
      </c>
      <c r="L181" s="1256">
        <v>904745</v>
      </c>
      <c r="M181" s="1256">
        <v>871706</v>
      </c>
      <c r="N181" s="1275">
        <f t="shared" ref="N181:AL181" si="156">N4</f>
        <v>863663</v>
      </c>
      <c r="O181" s="1275">
        <f t="shared" si="156"/>
        <v>846351</v>
      </c>
      <c r="P181" s="1275">
        <f t="shared" si="156"/>
        <v>826161</v>
      </c>
      <c r="Q181" s="1275">
        <f t="shared" si="156"/>
        <v>758939</v>
      </c>
      <c r="R181" s="1275">
        <f t="shared" si="156"/>
        <v>869257</v>
      </c>
      <c r="S181" s="1275">
        <f t="shared" si="156"/>
        <v>872958</v>
      </c>
      <c r="T181" s="1275">
        <f t="shared" si="156"/>
        <v>837724</v>
      </c>
      <c r="U181" s="1275">
        <f t="shared" si="156"/>
        <v>884757</v>
      </c>
      <c r="V181" s="1275">
        <f t="shared" si="156"/>
        <v>898433</v>
      </c>
      <c r="W181" s="1275">
        <f t="shared" si="156"/>
        <v>793382</v>
      </c>
      <c r="X181" s="1275">
        <f t="shared" si="156"/>
        <v>907174</v>
      </c>
      <c r="Y181" s="1275">
        <f t="shared" si="156"/>
        <v>970564</v>
      </c>
      <c r="Z181" s="1275">
        <f t="shared" si="156"/>
        <v>984567</v>
      </c>
      <c r="AA181" s="1275">
        <f t="shared" si="156"/>
        <v>834215</v>
      </c>
      <c r="AB181" s="1275">
        <f t="shared" si="156"/>
        <v>828131</v>
      </c>
      <c r="AC181" s="1275">
        <f t="shared" si="156"/>
        <v>919612</v>
      </c>
      <c r="AD181" s="1275">
        <f t="shared" si="156"/>
        <v>932730</v>
      </c>
      <c r="AE181" s="1275">
        <f t="shared" si="156"/>
        <v>957057</v>
      </c>
      <c r="AF181" s="1275">
        <f t="shared" si="156"/>
        <v>721013</v>
      </c>
      <c r="AG181" s="1275">
        <f t="shared" si="156"/>
        <v>530108</v>
      </c>
      <c r="AH181" s="1275">
        <f t="shared" si="156"/>
        <v>646364</v>
      </c>
      <c r="AI181" s="1275">
        <f t="shared" si="156"/>
        <v>451401</v>
      </c>
      <c r="AJ181" s="1275">
        <f t="shared" si="156"/>
        <v>819527</v>
      </c>
      <c r="AK181" s="1275">
        <f t="shared" si="156"/>
        <v>845333</v>
      </c>
      <c r="AL181" s="1275">
        <f t="shared" si="156"/>
        <v>764972</v>
      </c>
      <c r="AM181" s="1275">
        <f t="shared" si="152"/>
        <v>932614</v>
      </c>
      <c r="AN181" s="1275">
        <f t="shared" si="152"/>
        <v>918211</v>
      </c>
      <c r="AO181" s="1275">
        <f t="shared" si="152"/>
        <v>991634</v>
      </c>
      <c r="AP181" s="1275">
        <f t="shared" ref="AP181" si="157">AP4</f>
        <v>972695</v>
      </c>
      <c r="AQ181" s="1275">
        <f t="shared" si="154"/>
        <v>1022017</v>
      </c>
      <c r="AR181" s="1275">
        <f t="shared" si="154"/>
        <v>990078</v>
      </c>
      <c r="AS181" s="1275">
        <f t="shared" si="154"/>
        <v>996693</v>
      </c>
      <c r="AT181" s="1275">
        <f t="shared" ref="AT181" si="158">AT4</f>
        <v>1031862</v>
      </c>
    </row>
    <row r="182" spans="1:46" s="1256" customFormat="1">
      <c r="A182" s="1263"/>
      <c r="B182" s="152" t="s">
        <v>25</v>
      </c>
      <c r="C182" s="1256">
        <v>739319</v>
      </c>
      <c r="D182" s="1256">
        <v>627545</v>
      </c>
      <c r="E182" s="1256">
        <v>706848</v>
      </c>
      <c r="F182" s="1256">
        <v>663511</v>
      </c>
      <c r="G182" s="1256">
        <v>668497</v>
      </c>
      <c r="H182" s="1256">
        <v>675371</v>
      </c>
      <c r="I182" s="1256">
        <v>684242</v>
      </c>
      <c r="J182" s="1256">
        <v>717353</v>
      </c>
      <c r="K182" s="1256">
        <v>653124</v>
      </c>
      <c r="L182" s="1256">
        <v>673210</v>
      </c>
      <c r="M182" s="1256">
        <v>659065</v>
      </c>
      <c r="N182" s="1275">
        <f t="shared" ref="N182:AL182" si="159">N7</f>
        <v>693946</v>
      </c>
      <c r="O182" s="1275">
        <f t="shared" si="159"/>
        <v>693450</v>
      </c>
      <c r="P182" s="1275">
        <f t="shared" si="159"/>
        <v>652809</v>
      </c>
      <c r="Q182" s="1275">
        <f t="shared" si="159"/>
        <v>653158</v>
      </c>
      <c r="R182" s="1275">
        <f t="shared" si="159"/>
        <v>687630</v>
      </c>
      <c r="S182" s="1275">
        <f t="shared" si="159"/>
        <v>710250</v>
      </c>
      <c r="T182" s="1275">
        <f t="shared" si="159"/>
        <v>679771</v>
      </c>
      <c r="U182" s="1275">
        <f t="shared" si="159"/>
        <v>704953</v>
      </c>
      <c r="V182" s="1275">
        <f t="shared" si="159"/>
        <v>710310</v>
      </c>
      <c r="W182" s="1275">
        <f t="shared" si="159"/>
        <v>604317</v>
      </c>
      <c r="X182" s="1275">
        <f t="shared" si="159"/>
        <v>713071</v>
      </c>
      <c r="Y182" s="1275">
        <f t="shared" si="159"/>
        <v>720798</v>
      </c>
      <c r="Z182" s="1275">
        <f t="shared" si="159"/>
        <v>730776</v>
      </c>
      <c r="AA182" s="1275">
        <f t="shared" si="159"/>
        <v>729286.8</v>
      </c>
      <c r="AB182" s="1275">
        <f t="shared" si="159"/>
        <v>681529</v>
      </c>
      <c r="AC182" s="1275">
        <f t="shared" si="159"/>
        <v>721360</v>
      </c>
      <c r="AD182" s="1275">
        <f t="shared" si="159"/>
        <v>733504</v>
      </c>
      <c r="AE182" s="1275">
        <f t="shared" si="159"/>
        <v>736967</v>
      </c>
      <c r="AF182" s="1275">
        <f t="shared" si="159"/>
        <v>529427</v>
      </c>
      <c r="AG182" s="1275">
        <f t="shared" si="159"/>
        <v>474443</v>
      </c>
      <c r="AH182" s="1275">
        <f t="shared" si="159"/>
        <v>455236</v>
      </c>
      <c r="AI182" s="1275">
        <f t="shared" si="159"/>
        <v>433186</v>
      </c>
      <c r="AJ182" s="1275">
        <f t="shared" si="159"/>
        <v>691217</v>
      </c>
      <c r="AK182" s="1275">
        <f t="shared" si="159"/>
        <v>746962</v>
      </c>
      <c r="AL182" s="1275">
        <f t="shared" si="159"/>
        <v>767002</v>
      </c>
      <c r="AM182" s="1275">
        <f t="shared" ref="AM182:AR182" si="160">AM7</f>
        <v>765676</v>
      </c>
      <c r="AN182" s="1275">
        <f t="shared" si="160"/>
        <v>718384</v>
      </c>
      <c r="AO182" s="1275">
        <f t="shared" si="160"/>
        <v>796822</v>
      </c>
      <c r="AP182" s="1275">
        <f t="shared" si="160"/>
        <v>789981</v>
      </c>
      <c r="AQ182" s="1275">
        <f t="shared" si="160"/>
        <v>811967</v>
      </c>
      <c r="AR182" s="1275">
        <f t="shared" si="160"/>
        <v>799267</v>
      </c>
      <c r="AS182" s="1275">
        <f t="shared" ref="AS182:AT182" si="161">AS7</f>
        <v>801083</v>
      </c>
      <c r="AT182" s="1275">
        <f t="shared" si="161"/>
        <v>784915</v>
      </c>
    </row>
    <row r="183" spans="1:46" s="1256" customFormat="1">
      <c r="A183" s="1263"/>
      <c r="B183" s="152" t="s">
        <v>26</v>
      </c>
      <c r="C183" s="1256">
        <v>937637</v>
      </c>
      <c r="D183" s="1256">
        <v>829058</v>
      </c>
      <c r="E183" s="1256">
        <v>925966</v>
      </c>
      <c r="F183" s="1256">
        <v>880019</v>
      </c>
      <c r="G183" s="1256">
        <v>889022</v>
      </c>
      <c r="H183" s="1256">
        <v>901096</v>
      </c>
      <c r="I183" s="1256">
        <v>899928</v>
      </c>
      <c r="J183" s="1256">
        <v>918347</v>
      </c>
      <c r="K183" s="1256">
        <v>834093</v>
      </c>
      <c r="L183" s="1256">
        <v>907221</v>
      </c>
      <c r="M183" s="1256">
        <v>868657</v>
      </c>
      <c r="N183" s="1275">
        <f t="shared" ref="N183:AL183" si="162">N11</f>
        <v>912815.09499999997</v>
      </c>
      <c r="O183" s="1275">
        <f t="shared" si="162"/>
        <v>899999.06700000004</v>
      </c>
      <c r="P183" s="1275">
        <f t="shared" si="162"/>
        <v>850071.01</v>
      </c>
      <c r="Q183" s="1275">
        <f t="shared" si="162"/>
        <v>898119.28700000001</v>
      </c>
      <c r="R183" s="1275">
        <f t="shared" si="162"/>
        <v>915754.09400000004</v>
      </c>
      <c r="S183" s="1275">
        <f t="shared" si="162"/>
        <v>935304.94499999995</v>
      </c>
      <c r="T183" s="1275">
        <f t="shared" si="162"/>
        <v>894044.73</v>
      </c>
      <c r="U183" s="1275">
        <f t="shared" si="162"/>
        <v>954510.85</v>
      </c>
      <c r="V183" s="1275">
        <f t="shared" si="162"/>
        <v>949521.76100000006</v>
      </c>
      <c r="W183" s="1275">
        <f t="shared" si="162"/>
        <v>779867.90700000001</v>
      </c>
      <c r="X183" s="1275">
        <f t="shared" si="162"/>
        <v>913370.06700000004</v>
      </c>
      <c r="Y183" s="1275">
        <f t="shared" si="162"/>
        <v>927457.29500000004</v>
      </c>
      <c r="Z183" s="1275">
        <f t="shared" si="162"/>
        <v>940733.95799999998</v>
      </c>
      <c r="AA183" s="1275">
        <f t="shared" si="162"/>
        <v>961186.88500000001</v>
      </c>
      <c r="AB183" s="1275">
        <f t="shared" si="162"/>
        <v>903023.93400000001</v>
      </c>
      <c r="AC183" s="1275">
        <f t="shared" si="162"/>
        <v>927003.32900000003</v>
      </c>
      <c r="AD183" s="1275">
        <f t="shared" si="162"/>
        <v>914366.97400000005</v>
      </c>
      <c r="AE183" s="1275">
        <f t="shared" si="162"/>
        <v>967965.26300000004</v>
      </c>
      <c r="AF183" s="1275">
        <f t="shared" si="162"/>
        <v>783459.04700000002</v>
      </c>
      <c r="AG183" s="1275">
        <f t="shared" si="162"/>
        <v>802165.81300000008</v>
      </c>
      <c r="AH183" s="1275">
        <f t="shared" si="162"/>
        <v>761398.20900000003</v>
      </c>
      <c r="AI183" s="1275">
        <f t="shared" si="162"/>
        <v>758580.25699999998</v>
      </c>
      <c r="AJ183" s="1275">
        <f t="shared" si="162"/>
        <v>929958.50699999998</v>
      </c>
      <c r="AK183" s="1275">
        <f t="shared" si="162"/>
        <v>968348.82000000007</v>
      </c>
      <c r="AL183" s="1275">
        <f t="shared" si="162"/>
        <v>1011171.6159999999</v>
      </c>
      <c r="AM183" s="1275">
        <f t="shared" ref="AM183:AR183" si="163">AM11</f>
        <v>1005207.8129999998</v>
      </c>
      <c r="AN183" s="1275">
        <f t="shared" si="163"/>
        <v>949966.78500000003</v>
      </c>
      <c r="AO183" s="1275">
        <f t="shared" si="163"/>
        <v>1077865.5969999998</v>
      </c>
      <c r="AP183" s="1275">
        <f t="shared" si="163"/>
        <v>1036390.4679999999</v>
      </c>
      <c r="AQ183" s="1275">
        <f t="shared" si="163"/>
        <v>1087027.4110000001</v>
      </c>
      <c r="AR183" s="1275">
        <f t="shared" si="163"/>
        <v>1083451.466</v>
      </c>
      <c r="AS183" s="1275">
        <f t="shared" ref="AS183:AT183" si="164">AS11</f>
        <v>1099973.3669999999</v>
      </c>
      <c r="AT183" s="1275">
        <f t="shared" si="164"/>
        <v>1089890</v>
      </c>
    </row>
    <row r="184" spans="1:46">
      <c r="B184" s="154" t="s">
        <v>396</v>
      </c>
      <c r="C184" s="1262">
        <v>356975</v>
      </c>
      <c r="D184" s="1262">
        <v>325061</v>
      </c>
      <c r="E184" s="1262">
        <v>356612</v>
      </c>
      <c r="F184" s="1262">
        <v>348009</v>
      </c>
      <c r="G184" s="1262">
        <v>351736</v>
      </c>
      <c r="H184" s="1262">
        <v>355696</v>
      </c>
      <c r="I184" s="1262">
        <v>357866</v>
      </c>
      <c r="J184" s="1262">
        <v>339037</v>
      </c>
      <c r="K184" s="1262">
        <v>318436</v>
      </c>
      <c r="L184" s="1262">
        <v>363103</v>
      </c>
      <c r="M184" s="1262">
        <v>343338</v>
      </c>
      <c r="N184" s="1277">
        <f t="shared" ref="N184:AL184" si="165">N32</f>
        <v>350317.85700000002</v>
      </c>
      <c r="O184" s="1277">
        <f t="shared" si="165"/>
        <v>354919.05800000002</v>
      </c>
      <c r="P184" s="1277">
        <f t="shared" si="165"/>
        <v>317758.755</v>
      </c>
      <c r="Q184" s="1277">
        <f t="shared" si="165"/>
        <v>343165.04599999997</v>
      </c>
      <c r="R184" s="1277">
        <f t="shared" si="165"/>
        <v>349836.14500000002</v>
      </c>
      <c r="S184" s="1277">
        <f t="shared" si="165"/>
        <v>360929.50599999999</v>
      </c>
      <c r="T184" s="1277">
        <f t="shared" si="165"/>
        <v>352254.31300000002</v>
      </c>
      <c r="U184" s="1277">
        <f t="shared" si="165"/>
        <v>360824.56199999998</v>
      </c>
      <c r="V184" s="1277">
        <f t="shared" si="165"/>
        <v>366851.66800000001</v>
      </c>
      <c r="W184" s="1277">
        <f t="shared" si="165"/>
        <v>299668.07199999999</v>
      </c>
      <c r="X184" s="1277">
        <f t="shared" si="165"/>
        <v>341913.07199999999</v>
      </c>
      <c r="Y184" s="1277">
        <f t="shared" si="165"/>
        <v>359052.41700000002</v>
      </c>
      <c r="Z184" s="1277">
        <f t="shared" si="165"/>
        <v>368829.74300000002</v>
      </c>
      <c r="AA184" s="1277">
        <f t="shared" si="165"/>
        <v>356186.88900000002</v>
      </c>
      <c r="AB184" s="1277">
        <f t="shared" si="165"/>
        <v>333605.37199999997</v>
      </c>
      <c r="AC184" s="1277">
        <f t="shared" si="165"/>
        <v>341736.23100000003</v>
      </c>
      <c r="AD184" s="1277">
        <f t="shared" si="165"/>
        <v>265611.68800000002</v>
      </c>
      <c r="AE184" s="1277">
        <f t="shared" si="165"/>
        <v>344313.55900000001</v>
      </c>
      <c r="AF184" s="1277">
        <f t="shared" si="165"/>
        <v>348793.09499999997</v>
      </c>
      <c r="AG184" s="1277">
        <f t="shared" si="165"/>
        <v>370244.57499999995</v>
      </c>
      <c r="AH184" s="1277">
        <f t="shared" si="165"/>
        <v>349315.35600000003</v>
      </c>
      <c r="AI184" s="1277">
        <f t="shared" si="165"/>
        <v>367976.93300000002</v>
      </c>
      <c r="AJ184" s="1277">
        <f t="shared" si="165"/>
        <v>366950.12699999998</v>
      </c>
      <c r="AK184" s="1277">
        <f t="shared" si="165"/>
        <v>356145.75800000003</v>
      </c>
      <c r="AL184" s="1277">
        <f t="shared" si="165"/>
        <v>387525.66200000001</v>
      </c>
      <c r="AM184" s="1277">
        <f t="shared" ref="AM184:AR184" si="166">AM32</f>
        <v>366211.77699999994</v>
      </c>
      <c r="AN184" s="1277">
        <f t="shared" si="166"/>
        <v>334457.11300000001</v>
      </c>
      <c r="AO184" s="1277">
        <f t="shared" si="166"/>
        <v>378024.54100000003</v>
      </c>
      <c r="AP184" s="1277">
        <f t="shared" si="166"/>
        <v>350561.61499999999</v>
      </c>
      <c r="AQ184" s="1277">
        <f t="shared" si="166"/>
        <v>381736.38</v>
      </c>
      <c r="AR184" s="1277">
        <f t="shared" si="166"/>
        <v>371584.70600000001</v>
      </c>
      <c r="AS184" s="1277">
        <f t="shared" ref="AS184:AT184" si="167">AS32</f>
        <v>387133.28499999997</v>
      </c>
      <c r="AT184" s="1277">
        <f t="shared" si="167"/>
        <v>377980</v>
      </c>
    </row>
    <row r="185" spans="1:46">
      <c r="B185" s="154" t="s">
        <v>52</v>
      </c>
      <c r="C185" s="1262">
        <v>580662</v>
      </c>
      <c r="D185" s="1262">
        <v>503997</v>
      </c>
      <c r="E185" s="1262">
        <v>569354</v>
      </c>
      <c r="F185" s="1262">
        <v>532010</v>
      </c>
      <c r="G185" s="1262">
        <v>537286</v>
      </c>
      <c r="H185" s="1262">
        <v>545400</v>
      </c>
      <c r="I185" s="1262">
        <v>542062</v>
      </c>
      <c r="J185" s="1262">
        <v>579310</v>
      </c>
      <c r="K185" s="1262">
        <v>515657</v>
      </c>
      <c r="L185" s="1262">
        <v>544118</v>
      </c>
      <c r="M185" s="1262">
        <v>525319</v>
      </c>
      <c r="N185" s="1277">
        <f>N183-N184</f>
        <v>562497.2379999999</v>
      </c>
      <c r="O185" s="1277">
        <f>O183-O184</f>
        <v>545080.00900000008</v>
      </c>
      <c r="P185" s="1277">
        <f t="shared" ref="P185:Z185" si="168">P183-P184</f>
        <v>532312.255</v>
      </c>
      <c r="Q185" s="1277">
        <f t="shared" si="168"/>
        <v>554954.24100000004</v>
      </c>
      <c r="R185" s="1277">
        <f t="shared" si="168"/>
        <v>565917.94900000002</v>
      </c>
      <c r="S185" s="1277">
        <f t="shared" si="168"/>
        <v>574375.43900000001</v>
      </c>
      <c r="T185" s="1277">
        <f t="shared" si="168"/>
        <v>541790.4169999999</v>
      </c>
      <c r="U185" s="1277">
        <f t="shared" si="168"/>
        <v>593686.28799999994</v>
      </c>
      <c r="V185" s="1277">
        <f t="shared" si="168"/>
        <v>582670.09300000011</v>
      </c>
      <c r="W185" s="1277">
        <f t="shared" si="168"/>
        <v>480199.83500000002</v>
      </c>
      <c r="X185" s="1277">
        <f t="shared" si="168"/>
        <v>571456.99500000011</v>
      </c>
      <c r="Y185" s="1277">
        <f t="shared" si="168"/>
        <v>568404.87800000003</v>
      </c>
      <c r="Z185" s="1277">
        <f t="shared" si="168"/>
        <v>571904.21499999997</v>
      </c>
      <c r="AA185" s="1277">
        <f>AA183-AA184</f>
        <v>604999.99600000004</v>
      </c>
      <c r="AB185" s="1277">
        <f>AB183-AB184</f>
        <v>569418.56200000003</v>
      </c>
      <c r="AC185" s="1277">
        <f t="shared" ref="AC185:AL185" si="169">AC183-AC184</f>
        <v>585267.098</v>
      </c>
      <c r="AD185" s="1277">
        <f t="shared" si="169"/>
        <v>648755.28600000008</v>
      </c>
      <c r="AE185" s="1277">
        <f t="shared" si="169"/>
        <v>623651.70400000003</v>
      </c>
      <c r="AF185" s="1277">
        <f t="shared" si="169"/>
        <v>434665.95200000005</v>
      </c>
      <c r="AG185" s="1277">
        <f t="shared" si="169"/>
        <v>431921.23800000013</v>
      </c>
      <c r="AH185" s="1277">
        <f t="shared" si="169"/>
        <v>412082.853</v>
      </c>
      <c r="AI185" s="1277">
        <f t="shared" si="169"/>
        <v>390603.32399999996</v>
      </c>
      <c r="AJ185" s="1277">
        <f t="shared" si="169"/>
        <v>563008.38</v>
      </c>
      <c r="AK185" s="1277">
        <f t="shared" si="169"/>
        <v>612203.06200000003</v>
      </c>
      <c r="AL185" s="1277">
        <f t="shared" si="169"/>
        <v>623645.95399999991</v>
      </c>
      <c r="AM185" s="1277">
        <f t="shared" ref="AM185:AR185" si="170">AM183-AM184</f>
        <v>638996.03599999985</v>
      </c>
      <c r="AN185" s="1277">
        <f t="shared" si="170"/>
        <v>615509.67200000002</v>
      </c>
      <c r="AO185" s="1277">
        <f t="shared" si="170"/>
        <v>699841.05599999987</v>
      </c>
      <c r="AP185" s="1277">
        <f t="shared" si="170"/>
        <v>685828.85299999989</v>
      </c>
      <c r="AQ185" s="1277">
        <f t="shared" si="170"/>
        <v>705291.03100000008</v>
      </c>
      <c r="AR185" s="1277">
        <f t="shared" si="170"/>
        <v>711866.76</v>
      </c>
      <c r="AS185" s="1277">
        <f t="shared" ref="AS185:AT185" si="171">AS183-AS184</f>
        <v>712840.08199999994</v>
      </c>
      <c r="AT185" s="1277">
        <f t="shared" si="171"/>
        <v>711910</v>
      </c>
    </row>
    <row r="186" spans="1:46" s="1256" customFormat="1">
      <c r="A186" s="1263"/>
      <c r="B186" s="152" t="s">
        <v>28</v>
      </c>
      <c r="C186" s="1256">
        <v>899874</v>
      </c>
      <c r="D186" s="1256">
        <v>775535</v>
      </c>
      <c r="E186" s="1256">
        <v>876835</v>
      </c>
      <c r="F186" s="1256">
        <v>814130</v>
      </c>
      <c r="G186" s="1256">
        <v>826114</v>
      </c>
      <c r="H186" s="1256">
        <v>828749</v>
      </c>
      <c r="I186" s="1256">
        <v>826944</v>
      </c>
      <c r="J186" s="1256">
        <v>885859</v>
      </c>
      <c r="K186" s="1256">
        <v>780727</v>
      </c>
      <c r="L186" s="1256">
        <v>850608</v>
      </c>
      <c r="M186" s="1256">
        <v>795890</v>
      </c>
      <c r="N186" s="1275">
        <f t="shared" ref="N186:AL186" si="172">N39</f>
        <v>845769.38569999998</v>
      </c>
      <c r="O186" s="1275">
        <f t="shared" si="172"/>
        <v>798010.29642999999</v>
      </c>
      <c r="P186" s="1275">
        <f t="shared" si="172"/>
        <v>802361.64428000001</v>
      </c>
      <c r="Q186" s="1275">
        <f t="shared" si="172"/>
        <v>864995.53799999994</v>
      </c>
      <c r="R186" s="1275">
        <f t="shared" si="172"/>
        <v>865495.67099999997</v>
      </c>
      <c r="S186" s="1275">
        <f t="shared" si="172"/>
        <v>855458.62899999996</v>
      </c>
      <c r="T186" s="1275">
        <f t="shared" si="172"/>
        <v>744252.02009999997</v>
      </c>
      <c r="U186" s="1275">
        <f t="shared" si="172"/>
        <v>918964.04570000002</v>
      </c>
      <c r="V186" s="1275">
        <f t="shared" si="172"/>
        <v>902000.76809999999</v>
      </c>
      <c r="W186" s="1275">
        <f t="shared" si="172"/>
        <v>773066.85800000001</v>
      </c>
      <c r="X186" s="1275">
        <f t="shared" si="172"/>
        <v>822089.96799999999</v>
      </c>
      <c r="Y186" s="1275">
        <f t="shared" si="172"/>
        <v>849761.7291</v>
      </c>
      <c r="Z186" s="1275">
        <f t="shared" si="172"/>
        <v>896103.41722299997</v>
      </c>
      <c r="AA186" s="1275">
        <f t="shared" si="172"/>
        <v>878933.82</v>
      </c>
      <c r="AB186" s="1275">
        <f t="shared" si="172"/>
        <v>825243.65359999996</v>
      </c>
      <c r="AC186" s="1275">
        <f t="shared" si="172"/>
        <v>859538.93530000001</v>
      </c>
      <c r="AD186" s="1275">
        <f t="shared" si="172"/>
        <v>922087.674</v>
      </c>
      <c r="AE186" s="1275">
        <f t="shared" si="172"/>
        <v>884362.99320000003</v>
      </c>
      <c r="AF186" s="1275">
        <f t="shared" si="172"/>
        <v>712209.99800000002</v>
      </c>
      <c r="AG186" s="1275">
        <f t="shared" si="172"/>
        <v>647363.3496999999</v>
      </c>
      <c r="AH186" s="1275">
        <f t="shared" si="172"/>
        <v>692683.69989999989</v>
      </c>
      <c r="AI186" s="1275">
        <f t="shared" si="172"/>
        <v>689079.27679999999</v>
      </c>
      <c r="AJ186" s="1275">
        <f t="shared" si="172"/>
        <v>889162.99119999993</v>
      </c>
      <c r="AK186" s="1275">
        <f t="shared" si="172"/>
        <v>916345.54349999991</v>
      </c>
      <c r="AL186" s="1275">
        <f t="shared" si="172"/>
        <v>959428.33890000009</v>
      </c>
      <c r="AM186" s="1275">
        <f t="shared" ref="AM186:AR186" si="173">AM39</f>
        <v>985684.75820000004</v>
      </c>
      <c r="AN186" s="1275">
        <f t="shared" si="173"/>
        <v>882608.31010000012</v>
      </c>
      <c r="AO186" s="1275">
        <f t="shared" si="173"/>
        <v>1018844.7848999997</v>
      </c>
      <c r="AP186" s="1275">
        <f t="shared" si="173"/>
        <v>998029.30199999991</v>
      </c>
      <c r="AQ186" s="1275">
        <f t="shared" si="173"/>
        <v>1019156.0761999999</v>
      </c>
      <c r="AR186" s="1275">
        <f t="shared" si="173"/>
        <v>1022386.9342999998</v>
      </c>
      <c r="AS186" s="1275">
        <f t="shared" ref="AS186:AT186" si="174">AS39</f>
        <v>1039730.9213</v>
      </c>
      <c r="AT186" s="1275">
        <f t="shared" si="174"/>
        <v>1043941.0379999999</v>
      </c>
    </row>
    <row r="187" spans="1:46">
      <c r="B187" s="154" t="s">
        <v>396</v>
      </c>
      <c r="C187" s="1262">
        <v>353242</v>
      </c>
      <c r="D187" s="1262">
        <v>293033</v>
      </c>
      <c r="E187" s="1262">
        <v>340489</v>
      </c>
      <c r="F187" s="1262">
        <v>308545</v>
      </c>
      <c r="G187" s="1262">
        <v>327148</v>
      </c>
      <c r="H187" s="1262">
        <v>310471</v>
      </c>
      <c r="I187" s="1262">
        <v>323907</v>
      </c>
      <c r="J187" s="1262">
        <v>318025</v>
      </c>
      <c r="K187" s="1262">
        <v>304895</v>
      </c>
      <c r="L187" s="1262">
        <v>322425</v>
      </c>
      <c r="M187" s="1262">
        <v>301688</v>
      </c>
      <c r="N187" s="1277">
        <f t="shared" ref="N187:AL187" si="175">N68</f>
        <v>305908.68070000003</v>
      </c>
      <c r="O187" s="1277">
        <f t="shared" si="175"/>
        <v>302855.50442999997</v>
      </c>
      <c r="P187" s="1277">
        <f t="shared" si="175"/>
        <v>309487.72227999999</v>
      </c>
      <c r="Q187" s="1277">
        <f t="shared" si="175"/>
        <v>327241.20400000003</v>
      </c>
      <c r="R187" s="1277">
        <f t="shared" si="175"/>
        <v>314978.20699999999</v>
      </c>
      <c r="S187" s="1277">
        <f t="shared" si="175"/>
        <v>315988.08100000001</v>
      </c>
      <c r="T187" s="1277">
        <f t="shared" si="175"/>
        <v>280256.46909999999</v>
      </c>
      <c r="U187" s="1277">
        <f t="shared" si="175"/>
        <v>337899.80670000002</v>
      </c>
      <c r="V187" s="1277">
        <f t="shared" si="175"/>
        <v>338759.9241</v>
      </c>
      <c r="W187" s="1277">
        <f t="shared" si="175"/>
        <v>285773.66100000002</v>
      </c>
      <c r="X187" s="1277">
        <f t="shared" si="175"/>
        <v>305258.00400000002</v>
      </c>
      <c r="Y187" s="1277">
        <f t="shared" si="175"/>
        <v>318977.09610000002</v>
      </c>
      <c r="Z187" s="1277">
        <f t="shared" si="175"/>
        <v>327680.50022300001</v>
      </c>
      <c r="AA187" s="1277">
        <f t="shared" si="175"/>
        <v>314010.60100000002</v>
      </c>
      <c r="AB187" s="1277">
        <f t="shared" si="175"/>
        <v>289786.52360000001</v>
      </c>
      <c r="AC187" s="1277">
        <f t="shared" si="175"/>
        <v>313192.77130000002</v>
      </c>
      <c r="AD187" s="1277">
        <f t="shared" si="175"/>
        <v>307902.26199999999</v>
      </c>
      <c r="AE187" s="1277">
        <f t="shared" si="175"/>
        <v>317706.29119999998</v>
      </c>
      <c r="AF187" s="1277">
        <f t="shared" si="175"/>
        <v>293045.18199999997</v>
      </c>
      <c r="AG187" s="1277">
        <f t="shared" si="175"/>
        <v>286264.76769999997</v>
      </c>
      <c r="AH187" s="1277">
        <f t="shared" si="175"/>
        <v>267139.05090000003</v>
      </c>
      <c r="AI187" s="1277">
        <f t="shared" si="175"/>
        <v>309236.69079999998</v>
      </c>
      <c r="AJ187" s="1277">
        <f t="shared" si="175"/>
        <v>368516.40120000002</v>
      </c>
      <c r="AK187" s="1277">
        <f t="shared" si="175"/>
        <v>342873.94649999996</v>
      </c>
      <c r="AL187" s="1277">
        <f t="shared" si="175"/>
        <v>369330.76390000008</v>
      </c>
      <c r="AM187" s="1277">
        <f t="shared" ref="AM187:AR187" si="176">AM68</f>
        <v>366600.84620000009</v>
      </c>
      <c r="AN187" s="1277">
        <f t="shared" si="176"/>
        <v>306002.98710000003</v>
      </c>
      <c r="AO187" s="1277">
        <f t="shared" si="176"/>
        <v>342714.58189999999</v>
      </c>
      <c r="AP187" s="1277">
        <f t="shared" si="176"/>
        <v>342214.59299999994</v>
      </c>
      <c r="AQ187" s="1277">
        <f t="shared" si="176"/>
        <v>351088.54519999993</v>
      </c>
      <c r="AR187" s="1277">
        <f t="shared" si="176"/>
        <v>337846.3273</v>
      </c>
      <c r="AS187" s="1277">
        <f t="shared" ref="AS187:AT187" si="177">AS68</f>
        <v>355706.64029999991</v>
      </c>
      <c r="AT187" s="1277">
        <f t="shared" si="177"/>
        <v>344126.47700000001</v>
      </c>
    </row>
    <row r="188" spans="1:46">
      <c r="B188" s="154" t="s">
        <v>397</v>
      </c>
      <c r="C188" s="1262">
        <v>546632</v>
      </c>
      <c r="D188" s="1262">
        <v>482502</v>
      </c>
      <c r="E188" s="1262">
        <v>536346</v>
      </c>
      <c r="F188" s="1262">
        <v>505585</v>
      </c>
      <c r="G188" s="1262">
        <v>498966</v>
      </c>
      <c r="H188" s="1262">
        <v>518278</v>
      </c>
      <c r="I188" s="1262">
        <v>503037</v>
      </c>
      <c r="J188" s="1262">
        <v>567834</v>
      </c>
      <c r="K188" s="1262">
        <v>475832</v>
      </c>
      <c r="L188" s="1262">
        <v>528183</v>
      </c>
      <c r="M188" s="1262">
        <v>494202</v>
      </c>
      <c r="N188" s="1277">
        <f>N186-N187</f>
        <v>539860.70499999996</v>
      </c>
      <c r="O188" s="1277">
        <f>O186-O187</f>
        <v>495154.79200000002</v>
      </c>
      <c r="P188" s="1277">
        <f t="shared" ref="P188:Z188" si="178">P186-P187</f>
        <v>492873.92200000002</v>
      </c>
      <c r="Q188" s="1277">
        <f t="shared" si="178"/>
        <v>537754.33399999992</v>
      </c>
      <c r="R188" s="1277">
        <f t="shared" si="178"/>
        <v>550517.46399999992</v>
      </c>
      <c r="S188" s="1277">
        <f t="shared" si="178"/>
        <v>539470.54799999995</v>
      </c>
      <c r="T188" s="1277">
        <f t="shared" si="178"/>
        <v>463995.55099999998</v>
      </c>
      <c r="U188" s="1277">
        <f t="shared" si="178"/>
        <v>581064.23900000006</v>
      </c>
      <c r="V188" s="1277">
        <f t="shared" si="178"/>
        <v>563240.84400000004</v>
      </c>
      <c r="W188" s="1277">
        <f t="shared" si="178"/>
        <v>487293.19699999999</v>
      </c>
      <c r="X188" s="1277">
        <f t="shared" si="178"/>
        <v>516831.96399999998</v>
      </c>
      <c r="Y188" s="1277">
        <f t="shared" si="178"/>
        <v>530784.63299999991</v>
      </c>
      <c r="Z188" s="1277">
        <f t="shared" si="178"/>
        <v>568422.9169999999</v>
      </c>
      <c r="AA188" s="1277">
        <f>AA186-AA187</f>
        <v>564923.21899999992</v>
      </c>
      <c r="AB188" s="1277">
        <f>AB186-AB187</f>
        <v>535457.12999999989</v>
      </c>
      <c r="AC188" s="1277">
        <f t="shared" ref="AC188:AL188" si="179">AC186-AC187</f>
        <v>546346.16399999999</v>
      </c>
      <c r="AD188" s="1277">
        <f t="shared" si="179"/>
        <v>614185.41200000001</v>
      </c>
      <c r="AE188" s="1277">
        <f t="shared" si="179"/>
        <v>566656.70200000005</v>
      </c>
      <c r="AF188" s="1277">
        <f t="shared" si="179"/>
        <v>419164.81600000005</v>
      </c>
      <c r="AG188" s="1277">
        <f t="shared" si="179"/>
        <v>361098.58199999994</v>
      </c>
      <c r="AH188" s="1277">
        <f t="shared" si="179"/>
        <v>425544.64899999986</v>
      </c>
      <c r="AI188" s="1277">
        <f t="shared" si="179"/>
        <v>379842.58600000001</v>
      </c>
      <c r="AJ188" s="1277">
        <f t="shared" si="179"/>
        <v>520646.58999999991</v>
      </c>
      <c r="AK188" s="1277">
        <f t="shared" si="179"/>
        <v>573471.59699999995</v>
      </c>
      <c r="AL188" s="1277">
        <f t="shared" si="179"/>
        <v>590097.57499999995</v>
      </c>
      <c r="AM188" s="1277">
        <f t="shared" ref="AM188:AR188" si="180">AM186-AM187</f>
        <v>619083.91200000001</v>
      </c>
      <c r="AN188" s="1277">
        <f t="shared" si="180"/>
        <v>576605.32300000009</v>
      </c>
      <c r="AO188" s="1277">
        <f t="shared" si="180"/>
        <v>676130.20299999975</v>
      </c>
      <c r="AP188" s="1277">
        <f t="shared" si="180"/>
        <v>655814.70900000003</v>
      </c>
      <c r="AQ188" s="1277">
        <f t="shared" si="180"/>
        <v>668067.53099999996</v>
      </c>
      <c r="AR188" s="1277">
        <f t="shared" si="180"/>
        <v>684540.60699999984</v>
      </c>
      <c r="AS188" s="1277">
        <f t="shared" ref="AS188:AT188" si="181">AS186-AS187</f>
        <v>684024.28100000019</v>
      </c>
      <c r="AT188" s="1277">
        <f t="shared" si="181"/>
        <v>699814.56099999999</v>
      </c>
    </row>
    <row r="189" spans="1:46">
      <c r="A189" s="1963"/>
      <c r="B189" s="1964"/>
    </row>
    <row r="190" spans="1:46">
      <c r="A190" s="1963"/>
      <c r="B190" s="1964"/>
    </row>
    <row r="191" spans="1:46">
      <c r="A191" s="1963" t="s">
        <v>1268</v>
      </c>
      <c r="B191" s="1964" t="s">
        <v>275</v>
      </c>
      <c r="AM191" s="1268">
        <v>272882</v>
      </c>
      <c r="AN191" s="1268">
        <v>306976</v>
      </c>
      <c r="AO191" s="1268">
        <v>337118</v>
      </c>
      <c r="AP191" s="1268">
        <v>322984</v>
      </c>
      <c r="AQ191" s="1268">
        <v>281645</v>
      </c>
      <c r="AR191" s="1268">
        <v>330552</v>
      </c>
      <c r="AS191" s="1268">
        <v>282402</v>
      </c>
      <c r="AT191" s="1268">
        <v>324667</v>
      </c>
    </row>
    <row r="192" spans="1:46">
      <c r="B192" s="1964" t="s">
        <v>25</v>
      </c>
      <c r="AA192" s="1262">
        <v>109500</v>
      </c>
      <c r="AB192" s="1262">
        <v>89200</v>
      </c>
      <c r="AC192" s="1262">
        <v>93600</v>
      </c>
      <c r="AD192" s="1277">
        <v>101900</v>
      </c>
      <c r="AE192" s="1277">
        <v>124300</v>
      </c>
      <c r="AF192" s="1277">
        <v>106100</v>
      </c>
      <c r="AG192" s="1277">
        <v>128400</v>
      </c>
      <c r="AH192" s="1277">
        <v>127800</v>
      </c>
      <c r="AI192" s="1277">
        <v>119300</v>
      </c>
      <c r="AJ192" s="1277">
        <v>112700</v>
      </c>
      <c r="AK192" s="1277">
        <v>116900</v>
      </c>
      <c r="AL192" s="1277">
        <v>122100.00000000001</v>
      </c>
      <c r="AM192" s="1268">
        <v>108811</v>
      </c>
      <c r="AN192" s="1268">
        <v>118255</v>
      </c>
      <c r="AO192" s="1268">
        <v>128827</v>
      </c>
      <c r="AP192" s="1268">
        <v>120440</v>
      </c>
      <c r="AQ192" s="1268">
        <v>128522</v>
      </c>
      <c r="AR192" s="1268">
        <v>141410</v>
      </c>
      <c r="AS192" s="1268">
        <v>119363</v>
      </c>
      <c r="AT192" s="1268">
        <v>125198</v>
      </c>
    </row>
    <row r="193" spans="1:47">
      <c r="B193" s="1964" t="s">
        <v>26</v>
      </c>
      <c r="AA193" s="1262">
        <v>146600</v>
      </c>
      <c r="AB193" s="1262">
        <v>114500</v>
      </c>
      <c r="AC193" s="1262">
        <v>115300</v>
      </c>
      <c r="AD193" s="1277">
        <v>132500</v>
      </c>
      <c r="AE193" s="1277">
        <v>159200</v>
      </c>
      <c r="AF193" s="1277">
        <v>147600</v>
      </c>
      <c r="AG193" s="1277">
        <v>172500</v>
      </c>
      <c r="AH193" s="1277">
        <v>177200</v>
      </c>
      <c r="AI193" s="1277">
        <v>166400</v>
      </c>
      <c r="AJ193" s="1277">
        <v>151000</v>
      </c>
      <c r="AK193" s="1277">
        <v>165000</v>
      </c>
      <c r="AL193" s="1277">
        <v>180400</v>
      </c>
      <c r="AM193" s="1268">
        <v>159111</v>
      </c>
      <c r="AN193" s="1268">
        <v>160355</v>
      </c>
      <c r="AO193" s="1268">
        <v>180063</v>
      </c>
      <c r="AP193" s="1268">
        <v>160632</v>
      </c>
      <c r="AQ193" s="1268">
        <v>146365</v>
      </c>
      <c r="AR193" s="1268">
        <v>166609</v>
      </c>
      <c r="AS193" s="1268">
        <v>153575</v>
      </c>
      <c r="AT193" s="1268">
        <v>152600</v>
      </c>
    </row>
    <row r="194" spans="1:47">
      <c r="B194" s="1964" t="s">
        <v>396</v>
      </c>
      <c r="AA194" s="1262">
        <v>146600</v>
      </c>
      <c r="AB194" s="1262">
        <v>114500</v>
      </c>
      <c r="AC194" s="1262">
        <v>115300</v>
      </c>
      <c r="AD194" s="1277">
        <v>132500</v>
      </c>
      <c r="AE194" s="1277">
        <v>159200</v>
      </c>
      <c r="AF194" s="1277">
        <v>147600</v>
      </c>
      <c r="AG194" s="1277">
        <v>172500</v>
      </c>
      <c r="AH194" s="1277">
        <v>177200</v>
      </c>
      <c r="AI194" s="1277">
        <v>166400</v>
      </c>
      <c r="AJ194" s="1277">
        <v>151000</v>
      </c>
      <c r="AK194" s="1277">
        <v>165000</v>
      </c>
      <c r="AL194" s="1277">
        <v>180400</v>
      </c>
      <c r="AM194" s="1268">
        <v>158965</v>
      </c>
      <c r="AN194" s="1268">
        <v>160355</v>
      </c>
      <c r="AO194" s="1268">
        <v>179481</v>
      </c>
      <c r="AP194" s="1268">
        <v>152853</v>
      </c>
      <c r="AQ194" s="1268">
        <v>80767</v>
      </c>
      <c r="AR194" s="1268">
        <f>41255+98</f>
        <v>41353</v>
      </c>
      <c r="AS194" s="1268">
        <v>133507</v>
      </c>
      <c r="AT194" s="1268">
        <v>152600</v>
      </c>
    </row>
    <row r="195" spans="1:47">
      <c r="B195" s="1964" t="s">
        <v>1269</v>
      </c>
      <c r="AA195" s="1262">
        <v>81900</v>
      </c>
      <c r="AB195" s="1262">
        <v>114300</v>
      </c>
      <c r="AC195" s="1262">
        <v>124800</v>
      </c>
      <c r="AD195" s="1277">
        <v>144700</v>
      </c>
      <c r="AE195" s="1277">
        <v>202399.99999999997</v>
      </c>
      <c r="AF195" s="1277">
        <v>121500</v>
      </c>
      <c r="AG195" s="1277">
        <v>144800</v>
      </c>
      <c r="AH195" s="1277">
        <v>146100</v>
      </c>
      <c r="AI195" s="1277">
        <v>151300</v>
      </c>
      <c r="AJ195" s="1277">
        <v>153600</v>
      </c>
      <c r="AK195" s="1277">
        <v>158900</v>
      </c>
      <c r="AL195" s="1277">
        <v>180799.99999999997</v>
      </c>
      <c r="AM195" s="1268">
        <v>165697</v>
      </c>
      <c r="AN195" s="1268">
        <v>143660.06400000001</v>
      </c>
      <c r="AO195" s="1268">
        <v>181317</v>
      </c>
      <c r="AP195" s="1268">
        <v>180948</v>
      </c>
      <c r="AQ195" s="1268">
        <v>129466</v>
      </c>
      <c r="AR195" s="1268">
        <v>170287</v>
      </c>
      <c r="AS195" s="1268">
        <v>148288</v>
      </c>
      <c r="AT195" s="1268">
        <v>149666</v>
      </c>
    </row>
    <row r="196" spans="1:47">
      <c r="B196" s="1964" t="s">
        <v>558</v>
      </c>
      <c r="AA196" s="1262">
        <v>81900</v>
      </c>
      <c r="AB196" s="1262">
        <v>114300</v>
      </c>
      <c r="AC196" s="1262">
        <v>124800</v>
      </c>
      <c r="AD196" s="1277">
        <v>144700</v>
      </c>
      <c r="AE196" s="1277">
        <v>202399.99999999997</v>
      </c>
      <c r="AF196" s="1277">
        <v>121500</v>
      </c>
      <c r="AG196" s="1277">
        <v>144800</v>
      </c>
      <c r="AH196" s="1277">
        <v>146100</v>
      </c>
      <c r="AI196" s="1277">
        <v>151300</v>
      </c>
      <c r="AJ196" s="1277">
        <v>151000</v>
      </c>
      <c r="AK196" s="1277">
        <v>153700</v>
      </c>
      <c r="AL196" s="1277">
        <v>172800</v>
      </c>
      <c r="AM196" s="1268">
        <v>165616</v>
      </c>
      <c r="AN196" s="1268">
        <f>AN195</f>
        <v>143660.06400000001</v>
      </c>
      <c r="AO196" s="1268">
        <v>180878</v>
      </c>
      <c r="AP196" s="1268">
        <v>176614</v>
      </c>
      <c r="AQ196" s="1268">
        <v>93279</v>
      </c>
      <c r="AR196" s="1268">
        <v>42127</v>
      </c>
      <c r="AS196" s="1268">
        <v>105268</v>
      </c>
      <c r="AT196" s="1268">
        <v>148005</v>
      </c>
    </row>
    <row r="197" spans="1:47">
      <c r="A197" s="1963" t="s">
        <v>1265</v>
      </c>
      <c r="B197" s="1964" t="s">
        <v>1269</v>
      </c>
      <c r="AA197" s="1262">
        <v>58573.752000000095</v>
      </c>
      <c r="AB197" s="1262">
        <v>52870.6879999999</v>
      </c>
      <c r="AC197" s="1262">
        <v>50527.471999999994</v>
      </c>
      <c r="AD197" s="1277">
        <v>44946.755999999805</v>
      </c>
      <c r="AE197" s="1277">
        <v>45143.5079999999</v>
      </c>
      <c r="AF197" s="1277">
        <v>54116.793000000005</v>
      </c>
      <c r="AG197" s="1277">
        <v>61246.578999999998</v>
      </c>
      <c r="AH197" s="1277">
        <v>64443.715999999797</v>
      </c>
      <c r="AI197" s="1277">
        <v>61849.981999999596</v>
      </c>
      <c r="AJ197" s="1277">
        <v>61565.630000000499</v>
      </c>
      <c r="AK197" s="1277">
        <v>59685.607999999702</v>
      </c>
      <c r="AL197" s="1277">
        <v>62039.752000000197</v>
      </c>
      <c r="AM197" s="2179">
        <v>47912.637999999999</v>
      </c>
      <c r="AN197" s="2179">
        <v>55693.866000000002</v>
      </c>
      <c r="AO197" s="1268">
        <v>61390</v>
      </c>
      <c r="AP197" s="1268">
        <v>61911</v>
      </c>
      <c r="AQ197" s="1268">
        <v>63131</v>
      </c>
      <c r="AR197" s="1268">
        <v>60466</v>
      </c>
      <c r="AS197" s="1268">
        <v>58934</v>
      </c>
      <c r="AT197" s="1268">
        <v>59368</v>
      </c>
    </row>
    <row r="198" spans="1:47" ht="15">
      <c r="B198" s="1964" t="s">
        <v>558</v>
      </c>
      <c r="AA198" s="1262">
        <v>58573.752000000095</v>
      </c>
      <c r="AB198" s="1262">
        <v>52870.6879999999</v>
      </c>
      <c r="AC198" s="1262">
        <v>50527.471999999994</v>
      </c>
      <c r="AD198" s="1277">
        <v>44946.755999999805</v>
      </c>
      <c r="AE198" s="1277">
        <v>45143.5079999999</v>
      </c>
      <c r="AF198" s="1277">
        <v>54116.793000000005</v>
      </c>
      <c r="AG198" s="1277">
        <v>61246.578999999998</v>
      </c>
      <c r="AH198" s="1277">
        <v>64443.715999999797</v>
      </c>
      <c r="AI198" s="1277">
        <v>61849.981999999596</v>
      </c>
      <c r="AJ198" s="1277">
        <v>61565.630000000499</v>
      </c>
      <c r="AK198" s="1277">
        <v>59685.607999999702</v>
      </c>
      <c r="AL198" s="1277">
        <v>62039.752000000197</v>
      </c>
      <c r="AM198" s="2179">
        <f t="shared" ref="AM198:AS198" si="182">AM197</f>
        <v>47912.637999999999</v>
      </c>
      <c r="AN198" s="2179">
        <f t="shared" si="182"/>
        <v>55693.866000000002</v>
      </c>
      <c r="AO198" s="1268">
        <f t="shared" si="182"/>
        <v>61390</v>
      </c>
      <c r="AP198" s="1268">
        <f t="shared" si="182"/>
        <v>61911</v>
      </c>
      <c r="AQ198" s="1268">
        <f t="shared" si="182"/>
        <v>63131</v>
      </c>
      <c r="AR198" s="1268">
        <f t="shared" si="182"/>
        <v>60466</v>
      </c>
      <c r="AS198" s="1268">
        <f t="shared" si="182"/>
        <v>58934</v>
      </c>
      <c r="AT198" s="1268">
        <f>AT197</f>
        <v>59368</v>
      </c>
      <c r="AU198" s="2577"/>
    </row>
    <row r="199" spans="1:47">
      <c r="A199" s="201" t="s">
        <v>1340</v>
      </c>
      <c r="AM199" s="1262">
        <f>-(382.89+4526.94+9066.22)</f>
        <v>-13976.05</v>
      </c>
      <c r="AN199" s="1262">
        <f>-(2861+12224.12)</f>
        <v>-15085.12</v>
      </c>
      <c r="AO199" s="1262">
        <f>-8855.99-913.027</f>
        <v>-9769.0169999999998</v>
      </c>
      <c r="AP199" s="1262">
        <f>-(12173+10256)</f>
        <v>-22429</v>
      </c>
      <c r="AQ199" s="1262">
        <f>-(16121.24+8813)</f>
        <v>-24934.239999999998</v>
      </c>
      <c r="AR199" s="1262">
        <f>-(20152.45+2409)</f>
        <v>-22561.45</v>
      </c>
      <c r="AS199" s="1262">
        <f>-(16085.12+6030)</f>
        <v>-22115.120000000003</v>
      </c>
      <c r="AT199" s="1262">
        <f>-10515.85-10223.81</f>
        <v>-20739.66</v>
      </c>
    </row>
    <row r="201" spans="1:47">
      <c r="AA201" s="1277">
        <f>AA183+AA193</f>
        <v>1107786.885</v>
      </c>
      <c r="AB201" s="1277">
        <f t="shared" ref="AB201:AS201" si="183">AB183+AB193</f>
        <v>1017523.934</v>
      </c>
      <c r="AC201" s="1277">
        <f t="shared" si="183"/>
        <v>1042303.329</v>
      </c>
      <c r="AD201" s="1277">
        <f t="shared" si="183"/>
        <v>1046866.974</v>
      </c>
      <c r="AE201" s="1277">
        <f t="shared" si="183"/>
        <v>1127165.263</v>
      </c>
      <c r="AF201" s="1277">
        <f t="shared" si="183"/>
        <v>931059.04700000002</v>
      </c>
      <c r="AG201" s="1277">
        <f t="shared" si="183"/>
        <v>974665.81300000008</v>
      </c>
      <c r="AH201" s="1277">
        <f t="shared" si="183"/>
        <v>938598.20900000003</v>
      </c>
      <c r="AI201" s="1277">
        <f t="shared" si="183"/>
        <v>924980.25699999998</v>
      </c>
      <c r="AJ201" s="1277">
        <f t="shared" si="183"/>
        <v>1080958.507</v>
      </c>
      <c r="AK201" s="1277">
        <f t="shared" si="183"/>
        <v>1133348.82</v>
      </c>
      <c r="AL201" s="1277">
        <f t="shared" si="183"/>
        <v>1191571.6159999999</v>
      </c>
      <c r="AM201" s="1277">
        <f t="shared" si="183"/>
        <v>1164318.8129999998</v>
      </c>
      <c r="AN201" s="1277">
        <f t="shared" si="183"/>
        <v>1110321.7850000001</v>
      </c>
      <c r="AO201" s="1277">
        <f t="shared" si="183"/>
        <v>1257928.5969999998</v>
      </c>
      <c r="AP201" s="1277">
        <f t="shared" si="183"/>
        <v>1197022.4679999999</v>
      </c>
      <c r="AQ201" s="1277">
        <f t="shared" si="183"/>
        <v>1233392.4110000001</v>
      </c>
      <c r="AR201" s="1277">
        <f t="shared" si="183"/>
        <v>1250060.466</v>
      </c>
      <c r="AS201" s="1277">
        <f t="shared" si="183"/>
        <v>1253548.3669999999</v>
      </c>
      <c r="AT201" s="1277">
        <f>AT183+AT193</f>
        <v>1242490</v>
      </c>
    </row>
    <row r="202" spans="1:47">
      <c r="AB202" s="1277">
        <f>AA201+AB201</f>
        <v>2125310.8190000001</v>
      </c>
      <c r="AC202" s="1277">
        <f>AB202+AC201</f>
        <v>3167614.148</v>
      </c>
      <c r="AD202" s="1277">
        <f t="shared" ref="AD202:AS202" si="184">AC202+AD201</f>
        <v>4214481.1220000004</v>
      </c>
      <c r="AE202" s="1277">
        <f t="shared" si="184"/>
        <v>5341646.3850000007</v>
      </c>
      <c r="AF202" s="1277">
        <f t="shared" si="184"/>
        <v>6272705.432000001</v>
      </c>
      <c r="AG202" s="1277">
        <f t="shared" si="184"/>
        <v>7247371.245000001</v>
      </c>
      <c r="AH202" s="1277">
        <f t="shared" si="184"/>
        <v>8185969.4540000008</v>
      </c>
      <c r="AI202" s="1277">
        <f t="shared" si="184"/>
        <v>9110949.7110000011</v>
      </c>
      <c r="AJ202" s="1277">
        <f t="shared" si="184"/>
        <v>10191908.218</v>
      </c>
      <c r="AK202" s="1277">
        <f t="shared" si="184"/>
        <v>11325257.038000001</v>
      </c>
      <c r="AL202" s="1277">
        <f t="shared" si="184"/>
        <v>12516828.654000001</v>
      </c>
      <c r="AM202" s="1277">
        <f>AM201</f>
        <v>1164318.8129999998</v>
      </c>
      <c r="AN202" s="1277">
        <f t="shared" si="184"/>
        <v>2274640.5980000002</v>
      </c>
      <c r="AO202" s="1277">
        <f t="shared" si="184"/>
        <v>3532569.1950000003</v>
      </c>
      <c r="AP202" s="1277">
        <f t="shared" si="184"/>
        <v>4729591.6630000006</v>
      </c>
      <c r="AQ202" s="1277">
        <f t="shared" si="184"/>
        <v>5962984.074000001</v>
      </c>
      <c r="AR202" s="1277">
        <f t="shared" si="184"/>
        <v>7213044.540000001</v>
      </c>
      <c r="AS202" s="1277">
        <f t="shared" si="184"/>
        <v>8466592.9070000015</v>
      </c>
      <c r="AT202" s="1277">
        <f>AS202+AT201</f>
        <v>9709082.9070000015</v>
      </c>
    </row>
    <row r="203" spans="1:47">
      <c r="AH203" s="1262">
        <f>ROUND(AH202/10000,2)</f>
        <v>818.6</v>
      </c>
      <c r="AI203" s="1262">
        <f t="shared" ref="AI203:AS203" si="185">ROUND(AI202/10000,2)</f>
        <v>911.09</v>
      </c>
      <c r="AJ203" s="1262">
        <f t="shared" si="185"/>
        <v>1019.19</v>
      </c>
      <c r="AK203" s="1262">
        <f t="shared" si="185"/>
        <v>1132.53</v>
      </c>
      <c r="AL203" s="1262">
        <f t="shared" si="185"/>
        <v>1251.68</v>
      </c>
      <c r="AM203" s="1262">
        <f t="shared" si="185"/>
        <v>116.43</v>
      </c>
      <c r="AN203" s="1262">
        <f t="shared" si="185"/>
        <v>227.46</v>
      </c>
      <c r="AO203" s="1262">
        <f t="shared" si="185"/>
        <v>353.26</v>
      </c>
      <c r="AP203" s="1262">
        <f t="shared" si="185"/>
        <v>472.96</v>
      </c>
      <c r="AQ203" s="1262">
        <f t="shared" si="185"/>
        <v>596.29999999999995</v>
      </c>
      <c r="AR203" s="1262">
        <f t="shared" si="185"/>
        <v>721.3</v>
      </c>
      <c r="AS203" s="1262">
        <f t="shared" si="185"/>
        <v>846.66</v>
      </c>
      <c r="AT203" s="1262">
        <f>ROUND(AT202/10000,2)</f>
        <v>970.91</v>
      </c>
    </row>
  </sheetData>
  <customSheetViews>
    <customSheetView guid="{1683F931-F47D-47C0-A395-D48080DC7EE6}" showPageBreaks="1">
      <selection activeCell="AT122" sqref="AT122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>
      <pane xSplit="2" ySplit="2" topLeftCell="AG168" activePane="bottomRight" state="frozen"/>
      <selection pane="bottomRight" activeCell="H23" sqref="H23"/>
      <pageMargins left="0.69930555555555596" right="0.69930555555555596" top="0.75" bottom="0.75" header="0.3" footer="0.3"/>
      <pageSetup paperSize="9" orientation="portrait"/>
    </customSheetView>
    <customSheetView guid="{849C46E5-4ED4-41B9-BDA9-A6465B9DA9C2}">
      <pane xSplit="2" ySplit="1" topLeftCell="AG176" activePane="bottomRight" state="frozen"/>
      <selection pane="bottomRight" activeCell="AP205" sqref="AP205"/>
      <pageMargins left="0.69930555555555596" right="0.69930555555555596" top="0.75" bottom="0.75" header="0.3" footer="0.3"/>
      <pageSetup paperSize="9" orientation="portrait"/>
    </customSheetView>
    <customSheetView guid="{8C09BCDE-4B8A-4469-B3F2-7F4528A2E78D}">
      <pane xSplit="2" ySplit="1" topLeftCell="AG176" activePane="bottomRight" state="frozen"/>
      <selection pane="bottomRight" activeCell="AP205" sqref="AP205"/>
      <pageMargins left="0.69930555555555596" right="0.69930555555555596" top="0.75" bottom="0.75" header="0.3" footer="0.3"/>
      <pageSetup paperSize="9" orientation="portrait"/>
    </customSheetView>
    <customSheetView guid="{F4EB51F4-FD23-4D5B-8072-1AF5D59D6686}">
      <pane xSplit="2" ySplit="1" topLeftCell="AE2" activePane="bottomRight" state="frozen"/>
      <selection pane="bottomRight" activeCell="AK33" sqref="AK33"/>
      <pageMargins left="0.69930555555555596" right="0.69930555555555596" top="0.75" bottom="0.75" header="0.3" footer="0.3"/>
      <pageSetup paperSize="9" orientation="portrait"/>
    </customSheetView>
    <customSheetView guid="{D7BCFB76-2797-401D-A6F1-E020B5162DD4}">
      <pane xSplit="2" ySplit="2" topLeftCell="AC3" activePane="bottomRight" state="frozen"/>
      <selection pane="bottomRight" activeCell="AL12" sqref="AL12"/>
      <pageMargins left="0.69930555555555596" right="0.69930555555555596" top="0.75" bottom="0.75" header="0.3" footer="0.3"/>
      <pageSetup paperSize="9" orientation="portrait"/>
    </customSheetView>
    <customSheetView guid="{C9A88430-3808-49F4-8D86-BF8C70C55441}">
      <pane xSplit="2" ySplit="2" topLeftCell="C84" activePane="bottomRight" state="frozen"/>
      <selection pane="bottomRight" activeCell="P142" sqref="P142"/>
      <pageMargins left="0.69930555555555596" right="0.69930555555555596" top="0.75" bottom="0.75" header="0.3" footer="0.3"/>
      <pageSetup paperSize="9" orientation="portrait"/>
    </customSheetView>
    <customSheetView guid="{E61FFED3-723E-484A-93A0-94E1A801AF06}">
      <pane xSplit="2" ySplit="2" topLeftCell="K75" activePane="bottomRight" state="frozen"/>
      <selection pane="bottomRight" activeCell="Q29" sqref="Q29"/>
      <pageMargins left="0.69930555555555596" right="0.69930555555555596" top="0.75" bottom="0.75" header="0.3" footer="0.3"/>
      <pageSetup paperSize="9" orientation="portrait"/>
    </customSheetView>
    <customSheetView guid="{6B5CCA07-2BDD-4B8E-9E3C-2111BBA97430}">
      <pane xSplit="2" ySplit="2" topLeftCell="AH3" activePane="bottomRight" state="frozen"/>
      <selection pane="bottomRight" activeCell="A197" sqref="A197:XFD197"/>
      <pageMargins left="0.69930555555555596" right="0.69930555555555596" top="0.75" bottom="0.75" header="0.3" footer="0.3"/>
      <pageSetup paperSize="9" orientation="portrait" r:id="rId2"/>
    </customSheetView>
    <customSheetView guid="{2F47A827-9643-4D8A-AC5D-6B09D79AACF9}">
      <pane xSplit="2" ySplit="2" topLeftCell="C78" activePane="bottomRight" state="frozen"/>
      <selection pane="bottomRight" activeCell="H23" sqref="H23"/>
      <pageMargins left="0.69930555555555596" right="0.69930555555555596" top="0.75" bottom="0.75" header="0.3" footer="0.3"/>
      <pageSetup paperSize="9" orientation="portrait"/>
    </customSheetView>
    <customSheetView guid="{B37168A1-DBAB-4BDE-9F92-6261DCDF3D92}" scale="85">
      <pane xSplit="2" ySplit="1" topLeftCell="U20" activePane="bottomRight" state="frozen"/>
      <selection pane="bottomRight" activeCell="V36" sqref="V36"/>
      <pageMargins left="0.69930555555555596" right="0.69930555555555596" top="0.75" bottom="0.75" header="0.3" footer="0.3"/>
      <pageSetup paperSize="9" orientation="portrait"/>
    </customSheetView>
    <customSheetView guid="{AE0DD889-C13C-4059-8024-0F5B234827E9}">
      <selection activeCell="I159" sqref="I159"/>
      <pageMargins left="0.69930555555555596" right="0.69930555555555596" top="0.75" bottom="0.75" header="0.3" footer="0.3"/>
      <pageSetup paperSize="9" orientation="portrait"/>
    </customSheetView>
    <customSheetView guid="{CCBBD9B0-4191-4D7A-9F7B-BAC044A49153}">
      <pane xSplit="2" ySplit="1" topLeftCell="C38" state="frozen"/>
      <selection activeCell="P52" sqref="P52"/>
      <pageMargins left="0.69930555555555596" right="0.69930555555555596" top="0.75" bottom="0.75" header="0.3" footer="0.3"/>
      <pageSetup paperSize="9" orientation="portrait"/>
    </customSheetView>
    <customSheetView guid="{F5F9735B-EE22-4AC6-B5AB-C856ED6C133D}">
      <pane xSplit="2" ySplit="1" topLeftCell="H57" state="frozen"/>
      <selection activeCell="U110" sqref="U110"/>
      <pageMargins left="0.69930555555555596" right="0.69930555555555596" top="0.75" bottom="0.75" header="0.3" footer="0.3"/>
      <pageSetup paperSize="9" orientation="portrait"/>
    </customSheetView>
    <customSheetView guid="{45B4C0D1-53B6-4553-BFF9-393760B8E0CE}" scale="115">
      <pane xSplit="2" ySplit="2" topLeftCell="S39" state="frozen"/>
      <selection activeCell="U146" sqref="U146"/>
      <pageMargins left="0.69930555555555596" right="0.69930555555555596" top="0.75" bottom="0.75" header="0.3" footer="0.3"/>
      <pageSetup paperSize="9" orientation="portrait"/>
    </customSheetView>
    <customSheetView guid="{1BBD1596-143E-4714-99EF-E3545231CCD1}">
      <pane xSplit="2" ySplit="2" topLeftCell="C9" state="frozen"/>
      <selection activeCell="P142" sqref="P142"/>
      <pageMargins left="0.69930555555555596" right="0.69930555555555596" top="0.75" bottom="0.75" header="0.3" footer="0.3"/>
      <pageSetup paperSize="9" orientation="portrait"/>
    </customSheetView>
    <customSheetView guid="{A8456D60-99BA-4794-8966-0CBA0A37EA6F}">
      <pane xSplit="2" ySplit="2" topLeftCell="C9" state="frozen"/>
      <selection activeCell="P142" sqref="P142"/>
      <pageMargins left="0.69930555555555596" right="0.69930555555555596" top="0.75" bottom="0.75" header="0.3" footer="0.3"/>
      <pageSetup paperSize="9" orientation="portrait"/>
    </customSheetView>
    <customSheetView guid="{500C3980-ED13-4C97-96B1-955D50509B66}" scale="85">
      <pane xSplit="1" ySplit="1" topLeftCell="C145" state="frozen"/>
      <selection activeCell="G184" sqref="G184"/>
      <pageMargins left="0.69930555555555596" right="0.69930555555555596" top="0.75" bottom="0.75" header="0.3" footer="0.3"/>
      <pageSetup paperSize="9" orientation="portrait"/>
    </customSheetView>
    <customSheetView guid="{3B943BAF-34C7-494A-A071-85DE0891E5A1}">
      <pane xSplit="2" ySplit="1" topLeftCell="Y8" state="frozen"/>
      <selection activeCell="AD143" sqref="AD143"/>
      <pageMargins left="0.69930555555555596" right="0.69930555555555596" top="0.75" bottom="0.75" header="0.3" footer="0.3"/>
      <pageSetup paperSize="9" orientation="portrait"/>
    </customSheetView>
    <customSheetView guid="{EEE4B3DA-ADF6-49CC-9873-068FE5927B92}">
      <pane xSplit="2" ySplit="2" topLeftCell="C78" state="frozen"/>
      <selection activeCell="H23" sqref="H23"/>
      <pageMargins left="0.69930555555555596" right="0.69930555555555596" top="0.75" bottom="0.75" header="0.3" footer="0.3"/>
      <pageSetup paperSize="9" orientation="portrait"/>
    </customSheetView>
    <customSheetView guid="{C52D0F53-4D1D-4D01-B833-260359FD02A5}">
      <pane xSplit="2" ySplit="1" topLeftCell="AI5" activePane="bottomRight" state="frozen"/>
      <selection pane="bottomRight" activeCell="AN7" sqref="AN7"/>
      <pageMargins left="0.69930555555555596" right="0.69930555555555596" top="0.75" bottom="0.75" header="0.3" footer="0.3"/>
      <pageSetup paperSize="9" orientation="portrait"/>
    </customSheetView>
    <customSheetView guid="{6A1E79C9-91E3-4EEA-8ABB-4446083299EC}">
      <pane xSplit="2" ySplit="2" topLeftCell="C9" activePane="bottomRight" state="frozen"/>
      <selection pane="bottomRight" activeCell="P142" sqref="P142"/>
      <pageMargins left="0.69930555555555596" right="0.69930555555555596" top="0.75" bottom="0.75" header="0.3" footer="0.3"/>
      <pageSetup paperSize="9" orientation="portrait"/>
    </customSheetView>
    <customSheetView guid="{8B80B510-C931-46B1-8591-DEA916D76593}">
      <pane xSplit="2" ySplit="1" topLeftCell="AN35" activePane="bottomRight" state="frozen"/>
      <selection pane="bottomRight" activeCell="AR18" sqref="AR18"/>
      <pageMargins left="0.69930555555555596" right="0.69930555555555596" top="0.75" bottom="0.75" header="0.3" footer="0.3"/>
      <pageSetup paperSize="9" orientation="portrait"/>
    </customSheetView>
    <customSheetView guid="{303A9D89-611D-4504-BCAA-071C53B021F7}">
      <pane xSplit="2" ySplit="2" topLeftCell="C9" activePane="bottomRight" state="frozen"/>
      <selection pane="bottomRight" activeCell="P142" sqref="P142"/>
      <pageMargins left="0.69930555555555596" right="0.69930555555555596" top="0.75" bottom="0.75" header="0.3" footer="0.3"/>
      <pageSetup paperSize="9" orientation="portrait"/>
    </customSheetView>
    <customSheetView guid="{4583A87D-5DFF-47BD-849A-FA4AAF2B9CE3}">
      <pane xSplit="2" ySplit="1" topLeftCell="AN177" activePane="bottomRight" state="frozen"/>
      <selection pane="bottomRight" activeCell="AR29" sqref="AR29:AR30"/>
      <pageMargins left="0.69930555555555596" right="0.69930555555555596" top="0.75" bottom="0.75" header="0.3" footer="0.3"/>
      <pageSetup paperSize="9" orientation="portrait"/>
    </customSheetView>
    <customSheetView guid="{EA856AC2-CDFF-46B6-B0C4-30449DF132F4}">
      <pane xSplit="2" ySplit="2" topLeftCell="C54" activePane="bottomRight" state="frozen"/>
      <selection pane="bottomRight" activeCell="M209" sqref="M209"/>
      <pageMargins left="0.69930555555555596" right="0.69930555555555596" top="0.75" bottom="0.75" header="0.3" footer="0.3"/>
      <pageSetup paperSize="9" orientation="portrait"/>
    </customSheetView>
    <customSheetView guid="{322A45A6-8B26-49B8-A4D9-EFB3C94A758D}">
      <pane xSplit="2" ySplit="2" topLeftCell="AP18" activePane="bottomRight" state="frozen"/>
      <selection pane="bottomRight" activeCell="BJ18" sqref="BJ18"/>
      <pageMargins left="0.69930555555555596" right="0.69930555555555596" top="0.75" bottom="0.75" header="0.3" footer="0.3"/>
      <pageSetup paperSize="9" orientation="portrait" r:id="rId3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249977111117893"/>
  </sheetPr>
  <dimension ref="A1:AT20"/>
  <sheetViews>
    <sheetView workbookViewId="0">
      <selection activeCell="H33" sqref="H33"/>
    </sheetView>
  </sheetViews>
  <sheetFormatPr defaultColWidth="9" defaultRowHeight="14.25"/>
  <cols>
    <col min="16" max="16" width="9.5" customWidth="1"/>
    <col min="38" max="38" width="9.375" customWidth="1"/>
    <col min="39" max="39" width="12.375" customWidth="1"/>
    <col min="40" max="40" width="9.375" customWidth="1"/>
    <col min="45" max="45" width="9.375" customWidth="1"/>
  </cols>
  <sheetData>
    <row r="1" spans="1:46" s="258" customFormat="1">
      <c r="A1" s="258" t="s">
        <v>0</v>
      </c>
      <c r="B1" s="258">
        <v>2017</v>
      </c>
      <c r="C1" s="258">
        <v>2018</v>
      </c>
      <c r="D1" s="258">
        <v>2018</v>
      </c>
      <c r="E1" s="258">
        <v>2018</v>
      </c>
      <c r="F1" s="258">
        <v>2018</v>
      </c>
      <c r="G1" s="258">
        <v>2018</v>
      </c>
      <c r="H1" s="258">
        <v>2018</v>
      </c>
      <c r="I1" s="258">
        <v>2018</v>
      </c>
      <c r="J1" s="258">
        <v>2018</v>
      </c>
      <c r="K1" s="258">
        <v>2018</v>
      </c>
      <c r="L1" s="258">
        <v>2018</v>
      </c>
      <c r="M1" s="258">
        <v>2018</v>
      </c>
      <c r="N1" s="258">
        <v>2018</v>
      </c>
      <c r="O1" s="258">
        <v>2019</v>
      </c>
      <c r="P1" s="258">
        <v>2019</v>
      </c>
      <c r="Q1" s="258">
        <v>2019</v>
      </c>
      <c r="R1" s="258">
        <v>2019</v>
      </c>
      <c r="S1" s="258">
        <v>2019</v>
      </c>
      <c r="T1" s="258">
        <v>2019</v>
      </c>
      <c r="U1" s="258">
        <v>2019</v>
      </c>
      <c r="V1" s="258">
        <v>2019</v>
      </c>
      <c r="W1" s="258">
        <v>2019</v>
      </c>
      <c r="X1" s="258">
        <v>2019</v>
      </c>
      <c r="Y1" s="258">
        <v>2019</v>
      </c>
      <c r="Z1" s="258">
        <v>2019</v>
      </c>
      <c r="AA1" s="258">
        <v>2020</v>
      </c>
      <c r="AB1" s="258">
        <v>2020</v>
      </c>
      <c r="AC1" s="258">
        <v>2020</v>
      </c>
      <c r="AD1" s="258">
        <v>2020</v>
      </c>
      <c r="AE1" s="258">
        <v>2020</v>
      </c>
      <c r="AF1" s="258">
        <v>2020</v>
      </c>
      <c r="AG1" s="258">
        <v>2020</v>
      </c>
      <c r="AH1" s="258">
        <v>2020</v>
      </c>
      <c r="AI1" s="258">
        <v>2020</v>
      </c>
      <c r="AJ1" s="258">
        <v>2020</v>
      </c>
      <c r="AK1" s="258">
        <v>2020</v>
      </c>
      <c r="AL1" s="258">
        <v>2020</v>
      </c>
      <c r="AM1" s="258">
        <v>2021</v>
      </c>
      <c r="AN1" s="258">
        <v>2021</v>
      </c>
      <c r="AO1" s="258">
        <v>2021</v>
      </c>
      <c r="AP1" s="258">
        <v>2021</v>
      </c>
      <c r="AQ1" s="258">
        <v>2021</v>
      </c>
      <c r="AR1" s="258">
        <v>2021</v>
      </c>
      <c r="AS1" s="258">
        <v>2021</v>
      </c>
      <c r="AT1" s="258">
        <v>2021</v>
      </c>
    </row>
    <row r="2" spans="1:46" s="259" customFormat="1">
      <c r="A2" s="259" t="s">
        <v>1</v>
      </c>
      <c r="B2" s="259">
        <v>12</v>
      </c>
      <c r="C2" s="259">
        <v>1</v>
      </c>
      <c r="D2" s="259">
        <v>2</v>
      </c>
      <c r="E2" s="259">
        <v>3</v>
      </c>
      <c r="F2" s="259">
        <v>4</v>
      </c>
      <c r="G2" s="259">
        <v>5</v>
      </c>
      <c r="H2" s="259">
        <v>6</v>
      </c>
      <c r="I2" s="259">
        <v>7</v>
      </c>
      <c r="J2" s="259">
        <v>8</v>
      </c>
      <c r="K2" s="259">
        <v>9</v>
      </c>
      <c r="L2" s="259">
        <v>10</v>
      </c>
      <c r="M2" s="259">
        <v>11</v>
      </c>
      <c r="N2" s="259">
        <v>12</v>
      </c>
      <c r="O2" s="259">
        <v>1</v>
      </c>
      <c r="P2" s="259">
        <v>2</v>
      </c>
      <c r="Q2" s="259">
        <v>3</v>
      </c>
      <c r="R2" s="259">
        <v>4</v>
      </c>
      <c r="S2" s="259">
        <v>5</v>
      </c>
      <c r="T2" s="259">
        <v>6</v>
      </c>
      <c r="U2" s="259">
        <v>7</v>
      </c>
      <c r="V2" s="259">
        <v>8</v>
      </c>
      <c r="W2" s="259">
        <v>9</v>
      </c>
      <c r="X2" s="259">
        <v>10</v>
      </c>
      <c r="Y2" s="259">
        <v>11</v>
      </c>
      <c r="Z2" s="259">
        <v>12</v>
      </c>
      <c r="AA2" s="259">
        <v>1</v>
      </c>
      <c r="AB2" s="259">
        <v>2</v>
      </c>
      <c r="AC2" s="259">
        <v>3</v>
      </c>
      <c r="AD2" s="259">
        <v>4</v>
      </c>
      <c r="AE2" s="259">
        <v>5</v>
      </c>
      <c r="AF2" s="259">
        <v>6</v>
      </c>
      <c r="AG2" s="259">
        <v>7</v>
      </c>
      <c r="AH2" s="259">
        <v>8</v>
      </c>
      <c r="AI2" s="259">
        <v>9</v>
      </c>
      <c r="AJ2" s="259">
        <v>10</v>
      </c>
      <c r="AK2" s="259">
        <v>11</v>
      </c>
      <c r="AL2" s="259">
        <v>12</v>
      </c>
      <c r="AM2" s="259">
        <v>1</v>
      </c>
      <c r="AN2" s="259">
        <v>2</v>
      </c>
      <c r="AO2" s="259">
        <v>3</v>
      </c>
      <c r="AP2" s="259">
        <v>4</v>
      </c>
      <c r="AQ2" s="259">
        <v>5</v>
      </c>
      <c r="AR2" s="259">
        <v>6</v>
      </c>
      <c r="AS2" s="259">
        <v>7</v>
      </c>
      <c r="AT2" s="259">
        <v>8</v>
      </c>
    </row>
    <row r="3" spans="1:46">
      <c r="A3" t="s">
        <v>61</v>
      </c>
      <c r="B3">
        <v>67.680000000000007</v>
      </c>
      <c r="C3">
        <v>70.09</v>
      </c>
      <c r="D3">
        <v>60.46</v>
      </c>
      <c r="E3">
        <v>68.540000000000006</v>
      </c>
      <c r="F3">
        <v>65.05</v>
      </c>
      <c r="G3">
        <v>67.47</v>
      </c>
      <c r="H3">
        <v>65.22</v>
      </c>
      <c r="I3">
        <v>70.569999999999993</v>
      </c>
      <c r="J3">
        <v>71.95</v>
      </c>
      <c r="K3">
        <v>65.31</v>
      </c>
      <c r="L3">
        <v>68.040000000000006</v>
      </c>
      <c r="M3">
        <v>65.459999999999994</v>
      </c>
      <c r="N3">
        <v>65.73</v>
      </c>
      <c r="O3" s="1247">
        <v>61.38</v>
      </c>
      <c r="P3" s="184">
        <f>59.12-0.5</f>
        <v>58.62</v>
      </c>
      <c r="Q3" s="184">
        <f>0.5+68.94</f>
        <v>69.44</v>
      </c>
      <c r="R3" s="184">
        <f>72.57-0.05</f>
        <v>72.52</v>
      </c>
      <c r="S3" s="184">
        <f>S6+3.4</f>
        <v>75.040000000000006</v>
      </c>
      <c r="T3">
        <v>65.584999999999994</v>
      </c>
      <c r="U3">
        <v>75.17</v>
      </c>
      <c r="V3">
        <v>75.08</v>
      </c>
      <c r="W3">
        <v>65.296000000000006</v>
      </c>
      <c r="X3">
        <v>63.27</v>
      </c>
      <c r="Y3">
        <f>Y6+Y9</f>
        <v>65.2</v>
      </c>
      <c r="Z3">
        <f>Z6+Z9</f>
        <v>70.31</v>
      </c>
      <c r="AA3" s="184">
        <f>AA6</f>
        <v>73.364599999999996</v>
      </c>
      <c r="AB3" s="184">
        <f>AB6</f>
        <v>66.952299999999994</v>
      </c>
      <c r="AC3" s="184">
        <f>AC6</f>
        <v>72.510000000000005</v>
      </c>
      <c r="AD3">
        <f>AD6+2</f>
        <v>74.069999999999993</v>
      </c>
      <c r="AE3">
        <f>AE6-3.3</f>
        <v>70.350000000000009</v>
      </c>
      <c r="AF3">
        <f>77.44-11</f>
        <v>66.44</v>
      </c>
      <c r="AG3">
        <f>AG6+AG9</f>
        <v>63.519999999999996</v>
      </c>
      <c r="AH3">
        <f>AH6</f>
        <v>66.599999999999994</v>
      </c>
      <c r="AI3" s="1248">
        <f>AI6+AI9</f>
        <v>67.919999999999987</v>
      </c>
      <c r="AJ3">
        <f>AJ6+2.8</f>
        <v>80.75</v>
      </c>
      <c r="AK3" s="1843">
        <f>82.41-3.1</f>
        <v>79.31</v>
      </c>
      <c r="AL3" s="1843">
        <f>88.27-5.2</f>
        <v>83.07</v>
      </c>
      <c r="AM3" s="1847">
        <v>90.223399999999998</v>
      </c>
      <c r="AN3">
        <v>89.010499999999993</v>
      </c>
      <c r="AO3">
        <v>105.94</v>
      </c>
      <c r="AP3">
        <v>110.36</v>
      </c>
      <c r="AQ3">
        <v>115.60599999999999</v>
      </c>
      <c r="AR3">
        <v>118.89</v>
      </c>
      <c r="AS3">
        <v>120.43259999999999</v>
      </c>
      <c r="AT3">
        <f>AT6-3.4</f>
        <v>120.55999999999999</v>
      </c>
    </row>
    <row r="4" spans="1:46" s="1246" customFormat="1">
      <c r="A4" s="1246" t="s">
        <v>63</v>
      </c>
      <c r="B4" s="1246">
        <v>66.42</v>
      </c>
      <c r="C4" s="1246">
        <v>69.5</v>
      </c>
      <c r="D4" s="1246">
        <v>58.87</v>
      </c>
      <c r="E4" s="1246">
        <v>66.28</v>
      </c>
      <c r="F4" s="1246">
        <v>63.14</v>
      </c>
      <c r="G4" s="1246">
        <v>64.900000000000006</v>
      </c>
      <c r="H4" s="1246">
        <v>63.56</v>
      </c>
      <c r="I4" s="1246">
        <v>65.69</v>
      </c>
      <c r="J4" s="1246">
        <v>68.766999999999996</v>
      </c>
      <c r="K4" s="1246">
        <v>62.88</v>
      </c>
      <c r="L4" s="1246">
        <v>65.05</v>
      </c>
      <c r="M4" s="1246">
        <v>62.105699999999999</v>
      </c>
      <c r="N4" s="1246">
        <v>62.13</v>
      </c>
      <c r="O4" s="1246">
        <v>56.8</v>
      </c>
      <c r="P4" s="1246">
        <f>56.22-0.5</f>
        <v>55.72</v>
      </c>
      <c r="Q4" s="1249">
        <f>0.5+64.49</f>
        <v>64.989999999999995</v>
      </c>
      <c r="R4" s="1249">
        <v>66.62</v>
      </c>
      <c r="S4" s="1251">
        <f>S7+3.4</f>
        <v>67.460000000000008</v>
      </c>
      <c r="T4" s="1246">
        <v>59.538600000000002</v>
      </c>
      <c r="U4" s="516">
        <v>70.010000000000005</v>
      </c>
      <c r="V4" s="1249">
        <v>70.098100000000002</v>
      </c>
      <c r="W4" s="1246">
        <v>60.06</v>
      </c>
      <c r="X4" s="1249">
        <v>60.07</v>
      </c>
      <c r="Y4" s="516">
        <f>Y7+Y10</f>
        <v>61.790000000000006</v>
      </c>
      <c r="Z4" s="516">
        <f>Z7+Z10</f>
        <v>64.56</v>
      </c>
      <c r="AA4" s="1246">
        <v>62.17</v>
      </c>
      <c r="AB4" s="1246">
        <v>58.03</v>
      </c>
      <c r="AC4" s="1246">
        <v>61.69</v>
      </c>
      <c r="AD4" s="1246">
        <v>63.48</v>
      </c>
      <c r="AE4" s="516">
        <f>AE7-3.3</f>
        <v>59.77</v>
      </c>
      <c r="AF4" s="1246">
        <f>65.54-11</f>
        <v>54.540000000000006</v>
      </c>
      <c r="AG4" s="1251">
        <f>AG7+AG10</f>
        <v>51.915900000000001</v>
      </c>
      <c r="AH4" s="1249">
        <v>55.236699999999999</v>
      </c>
      <c r="AI4" s="1249">
        <f>58.08-1.4</f>
        <v>56.68</v>
      </c>
      <c r="AJ4" s="1246">
        <f>65.38+2.8</f>
        <v>68.179999999999993</v>
      </c>
      <c r="AK4" s="1844">
        <f>70.02-3.1</f>
        <v>66.92</v>
      </c>
      <c r="AL4" s="1844">
        <f>76.03-5.2</f>
        <v>70.83</v>
      </c>
      <c r="AM4" s="1848">
        <v>76.013300000000001</v>
      </c>
      <c r="AN4" s="1246">
        <v>73.165700000000001</v>
      </c>
      <c r="AO4" s="1246">
        <v>86.158799999999999</v>
      </c>
      <c r="AP4" s="1246">
        <v>90.96</v>
      </c>
      <c r="AQ4" s="1246">
        <v>94.767499999999998</v>
      </c>
      <c r="AR4" s="1246">
        <v>97.16</v>
      </c>
      <c r="AS4" s="1246">
        <v>100.1558</v>
      </c>
      <c r="AT4">
        <f>AT7-3.4</f>
        <v>101.69</v>
      </c>
    </row>
    <row r="5" spans="1:46" s="263" customFormat="1">
      <c r="A5" s="263" t="s">
        <v>398</v>
      </c>
      <c r="AI5" s="1643"/>
      <c r="AK5" s="1845"/>
      <c r="AL5" s="1845"/>
      <c r="AM5" s="1849"/>
    </row>
    <row r="6" spans="1:46">
      <c r="A6" t="s">
        <v>61</v>
      </c>
      <c r="C6">
        <v>63.09</v>
      </c>
      <c r="D6">
        <f>D3</f>
        <v>60.46</v>
      </c>
      <c r="E6">
        <v>77.540000000000006</v>
      </c>
      <c r="F6">
        <f>F3-2.5</f>
        <v>62.55</v>
      </c>
      <c r="G6">
        <v>64.47</v>
      </c>
      <c r="H6">
        <f>H3+4</f>
        <v>69.22</v>
      </c>
      <c r="I6">
        <v>66.67</v>
      </c>
      <c r="J6">
        <f>J3-4.5</f>
        <v>67.45</v>
      </c>
      <c r="K6">
        <f>K3+4.3</f>
        <v>69.61</v>
      </c>
      <c r="L6">
        <f>L3</f>
        <v>68.040000000000006</v>
      </c>
      <c r="M6">
        <f>M3-1</f>
        <v>64.459999999999994</v>
      </c>
      <c r="N6">
        <f>N3+6</f>
        <v>71.73</v>
      </c>
      <c r="O6">
        <f>O3</f>
        <v>61.38</v>
      </c>
      <c r="P6" s="1248">
        <f>P3+4.5</f>
        <v>63.12</v>
      </c>
      <c r="Q6">
        <f>64.94+2</f>
        <v>66.94</v>
      </c>
      <c r="R6" s="184">
        <f>R3-4.9</f>
        <v>67.61999999999999</v>
      </c>
      <c r="S6">
        <v>71.64</v>
      </c>
      <c r="T6">
        <f>T3+8.3+5</f>
        <v>78.884999999999991</v>
      </c>
      <c r="U6">
        <f>U3-7</f>
        <v>68.17</v>
      </c>
      <c r="V6">
        <v>72.08</v>
      </c>
      <c r="W6">
        <f>W3</f>
        <v>65.296000000000006</v>
      </c>
      <c r="X6">
        <f>X3</f>
        <v>63.27</v>
      </c>
      <c r="Y6">
        <v>73.7</v>
      </c>
      <c r="Z6">
        <v>81.81</v>
      </c>
      <c r="AA6" s="184">
        <v>73.364599999999996</v>
      </c>
      <c r="AB6" s="184">
        <v>66.952299999999994</v>
      </c>
      <c r="AC6">
        <v>72.510000000000005</v>
      </c>
      <c r="AD6">
        <v>72.069999999999993</v>
      </c>
      <c r="AE6">
        <v>73.650000000000006</v>
      </c>
      <c r="AF6">
        <v>77.44</v>
      </c>
      <c r="AG6">
        <v>60.22</v>
      </c>
      <c r="AH6">
        <v>66.599999999999994</v>
      </c>
      <c r="AI6" s="184">
        <v>69.319999999999993</v>
      </c>
      <c r="AJ6">
        <v>77.95</v>
      </c>
      <c r="AK6" s="1843">
        <v>82.41</v>
      </c>
      <c r="AL6" s="1843">
        <v>88.27</v>
      </c>
      <c r="AM6" s="1847">
        <v>90.223399999999998</v>
      </c>
      <c r="AN6">
        <v>86.010499999999993</v>
      </c>
      <c r="AO6">
        <v>102.94</v>
      </c>
      <c r="AP6">
        <v>111.66</v>
      </c>
      <c r="AQ6">
        <f>AQ3</f>
        <v>115.60599999999999</v>
      </c>
      <c r="AR6">
        <v>121.89</v>
      </c>
      <c r="AS6">
        <v>120.43259999999999</v>
      </c>
      <c r="AT6">
        <v>123.96</v>
      </c>
    </row>
    <row r="7" spans="1:46" s="1246" customFormat="1">
      <c r="A7" s="1246" t="s">
        <v>63</v>
      </c>
      <c r="C7" s="1246">
        <v>62.5</v>
      </c>
      <c r="D7" s="1246">
        <v>58.87</v>
      </c>
      <c r="E7" s="1246">
        <v>75.28</v>
      </c>
      <c r="F7" s="1246">
        <v>60.64</v>
      </c>
      <c r="G7" s="1246">
        <v>61.9</v>
      </c>
      <c r="H7" s="1246">
        <v>67.56</v>
      </c>
      <c r="I7" s="1246">
        <v>61.79</v>
      </c>
      <c r="J7" s="1249">
        <v>64.266999999999996</v>
      </c>
      <c r="K7" s="1249">
        <v>67.176699999999997</v>
      </c>
      <c r="L7" s="1246">
        <v>65.05</v>
      </c>
      <c r="M7" s="1246">
        <v>61.105699999999999</v>
      </c>
      <c r="N7" s="1246">
        <v>68.13</v>
      </c>
      <c r="O7" s="1246">
        <f>O4</f>
        <v>56.8</v>
      </c>
      <c r="P7" s="1250">
        <f>P4+4.5</f>
        <v>60.22</v>
      </c>
      <c r="Q7" s="1246">
        <f>60.49+2</f>
        <v>62.49</v>
      </c>
      <c r="R7" s="1249">
        <f>R4-4.9</f>
        <v>61.720000000000006</v>
      </c>
      <c r="S7" s="1246">
        <v>64.06</v>
      </c>
      <c r="T7">
        <f>T4+8.3+5</f>
        <v>72.8386</v>
      </c>
      <c r="U7">
        <f>U4-7</f>
        <v>63.010000000000005</v>
      </c>
      <c r="V7" s="1249">
        <v>67.098100000000002</v>
      </c>
      <c r="W7">
        <f>W4</f>
        <v>60.06</v>
      </c>
      <c r="X7">
        <f>X4</f>
        <v>60.07</v>
      </c>
      <c r="Y7" s="1246">
        <v>70.290000000000006</v>
      </c>
      <c r="Z7" s="1246">
        <v>76.06</v>
      </c>
      <c r="AA7">
        <f>AA4-AA10</f>
        <v>62.17</v>
      </c>
      <c r="AB7" s="516">
        <f>AB4-AB10</f>
        <v>58.03</v>
      </c>
      <c r="AC7" s="516">
        <f>AC4-AC10</f>
        <v>61.69</v>
      </c>
      <c r="AD7" s="516">
        <f>AD4-AD10</f>
        <v>61.48</v>
      </c>
      <c r="AE7" s="1246">
        <v>63.07</v>
      </c>
      <c r="AF7" s="1246">
        <v>65.540000000000006</v>
      </c>
      <c r="AG7" s="1842">
        <v>48.615900000000003</v>
      </c>
      <c r="AH7" s="1249">
        <v>55.236699999999999</v>
      </c>
      <c r="AI7" s="1249">
        <v>58.075000000000003</v>
      </c>
      <c r="AJ7" s="1246">
        <v>65.38</v>
      </c>
      <c r="AK7" s="1844">
        <v>70.02</v>
      </c>
      <c r="AL7" s="1844">
        <v>76.03</v>
      </c>
      <c r="AM7" s="1848">
        <v>76.013300000000001</v>
      </c>
      <c r="AN7" s="1246">
        <v>70.165700000000001</v>
      </c>
      <c r="AO7" s="1246">
        <v>83.158799999999999</v>
      </c>
      <c r="AP7" s="1246">
        <v>92.26</v>
      </c>
      <c r="AQ7" s="516">
        <f>AQ4</f>
        <v>94.767499999999998</v>
      </c>
      <c r="AR7" s="1246">
        <v>100.16</v>
      </c>
      <c r="AS7" s="1246">
        <v>100.1558</v>
      </c>
      <c r="AT7" s="1246">
        <v>105.09</v>
      </c>
    </row>
    <row r="8" spans="1:46" s="263" customFormat="1">
      <c r="A8" s="263" t="s">
        <v>54</v>
      </c>
      <c r="AK8" s="1845"/>
      <c r="AL8" s="1845"/>
      <c r="AM8" s="1845"/>
    </row>
    <row r="9" spans="1:46">
      <c r="A9" t="s">
        <v>61</v>
      </c>
      <c r="B9">
        <f t="shared" ref="B9:O9" si="0">B3-B6</f>
        <v>67.680000000000007</v>
      </c>
      <c r="C9">
        <f t="shared" si="0"/>
        <v>7</v>
      </c>
      <c r="D9">
        <f t="shared" si="0"/>
        <v>0</v>
      </c>
      <c r="E9">
        <f t="shared" si="0"/>
        <v>-9</v>
      </c>
      <c r="F9">
        <f t="shared" si="0"/>
        <v>2.5</v>
      </c>
      <c r="G9">
        <f t="shared" si="0"/>
        <v>3</v>
      </c>
      <c r="H9">
        <f t="shared" si="0"/>
        <v>-4</v>
      </c>
      <c r="I9">
        <f t="shared" si="0"/>
        <v>3.8999999999999915</v>
      </c>
      <c r="J9">
        <f t="shared" si="0"/>
        <v>4.5</v>
      </c>
      <c r="K9">
        <f t="shared" si="0"/>
        <v>-4.2999999999999972</v>
      </c>
      <c r="L9">
        <f t="shared" si="0"/>
        <v>0</v>
      </c>
      <c r="M9">
        <f t="shared" si="0"/>
        <v>1</v>
      </c>
      <c r="N9">
        <f t="shared" si="0"/>
        <v>-6</v>
      </c>
      <c r="O9">
        <f t="shared" si="0"/>
        <v>0</v>
      </c>
      <c r="P9">
        <f t="shared" ref="P9:V10" si="1">P3-P6</f>
        <v>-4.5</v>
      </c>
      <c r="Q9">
        <f t="shared" si="1"/>
        <v>2.5</v>
      </c>
      <c r="R9">
        <f t="shared" si="1"/>
        <v>4.9000000000000057</v>
      </c>
      <c r="S9">
        <f t="shared" si="1"/>
        <v>3.4000000000000057</v>
      </c>
      <c r="T9">
        <f t="shared" si="1"/>
        <v>-13.299999999999997</v>
      </c>
      <c r="U9">
        <f t="shared" si="1"/>
        <v>7</v>
      </c>
      <c r="V9">
        <f t="shared" si="1"/>
        <v>3</v>
      </c>
      <c r="Y9">
        <v>-8.5</v>
      </c>
      <c r="Z9">
        <v>-11.5</v>
      </c>
      <c r="AD9">
        <v>2</v>
      </c>
      <c r="AE9">
        <v>-3.3</v>
      </c>
      <c r="AF9">
        <f>AF3-AF6</f>
        <v>-11</v>
      </c>
      <c r="AG9">
        <v>3.3</v>
      </c>
      <c r="AH9">
        <f t="shared" ref="AH9:AJ10" si="2">AH3-AH6</f>
        <v>0</v>
      </c>
      <c r="AI9">
        <v>-1.4</v>
      </c>
      <c r="AJ9">
        <f t="shared" si="2"/>
        <v>2.7999999999999972</v>
      </c>
      <c r="AK9" s="1843">
        <f>AK3-AK6</f>
        <v>-3.0999999999999943</v>
      </c>
      <c r="AL9" s="1843">
        <v>-5.2</v>
      </c>
      <c r="AM9" s="1843">
        <f>AM3-AM6</f>
        <v>0</v>
      </c>
      <c r="AN9" s="516">
        <v>3</v>
      </c>
      <c r="AO9" s="2314">
        <v>3</v>
      </c>
      <c r="AP9">
        <f>AP3-AP6</f>
        <v>-1.2999999999999972</v>
      </c>
      <c r="AQ9">
        <f t="shared" ref="AQ9:AR9" si="3">AQ3-AQ6</f>
        <v>0</v>
      </c>
      <c r="AR9">
        <f t="shared" si="3"/>
        <v>-3</v>
      </c>
      <c r="AS9">
        <f t="shared" ref="AS9:AT9" si="4">AS3-AS6</f>
        <v>0</v>
      </c>
      <c r="AT9">
        <f t="shared" si="4"/>
        <v>-3.4000000000000057</v>
      </c>
    </row>
    <row r="10" spans="1:46" s="1246" customFormat="1">
      <c r="A10" s="1246" t="s">
        <v>63</v>
      </c>
      <c r="B10" s="1246">
        <f t="shared" ref="B10:O10" si="5">B4-B7</f>
        <v>66.42</v>
      </c>
      <c r="C10" s="1246">
        <f t="shared" si="5"/>
        <v>7</v>
      </c>
      <c r="D10" s="1246">
        <f t="shared" si="5"/>
        <v>0</v>
      </c>
      <c r="E10" s="1246">
        <f t="shared" si="5"/>
        <v>-9</v>
      </c>
      <c r="F10" s="1246">
        <f t="shared" si="5"/>
        <v>2.5</v>
      </c>
      <c r="G10" s="1246">
        <f t="shared" si="5"/>
        <v>3.0000000000000071</v>
      </c>
      <c r="H10" s="1246">
        <f t="shared" si="5"/>
        <v>-4</v>
      </c>
      <c r="I10" s="1246">
        <f t="shared" si="5"/>
        <v>3.8999999999999986</v>
      </c>
      <c r="J10" s="1246">
        <f t="shared" si="5"/>
        <v>4.5</v>
      </c>
      <c r="K10" s="1249">
        <f t="shared" si="5"/>
        <v>-4.2966999999999942</v>
      </c>
      <c r="L10" s="1246">
        <f t="shared" si="5"/>
        <v>0</v>
      </c>
      <c r="M10" s="1246">
        <f t="shared" si="5"/>
        <v>1</v>
      </c>
      <c r="N10" s="1246">
        <f t="shared" si="5"/>
        <v>-5.9999999999999929</v>
      </c>
      <c r="O10" s="1246">
        <f t="shared" si="5"/>
        <v>0</v>
      </c>
      <c r="P10" s="1246">
        <f t="shared" si="1"/>
        <v>-4.5</v>
      </c>
      <c r="Q10" s="1246">
        <f t="shared" si="1"/>
        <v>2.4999999999999929</v>
      </c>
      <c r="R10" s="1246">
        <f t="shared" si="1"/>
        <v>4.8999999999999986</v>
      </c>
      <c r="S10" s="1246">
        <f t="shared" si="1"/>
        <v>3.4000000000000057</v>
      </c>
      <c r="T10" s="1246">
        <f t="shared" si="1"/>
        <v>-13.299999999999997</v>
      </c>
      <c r="U10" s="1246">
        <f t="shared" si="1"/>
        <v>7</v>
      </c>
      <c r="V10" s="1246">
        <f t="shared" si="1"/>
        <v>3</v>
      </c>
      <c r="Y10" s="1246">
        <v>-8.5</v>
      </c>
      <c r="Z10" s="1246">
        <v>-11.5</v>
      </c>
      <c r="AD10" s="1246">
        <v>2</v>
      </c>
      <c r="AE10">
        <f>AE4-AE7</f>
        <v>-3.2999999999999972</v>
      </c>
      <c r="AF10" s="516">
        <f>AF4-AF7</f>
        <v>-11</v>
      </c>
      <c r="AG10" s="1246">
        <v>3.3</v>
      </c>
      <c r="AH10" s="516">
        <f t="shared" si="2"/>
        <v>0</v>
      </c>
      <c r="AI10" s="1644">
        <f t="shared" si="2"/>
        <v>-1.3950000000000031</v>
      </c>
      <c r="AJ10" s="1644">
        <f t="shared" si="2"/>
        <v>2.7999999999999972</v>
      </c>
      <c r="AK10" s="1846">
        <f>AK4-AK7</f>
        <v>-3.0999999999999943</v>
      </c>
      <c r="AL10" s="1844">
        <v>-5.2</v>
      </c>
      <c r="AM10" s="1973">
        <f>AM4-AM7</f>
        <v>0</v>
      </c>
      <c r="AN10" s="1246">
        <v>3</v>
      </c>
      <c r="AO10" s="1246">
        <v>3</v>
      </c>
      <c r="AP10" s="516">
        <f>AP4-AP7</f>
        <v>-1.3000000000000114</v>
      </c>
      <c r="AQ10" s="516">
        <f t="shared" ref="AQ10:AR10" si="6">AQ4-AQ7</f>
        <v>0</v>
      </c>
      <c r="AR10" s="516">
        <f t="shared" si="6"/>
        <v>-3</v>
      </c>
      <c r="AS10" s="516">
        <f t="shared" ref="AS10:AT10" si="7">AS4-AS7</f>
        <v>0</v>
      </c>
      <c r="AT10" s="516">
        <f t="shared" si="7"/>
        <v>-3.4000000000000057</v>
      </c>
    </row>
    <row r="11" spans="1:46">
      <c r="Z11" s="188" t="s">
        <v>1209</v>
      </c>
      <c r="AA11" s="188" t="s">
        <v>5</v>
      </c>
      <c r="AK11" s="1843"/>
      <c r="AL11" s="1843"/>
      <c r="AM11" s="1843"/>
    </row>
    <row r="12" spans="1:46">
      <c r="Z12" s="1248">
        <f>Z14+Z16</f>
        <v>74.78</v>
      </c>
      <c r="AA12" s="1248">
        <f>AA14+AA16</f>
        <v>882.6</v>
      </c>
      <c r="AB12" s="188" t="s">
        <v>1215</v>
      </c>
      <c r="AJ12" s="188"/>
      <c r="AK12" s="1843"/>
      <c r="AL12" s="1843"/>
      <c r="AM12" s="1843"/>
    </row>
    <row r="13" spans="1:46">
      <c r="A13" s="634" t="s">
        <v>399</v>
      </c>
      <c r="Z13" s="1248">
        <f>Z15+Z17</f>
        <v>64.239999999999995</v>
      </c>
      <c r="AA13" s="1248">
        <f>AA15+AA17</f>
        <v>761.58</v>
      </c>
      <c r="AB13" s="188" t="s">
        <v>1215</v>
      </c>
      <c r="AJ13" s="188"/>
      <c r="AK13" s="1844"/>
      <c r="AL13" s="1844"/>
      <c r="AM13" s="1844"/>
    </row>
    <row r="14" spans="1:46">
      <c r="A14" s="634" t="s">
        <v>61</v>
      </c>
      <c r="O14" s="184">
        <v>64.174999999999997</v>
      </c>
      <c r="P14" s="184">
        <v>64.694999999999993</v>
      </c>
      <c r="Q14" s="184">
        <v>67.03</v>
      </c>
      <c r="R14" s="184">
        <v>69.02</v>
      </c>
      <c r="S14" s="184">
        <v>71.47</v>
      </c>
      <c r="T14" s="184">
        <v>81.849999999999994</v>
      </c>
      <c r="U14" s="184">
        <v>68.11</v>
      </c>
      <c r="V14" s="184">
        <v>73.67</v>
      </c>
      <c r="W14" s="184">
        <v>69.55</v>
      </c>
      <c r="X14" s="184">
        <v>67.209999999999994</v>
      </c>
      <c r="Y14" s="1782">
        <v>81.93</v>
      </c>
      <c r="Z14" s="1782">
        <v>86.28</v>
      </c>
      <c r="AA14" s="1782">
        <v>899.6</v>
      </c>
      <c r="AB14" s="188" t="s">
        <v>1225</v>
      </c>
      <c r="AJ14" s="188"/>
      <c r="AN14" s="1248"/>
      <c r="AO14" s="1783"/>
      <c r="AQ14" s="1783" t="e">
        <f>AP14/AK12</f>
        <v>#DIV/0!</v>
      </c>
      <c r="AR14" s="1248">
        <f>AM12-AA14</f>
        <v>-899.6</v>
      </c>
      <c r="AS14" s="1783">
        <f>AR14/AA14</f>
        <v>-1</v>
      </c>
    </row>
    <row r="15" spans="1:46">
      <c r="A15" t="s">
        <v>63</v>
      </c>
      <c r="O15" s="184">
        <v>59.176200000000001</v>
      </c>
      <c r="P15" s="184">
        <v>61.137500000000003</v>
      </c>
      <c r="Q15" s="184">
        <v>60.56</v>
      </c>
      <c r="R15" s="184">
        <v>61.19</v>
      </c>
      <c r="S15" s="184">
        <v>62.98</v>
      </c>
      <c r="T15" s="184">
        <v>73.680000000000007</v>
      </c>
      <c r="U15" s="184">
        <v>60.58</v>
      </c>
      <c r="V15" s="184">
        <v>67.260000000000005</v>
      </c>
      <c r="W15" s="184">
        <v>62.94</v>
      </c>
      <c r="X15" s="184">
        <v>62.62</v>
      </c>
      <c r="Y15" s="1782">
        <v>70.709999999999994</v>
      </c>
      <c r="Z15" s="1782">
        <v>75.739999999999995</v>
      </c>
      <c r="AA15" s="1782">
        <v>778.58</v>
      </c>
      <c r="AB15" s="188" t="s">
        <v>1225</v>
      </c>
      <c r="AJ15" s="188"/>
      <c r="AN15" s="1248"/>
      <c r="AO15" s="1783"/>
      <c r="AQ15" s="1783" t="e">
        <f>AP15/AK13</f>
        <v>#DIV/0!</v>
      </c>
      <c r="AR15" s="1248">
        <f>AM13-AA15</f>
        <v>-778.58</v>
      </c>
      <c r="AS15" s="1783">
        <f>AR15/AA15</f>
        <v>-1</v>
      </c>
    </row>
    <row r="16" spans="1:46">
      <c r="O16">
        <v>0</v>
      </c>
      <c r="P16">
        <v>-4.5</v>
      </c>
      <c r="Q16">
        <v>2.5</v>
      </c>
      <c r="R16">
        <v>4.9000000000000057</v>
      </c>
      <c r="S16">
        <v>3.4000000000000057</v>
      </c>
      <c r="T16">
        <v>-13.299999999999997</v>
      </c>
      <c r="U16">
        <v>7</v>
      </c>
      <c r="V16">
        <v>3</v>
      </c>
      <c r="Y16">
        <v>-8.5</v>
      </c>
      <c r="Z16">
        <v>-11.5</v>
      </c>
      <c r="AA16">
        <v>-17</v>
      </c>
    </row>
    <row r="17" spans="15:41">
      <c r="O17" s="1246">
        <v>0</v>
      </c>
      <c r="P17" s="1246">
        <v>-4.5</v>
      </c>
      <c r="Q17" s="1246">
        <v>2.4999999999999929</v>
      </c>
      <c r="R17" s="1246">
        <v>4.8999999999999986</v>
      </c>
      <c r="S17" s="1246">
        <v>3.4000000000000057</v>
      </c>
      <c r="T17" s="1246">
        <v>-13.299999999999997</v>
      </c>
      <c r="U17" s="1246">
        <v>7</v>
      </c>
      <c r="V17" s="1246">
        <v>3</v>
      </c>
      <c r="W17" s="1246"/>
      <c r="X17" s="1246"/>
      <c r="Y17" s="1246">
        <v>-8.5</v>
      </c>
      <c r="Z17" s="1246">
        <v>-11.5</v>
      </c>
      <c r="AA17">
        <v>-17</v>
      </c>
      <c r="AO17" s="1246"/>
    </row>
    <row r="19" spans="15:41">
      <c r="AL19" s="1248"/>
      <c r="AM19" s="1248"/>
    </row>
    <row r="20" spans="15:41">
      <c r="AL20" s="1783"/>
      <c r="AM20" s="1783"/>
    </row>
  </sheetData>
  <customSheetViews>
    <customSheetView guid="{1683F931-F47D-47C0-A395-D48080DC7EE6}" showPageBreaks="1">
      <selection activeCell="H33" sqref="H33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>
      <pane xSplit="1" ySplit="2" topLeftCell="B3" activePane="bottomRight" state="frozen"/>
      <selection pane="bottomRight" activeCell="M16" sqref="M16"/>
      <pageMargins left="0.69930555555555596" right="0.69930555555555596" top="0.75" bottom="0.75" header="0.3" footer="0.3"/>
    </customSheetView>
    <customSheetView guid="{849C46E5-4ED4-41B9-BDA9-A6465B9DA9C2}">
      <pane xSplit="1" ySplit="1" topLeftCell="V2" activePane="bottomRight" state="frozen"/>
      <selection pane="bottomRight" activeCell="AE16" sqref="AE16"/>
      <pageMargins left="0.69930555555555596" right="0.69930555555555596" top="0.75" bottom="0.75" header="0.3" footer="0.3"/>
    </customSheetView>
    <customSheetView guid="{8C09BCDE-4B8A-4469-B3F2-7F4528A2E78D}">
      <pane xSplit="1" ySplit="1" topLeftCell="V2" activePane="bottomRight" state="frozen"/>
      <selection pane="bottomRight" activeCell="AE16" sqref="AE16"/>
      <pageMargins left="0.69930555555555596" right="0.69930555555555596" top="0.75" bottom="0.75" header="0.3" footer="0.3"/>
    </customSheetView>
    <customSheetView guid="{F4EB51F4-FD23-4D5B-8072-1AF5D59D6686}">
      <pane xSplit="1" ySplit="1" topLeftCell="R2" activePane="bottomRight" state="frozen"/>
      <selection pane="bottomRight" activeCell="AB24" sqref="AB24"/>
      <pageMargins left="0.69930555555555596" right="0.69930555555555596" top="0.75" bottom="0.75" header="0.3" footer="0.3"/>
    </customSheetView>
    <customSheetView guid="{D7BCFB76-2797-401D-A6F1-E020B5162DD4}">
      <pane xSplit="1" ySplit="2" topLeftCell="Y3" activePane="bottomRight" state="frozen"/>
      <selection pane="bottomRight" activeCell="AG17" sqref="AG17"/>
      <pageMargins left="0.69930555555555596" right="0.69930555555555596" top="0.75" bottom="0.75" header="0.3" footer="0.3"/>
    </customSheetView>
    <customSheetView guid="{C9A88430-3808-49F4-8D86-BF8C70C55441}">
      <pane xSplit="1" ySplit="2" topLeftCell="B3" activePane="bottomRight" state="frozen"/>
      <selection pane="bottomRight" activeCell="F19" sqref="F19"/>
      <pageMargins left="0.69930555555555596" right="0.69930555555555596" top="0.75" bottom="0.75" header="0.3" footer="0.3"/>
    </customSheetView>
    <customSheetView guid="{E61FFED3-723E-484A-93A0-94E1A801AF06}">
      <pane xSplit="1" ySplit="2" topLeftCell="B3" activePane="bottomRight" state="frozen"/>
      <selection pane="bottomRight" activeCell="Q17" sqref="Q17"/>
      <pageMargins left="0.69930555555555596" right="0.69930555555555596" top="0.75" bottom="0.75" header="0.3" footer="0.3"/>
    </customSheetView>
    <customSheetView guid="{6B5CCA07-2BDD-4B8E-9E3C-2111BBA97430}">
      <pane xSplit="1" ySplit="2" topLeftCell="V3" activePane="bottomRight" state="frozen"/>
      <selection pane="bottomRight" activeCell="AD17" sqref="AD17"/>
      <pageMargins left="0.69930555555555596" right="0.69930555555555596" top="0.75" bottom="0.75" header="0.3" footer="0.3"/>
      <pageSetup paperSize="9" orientation="portrait" r:id="rId2"/>
    </customSheetView>
    <customSheetView guid="{2F47A827-9643-4D8A-AC5D-6B09D79AACF9}">
      <pane xSplit="1" ySplit="2" topLeftCell="B3" activePane="bottomRight" state="frozen"/>
      <selection pane="bottomRight" activeCell="M16" sqref="M16"/>
      <pageMargins left="0.69930555555555596" right="0.69930555555555596" top="0.75" bottom="0.75" header="0.3" footer="0.3"/>
    </customSheetView>
    <customSheetView guid="{B37168A1-DBAB-4BDE-9F92-6261DCDF3D92}">
      <pane xSplit="1" ySplit="1" topLeftCell="AB2" activePane="bottomRight" state="frozen"/>
      <selection pane="bottomRight" activeCell="AD20" sqref="AD20"/>
      <pageMargins left="0.69930555555555596" right="0.69930555555555596" top="0.75" bottom="0.75" header="0.3" footer="0.3"/>
    </customSheetView>
    <customSheetView guid="{AE0DD889-C13C-4059-8024-0F5B234827E9}">
      <selection activeCell="F19" sqref="F19"/>
      <pageMargins left="0.69930555555555596" right="0.69930555555555596" top="0.75" bottom="0.75" header="0.3" footer="0.3"/>
    </customSheetView>
    <customSheetView guid="{CCBBD9B0-4191-4D7A-9F7B-BAC044A49153}">
      <pane xSplit="1" ySplit="1" topLeftCell="B2" state="frozen"/>
      <selection activeCell="I19" sqref="I19"/>
      <pageMargins left="0.69930555555555596" right="0.69930555555555596" top="0.75" bottom="0.75" header="0.3" footer="0.3"/>
    </customSheetView>
    <customSheetView guid="{F5F9735B-EE22-4AC6-B5AB-C856ED6C133D}">
      <pane xSplit="1" ySplit="1" topLeftCell="B2" state="frozen"/>
      <selection activeCell="X4" sqref="X4"/>
      <pageMargins left="0.69930555555555596" right="0.69930555555555596" top="0.75" bottom="0.75" header="0.3" footer="0.3"/>
    </customSheetView>
    <customSheetView guid="{45B4C0D1-53B6-4553-BFF9-393760B8E0CE}">
      <pane xSplit="1" ySplit="2" topLeftCell="B3" state="frozen"/>
      <selection activeCell="E24" sqref="E24"/>
      <pageMargins left="0.69930555555555596" right="0.69930555555555596" top="0.75" bottom="0.75" header="0.3" footer="0.3"/>
    </customSheetView>
    <customSheetView guid="{1BBD1596-143E-4714-99EF-E3545231CCD1}">
      <pane xSplit="1" ySplit="2" topLeftCell="B3" state="frozen"/>
      <selection activeCell="P3" sqref="P3:P4"/>
      <pageMargins left="0.69930555555555596" right="0.69930555555555596" top="0.75" bottom="0.75" header="0.3" footer="0.3"/>
    </customSheetView>
    <customSheetView guid="{A8456D60-99BA-4794-8966-0CBA0A37EA6F}">
      <pane xSplit="1" ySplit="2" topLeftCell="B3" state="frozen"/>
      <selection activeCell="P6" sqref="P6:P7"/>
      <pageMargins left="0.69930555555555596" right="0.69930555555555596" top="0.75" bottom="0.75" header="0.3" footer="0.3"/>
    </customSheetView>
    <customSheetView guid="{500C3980-ED13-4C97-96B1-955D50509B66}">
      <selection activeCell="Z7" sqref="Z7"/>
      <pageMargins left="0.69930555555555596" right="0.69930555555555596" top="0.75" bottom="0.75" header="0.3" footer="0.3"/>
    </customSheetView>
    <customSheetView guid="{3B943BAF-34C7-494A-A071-85DE0891E5A1}">
      <pane xSplit="1" ySplit="1" topLeftCell="B2" state="frozen"/>
      <selection activeCell="N18" sqref="N18"/>
      <pageMargins left="0.69930555555555596" right="0.69930555555555596" top="0.75" bottom="0.75" header="0.3" footer="0.3"/>
    </customSheetView>
    <customSheetView guid="{EEE4B3DA-ADF6-49CC-9873-068FE5927B92}">
      <pane xSplit="1" ySplit="2" topLeftCell="B3" state="frozen"/>
      <selection activeCell="M16" sqref="M16"/>
      <pageMargins left="0.69930555555555596" right="0.69930555555555596" top="0.75" bottom="0.75" header="0.3" footer="0.3"/>
    </customSheetView>
    <customSheetView guid="{C52D0F53-4D1D-4D01-B833-260359FD02A5}">
      <pane xSplit="1" ySplit="1" topLeftCell="R2" activePane="bottomRight" state="frozen"/>
      <selection pane="bottomRight" activeCell="AN11" sqref="AN11"/>
      <pageMargins left="0.69930555555555596" right="0.69930555555555596" top="0.75" bottom="0.75" header="0.3" footer="0.3"/>
    </customSheetView>
    <customSheetView guid="{6A1E79C9-91E3-4EEA-8ABB-4446083299EC}">
      <pane xSplit="1" ySplit="2" topLeftCell="B3" activePane="bottomRight" state="frozen"/>
      <selection pane="bottomRight" activeCell="F19" sqref="F19"/>
      <pageMargins left="0.69930555555555596" right="0.69930555555555596" top="0.75" bottom="0.75" header="0.3" footer="0.3"/>
    </customSheetView>
    <customSheetView guid="{8B80B510-C931-46B1-8591-DEA916D76593}">
      <pane xSplit="1" ySplit="1" topLeftCell="AL2" activePane="bottomRight" state="frozen"/>
      <selection pane="bottomRight" activeCell="AQ21" sqref="AQ21"/>
      <pageMargins left="0.69930555555555596" right="0.69930555555555596" top="0.75" bottom="0.75" header="0.3" footer="0.3"/>
    </customSheetView>
    <customSheetView guid="{303A9D89-611D-4504-BCAA-071C53B021F7}">
      <pane xSplit="1" ySplit="2" topLeftCell="B3" activePane="bottomRight" state="frozen"/>
      <selection pane="bottomRight" activeCell="P6" sqref="P6:P7"/>
      <pageMargins left="0.69930555555555596" right="0.69930555555555596" top="0.75" bottom="0.75" header="0.3" footer="0.3"/>
    </customSheetView>
    <customSheetView guid="{4583A87D-5DFF-47BD-849A-FA4AAF2B9CE3}">
      <pane xSplit="1" ySplit="1" topLeftCell="AL2" activePane="bottomRight" state="frozen"/>
      <selection pane="bottomRight" activeCell="AT12" sqref="AT12"/>
      <pageMargins left="0.69930555555555596" right="0.69930555555555596" top="0.75" bottom="0.75" header="0.3" footer="0.3"/>
    </customSheetView>
    <customSheetView guid="{EA856AC2-CDFF-46B6-B0C4-30449DF132F4}">
      <pane xSplit="1" ySplit="2" topLeftCell="W3" activePane="bottomRight" state="frozen"/>
      <selection pane="bottomRight" activeCell="M16" sqref="M16"/>
      <pageMargins left="0.69930555555555596" right="0.69930555555555596" top="0.75" bottom="0.75" header="0.3" footer="0.3"/>
    </customSheetView>
    <customSheetView guid="{322A45A6-8B26-49B8-A4D9-EFB3C94A758D}" topLeftCell="AL2">
      <selection activeCell="AT21" sqref="AT21"/>
      <pageMargins left="0.69930555555555596" right="0.69930555555555596" top="0.75" bottom="0.75" header="0.3" footer="0.3"/>
      <pageSetup paperSize="9" orientation="portrait" r:id="rId3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-0.249977111117893"/>
  </sheetPr>
  <dimension ref="A1:BI36"/>
  <sheetViews>
    <sheetView zoomScaleNormal="115" workbookViewId="0">
      <pane xSplit="1" ySplit="1" topLeftCell="T23" activePane="bottomRight" state="frozen"/>
      <selection pane="topRight" activeCell="B1" sqref="B1"/>
      <selection pane="bottomLeft" activeCell="A2" sqref="A2"/>
      <selection pane="bottomRight" activeCell="AP35" sqref="AP35"/>
    </sheetView>
  </sheetViews>
  <sheetFormatPr defaultColWidth="9" defaultRowHeight="13.5"/>
  <cols>
    <col min="1" max="1" width="15" style="1233" customWidth="1"/>
    <col min="2" max="3" width="9" style="1233" customWidth="1"/>
    <col min="4" max="13" width="8.5" style="1233" customWidth="1"/>
    <col min="14" max="15" width="9.5" style="1233" customWidth="1"/>
    <col min="16" max="16" width="9.25" style="1233" customWidth="1"/>
    <col min="17" max="19" width="8.5" style="1233" customWidth="1"/>
    <col min="20" max="20" width="9" style="1233" customWidth="1"/>
    <col min="21" max="25" width="9.5" style="1233" customWidth="1"/>
    <col min="26" max="37" width="9" style="1233"/>
    <col min="38" max="38" width="9.5" style="1233" bestFit="1" customWidth="1"/>
    <col min="39" max="41" width="9.625" style="1233" bestFit="1" customWidth="1"/>
    <col min="42" max="42" width="9.25" style="1233" bestFit="1" customWidth="1"/>
    <col min="43" max="43" width="9.625" style="1233" bestFit="1" customWidth="1"/>
    <col min="44" max="45" width="9.25" style="1233" bestFit="1" customWidth="1"/>
    <col min="46" max="46" width="9.625" style="1233" bestFit="1" customWidth="1"/>
    <col min="47" max="47" width="9.5" style="1233" bestFit="1" customWidth="1"/>
    <col min="48" max="49" width="9.625" style="1233" bestFit="1" customWidth="1"/>
    <col min="50" max="50" width="8.75" style="1233" customWidth="1"/>
    <col min="51" max="16384" width="9" style="1233"/>
  </cols>
  <sheetData>
    <row r="1" spans="1:61" ht="13.5" customHeight="1">
      <c r="A1" s="1234" t="s">
        <v>0</v>
      </c>
      <c r="B1" s="1234">
        <v>2017</v>
      </c>
      <c r="C1" s="1234">
        <v>2017</v>
      </c>
      <c r="D1" s="1234">
        <v>2017</v>
      </c>
      <c r="E1" s="1234">
        <v>2017</v>
      </c>
      <c r="F1" s="1234">
        <v>2017</v>
      </c>
      <c r="G1" s="1234">
        <v>2017</v>
      </c>
      <c r="H1" s="1234">
        <v>2017</v>
      </c>
      <c r="I1" s="1234">
        <v>2017</v>
      </c>
      <c r="J1" s="1234">
        <v>2017</v>
      </c>
      <c r="K1" s="1234">
        <v>2017</v>
      </c>
      <c r="L1" s="1234">
        <v>2017</v>
      </c>
      <c r="M1" s="1234">
        <v>2017</v>
      </c>
      <c r="N1" s="1234">
        <v>2018</v>
      </c>
      <c r="O1" s="1234">
        <v>2018</v>
      </c>
      <c r="P1" s="1234">
        <v>2018</v>
      </c>
      <c r="Q1" s="1234">
        <v>2018</v>
      </c>
      <c r="R1" s="1234">
        <v>2018</v>
      </c>
      <c r="S1" s="1234">
        <v>2018</v>
      </c>
      <c r="T1" s="1234">
        <v>2018</v>
      </c>
      <c r="U1" s="1234">
        <v>2018</v>
      </c>
      <c r="V1" s="1234">
        <v>2018</v>
      </c>
      <c r="W1" s="1234">
        <v>2018</v>
      </c>
      <c r="X1" s="1234">
        <v>2018</v>
      </c>
      <c r="Y1" s="1234">
        <v>2018</v>
      </c>
      <c r="Z1" s="1234">
        <v>2019</v>
      </c>
      <c r="AA1" s="1234">
        <v>2019</v>
      </c>
      <c r="AB1" s="1234">
        <v>2019</v>
      </c>
      <c r="AC1" s="1234">
        <v>2019</v>
      </c>
      <c r="AD1" s="1234">
        <v>2019</v>
      </c>
      <c r="AE1" s="1234">
        <v>2019</v>
      </c>
      <c r="AF1" s="1234">
        <v>2019</v>
      </c>
      <c r="AG1" s="1234">
        <v>2019</v>
      </c>
      <c r="AH1" s="1234">
        <v>2019</v>
      </c>
      <c r="AI1" s="1234">
        <v>2019</v>
      </c>
      <c r="AJ1" s="1234">
        <v>2019</v>
      </c>
      <c r="AK1" s="1234">
        <v>2019</v>
      </c>
      <c r="AL1" s="1661">
        <v>2020</v>
      </c>
      <c r="AM1" s="1242">
        <v>2020</v>
      </c>
      <c r="AN1" s="1242">
        <v>2020</v>
      </c>
      <c r="AO1" s="1242">
        <v>2020</v>
      </c>
      <c r="AP1" s="1242">
        <v>2020</v>
      </c>
      <c r="AQ1" s="1242">
        <v>2020</v>
      </c>
      <c r="AR1" s="1242">
        <v>2020</v>
      </c>
      <c r="AS1" s="1242">
        <v>2020</v>
      </c>
      <c r="AT1" s="1242">
        <v>2020</v>
      </c>
      <c r="AU1" s="1242">
        <v>2020</v>
      </c>
      <c r="AV1" s="1242">
        <v>2020</v>
      </c>
      <c r="AW1" s="1761">
        <v>2020</v>
      </c>
      <c r="AX1" s="1234">
        <v>2021</v>
      </c>
      <c r="AY1" s="1221">
        <v>2021</v>
      </c>
      <c r="AZ1" s="1221">
        <v>2021</v>
      </c>
      <c r="BA1" s="1221">
        <v>2021</v>
      </c>
      <c r="BB1" s="1221">
        <v>2021</v>
      </c>
      <c r="BC1" s="1221">
        <v>2021</v>
      </c>
      <c r="BD1" s="1221">
        <v>2021</v>
      </c>
      <c r="BE1" s="1221">
        <v>2021</v>
      </c>
      <c r="BF1" s="1221">
        <v>2021</v>
      </c>
      <c r="BG1" s="1221">
        <v>2021</v>
      </c>
      <c r="BH1" s="1221">
        <v>2021</v>
      </c>
      <c r="BI1" s="1221">
        <v>2021</v>
      </c>
    </row>
    <row r="2" spans="1:61" ht="14.25">
      <c r="A2" s="1234" t="s">
        <v>1</v>
      </c>
      <c r="B2" s="1235">
        <v>1</v>
      </c>
      <c r="C2" s="1235">
        <v>2</v>
      </c>
      <c r="D2" s="1235">
        <v>3</v>
      </c>
      <c r="E2" s="1235">
        <v>4</v>
      </c>
      <c r="F2" s="1235">
        <v>5</v>
      </c>
      <c r="G2" s="1235">
        <v>6</v>
      </c>
      <c r="H2" s="1235">
        <v>7</v>
      </c>
      <c r="I2" s="1235">
        <v>8</v>
      </c>
      <c r="J2" s="1235">
        <v>9</v>
      </c>
      <c r="K2" s="1235">
        <v>10</v>
      </c>
      <c r="L2" s="1235">
        <v>11</v>
      </c>
      <c r="M2" s="1235">
        <v>12</v>
      </c>
      <c r="N2" s="1221">
        <v>1</v>
      </c>
      <c r="O2" s="1221">
        <v>2</v>
      </c>
      <c r="P2" s="1221">
        <v>3</v>
      </c>
      <c r="Q2" s="1221">
        <v>4</v>
      </c>
      <c r="R2" s="1221">
        <v>5</v>
      </c>
      <c r="S2" s="1221">
        <v>6</v>
      </c>
      <c r="T2" s="1221">
        <v>7</v>
      </c>
      <c r="U2" s="1221">
        <v>8</v>
      </c>
      <c r="V2" s="1221">
        <v>9</v>
      </c>
      <c r="W2" s="1221">
        <v>10</v>
      </c>
      <c r="X2" s="1221">
        <v>11</v>
      </c>
      <c r="Y2" s="1221">
        <v>12</v>
      </c>
      <c r="Z2" s="1221">
        <v>1</v>
      </c>
      <c r="AA2" s="1221">
        <v>2</v>
      </c>
      <c r="AB2" s="1221">
        <v>3</v>
      </c>
      <c r="AC2" s="1221">
        <v>4</v>
      </c>
      <c r="AD2" s="1221">
        <v>5</v>
      </c>
      <c r="AE2" s="1221">
        <v>6</v>
      </c>
      <c r="AF2" s="1221">
        <v>7</v>
      </c>
      <c r="AG2" s="1221">
        <v>8</v>
      </c>
      <c r="AH2" s="1221">
        <v>9</v>
      </c>
      <c r="AI2" s="1221">
        <v>10</v>
      </c>
      <c r="AJ2" s="1221">
        <v>11</v>
      </c>
      <c r="AK2" s="1221">
        <v>12</v>
      </c>
      <c r="AL2" s="1661">
        <v>1</v>
      </c>
      <c r="AM2" s="1242">
        <v>2</v>
      </c>
      <c r="AN2" s="1242">
        <v>3</v>
      </c>
      <c r="AO2" s="1242">
        <v>4</v>
      </c>
      <c r="AP2" s="1242">
        <v>5</v>
      </c>
      <c r="AQ2" s="1242">
        <v>6</v>
      </c>
      <c r="AR2" s="1242">
        <v>7</v>
      </c>
      <c r="AS2" s="1242">
        <v>8</v>
      </c>
      <c r="AT2" s="1242">
        <v>9</v>
      </c>
      <c r="AU2" s="1242">
        <v>10</v>
      </c>
      <c r="AV2" s="1242">
        <v>11</v>
      </c>
      <c r="AW2" s="1761">
        <v>12</v>
      </c>
      <c r="AX2" s="1235">
        <v>1</v>
      </c>
      <c r="AY2" s="1235">
        <v>2</v>
      </c>
      <c r="AZ2" s="1235">
        <v>3</v>
      </c>
      <c r="BA2" s="1235">
        <v>4</v>
      </c>
      <c r="BB2" s="1235">
        <v>5</v>
      </c>
      <c r="BC2" s="1235">
        <v>6</v>
      </c>
      <c r="BD2" s="1235">
        <v>7</v>
      </c>
      <c r="BE2" s="1235">
        <v>8</v>
      </c>
      <c r="BF2" s="1235">
        <v>9</v>
      </c>
      <c r="BG2" s="1235">
        <v>10</v>
      </c>
      <c r="BH2" s="1235">
        <v>11</v>
      </c>
      <c r="BI2" s="1235">
        <v>12</v>
      </c>
    </row>
    <row r="3" spans="1:61">
      <c r="A3" s="952" t="s">
        <v>400</v>
      </c>
      <c r="B3" s="952">
        <v>14231.537566999999</v>
      </c>
      <c r="C3" s="1236">
        <v>19711.471015056599</v>
      </c>
      <c r="D3" s="1236">
        <v>28015.359475000001</v>
      </c>
      <c r="E3" s="1236">
        <v>19161.570947</v>
      </c>
      <c r="F3" s="1236">
        <v>14530.707188</v>
      </c>
      <c r="G3" s="1236">
        <v>25955.284782999999</v>
      </c>
      <c r="H3" s="1236">
        <v>29946.573208999998</v>
      </c>
      <c r="I3" s="1236">
        <v>32657.432645000001</v>
      </c>
      <c r="J3" s="1236">
        <v>24225.528301999999</v>
      </c>
      <c r="K3" s="1236">
        <v>21786.112062799999</v>
      </c>
      <c r="L3" s="1236">
        <v>16252.360162999999</v>
      </c>
      <c r="M3" s="1236">
        <v>20170.533764</v>
      </c>
      <c r="N3" s="952">
        <v>30632.816546999999</v>
      </c>
      <c r="O3" s="1236">
        <v>8970.0702189999993</v>
      </c>
      <c r="P3" s="1236">
        <v>34349.798871999999</v>
      </c>
      <c r="Q3" s="1236">
        <v>11772.988034</v>
      </c>
      <c r="R3" s="1236">
        <v>31485.996090000001</v>
      </c>
      <c r="S3" s="1236">
        <v>21867.531223999998</v>
      </c>
      <c r="T3" s="1236">
        <v>22641.707523000001</v>
      </c>
      <c r="U3" s="1236">
        <v>30102.391017000002</v>
      </c>
      <c r="V3" s="1236">
        <v>26467.861058999999</v>
      </c>
      <c r="W3" s="1236">
        <v>31299.566916</v>
      </c>
      <c r="X3" s="1236">
        <v>18444.39975</v>
      </c>
      <c r="Y3" s="1236">
        <v>21581.207397999999</v>
      </c>
      <c r="Z3" s="952">
        <v>16419.088016000002</v>
      </c>
      <c r="AA3" s="1236">
        <v>19934.589817</v>
      </c>
      <c r="AB3" s="1236">
        <v>30990.757748</v>
      </c>
      <c r="AC3" s="1236">
        <v>3702.7877450000001</v>
      </c>
      <c r="AD3" s="1236">
        <v>26842.296376999999</v>
      </c>
      <c r="AE3" s="1236">
        <v>8822.7120810000106</v>
      </c>
      <c r="AF3" s="1236">
        <v>12972.563482</v>
      </c>
      <c r="AG3" s="1236">
        <v>10944.002453999999</v>
      </c>
      <c r="AH3" s="1236">
        <v>10577.665596999999</v>
      </c>
      <c r="AI3" s="1236">
        <v>-6160.4587820000097</v>
      </c>
      <c r="AJ3" s="1236">
        <v>-10906.944271</v>
      </c>
      <c r="AK3" s="1236">
        <v>25217.202593999998</v>
      </c>
      <c r="AL3" s="1662">
        <v>15998</v>
      </c>
      <c r="AM3" s="1659">
        <v>6309.5750820000003</v>
      </c>
      <c r="AN3" s="1659">
        <v>6469.0369620000001</v>
      </c>
      <c r="AO3" s="1659">
        <v>32194.489844</v>
      </c>
      <c r="AP3" s="1659">
        <v>18585.302199999998</v>
      </c>
      <c r="AQ3" s="1659">
        <v>-638.44950299999698</v>
      </c>
      <c r="AR3" s="1659">
        <v>17108.643562999994</v>
      </c>
      <c r="AS3" s="1659">
        <v>14551.247731999996</v>
      </c>
      <c r="AT3" s="1659">
        <v>6840.3543280000013</v>
      </c>
      <c r="AU3" s="1659">
        <v>17839.679221000002</v>
      </c>
      <c r="AV3" s="1659">
        <v>14181.540632</v>
      </c>
      <c r="AW3" s="1762">
        <v>20449</v>
      </c>
      <c r="AX3" s="952">
        <v>14774.404525000005</v>
      </c>
      <c r="AY3" s="952"/>
      <c r="AZ3" s="952"/>
      <c r="BA3" s="952"/>
      <c r="BB3" s="952"/>
      <c r="BC3" s="952"/>
      <c r="BD3" s="952"/>
      <c r="BE3" s="952"/>
      <c r="BF3" s="952"/>
      <c r="BG3" s="952"/>
      <c r="BH3" s="952"/>
      <c r="BI3" s="952"/>
    </row>
    <row r="4" spans="1:61">
      <c r="A4" s="952" t="s">
        <v>401</v>
      </c>
      <c r="B4" s="952">
        <v>982.40587300000004</v>
      </c>
      <c r="C4" s="1236">
        <v>1707.9400929999999</v>
      </c>
      <c r="D4" s="1236">
        <v>2094.1682599999999</v>
      </c>
      <c r="E4" s="1236">
        <v>1047.269515</v>
      </c>
      <c r="F4" s="1236">
        <v>1242.844838</v>
      </c>
      <c r="G4" s="1236">
        <v>1883.650294</v>
      </c>
      <c r="H4" s="1236">
        <v>2198.01620331</v>
      </c>
      <c r="I4" s="1236">
        <v>2703.64446</v>
      </c>
      <c r="J4" s="1236">
        <v>2015.8931419999999</v>
      </c>
      <c r="K4" s="1236">
        <v>1896.6479440000001</v>
      </c>
      <c r="L4" s="1236">
        <v>1163.802457</v>
      </c>
      <c r="M4" s="1236">
        <v>1974.870696</v>
      </c>
      <c r="N4" s="952">
        <v>2169.6093329999999</v>
      </c>
      <c r="O4" s="1236">
        <v>1031.4194988199999</v>
      </c>
      <c r="P4" s="1236">
        <v>2514.2419500000001</v>
      </c>
      <c r="Q4" s="1236">
        <v>930.56208300000003</v>
      </c>
      <c r="R4" s="1236">
        <v>2428.4734170000002</v>
      </c>
      <c r="S4" s="1236">
        <v>1853.0137500000001</v>
      </c>
      <c r="T4" s="1236">
        <v>1887.3406809999999</v>
      </c>
      <c r="U4" s="1236">
        <v>2197.9814019999999</v>
      </c>
      <c r="V4" s="1236">
        <v>1754.8954249999999</v>
      </c>
      <c r="W4" s="1236">
        <v>2285.9620610000002</v>
      </c>
      <c r="X4" s="1236">
        <v>1950.2465609999999</v>
      </c>
      <c r="Y4" s="1236">
        <v>1738.759444</v>
      </c>
      <c r="Z4" s="952">
        <v>1175.8628550000001</v>
      </c>
      <c r="AA4" s="1236">
        <v>1523.9565319999999</v>
      </c>
      <c r="AB4" s="1236">
        <v>2262.7982160000001</v>
      </c>
      <c r="AC4" s="1236">
        <v>889.73850600000003</v>
      </c>
      <c r="AD4" s="1236">
        <v>1906.5220509999999</v>
      </c>
      <c r="AE4" s="1236">
        <v>806.11835900000005</v>
      </c>
      <c r="AF4" s="1236">
        <v>962.55617099999995</v>
      </c>
      <c r="AG4" s="1236">
        <v>877.72747700000002</v>
      </c>
      <c r="AH4" s="1236">
        <v>968.75398500000017</v>
      </c>
      <c r="AI4" s="1236">
        <v>833.17202899999995</v>
      </c>
      <c r="AJ4" s="1236">
        <v>745.15868899999998</v>
      </c>
      <c r="AK4" s="1236">
        <v>541.29110700000001</v>
      </c>
      <c r="AL4" s="1662">
        <v>501</v>
      </c>
      <c r="AM4" s="1659">
        <v>651.99177499999996</v>
      </c>
      <c r="AN4" s="1659">
        <v>641.30531199999996</v>
      </c>
      <c r="AO4" s="1659">
        <v>533.23433799999998</v>
      </c>
      <c r="AP4" s="1659">
        <v>2554.3551309999998</v>
      </c>
      <c r="AQ4" s="1659">
        <v>1045.6413070000001</v>
      </c>
      <c r="AR4" s="1659">
        <v>448.66633600000011</v>
      </c>
      <c r="AS4" s="1659">
        <v>1071.856354</v>
      </c>
      <c r="AT4" s="1659">
        <v>944.40606300000013</v>
      </c>
      <c r="AU4" s="1659">
        <v>899.130177</v>
      </c>
      <c r="AV4" s="1659">
        <v>1145.2954739999998</v>
      </c>
      <c r="AW4" s="1762">
        <v>1825</v>
      </c>
      <c r="AX4" s="952">
        <v>2459.8502390000003</v>
      </c>
      <c r="AY4" s="952"/>
      <c r="AZ4" s="952"/>
      <c r="BA4" s="952"/>
      <c r="BB4" s="952"/>
      <c r="BC4" s="952"/>
      <c r="BD4" s="952"/>
      <c r="BE4" s="952"/>
      <c r="BF4" s="952"/>
      <c r="BG4" s="952"/>
      <c r="BH4" s="952"/>
      <c r="BI4" s="952"/>
    </row>
    <row r="5" spans="1:61">
      <c r="A5" s="952" t="s">
        <v>402</v>
      </c>
      <c r="B5" s="952">
        <v>774.52295600000002</v>
      </c>
      <c r="C5" s="1236">
        <v>1301.6422709999999</v>
      </c>
      <c r="D5" s="1236">
        <v>1584.4953640000001</v>
      </c>
      <c r="E5" s="1236">
        <v>829.60593500000004</v>
      </c>
      <c r="F5" s="1236">
        <v>963.10255199999995</v>
      </c>
      <c r="G5" s="1236">
        <v>1423.968793</v>
      </c>
      <c r="H5" s="1236">
        <v>1644.0837706499999</v>
      </c>
      <c r="I5" s="1236">
        <v>1986.3412699999999</v>
      </c>
      <c r="J5" s="1236">
        <v>1495.182125</v>
      </c>
      <c r="K5" s="1236">
        <v>1395.8385510000001</v>
      </c>
      <c r="L5" s="1236">
        <v>869.10007900000005</v>
      </c>
      <c r="M5" s="1236">
        <v>1435.945792</v>
      </c>
      <c r="N5" s="952">
        <v>1609.926044</v>
      </c>
      <c r="O5" s="1236">
        <v>830.73748699999999</v>
      </c>
      <c r="P5" s="1236">
        <v>1872.910453</v>
      </c>
      <c r="Q5" s="1236">
        <v>728.75473599999998</v>
      </c>
      <c r="R5" s="1236">
        <v>1822.526916</v>
      </c>
      <c r="S5" s="1236">
        <v>1363.9205145000001</v>
      </c>
      <c r="T5" s="1236">
        <v>1404.454849</v>
      </c>
      <c r="U5" s="1236">
        <v>1627.986531</v>
      </c>
      <c r="V5" s="1236">
        <v>1320.4171859999999</v>
      </c>
      <c r="W5" s="1236">
        <v>1713.5338449999999</v>
      </c>
      <c r="X5" s="1236">
        <v>1446.784596</v>
      </c>
      <c r="Y5" s="1236">
        <v>1262.613423</v>
      </c>
      <c r="Z5" s="952">
        <v>867.48994200000004</v>
      </c>
      <c r="AA5" s="1236">
        <v>1185.1723919999999</v>
      </c>
      <c r="AB5" s="1236">
        <v>1669.1770260000001</v>
      </c>
      <c r="AC5" s="1236">
        <v>707.53713700000003</v>
      </c>
      <c r="AD5" s="1236">
        <v>1431.3851279999999</v>
      </c>
      <c r="AE5" s="1236">
        <v>647.33799499999998</v>
      </c>
      <c r="AF5" s="1236">
        <v>751.530213</v>
      </c>
      <c r="AG5" s="1236">
        <v>680.05066499999998</v>
      </c>
      <c r="AH5" s="1236">
        <v>736.24272599999995</v>
      </c>
      <c r="AI5" s="1236">
        <v>659.83643300000006</v>
      </c>
      <c r="AJ5" s="1236">
        <v>581.19511499999999</v>
      </c>
      <c r="AK5" s="1236">
        <v>394.15049900000002</v>
      </c>
      <c r="AL5" s="1662">
        <v>417</v>
      </c>
      <c r="AM5" s="1659">
        <v>566.50879999999995</v>
      </c>
      <c r="AN5" s="1659">
        <v>532.74100799999997</v>
      </c>
      <c r="AO5" s="1659">
        <v>453.00492200000002</v>
      </c>
      <c r="AP5" s="1659">
        <v>1888.8031370000001</v>
      </c>
      <c r="AQ5" s="1659">
        <v>814.28094099999998</v>
      </c>
      <c r="AR5" s="1659">
        <v>360.47183500000006</v>
      </c>
      <c r="AS5" s="1659">
        <v>820.61427300000003</v>
      </c>
      <c r="AT5" s="1659">
        <v>719.54975100000013</v>
      </c>
      <c r="AU5" s="1659">
        <v>703.92273799999987</v>
      </c>
      <c r="AV5" s="1659">
        <v>876.7338239999998</v>
      </c>
      <c r="AW5" s="1762">
        <v>1322</v>
      </c>
      <c r="AX5" s="952">
        <v>1844.7555770000004</v>
      </c>
      <c r="AY5" s="952"/>
      <c r="AZ5" s="952"/>
      <c r="BA5" s="952"/>
      <c r="BB5" s="952"/>
      <c r="BC5" s="952"/>
      <c r="BD5" s="952"/>
      <c r="BE5" s="952"/>
      <c r="BF5" s="952"/>
      <c r="BG5" s="952"/>
      <c r="BH5" s="952"/>
      <c r="BI5" s="952"/>
    </row>
    <row r="6" spans="1:61">
      <c r="A6" s="952" t="s">
        <v>403</v>
      </c>
      <c r="B6" s="952">
        <v>1147.2525800000001</v>
      </c>
      <c r="C6" s="1236">
        <v>1132.683777</v>
      </c>
      <c r="D6" s="1236">
        <v>1360.3630659999999</v>
      </c>
      <c r="E6" s="1236">
        <v>1685.217388</v>
      </c>
      <c r="F6" s="1236">
        <v>1214.448085</v>
      </c>
      <c r="G6" s="1236">
        <v>1281.0809340000001</v>
      </c>
      <c r="H6" s="1236">
        <v>1216.512336</v>
      </c>
      <c r="I6" s="1236">
        <v>1407.1807839999999</v>
      </c>
      <c r="J6" s="1236">
        <v>1234.553529</v>
      </c>
      <c r="K6" s="1236">
        <v>1265.5913740000001</v>
      </c>
      <c r="L6" s="1236">
        <v>667.09306900000001</v>
      </c>
      <c r="M6" s="1236">
        <v>696.80632800000001</v>
      </c>
      <c r="N6" s="952">
        <v>1069.7601629999999</v>
      </c>
      <c r="O6" s="1236">
        <v>1101.9337149999999</v>
      </c>
      <c r="P6" s="1236">
        <v>1134.4598759999999</v>
      </c>
      <c r="Q6" s="1236">
        <v>1172.461123</v>
      </c>
      <c r="R6" s="1236">
        <v>1112.933241</v>
      </c>
      <c r="S6" s="1236">
        <v>1210.770219</v>
      </c>
      <c r="T6" s="1236">
        <v>1128.59728</v>
      </c>
      <c r="U6" s="1236">
        <v>1094.6503299999999</v>
      </c>
      <c r="V6" s="1236">
        <v>1110.8520430000001</v>
      </c>
      <c r="W6" s="1236">
        <v>1100.2890050000001</v>
      </c>
      <c r="X6" s="1236">
        <v>1109.7271450000001</v>
      </c>
      <c r="Y6" s="1236">
        <v>929.47358299999996</v>
      </c>
      <c r="Z6" s="952">
        <v>1121.3737639999999</v>
      </c>
      <c r="AA6" s="1236">
        <v>1151.4240930000001</v>
      </c>
      <c r="AB6" s="1236">
        <v>1246.6239700000001</v>
      </c>
      <c r="AC6" s="1236">
        <v>1119.3898220000001</v>
      </c>
      <c r="AD6" s="1236">
        <v>1104.1128550000001</v>
      </c>
      <c r="AE6" s="1236">
        <v>1172.4583379999999</v>
      </c>
      <c r="AF6" s="1236">
        <v>1164.675471</v>
      </c>
      <c r="AG6" s="1236">
        <v>1105.90895</v>
      </c>
      <c r="AH6" s="1236">
        <v>1120.4495450000004</v>
      </c>
      <c r="AI6" s="1236">
        <v>1150.345959</v>
      </c>
      <c r="AJ6" s="1236">
        <v>1134.459726</v>
      </c>
      <c r="AK6" s="1236">
        <v>1024.171642</v>
      </c>
      <c r="AL6" s="1662">
        <v>1122</v>
      </c>
      <c r="AM6" s="1659">
        <v>1078.3649849999999</v>
      </c>
      <c r="AN6" s="1659">
        <v>1096.626501</v>
      </c>
      <c r="AO6" s="1659">
        <v>1122.6438310000001</v>
      </c>
      <c r="AP6" s="1659">
        <v>1148.06405</v>
      </c>
      <c r="AQ6" s="1659">
        <v>1575.686512</v>
      </c>
      <c r="AR6" s="1659">
        <v>1174.4850839999999</v>
      </c>
      <c r="AS6" s="1659">
        <v>1181.173059</v>
      </c>
      <c r="AT6" s="1659">
        <v>1190.9177489999997</v>
      </c>
      <c r="AU6" s="1659">
        <v>1064.2094349999998</v>
      </c>
      <c r="AV6" s="1659">
        <v>1195.2651039999998</v>
      </c>
      <c r="AW6" s="1762">
        <v>1182</v>
      </c>
      <c r="AX6" s="952">
        <v>1449.3514890000001</v>
      </c>
      <c r="AY6" s="952"/>
      <c r="AZ6" s="952"/>
      <c r="BA6" s="952"/>
      <c r="BB6" s="952"/>
      <c r="BC6" s="952"/>
      <c r="BD6" s="952"/>
      <c r="BE6" s="952"/>
      <c r="BF6" s="952"/>
      <c r="BG6" s="952"/>
      <c r="BH6" s="952"/>
      <c r="BI6" s="952"/>
    </row>
    <row r="7" spans="1:61">
      <c r="A7" s="952" t="s">
        <v>404</v>
      </c>
      <c r="B7" s="952">
        <v>822.85794499999997</v>
      </c>
      <c r="C7" s="1236">
        <v>825.67740500000002</v>
      </c>
      <c r="D7" s="1236">
        <v>852.90117199999997</v>
      </c>
      <c r="E7" s="1236">
        <v>829.91630899999996</v>
      </c>
      <c r="F7" s="1236">
        <v>824.62261599999999</v>
      </c>
      <c r="G7" s="1236">
        <v>891.337447</v>
      </c>
      <c r="H7" s="1236">
        <v>832.05600500000003</v>
      </c>
      <c r="I7" s="1236">
        <v>832.82608000000005</v>
      </c>
      <c r="J7" s="1236">
        <v>878.83657000000005</v>
      </c>
      <c r="K7" s="1236">
        <v>825.19722999999999</v>
      </c>
      <c r="L7" s="1236">
        <v>829.05165699999998</v>
      </c>
      <c r="M7" s="1236">
        <v>-630.85896600000001</v>
      </c>
      <c r="N7" s="952">
        <v>831.64520600000003</v>
      </c>
      <c r="O7" s="1236">
        <v>828.29910199999995</v>
      </c>
      <c r="P7" s="1236">
        <v>910.54493600000001</v>
      </c>
      <c r="Q7" s="1236">
        <v>821.33605999999997</v>
      </c>
      <c r="R7" s="1236">
        <v>823.32369100000005</v>
      </c>
      <c r="S7" s="1236">
        <v>867.00255800000002</v>
      </c>
      <c r="T7" s="1236">
        <v>831.65417500000001</v>
      </c>
      <c r="U7" s="1236">
        <v>832.426152</v>
      </c>
      <c r="V7" s="1236">
        <v>878.42334700000004</v>
      </c>
      <c r="W7" s="1236">
        <v>807.15952400000003</v>
      </c>
      <c r="X7" s="1236">
        <v>860.27794900000004</v>
      </c>
      <c r="Y7" s="1236">
        <v>-643.86199899999997</v>
      </c>
      <c r="Z7" s="952">
        <v>626.70964600000002</v>
      </c>
      <c r="AA7" s="1236">
        <v>623.35454500000003</v>
      </c>
      <c r="AB7" s="1236">
        <v>662.12449400000003</v>
      </c>
      <c r="AC7" s="1236">
        <v>637.12275099999999</v>
      </c>
      <c r="AD7" s="1236">
        <v>631.17219999999998</v>
      </c>
      <c r="AE7" s="1236">
        <v>640.19644800000003</v>
      </c>
      <c r="AF7" s="1236">
        <v>643.88196500000004</v>
      </c>
      <c r="AG7" s="1236">
        <v>633.653637</v>
      </c>
      <c r="AH7" s="1236">
        <v>641.66015400000003</v>
      </c>
      <c r="AI7" s="1236">
        <v>637.14004799999998</v>
      </c>
      <c r="AJ7" s="1236">
        <v>634.654898</v>
      </c>
      <c r="AK7" s="1236">
        <v>-779.34155399999997</v>
      </c>
      <c r="AL7" s="1662">
        <v>635</v>
      </c>
      <c r="AM7" s="1659">
        <v>513.82520799999998</v>
      </c>
      <c r="AN7" s="1659">
        <v>567.10780799999998</v>
      </c>
      <c r="AO7" s="1659">
        <v>573.63074600000004</v>
      </c>
      <c r="AP7" s="1659">
        <v>576.84551399999998</v>
      </c>
      <c r="AQ7" s="1659">
        <v>575.901118</v>
      </c>
      <c r="AR7" s="1659">
        <v>582.63684600000011</v>
      </c>
      <c r="AS7" s="1659">
        <v>582.21565099999998</v>
      </c>
      <c r="AT7" s="1659">
        <v>585.45922499999995</v>
      </c>
      <c r="AU7" s="1659">
        <v>21.696426999999947</v>
      </c>
      <c r="AV7" s="1659">
        <v>586.38223800000003</v>
      </c>
      <c r="AW7" s="1762">
        <v>74</v>
      </c>
      <c r="AX7" s="952">
        <v>681.90560400000004</v>
      </c>
      <c r="AY7" s="952"/>
      <c r="AZ7" s="952"/>
      <c r="BA7" s="952"/>
      <c r="BB7" s="952"/>
      <c r="BC7" s="952"/>
      <c r="BD7" s="952"/>
      <c r="BE7" s="952"/>
      <c r="BF7" s="952"/>
      <c r="BG7" s="952"/>
      <c r="BH7" s="952"/>
      <c r="BI7" s="952"/>
    </row>
    <row r="8" spans="1:61">
      <c r="A8" s="952" t="s">
        <v>405</v>
      </c>
      <c r="B8" s="952">
        <v>1.2282</v>
      </c>
      <c r="C8" s="1236">
        <v>0.67200000000000004</v>
      </c>
      <c r="D8" s="1236">
        <v>8.9279999999999998E-2</v>
      </c>
      <c r="E8" s="1236">
        <v>1.692196</v>
      </c>
      <c r="F8" s="1236">
        <v>3.8759459999999999</v>
      </c>
      <c r="G8" s="1236">
        <v>1.1173439999999999</v>
      </c>
      <c r="H8" s="1236">
        <v>0.15356</v>
      </c>
      <c r="I8" s="1236">
        <v>0.219</v>
      </c>
      <c r="J8" s="1236">
        <v>1.945972</v>
      </c>
      <c r="K8" s="1236">
        <v>1.290184</v>
      </c>
      <c r="L8" s="1236">
        <v>10.961136</v>
      </c>
      <c r="M8" s="1236">
        <v>14.156295999999999</v>
      </c>
      <c r="N8" s="952">
        <v>0.96840700000000002</v>
      </c>
      <c r="O8" s="1236">
        <v>0.458984</v>
      </c>
      <c r="P8" s="1236">
        <v>1.802414</v>
      </c>
      <c r="Q8" s="1236">
        <v>0.52079200000000003</v>
      </c>
      <c r="R8" s="1236">
        <v>1.35012</v>
      </c>
      <c r="S8" s="1236">
        <v>9.6660000000000004</v>
      </c>
      <c r="T8" s="1236">
        <v>1.4468000000000001</v>
      </c>
      <c r="U8" s="1236">
        <v>0.22622999999999999</v>
      </c>
      <c r="V8" s="1236">
        <v>0.90102899999999997</v>
      </c>
      <c r="W8" s="1236">
        <v>0.24410000000000001</v>
      </c>
      <c r="X8" s="1236">
        <v>1.1170679999999999</v>
      </c>
      <c r="Y8" s="1236">
        <v>17.836286000000001</v>
      </c>
      <c r="Z8" s="952">
        <v>1.1744000000000001</v>
      </c>
      <c r="AA8" s="1236">
        <v>0.18</v>
      </c>
      <c r="AB8" s="1236">
        <v>1.9155439999999999</v>
      </c>
      <c r="AC8" s="1236">
        <v>1.2785120000000001</v>
      </c>
      <c r="AD8" s="1236">
        <v>1.5647519999999999</v>
      </c>
      <c r="AE8" s="1236">
        <v>0.69811199999999995</v>
      </c>
      <c r="AF8" s="1236">
        <v>0.81440000000000001</v>
      </c>
      <c r="AG8" s="1236">
        <v>1.8683000000000001</v>
      </c>
      <c r="AH8" s="1236">
        <v>0.36438799999999999</v>
      </c>
      <c r="AI8" s="1236">
        <v>0.82883600000000002</v>
      </c>
      <c r="AJ8" s="1236">
        <v>6.2697200000000004</v>
      </c>
      <c r="AK8" s="1236">
        <v>20.201573</v>
      </c>
      <c r="AL8" s="1662">
        <v>1</v>
      </c>
      <c r="AM8" s="1659">
        <v>1.4039999999999999</v>
      </c>
      <c r="AN8" s="1659">
        <v>0.61131999999999997</v>
      </c>
      <c r="AO8" s="1659">
        <v>0.720912</v>
      </c>
      <c r="AP8" s="1659">
        <v>0.54600000000000004</v>
      </c>
      <c r="AQ8" s="1659">
        <v>0.366512</v>
      </c>
      <c r="AR8" s="1659">
        <v>1.2804719999999998</v>
      </c>
      <c r="AS8" s="1659">
        <v>0.47073500000000001</v>
      </c>
      <c r="AT8" s="1659">
        <v>1.190148</v>
      </c>
      <c r="AU8" s="1659">
        <v>4.6706000000000003</v>
      </c>
      <c r="AV8" s="1659">
        <v>0.18143499999999999</v>
      </c>
      <c r="AW8" s="1762">
        <v>21</v>
      </c>
      <c r="AX8" s="952">
        <v>2.1999840000000002</v>
      </c>
      <c r="AY8" s="952"/>
      <c r="AZ8" s="952"/>
      <c r="BA8" s="952"/>
      <c r="BB8" s="952"/>
      <c r="BC8" s="952"/>
      <c r="BD8" s="952"/>
      <c r="BE8" s="952"/>
      <c r="BF8" s="952"/>
      <c r="BG8" s="952"/>
      <c r="BH8" s="952"/>
      <c r="BI8" s="952"/>
    </row>
    <row r="9" spans="1:61">
      <c r="A9" s="952" t="s">
        <v>406</v>
      </c>
      <c r="B9" s="952">
        <v>605.79801099999997</v>
      </c>
      <c r="C9" s="1236">
        <v>462.47218400000003</v>
      </c>
      <c r="D9" s="1236">
        <v>608.23213599999997</v>
      </c>
      <c r="E9" s="1236">
        <v>562.72062900000003</v>
      </c>
      <c r="F9" s="1236">
        <v>502.69113299999998</v>
      </c>
      <c r="G9" s="1236">
        <v>546.76588800000002</v>
      </c>
      <c r="H9" s="1236">
        <v>551.53709400000002</v>
      </c>
      <c r="I9" s="1236">
        <v>811.90299800000003</v>
      </c>
      <c r="J9" s="1236">
        <v>552.29872799999998</v>
      </c>
      <c r="K9" s="1236">
        <v>638.44735400000002</v>
      </c>
      <c r="L9" s="1236">
        <v>492.45332100000002</v>
      </c>
      <c r="M9" s="1236">
        <v>609.48440200000005</v>
      </c>
      <c r="N9" s="952">
        <v>701.43219499999998</v>
      </c>
      <c r="O9" s="1236">
        <v>308.62931800000001</v>
      </c>
      <c r="P9" s="1236">
        <v>403.521277</v>
      </c>
      <c r="Q9" s="1236">
        <v>404.19632999999999</v>
      </c>
      <c r="R9" s="1236">
        <v>415.47231799999997</v>
      </c>
      <c r="S9" s="1236">
        <v>378.19002999999998</v>
      </c>
      <c r="T9" s="1236">
        <v>488.33677499999999</v>
      </c>
      <c r="U9" s="1236">
        <v>513.97963500000003</v>
      </c>
      <c r="V9" s="1236">
        <v>375.73289</v>
      </c>
      <c r="W9" s="1236">
        <v>469.20180499999998</v>
      </c>
      <c r="X9" s="1236">
        <v>364.94135199999999</v>
      </c>
      <c r="Y9" s="1236">
        <v>473.136753</v>
      </c>
      <c r="Z9" s="952">
        <v>467.99359500000003</v>
      </c>
      <c r="AA9" s="1236">
        <v>345.03406799999999</v>
      </c>
      <c r="AB9" s="1236">
        <v>403.75598400000001</v>
      </c>
      <c r="AC9" s="1236">
        <v>394.37769800000001</v>
      </c>
      <c r="AD9" s="1236">
        <v>443.94953900000002</v>
      </c>
      <c r="AE9" s="1236">
        <v>419.44044100000002</v>
      </c>
      <c r="AF9" s="1236">
        <v>449.01099900000003</v>
      </c>
      <c r="AG9" s="1236">
        <v>461.57023900000002</v>
      </c>
      <c r="AH9" s="1236">
        <v>450.98697300000003</v>
      </c>
      <c r="AI9" s="1236">
        <v>410.83721100000002</v>
      </c>
      <c r="AJ9" s="1236">
        <v>411.93362400000001</v>
      </c>
      <c r="AK9" s="1236">
        <v>520.71915000000001</v>
      </c>
      <c r="AL9" s="1662">
        <v>524</v>
      </c>
      <c r="AM9" s="1659">
        <v>491.67898300000002</v>
      </c>
      <c r="AN9" s="1659">
        <v>712.48620800000003</v>
      </c>
      <c r="AO9" s="1659">
        <v>553.72368700000004</v>
      </c>
      <c r="AP9" s="1659">
        <v>524.33615599999996</v>
      </c>
      <c r="AQ9" s="1659">
        <v>528.53470200000004</v>
      </c>
      <c r="AR9" s="1659">
        <v>532.80439199999989</v>
      </c>
      <c r="AS9" s="1659">
        <v>562.31289900000002</v>
      </c>
      <c r="AT9" s="1659">
        <v>547.29525399999989</v>
      </c>
      <c r="AU9" s="1659">
        <v>587.73840400000006</v>
      </c>
      <c r="AV9" s="1659">
        <v>609.25307600000019</v>
      </c>
      <c r="AW9" s="1762">
        <v>698</v>
      </c>
      <c r="AX9" s="952">
        <v>836.4238939999999</v>
      </c>
      <c r="AY9" s="952"/>
      <c r="AZ9" s="952"/>
      <c r="BA9" s="952"/>
      <c r="BB9" s="952"/>
      <c r="BC9" s="952"/>
      <c r="BD9" s="952"/>
      <c r="BE9" s="952"/>
      <c r="BF9" s="952"/>
      <c r="BG9" s="952"/>
      <c r="BH9" s="952"/>
      <c r="BI9" s="952"/>
    </row>
    <row r="10" spans="1:61">
      <c r="A10" s="952" t="s">
        <v>407</v>
      </c>
      <c r="B10" s="952">
        <v>1429.5068630000001</v>
      </c>
      <c r="C10" s="1236">
        <v>1813.9364680000001</v>
      </c>
      <c r="D10" s="1236">
        <v>1586.2932290000001</v>
      </c>
      <c r="E10" s="1236">
        <v>1479.4731569999999</v>
      </c>
      <c r="F10" s="1236">
        <v>1599.6140889999999</v>
      </c>
      <c r="G10" s="1236">
        <v>1597.353963</v>
      </c>
      <c r="H10" s="1236">
        <v>1435.9147390000001</v>
      </c>
      <c r="I10" s="1236">
        <v>1347.323116</v>
      </c>
      <c r="J10" s="1236">
        <v>1483.518468</v>
      </c>
      <c r="K10" s="1236">
        <v>1335.2033839999999</v>
      </c>
      <c r="L10" s="1236">
        <v>1522.741278</v>
      </c>
      <c r="M10" s="1236">
        <v>1478.129522</v>
      </c>
      <c r="N10" s="952">
        <v>1592.1848890000001</v>
      </c>
      <c r="O10" s="1236">
        <v>1636.5012819999999</v>
      </c>
      <c r="P10" s="1236">
        <v>1438.8573060000001</v>
      </c>
      <c r="Q10" s="1236">
        <v>1479.621357</v>
      </c>
      <c r="R10" s="1236">
        <v>1580.169517</v>
      </c>
      <c r="S10" s="1236">
        <v>1579.083443</v>
      </c>
      <c r="T10" s="1236">
        <v>1471.365959</v>
      </c>
      <c r="U10" s="1236">
        <v>1815.5448389999999</v>
      </c>
      <c r="V10" s="1236">
        <v>1697.4088609999999</v>
      </c>
      <c r="W10" s="1236">
        <v>1649.56682</v>
      </c>
      <c r="X10" s="1236">
        <v>1657.145642</v>
      </c>
      <c r="Y10" s="1236">
        <v>1461.8353689999999</v>
      </c>
      <c r="Z10" s="952">
        <v>1499.3778480000001</v>
      </c>
      <c r="AA10" s="1236">
        <v>1675.1533159999999</v>
      </c>
      <c r="AB10" s="1236">
        <v>1351.26341</v>
      </c>
      <c r="AC10" s="1236">
        <v>1803.2593569999999</v>
      </c>
      <c r="AD10" s="1236">
        <v>1803.1862289999999</v>
      </c>
      <c r="AE10" s="1236">
        <v>1772.650038</v>
      </c>
      <c r="AF10" s="1236">
        <v>1788.40005</v>
      </c>
      <c r="AG10" s="1236">
        <v>1741.324617</v>
      </c>
      <c r="AH10" s="1236">
        <v>1681.6078079999997</v>
      </c>
      <c r="AI10" s="1236">
        <v>1618.514604</v>
      </c>
      <c r="AJ10" s="1236">
        <v>1598.633214</v>
      </c>
      <c r="AK10" s="1236">
        <v>1685.739137</v>
      </c>
      <c r="AL10" s="1662">
        <v>1495</v>
      </c>
      <c r="AM10" s="1659">
        <v>1855.5978439999999</v>
      </c>
      <c r="AN10" s="1659">
        <v>1674.8000400000001</v>
      </c>
      <c r="AO10" s="1659">
        <v>1738.9718680000001</v>
      </c>
      <c r="AP10" s="1659">
        <v>1590.853061</v>
      </c>
      <c r="AQ10" s="1659">
        <v>1798.568117</v>
      </c>
      <c r="AR10" s="1659">
        <v>1433.969951</v>
      </c>
      <c r="AS10" s="1659">
        <v>1833.3626389999997</v>
      </c>
      <c r="AT10" s="1659">
        <v>1582.4433919999999</v>
      </c>
      <c r="AU10" s="1659">
        <v>1919.117843</v>
      </c>
      <c r="AV10" s="1659">
        <v>2142.9540699999998</v>
      </c>
      <c r="AW10" s="1762">
        <v>1866</v>
      </c>
      <c r="AX10" s="952">
        <v>2185.1552999999999</v>
      </c>
      <c r="AY10" s="952"/>
      <c r="AZ10" s="952"/>
      <c r="BA10" s="952"/>
      <c r="BB10" s="952"/>
      <c r="BC10" s="952"/>
      <c r="BD10" s="952"/>
      <c r="BE10" s="952"/>
      <c r="BF10" s="952"/>
      <c r="BG10" s="952"/>
      <c r="BH10" s="952"/>
      <c r="BI10" s="952"/>
    </row>
    <row r="11" spans="1:61">
      <c r="A11" s="952" t="s">
        <v>408</v>
      </c>
      <c r="B11" s="952"/>
      <c r="C11" s="1236"/>
      <c r="D11" s="1236"/>
      <c r="E11" s="1236"/>
      <c r="F11" s="1236"/>
      <c r="G11" s="1236"/>
      <c r="H11" s="1236"/>
      <c r="I11" s="1236"/>
      <c r="J11" s="1236"/>
      <c r="K11" s="1236"/>
      <c r="L11" s="1236"/>
      <c r="M11" s="1236"/>
      <c r="N11" s="952">
        <v>91.745699999999999</v>
      </c>
      <c r="O11" s="1236">
        <v>89.583470000000005</v>
      </c>
      <c r="P11" s="1236">
        <v>566.51518399999998</v>
      </c>
      <c r="Q11" s="1236">
        <v>547.199748</v>
      </c>
      <c r="R11" s="1236">
        <v>247.459812</v>
      </c>
      <c r="S11" s="1236">
        <v>238.455377</v>
      </c>
      <c r="T11" s="1236">
        <v>363.054418</v>
      </c>
      <c r="U11" s="1236">
        <v>266.36565899999999</v>
      </c>
      <c r="V11" s="1236">
        <v>268.09114099999999</v>
      </c>
      <c r="W11" s="1236">
        <v>252.22712300000001</v>
      </c>
      <c r="X11" s="1236">
        <v>252.473839</v>
      </c>
      <c r="Y11" s="1236">
        <v>301.16869500000001</v>
      </c>
      <c r="Z11" s="952">
        <v>305.13086700000002</v>
      </c>
      <c r="AA11" s="1236">
        <v>286.423225</v>
      </c>
      <c r="AB11" s="1236">
        <v>287.77727399999998</v>
      </c>
      <c r="AC11" s="1236">
        <v>215.717367</v>
      </c>
      <c r="AD11" s="1236">
        <v>282.18631199999999</v>
      </c>
      <c r="AE11" s="1236">
        <v>277.84363100000002</v>
      </c>
      <c r="AF11" s="1236">
        <v>251.252082</v>
      </c>
      <c r="AG11" s="1236">
        <v>271.02891199999999</v>
      </c>
      <c r="AH11" s="1236">
        <v>266.19822699999997</v>
      </c>
      <c r="AI11" s="1236">
        <v>226.854308</v>
      </c>
      <c r="AJ11" s="1236">
        <v>258.59593699999999</v>
      </c>
      <c r="AK11" s="1236">
        <v>242.47224900000001</v>
      </c>
      <c r="AL11" s="1662">
        <v>234</v>
      </c>
      <c r="AM11" s="1659">
        <v>239.97329999999999</v>
      </c>
      <c r="AN11" s="1659">
        <v>193.09194099999999</v>
      </c>
      <c r="AO11" s="1659">
        <v>99.126264000000006</v>
      </c>
      <c r="AP11" s="1659">
        <v>203.52593200000001</v>
      </c>
      <c r="AQ11" s="1659">
        <v>167.22958299999999</v>
      </c>
      <c r="AR11" s="1659">
        <v>176.76599999999999</v>
      </c>
      <c r="AS11" s="1659">
        <v>159.230467</v>
      </c>
      <c r="AT11" s="1659">
        <v>179.104794</v>
      </c>
      <c r="AU11" s="1659">
        <v>128.592521</v>
      </c>
      <c r="AV11" s="1659">
        <v>142.509218</v>
      </c>
      <c r="AW11" s="1762">
        <v>133</v>
      </c>
      <c r="AX11" s="952">
        <v>155.30643799999999</v>
      </c>
      <c r="AY11" s="952"/>
      <c r="AZ11" s="952"/>
      <c r="BA11" s="952"/>
      <c r="BB11" s="952"/>
      <c r="BC11" s="952"/>
      <c r="BD11" s="952"/>
      <c r="BE11" s="952"/>
      <c r="BF11" s="952"/>
      <c r="BG11" s="952"/>
      <c r="BH11" s="952"/>
      <c r="BI11" s="952"/>
    </row>
    <row r="12" spans="1:61">
      <c r="A12" s="952" t="s">
        <v>409</v>
      </c>
      <c r="B12" s="952"/>
      <c r="C12" s="1236"/>
      <c r="D12" s="1236"/>
      <c r="E12" s="1236"/>
      <c r="F12" s="1236"/>
      <c r="G12" s="1236"/>
      <c r="H12" s="1236"/>
      <c r="I12" s="1236"/>
      <c r="J12" s="1236"/>
      <c r="K12" s="1236"/>
      <c r="L12" s="1236">
        <v>0</v>
      </c>
      <c r="M12" s="1236">
        <v>157.69816</v>
      </c>
      <c r="N12" s="952">
        <v>103.70937000000001</v>
      </c>
      <c r="O12" s="1236">
        <v>146.11698000000001</v>
      </c>
      <c r="P12" s="1236">
        <v>160.67080000000001</v>
      </c>
      <c r="Q12" s="1236">
        <v>77.728210000000004</v>
      </c>
      <c r="R12" s="1236">
        <v>78.713809999999995</v>
      </c>
      <c r="S12" s="1236">
        <v>223.73491000000001</v>
      </c>
      <c r="T12" s="1236">
        <v>82.533860000000004</v>
      </c>
      <c r="U12" s="1236">
        <v>70.855119999999999</v>
      </c>
      <c r="V12" s="1236">
        <v>164.28712999999999</v>
      </c>
      <c r="W12" s="1236">
        <v>136.03138999999999</v>
      </c>
      <c r="X12" s="1236">
        <v>159.761527</v>
      </c>
      <c r="Y12" s="1236">
        <v>146.39068900000001</v>
      </c>
      <c r="Z12" s="952">
        <v>156.81657999999999</v>
      </c>
      <c r="AA12" s="1236">
        <v>127.79837999999999</v>
      </c>
      <c r="AB12" s="1236">
        <v>104.90808</v>
      </c>
      <c r="AC12" s="1236">
        <v>116.71746</v>
      </c>
      <c r="AD12" s="1236">
        <v>110.14178</v>
      </c>
      <c r="AE12" s="1236">
        <v>120.01421999999999</v>
      </c>
      <c r="AF12" s="1236">
        <v>97.814120000000003</v>
      </c>
      <c r="AG12" s="1236">
        <v>103.87718</v>
      </c>
      <c r="AH12" s="1236">
        <v>106.82763999999999</v>
      </c>
      <c r="AI12" s="1236">
        <v>107.49432</v>
      </c>
      <c r="AJ12" s="1236">
        <v>122.9911</v>
      </c>
      <c r="AK12" s="1236">
        <v>116.21586000000001</v>
      </c>
      <c r="AL12" s="1662">
        <v>107</v>
      </c>
      <c r="AM12" s="1659">
        <v>141.65389999999999</v>
      </c>
      <c r="AN12" s="1659">
        <v>118.57606</v>
      </c>
      <c r="AO12" s="1659">
        <v>116.08092000000001</v>
      </c>
      <c r="AP12" s="1659">
        <v>109.17506</v>
      </c>
      <c r="AQ12" s="1659">
        <v>1154.8045</v>
      </c>
      <c r="AR12" s="1659">
        <v>149.3253</v>
      </c>
      <c r="AS12" s="1659">
        <v>148.50426000000002</v>
      </c>
      <c r="AT12" s="1659">
        <v>134.72381999999999</v>
      </c>
      <c r="AU12" s="1659">
        <v>165.81110000000001</v>
      </c>
      <c r="AV12" s="1659">
        <v>165.01266000000001</v>
      </c>
      <c r="AW12" s="1762">
        <v>145</v>
      </c>
      <c r="AX12" s="952">
        <v>137.09086000000002</v>
      </c>
      <c r="AY12" s="952"/>
      <c r="AZ12" s="952"/>
      <c r="BA12" s="952"/>
      <c r="BB12" s="952"/>
      <c r="BC12" s="952"/>
      <c r="BD12" s="952"/>
      <c r="BE12" s="952"/>
      <c r="BF12" s="952"/>
      <c r="BG12" s="952"/>
      <c r="BH12" s="952"/>
      <c r="BI12" s="952"/>
    </row>
    <row r="13" spans="1:61">
      <c r="A13" s="952" t="s">
        <v>410</v>
      </c>
      <c r="B13" s="952">
        <v>4.1724540000000001</v>
      </c>
      <c r="C13" s="1236">
        <v>22.066064000000001</v>
      </c>
      <c r="D13" s="1236">
        <v>24.519698000000002</v>
      </c>
      <c r="E13" s="1236">
        <v>0.85424</v>
      </c>
      <c r="F13" s="1236">
        <v>29.614932</v>
      </c>
      <c r="G13" s="1236">
        <v>6.3791989999999998</v>
      </c>
      <c r="H13" s="1236">
        <v>10.92722</v>
      </c>
      <c r="I13" s="1236">
        <v>0</v>
      </c>
      <c r="J13" s="1236">
        <v>1.854258</v>
      </c>
      <c r="K13" s="1236">
        <v>25.55932</v>
      </c>
      <c r="L13" s="1236">
        <v>3.2287669999999999</v>
      </c>
      <c r="M13" s="1236">
        <v>8.0718099999999993</v>
      </c>
      <c r="N13" s="952">
        <v>0.68315800000000004</v>
      </c>
      <c r="O13" s="1236">
        <v>14.019100999999999</v>
      </c>
      <c r="P13" s="1236">
        <v>44.098886</v>
      </c>
      <c r="Q13" s="1236">
        <v>22.172623000000002</v>
      </c>
      <c r="R13" s="1236">
        <v>28.039874999999999</v>
      </c>
      <c r="S13" s="1236">
        <v>37.621831999999998</v>
      </c>
      <c r="T13" s="1236">
        <v>8.1237139999999997</v>
      </c>
      <c r="U13" s="1236">
        <v>13.443885999999999</v>
      </c>
      <c r="V13" s="1236">
        <v>33.658141000000001</v>
      </c>
      <c r="W13" s="1236"/>
      <c r="X13" s="1236">
        <v>7.7669139999999999</v>
      </c>
      <c r="Y13" s="1236">
        <v>9.9135950000000008</v>
      </c>
      <c r="Z13" s="952">
        <v>23.247133999999999</v>
      </c>
      <c r="AA13" s="1236">
        <v>22.869261000000002</v>
      </c>
      <c r="AB13" s="1236">
        <v>18.897030999999998</v>
      </c>
      <c r="AC13" s="1236">
        <v>80.905366000000001</v>
      </c>
      <c r="AD13" s="1236">
        <v>94.276740000000004</v>
      </c>
      <c r="AE13" s="1236">
        <v>30.006757</v>
      </c>
      <c r="AF13" s="1236">
        <v>37.609127000000001</v>
      </c>
      <c r="AG13" s="1236">
        <v>36.040194</v>
      </c>
      <c r="AH13" s="1236">
        <v>68.229301000000007</v>
      </c>
      <c r="AI13" s="1236">
        <v>60.899673</v>
      </c>
      <c r="AJ13" s="1236">
        <v>27.958946999999998</v>
      </c>
      <c r="AK13" s="1236">
        <v>68.179317999999995</v>
      </c>
      <c r="AL13" s="1662">
        <v>85</v>
      </c>
      <c r="AM13" s="1659">
        <v>40.804993000000003</v>
      </c>
      <c r="AN13" s="1659">
        <v>12.43777</v>
      </c>
      <c r="AO13" s="1659">
        <v>86.914775000000006</v>
      </c>
      <c r="AP13" s="1659">
        <v>63.035961999999998</v>
      </c>
      <c r="AQ13" s="1659">
        <v>118.949635</v>
      </c>
      <c r="AR13" s="1659">
        <v>20.117721</v>
      </c>
      <c r="AS13" s="1659">
        <v>50.693053999999997</v>
      </c>
      <c r="AT13" s="1659">
        <v>68.110439999999997</v>
      </c>
      <c r="AU13" s="1659">
        <v>32.287815999999999</v>
      </c>
      <c r="AV13" s="1659">
        <v>134.69773899999998</v>
      </c>
      <c r="AW13" s="1762">
        <v>105</v>
      </c>
      <c r="AX13" s="952">
        <v>134.044984</v>
      </c>
      <c r="AY13" s="952"/>
      <c r="AZ13" s="952"/>
      <c r="BA13" s="952"/>
      <c r="BB13" s="952"/>
      <c r="BC13" s="952"/>
      <c r="BD13" s="952"/>
      <c r="BE13" s="952"/>
      <c r="BF13" s="952"/>
      <c r="BG13" s="952"/>
      <c r="BH13" s="952"/>
      <c r="BI13" s="952"/>
    </row>
    <row r="14" spans="1:61">
      <c r="A14" s="952" t="s">
        <v>411</v>
      </c>
      <c r="B14" s="952"/>
      <c r="C14" s="1236"/>
      <c r="D14" s="1236"/>
      <c r="E14" s="1236"/>
      <c r="F14" s="1236"/>
      <c r="G14" s="1236"/>
      <c r="H14" s="1236"/>
      <c r="I14" s="1236"/>
      <c r="J14" s="1236"/>
      <c r="K14" s="1236"/>
      <c r="L14" s="1236"/>
      <c r="M14" s="1236"/>
      <c r="N14" s="952"/>
      <c r="O14" s="1236"/>
      <c r="P14" s="1236"/>
      <c r="Q14" s="1236"/>
      <c r="R14" s="1236"/>
      <c r="S14" s="1236"/>
      <c r="T14" s="1236"/>
      <c r="U14" s="1236"/>
      <c r="V14" s="1236"/>
      <c r="W14" s="1236"/>
      <c r="X14" s="1236"/>
      <c r="Y14" s="1236"/>
      <c r="Z14" s="952"/>
      <c r="AA14" s="1236"/>
      <c r="AB14" s="1236"/>
      <c r="AC14" s="1236">
        <v>0</v>
      </c>
      <c r="AD14" s="1236"/>
      <c r="AE14" s="1236"/>
      <c r="AF14" s="1236">
        <v>1.171756</v>
      </c>
      <c r="AG14" s="1236">
        <v>0</v>
      </c>
      <c r="AH14" s="1236">
        <v>0</v>
      </c>
      <c r="AI14" s="1236"/>
      <c r="AJ14" s="1236">
        <v>682.04538000000002</v>
      </c>
      <c r="AK14" s="1236">
        <v>980.80671600000005</v>
      </c>
      <c r="AL14" s="1662" t="s">
        <v>1295</v>
      </c>
      <c r="AM14" s="1659"/>
      <c r="AN14" s="1659">
        <v>987.65431999999998</v>
      </c>
      <c r="AO14" s="1659">
        <v>0</v>
      </c>
      <c r="AP14" s="1659">
        <v>2.8791419999999999</v>
      </c>
      <c r="AQ14" s="1659">
        <v>0</v>
      </c>
      <c r="AR14" s="1659">
        <v>0</v>
      </c>
      <c r="AS14" s="1659">
        <v>0</v>
      </c>
      <c r="AT14" s="1659">
        <v>0</v>
      </c>
      <c r="AU14" s="1659">
        <v>0</v>
      </c>
      <c r="AV14" s="1241">
        <v>0</v>
      </c>
      <c r="AW14" s="1763" t="s">
        <v>1295</v>
      </c>
      <c r="AX14" s="952">
        <v>0</v>
      </c>
      <c r="AY14" s="952"/>
      <c r="AZ14" s="952"/>
      <c r="BA14" s="952"/>
      <c r="BB14" s="952"/>
      <c r="BC14" s="952"/>
      <c r="BD14" s="952"/>
      <c r="BE14" s="952"/>
      <c r="BF14" s="952"/>
      <c r="BG14" s="952"/>
      <c r="BH14" s="952"/>
      <c r="BI14" s="952"/>
    </row>
    <row r="15" spans="1:61">
      <c r="A15" s="950" t="s">
        <v>412</v>
      </c>
      <c r="B15" s="950">
        <f t="shared" ref="B15:Y15" si="0">SUM(B3:B13)</f>
        <v>19999.282448999998</v>
      </c>
      <c r="C15" s="950">
        <f t="shared" si="0"/>
        <v>26978.561277056593</v>
      </c>
      <c r="D15" s="950">
        <f t="shared" si="0"/>
        <v>36126.421679999992</v>
      </c>
      <c r="E15" s="950">
        <f t="shared" si="0"/>
        <v>25598.320316000001</v>
      </c>
      <c r="F15" s="950">
        <f t="shared" si="0"/>
        <v>20911.521379000002</v>
      </c>
      <c r="G15" s="950">
        <f t="shared" si="0"/>
        <v>33586.938645000002</v>
      </c>
      <c r="H15" s="950">
        <f t="shared" si="0"/>
        <v>37835.77413695999</v>
      </c>
      <c r="I15" s="950">
        <f t="shared" si="0"/>
        <v>41746.870352999991</v>
      </c>
      <c r="J15" s="950">
        <f t="shared" si="0"/>
        <v>31889.611094</v>
      </c>
      <c r="K15" s="950">
        <f t="shared" si="0"/>
        <v>29169.887403800003</v>
      </c>
      <c r="L15" s="950">
        <f t="shared" si="0"/>
        <v>21810.791927000002</v>
      </c>
      <c r="M15" s="950">
        <f t="shared" si="0"/>
        <v>25914.837803999999</v>
      </c>
      <c r="N15" s="950">
        <f t="shared" si="0"/>
        <v>38804.481011999989</v>
      </c>
      <c r="O15" s="950">
        <f t="shared" si="0"/>
        <v>14957.769156819999</v>
      </c>
      <c r="P15" s="950">
        <f t="shared" si="0"/>
        <v>43397.421953999998</v>
      </c>
      <c r="Q15" s="950">
        <f t="shared" si="0"/>
        <v>17957.541096000001</v>
      </c>
      <c r="R15" s="950">
        <f t="shared" si="0"/>
        <v>40024.45880700001</v>
      </c>
      <c r="S15" s="950">
        <f t="shared" si="0"/>
        <v>29628.989857499997</v>
      </c>
      <c r="T15" s="950">
        <f t="shared" si="0"/>
        <v>30308.616034000002</v>
      </c>
      <c r="U15" s="950">
        <f t="shared" si="0"/>
        <v>38535.850801000008</v>
      </c>
      <c r="V15" s="950">
        <f t="shared" si="0"/>
        <v>34072.528251999989</v>
      </c>
      <c r="W15" s="950">
        <f t="shared" si="0"/>
        <v>39713.782588999995</v>
      </c>
      <c r="X15" s="950">
        <f t="shared" si="0"/>
        <v>26254.642343</v>
      </c>
      <c r="Y15" s="950">
        <f t="shared" si="0"/>
        <v>27278.473235999998</v>
      </c>
      <c r="Z15" s="950">
        <f t="shared" ref="Z15:AI15" si="1">SUM(Z3:Z13)</f>
        <v>22664.264647</v>
      </c>
      <c r="AA15" s="950">
        <f t="shared" si="1"/>
        <v>26875.955629</v>
      </c>
      <c r="AB15" s="950">
        <f>SUM(AB3:AB14)</f>
        <v>38999.998777000008</v>
      </c>
      <c r="AC15" s="950">
        <f t="shared" si="1"/>
        <v>9668.8317210000005</v>
      </c>
      <c r="AD15" s="950">
        <f t="shared" si="1"/>
        <v>34650.793962999996</v>
      </c>
      <c r="AE15" s="950">
        <f t="shared" si="1"/>
        <v>14709.47642000001</v>
      </c>
      <c r="AF15" s="950">
        <f t="shared" si="1"/>
        <v>19120.108079999995</v>
      </c>
      <c r="AG15" s="950">
        <f t="shared" si="1"/>
        <v>16857.052625000004</v>
      </c>
      <c r="AH15" s="950">
        <f t="shared" si="1"/>
        <v>16618.986343999997</v>
      </c>
      <c r="AI15" s="950">
        <f t="shared" si="1"/>
        <v>-454.53536100000849</v>
      </c>
      <c r="AJ15" s="950">
        <f>SUM(AJ3:AJ14)</f>
        <v>-4703.0479210000012</v>
      </c>
      <c r="AK15" s="950">
        <f>SUM(AK3:AK14)</f>
        <v>30031.808290999998</v>
      </c>
      <c r="AL15" s="950">
        <f t="shared" ref="AL15:AV15" si="2">SUM(AL3:AL14)</f>
        <v>21119</v>
      </c>
      <c r="AM15" s="950">
        <f t="shared" si="2"/>
        <v>11891.378869999999</v>
      </c>
      <c r="AN15" s="950">
        <f t="shared" si="2"/>
        <v>13006.475250000001</v>
      </c>
      <c r="AO15" s="950">
        <f t="shared" si="2"/>
        <v>37472.542106999994</v>
      </c>
      <c r="AP15" s="950">
        <f t="shared" si="2"/>
        <v>27247.721345000005</v>
      </c>
      <c r="AQ15" s="950">
        <f t="shared" si="2"/>
        <v>7141.5134240000034</v>
      </c>
      <c r="AR15" s="950">
        <f t="shared" si="2"/>
        <v>21989.167499999989</v>
      </c>
      <c r="AS15" s="950">
        <f t="shared" si="2"/>
        <v>20961.681122999995</v>
      </c>
      <c r="AT15" s="950">
        <f t="shared" si="2"/>
        <v>12793.554964000003</v>
      </c>
      <c r="AU15" s="950">
        <f t="shared" si="2"/>
        <v>23366.856282000001</v>
      </c>
      <c r="AV15" s="950">
        <f t="shared" si="2"/>
        <v>21179.825469999996</v>
      </c>
      <c r="AW15" s="1764">
        <f>SUM(AW3:AW14)</f>
        <v>27820</v>
      </c>
      <c r="AX15" s="950">
        <f t="shared" ref="AX15:BI15" si="3">SUM(AX3:AX14)</f>
        <v>24660.488894000002</v>
      </c>
      <c r="AY15" s="950">
        <f t="shared" si="3"/>
        <v>0</v>
      </c>
      <c r="AZ15" s="950">
        <f t="shared" si="3"/>
        <v>0</v>
      </c>
      <c r="BA15" s="950">
        <f t="shared" si="3"/>
        <v>0</v>
      </c>
      <c r="BB15" s="950">
        <f t="shared" si="3"/>
        <v>0</v>
      </c>
      <c r="BC15" s="950">
        <f t="shared" si="3"/>
        <v>0</v>
      </c>
      <c r="BD15" s="950">
        <f t="shared" si="3"/>
        <v>0</v>
      </c>
      <c r="BE15" s="950">
        <f t="shared" si="3"/>
        <v>0</v>
      </c>
      <c r="BF15" s="950">
        <f t="shared" si="3"/>
        <v>0</v>
      </c>
      <c r="BG15" s="950">
        <f t="shared" si="3"/>
        <v>0</v>
      </c>
      <c r="BH15" s="950">
        <f t="shared" si="3"/>
        <v>0</v>
      </c>
      <c r="BI15" s="950">
        <f t="shared" si="3"/>
        <v>0</v>
      </c>
    </row>
    <row r="16" spans="1:61">
      <c r="A16" s="952" t="s">
        <v>413</v>
      </c>
      <c r="B16" s="952"/>
      <c r="C16" s="952"/>
      <c r="D16" s="952"/>
      <c r="E16" s="952"/>
      <c r="F16" s="952"/>
      <c r="G16" s="952"/>
      <c r="H16" s="952">
        <v>664.89473399999997</v>
      </c>
      <c r="I16" s="952">
        <v>1013.0467522500001</v>
      </c>
      <c r="J16" s="952">
        <v>4285.5877790000004</v>
      </c>
      <c r="K16" s="952">
        <v>1167.4746572500001</v>
      </c>
      <c r="L16" s="952">
        <v>1201.5438817500001</v>
      </c>
      <c r="M16" s="952">
        <v>7672.4076859999996</v>
      </c>
      <c r="N16" s="952">
        <v>1326</v>
      </c>
      <c r="O16" s="952">
        <v>3037.0004690000001</v>
      </c>
      <c r="P16" s="952">
        <v>24986.291323500001</v>
      </c>
      <c r="Q16" s="952">
        <v>6698.4934519999997</v>
      </c>
      <c r="R16" s="952">
        <v>9356.3640059999998</v>
      </c>
      <c r="S16" s="952">
        <v>14210</v>
      </c>
      <c r="T16" s="952">
        <v>6271.568687</v>
      </c>
      <c r="U16" s="952">
        <v>6667.2216952500003</v>
      </c>
      <c r="V16" s="952">
        <v>1458.2684385</v>
      </c>
      <c r="W16" s="952">
        <v>4974.493512</v>
      </c>
      <c r="X16" s="952">
        <v>3844.7986930000002</v>
      </c>
      <c r="Y16" s="952">
        <v>1542.7058139999999</v>
      </c>
      <c r="Z16" s="952">
        <v>2568.7674080000002</v>
      </c>
      <c r="AA16" s="952">
        <v>2438.5208619999999</v>
      </c>
      <c r="AB16" s="952">
        <v>2988.6006520000001</v>
      </c>
      <c r="AC16" s="952">
        <v>3859.1004790000002</v>
      </c>
      <c r="AD16" s="952">
        <v>5129.8900299999996</v>
      </c>
      <c r="AE16" s="952">
        <v>5095.2927229999996</v>
      </c>
      <c r="AF16" s="952">
        <v>6453.8770500000001</v>
      </c>
      <c r="AG16" s="952">
        <v>4179.9738600000001</v>
      </c>
      <c r="AH16" s="952">
        <v>1464.7307720000003</v>
      </c>
      <c r="AI16" s="952">
        <v>2063.5047399999999</v>
      </c>
      <c r="AJ16" s="952">
        <v>1991.62978</v>
      </c>
      <c r="AK16" s="952">
        <v>-1386.510252</v>
      </c>
      <c r="AL16" s="1662">
        <v>2871</v>
      </c>
      <c r="AM16" s="1659">
        <v>2449.1798330000001</v>
      </c>
      <c r="AN16" s="1659">
        <f>2974.646166+1869</f>
        <v>4843.6461660000004</v>
      </c>
      <c r="AO16" s="1659">
        <v>1947.8824340000001</v>
      </c>
      <c r="AP16" s="1659">
        <v>4614.951892</v>
      </c>
      <c r="AQ16" s="1659">
        <v>3641.1133009999999</v>
      </c>
      <c r="AR16" s="1659">
        <v>3348.2355980000002</v>
      </c>
      <c r="AS16" s="1659">
        <v>3303.4874170000003</v>
      </c>
      <c r="AT16" s="1659">
        <f>2473.90248+5689</f>
        <v>8162.9024800000007</v>
      </c>
      <c r="AU16" s="1659">
        <v>5272.8490609999999</v>
      </c>
      <c r="AV16" s="1659">
        <v>1796.9417689999998</v>
      </c>
      <c r="AW16" s="1762">
        <v>2200</v>
      </c>
      <c r="AX16" s="952">
        <v>7578</v>
      </c>
      <c r="AY16" s="952"/>
      <c r="AZ16" s="952"/>
      <c r="BA16" s="952"/>
      <c r="BB16" s="952"/>
      <c r="BC16" s="952"/>
      <c r="BD16" s="952"/>
      <c r="BE16" s="952"/>
      <c r="BF16" s="952"/>
      <c r="BG16" s="952"/>
      <c r="BH16" s="952"/>
      <c r="BI16" s="952"/>
    </row>
    <row r="17" spans="1:61">
      <c r="A17" s="950" t="s">
        <v>414</v>
      </c>
      <c r="B17" s="950"/>
      <c r="C17" s="950"/>
      <c r="D17" s="950"/>
      <c r="E17" s="950"/>
      <c r="F17" s="950"/>
      <c r="G17" s="950"/>
      <c r="H17" s="950">
        <f>H15+H16</f>
        <v>38500.668870959991</v>
      </c>
      <c r="I17" s="950">
        <f t="shared" ref="I17:Y17" si="4">I15+I16</f>
        <v>42759.917105249988</v>
      </c>
      <c r="J17" s="950">
        <f t="shared" si="4"/>
        <v>36175.198873000001</v>
      </c>
      <c r="K17" s="950">
        <f t="shared" si="4"/>
        <v>30337.362061050004</v>
      </c>
      <c r="L17" s="950">
        <f t="shared" si="4"/>
        <v>23012.335808750002</v>
      </c>
      <c r="M17" s="950">
        <f t="shared" si="4"/>
        <v>33587.245490000001</v>
      </c>
      <c r="N17" s="950">
        <f t="shared" si="4"/>
        <v>40130.481011999989</v>
      </c>
      <c r="O17" s="950">
        <f t="shared" si="4"/>
        <v>17994.769625819998</v>
      </c>
      <c r="P17" s="950">
        <f t="shared" si="4"/>
        <v>68383.713277500006</v>
      </c>
      <c r="Q17" s="950">
        <f t="shared" si="4"/>
        <v>24656.034548</v>
      </c>
      <c r="R17" s="950">
        <f t="shared" si="4"/>
        <v>49380.822813000006</v>
      </c>
      <c r="S17" s="950">
        <f t="shared" si="4"/>
        <v>43838.989857499997</v>
      </c>
      <c r="T17" s="950">
        <f t="shared" si="4"/>
        <v>36580.184721000005</v>
      </c>
      <c r="U17" s="950">
        <f t="shared" si="4"/>
        <v>45203.07249625001</v>
      </c>
      <c r="V17" s="950">
        <f t="shared" si="4"/>
        <v>35530.796690499992</v>
      </c>
      <c r="W17" s="950">
        <f t="shared" si="4"/>
        <v>44688.276100999996</v>
      </c>
      <c r="X17" s="950">
        <f t="shared" si="4"/>
        <v>30099.441036</v>
      </c>
      <c r="Y17" s="950">
        <f t="shared" si="4"/>
        <v>28821.179049999999</v>
      </c>
      <c r="Z17" s="1245">
        <f t="shared" ref="Z17:AV17" si="5">Z15+Z16</f>
        <v>25233.032055</v>
      </c>
      <c r="AA17" s="950">
        <f t="shared" si="5"/>
        <v>29314.476491000001</v>
      </c>
      <c r="AB17" s="950">
        <f t="shared" si="5"/>
        <v>41988.599429000009</v>
      </c>
      <c r="AC17" s="950">
        <f t="shared" si="5"/>
        <v>13527.932200000001</v>
      </c>
      <c r="AD17" s="950">
        <f t="shared" si="5"/>
        <v>39780.683992999999</v>
      </c>
      <c r="AE17" s="950">
        <f t="shared" si="5"/>
        <v>19804.769143000009</v>
      </c>
      <c r="AF17" s="950">
        <f t="shared" si="5"/>
        <v>25573.985129999994</v>
      </c>
      <c r="AG17" s="950">
        <f t="shared" si="5"/>
        <v>21037.026485000002</v>
      </c>
      <c r="AH17" s="950">
        <f t="shared" si="5"/>
        <v>18083.717115999996</v>
      </c>
      <c r="AI17" s="950">
        <f t="shared" si="5"/>
        <v>1608.9693789999915</v>
      </c>
      <c r="AJ17" s="950">
        <f t="shared" si="5"/>
        <v>-2711.418141000001</v>
      </c>
      <c r="AK17" s="950">
        <f t="shared" si="5"/>
        <v>28645.298038999998</v>
      </c>
      <c r="AL17" s="950">
        <f t="shared" si="5"/>
        <v>23990</v>
      </c>
      <c r="AM17" s="950">
        <f t="shared" si="5"/>
        <v>14340.558702999999</v>
      </c>
      <c r="AN17" s="950">
        <f t="shared" si="5"/>
        <v>17850.121416000002</v>
      </c>
      <c r="AO17" s="950">
        <f t="shared" si="5"/>
        <v>39420.424540999993</v>
      </c>
      <c r="AP17" s="950">
        <f t="shared" si="5"/>
        <v>31862.673237000006</v>
      </c>
      <c r="AQ17" s="950">
        <f t="shared" si="5"/>
        <v>10782.626725000004</v>
      </c>
      <c r="AR17" s="950">
        <f>AR15+AR16</f>
        <v>25337.403097999988</v>
      </c>
      <c r="AS17" s="950">
        <f t="shared" si="5"/>
        <v>24265.168539999995</v>
      </c>
      <c r="AT17" s="950">
        <f t="shared" si="5"/>
        <v>20956.457444000003</v>
      </c>
      <c r="AU17" s="950">
        <f t="shared" si="5"/>
        <v>28639.705343000001</v>
      </c>
      <c r="AV17" s="950">
        <f t="shared" si="5"/>
        <v>22976.767238999997</v>
      </c>
      <c r="AW17" s="1764">
        <f>AW15+AW16</f>
        <v>30020</v>
      </c>
      <c r="AX17" s="950">
        <f t="shared" ref="AX17:BI17" si="6">AX15+AX16</f>
        <v>32238.488894000002</v>
      </c>
      <c r="AY17" s="950">
        <f t="shared" si="6"/>
        <v>0</v>
      </c>
      <c r="AZ17" s="950">
        <f t="shared" si="6"/>
        <v>0</v>
      </c>
      <c r="BA17" s="950">
        <f t="shared" si="6"/>
        <v>0</v>
      </c>
      <c r="BB17" s="950">
        <f t="shared" si="6"/>
        <v>0</v>
      </c>
      <c r="BC17" s="950">
        <f t="shared" si="6"/>
        <v>0</v>
      </c>
      <c r="BD17" s="950">
        <f t="shared" si="6"/>
        <v>0</v>
      </c>
      <c r="BE17" s="950">
        <f t="shared" si="6"/>
        <v>0</v>
      </c>
      <c r="BF17" s="950">
        <f t="shared" si="6"/>
        <v>0</v>
      </c>
      <c r="BG17" s="950">
        <f t="shared" si="6"/>
        <v>0</v>
      </c>
      <c r="BH17" s="950">
        <f t="shared" si="6"/>
        <v>0</v>
      </c>
      <c r="BI17" s="950">
        <f t="shared" si="6"/>
        <v>0</v>
      </c>
    </row>
    <row r="18" spans="1:61">
      <c r="A18" s="950"/>
      <c r="B18" s="950"/>
      <c r="C18" s="950"/>
      <c r="D18" s="950"/>
      <c r="E18" s="950"/>
      <c r="F18" s="950"/>
      <c r="G18" s="950"/>
      <c r="H18" s="950"/>
      <c r="I18" s="950"/>
      <c r="J18" s="950"/>
      <c r="K18" s="950"/>
      <c r="L18" s="1243"/>
      <c r="M18" s="950"/>
      <c r="N18" s="950"/>
      <c r="O18" s="950"/>
      <c r="P18" s="950"/>
      <c r="Q18" s="950"/>
      <c r="R18" s="950"/>
      <c r="S18" s="950"/>
      <c r="T18" s="950"/>
      <c r="U18" s="950"/>
      <c r="V18" s="950"/>
      <c r="W18" s="950"/>
      <c r="X18" s="950"/>
      <c r="Y18" s="950"/>
      <c r="Z18" s="950"/>
      <c r="AA18" s="950"/>
      <c r="AB18" s="950"/>
      <c r="AC18" s="950"/>
      <c r="AD18" s="950"/>
      <c r="AE18" s="950"/>
      <c r="AF18" s="950"/>
      <c r="AG18" s="950"/>
      <c r="AH18" s="950"/>
      <c r="AI18" s="950"/>
      <c r="AJ18" s="950"/>
      <c r="AK18" s="950"/>
      <c r="AL18" s="1658"/>
      <c r="AM18" s="1241"/>
      <c r="AN18" s="1660"/>
      <c r="AO18" s="1241"/>
      <c r="AP18" s="1241"/>
      <c r="AQ18" s="1241"/>
      <c r="AR18" s="1241"/>
      <c r="AS18" s="1241"/>
      <c r="AT18" s="1241"/>
      <c r="AU18" s="1241"/>
      <c r="AV18" s="1241"/>
      <c r="AW18" s="1763"/>
      <c r="AX18" s="950"/>
      <c r="AY18" s="950"/>
      <c r="AZ18" s="950"/>
      <c r="BA18" s="950"/>
      <c r="BB18" s="950"/>
      <c r="BC18" s="950"/>
      <c r="BD18" s="950"/>
      <c r="BE18" s="950"/>
      <c r="BF18" s="950"/>
      <c r="BG18" s="950"/>
      <c r="BH18" s="950"/>
      <c r="BI18" s="950"/>
    </row>
    <row r="19" spans="1:61">
      <c r="A19" s="1237"/>
      <c r="B19" s="1238"/>
      <c r="C19" s="1238"/>
      <c r="D19" s="1238"/>
      <c r="E19" s="1238"/>
      <c r="F19" s="1239"/>
      <c r="G19" s="1239"/>
      <c r="H19" s="1239"/>
      <c r="I19" s="1239"/>
      <c r="J19" s="1239"/>
      <c r="K19" s="1239"/>
      <c r="L19" s="1239"/>
      <c r="M19" s="1239"/>
      <c r="N19" s="1238"/>
      <c r="O19" s="1238"/>
      <c r="P19" s="1238"/>
      <c r="Q19" s="1238"/>
      <c r="R19" s="1239"/>
      <c r="S19" s="1239"/>
      <c r="T19" s="1239"/>
      <c r="U19" s="1239"/>
      <c r="V19" s="1239"/>
      <c r="W19" s="1239"/>
      <c r="X19" s="1239"/>
      <c r="Y19" s="1239"/>
      <c r="Z19" s="1238"/>
      <c r="AA19" s="1238"/>
      <c r="AB19" s="1238"/>
      <c r="AC19" s="1238"/>
      <c r="AD19" s="1239"/>
      <c r="AE19" s="1239"/>
      <c r="AF19" s="1239"/>
      <c r="AG19" s="1239"/>
      <c r="AH19" s="1239"/>
      <c r="AI19" s="1239"/>
      <c r="AJ19" s="1239"/>
      <c r="AK19" s="1239"/>
      <c r="AL19" s="1658"/>
      <c r="AM19" s="1241"/>
      <c r="AN19" s="1241"/>
      <c r="AO19" s="1241"/>
      <c r="AP19" s="1241"/>
      <c r="AQ19" s="1241"/>
      <c r="AR19" s="1241"/>
      <c r="AS19" s="1241"/>
      <c r="AT19" s="1241"/>
      <c r="AU19" s="1241"/>
      <c r="AV19" s="1241"/>
      <c r="AW19" s="1763"/>
      <c r="AX19" s="1238"/>
      <c r="AY19" s="1238"/>
      <c r="AZ19" s="1238"/>
      <c r="BA19" s="1238"/>
      <c r="BB19" s="1238"/>
      <c r="BC19" s="1238"/>
      <c r="BD19" s="1238"/>
      <c r="BE19" s="1238"/>
      <c r="BF19" s="1238"/>
      <c r="BG19" s="1238"/>
      <c r="BH19" s="1238"/>
      <c r="BI19" s="1238"/>
    </row>
    <row r="21" spans="1:61">
      <c r="A21" s="1233" t="s">
        <v>415</v>
      </c>
    </row>
    <row r="22" spans="1:61">
      <c r="A22" s="952" t="s">
        <v>400</v>
      </c>
      <c r="B22" s="952">
        <v>26454.048965000002</v>
      </c>
      <c r="C22" s="1236">
        <v>12122.874754</v>
      </c>
      <c r="D22" s="1236">
        <v>22018.507925999998</v>
      </c>
      <c r="E22" s="1236">
        <v>25693.122510000001</v>
      </c>
      <c r="F22" s="1236">
        <v>14563.021943</v>
      </c>
      <c r="G22" s="1236">
        <v>13476.726853</v>
      </c>
      <c r="H22" s="1236">
        <v>25213.063591999999</v>
      </c>
      <c r="I22" s="1236">
        <v>28552.910158999999</v>
      </c>
      <c r="J22" s="1236">
        <v>34731.300852</v>
      </c>
      <c r="K22" s="1236">
        <v>22104.730391000001</v>
      </c>
      <c r="L22" s="1236">
        <v>23041.016801999998</v>
      </c>
      <c r="M22" s="1236">
        <v>1756.2543069999999</v>
      </c>
      <c r="N22" s="952">
        <v>36595.325232000003</v>
      </c>
      <c r="O22" s="1236">
        <v>27367.048889999998</v>
      </c>
      <c r="P22" s="1236">
        <v>11499.695335</v>
      </c>
      <c r="Q22" s="1236">
        <v>32897.090839999997</v>
      </c>
      <c r="R22" s="1236">
        <v>9052.9239080000007</v>
      </c>
      <c r="S22" s="1236">
        <v>31298.353032999999</v>
      </c>
      <c r="T22" s="1236">
        <v>22275.358618999999</v>
      </c>
      <c r="U22" s="1236">
        <v>24333.821542999998</v>
      </c>
      <c r="V22" s="1236">
        <v>26192.583269999999</v>
      </c>
      <c r="W22" s="1236">
        <v>21386.499433000001</v>
      </c>
      <c r="X22" s="1236">
        <v>29408.617908</v>
      </c>
      <c r="Y22" s="1236">
        <v>23875.009601999998</v>
      </c>
      <c r="Z22" s="952">
        <v>23136.848695000001</v>
      </c>
      <c r="AA22" s="1236">
        <v>13875.792092</v>
      </c>
      <c r="AB22" s="1236">
        <v>23954.724182999998</v>
      </c>
      <c r="AC22" s="1236">
        <v>29737.889587999998</v>
      </c>
      <c r="AD22" s="1236">
        <v>9004.5310649999992</v>
      </c>
      <c r="AE22" s="1236">
        <v>24368.637707999998</v>
      </c>
      <c r="AF22" s="1236">
        <v>10106.923126</v>
      </c>
      <c r="AG22" s="1236">
        <v>13547.441247999999</v>
      </c>
      <c r="AH22" s="1236">
        <v>10653.330492999999</v>
      </c>
      <c r="AI22" s="1236">
        <v>11026.116714</v>
      </c>
      <c r="AJ22" s="1236">
        <v>7773.5871809999999</v>
      </c>
      <c r="AK22" s="1236">
        <v>2513.9464589999998</v>
      </c>
      <c r="AL22" s="1662">
        <v>12260</v>
      </c>
      <c r="AM22" s="1659">
        <v>10264.962556</v>
      </c>
      <c r="AN22" s="1659">
        <v>11344.172552</v>
      </c>
      <c r="AO22" s="1659">
        <v>10900.253572</v>
      </c>
      <c r="AP22" s="1659">
        <v>8972.8478689999993</v>
      </c>
      <c r="AQ22" s="1659">
        <v>18143.585638</v>
      </c>
      <c r="AR22" s="1659">
        <v>9270.884736</v>
      </c>
      <c r="AS22" s="1659">
        <v>7146.7822999999999</v>
      </c>
      <c r="AT22" s="1659">
        <v>10948.247787</v>
      </c>
      <c r="AU22" s="1659">
        <v>9461.8336589999999</v>
      </c>
      <c r="AV22" s="1659">
        <v>13767.729328999996</v>
      </c>
      <c r="AW22" s="1931">
        <v>12656.432557</v>
      </c>
      <c r="AX22" s="1762">
        <v>22324.047531999997</v>
      </c>
      <c r="AY22" s="1763"/>
      <c r="AZ22" s="1763"/>
      <c r="BA22" s="1763"/>
      <c r="BB22" s="1763"/>
      <c r="BC22" s="1763"/>
      <c r="BD22" s="1763"/>
      <c r="BE22" s="1763"/>
      <c r="BF22" s="1763"/>
      <c r="BG22" s="1763"/>
      <c r="BH22" s="1763"/>
      <c r="BI22" s="1763"/>
    </row>
    <row r="23" spans="1:61">
      <c r="A23" s="952" t="s">
        <v>401</v>
      </c>
      <c r="B23" s="952">
        <v>2262.3406369999998</v>
      </c>
      <c r="C23" s="1236">
        <v>974.89880700000003</v>
      </c>
      <c r="D23" s="1236">
        <v>1703.4672860000001</v>
      </c>
      <c r="E23" s="1236">
        <v>2104.9037899999998</v>
      </c>
      <c r="F23" s="1236">
        <v>1039.3955679999999</v>
      </c>
      <c r="G23" s="1236">
        <v>1238.443092</v>
      </c>
      <c r="H23" s="1236">
        <v>1893.9881499999999</v>
      </c>
      <c r="I23" s="1236">
        <v>2194.7490130000001</v>
      </c>
      <c r="J23" s="1236">
        <v>2734.5387040000001</v>
      </c>
      <c r="K23" s="1236">
        <v>1988.4285500000001</v>
      </c>
      <c r="L23" s="1236">
        <v>1893.419846</v>
      </c>
      <c r="M23" s="1236">
        <v>994.35510499999998</v>
      </c>
      <c r="N23" s="952">
        <v>2151.1106610000002</v>
      </c>
      <c r="O23" s="1236">
        <v>2160.3709159999999</v>
      </c>
      <c r="P23" s="1236">
        <v>1016.091779</v>
      </c>
      <c r="Q23" s="1236">
        <v>2535.815102</v>
      </c>
      <c r="R23" s="1236">
        <v>919.87096699999995</v>
      </c>
      <c r="S23" s="1236">
        <v>2421.9833359999998</v>
      </c>
      <c r="T23" s="1236">
        <v>1869.626397</v>
      </c>
      <c r="U23" s="1236">
        <v>1878.8593858199999</v>
      </c>
      <c r="V23" s="1236">
        <v>2182.871787</v>
      </c>
      <c r="W23" s="1236">
        <v>1740.3335059999999</v>
      </c>
      <c r="X23" s="1236">
        <v>2264.4603179999999</v>
      </c>
      <c r="Y23" s="1236">
        <v>1793.1917940000001</v>
      </c>
      <c r="Z23" s="952">
        <v>1804.7740389999999</v>
      </c>
      <c r="AA23" s="1236">
        <v>1228.697011</v>
      </c>
      <c r="AB23" s="1236">
        <v>1656.8981940000001</v>
      </c>
      <c r="AC23" s="1236">
        <v>2276.7193940000002</v>
      </c>
      <c r="AD23" s="1236">
        <v>884.46449500000006</v>
      </c>
      <c r="AE23" s="1236">
        <v>1895.609318</v>
      </c>
      <c r="AF23" s="1236">
        <v>816.01721999999995</v>
      </c>
      <c r="AG23" s="1236">
        <v>955.58934099999999</v>
      </c>
      <c r="AH23" s="1236">
        <v>859.48342500000001</v>
      </c>
      <c r="AI23" s="1236">
        <v>995.14328399999999</v>
      </c>
      <c r="AJ23" s="1236">
        <v>824.36652600000002</v>
      </c>
      <c r="AK23" s="1236">
        <v>501.54667699999999</v>
      </c>
      <c r="AL23" s="1662">
        <v>557</v>
      </c>
      <c r="AM23" s="1659">
        <v>493.47376400000002</v>
      </c>
      <c r="AN23" s="1659">
        <v>638.62390000000005</v>
      </c>
      <c r="AO23" s="1659">
        <v>652.30838400000005</v>
      </c>
      <c r="AP23" s="1659">
        <v>531.34312299999999</v>
      </c>
      <c r="AQ23" s="1659">
        <v>2541.1162789999998</v>
      </c>
      <c r="AR23" s="1659">
        <v>1063.8249649999998</v>
      </c>
      <c r="AS23" s="1659">
        <v>437.32646800000009</v>
      </c>
      <c r="AT23" s="1659">
        <v>1062.5259680000001</v>
      </c>
      <c r="AU23" s="1659">
        <v>966.15231300000005</v>
      </c>
      <c r="AV23" s="1659">
        <v>891.63474600000006</v>
      </c>
      <c r="AW23" s="1931">
        <v>1131.5713020000001</v>
      </c>
      <c r="AX23" s="1762">
        <v>1845.9178870000005</v>
      </c>
      <c r="AY23" s="1763"/>
      <c r="AZ23" s="1763"/>
      <c r="BA23" s="1763"/>
      <c r="BB23" s="1763"/>
      <c r="BC23" s="1763"/>
      <c r="BD23" s="1763"/>
      <c r="BE23" s="1763"/>
      <c r="BF23" s="1763"/>
      <c r="BG23" s="1763"/>
      <c r="BH23" s="1763"/>
      <c r="BI23" s="1763"/>
    </row>
    <row r="24" spans="1:61">
      <c r="A24" s="952" t="s">
        <v>402</v>
      </c>
      <c r="B24" s="952">
        <v>1646.1475780000001</v>
      </c>
      <c r="C24" s="1236">
        <v>771.20747300000005</v>
      </c>
      <c r="D24" s="1236">
        <v>1298.976038</v>
      </c>
      <c r="E24" s="1236">
        <v>1590.1516690000001</v>
      </c>
      <c r="F24" s="1236">
        <v>823.54315799999995</v>
      </c>
      <c r="G24" s="1236">
        <v>958.36166100000003</v>
      </c>
      <c r="H24" s="1236">
        <v>1434.850373</v>
      </c>
      <c r="I24" s="1236">
        <v>1638.054819</v>
      </c>
      <c r="J24" s="1236">
        <v>2009.3955679999999</v>
      </c>
      <c r="K24" s="1236">
        <v>1476.775048</v>
      </c>
      <c r="L24" s="1236">
        <v>1391.5223659999999</v>
      </c>
      <c r="M24" s="1236">
        <v>723.58671200000003</v>
      </c>
      <c r="N24" s="952">
        <v>1587.416919</v>
      </c>
      <c r="O24" s="1236">
        <v>1602.4028169999999</v>
      </c>
      <c r="P24" s="1236">
        <v>819.71562100000006</v>
      </c>
      <c r="Q24" s="1236">
        <v>1891.5650390000001</v>
      </c>
      <c r="R24" s="1236">
        <v>718.05260799999996</v>
      </c>
      <c r="S24" s="1236">
        <v>1818.567487</v>
      </c>
      <c r="T24" s="1236">
        <v>1374.819274</v>
      </c>
      <c r="U24" s="1236">
        <v>1398.362811</v>
      </c>
      <c r="V24" s="1236">
        <v>1631.0511859999999</v>
      </c>
      <c r="W24" s="1236">
        <v>1313.539395</v>
      </c>
      <c r="X24" s="1236">
        <v>1692.30636</v>
      </c>
      <c r="Y24" s="1236">
        <v>1617.846861</v>
      </c>
      <c r="Z24" s="952">
        <v>1314.1870060000001</v>
      </c>
      <c r="AA24" s="1236">
        <v>907.00613699999997</v>
      </c>
      <c r="AB24" s="1236">
        <v>1321.4284459999999</v>
      </c>
      <c r="AC24" s="1236">
        <v>1686.063664</v>
      </c>
      <c r="AD24" s="1236">
        <v>697.56180300000005</v>
      </c>
      <c r="AE24" s="1236">
        <v>1426.3304310000001</v>
      </c>
      <c r="AF24" s="1236">
        <v>651.58799399999998</v>
      </c>
      <c r="AG24" s="1236">
        <v>744.16808000000003</v>
      </c>
      <c r="AH24" s="1236">
        <v>670.60193500000003</v>
      </c>
      <c r="AI24" s="1236">
        <v>780.62798899999996</v>
      </c>
      <c r="AJ24" s="1236">
        <v>627.89102000000003</v>
      </c>
      <c r="AK24" s="1236">
        <v>406.98931499999998</v>
      </c>
      <c r="AL24" s="1662">
        <v>406</v>
      </c>
      <c r="AM24" s="1659">
        <v>411.12885399999999</v>
      </c>
      <c r="AN24" s="1659">
        <v>563.32679399999995</v>
      </c>
      <c r="AO24" s="1659">
        <v>540.56071499999996</v>
      </c>
      <c r="AP24" s="1659">
        <v>446.61915599999998</v>
      </c>
      <c r="AQ24" s="1659">
        <v>1880.3803519999999</v>
      </c>
      <c r="AR24" s="1659">
        <v>825.97470799999996</v>
      </c>
      <c r="AS24" s="1659">
        <v>352.81799200000006</v>
      </c>
      <c r="AT24" s="1659">
        <v>813.83753200000001</v>
      </c>
      <c r="AU24" s="1659">
        <v>734.94468200000006</v>
      </c>
      <c r="AV24" s="1659">
        <v>698.56788999999981</v>
      </c>
      <c r="AW24" s="1931">
        <v>866.92057099999988</v>
      </c>
      <c r="AX24" s="1762">
        <v>1337.6657770000004</v>
      </c>
      <c r="AY24" s="1763"/>
      <c r="AZ24" s="1763"/>
      <c r="BA24" s="1763"/>
      <c r="BB24" s="1763"/>
      <c r="BC24" s="1763"/>
      <c r="BD24" s="1763"/>
      <c r="BE24" s="1763"/>
      <c r="BF24" s="1763"/>
      <c r="BG24" s="1763"/>
      <c r="BH24" s="1763"/>
      <c r="BI24" s="1763"/>
    </row>
    <row r="25" spans="1:61">
      <c r="A25" s="952" t="s">
        <v>403</v>
      </c>
      <c r="B25" s="952">
        <v>139.09384700000001</v>
      </c>
      <c r="C25" s="1236">
        <v>3.2019739999999999</v>
      </c>
      <c r="D25" s="1236">
        <v>3.2019739999999999</v>
      </c>
      <c r="E25" s="1236">
        <v>486.08599800000002</v>
      </c>
      <c r="F25" s="1236">
        <v>285.896413</v>
      </c>
      <c r="G25" s="1236">
        <v>6840.3533989999996</v>
      </c>
      <c r="H25" s="1236">
        <v>9.5031049999999997</v>
      </c>
      <c r="I25" s="1236">
        <v>185.926299</v>
      </c>
      <c r="J25" s="1236">
        <v>-20.123204000000001</v>
      </c>
      <c r="K25" s="1236">
        <v>26.556449000000001</v>
      </c>
      <c r="L25" s="1236">
        <v>287.55958099999998</v>
      </c>
      <c r="M25" s="1236">
        <v>304.62838900000003</v>
      </c>
      <c r="N25" s="952">
        <v>6081.3607529999999</v>
      </c>
      <c r="O25" s="1236">
        <v>3.2019739999999999</v>
      </c>
      <c r="P25" s="1236">
        <v>118.469902</v>
      </c>
      <c r="Q25" s="1236">
        <v>28.206714000000002</v>
      </c>
      <c r="R25" s="1236">
        <v>309.80314299999998</v>
      </c>
      <c r="S25" s="1236">
        <v>6235.2224610000003</v>
      </c>
      <c r="T25" s="1236">
        <v>10.864013999999999</v>
      </c>
      <c r="U25" s="1236">
        <v>4.3100579999999997</v>
      </c>
      <c r="V25" s="1236">
        <v>4.6614449999999996</v>
      </c>
      <c r="W25" s="1236">
        <v>23.323519999999998</v>
      </c>
      <c r="X25" s="1236">
        <v>286.71745700000002</v>
      </c>
      <c r="Y25" s="1236">
        <v>4844.4629629999999</v>
      </c>
      <c r="Z25" s="952">
        <v>1418.5586510000001</v>
      </c>
      <c r="AA25" s="1236">
        <v>6.2253949999999998</v>
      </c>
      <c r="AB25" s="1236">
        <v>344.844785</v>
      </c>
      <c r="AC25" s="1236">
        <v>16.364837999999999</v>
      </c>
      <c r="AD25" s="1236">
        <v>282.860702</v>
      </c>
      <c r="AE25" s="1236">
        <v>6192.9130640000003</v>
      </c>
      <c r="AF25" s="1236">
        <v>47.909193999999999</v>
      </c>
      <c r="AG25" s="1236">
        <v>4.3331559999999998</v>
      </c>
      <c r="AH25" s="1236">
        <v>4.7735209999999997</v>
      </c>
      <c r="AI25" s="1236">
        <v>16.576250999999999</v>
      </c>
      <c r="AJ25" s="1236">
        <v>346.61082199999998</v>
      </c>
      <c r="AK25" s="1236">
        <v>783.762113</v>
      </c>
      <c r="AL25" s="1662">
        <v>5651</v>
      </c>
      <c r="AM25" s="1659">
        <v>4.459568</v>
      </c>
      <c r="AN25" s="1659">
        <v>4.4015610000000001</v>
      </c>
      <c r="AO25" s="1659">
        <v>13.247169</v>
      </c>
      <c r="AP25" s="1659">
        <v>287.08186499999999</v>
      </c>
      <c r="AQ25" s="1659">
        <v>6663.9600140000002</v>
      </c>
      <c r="AR25" s="1659">
        <v>8.6230089999999997</v>
      </c>
      <c r="AS25" s="1659">
        <v>4.4035530000000005</v>
      </c>
      <c r="AT25" s="1659">
        <v>8.6107689999999995</v>
      </c>
      <c r="AU25" s="1659">
        <v>16.577302</v>
      </c>
      <c r="AV25" s="1659">
        <v>289.17742299999998</v>
      </c>
      <c r="AW25" s="1931">
        <v>5542.745402999999</v>
      </c>
      <c r="AX25" s="1762">
        <v>913.22922100000005</v>
      </c>
      <c r="AY25" s="1763"/>
      <c r="AZ25" s="1763"/>
      <c r="BA25" s="1763"/>
      <c r="BB25" s="1763"/>
      <c r="BC25" s="1763"/>
      <c r="BD25" s="1763"/>
      <c r="BE25" s="1763"/>
      <c r="BF25" s="1763"/>
      <c r="BG25" s="1763"/>
      <c r="BH25" s="1763"/>
      <c r="BI25" s="1763"/>
    </row>
    <row r="26" spans="1:61">
      <c r="A26" s="952" t="s">
        <v>404</v>
      </c>
      <c r="B26" s="952">
        <v>56.566823999999997</v>
      </c>
      <c r="C26" s="1236">
        <v>3.5207730000000002</v>
      </c>
      <c r="D26" s="1236">
        <v>2085.6897239999998</v>
      </c>
      <c r="E26" s="1236">
        <v>9.0091850000000004</v>
      </c>
      <c r="F26" s="1236">
        <v>53.549692999999998</v>
      </c>
      <c r="G26" s="1236">
        <v>2127.0911230000002</v>
      </c>
      <c r="H26" s="1236">
        <v>69.629064999999997</v>
      </c>
      <c r="I26" s="1236">
        <v>3.5207730000000002</v>
      </c>
      <c r="J26" s="1236">
        <v>2127.0911230000002</v>
      </c>
      <c r="K26" s="1236">
        <v>9.7101710000000008</v>
      </c>
      <c r="L26" s="1236">
        <v>54.177554000000001</v>
      </c>
      <c r="M26" s="1236">
        <v>425.74390799999998</v>
      </c>
      <c r="N26" s="952">
        <v>1708.2733659999999</v>
      </c>
      <c r="O26" s="1236">
        <v>3.5207730000000002</v>
      </c>
      <c r="P26" s="1236">
        <v>2160.191143</v>
      </c>
      <c r="Q26" s="1236">
        <v>7.6408950000000004</v>
      </c>
      <c r="R26" s="1236">
        <v>54.085436000000001</v>
      </c>
      <c r="S26" s="1236">
        <v>2093.9398030000002</v>
      </c>
      <c r="T26" s="1236">
        <v>6.9171509999999996</v>
      </c>
      <c r="U26" s="1236">
        <v>3.5207730000000002</v>
      </c>
      <c r="V26" s="1236">
        <v>2125.6881830000002</v>
      </c>
      <c r="W26" s="1236">
        <v>9.1369600000000002</v>
      </c>
      <c r="X26" s="1236">
        <v>55.036662999999997</v>
      </c>
      <c r="Y26" s="1236">
        <v>1628.631907</v>
      </c>
      <c r="Z26" s="952">
        <v>177.467252</v>
      </c>
      <c r="AA26" s="1236">
        <v>3.529773</v>
      </c>
      <c r="AB26" s="1236">
        <v>1919.037986</v>
      </c>
      <c r="AC26" s="1236">
        <v>6.9518279999999999</v>
      </c>
      <c r="AD26" s="1236">
        <v>50.128926</v>
      </c>
      <c r="AE26" s="1236">
        <v>1588.9465729999999</v>
      </c>
      <c r="AF26" s="1236">
        <v>13.786447000000001</v>
      </c>
      <c r="AG26" s="1236">
        <v>3.5207730000000002</v>
      </c>
      <c r="AH26" s="1236">
        <v>1592.502943</v>
      </c>
      <c r="AI26" s="1236">
        <v>6.9479040000000003</v>
      </c>
      <c r="AJ26" s="1236">
        <v>161.65412599999999</v>
      </c>
      <c r="AK26" s="1236">
        <v>379.46206699999999</v>
      </c>
      <c r="AL26" s="1662">
        <v>1220</v>
      </c>
      <c r="AM26" s="1659">
        <v>3.5207730000000002</v>
      </c>
      <c r="AN26" s="1659">
        <v>3.5287389999999998</v>
      </c>
      <c r="AO26" s="1659">
        <v>6.9294339999999996</v>
      </c>
      <c r="AP26" s="1659">
        <v>53.618538999999998</v>
      </c>
      <c r="AQ26" s="1659">
        <v>2865.7733269999999</v>
      </c>
      <c r="AR26" s="1659">
        <v>7.4031469999999997</v>
      </c>
      <c r="AS26" s="1659">
        <v>3.5207730000000002</v>
      </c>
      <c r="AT26" s="1659">
        <v>3.6880959999999998</v>
      </c>
      <c r="AU26" s="1659">
        <v>26.822276000000002</v>
      </c>
      <c r="AV26" s="1659">
        <v>53.665716000000003</v>
      </c>
      <c r="AW26" s="1931">
        <v>2468.630682</v>
      </c>
      <c r="AX26" s="1762">
        <v>275.23630499999996</v>
      </c>
      <c r="AY26" s="1763"/>
      <c r="AZ26" s="1763"/>
      <c r="BA26" s="1763"/>
      <c r="BB26" s="1763"/>
      <c r="BC26" s="1763"/>
      <c r="BD26" s="1763"/>
      <c r="BE26" s="1763"/>
      <c r="BF26" s="1763"/>
      <c r="BG26" s="1763"/>
      <c r="BH26" s="1763"/>
      <c r="BI26" s="1763"/>
    </row>
    <row r="27" spans="1:61">
      <c r="A27" s="952" t="s">
        <v>405</v>
      </c>
      <c r="B27" s="952">
        <v>1.2282</v>
      </c>
      <c r="C27" s="1236">
        <v>0.67200000000000004</v>
      </c>
      <c r="D27" s="1236">
        <v>0.108</v>
      </c>
      <c r="E27" s="1236">
        <v>1.673476</v>
      </c>
      <c r="F27" s="1236">
        <v>3.8759459999999999</v>
      </c>
      <c r="G27" s="1236">
        <v>1.1173439999999999</v>
      </c>
      <c r="H27" s="1236">
        <v>0.15356</v>
      </c>
      <c r="I27" s="1236">
        <v>0.219</v>
      </c>
      <c r="J27" s="1236">
        <v>1.945972</v>
      </c>
      <c r="K27" s="1236">
        <v>1.290184</v>
      </c>
      <c r="L27" s="1236">
        <v>0.96113599999999999</v>
      </c>
      <c r="M27" s="1236">
        <v>24.156296000000001</v>
      </c>
      <c r="N27" s="952">
        <v>0.96840700000000002</v>
      </c>
      <c r="O27" s="1236">
        <v>0.458984</v>
      </c>
      <c r="P27" s="1236">
        <v>1.802414</v>
      </c>
      <c r="Q27" s="1236">
        <v>0.484792</v>
      </c>
      <c r="R27" s="1236">
        <v>1.3861399999999999</v>
      </c>
      <c r="S27" s="1236">
        <v>9.6660000000000004</v>
      </c>
      <c r="T27" s="1236">
        <v>1.4468000000000001</v>
      </c>
      <c r="U27" s="1236">
        <v>7.6230000000000006E-2</v>
      </c>
      <c r="V27" s="1236">
        <v>0.90102899999999997</v>
      </c>
      <c r="W27" s="1236">
        <v>0.24410000000000001</v>
      </c>
      <c r="X27" s="1236">
        <v>1.1170679999999999</v>
      </c>
      <c r="Y27" s="1236">
        <v>17.841166000000001</v>
      </c>
      <c r="Z27" s="952">
        <v>1.1744000000000001</v>
      </c>
      <c r="AA27" s="1236">
        <v>0.58467999999999998</v>
      </c>
      <c r="AB27" s="1236">
        <v>1.510864</v>
      </c>
      <c r="AC27" s="1236">
        <v>1.2785120000000001</v>
      </c>
      <c r="AD27" s="1236">
        <v>1.5647519999999999</v>
      </c>
      <c r="AE27" s="1236">
        <v>0.69811199999999995</v>
      </c>
      <c r="AF27" s="1236">
        <v>0.81440000000000001</v>
      </c>
      <c r="AG27" s="1236">
        <v>1.8683000000000001</v>
      </c>
      <c r="AH27" s="1236">
        <v>0.36438799999999999</v>
      </c>
      <c r="AI27" s="1236">
        <v>0.82883600000000002</v>
      </c>
      <c r="AJ27" s="1236">
        <v>0.66971999999999998</v>
      </c>
      <c r="AK27" s="1236">
        <v>25.801573000000001</v>
      </c>
      <c r="AL27" s="1662">
        <v>1</v>
      </c>
      <c r="AM27" s="1659">
        <v>1.8086800000000001</v>
      </c>
      <c r="AN27" s="1659">
        <v>1.4206799999999999</v>
      </c>
      <c r="AO27" s="1659">
        <v>0.720912</v>
      </c>
      <c r="AP27" s="1659">
        <v>0.54600000000000004</v>
      </c>
      <c r="AQ27" s="1659">
        <v>0.366512</v>
      </c>
      <c r="AR27" s="1659">
        <v>1.2804719999999998</v>
      </c>
      <c r="AS27" s="1659">
        <v>0.47073500000000001</v>
      </c>
      <c r="AT27" s="1659">
        <v>1.190148</v>
      </c>
      <c r="AU27" s="1659">
        <v>0.75060000000000004</v>
      </c>
      <c r="AV27" s="1659">
        <v>4.1014349999999995</v>
      </c>
      <c r="AW27" s="1931">
        <v>20.542750000000002</v>
      </c>
      <c r="AX27" s="1762">
        <v>2.1999840000000002</v>
      </c>
      <c r="AY27" s="1763"/>
      <c r="AZ27" s="1763"/>
      <c r="BA27" s="1763"/>
      <c r="BB27" s="1763"/>
      <c r="BC27" s="1763"/>
      <c r="BD27" s="1763"/>
      <c r="BE27" s="1763"/>
      <c r="BF27" s="1763"/>
      <c r="BG27" s="1763"/>
      <c r="BH27" s="1763"/>
      <c r="BI27" s="1763"/>
    </row>
    <row r="28" spans="1:61">
      <c r="A28" s="952" t="s">
        <v>406</v>
      </c>
      <c r="B28" s="952">
        <v>997.36885700000005</v>
      </c>
      <c r="C28" s="1236">
        <v>451.50038000000001</v>
      </c>
      <c r="D28" s="1236">
        <v>419.18844799999999</v>
      </c>
      <c r="E28" s="1236">
        <v>758.30485499999998</v>
      </c>
      <c r="F28" s="1236">
        <v>444.19519200000002</v>
      </c>
      <c r="G28" s="1236">
        <v>418.55072000000001</v>
      </c>
      <c r="H28" s="1236">
        <v>742.62683100000004</v>
      </c>
      <c r="I28" s="1236">
        <v>666.24188300000003</v>
      </c>
      <c r="J28" s="1236">
        <v>481.04967900000003</v>
      </c>
      <c r="K28" s="1236">
        <v>939.14316499999995</v>
      </c>
      <c r="L28" s="1236">
        <v>389.36445099999997</v>
      </c>
      <c r="M28" s="1236">
        <v>491.02706999999998</v>
      </c>
      <c r="N28" s="952">
        <v>659.97157700000002</v>
      </c>
      <c r="O28" s="1236">
        <v>696.33623899999998</v>
      </c>
      <c r="P28" s="1236">
        <v>295.42686800000001</v>
      </c>
      <c r="Q28" s="1236">
        <v>462.028524</v>
      </c>
      <c r="R28" s="1236">
        <v>342.19070299999998</v>
      </c>
      <c r="S28" s="1236">
        <v>395.94363399999997</v>
      </c>
      <c r="T28" s="1236">
        <v>494.02003999999999</v>
      </c>
      <c r="U28" s="1236">
        <v>421.75839500000001</v>
      </c>
      <c r="V28" s="1236">
        <v>478.539356</v>
      </c>
      <c r="W28" s="1236">
        <v>467.488088</v>
      </c>
      <c r="X28" s="1236">
        <v>389.10047400000002</v>
      </c>
      <c r="Y28" s="1236">
        <v>347.721678</v>
      </c>
      <c r="Z28" s="952">
        <v>570.38140099999998</v>
      </c>
      <c r="AA28" s="1236">
        <v>375.95559900000001</v>
      </c>
      <c r="AB28" s="1236">
        <v>324.74008900000001</v>
      </c>
      <c r="AC28" s="1236">
        <v>443.115433</v>
      </c>
      <c r="AD28" s="1236">
        <v>378.99311599999999</v>
      </c>
      <c r="AE28" s="1236">
        <v>423.63388400000002</v>
      </c>
      <c r="AF28" s="1236">
        <v>465.76200599999999</v>
      </c>
      <c r="AG28" s="1236">
        <v>425.544601</v>
      </c>
      <c r="AH28" s="1236">
        <v>439.805228</v>
      </c>
      <c r="AI28" s="1236">
        <v>496.55735299999998</v>
      </c>
      <c r="AJ28" s="1236">
        <v>384.43823800000001</v>
      </c>
      <c r="AK28" s="1236">
        <v>399.5804</v>
      </c>
      <c r="AL28" s="1662">
        <v>550</v>
      </c>
      <c r="AM28" s="1659">
        <v>489.08038599999998</v>
      </c>
      <c r="AN28" s="1659">
        <v>489.28050000000002</v>
      </c>
      <c r="AO28" s="1659">
        <v>741.62844900000005</v>
      </c>
      <c r="AP28" s="1659">
        <v>535.15430800000001</v>
      </c>
      <c r="AQ28" s="1659">
        <v>503.90611799999999</v>
      </c>
      <c r="AR28" s="1659">
        <v>581.05731999999989</v>
      </c>
      <c r="AS28" s="1659">
        <v>501.40835400000003</v>
      </c>
      <c r="AT28" s="1659">
        <v>543.82886499999995</v>
      </c>
      <c r="AU28" s="1659">
        <v>594.71379999999999</v>
      </c>
      <c r="AV28" s="1659">
        <v>559.53858500000013</v>
      </c>
      <c r="AW28" s="1931">
        <v>589.5383599999999</v>
      </c>
      <c r="AX28" s="1762">
        <v>777.161158</v>
      </c>
      <c r="AY28" s="1763"/>
      <c r="AZ28" s="1763"/>
      <c r="BA28" s="1763"/>
      <c r="BB28" s="1763"/>
      <c r="BC28" s="1763"/>
      <c r="BD28" s="1763"/>
      <c r="BE28" s="1763"/>
      <c r="BF28" s="1763"/>
      <c r="BG28" s="1763"/>
      <c r="BH28" s="1763"/>
      <c r="BI28" s="1763"/>
    </row>
    <row r="29" spans="1:61">
      <c r="A29" s="952" t="s">
        <v>407</v>
      </c>
      <c r="B29" s="952">
        <v>2249.3436889999998</v>
      </c>
      <c r="C29" s="1236">
        <v>1450.1338410000001</v>
      </c>
      <c r="D29" s="1236">
        <v>1798.0386759999999</v>
      </c>
      <c r="E29" s="1236">
        <v>1581.3708999999999</v>
      </c>
      <c r="F29" s="1236">
        <v>1479.4731569999999</v>
      </c>
      <c r="G29" s="1236">
        <v>1599.61409</v>
      </c>
      <c r="H29" s="1236">
        <v>1597.3539639999999</v>
      </c>
      <c r="I29" s="1236">
        <v>1435.9147359999999</v>
      </c>
      <c r="J29" s="1236">
        <v>1347.323118</v>
      </c>
      <c r="K29" s="1236">
        <v>1455.271107</v>
      </c>
      <c r="L29" s="1236">
        <v>1306.467578</v>
      </c>
      <c r="M29" s="1236">
        <v>532.59606399999996</v>
      </c>
      <c r="N29" s="952">
        <v>2525.2578990000002</v>
      </c>
      <c r="O29" s="1236">
        <v>1592.18489</v>
      </c>
      <c r="P29" s="1236">
        <v>1636.5012810000001</v>
      </c>
      <c r="Q29" s="1236">
        <v>1438.857307</v>
      </c>
      <c r="R29" s="1236">
        <v>1479.621357</v>
      </c>
      <c r="S29" s="1236">
        <v>1580.169517</v>
      </c>
      <c r="T29" s="1236">
        <v>1579.0834440000001</v>
      </c>
      <c r="U29" s="1236">
        <v>1471.365959</v>
      </c>
      <c r="V29" s="1236">
        <v>1792.4342079999999</v>
      </c>
      <c r="W29" s="1236">
        <v>1677.3443319999999</v>
      </c>
      <c r="X29" s="1236">
        <v>1622.9779309999999</v>
      </c>
      <c r="Y29" s="1236">
        <v>437.64182899999997</v>
      </c>
      <c r="Z29" s="952">
        <v>1732.7493870000001</v>
      </c>
      <c r="AA29" s="1236">
        <v>1499.3778580000001</v>
      </c>
      <c r="AB29" s="1236">
        <v>2693.5071539999999</v>
      </c>
      <c r="AC29" s="1236">
        <v>1350.9964090000001</v>
      </c>
      <c r="AD29" s="1236">
        <v>1803.5263460000001</v>
      </c>
      <c r="AE29" s="1236">
        <v>1803.18623</v>
      </c>
      <c r="AF29" s="1236">
        <v>1772.6497380000001</v>
      </c>
      <c r="AG29" s="1236">
        <v>1788.400351</v>
      </c>
      <c r="AH29" s="1236">
        <v>1741.3246169999998</v>
      </c>
      <c r="AI29" s="1236">
        <v>1681.607808</v>
      </c>
      <c r="AJ29" s="1236">
        <v>1406.451071</v>
      </c>
      <c r="AK29" s="1236">
        <v>82.500713000000005</v>
      </c>
      <c r="AL29" s="1662">
        <v>2424</v>
      </c>
      <c r="AM29" s="1659">
        <v>2483.9258610000002</v>
      </c>
      <c r="AN29" s="1659">
        <v>1855.5978459999999</v>
      </c>
      <c r="AO29" s="1659">
        <v>1674.800039</v>
      </c>
      <c r="AP29" s="1659">
        <v>1739.3218420000001</v>
      </c>
      <c r="AQ29" s="1659">
        <v>1590.8530619999999</v>
      </c>
      <c r="AR29" s="1659">
        <v>1798.568119</v>
      </c>
      <c r="AS29" s="1659">
        <v>1433.9699519999999</v>
      </c>
      <c r="AT29" s="1659">
        <v>1833.3626399999998</v>
      </c>
      <c r="AU29" s="1659">
        <v>2452.6033429999998</v>
      </c>
      <c r="AV29" s="1659">
        <v>691.03131100000007</v>
      </c>
      <c r="AW29" s="1931">
        <v>1522.267214</v>
      </c>
      <c r="AX29" s="1762">
        <v>2832.4303490000007</v>
      </c>
      <c r="AY29" s="1763"/>
      <c r="AZ29" s="1763"/>
      <c r="BA29" s="1763"/>
      <c r="BB29" s="1763"/>
      <c r="BC29" s="1763"/>
      <c r="BD29" s="1763"/>
      <c r="BE29" s="1763"/>
      <c r="BF29" s="1763"/>
      <c r="BG29" s="1763"/>
      <c r="BH29" s="1763"/>
      <c r="BI29" s="1763"/>
    </row>
    <row r="30" spans="1:61">
      <c r="A30" s="952" t="s">
        <v>408</v>
      </c>
      <c r="B30" s="952"/>
      <c r="C30" s="1236"/>
      <c r="D30" s="1236"/>
      <c r="E30" s="1236"/>
      <c r="F30" s="1236"/>
      <c r="G30" s="1236"/>
      <c r="H30" s="1236"/>
      <c r="I30" s="1236"/>
      <c r="J30" s="1236"/>
      <c r="K30" s="1236"/>
      <c r="L30" s="1236"/>
      <c r="M30" s="1236"/>
      <c r="N30" s="952">
        <v>0</v>
      </c>
      <c r="O30" s="1236">
        <v>0</v>
      </c>
      <c r="P30" s="1236">
        <v>0</v>
      </c>
      <c r="Q30" s="1236">
        <v>983.64822800000002</v>
      </c>
      <c r="R30" s="1236">
        <v>0</v>
      </c>
      <c r="S30" s="1236">
        <v>0</v>
      </c>
      <c r="T30" s="1236">
        <v>759.44194100000004</v>
      </c>
      <c r="U30" s="1236">
        <v>0</v>
      </c>
      <c r="V30" s="1236">
        <v>0</v>
      </c>
      <c r="W30" s="1236">
        <v>819.86987599999998</v>
      </c>
      <c r="X30" s="1236">
        <v>0</v>
      </c>
      <c r="Y30" s="1236">
        <v>0</v>
      </c>
      <c r="Z30" s="952">
        <v>925.37984900000004</v>
      </c>
      <c r="AA30" s="1236">
        <v>0</v>
      </c>
      <c r="AB30" s="1236">
        <v>1.472283</v>
      </c>
      <c r="AC30" s="1236">
        <v>807.39961600000004</v>
      </c>
      <c r="AD30" s="1236">
        <v>0</v>
      </c>
      <c r="AE30" s="1236">
        <v>0</v>
      </c>
      <c r="AF30" s="1236">
        <v>800.11880799999994</v>
      </c>
      <c r="AG30" s="1236">
        <v>0</v>
      </c>
      <c r="AH30" s="1236">
        <v>0</v>
      </c>
      <c r="AI30" s="1236">
        <v>755.98627499999998</v>
      </c>
      <c r="AJ30" s="1236">
        <v>0.42958400000000002</v>
      </c>
      <c r="AK30" s="1236">
        <v>0</v>
      </c>
      <c r="AL30" s="1662">
        <v>758</v>
      </c>
      <c r="AM30" s="1659">
        <v>0</v>
      </c>
      <c r="AN30" s="1659">
        <v>0</v>
      </c>
      <c r="AO30" s="1659">
        <v>585.32046500000001</v>
      </c>
      <c r="AP30" s="1659">
        <v>1.8543940000000001</v>
      </c>
      <c r="AQ30" s="1659">
        <v>0</v>
      </c>
      <c r="AR30" s="1659">
        <v>579.76271999999994</v>
      </c>
      <c r="AS30" s="1659">
        <v>0</v>
      </c>
      <c r="AT30" s="1659">
        <v>0</v>
      </c>
      <c r="AU30" s="1659">
        <v>416.48919700000005</v>
      </c>
      <c r="AV30" s="1659">
        <v>1.625243</v>
      </c>
      <c r="AW30" s="1931">
        <v>0</v>
      </c>
      <c r="AX30" s="1762">
        <v>464.92315099999996</v>
      </c>
      <c r="AY30" s="1763"/>
      <c r="AZ30" s="1763"/>
      <c r="BA30" s="1763"/>
      <c r="BB30" s="1763"/>
      <c r="BC30" s="1763"/>
      <c r="BD30" s="1763"/>
      <c r="BE30" s="1763"/>
      <c r="BF30" s="1763"/>
      <c r="BG30" s="1763"/>
      <c r="BH30" s="1763"/>
      <c r="BI30" s="1763"/>
    </row>
    <row r="31" spans="1:61">
      <c r="A31" s="952" t="s">
        <v>409</v>
      </c>
      <c r="B31" s="952"/>
      <c r="C31" s="1236"/>
      <c r="D31" s="1236"/>
      <c r="E31" s="1236"/>
      <c r="F31" s="1236"/>
      <c r="G31" s="1236"/>
      <c r="H31" s="1236"/>
      <c r="I31" s="1236"/>
      <c r="J31" s="1236"/>
      <c r="K31" s="1236"/>
      <c r="L31" s="1236">
        <v>0</v>
      </c>
      <c r="M31" s="1236"/>
      <c r="N31" s="952">
        <v>109.21249</v>
      </c>
      <c r="O31" s="1236">
        <v>7.9528499999999998</v>
      </c>
      <c r="P31" s="1236">
        <v>19.00123</v>
      </c>
      <c r="Q31" s="1236">
        <v>287.92356999999998</v>
      </c>
      <c r="R31" s="1236">
        <v>3.0450000000000001E-2</v>
      </c>
      <c r="S31" s="1236">
        <v>2.3869999999999999E-2</v>
      </c>
      <c r="T31" s="1236">
        <v>419.79629999999997</v>
      </c>
      <c r="U31" s="1236">
        <v>-2.0896400000000002</v>
      </c>
      <c r="V31" s="1236">
        <v>0.15953000000000001</v>
      </c>
      <c r="W31" s="1236">
        <v>423.15057000000002</v>
      </c>
      <c r="X31" s="1236">
        <v>8.0707000000000001E-2</v>
      </c>
      <c r="Y31" s="1236">
        <v>0.35762899999999997</v>
      </c>
      <c r="Z31" s="952">
        <v>463.8218</v>
      </c>
      <c r="AA31" s="1236">
        <v>0</v>
      </c>
      <c r="AB31" s="1236">
        <v>0</v>
      </c>
      <c r="AC31" s="1236">
        <v>369.21573999999998</v>
      </c>
      <c r="AD31" s="1236">
        <v>0</v>
      </c>
      <c r="AE31" s="1236">
        <v>0</v>
      </c>
      <c r="AF31" s="1236">
        <v>339.20015999999998</v>
      </c>
      <c r="AG31" s="1236">
        <v>0</v>
      </c>
      <c r="AH31" s="1236">
        <v>0</v>
      </c>
      <c r="AI31" s="1236">
        <v>305.89454000000001</v>
      </c>
      <c r="AJ31" s="1236">
        <v>0</v>
      </c>
      <c r="AK31" s="1236">
        <v>0</v>
      </c>
      <c r="AL31" s="1662">
        <v>335</v>
      </c>
      <c r="AM31" s="1659">
        <v>0</v>
      </c>
      <c r="AN31" s="1659">
        <v>0</v>
      </c>
      <c r="AO31" s="1659">
        <v>365.30450000000002</v>
      </c>
      <c r="AP31" s="1659">
        <v>0</v>
      </c>
      <c r="AQ31" s="1659">
        <v>872.38620000000003</v>
      </c>
      <c r="AR31" s="1659">
        <v>509.61138</v>
      </c>
      <c r="AS31" s="1659">
        <v>0</v>
      </c>
      <c r="AT31" s="1659">
        <v>0</v>
      </c>
      <c r="AU31" s="1659">
        <v>307.90647999999999</v>
      </c>
      <c r="AV31" s="1659">
        <v>0</v>
      </c>
      <c r="AW31" s="1931">
        <v>0</v>
      </c>
      <c r="AX31" s="1762">
        <v>607.86354000000006</v>
      </c>
      <c r="AY31" s="1763"/>
      <c r="AZ31" s="1763"/>
      <c r="BA31" s="1763"/>
      <c r="BB31" s="1763"/>
      <c r="BC31" s="1763"/>
      <c r="BD31" s="1763"/>
      <c r="BE31" s="1763"/>
      <c r="BF31" s="1763"/>
      <c r="BG31" s="1763"/>
      <c r="BH31" s="1763"/>
      <c r="BI31" s="1763"/>
    </row>
    <row r="32" spans="1:61">
      <c r="A32" s="952" t="s">
        <v>410</v>
      </c>
      <c r="B32" s="952">
        <v>4.1724540000000001</v>
      </c>
      <c r="C32" s="1236">
        <v>22.066064000000001</v>
      </c>
      <c r="D32" s="1236">
        <v>24.519698000000002</v>
      </c>
      <c r="E32" s="1236">
        <v>0.85424</v>
      </c>
      <c r="F32" s="1236">
        <v>29.614932</v>
      </c>
      <c r="G32" s="1236">
        <v>6.3791989999999998</v>
      </c>
      <c r="H32" s="1236">
        <v>10.92722</v>
      </c>
      <c r="I32" s="1236">
        <v>0</v>
      </c>
      <c r="J32" s="1236">
        <v>1.854258</v>
      </c>
      <c r="K32" s="1236">
        <v>25.55932</v>
      </c>
      <c r="L32" s="1236">
        <v>3.2287669999999999</v>
      </c>
      <c r="M32" s="1236">
        <v>8.0718099999999993</v>
      </c>
      <c r="N32" s="952">
        <v>0.68315800000000004</v>
      </c>
      <c r="O32" s="1236">
        <v>14.019100999999999</v>
      </c>
      <c r="P32" s="1236">
        <v>44.098886</v>
      </c>
      <c r="Q32" s="1236">
        <v>22.172623000000002</v>
      </c>
      <c r="R32" s="1236">
        <v>28.039874999999999</v>
      </c>
      <c r="S32" s="1236">
        <v>37.621831999999998</v>
      </c>
      <c r="T32" s="1236">
        <v>8.1237139999999997</v>
      </c>
      <c r="U32" s="1236">
        <v>13.443885999999999</v>
      </c>
      <c r="V32" s="1236">
        <v>33.658141000000001</v>
      </c>
      <c r="W32" s="1236"/>
      <c r="X32" s="1236">
        <v>7.7669139999999999</v>
      </c>
      <c r="Y32" s="1236">
        <v>9.9135950000000008</v>
      </c>
      <c r="Z32" s="952">
        <v>23.247133999999999</v>
      </c>
      <c r="AA32" s="1236">
        <v>22.869261000000002</v>
      </c>
      <c r="AB32" s="1236">
        <v>18.897030999999998</v>
      </c>
      <c r="AC32" s="1236">
        <v>80.905366000000001</v>
      </c>
      <c r="AD32" s="1236">
        <v>94.276740000000004</v>
      </c>
      <c r="AE32" s="1236">
        <v>30.006757</v>
      </c>
      <c r="AF32" s="1236">
        <v>37.609127000000001</v>
      </c>
      <c r="AG32" s="1236">
        <v>36.040194</v>
      </c>
      <c r="AH32" s="1236">
        <v>68.229301000000007</v>
      </c>
      <c r="AI32" s="1236">
        <v>60.899673</v>
      </c>
      <c r="AJ32" s="1236">
        <v>27.958946999999998</v>
      </c>
      <c r="AK32" s="1236">
        <v>68.179317999999995</v>
      </c>
      <c r="AL32" s="1662">
        <v>85</v>
      </c>
      <c r="AM32" s="1659">
        <v>40.804993000000003</v>
      </c>
      <c r="AN32" s="1659">
        <v>12.43777</v>
      </c>
      <c r="AO32" s="1659">
        <v>86.914775000000006</v>
      </c>
      <c r="AP32" s="1659">
        <v>63.035961999999998</v>
      </c>
      <c r="AQ32" s="1659">
        <v>118.949635</v>
      </c>
      <c r="AR32" s="1659">
        <v>20.117721</v>
      </c>
      <c r="AS32" s="1659">
        <v>50.693053999999997</v>
      </c>
      <c r="AT32" s="1659">
        <v>68.110439999999997</v>
      </c>
      <c r="AU32" s="1659">
        <v>32.287815999999999</v>
      </c>
      <c r="AV32" s="1659">
        <v>134.69773899999998</v>
      </c>
      <c r="AW32" s="1931">
        <v>105.165834</v>
      </c>
      <c r="AX32" s="1762">
        <v>134.044984</v>
      </c>
      <c r="AY32" s="1763"/>
      <c r="AZ32" s="1763"/>
      <c r="BA32" s="1763"/>
      <c r="BB32" s="1763"/>
      <c r="BC32" s="1763"/>
      <c r="BD32" s="1763"/>
      <c r="BE32" s="1763"/>
      <c r="BF32" s="1763"/>
      <c r="BG32" s="1763"/>
      <c r="BH32" s="1763"/>
      <c r="BI32" s="1763"/>
    </row>
    <row r="33" spans="1:61">
      <c r="A33" s="952" t="s">
        <v>411</v>
      </c>
      <c r="B33" s="952"/>
      <c r="C33" s="1236"/>
      <c r="D33" s="1236"/>
      <c r="E33" s="1236"/>
      <c r="F33" s="1236"/>
      <c r="G33" s="1236"/>
      <c r="H33" s="1236"/>
      <c r="I33" s="1236"/>
      <c r="J33" s="1236"/>
      <c r="K33" s="1236"/>
      <c r="L33" s="1236"/>
      <c r="M33" s="1236"/>
      <c r="N33" s="952"/>
      <c r="O33" s="1236"/>
      <c r="P33" s="1236"/>
      <c r="Q33" s="1236"/>
      <c r="R33" s="1236"/>
      <c r="S33" s="1236"/>
      <c r="T33" s="1236"/>
      <c r="U33" s="1236"/>
      <c r="V33" s="1236"/>
      <c r="W33" s="1236"/>
      <c r="X33" s="1236"/>
      <c r="Y33" s="1236"/>
      <c r="Z33" s="952"/>
      <c r="AA33" s="1236"/>
      <c r="AB33" s="1236">
        <v>2255.181</v>
      </c>
      <c r="AC33" s="1236">
        <v>0</v>
      </c>
      <c r="AD33" s="1236"/>
      <c r="AE33" s="1236"/>
      <c r="AF33" s="1236">
        <v>1.171756</v>
      </c>
      <c r="AG33" s="1236"/>
      <c r="AH33" s="1236">
        <v>0</v>
      </c>
      <c r="AI33" s="1236"/>
      <c r="AJ33" s="1236">
        <v>682.04538000000002</v>
      </c>
      <c r="AK33" s="1236">
        <v>980.80671600000005</v>
      </c>
      <c r="AL33" s="1662" t="s">
        <v>1295</v>
      </c>
      <c r="AM33" s="1659"/>
      <c r="AN33" s="1659">
        <v>987.65431999999998</v>
      </c>
      <c r="AO33" s="1659">
        <v>0</v>
      </c>
      <c r="AP33" s="1659">
        <v>2.8791419999999999</v>
      </c>
      <c r="AQ33" s="1659">
        <v>0</v>
      </c>
      <c r="AR33" s="1659">
        <v>0</v>
      </c>
      <c r="AS33" s="1659">
        <v>0</v>
      </c>
      <c r="AT33" s="1659">
        <v>0</v>
      </c>
      <c r="AU33" s="1659">
        <v>0</v>
      </c>
      <c r="AV33" s="1659">
        <v>0</v>
      </c>
      <c r="AW33" s="1931">
        <v>0</v>
      </c>
      <c r="AX33" s="1762">
        <v>0</v>
      </c>
      <c r="AY33" s="1763"/>
      <c r="AZ33" s="1763"/>
      <c r="BA33" s="1763"/>
      <c r="BB33" s="1763"/>
      <c r="BC33" s="1763"/>
      <c r="BD33" s="1763"/>
      <c r="BE33" s="1763"/>
      <c r="BF33" s="1763"/>
      <c r="BG33" s="1763"/>
      <c r="BH33" s="1763"/>
      <c r="BI33" s="1763"/>
    </row>
    <row r="34" spans="1:61">
      <c r="A34" s="950" t="s">
        <v>412</v>
      </c>
      <c r="B34" s="950">
        <f t="shared" ref="B34:M34" si="7">SUM(B22:B32)</f>
        <v>33810.311051000004</v>
      </c>
      <c r="C34" s="950">
        <f t="shared" si="7"/>
        <v>15800.076066000001</v>
      </c>
      <c r="D34" s="950">
        <f t="shared" si="7"/>
        <v>29351.697769999999</v>
      </c>
      <c r="E34" s="950">
        <f t="shared" si="7"/>
        <v>32225.476622999995</v>
      </c>
      <c r="F34" s="950">
        <f t="shared" si="7"/>
        <v>18722.566002</v>
      </c>
      <c r="G34" s="950">
        <f t="shared" si="7"/>
        <v>26666.637480999998</v>
      </c>
      <c r="H34" s="950">
        <f t="shared" si="7"/>
        <v>30972.095860000005</v>
      </c>
      <c r="I34" s="950">
        <f t="shared" si="7"/>
        <v>34677.536681999998</v>
      </c>
      <c r="J34" s="950">
        <f t="shared" si="7"/>
        <v>43414.376069999998</v>
      </c>
      <c r="K34" s="950">
        <f t="shared" si="7"/>
        <v>28027.464385000003</v>
      </c>
      <c r="L34" s="950">
        <f t="shared" si="7"/>
        <v>28367.718081000006</v>
      </c>
      <c r="M34" s="950">
        <f t="shared" si="7"/>
        <v>5260.4196610000008</v>
      </c>
      <c r="N34" s="950">
        <f t="shared" ref="N34:Y34" si="8">SUM(N22:N32)</f>
        <v>51419.580462000005</v>
      </c>
      <c r="O34" s="950">
        <f t="shared" si="8"/>
        <v>33447.497433999997</v>
      </c>
      <c r="P34" s="950">
        <f t="shared" si="8"/>
        <v>17610.994459000001</v>
      </c>
      <c r="Q34" s="950">
        <f t="shared" si="8"/>
        <v>40555.433633999994</v>
      </c>
      <c r="R34" s="950">
        <f t="shared" si="8"/>
        <v>12906.004587000001</v>
      </c>
      <c r="S34" s="950">
        <f t="shared" si="8"/>
        <v>45891.490972999993</v>
      </c>
      <c r="T34" s="950">
        <f t="shared" si="8"/>
        <v>28799.497694000005</v>
      </c>
      <c r="U34" s="950">
        <f t="shared" si="8"/>
        <v>29523.429400819998</v>
      </c>
      <c r="V34" s="950">
        <f t="shared" si="8"/>
        <v>34442.548134999997</v>
      </c>
      <c r="W34" s="950">
        <f t="shared" si="8"/>
        <v>27860.929780000002</v>
      </c>
      <c r="X34" s="950">
        <f t="shared" si="8"/>
        <v>35728.181799999998</v>
      </c>
      <c r="Y34" s="950">
        <f t="shared" si="8"/>
        <v>34572.619023999992</v>
      </c>
      <c r="Z34" s="950">
        <f t="shared" ref="Z34:AI34" si="9">SUM(Z22:Z32)</f>
        <v>31568.589614</v>
      </c>
      <c r="AA34" s="950">
        <f t="shared" si="9"/>
        <v>17920.037806</v>
      </c>
      <c r="AB34" s="950">
        <f>SUM(AB22:AB33)</f>
        <v>34492.242014999996</v>
      </c>
      <c r="AC34" s="950">
        <f t="shared" si="9"/>
        <v>36776.900387999995</v>
      </c>
      <c r="AD34" s="950">
        <f t="shared" si="9"/>
        <v>13197.907944999999</v>
      </c>
      <c r="AE34" s="950">
        <f t="shared" si="9"/>
        <v>37729.962077000004</v>
      </c>
      <c r="AF34" s="950">
        <f t="shared" si="9"/>
        <v>15052.378219999999</v>
      </c>
      <c r="AG34" s="950">
        <f t="shared" si="9"/>
        <v>17506.906043999999</v>
      </c>
      <c r="AH34" s="950">
        <f t="shared" si="9"/>
        <v>16030.415850999998</v>
      </c>
      <c r="AI34" s="950">
        <f t="shared" si="9"/>
        <v>16127.186627000001</v>
      </c>
      <c r="AJ34" s="950">
        <f>SUM(AJ22:AJ33)</f>
        <v>12236.102614999998</v>
      </c>
      <c r="AK34" s="950">
        <f>SUM(AK22:AK33)</f>
        <v>6142.5753510000004</v>
      </c>
      <c r="AL34" s="950">
        <f t="shared" ref="AL34:AV34" si="10">SUM(AL22:AL33)</f>
        <v>24247</v>
      </c>
      <c r="AM34" s="950">
        <f t="shared" si="10"/>
        <v>14193.165435000001</v>
      </c>
      <c r="AN34" s="950">
        <f t="shared" si="10"/>
        <v>15900.444662000002</v>
      </c>
      <c r="AO34" s="950">
        <f t="shared" si="10"/>
        <v>15567.988413999999</v>
      </c>
      <c r="AP34" s="950">
        <f t="shared" si="10"/>
        <v>12634.302199999998</v>
      </c>
      <c r="AQ34" s="950">
        <f t="shared" si="10"/>
        <v>35181.277136999997</v>
      </c>
      <c r="AR34" s="950">
        <f t="shared" si="10"/>
        <v>14667.108297000002</v>
      </c>
      <c r="AS34" s="950">
        <f t="shared" si="10"/>
        <v>9931.3931809999995</v>
      </c>
      <c r="AT34" s="950">
        <f t="shared" si="10"/>
        <v>15283.402244999999</v>
      </c>
      <c r="AU34" s="950">
        <f t="shared" si="10"/>
        <v>15011.081468</v>
      </c>
      <c r="AV34" s="1663">
        <f t="shared" si="10"/>
        <v>17091.769416999992</v>
      </c>
      <c r="AW34" s="1932">
        <f>SUM(AW22:AW33)</f>
        <v>24903.814672999997</v>
      </c>
      <c r="AX34" s="1764">
        <f t="shared" ref="AX34:BI34" si="11">SUM(AX22:AX33)</f>
        <v>31514.719887999996</v>
      </c>
      <c r="AY34" s="1764">
        <f t="shared" si="11"/>
        <v>0</v>
      </c>
      <c r="AZ34" s="1764">
        <f t="shared" si="11"/>
        <v>0</v>
      </c>
      <c r="BA34" s="1764">
        <f t="shared" si="11"/>
        <v>0</v>
      </c>
      <c r="BB34" s="1764">
        <f t="shared" si="11"/>
        <v>0</v>
      </c>
      <c r="BC34" s="1764">
        <f t="shared" si="11"/>
        <v>0</v>
      </c>
      <c r="BD34" s="1764">
        <f t="shared" si="11"/>
        <v>0</v>
      </c>
      <c r="BE34" s="1764">
        <f t="shared" si="11"/>
        <v>0</v>
      </c>
      <c r="BF34" s="1764">
        <f t="shared" si="11"/>
        <v>0</v>
      </c>
      <c r="BG34" s="1764">
        <f t="shared" si="11"/>
        <v>0</v>
      </c>
      <c r="BH34" s="1764">
        <f t="shared" si="11"/>
        <v>0</v>
      </c>
      <c r="BI34" s="1764">
        <f t="shared" si="11"/>
        <v>0</v>
      </c>
    </row>
    <row r="35" spans="1:61">
      <c r="A35" s="1240" t="s">
        <v>413</v>
      </c>
      <c r="B35" s="1241"/>
      <c r="C35" s="1241"/>
      <c r="D35" s="1241"/>
      <c r="E35" s="1241"/>
      <c r="F35" s="1241"/>
      <c r="G35" s="1241"/>
      <c r="H35" s="1236">
        <v>3690.4681390000001</v>
      </c>
      <c r="I35" s="1236">
        <v>0</v>
      </c>
      <c r="J35" s="1236">
        <v>2.1907209999999999</v>
      </c>
      <c r="K35" s="1236">
        <v>5232.8905640000003</v>
      </c>
      <c r="L35" s="1236">
        <v>70.436462000000006</v>
      </c>
      <c r="M35" s="1236">
        <v>0</v>
      </c>
      <c r="N35" s="952">
        <v>5182</v>
      </c>
      <c r="O35" s="1236">
        <v>0</v>
      </c>
      <c r="P35" s="1236">
        <v>5186.8530907499999</v>
      </c>
      <c r="Q35" s="1236">
        <v>29343.813429000002</v>
      </c>
      <c r="R35" s="1244">
        <v>6165.9432839999999</v>
      </c>
      <c r="S35" s="1236">
        <v>0</v>
      </c>
      <c r="T35" s="1236">
        <v>29581.572216</v>
      </c>
      <c r="U35" s="1236">
        <v>0</v>
      </c>
      <c r="V35" s="1236">
        <v>0</v>
      </c>
      <c r="W35" s="1236">
        <v>10669.693078</v>
      </c>
      <c r="X35" s="1236">
        <v>0</v>
      </c>
      <c r="Y35" s="1236">
        <v>-30.276481</v>
      </c>
      <c r="Z35" s="952">
        <v>14654.203342999999</v>
      </c>
      <c r="AA35" s="1236">
        <v>0</v>
      </c>
      <c r="AB35" s="1236">
        <v>11.140888</v>
      </c>
      <c r="AC35" s="1236">
        <v>7710.2903509999996</v>
      </c>
      <c r="AD35" s="1236">
        <v>6340.4403659999998</v>
      </c>
      <c r="AE35" s="1236"/>
      <c r="AF35" s="1236">
        <v>12649.136253000001</v>
      </c>
      <c r="AG35" s="1236">
        <v>0.88550099999999998</v>
      </c>
      <c r="AH35" s="1236">
        <v>0.49910199999999999</v>
      </c>
      <c r="AI35" s="1236">
        <v>10635.990497000001</v>
      </c>
      <c r="AJ35" s="1236">
        <v>-2.6903649999999999</v>
      </c>
      <c r="AK35" s="1236">
        <v>-584.32618400000001</v>
      </c>
      <c r="AL35" s="1662">
        <v>5615</v>
      </c>
      <c r="AM35" s="1659">
        <v>0</v>
      </c>
      <c r="AN35" s="1659">
        <v>8.4111000000000005E-2</v>
      </c>
      <c r="AO35" s="1659">
        <v>9102.6179599999996</v>
      </c>
      <c r="AP35" s="1659">
        <v>3363.3433180000002</v>
      </c>
      <c r="AQ35" s="1659">
        <v>-1199.062641</v>
      </c>
      <c r="AR35" s="1659">
        <v>7421.8052619999989</v>
      </c>
      <c r="AS35" s="1659">
        <v>-363.89443399999999</v>
      </c>
      <c r="AT35" s="1659">
        <v>0</v>
      </c>
      <c r="AU35" s="1659">
        <v>13897.572128000003</v>
      </c>
      <c r="AV35" s="1766">
        <v>0</v>
      </c>
      <c r="AW35" s="1766">
        <v>0</v>
      </c>
      <c r="AX35" s="1762">
        <v>6016.6468860000004</v>
      </c>
      <c r="AY35" s="1763"/>
      <c r="AZ35" s="1763"/>
      <c r="BA35" s="1763"/>
      <c r="BB35" s="1763"/>
      <c r="BC35" s="1763"/>
      <c r="BD35" s="1763"/>
      <c r="BE35" s="1763"/>
      <c r="BF35" s="1763"/>
      <c r="BG35" s="1763"/>
      <c r="BH35" s="1763"/>
      <c r="BI35" s="1763"/>
    </row>
    <row r="36" spans="1:61" s="1232" customFormat="1">
      <c r="A36" s="1237" t="s">
        <v>416</v>
      </c>
      <c r="B36" s="1242"/>
      <c r="C36" s="1242"/>
      <c r="D36" s="1242"/>
      <c r="E36" s="1242"/>
      <c r="F36" s="1242"/>
      <c r="G36" s="1242"/>
      <c r="H36" s="1242"/>
      <c r="I36" s="1242"/>
      <c r="J36" s="1242"/>
      <c r="K36" s="1242"/>
      <c r="L36" s="1242"/>
      <c r="M36" s="1242"/>
      <c r="N36" s="1242"/>
      <c r="O36" s="1242"/>
      <c r="P36" s="1242"/>
      <c r="Q36" s="1242"/>
      <c r="R36" s="1242"/>
      <c r="S36" s="1242"/>
      <c r="T36" s="1242"/>
      <c r="U36" s="1242"/>
      <c r="V36" s="1242"/>
      <c r="W36" s="1242"/>
      <c r="X36" s="1242"/>
      <c r="Y36" s="1242"/>
      <c r="Z36" s="1242"/>
      <c r="AA36" s="1242"/>
      <c r="AB36" s="1242"/>
      <c r="AC36" s="1242"/>
      <c r="AD36" s="1242"/>
      <c r="AE36" s="1242"/>
      <c r="AF36" s="1242"/>
      <c r="AG36" s="1242"/>
      <c r="AH36" s="1242"/>
      <c r="AI36" s="1242"/>
      <c r="AJ36" s="1242"/>
      <c r="AK36" s="1242"/>
      <c r="AL36" s="1242"/>
      <c r="AM36" s="1242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933"/>
      <c r="AX36" s="1761"/>
      <c r="AY36" s="1761"/>
      <c r="AZ36" s="1761"/>
      <c r="BA36" s="1761"/>
      <c r="BB36" s="1761"/>
      <c r="BC36" s="1761"/>
      <c r="BD36" s="1761"/>
      <c r="BE36" s="1761"/>
      <c r="BF36" s="1761"/>
      <c r="BG36" s="1761"/>
      <c r="BH36" s="1761"/>
      <c r="BI36" s="1761"/>
    </row>
  </sheetData>
  <customSheetViews>
    <customSheetView guid="{1683F931-F47D-47C0-A395-D48080DC7EE6}" showPageBreaks="1">
      <pane xSplit="1" ySplit="1" topLeftCell="T23" activePane="bottomRight" state="frozen"/>
      <selection pane="bottomRight" activeCell="AP35" sqref="AP35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>
      <pane xSplit="2" ySplit="2" topLeftCell="H6" activePane="bottomRight" state="frozen"/>
      <selection pane="bottomRight" activeCell="O46" sqref="O46"/>
      <pageMargins left="0.69930555555555596" right="0.69930555555555596" top="0.75" bottom="0.75" header="0.3" footer="0.3"/>
      <pageSetup paperSize="9" orientation="portrait"/>
    </customSheetView>
    <customSheetView guid="{849C46E5-4ED4-41B9-BDA9-A6465B9DA9C2}">
      <pane xSplit="1" ySplit="1" topLeftCell="AA2" activePane="bottomRight" state="frozen"/>
      <selection pane="bottomRight" activeCell="AJ36" sqref="AJ36"/>
      <pageMargins left="0.69930555555555596" right="0.69930555555555596" top="0.75" bottom="0.75" header="0.3" footer="0.3"/>
      <pageSetup paperSize="9" orientation="portrait"/>
    </customSheetView>
    <customSheetView guid="{8C09BCDE-4B8A-4469-B3F2-7F4528A2E78D}">
      <pane xSplit="1" ySplit="1" topLeftCell="AA2" activePane="bottomRight" state="frozen"/>
      <selection pane="bottomRight" activeCell="AJ36" sqref="AJ36"/>
      <pageMargins left="0.69930555555555596" right="0.69930555555555596" top="0.75" bottom="0.75" header="0.3" footer="0.3"/>
      <pageSetup paperSize="9" orientation="portrait"/>
    </customSheetView>
    <customSheetView guid="{F4EB51F4-FD23-4D5B-8072-1AF5D59D6686}">
      <pane xSplit="1" ySplit="1" topLeftCell="B2" activePane="bottomRight" state="frozen"/>
      <selection pane="bottomRight" activeCell="A36" sqref="A36"/>
      <pageMargins left="0.69930555555555596" right="0.69930555555555596" top="0.75" bottom="0.75" header="0.3" footer="0.3"/>
      <pageSetup paperSize="9" orientation="portrait"/>
    </customSheetView>
    <customSheetView guid="{D7BCFB76-2797-401D-A6F1-E020B5162DD4}">
      <pane xSplit="2" ySplit="2" topLeftCell="AF3" activePane="bottomRight" state="frozen"/>
      <selection pane="bottomRight" activeCell="AV22" sqref="AV22:AV33"/>
      <pageMargins left="0.69930555555555596" right="0.69930555555555596" top="0.75" bottom="0.75" header="0.3" footer="0.3"/>
      <pageSetup paperSize="9" orientation="portrait"/>
    </customSheetView>
    <customSheetView guid="{C9A88430-3808-49F4-8D86-BF8C70C55441}">
      <pane xSplit="2" ySplit="2" topLeftCell="V9" activePane="bottomRight" state="frozen"/>
      <selection pane="bottomRight" activeCell="AC38" sqref="AC38"/>
      <pageMargins left="0.69930555555555596" right="0.69930555555555596" top="0.75" bottom="0.75" header="0.3" footer="0.3"/>
      <pageSetup paperSize="9" orientation="portrait"/>
    </customSheetView>
    <customSheetView guid="{E61FFED3-723E-484A-93A0-94E1A801AF06}">
      <pane xSplit="2" ySplit="2" topLeftCell="W3" activePane="bottomRight" state="frozen"/>
      <selection pane="bottomRight" activeCell="AB35" sqref="AB35"/>
      <pageMargins left="0.69930555555555596" right="0.69930555555555596" top="0.75" bottom="0.75" header="0.3" footer="0.3"/>
      <pageSetup paperSize="9" orientation="portrait"/>
    </customSheetView>
    <customSheetView guid="{6B5CCA07-2BDD-4B8E-9E3C-2111BBA97430}" scale="115">
      <pane xSplit="2" ySplit="2" topLeftCell="AT12" activePane="bottomRight" state="frozen"/>
      <selection pane="bottomRight" activeCell="AX38" sqref="AX38"/>
      <pageMargins left="0.69930555555555596" right="0.69930555555555596" top="0.75" bottom="0.75" header="0.3" footer="0.3"/>
      <pageSetup paperSize="9" orientation="portrait" r:id="rId2"/>
    </customSheetView>
    <customSheetView guid="{2F47A827-9643-4D8A-AC5D-6B09D79AACF9}">
      <pane xSplit="2" ySplit="2" topLeftCell="H6" activePane="bottomRight" state="frozen"/>
      <selection pane="bottomRight" activeCell="R39" sqref="R39"/>
      <pageMargins left="0.69930555555555596" right="0.69930555555555596" top="0.75" bottom="0.75" header="0.3" footer="0.3"/>
      <pageSetup paperSize="9" orientation="portrait"/>
    </customSheetView>
    <customSheetView guid="{B37168A1-DBAB-4BDE-9F92-6261DCDF3D92}">
      <pane xSplit="1" ySplit="1" topLeftCell="AA2" activePane="bottomRight" state="frozen"/>
      <selection pane="bottomRight" activeCell="AD23" sqref="AD23"/>
      <pageMargins left="0.69930555555555596" right="0.69930555555555596" top="0.75" bottom="0.75" header="0.3" footer="0.3"/>
      <pageSetup paperSize="9" orientation="portrait"/>
    </customSheetView>
    <customSheetView guid="{AE0DD889-C13C-4059-8024-0F5B234827E9}">
      <pane xSplit="1" ySplit="2" topLeftCell="T3" activePane="bottomRight" state="frozen"/>
      <selection pane="bottomRight" activeCell="AP35" sqref="AP35"/>
      <pageMargins left="0.69930555555555596" right="0.69930555555555596" top="0.75" bottom="0.75" header="0.3" footer="0.3"/>
      <pageSetup paperSize="9" orientation="portrait"/>
    </customSheetView>
    <customSheetView guid="{CCBBD9B0-4191-4D7A-9F7B-BAC044A49153}">
      <pane xSplit="1" ySplit="1" topLeftCell="AA2" state="frozen"/>
      <selection activeCell="AO35" sqref="AO35"/>
      <pageMargins left="0.69930555555555596" right="0.69930555555555596" top="0.75" bottom="0.75" header="0.3" footer="0.3"/>
      <pageSetup paperSize="9" orientation="portrait"/>
    </customSheetView>
    <customSheetView guid="{F5F9735B-EE22-4AC6-B5AB-C856ED6C133D}">
      <pane xSplit="1" ySplit="1" topLeftCell="M9" state="frozen"/>
      <selection activeCell="AH35" sqref="AH35"/>
      <pageMargins left="0.69930555555555596" right="0.69930555555555596" top="0.75" bottom="0.75" header="0.3" footer="0.3"/>
      <pageSetup paperSize="9" orientation="portrait"/>
    </customSheetView>
    <customSheetView guid="{45B4C0D1-53B6-4553-BFF9-393760B8E0CE}">
      <pane xSplit="2" ySplit="2" topLeftCell="V9" state="frozen"/>
      <selection activeCell="AC38" sqref="AC38"/>
      <pageMargins left="0.69930555555555596" right="0.69930555555555596" top="0.75" bottom="0.75" header="0.3" footer="0.3"/>
      <pageSetup paperSize="9" orientation="portrait"/>
    </customSheetView>
    <customSheetView guid="{1BBD1596-143E-4714-99EF-E3545231CCD1}">
      <pane xSplit="2" ySplit="2" topLeftCell="I6" state="frozen"/>
      <selection activeCell="R33" sqref="R33"/>
      <pageMargins left="0.69930555555555596" right="0.69930555555555596" top="0.75" bottom="0.75" header="0.3" footer="0.3"/>
      <pageSetup paperSize="9" orientation="portrait"/>
    </customSheetView>
    <customSheetView guid="{A8456D60-99BA-4794-8966-0CBA0A37EA6F}">
      <pane xSplit="2" ySplit="2" topLeftCell="I6" state="frozen"/>
      <selection activeCell="R33" sqref="R33"/>
      <pageMargins left="0.69930555555555596" right="0.69930555555555596" top="0.75" bottom="0.75" header="0.3" footer="0.3"/>
      <pageSetup paperSize="9" orientation="portrait"/>
    </customSheetView>
    <customSheetView guid="{500C3980-ED13-4C97-96B1-955D50509B66}">
      <selection activeCell="AN21" sqref="AN21"/>
      <pageMargins left="0.69930555555555596" right="0.69930555555555596" top="0.75" bottom="0.75" header="0.3" footer="0.3"/>
      <pageSetup paperSize="9" orientation="portrait"/>
    </customSheetView>
    <customSheetView guid="{3B943BAF-34C7-494A-A071-85DE0891E5A1}">
      <pane xSplit="1" ySplit="1" topLeftCell="AA2" state="frozen"/>
      <selection activeCell="AR48" sqref="AR48"/>
      <pageMargins left="0.69930555555555596" right="0.69930555555555596" top="0.75" bottom="0.75" header="0.3" footer="0.3"/>
      <pageSetup paperSize="9" orientation="portrait"/>
    </customSheetView>
    <customSheetView guid="{EEE4B3DA-ADF6-49CC-9873-068FE5927B92}">
      <pane xSplit="2" ySplit="2" topLeftCell="H6" state="frozen"/>
      <selection activeCell="R39" sqref="R39"/>
      <pageMargins left="0.69930555555555596" right="0.69930555555555596" top="0.75" bottom="0.75" header="0.3" footer="0.3"/>
      <pageSetup paperSize="9" orientation="portrait"/>
    </customSheetView>
    <customSheetView guid="{C52D0F53-4D1D-4D01-B833-260359FD02A5}">
      <pane xSplit="1" ySplit="1" topLeftCell="AA2" activePane="bottomRight" state="frozen"/>
      <selection pane="bottomRight" activeCell="AO35" sqref="AO35"/>
      <pageMargins left="0.69930555555555596" right="0.69930555555555596" top="0.75" bottom="0.75" header="0.3" footer="0.3"/>
      <pageSetup paperSize="9" orientation="portrait"/>
    </customSheetView>
    <customSheetView guid="{6A1E79C9-91E3-4EEA-8ABB-4446083299EC}">
      <pane xSplit="2" ySplit="2" topLeftCell="V9" activePane="bottomRight" state="frozen"/>
      <selection pane="bottomRight" activeCell="AC38" sqref="AC38"/>
      <pageMargins left="0.69930555555555596" right="0.69930555555555596" top="0.75" bottom="0.75" header="0.3" footer="0.3"/>
      <pageSetup paperSize="9" orientation="portrait"/>
    </customSheetView>
    <customSheetView guid="{8B80B510-C931-46B1-8591-DEA916D76593}">
      <pane xSplit="1" ySplit="1" topLeftCell="AA2" activePane="bottomRight" state="frozen"/>
      <selection pane="bottomRight" activeCell="AR48" sqref="AR48"/>
      <pageMargins left="0.69930555555555596" right="0.69930555555555596" top="0.75" bottom="0.75" header="0.3" footer="0.3"/>
      <pageSetup paperSize="9" orientation="portrait"/>
    </customSheetView>
    <customSheetView guid="{303A9D89-611D-4504-BCAA-071C53B021F7}">
      <pane xSplit="2" ySplit="2" topLeftCell="I6" activePane="bottomRight" state="frozen"/>
      <selection pane="bottomRight" activeCell="R33" sqref="R33"/>
      <pageMargins left="0.69930555555555596" right="0.69930555555555596" top="0.75" bottom="0.75" header="0.3" footer="0.3"/>
      <pageSetup paperSize="9" orientation="portrait"/>
    </customSheetView>
    <customSheetView guid="{4583A87D-5DFF-47BD-849A-FA4AAF2B9CE3}">
      <pane xSplit="1" ySplit="1" topLeftCell="AA2" activePane="bottomRight" state="frozen"/>
      <selection pane="bottomRight" activeCell="AR48" sqref="AR48"/>
      <pageMargins left="0.69930555555555596" right="0.69930555555555596" top="0.75" bottom="0.75" header="0.3" footer="0.3"/>
      <pageSetup paperSize="9" orientation="portrait"/>
    </customSheetView>
    <customSheetView guid="{EA856AC2-CDFF-46B6-B0C4-30449DF132F4}">
      <pane xSplit="2" ySplit="2" topLeftCell="H6" activePane="bottomRight" state="frozen"/>
      <selection pane="bottomRight" activeCell="R39" sqref="R39"/>
      <pageMargins left="0.69930555555555596" right="0.69930555555555596" top="0.75" bottom="0.75" header="0.3" footer="0.3"/>
      <pageSetup paperSize="9" orientation="portrait"/>
    </customSheetView>
    <customSheetView guid="{322A45A6-8B26-49B8-A4D9-EFB3C94A758D}">
      <pane xSplit="1" ySplit="1" topLeftCell="T23" activePane="bottomRight" state="frozen"/>
      <selection pane="bottomRight" activeCell="AP35" sqref="AP35"/>
      <pageMargins left="0.69930555555555596" right="0.69930555555555596" top="0.75" bottom="0.75" header="0.3" footer="0.3"/>
      <pageSetup paperSize="9" orientation="portrait" r:id="rId3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4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AJ48"/>
  <sheetViews>
    <sheetView zoomScaleNormal="85" workbookViewId="0">
      <pane xSplit="1" topLeftCell="B1" activePane="topRight" state="frozen"/>
      <selection pane="topRight" activeCell="G25" sqref="G25"/>
    </sheetView>
  </sheetViews>
  <sheetFormatPr defaultColWidth="9" defaultRowHeight="12"/>
  <cols>
    <col min="1" max="1" width="9" style="410" customWidth="1"/>
    <col min="2" max="2" width="16.125" style="410" customWidth="1"/>
    <col min="3" max="3" width="24.5" style="410" customWidth="1"/>
    <col min="4" max="5" width="11" style="1115" customWidth="1"/>
    <col min="6" max="6" width="11.875" style="1115" customWidth="1"/>
    <col min="7" max="7" width="11.5" style="1115" customWidth="1"/>
    <col min="8" max="9" width="10.5" style="1115" customWidth="1"/>
    <col min="10" max="10" width="9.5" style="1115" customWidth="1"/>
    <col min="11" max="11" width="10.75" style="1115" customWidth="1"/>
    <col min="12" max="12" width="75.75" style="410" customWidth="1"/>
    <col min="13" max="13" width="9.25" style="410" customWidth="1"/>
    <col min="14" max="14" width="10.875" style="1115" customWidth="1"/>
    <col min="15" max="15" width="9" style="410"/>
    <col min="16" max="16" width="9.5" style="1115" customWidth="1"/>
    <col min="17" max="17" width="9" style="419"/>
    <col min="18" max="16384" width="9" style="410"/>
  </cols>
  <sheetData>
    <row r="1" spans="1:36" s="416" customFormat="1" ht="18.75">
      <c r="C1" s="416" t="s">
        <v>0</v>
      </c>
      <c r="D1" s="1116">
        <f>'#经营概况'!B1</f>
        <v>2021</v>
      </c>
      <c r="E1" s="1116"/>
      <c r="F1" s="1116">
        <f>'#经营概况'!E1</f>
        <v>2021</v>
      </c>
      <c r="G1" s="1116"/>
      <c r="I1" s="1116"/>
      <c r="J1" s="1116"/>
      <c r="K1" s="1116"/>
      <c r="L1" s="1135" t="s">
        <v>471</v>
      </c>
      <c r="N1" s="1116"/>
      <c r="P1" s="1116"/>
      <c r="Q1" s="1116"/>
    </row>
    <row r="2" spans="1:36" s="416" customFormat="1" ht="25.5" customHeight="1" thickBot="1">
      <c r="C2" s="416" t="s">
        <v>1</v>
      </c>
      <c r="D2" s="1116">
        <f>'#经营概况'!B2</f>
        <v>8</v>
      </c>
      <c r="E2" s="1116"/>
      <c r="F2" s="1116">
        <f>'#经营概况'!E2</f>
        <v>7</v>
      </c>
      <c r="G2" s="1116"/>
      <c r="H2" s="1116"/>
      <c r="I2" s="1116"/>
      <c r="J2" s="1116"/>
      <c r="K2" s="1116"/>
      <c r="N2" s="1116"/>
      <c r="P2" s="1116"/>
      <c r="Q2" s="1116"/>
    </row>
    <row r="3" spans="1:36" s="419" customFormat="1" ht="12.75" customHeight="1">
      <c r="C3" s="1117" t="s">
        <v>57</v>
      </c>
      <c r="D3" s="1117" t="s">
        <v>1264</v>
      </c>
      <c r="E3" s="1117" t="s">
        <v>58</v>
      </c>
      <c r="F3" s="1117" t="str">
        <f>F2&amp;"月"</f>
        <v>7月</v>
      </c>
      <c r="G3" s="1117" t="str">
        <f>D2&amp;"月"</f>
        <v>8月</v>
      </c>
      <c r="H3" s="1117" t="s">
        <v>7</v>
      </c>
      <c r="I3" s="1117" t="s">
        <v>9</v>
      </c>
      <c r="J3" s="1117" t="s">
        <v>5</v>
      </c>
      <c r="K3" s="1136" t="s">
        <v>41</v>
      </c>
      <c r="L3" s="1117" t="s">
        <v>472</v>
      </c>
      <c r="M3" s="419" t="s">
        <v>1162</v>
      </c>
      <c r="N3" s="419" t="str">
        <f>"1-"&amp;D2-1&amp;"月累计"</f>
        <v>1-7月累计</v>
      </c>
      <c r="P3" s="1137" t="s">
        <v>473</v>
      </c>
      <c r="Q3" s="1138"/>
      <c r="R3" s="1138"/>
      <c r="S3" s="1158"/>
    </row>
    <row r="4" spans="1:36" s="419" customFormat="1" hidden="1">
      <c r="C4" s="1118" t="s">
        <v>474</v>
      </c>
      <c r="D4" s="1119">
        <f>D5</f>
        <v>1606</v>
      </c>
      <c r="E4" s="1119">
        <f t="shared" ref="E4:K4" si="0">E5</f>
        <v>4651</v>
      </c>
      <c r="F4" s="1119">
        <f t="shared" si="0"/>
        <v>-320</v>
      </c>
      <c r="G4" s="1119">
        <f>G5</f>
        <v>-345</v>
      </c>
      <c r="H4" s="1120">
        <f t="shared" si="0"/>
        <v>-25</v>
      </c>
      <c r="I4" s="1120">
        <f t="shared" si="0"/>
        <v>-732.58333333333326</v>
      </c>
      <c r="J4" s="1119">
        <f>J5</f>
        <v>1067.1172350000002</v>
      </c>
      <c r="K4" s="1139">
        <f t="shared" si="0"/>
        <v>-2033.5494316666664</v>
      </c>
      <c r="L4" s="1140"/>
      <c r="P4" s="1141"/>
      <c r="Q4" s="1142"/>
      <c r="R4" s="1142"/>
      <c r="S4" s="1159"/>
    </row>
    <row r="5" spans="1:36" s="419" customFormat="1" ht="39" hidden="1" customHeight="1">
      <c r="A5" s="1958" t="s">
        <v>1266</v>
      </c>
      <c r="B5" s="1958" t="s">
        <v>112</v>
      </c>
      <c r="C5" s="1121" t="s">
        <v>112</v>
      </c>
      <c r="D5" s="1130">
        <v>1606</v>
      </c>
      <c r="E5" s="1957">
        <v>4651</v>
      </c>
      <c r="F5" s="1123">
        <f>SUMPRODUCT('利润（汇总）'!$C$3:$AAK$67,('利润（汇总）'!$B$3:$B$67=$B5)*('利润（汇总）'!$C$1:$AAK$1=$F$1)*('利润（汇总）'!$C$2:$AAK$2=$F$2))</f>
        <v>-320</v>
      </c>
      <c r="G5" s="1975">
        <v>-345</v>
      </c>
      <c r="H5" s="1124">
        <f>G5-F5</f>
        <v>-25</v>
      </c>
      <c r="I5" s="1124">
        <f>G5-E5/12</f>
        <v>-732.58333333333326</v>
      </c>
      <c r="J5" s="1123">
        <f>G5+N5</f>
        <v>1067.1172350000002</v>
      </c>
      <c r="K5" s="1143">
        <f>J5-E5/12*$D$2</f>
        <v>-2033.5494316666664</v>
      </c>
      <c r="L5" s="2581" t="s">
        <v>1755</v>
      </c>
      <c r="N5" s="1134">
        <f>SUMPRODUCT('利润（汇总）'!$C$3:$AAK$67,('利润（汇总）'!$B$3:$B$67=$B5)*('利润（汇总）'!$C$1:$AAK$1=$D$1)*('利润（汇总）'!$C$2:$AAK$2&lt;=$D$2-1))</f>
        <v>1412.1172350000002</v>
      </c>
      <c r="P5" s="1141"/>
      <c r="Q5" s="1142"/>
      <c r="R5" s="1142"/>
      <c r="S5" s="1159"/>
    </row>
    <row r="6" spans="1:36" s="422" customFormat="1" ht="11.25" customHeight="1">
      <c r="C6" s="1118" t="s">
        <v>475</v>
      </c>
      <c r="D6" s="1119">
        <f t="shared" ref="D6:K6" si="1">SUBTOTAL(109,D7:D10)</f>
        <v>16760.687665000001</v>
      </c>
      <c r="E6" s="1119">
        <f t="shared" si="1"/>
        <v>18755</v>
      </c>
      <c r="F6" s="1125">
        <f>SUBTOTAL(109,F7:F10)</f>
        <v>254.11496100000002</v>
      </c>
      <c r="G6" s="1125">
        <f t="shared" si="1"/>
        <v>4241.79</v>
      </c>
      <c r="H6" s="1126">
        <f t="shared" si="1"/>
        <v>3987.6750389999997</v>
      </c>
      <c r="I6" s="1126">
        <f t="shared" si="1"/>
        <v>2678.873333333333</v>
      </c>
      <c r="J6" s="1125">
        <f t="shared" si="1"/>
        <v>13681.717649</v>
      </c>
      <c r="K6" s="1144">
        <f t="shared" si="1"/>
        <v>1178.3843156666662</v>
      </c>
      <c r="L6" s="1993"/>
      <c r="N6" s="1145"/>
      <c r="P6" s="1141" t="str">
        <f>D2&amp;"月"</f>
        <v>8月</v>
      </c>
      <c r="Q6" s="1142"/>
      <c r="R6" s="1160" t="s">
        <v>5</v>
      </c>
      <c r="S6" s="1161"/>
    </row>
    <row r="7" spans="1:36" ht="28.5" hidden="1" customHeight="1">
      <c r="A7" s="410" t="s">
        <v>1145</v>
      </c>
      <c r="B7" s="410" t="s">
        <v>124</v>
      </c>
      <c r="C7" s="1127" t="s">
        <v>124</v>
      </c>
      <c r="D7" s="1123">
        <f>SUMPRODUCT('利润（汇总）'!$C$3:$AAK$67,('利润（汇总）'!$B$3:$B$67=$B7)*('利润（汇总）'!$C$1:$AAK$1=$D$1-1)*('利润（汇总）'!$C$2:$AAK$2&lt;=12))</f>
        <v>41018.664848</v>
      </c>
      <c r="E7" s="1123">
        <f>43200-1415</f>
        <v>41785</v>
      </c>
      <c r="F7" s="1123">
        <f>SUMPRODUCT('利润（汇总）'!$C$3:$AAK$67,('利润（汇总）'!$B$3:$B$67=$B7)*('利润（汇总）'!$C$1:$AAK$1=$F$1)*('利润（汇总）'!$C$2:$AAK$2=$F$2))</f>
        <v>2995.2456000000002</v>
      </c>
      <c r="G7" s="1975">
        <v>2995.2456000000002</v>
      </c>
      <c r="H7" s="1124">
        <f t="shared" ref="H7:H36" si="2">G7-F7</f>
        <v>0</v>
      </c>
      <c r="I7" s="1124">
        <f t="shared" ref="I7:I36" si="3">G7-E7/12</f>
        <v>-486.83773333333329</v>
      </c>
      <c r="J7" s="1123">
        <f>G7+N7</f>
        <v>25060.276145000003</v>
      </c>
      <c r="K7" s="1143">
        <f t="shared" ref="K7:K36" si="4">J7-E7/12*$D$2</f>
        <v>-2796.3905216666644</v>
      </c>
      <c r="L7" s="1978" t="s">
        <v>1733</v>
      </c>
      <c r="M7" s="1679">
        <f>SUMIFS('利润（汇总）'!$BA$3:$BA$36,'利润（汇总）'!$A$3:$A$36,'#子分公司分析'!A7)-G7</f>
        <v>-2995.2456000000002</v>
      </c>
      <c r="N7" s="1146" cm="1">
        <f t="array" ref="N7">SUMPRODUCT('利润（汇总）'!$C$3:$AAK$67,('利润（汇总）'!$B$3:$B$67=$B7)*('利润（汇总）'!$C$1:$AAK$1=$D$1)*('利润（汇总）'!$C$2:$AAK$2&lt;=$D$2-1))</f>
        <v>22065.030545000001</v>
      </c>
      <c r="P7" s="1147">
        <f>SUMPRODUCT('利润（汇总）'!$C$3:$AAK$67,('利润（汇总）'!$B$3:$B$67=$B7)*('利润（汇总）'!$C$1:$AAK$1=$D$1)*('利润（汇总）'!$C$2:$AAK$2=$D$2))</f>
        <v>4040.4353660000002</v>
      </c>
      <c r="Q7" s="1148">
        <f>P7-G7</f>
        <v>1045.189766</v>
      </c>
      <c r="R7" s="1146">
        <f>SUMPRODUCT('利润（汇总）'!$C$3:$AAK$67,('利润（汇总）'!$B$3:$B$67=$B7)*('利润（汇总）'!$C$1:$AAK$1=$D$1)*('利润（汇总）'!$C$2:$AAK$2&lt;=$D$2))</f>
        <v>26105.465911000003</v>
      </c>
      <c r="S7" s="1162">
        <f>R7-J7</f>
        <v>1045.1897659999995</v>
      </c>
    </row>
    <row r="8" spans="1:36" ht="24.75" customHeight="1">
      <c r="A8" s="410" t="s">
        <v>1146</v>
      </c>
      <c r="B8" s="410" t="s">
        <v>127</v>
      </c>
      <c r="C8" s="1127" t="s">
        <v>476</v>
      </c>
      <c r="D8" s="1123">
        <f>D47+D48</f>
        <v>9714.3391530000008</v>
      </c>
      <c r="E8" s="1123">
        <f>7500+2790</f>
        <v>10290</v>
      </c>
      <c r="F8" s="1123">
        <f>F47+F48</f>
        <v>715.32496100000003</v>
      </c>
      <c r="G8" s="1975">
        <v>1719.55</v>
      </c>
      <c r="H8" s="1124">
        <f>G8-F8</f>
        <v>1004.2250389999999</v>
      </c>
      <c r="I8" s="1124">
        <f>G8-E8/12</f>
        <v>862.05</v>
      </c>
      <c r="J8" s="1123">
        <f>G8+N8</f>
        <v>6906.0944680000002</v>
      </c>
      <c r="K8" s="1143">
        <f t="shared" si="4"/>
        <v>46.094468000000234</v>
      </c>
      <c r="L8" s="1977" t="s">
        <v>1747</v>
      </c>
      <c r="M8" s="1679">
        <f>SUMIFS('利润（汇总）'!$BA$3:$BA$36,'利润（汇总）'!$A$3:$A$36,'#子分公司分析'!A8)-G8</f>
        <v>-1719.55</v>
      </c>
      <c r="N8" s="1146">
        <f>N47+N48</f>
        <v>5186.5444680000001</v>
      </c>
      <c r="P8" s="1147">
        <f>P47+P48</f>
        <v>1719.5520839999999</v>
      </c>
      <c r="Q8" s="1148">
        <f t="shared" ref="Q8:Q36" si="5">P8-G8</f>
        <v>2.0839999999680003E-3</v>
      </c>
      <c r="R8" s="1146">
        <f>R47+R48</f>
        <v>6906.0965519999991</v>
      </c>
      <c r="S8" s="1162">
        <f>R8-J8</f>
        <v>2.083999998831132E-3</v>
      </c>
    </row>
    <row r="9" spans="1:36" ht="39.75" customHeight="1">
      <c r="A9" s="410" t="s">
        <v>1147</v>
      </c>
      <c r="B9" s="410" t="s">
        <v>126</v>
      </c>
      <c r="C9" s="1127" t="s">
        <v>126</v>
      </c>
      <c r="D9" s="1123">
        <f>SUMPRODUCT('利润（汇总）'!$C$3:$AAK$67,('利润（汇总）'!$B$3:$B$67=$B9)*('利润（汇总）'!$C$1:$AAK$1=$D$1-1)*('利润（汇总）'!$C$2:$AAK$2&lt;=12))</f>
        <v>6783.6135859999995</v>
      </c>
      <c r="E9" s="1123">
        <v>8200</v>
      </c>
      <c r="F9" s="1123">
        <f>SUMPRODUCT('利润（汇总）'!$C$3:$AAK$67,('利润（汇总）'!$B$3:$B$67=$B9)*('利润（汇总）'!$C$1:$AAK$1=$F$1)*('利润（汇总）'!$C$2:$AAK$2=$F$2))</f>
        <v>-467</v>
      </c>
      <c r="G9" s="1975">
        <v>2484</v>
      </c>
      <c r="H9" s="1124">
        <f t="shared" si="2"/>
        <v>2951</v>
      </c>
      <c r="I9" s="1124">
        <f t="shared" si="3"/>
        <v>1800.6666666666665</v>
      </c>
      <c r="J9" s="1123">
        <f>G9+N9</f>
        <v>6580.5110649999997</v>
      </c>
      <c r="K9" s="1143">
        <f t="shared" si="4"/>
        <v>1113.8443983333327</v>
      </c>
      <c r="L9" s="1978" t="s">
        <v>1748</v>
      </c>
      <c r="M9" s="1679">
        <f>SUMIFS('利润（汇总）'!$BA$3:$BA$36,'利润（汇总）'!$A$3:$A$36,'#子分公司分析'!A9)-G9</f>
        <v>-2484</v>
      </c>
      <c r="N9" s="1146">
        <f>SUMPRODUCT('利润（汇总）'!$C$3:$AAK$67,('利润（汇总）'!$B$3:$B$67=$B9)*('利润（汇总）'!$C$1:$AAK$1=$D$1)*('利润（汇总）'!$C$2:$AAK$2&lt;=$D$2-1))</f>
        <v>4096.5110649999997</v>
      </c>
      <c r="P9" s="1147">
        <f>SUMPRODUCT('利润（汇总）'!$C$3:$AAK$67,('利润（汇总）'!$B$3:$B$67=$B9)*('利润（汇总）'!$C$1:$AAK$1=$D$1)*('利润（汇总）'!$C$2:$AAK$2=$D$2))</f>
        <v>2484</v>
      </c>
      <c r="Q9" s="1148">
        <f t="shared" si="5"/>
        <v>0</v>
      </c>
      <c r="R9" s="1146">
        <f>SUMPRODUCT('利润（汇总）'!$C$3:$AAK$67,('利润（汇总）'!$B$3:$B$67=$B9)*('利润（汇总）'!$C$1:$AAK$1=$D$1)*('利润（汇总）'!$C$2:$AAK$2&lt;=$D$2))</f>
        <v>6580.5110649999997</v>
      </c>
      <c r="S9" s="1162">
        <f>R9-J9</f>
        <v>0</v>
      </c>
    </row>
    <row r="10" spans="1:36" ht="14.25">
      <c r="A10" s="410" t="s">
        <v>1164</v>
      </c>
      <c r="B10" s="410" t="s">
        <v>125</v>
      </c>
      <c r="C10" s="1127" t="s">
        <v>477</v>
      </c>
      <c r="D10" s="1123">
        <f>SUMPRODUCT('利润（汇总）'!$C$3:$AAK$67,('利润（汇总）'!$B$3:$B$67=$B10)*('利润（汇总）'!$C$1:$AAK$1=$D$1-1)*('利润（汇总）'!$C$2:$AAK$2&lt;=12))</f>
        <v>262.73492599999997</v>
      </c>
      <c r="E10" s="1123">
        <v>265</v>
      </c>
      <c r="F10" s="1123">
        <f>SUMPRODUCT('利润（汇总）'!$C$3:$AAK$67,('利润（汇总）'!$B$3:$B$67=$B10)*('利润（汇总）'!$C$1:$AAK$1=$F$1)*('利润（汇总）'!$C$2:$AAK$2=$F$2))</f>
        <v>5.79</v>
      </c>
      <c r="G10" s="1975">
        <v>38.24</v>
      </c>
      <c r="H10" s="1124">
        <f t="shared" si="2"/>
        <v>32.450000000000003</v>
      </c>
      <c r="I10" s="1124">
        <f t="shared" si="3"/>
        <v>16.15666666666667</v>
      </c>
      <c r="J10" s="1123">
        <f>G10+N10</f>
        <v>195.11211599999999</v>
      </c>
      <c r="K10" s="1143">
        <f t="shared" si="4"/>
        <v>18.445449333333329</v>
      </c>
      <c r="L10" s="1977" t="s">
        <v>1746</v>
      </c>
      <c r="M10" s="1679">
        <f>SUMIFS('利润（汇总）'!$BA$3:$BA$36,'利润（汇总）'!$A$3:$A$36,'#子分公司分析'!A10)-G10</f>
        <v>-38.24</v>
      </c>
      <c r="N10" s="1146">
        <f>SUMPRODUCT('利润（汇总）'!$C$3:$AAK$67,('利润（汇总）'!$B$3:$B$67=$B10)*('利润（汇总）'!$C$1:$AAK$1=$D$1)*('利润（汇总）'!$C$2:$AAK$2&lt;=$D$2-1))</f>
        <v>156.87211599999998</v>
      </c>
      <c r="P10" s="1147">
        <f>SUMPRODUCT('利润（汇总）'!$C$3:$AAK$67,('利润（汇总）'!$B$3:$B$67=$B10)*('利润（汇总）'!$C$1:$AAK$1=$D$1)*('利润（汇总）'!$C$2:$AAK$2=$D$2))</f>
        <v>38.24</v>
      </c>
      <c r="Q10" s="1148">
        <f t="shared" si="5"/>
        <v>0</v>
      </c>
      <c r="R10" s="1146">
        <f>SUMPRODUCT('利润（汇总）'!$C$3:$AAK$67,('利润（汇总）'!$B$3:$B$67=$B10)*('利润（汇总）'!$C$1:$AAK$1=$D$1)*('利润（汇总）'!$C$2:$AAK$2&lt;=$D$2))</f>
        <v>195.11211599999999</v>
      </c>
      <c r="S10" s="1162">
        <f>R10-J10</f>
        <v>0</v>
      </c>
    </row>
    <row r="11" spans="1:36" s="422" customFormat="1" ht="14.25">
      <c r="C11" s="1118" t="s">
        <v>478</v>
      </c>
      <c r="D11" s="1119">
        <f>SUBTOTAL(109,D12)</f>
        <v>957.22928699999989</v>
      </c>
      <c r="E11" s="1119">
        <f t="shared" ref="E11:K11" si="6">SUBTOTAL(109,E12)</f>
        <v>1500</v>
      </c>
      <c r="F11" s="1125">
        <f t="shared" si="6"/>
        <v>0</v>
      </c>
      <c r="G11" s="1125">
        <f t="shared" si="6"/>
        <v>0</v>
      </c>
      <c r="H11" s="1126">
        <f t="shared" si="6"/>
        <v>0</v>
      </c>
      <c r="I11" s="1126">
        <f t="shared" si="6"/>
        <v>-125</v>
      </c>
      <c r="J11" s="1125">
        <f t="shared" si="6"/>
        <v>0</v>
      </c>
      <c r="K11" s="1144">
        <f t="shared" si="6"/>
        <v>-1000</v>
      </c>
      <c r="L11" s="1979"/>
      <c r="M11" s="410"/>
      <c r="N11" s="1149"/>
      <c r="P11" s="1147"/>
      <c r="Q11" s="1148"/>
      <c r="R11" s="1146"/>
      <c r="S11" s="1162"/>
    </row>
    <row r="12" spans="1:36" ht="51.75" customHeight="1">
      <c r="A12" s="410" t="s">
        <v>1148</v>
      </c>
      <c r="B12" s="410" t="s">
        <v>137</v>
      </c>
      <c r="C12" s="1127" t="s">
        <v>137</v>
      </c>
      <c r="D12" s="1123">
        <f>SUMPRODUCT('利润（汇总）'!$C$3:$AAK$67,('利润（汇总）'!$B$3:$B$67=$B12)*('利润（汇总）'!$C$1:$AAK$1=$D$1-1)*('利润（汇总）'!$C$2:$AAK$2&lt;=12))</f>
        <v>957.22928699999989</v>
      </c>
      <c r="E12" s="1123">
        <v>1500</v>
      </c>
      <c r="F12" s="1123">
        <f>SUMPRODUCT('利润（汇总）'!$C$3:$AAK$67,('利润（汇总）'!$B$3:$B$67=$B12)*('利润（汇总）'!$C$1:$AAK$1=$F$1)*('利润（汇总）'!$C$2:$AAK$2=$F$2))</f>
        <v>0</v>
      </c>
      <c r="G12" s="1975"/>
      <c r="H12" s="1124">
        <f t="shared" si="2"/>
        <v>0</v>
      </c>
      <c r="I12" s="1124">
        <f t="shared" si="3"/>
        <v>-125</v>
      </c>
      <c r="J12" s="1123">
        <f>G12+N12</f>
        <v>0</v>
      </c>
      <c r="K12" s="1143">
        <f t="shared" si="4"/>
        <v>-1000</v>
      </c>
      <c r="L12" s="1980"/>
      <c r="M12" s="1679">
        <f>SUMIFS('利润（汇总）'!$BA$3:$BA$36,'利润（汇总）'!$A$3:$A$36,'#子分公司分析'!A12)-G12</f>
        <v>0</v>
      </c>
      <c r="N12" s="1146">
        <f>SUMPRODUCT('利润（汇总）'!$C$3:$AAK$67,('利润（汇总）'!$B$3:$B$67=$B12)*('利润（汇总）'!$C$1:$AAK$1=$D$1)*('利润（汇总）'!$C$2:$AAK$2&lt;=$D$2-1))</f>
        <v>0</v>
      </c>
      <c r="P12" s="1147">
        <f>SUMPRODUCT('利润（汇总）'!$C$3:$AAK$67,('利润（汇总）'!$B$3:$B$67=$B12)*('利润（汇总）'!$C$1:$AAK$1=$D$1)*('利润（汇总）'!$C$2:$AAK$2=$D$2))</f>
        <v>0</v>
      </c>
      <c r="Q12" s="1148">
        <f t="shared" si="5"/>
        <v>0</v>
      </c>
      <c r="R12" s="1146">
        <f>SUMPRODUCT('利润（汇总）'!$C$3:$AAK$67,('利润（汇总）'!$B$3:$B$67=$B12)*('利润（汇总）'!$C$1:$AAK$1=$D$1)*('利润（汇总）'!$C$2:$AAK$2&lt;=$D$2))</f>
        <v>0</v>
      </c>
      <c r="S12" s="1162">
        <f>R12-J12</f>
        <v>0</v>
      </c>
    </row>
    <row r="13" spans="1:36" s="422" customFormat="1" ht="14.25">
      <c r="C13" s="1118" t="s">
        <v>479</v>
      </c>
      <c r="D13" s="1119">
        <f t="shared" ref="D13:K13" si="7">SUBTOTAL(109,D14:D20)</f>
        <v>25899.530191000002</v>
      </c>
      <c r="E13" s="1119">
        <f t="shared" si="7"/>
        <v>34821</v>
      </c>
      <c r="F13" s="1125">
        <f t="shared" si="7"/>
        <v>3182.3981430000003</v>
      </c>
      <c r="G13" s="1125">
        <f t="shared" si="7"/>
        <v>3899.566026</v>
      </c>
      <c r="H13" s="1126">
        <f t="shared" si="7"/>
        <v>717.16788300000007</v>
      </c>
      <c r="I13" s="1126">
        <f t="shared" si="7"/>
        <v>997.81602600000008</v>
      </c>
      <c r="J13" s="1125">
        <f t="shared" si="7"/>
        <v>25930.119457000004</v>
      </c>
      <c r="K13" s="1144">
        <f t="shared" si="7"/>
        <v>2716.1194570000034</v>
      </c>
      <c r="L13" s="1979"/>
      <c r="M13" s="410"/>
      <c r="N13" s="1149"/>
      <c r="P13" s="1147"/>
      <c r="Q13" s="1148"/>
      <c r="R13" s="1146"/>
      <c r="S13" s="1162"/>
    </row>
    <row r="14" spans="1:36" ht="50.25" hidden="1" customHeight="1">
      <c r="B14" s="410" t="s">
        <v>113</v>
      </c>
      <c r="C14" s="1127" t="s">
        <v>113</v>
      </c>
      <c r="D14" s="1123">
        <f>SUMPRODUCT('利润（汇总）'!$C$3:$AAK$67,('利润（汇总）'!$B$3:$B$67=$B14)*('利润（汇总）'!$C$1:$AAK$1=$D$1-1)*('利润（汇总）'!$C$2:$AAK$2&lt;=12))</f>
        <v>-20393.076202000004</v>
      </c>
      <c r="E14" s="1123">
        <v>59</v>
      </c>
      <c r="F14" s="1123">
        <f>SUMPRODUCT('利润（汇总）'!$C$3:$AAK$67,('利润（汇总）'!$B$3:$B$67=$B14)*('利润（汇总）'!$C$1:$AAK$1=$F$1)*('利润（汇总）'!$C$2:$AAK$2=$F$2))</f>
        <v>1515.6657270000001</v>
      </c>
      <c r="G14" s="1961">
        <v>4432.1422659999998</v>
      </c>
      <c r="H14" s="1124">
        <f>G14-F14</f>
        <v>2916.4765389999998</v>
      </c>
      <c r="I14" s="1124">
        <f>G14-E14/12</f>
        <v>4427.2255993333329</v>
      </c>
      <c r="J14" s="1123">
        <f>G14+N14</f>
        <v>18640.877665</v>
      </c>
      <c r="K14" s="1143">
        <f t="shared" si="4"/>
        <v>18601.544331666668</v>
      </c>
      <c r="L14" s="2516" t="s">
        <v>1751</v>
      </c>
      <c r="M14" s="410">
        <f>SUMIFS('利润（汇总）'!$BA$3:$BA$36,'利润（汇总）'!$A$3:$A$36,'#子分公司分析'!A14)</f>
        <v>0</v>
      </c>
      <c r="N14" s="1146">
        <f>SUMPRODUCT('利润（汇总）'!$C$3:$AAK$67,('利润（汇总）'!$B$3:$B$67=$B14)*('利润（汇总）'!$C$1:$AAK$1=$D$1)*('利润（汇总）'!$C$2:$AAK$2&lt;=$D$2-1))</f>
        <v>14208.735399000001</v>
      </c>
      <c r="P14" s="1147">
        <f>SUMPRODUCT('利润（汇总）'!$C$3:$AAK$67,('利润（汇总）'!$B$3:$B$67=$B14)*('利润（汇总）'!$C$1:$AAK$1=$D$1)*('利润（汇总）'!$C$2:$AAK$2=$D$2))</f>
        <v>4432.1400000000003</v>
      </c>
      <c r="Q14" s="1148">
        <f t="shared" si="5"/>
        <v>-2.2659999995084945E-3</v>
      </c>
      <c r="R14" s="1146">
        <f>SUMPRODUCT('利润（汇总）'!$C$3:$AAK$67,('利润（汇总）'!$B$3:$B$67=$B14)*('利润（汇总）'!$C$1:$AAK$1=$D$1)*('利润（汇总）'!$C$2:$AAK$2&lt;=$D$2))</f>
        <v>18640.875399</v>
      </c>
      <c r="S14" s="1162">
        <f t="shared" ref="S14:S20" si="8">R14-J14</f>
        <v>-2.2659999995084945E-3</v>
      </c>
    </row>
    <row r="15" spans="1:36" ht="41.25" customHeight="1" thickBot="1">
      <c r="A15" s="410" t="s">
        <v>1149</v>
      </c>
      <c r="B15" s="1128" t="str">
        <f>'收入（汇总）'!B12</f>
        <v>钢科碳材料</v>
      </c>
      <c r="C15" s="1127" t="s">
        <v>480</v>
      </c>
      <c r="D15" s="1123">
        <f>SUMPRODUCT('利润（汇总）'!$C$3:$AAK$67,('利润（汇总）'!$B$3:$B$67=$B15)*('利润（汇总）'!$C$1:$AAK$1=$D$1-1)*('利润（汇总）'!$C$2:$AAK$2&lt;=12))</f>
        <v>336.29010299999993</v>
      </c>
      <c r="E15" s="1123">
        <v>1236</v>
      </c>
      <c r="F15" s="1123">
        <f>SUMPRODUCT('利润（汇总）'!$C$3:$AAK$67,('利润（汇总）'!$B$3:$B$67=$B15)*('利润（汇总）'!$C$1:$AAK$1=$F$1)*('利润（汇总）'!$C$2:$AAK$2=$F$2))</f>
        <v>1096</v>
      </c>
      <c r="G15" s="1975">
        <v>677.5</v>
      </c>
      <c r="H15" s="1124">
        <f t="shared" si="2"/>
        <v>-418.5</v>
      </c>
      <c r="I15" s="1124">
        <f t="shared" si="3"/>
        <v>574.5</v>
      </c>
      <c r="J15" s="1123">
        <f t="shared" ref="J15:J20" si="9">G15+N15</f>
        <v>3761.6320850000002</v>
      </c>
      <c r="K15" s="1143">
        <f t="shared" si="4"/>
        <v>2937.6320850000002</v>
      </c>
      <c r="L15" s="1981" t="s">
        <v>1758</v>
      </c>
      <c r="M15" s="1679">
        <f>SUMIFS('利润（汇总）'!$BA$3:$BA$36,'利润（汇总）'!$A$3:$A$36,'#子分公司分析'!A15)-G15</f>
        <v>-677.5</v>
      </c>
      <c r="N15" s="1146">
        <f>SUMPRODUCT('利润（汇总）'!$C$3:$AAK$67,('利润（汇总）'!$B$3:$B$67=$B15)*('利润（汇总）'!$C$1:$AAK$1=$D$1)*('利润（汇总）'!$C$2:$AAK$2&lt;=$D$2-1))</f>
        <v>3084.1320850000002</v>
      </c>
      <c r="P15" s="1147">
        <f>SUMPRODUCT('利润（汇总）'!$C$3:$AAK$67,('利润（汇总）'!$B$3:$B$67=$B15)*('利润（汇总）'!$C$1:$AAK$1=$D$1)*('利润（汇总）'!$C$2:$AAK$2=$D$2))</f>
        <v>677.5</v>
      </c>
      <c r="Q15" s="1148">
        <f t="shared" si="5"/>
        <v>0</v>
      </c>
      <c r="R15" s="1146">
        <f>SUMPRODUCT('利润（汇总）'!$C$3:$AAK$67,('利润（汇总）'!$B$3:$B$67=$B15)*('利润（汇总）'!$C$1:$AAK$1=$D$1)*('利润（汇总）'!$C$2:$AAK$2&lt;=$D$2))</f>
        <v>3761.6320850000002</v>
      </c>
      <c r="S15" s="1162">
        <f t="shared" si="8"/>
        <v>0</v>
      </c>
    </row>
    <row r="16" spans="1:36" ht="44.25" customHeight="1">
      <c r="A16" s="410" t="s">
        <v>1150</v>
      </c>
      <c r="B16" s="410" t="s">
        <v>116</v>
      </c>
      <c r="C16" s="1127" t="s">
        <v>116</v>
      </c>
      <c r="D16" s="1123">
        <f>SUMPRODUCT('利润（汇总）'!$C$3:$AAK$67,('利润（汇总）'!$B$3:$B$67=$B16)*('利润（汇总）'!$C$1:$AAK$1=$D$1-1)*('利润（汇总）'!$C$2:$AAK$2&lt;=12))</f>
        <v>-5660.9147999999996</v>
      </c>
      <c r="E16" s="1123">
        <v>-1500</v>
      </c>
      <c r="F16" s="1123">
        <f>SUMPRODUCT('利润（汇总）'!$C$3:$AAK$67,('利润（汇总）'!$B$3:$B$67=$B16)*('利润（汇总）'!$C$1:$AAK$1=$F$1)*('利润（汇总）'!$C$2:$AAK$2=$F$2))</f>
        <v>-276</v>
      </c>
      <c r="G16" s="1975">
        <v>-201</v>
      </c>
      <c r="H16" s="1124">
        <f t="shared" si="2"/>
        <v>75</v>
      </c>
      <c r="I16" s="1124">
        <f t="shared" si="3"/>
        <v>-76</v>
      </c>
      <c r="J16" s="1123">
        <f t="shared" si="9"/>
        <v>-2230.8095329999996</v>
      </c>
      <c r="K16" s="1143">
        <f t="shared" si="4"/>
        <v>-1230.8095329999996</v>
      </c>
      <c r="L16" s="1980" t="s">
        <v>1757</v>
      </c>
      <c r="M16" s="1679">
        <f>SUMIFS('利润（汇总）'!$BA$3:$BA$36,'利润（汇总）'!$A$3:$A$36,'#子分公司分析'!A16)-G16</f>
        <v>201</v>
      </c>
      <c r="N16" s="1146">
        <f>SUMPRODUCT('利润（汇总）'!$C$3:$AAK$67,('利润（汇总）'!$B$3:$B$67=$B16)*('利润（汇总）'!$C$1:$AAK$1=$D$1)*('利润（汇总）'!$C$2:$AAK$2&lt;=$D$2-1))</f>
        <v>-2029.8095329999999</v>
      </c>
      <c r="P16" s="1147">
        <f>SUMPRODUCT('利润（汇总）'!$C$3:$AAK$67,('利润（汇总）'!$B$3:$B$67=$B16)*('利润（汇总）'!$C$1:$AAK$1=$D$1)*('利润（汇总）'!$C$2:$AAK$2=$D$2))</f>
        <v>-201</v>
      </c>
      <c r="Q16" s="1148">
        <f t="shared" si="5"/>
        <v>0</v>
      </c>
      <c r="R16" s="1146">
        <f>SUMPRODUCT('利润（汇总）'!$C$3:$AAK$67,('利润（汇总）'!$B$3:$B$67=$B16)*('利润（汇总）'!$C$1:$AAK$1=$D$1)*('利润（汇总）'!$C$2:$AAK$2&lt;=$D$2))</f>
        <v>-2230.8095329999996</v>
      </c>
      <c r="S16" s="1162">
        <f t="shared" si="8"/>
        <v>0</v>
      </c>
      <c r="AB16" s="2117" t="s">
        <v>481</v>
      </c>
      <c r="AC16" s="2118" t="s">
        <v>1341</v>
      </c>
      <c r="AD16" s="2119" t="s">
        <v>1342</v>
      </c>
      <c r="AE16" s="2117" t="s">
        <v>1343</v>
      </c>
      <c r="AF16" s="2120" t="s">
        <v>1344</v>
      </c>
      <c r="AG16" s="2117" t="s">
        <v>7</v>
      </c>
      <c r="AH16" s="2117" t="s">
        <v>9</v>
      </c>
      <c r="AI16" s="2117" t="s">
        <v>8</v>
      </c>
      <c r="AJ16" s="2117" t="s">
        <v>1345</v>
      </c>
    </row>
    <row r="17" spans="1:36" ht="65.25" customHeight="1" thickBot="1">
      <c r="A17" s="410" t="s">
        <v>1170</v>
      </c>
      <c r="B17" s="410" t="s">
        <v>118</v>
      </c>
      <c r="C17" s="1129" t="s">
        <v>118</v>
      </c>
      <c r="D17" s="1123">
        <f>SUMPRODUCT('利润（汇总）'!$C$3:$AAK$67,('利润（汇总）'!$B$3:$B$67=$B17)*('利润（汇总）'!$C$1:$AAK$1=$D$1-1)*('利润（汇总）'!$C$2:$AAK$2&lt;=12))</f>
        <v>1125.7634000000003</v>
      </c>
      <c r="E17" s="1123">
        <v>2000</v>
      </c>
      <c r="F17" s="1123">
        <f>SUMPRODUCT('利润（汇总）'!$C$3:$AAK$67,('利润（汇总）'!$B$3:$B$67=$B17)*('利润（汇总）'!$C$1:$AAK$1=$F$1)*('利润（汇总）'!$C$2:$AAK$2=$F$2))</f>
        <v>-185.81</v>
      </c>
      <c r="G17" s="1975">
        <v>-201.42</v>
      </c>
      <c r="H17" s="1124">
        <f>G17-F17</f>
        <v>-15.609999999999985</v>
      </c>
      <c r="I17" s="1124">
        <f t="shared" si="3"/>
        <v>-368.08666666666664</v>
      </c>
      <c r="J17" s="1123">
        <f t="shared" si="9"/>
        <v>199.15826100000007</v>
      </c>
      <c r="K17" s="1143">
        <f t="shared" si="4"/>
        <v>-1134.1750723333332</v>
      </c>
      <c r="L17" s="1981"/>
      <c r="M17" s="1679">
        <f>SUMIFS('利润（汇总）'!$BA$3:$BA$36,'利润（汇总）'!$A$3:$A$36,'#子分公司分析'!A17)-G17</f>
        <v>201.42</v>
      </c>
      <c r="N17" s="1134">
        <f>SUMPRODUCT('利润（汇总）'!$C$3:$AAK$67,('利润（汇总）'!$B$3:$B$67=$B17)*('利润（汇总）'!$C$1:$AAK$1=$D$1)*('利润（汇总）'!$C$2:$AAK$2&lt;=$D$2-1))</f>
        <v>400.57826100000005</v>
      </c>
      <c r="P17" s="1147">
        <f>SUMPRODUCT('利润（汇总）'!$C$3:$AAK$67,('利润（汇总）'!$B$3:$B$67=$B17)*('利润（汇总）'!$C$1:$AAK$1=$D$1)*('利润（汇总）'!$C$2:$AAK$2=$D$2))</f>
        <v>-201.42</v>
      </c>
      <c r="Q17" s="1148">
        <f t="shared" si="5"/>
        <v>0</v>
      </c>
      <c r="R17" s="1146">
        <f>SUMPRODUCT('利润（汇总）'!$C$3:$AAK$67,('利润（汇总）'!$B$3:$B$67=$B17)*('利润（汇总）'!$C$1:$AAK$1=$D$1)*('利润（汇总）'!$C$2:$AAK$2&lt;=$D$2))</f>
        <v>199.15826100000007</v>
      </c>
      <c r="S17" s="1162">
        <f t="shared" si="8"/>
        <v>0</v>
      </c>
      <c r="AB17" s="2121"/>
      <c r="AC17" s="2122" t="s">
        <v>1346</v>
      </c>
      <c r="AD17" s="2123"/>
      <c r="AE17" s="2121"/>
      <c r="AF17" s="1965"/>
      <c r="AG17" s="2121"/>
      <c r="AH17" s="2121"/>
      <c r="AI17" s="2121"/>
      <c r="AJ17" s="2121"/>
    </row>
    <row r="18" spans="1:36" ht="29.25" thickBot="1">
      <c r="A18" s="410" t="s">
        <v>1169</v>
      </c>
      <c r="B18" s="410" t="s">
        <v>117</v>
      </c>
      <c r="C18" s="1129" t="s">
        <v>117</v>
      </c>
      <c r="D18" s="1123">
        <f>SUMPRODUCT('利润（汇总）'!$C$3:$AAK$67,('利润（汇总）'!$B$3:$B$67=$B18)*('利润（汇总）'!$C$1:$AAK$1=$D$1-1)*('利润（汇总）'!$C$2:$AAK$2&lt;=12))</f>
        <v>219.68403500000002</v>
      </c>
      <c r="E18" s="1123">
        <v>680</v>
      </c>
      <c r="F18" s="1123">
        <f>SUMPRODUCT('利润（汇总）'!$C$3:$AAK$67,('利润（汇总）'!$B$3:$B$67=$B18)*('利润（汇总）'!$C$1:$AAK$1=$F$1)*('利润（汇总）'!$C$2:$AAK$2=$F$2))</f>
        <v>-210.11</v>
      </c>
      <c r="G18" s="1975">
        <v>186.59</v>
      </c>
      <c r="H18" s="1124">
        <f>G18-F18</f>
        <v>396.70000000000005</v>
      </c>
      <c r="I18" s="1124">
        <f>G18-E18/12</f>
        <v>129.92333333333335</v>
      </c>
      <c r="J18" s="1123">
        <f>G18+N18</f>
        <v>367.80561299999999</v>
      </c>
      <c r="K18" s="1143">
        <f t="shared" si="4"/>
        <v>-85.52772033333332</v>
      </c>
      <c r="L18" s="2516"/>
      <c r="M18" s="1679">
        <f>SUMIFS('利润（汇总）'!$BA$3:$BA$36,'利润（汇总）'!$A$3:$A$36,'#子分公司分析'!A18)-G18</f>
        <v>-186.59</v>
      </c>
      <c r="N18" s="1134">
        <f>SUMPRODUCT('利润（汇总）'!$C$3:$AAK$67,('利润（汇总）'!$B$3:$B$67=$B18)*('利润（汇总）'!$C$1:$AAK$1=$D$1)*('利润（汇总）'!$C$2:$AAK$2&lt;=$D$2-1))</f>
        <v>181.21561300000002</v>
      </c>
      <c r="P18" s="1147">
        <f>SUMPRODUCT('利润（汇总）'!$C$3:$AAK$67,('利润（汇总）'!$B$3:$B$67=$B18)*('利润（汇总）'!$C$1:$AAK$1=$D$1)*('利润（汇总）'!$C$2:$AAK$2=$D$2))</f>
        <v>186.59</v>
      </c>
      <c r="Q18" s="1148">
        <f t="shared" si="5"/>
        <v>0</v>
      </c>
      <c r="R18" s="1146">
        <f>SUMPRODUCT('利润（汇总）'!$C$3:$AAK$67,('利润（汇总）'!$B$3:$B$67=$B18)*('利润（汇总）'!$C$1:$AAK$1=$D$1)*('利润（汇总）'!$C$2:$AAK$2&lt;=$D$2))</f>
        <v>367.80561299999999</v>
      </c>
      <c r="S18" s="1162">
        <f t="shared" si="8"/>
        <v>0</v>
      </c>
      <c r="AB18" s="1965" t="s">
        <v>188</v>
      </c>
      <c r="AC18" s="2298">
        <v>6466</v>
      </c>
      <c r="AD18" s="2298">
        <v>7083</v>
      </c>
      <c r="AE18" s="2298">
        <v>6995</v>
      </c>
      <c r="AF18" s="2299">
        <v>7712</v>
      </c>
      <c r="AG18" s="2300" t="s">
        <v>1602</v>
      </c>
      <c r="AH18" s="2301" t="s">
        <v>1603</v>
      </c>
      <c r="AI18" s="2300" t="s">
        <v>1604</v>
      </c>
      <c r="AJ18" s="2302">
        <v>26242</v>
      </c>
    </row>
    <row r="19" spans="1:36" ht="15.75" thickBot="1">
      <c r="A19" s="410" t="s">
        <v>1151</v>
      </c>
      <c r="B19" s="410" t="s">
        <v>487</v>
      </c>
      <c r="C19" s="1127" t="s">
        <v>487</v>
      </c>
      <c r="D19" s="1123">
        <f>SUMIFS('#需填写'!54:54,'#需填写'!1:1,F1,'#需填写'!2:2,"&lt;=12")/10000</f>
        <v>45.843734999999974</v>
      </c>
      <c r="E19" s="1123">
        <v>200</v>
      </c>
      <c r="F19" s="1123">
        <f>SUMIFS('#需填写'!54:54,'#需填写'!1:1,F1,'#需填写'!2:2,F2)/10000</f>
        <v>2.7736829999999979</v>
      </c>
      <c r="G19" s="1975">
        <v>12.7</v>
      </c>
      <c r="H19" s="1124">
        <f t="shared" si="2"/>
        <v>9.9263170000000009</v>
      </c>
      <c r="I19" s="1124">
        <f t="shared" si="3"/>
        <v>-3.9666666666666686</v>
      </c>
      <c r="J19" s="1123">
        <f t="shared" si="9"/>
        <v>58.54373499999997</v>
      </c>
      <c r="K19" s="1143">
        <f t="shared" si="4"/>
        <v>-74.789598333333373</v>
      </c>
      <c r="L19" s="1982"/>
      <c r="M19" s="1679">
        <f>SUMIFS('利润（汇总）'!$BA$3:$BA$36,'利润（汇总）'!$A$3:$A$36,'#子分公司分析'!A19)-G19</f>
        <v>-12.7</v>
      </c>
      <c r="N19" s="1134">
        <f>SUMIFS('#需填写'!54:54,'#需填写'!1:1,D1,'#需填写'!2:2,"&lt;="&amp;D2-1)/10000</f>
        <v>45.843734999999974</v>
      </c>
      <c r="P19" s="1147">
        <f>SUMPRODUCT('利润（汇总）'!$C$3:$AAK$67,('利润（汇总）'!$B$3:$B$67=$B19)*('利润（汇总）'!$C$1:$AAK$1=$D$1)*('利润（汇总）'!$C$2:$AAK$2=$D$2))</f>
        <v>0</v>
      </c>
      <c r="Q19" s="1150">
        <f>P19-G19</f>
        <v>-12.7</v>
      </c>
      <c r="R19" s="1146">
        <f>SUMPRODUCT('利润（汇总）'!$C$3:$AAK$67,('利润（汇总）'!$B$3:$B$67=$B19)*('利润（汇总）'!$C$1:$AAK$1=$D$1)*('利润（汇总）'!$C$2:$AAK$2&lt;=$D$2))</f>
        <v>0</v>
      </c>
      <c r="S19" s="1163">
        <f t="shared" si="8"/>
        <v>-58.54373499999997</v>
      </c>
      <c r="AB19" s="1967" t="s">
        <v>1347</v>
      </c>
      <c r="AC19" s="1747">
        <v>2990</v>
      </c>
      <c r="AD19" s="1748">
        <v>3194</v>
      </c>
      <c r="AE19" s="1749">
        <v>3446</v>
      </c>
      <c r="AF19" s="1750">
        <v>3592</v>
      </c>
      <c r="AG19" s="1970" t="s">
        <v>1605</v>
      </c>
      <c r="AH19" s="1970" t="s">
        <v>1606</v>
      </c>
      <c r="AI19" s="1969" t="s">
        <v>1607</v>
      </c>
      <c r="AJ19" s="1751">
        <v>12506</v>
      </c>
    </row>
    <row r="20" spans="1:36" ht="15.75" thickBot="1">
      <c r="A20" s="410" t="s">
        <v>1152</v>
      </c>
      <c r="B20" s="410" t="s">
        <v>115</v>
      </c>
      <c r="C20" s="1127" t="s">
        <v>115</v>
      </c>
      <c r="D20" s="1123">
        <f>SUMPRODUCT('利润（汇总）'!$C$3:$AAK$67,('利润（汇总）'!$B$3:$B$67=$B20)*('利润（汇总）'!$C$1:$AAK$1=$D$1-1)*('利润（汇总）'!$C$2:$AAK$2&lt;=12))</f>
        <v>29832.863718000001</v>
      </c>
      <c r="E20" s="1123">
        <v>32205</v>
      </c>
      <c r="F20" s="1123">
        <f>SUMPRODUCT('利润（汇总）'!$C$3:$AAK$67,('利润（汇总）'!$B$3:$B$67=$B20)*('利润（汇总）'!$C$1:$AAK$1=$F$1)*('利润（汇总）'!$C$2:$AAK$2=$F$2))</f>
        <v>2755.5444600000001</v>
      </c>
      <c r="G20" s="1961">
        <v>3425.1960260000001</v>
      </c>
      <c r="H20" s="1124">
        <f t="shared" si="2"/>
        <v>669.651566</v>
      </c>
      <c r="I20" s="1124">
        <f t="shared" si="3"/>
        <v>741.44602600000007</v>
      </c>
      <c r="J20" s="1123">
        <f t="shared" si="9"/>
        <v>23773.789296000003</v>
      </c>
      <c r="K20" s="1143">
        <f>J20-E20/12*$D$2</f>
        <v>2303.7892960000027</v>
      </c>
      <c r="L20" s="1978"/>
      <c r="M20" s="1679">
        <f>SUMIFS('利润（汇总）'!$BA$3:$BA$36,'利润（汇总）'!$A$3:$A$36,'#子分公司分析'!A20)-G20</f>
        <v>-3425.1960260000001</v>
      </c>
      <c r="N20" s="1134">
        <f>SUMPRODUCT('利润（汇总）'!$C$3:$AAK$67,('利润（汇总）'!$B$3:$B$67=$B20)*('利润（汇总）'!$C$1:$AAK$1=$D$1)*('利润（汇总）'!$C$2:$AAK$2&lt;=$D$2-1))</f>
        <v>20348.593270000001</v>
      </c>
      <c r="P20" s="1147">
        <f>SUMPRODUCT('利润（汇总）'!$C$3:$AAK$67,('利润（汇总）'!$B$3:$B$67=$B20)*('利润（汇总）'!$C$1:$AAK$1=$D$1)*('利润（汇总）'!$C$2:$AAK$2=$D$2))</f>
        <v>3425.2</v>
      </c>
      <c r="Q20" s="1148">
        <f t="shared" si="5"/>
        <v>3.9739999997436826E-3</v>
      </c>
      <c r="R20" s="1146">
        <f>SUMPRODUCT('利润（汇总）'!$C$3:$AAK$67,('利润（汇总）'!$B$3:$B$67=$B20)*('利润（汇总）'!$C$1:$AAK$1=$D$1)*('利润（汇总）'!$C$2:$AAK$2&lt;=$D$2))</f>
        <v>23773.793270000002</v>
      </c>
      <c r="S20" s="1162">
        <f t="shared" si="8"/>
        <v>3.9739999992889352E-3</v>
      </c>
      <c r="AB20" s="1967" t="s">
        <v>488</v>
      </c>
      <c r="AC20" s="1747">
        <v>1535</v>
      </c>
      <c r="AD20" s="1748">
        <v>1682</v>
      </c>
      <c r="AE20" s="1749">
        <v>1541</v>
      </c>
      <c r="AF20" s="1750">
        <v>1591</v>
      </c>
      <c r="AG20" s="1970" t="s">
        <v>1608</v>
      </c>
      <c r="AH20" s="1968" t="s">
        <v>1609</v>
      </c>
      <c r="AI20" s="1969" t="s">
        <v>1610</v>
      </c>
      <c r="AJ20" s="1751">
        <v>5874</v>
      </c>
    </row>
    <row r="21" spans="1:36" s="422" customFormat="1" ht="15.75" thickBot="1">
      <c r="C21" s="1118" t="s">
        <v>490</v>
      </c>
      <c r="D21" s="1119">
        <f t="shared" ref="D21:K21" si="10">SUBTOTAL(109,D22:D27)</f>
        <v>1401.76413</v>
      </c>
      <c r="E21" s="1119">
        <f t="shared" si="10"/>
        <v>3450.9806457085651</v>
      </c>
      <c r="F21" s="1125">
        <f t="shared" si="10"/>
        <v>-197.35626300000001</v>
      </c>
      <c r="G21" s="1125">
        <f t="shared" si="10"/>
        <v>83.310779999999895</v>
      </c>
      <c r="H21" s="1126">
        <f t="shared" si="10"/>
        <v>280.66704299999992</v>
      </c>
      <c r="I21" s="1126">
        <f t="shared" si="10"/>
        <v>-204.27094047571387</v>
      </c>
      <c r="J21" s="1125">
        <f t="shared" si="10"/>
        <v>1491.175268</v>
      </c>
      <c r="K21" s="1144">
        <f t="shared" si="10"/>
        <v>-809.47849580571028</v>
      </c>
      <c r="L21" s="1979"/>
      <c r="M21" s="410"/>
      <c r="N21" s="1145"/>
      <c r="P21" s="1147"/>
      <c r="Q21" s="1148"/>
      <c r="R21" s="1146"/>
      <c r="S21" s="1162"/>
      <c r="AB21" s="1967" t="s">
        <v>489</v>
      </c>
      <c r="AC21" s="1747">
        <v>1284</v>
      </c>
      <c r="AD21" s="1748">
        <v>1418</v>
      </c>
      <c r="AE21" s="1749">
        <v>1331</v>
      </c>
      <c r="AF21" s="1750">
        <v>1397</v>
      </c>
      <c r="AG21" s="1970" t="s">
        <v>1611</v>
      </c>
      <c r="AH21" s="1968" t="s">
        <v>1612</v>
      </c>
      <c r="AI21" s="1969" t="s">
        <v>1613</v>
      </c>
      <c r="AJ21" s="1751">
        <v>4822</v>
      </c>
    </row>
    <row r="22" spans="1:36" ht="43.5" customHeight="1" thickBot="1">
      <c r="A22" s="410" t="s">
        <v>1168</v>
      </c>
      <c r="B22" s="410" t="s">
        <v>132</v>
      </c>
      <c r="C22" s="1127" t="s">
        <v>132</v>
      </c>
      <c r="D22" s="1123">
        <f>SUMPRODUCT('利润（汇总）'!$C$3:$AAK$67,('利润（汇总）'!$B$3:$B$67=$B22)*('利润（汇总）'!$C$1:$AAK$1=$D$1-1)*('利润（汇总）'!$C$2:$AAK$2&lt;=12))</f>
        <v>2056.0747939999997</v>
      </c>
      <c r="E22" s="1123">
        <v>3350</v>
      </c>
      <c r="F22" s="1123">
        <f>SUMPRODUCT('利润（汇总）'!$C$3:$AAK$67,('利润（汇总）'!$B$3:$B$67=$B22)*('利润（汇总）'!$C$1:$AAK$1=$F$1)*('利润（汇总）'!$C$2:$AAK$2=$F$2))</f>
        <v>-191.368336</v>
      </c>
      <c r="G22" s="1961">
        <v>61.281368999999899</v>
      </c>
      <c r="H22" s="1124">
        <f>G22-F22</f>
        <v>252.6497049999999</v>
      </c>
      <c r="I22" s="1124">
        <f t="shared" si="3"/>
        <v>-217.88529766666679</v>
      </c>
      <c r="J22" s="1123">
        <f t="shared" ref="J22:J27" si="11">G22+N22</f>
        <v>1066.0986289999998</v>
      </c>
      <c r="K22" s="1143">
        <f t="shared" si="4"/>
        <v>-1167.2347043333336</v>
      </c>
      <c r="L22" s="2516"/>
      <c r="M22" s="1679">
        <f>SUMIFS('利润（汇总）'!$BA$3:$BA$36,'利润（汇总）'!$A$3:$A$36,'#子分公司分析'!A22)-G22</f>
        <v>-61.281368999999899</v>
      </c>
      <c r="N22" s="1134">
        <f>SUMPRODUCT('利润（汇总）'!$C$3:$AAK$67,('利润（汇总）'!$B$3:$B$67=$B22)*('利润（汇总）'!$C$1:$AAK$1=$D$1)*('利润（汇总）'!$C$2:$AAK$2&lt;=$D$2-1))</f>
        <v>1004.81726</v>
      </c>
      <c r="P22" s="1147">
        <f>SUMPRODUCT('利润（汇总）'!$C$3:$AAK$67,('利润（汇总）'!$B$3:$B$67=$B22)*('利润（汇总）'!$C$1:$AAK$1=$D$1)*('利润（汇总）'!$C$2:$AAK$2=$D$2))</f>
        <v>61.28</v>
      </c>
      <c r="Q22" s="1148">
        <f t="shared" si="5"/>
        <v>-1.368999999897369E-3</v>
      </c>
      <c r="R22" s="1146">
        <f>SUMPRODUCT('利润（汇总）'!$C$3:$AAK$67,('利润（汇总）'!$B$3:$B$67=$B22)*('利润（汇总）'!$C$1:$AAK$1=$D$1)*('利润（汇总）'!$C$2:$AAK$2&lt;=$D$2))</f>
        <v>1066.09726</v>
      </c>
      <c r="S22" s="1162">
        <f t="shared" ref="S22:S27" si="12">R22-J22</f>
        <v>-1.3689999998405256E-3</v>
      </c>
      <c r="AB22" s="1967" t="s">
        <v>491</v>
      </c>
      <c r="AC22" s="1747">
        <v>41</v>
      </c>
      <c r="AD22" s="1748">
        <v>400</v>
      </c>
      <c r="AE22" s="1749">
        <v>133</v>
      </c>
      <c r="AF22" s="1750">
        <v>745</v>
      </c>
      <c r="AG22" s="1968" t="s">
        <v>1614</v>
      </c>
      <c r="AH22" s="1968" t="s">
        <v>1615</v>
      </c>
      <c r="AI22" s="1969" t="s">
        <v>1616</v>
      </c>
      <c r="AJ22" s="1751">
        <v>1594</v>
      </c>
    </row>
    <row r="23" spans="1:36" ht="26.25" thickBot="1">
      <c r="A23" s="410" t="s">
        <v>1167</v>
      </c>
      <c r="B23" s="410" t="s">
        <v>134</v>
      </c>
      <c r="C23" s="1127" t="s">
        <v>134</v>
      </c>
      <c r="D23" s="1123">
        <f>SUMPRODUCT('利润（汇总）'!$C$3:$AAK$67,('利润（汇总）'!$B$3:$B$67=$B23)*('利润（汇总）'!$C$1:$AAK$1=$D$1-1)*('利润（汇总）'!$C$2:$AAK$2&lt;=12))</f>
        <v>248.41160199999999</v>
      </c>
      <c r="E23" s="1123">
        <v>289.98064570856502</v>
      </c>
      <c r="F23" s="1123">
        <f>SUMPRODUCT('利润（汇总）'!$C$3:$AAK$67,('利润（汇总）'!$B$3:$B$67=$B23)*('利润（汇总）'!$C$1:$AAK$1=$F$1)*('利润（汇总）'!$C$2:$AAK$2=$F$2))</f>
        <v>1.73327899999999</v>
      </c>
      <c r="G23" s="1961">
        <v>26.700455000000002</v>
      </c>
      <c r="H23" s="1124">
        <f>G23-F23</f>
        <v>24.967176000000013</v>
      </c>
      <c r="I23" s="1124">
        <f t="shared" si="3"/>
        <v>2.5354011909529177</v>
      </c>
      <c r="J23" s="1123">
        <f t="shared" si="11"/>
        <v>207.92467399999998</v>
      </c>
      <c r="K23" s="1143">
        <f t="shared" si="4"/>
        <v>14.604243527623311</v>
      </c>
      <c r="L23" s="1977"/>
      <c r="M23" s="1679">
        <f>SUMIFS('利润（汇总）'!$BA$3:$BA$36,'利润（汇总）'!$A$3:$A$36,'#子分公司分析'!A23)-G23</f>
        <v>-26.700455000000002</v>
      </c>
      <c r="N23" s="1134">
        <f>SUMPRODUCT('利润（汇总）'!$C$3:$AAK$67,('利润（汇总）'!$B$3:$B$67=$B23)*('利润（汇总）'!$C$1:$AAK$1=$D$1)*('利润（汇总）'!$C$2:$AAK$2&lt;=$D$2-1))</f>
        <v>181.22421899999998</v>
      </c>
      <c r="P23" s="1147">
        <f>SUMPRODUCT('利润（汇总）'!$C$3:$AAK$67,('利润（汇总）'!$B$3:$B$67=$B23)*('利润（汇总）'!$C$1:$AAK$1=$D$1)*('利润（汇总）'!$C$2:$AAK$2=$D$2))</f>
        <v>27</v>
      </c>
      <c r="Q23" s="1148">
        <f t="shared" si="5"/>
        <v>0.2995449999999984</v>
      </c>
      <c r="R23" s="1146">
        <f>SUMPRODUCT('利润（汇总）'!$C$3:$AAK$67,('利润（汇总）'!$B$3:$B$67=$B23)*('利润（汇总）'!$C$1:$AAK$1=$D$1)*('利润（汇总）'!$C$2:$AAK$2&lt;=$D$2))</f>
        <v>208.22421899999998</v>
      </c>
      <c r="S23" s="1162">
        <f t="shared" si="12"/>
        <v>0.29954499999999484</v>
      </c>
      <c r="AB23" s="1971" t="s">
        <v>492</v>
      </c>
      <c r="AC23" s="1747">
        <v>214</v>
      </c>
      <c r="AD23" s="1748">
        <v>100</v>
      </c>
      <c r="AE23" s="1749">
        <v>52</v>
      </c>
      <c r="AF23" s="1750">
        <v>59</v>
      </c>
      <c r="AG23" s="1970" t="s">
        <v>1617</v>
      </c>
      <c r="AH23" s="1968" t="s">
        <v>1618</v>
      </c>
      <c r="AI23" s="1968" t="s">
        <v>1619</v>
      </c>
      <c r="AJ23" s="1752">
        <v>196</v>
      </c>
    </row>
    <row r="24" spans="1:36" ht="15.75" thickBot="1">
      <c r="A24" s="410" t="s">
        <v>1153</v>
      </c>
      <c r="B24" s="410" t="s">
        <v>119</v>
      </c>
      <c r="C24" s="1127" t="s">
        <v>119</v>
      </c>
      <c r="D24" s="1123">
        <f>SUMPRODUCT('利润（汇总）'!$C$3:$AAK$67,('利润（汇总）'!$B$3:$B$67=$B24)*('利润（汇总）'!$C$1:$AAK$1=$D$1-1)*('利润（汇总）'!$C$2:$AAK$2&lt;=12))</f>
        <v>-768.33268699999985</v>
      </c>
      <c r="E24" s="1123">
        <v>80</v>
      </c>
      <c r="F24" s="1123">
        <f>SUMPRODUCT('利润（汇总）'!$C$3:$AAK$67,('利润（汇总）'!$B$3:$B$67=$B24)*('利润（汇总）'!$C$1:$AAK$1=$F$1)*('利润（汇总）'!$C$2:$AAK$2=$F$2))</f>
        <v>14</v>
      </c>
      <c r="G24" s="1975">
        <v>13</v>
      </c>
      <c r="H24" s="1124">
        <f t="shared" si="2"/>
        <v>-1</v>
      </c>
      <c r="I24" s="1124">
        <f t="shared" si="3"/>
        <v>6.333333333333333</v>
      </c>
      <c r="J24" s="1123">
        <f t="shared" si="11"/>
        <v>287.664264</v>
      </c>
      <c r="K24" s="1143">
        <f t="shared" si="4"/>
        <v>234.33093066666666</v>
      </c>
      <c r="L24" s="1978"/>
      <c r="M24" s="1679">
        <f>SUMIFS('利润（汇总）'!$BA$3:$BA$36,'利润（汇总）'!$A$3:$A$36,'#子分公司分析'!A24)-G24</f>
        <v>-13</v>
      </c>
      <c r="N24" s="1134">
        <f>SUMPRODUCT('利润（汇总）'!$C$3:$AAK$67,('利润（汇总）'!$B$3:$B$67=$B24)*('利润（汇总）'!$C$1:$AAK$1=$D$1)*('利润（汇总）'!$C$2:$AAK$2&lt;=$D$2-1))</f>
        <v>274.664264</v>
      </c>
      <c r="P24" s="1147">
        <f>SUMPRODUCT('利润（汇总）'!$C$3:$AAK$67,('利润（汇总）'!$B$3:$B$67=$B24)*('利润（汇总）'!$C$1:$AAK$1=$D$1)*('利润（汇总）'!$C$2:$AAK$2=$D$2))</f>
        <v>13</v>
      </c>
      <c r="Q24" s="1148">
        <f t="shared" si="5"/>
        <v>0</v>
      </c>
      <c r="R24" s="1146">
        <f>SUMPRODUCT('利润（汇总）'!$C$3:$AAK$67,('利润（汇总）'!$B$3:$B$67=$B24)*('利润（汇总）'!$C$1:$AAK$1=$D$1)*('利润（汇总）'!$C$2:$AAK$2&lt;=$D$2))</f>
        <v>287.664264</v>
      </c>
      <c r="S24" s="1162">
        <f t="shared" si="12"/>
        <v>0</v>
      </c>
      <c r="AB24" s="1967" t="s">
        <v>493</v>
      </c>
      <c r="AC24" s="1747">
        <v>98</v>
      </c>
      <c r="AD24" s="1748">
        <v>85</v>
      </c>
      <c r="AE24" s="1749">
        <v>83</v>
      </c>
      <c r="AF24" s="1750">
        <v>42</v>
      </c>
      <c r="AG24" s="1970" t="s">
        <v>1618</v>
      </c>
      <c r="AH24" s="1968" t="s">
        <v>1620</v>
      </c>
      <c r="AI24" s="1968" t="s">
        <v>1621</v>
      </c>
      <c r="AJ24" s="1752">
        <v>243</v>
      </c>
    </row>
    <row r="25" spans="1:36" ht="15.75" thickBot="1">
      <c r="A25" s="410" t="s">
        <v>1154</v>
      </c>
      <c r="B25" s="410" t="s">
        <v>133</v>
      </c>
      <c r="C25" s="1127" t="s">
        <v>133</v>
      </c>
      <c r="D25" s="1123">
        <f>SUMPRODUCT('利润（汇总）'!$C$3:$AAK$67,('利润（汇总）'!$B$3:$B$67=$B25)*('利润（汇总）'!$C$1:$AAK$1=$D$1-1)*('利润（汇总）'!$C$2:$AAK$2&lt;=12))</f>
        <v>55.144046000000003</v>
      </c>
      <c r="E25" s="1123">
        <v>-110</v>
      </c>
      <c r="F25" s="1123">
        <f>SUMPRODUCT('利润（汇总）'!$C$3:$AAK$67,('利润（汇总）'!$B$3:$B$67=$B25)*('利润（汇总）'!$C$1:$AAK$1=$F$1)*('利润（汇总）'!$C$2:$AAK$2=$F$2))</f>
        <v>-9</v>
      </c>
      <c r="G25" s="1975">
        <v>-9</v>
      </c>
      <c r="H25" s="1124">
        <f t="shared" si="2"/>
        <v>0</v>
      </c>
      <c r="I25" s="1124">
        <f t="shared" si="3"/>
        <v>0.16666666666666607</v>
      </c>
      <c r="J25" s="1123">
        <f t="shared" si="11"/>
        <v>21.695625999999997</v>
      </c>
      <c r="K25" s="1143">
        <f t="shared" si="4"/>
        <v>95.028959333333319</v>
      </c>
      <c r="L25" s="1976"/>
      <c r="M25" s="1679">
        <f>SUMIFS('利润（汇总）'!$BA$3:$BA$36,'利润（汇总）'!$A$3:$A$36,'#子分公司分析'!A25)-G25</f>
        <v>9</v>
      </c>
      <c r="N25" s="1134">
        <f>SUMPRODUCT('利润（汇总）'!$C$3:$AAK$67,('利润（汇总）'!$B$3:$B$67=$B25)*('利润（汇总）'!$C$1:$AAK$1=$D$1)*('利润（汇总）'!$C$2:$AAK$2&lt;=$D$2-1))</f>
        <v>30.695625999999997</v>
      </c>
      <c r="P25" s="1147">
        <f>SUMPRODUCT('利润（汇总）'!$C$3:$AAK$67,('利润（汇总）'!$B$3:$B$67=$B25)*('利润（汇总）'!$C$1:$AAK$1=$D$1)*('利润（汇总）'!$C$2:$AAK$2=$D$2))</f>
        <v>-7</v>
      </c>
      <c r="Q25" s="1148">
        <f t="shared" si="5"/>
        <v>2</v>
      </c>
      <c r="R25" s="1146">
        <f>SUMPRODUCT('利润（汇总）'!$C$3:$AAK$67,('利润（汇总）'!$B$3:$B$67=$B25)*('利润（汇总）'!$C$1:$AAK$1=$D$1)*('利润（汇总）'!$C$2:$AAK$2&lt;=$D$2))</f>
        <v>23.695625999999997</v>
      </c>
      <c r="S25" s="1162">
        <f t="shared" si="12"/>
        <v>2</v>
      </c>
      <c r="AB25" s="1967" t="s">
        <v>185</v>
      </c>
      <c r="AC25" s="1747">
        <v>66</v>
      </c>
      <c r="AD25" s="1748">
        <v>111</v>
      </c>
      <c r="AE25" s="1753">
        <v>102</v>
      </c>
      <c r="AF25" s="1754">
        <v>74</v>
      </c>
      <c r="AG25" s="1970" t="s">
        <v>1622</v>
      </c>
      <c r="AH25" s="1968" t="s">
        <v>1623</v>
      </c>
      <c r="AI25" s="1968" t="s">
        <v>1624</v>
      </c>
      <c r="AJ25" s="1752">
        <v>352</v>
      </c>
    </row>
    <row r="26" spans="1:36" ht="15.75" thickBot="1">
      <c r="A26" s="410" t="s">
        <v>1155</v>
      </c>
      <c r="B26" s="410" t="s">
        <v>136</v>
      </c>
      <c r="C26" s="1129" t="s">
        <v>136</v>
      </c>
      <c r="D26" s="1123">
        <f>SUMPRODUCT('利润（汇总）'!$C$3:$AAK$67,('利润（汇总）'!$B$3:$B$67=$B26)*('利润（汇总）'!$C$1:$AAK$1=$D$1-1)*('利润（汇总）'!$C$2:$AAK$2&lt;=12))</f>
        <v>-53.622225999999998</v>
      </c>
      <c r="E26" s="1123">
        <v>-17</v>
      </c>
      <c r="F26" s="1123">
        <f>SUMPRODUCT('利润（汇总）'!$C$3:$AAK$67,('利润（汇总）'!$B$3:$B$67=$B26)*('利润（汇总）'!$C$1:$AAK$1=$F$1)*('利润（汇总）'!$C$2:$AAK$2=$F$2))</f>
        <v>-1.22</v>
      </c>
      <c r="G26" s="1961">
        <v>-1.3644670000000001</v>
      </c>
      <c r="H26" s="1124">
        <f t="shared" si="2"/>
        <v>-0.14446700000000012</v>
      </c>
      <c r="I26" s="1124">
        <f t="shared" si="3"/>
        <v>5.2199666666666644E-2</v>
      </c>
      <c r="J26" s="1123">
        <f t="shared" si="11"/>
        <v>-10.917778</v>
      </c>
      <c r="K26" s="1143">
        <f t="shared" si="4"/>
        <v>0.41555533333333372</v>
      </c>
      <c r="L26" s="1978"/>
      <c r="M26" s="1679">
        <f>SUMIFS('利润（汇总）'!$BA$3:$BA$36,'利润（汇总）'!$A$3:$A$36,'#子分公司分析'!A26)-G26</f>
        <v>1.3644670000000001</v>
      </c>
      <c r="N26" s="1134">
        <f>SUMPRODUCT('利润（汇总）'!$C$3:$AAK$67,('利润（汇总）'!$B$3:$B$67=$B26)*('利润（汇总）'!$C$1:$AAK$1=$D$1)*('利润（汇总）'!$C$2:$AAK$2&lt;=$D$2-1))</f>
        <v>-9.5533110000000008</v>
      </c>
      <c r="P26" s="1147">
        <f>SUMPRODUCT('利润（汇总）'!$C$3:$AAK$67,('利润（汇总）'!$B$3:$B$67=$B26)*('利润（汇总）'!$C$1:$AAK$1=$D$1)*('利润（汇总）'!$C$2:$AAK$2=$D$2))</f>
        <v>-1.3644670000000001</v>
      </c>
      <c r="Q26" s="1148">
        <f t="shared" si="5"/>
        <v>0</v>
      </c>
      <c r="R26" s="1146">
        <f>SUMPRODUCT('利润（汇总）'!$C$3:$AAK$67,('利润（汇总）'!$B$3:$B$67=$B26)*('利润（汇总）'!$C$1:$AAK$1=$D$1)*('利润（汇总）'!$C$2:$AAK$2&lt;=$D$2))</f>
        <v>-10.917778</v>
      </c>
      <c r="S26" s="1162">
        <f t="shared" si="12"/>
        <v>0</v>
      </c>
      <c r="AB26" s="1967" t="s">
        <v>494</v>
      </c>
      <c r="AC26" s="1747">
        <v>0</v>
      </c>
      <c r="AD26" s="1748">
        <v>4</v>
      </c>
      <c r="AE26" s="1755">
        <v>45</v>
      </c>
      <c r="AF26" s="1756">
        <v>0</v>
      </c>
      <c r="AG26" s="1970" t="s">
        <v>1625</v>
      </c>
      <c r="AH26" s="1970" t="s">
        <v>1626</v>
      </c>
      <c r="AI26" s="1968" t="s">
        <v>1627</v>
      </c>
      <c r="AJ26" s="1752">
        <v>45</v>
      </c>
    </row>
    <row r="27" spans="1:36" ht="15.75" thickBot="1">
      <c r="A27" s="410" t="s">
        <v>1156</v>
      </c>
      <c r="B27" s="410" t="s">
        <v>135</v>
      </c>
      <c r="C27" s="1129" t="s">
        <v>135</v>
      </c>
      <c r="D27" s="1123">
        <f>SUMPRODUCT('利润（汇总）'!$C$3:$AAK$67,('利润（汇总）'!$B$3:$B$67=$B27)*('利润（汇总）'!$C$1:$AAK$1=$D$1-1)*('利润（汇总）'!$C$2:$AAK$2&lt;=12))</f>
        <v>-135.91139900000002</v>
      </c>
      <c r="E27" s="1123">
        <v>-142</v>
      </c>
      <c r="F27" s="1123">
        <f>SUMPRODUCT('利润（汇总）'!$C$3:$AAK$67,('利润（汇总）'!$B$3:$B$67=$B27)*('利润（汇总）'!$C$1:$AAK$1=$F$1)*('利润（汇总）'!$C$2:$AAK$2=$F$2))</f>
        <v>-11.501206</v>
      </c>
      <c r="G27" s="1961">
        <v>-7.3065769999999999</v>
      </c>
      <c r="H27" s="1124">
        <f>G27-F27</f>
        <v>4.1946289999999999</v>
      </c>
      <c r="I27" s="1124">
        <f>G27-E27/12</f>
        <v>4.526756333333334</v>
      </c>
      <c r="J27" s="1123">
        <f t="shared" si="11"/>
        <v>-81.290147000000005</v>
      </c>
      <c r="K27" s="1143">
        <f t="shared" si="4"/>
        <v>13.376519666666667</v>
      </c>
      <c r="L27" s="1976"/>
      <c r="M27" s="1679">
        <f>SUMIFS('利润（汇总）'!$BA$3:$BA$36,'利润（汇总）'!$A$3:$A$36,'#子分公司分析'!A27)-G27</f>
        <v>7.3065769999999999</v>
      </c>
      <c r="N27" s="1134">
        <f>SUMPRODUCT('利润（汇总）'!$C$3:$AAK$67,('利润（汇总）'!$B$3:$B$67=$B27)*('利润（汇总）'!$C$1:$AAK$1=$D$1)*('利润（汇总）'!$C$2:$AAK$2&lt;=$D$2-1))</f>
        <v>-73.98357</v>
      </c>
      <c r="P27" s="1147">
        <f>SUMPRODUCT('利润（汇总）'!$C$3:$AAK$67,('利润（汇总）'!$B$3:$B$67=$B27)*('利润（汇总）'!$C$1:$AAK$1=$D$1)*('利润（汇总）'!$C$2:$AAK$2=$D$2))</f>
        <v>-7.3065769999999999</v>
      </c>
      <c r="Q27" s="1148">
        <f t="shared" si="5"/>
        <v>0</v>
      </c>
      <c r="R27" s="1146">
        <f>SUMPRODUCT('利润（汇总）'!$C$3:$AAK$67,('利润（汇总）'!$B$3:$B$67=$B27)*('利润（汇总）'!$C$1:$AAK$1=$D$1)*('利润（汇总）'!$C$2:$AAK$2&lt;=$D$2))</f>
        <v>-81.290147000000005</v>
      </c>
      <c r="S27" s="1162">
        <f t="shared" si="12"/>
        <v>0</v>
      </c>
      <c r="AB27" s="1967" t="s">
        <v>1471</v>
      </c>
      <c r="AC27" s="1748">
        <v>238</v>
      </c>
      <c r="AD27" s="1748">
        <v>90</v>
      </c>
      <c r="AE27" s="1748">
        <v>262</v>
      </c>
      <c r="AF27" s="2303">
        <v>212</v>
      </c>
      <c r="AG27" s="1970" t="s">
        <v>1628</v>
      </c>
      <c r="AH27" s="1970" t="s">
        <v>1629</v>
      </c>
      <c r="AI27" s="1969" t="s">
        <v>1630</v>
      </c>
      <c r="AJ27" s="1752">
        <v>610</v>
      </c>
    </row>
    <row r="28" spans="1:36" s="422" customFormat="1" ht="14.25">
      <c r="C28" s="1118" t="s">
        <v>495</v>
      </c>
      <c r="D28" s="1119">
        <f t="shared" ref="D28:K28" si="13">SUBTOTAL(109,D29:D32)</f>
        <v>-4996.5524100000002</v>
      </c>
      <c r="E28" s="1119">
        <f t="shared" si="13"/>
        <v>5083</v>
      </c>
      <c r="F28" s="1125">
        <f t="shared" si="13"/>
        <v>196.58931699999999</v>
      </c>
      <c r="G28" s="1125">
        <f t="shared" si="13"/>
        <v>184.42</v>
      </c>
      <c r="H28" s="1126">
        <f t="shared" si="13"/>
        <v>-12.169317000000021</v>
      </c>
      <c r="I28" s="1126">
        <f t="shared" si="13"/>
        <v>-239.16333333333336</v>
      </c>
      <c r="J28" s="1125">
        <f t="shared" si="13"/>
        <v>2862.1376139999998</v>
      </c>
      <c r="K28" s="1144">
        <f t="shared" si="13"/>
        <v>-526.52905266666698</v>
      </c>
      <c r="L28" s="1979"/>
      <c r="M28" s="410">
        <f>SUMIFS('利润（汇总）'!$BA$3:$BA$36,'利润（汇总）'!$A$3:$A$36,'#子分公司分析'!A28)</f>
        <v>0</v>
      </c>
      <c r="N28" s="1145"/>
      <c r="P28" s="1147"/>
      <c r="Q28" s="1148"/>
      <c r="R28" s="1146"/>
      <c r="S28" s="1162"/>
      <c r="AE28" s="422">
        <f>AE19+AE20+AE21+AE22</f>
        <v>6451</v>
      </c>
      <c r="AF28" s="422">
        <f>AF19+AF20+AF21+AF22</f>
        <v>7325</v>
      </c>
      <c r="AG28" s="2131">
        <f>-AE28+AF28</f>
        <v>874</v>
      </c>
    </row>
    <row r="29" spans="1:36" ht="86.25" customHeight="1">
      <c r="A29" s="410" t="s">
        <v>1157</v>
      </c>
      <c r="B29" s="410" t="s">
        <v>129</v>
      </c>
      <c r="C29" s="1127" t="s">
        <v>129</v>
      </c>
      <c r="D29" s="1123">
        <f>SUMPRODUCT('利润（汇总）'!$C$3:$AAK$67,('利润（汇总）'!$B$3:$B$67=$B29)*('利润（汇总）'!$C$1:$AAK$1=$D$1-1)*('利润（汇总）'!$C$2:$AAK$2&lt;=12))</f>
        <v>1824.4590269999994</v>
      </c>
      <c r="E29" s="1123">
        <v>2065</v>
      </c>
      <c r="F29" s="1123">
        <f>SUMPRODUCT('利润（汇总）'!$C$3:$AAK$67,('利润（汇总）'!$B$3:$B$67=$B29)*('利润（汇总）'!$C$1:$AAK$1=$F$1)*('利润（汇总）'!$C$2:$AAK$2=$F$2))</f>
        <v>130.30000000000001</v>
      </c>
      <c r="G29" s="1975">
        <v>48.7</v>
      </c>
      <c r="H29" s="1124">
        <f>G29-F29</f>
        <v>-81.600000000000009</v>
      </c>
      <c r="I29" s="1124">
        <f t="shared" si="3"/>
        <v>-123.38333333333334</v>
      </c>
      <c r="J29" s="1123">
        <f>G29+N29</f>
        <v>1391.215281</v>
      </c>
      <c r="K29" s="1143">
        <f t="shared" si="4"/>
        <v>14.548614333333262</v>
      </c>
      <c r="L29" s="1982"/>
      <c r="M29" s="1679">
        <f>SUMIFS('利润（汇总）'!$BA$3:$BA$36,'利润（汇总）'!$A$3:$A$36,'#子分公司分析'!A29)-G29</f>
        <v>-48.7</v>
      </c>
      <c r="N29" s="1134">
        <f>SUMPRODUCT('利润（汇总）'!$C$3:$AAK$67,('利润（汇总）'!$B$3:$B$67=$B29)*('利润（汇总）'!$C$1:$AAK$1=$D$1)*('利润（汇总）'!$C$2:$AAK$2&lt;=$D$2-1))</f>
        <v>1342.515281</v>
      </c>
      <c r="P29" s="1147">
        <f>SUMPRODUCT('利润（汇总）'!$C$3:$AAK$67,('利润（汇总）'!$B$3:$B$67=$B29)*('利润（汇总）'!$C$1:$AAK$1=$D$1)*('利润（汇总）'!$C$2:$AAK$2=$D$2))</f>
        <v>48.7</v>
      </c>
      <c r="Q29" s="1148">
        <f t="shared" si="5"/>
        <v>0</v>
      </c>
      <c r="R29" s="1146">
        <f>SUMPRODUCT('利润（汇总）'!$C$3:$AAK$67,('利润（汇总）'!$B$3:$B$67=$B29)*('利润（汇总）'!$C$1:$AAK$1=$D$1)*('利润（汇总）'!$C$2:$AAK$2&lt;=$D$2))</f>
        <v>1391.215281</v>
      </c>
      <c r="S29" s="1162">
        <f>R29-J29</f>
        <v>0</v>
      </c>
      <c r="AG29" s="410">
        <f>-AE29+AF29</f>
        <v>0</v>
      </c>
    </row>
    <row r="30" spans="1:36" ht="57.75" customHeight="1" thickBot="1">
      <c r="A30" s="410" t="s">
        <v>1158</v>
      </c>
      <c r="B30" s="410" t="s">
        <v>130</v>
      </c>
      <c r="C30" s="1127" t="s">
        <v>130</v>
      </c>
      <c r="D30" s="1123">
        <f>SUMPRODUCT('利润（汇总）'!$C$3:$AAK$67,('利润（汇总）'!$B$3:$B$67=$B30)*('利润（汇总）'!$C$1:$AAK$1=$D$1-1)*('利润（汇总）'!$C$2:$AAK$2&lt;=12))-D19</f>
        <v>-2039.491119</v>
      </c>
      <c r="E30" s="1123">
        <v>1500</v>
      </c>
      <c r="F30" s="1123" cm="1">
        <f t="array" ref="F30">SUMPRODUCT('利润（汇总）'!$C$3:$AAK$67,('利润（汇总）'!$B$3:$B$67=$B30)*('利润（汇总）'!$C$1:$AAK$1=$F$1)*('利润（汇总）'!$C$2:$AAK$2=$F$2))-F19</f>
        <v>109.92631700000001</v>
      </c>
      <c r="G30" s="1975">
        <v>184</v>
      </c>
      <c r="H30" s="1124">
        <f t="shared" si="2"/>
        <v>74.073682999999988</v>
      </c>
      <c r="I30" s="1124">
        <f t="shared" si="3"/>
        <v>59</v>
      </c>
      <c r="J30" s="1123">
        <f>G30+N30</f>
        <v>1299.3988139999999</v>
      </c>
      <c r="K30" s="1143">
        <f t="shared" si="4"/>
        <v>299.3988139999999</v>
      </c>
      <c r="L30" s="1976"/>
      <c r="M30" s="1679">
        <f>SUMIFS('利润（汇总）'!$BA$3:$BA$36,'利润（汇总）'!$A$3:$A$36,'#子分公司分析'!A30)-G30</f>
        <v>-184</v>
      </c>
      <c r="N30" s="1134">
        <f>SUMPRODUCT('利润（汇总）'!$C$3:$AAK$67,('利润（汇总）'!$B$3:$B$67=$B30)*('利润（汇总）'!$C$1:$AAK$1=$D$1)*('利润（汇总）'!$C$2:$AAK$2&lt;=$D$2-1))-N19</f>
        <v>1115.3988139999999</v>
      </c>
      <c r="P30" s="1147">
        <f>SUMPRODUCT('利润（汇总）'!$C$3:$AAK$67,('利润（汇总）'!$B$3:$B$67=$B30)*('利润（汇总）'!$C$1:$AAK$1=$D$1)*('利润（汇总）'!$C$2:$AAK$2=$D$2))</f>
        <v>197</v>
      </c>
      <c r="Q30" s="1150">
        <f>P30-G30</f>
        <v>13</v>
      </c>
      <c r="R30" s="1146">
        <f>SUMPRODUCT('利润（汇总）'!$C$3:$AAK$67,('利润（汇总）'!$B$3:$B$67=$B30)*('利润（汇总）'!$C$1:$AAK$1=$D$1)*('利润（汇总）'!$C$2:$AAK$2&lt;=$D$2))</f>
        <v>1358.2425489999998</v>
      </c>
      <c r="S30" s="1163">
        <f>R30-J30</f>
        <v>58.843734999999924</v>
      </c>
      <c r="AE30" s="410">
        <f>AE35+AE36+AE37+AE38</f>
        <v>3205</v>
      </c>
      <c r="AF30" s="410">
        <f>AF35+AF36+AF37+AF38</f>
        <v>3617</v>
      </c>
      <c r="AG30" s="410">
        <f>-AE30+AF30</f>
        <v>412</v>
      </c>
      <c r="AH30" s="410">
        <f>AG28-AG30</f>
        <v>462</v>
      </c>
    </row>
    <row r="31" spans="1:36" ht="29.25" thickBot="1">
      <c r="A31" s="410" t="s">
        <v>1165</v>
      </c>
      <c r="B31" s="410" t="s">
        <v>123</v>
      </c>
      <c r="C31" s="1127" t="s">
        <v>123</v>
      </c>
      <c r="D31" s="1123">
        <f>SUMPRODUCT('利润（汇总）'!$C$3:$AAK$67,('利润（汇总）'!$B$3:$B$67=$B31)*('利润（汇总）'!$C$1:$AAK$1=$D$1-1)*('利润（汇总）'!$C$2:$AAK$2&lt;=12))</f>
        <v>-3139.1744390000003</v>
      </c>
      <c r="E31" s="1123">
        <v>400</v>
      </c>
      <c r="F31" s="1123">
        <f>SUMPRODUCT('利润（汇总）'!$C$3:$AAK$67,('利润（汇总）'!$B$3:$B$67=$B31)*('利润（汇总）'!$C$1:$AAK$1=$F$1)*('利润（汇总）'!$C$2:$AAK$2=$F$2))</f>
        <v>58</v>
      </c>
      <c r="G31" s="1975">
        <v>-61.28</v>
      </c>
      <c r="H31" s="1124">
        <f t="shared" si="2"/>
        <v>-119.28</v>
      </c>
      <c r="I31" s="1124">
        <f t="shared" si="3"/>
        <v>-94.613333333333344</v>
      </c>
      <c r="J31" s="1123">
        <f>G31+N31</f>
        <v>4.5201540000000193</v>
      </c>
      <c r="K31" s="1143">
        <f t="shared" si="4"/>
        <v>-262.14651266666669</v>
      </c>
      <c r="L31" s="1982"/>
      <c r="M31" s="1679">
        <f>SUMIFS('利润（汇总）'!$BA$3:$BA$36,'利润（汇总）'!$A$3:$A$36,'#子分公司分析'!A31)-G31</f>
        <v>61.28</v>
      </c>
      <c r="N31" s="1134">
        <f>SUMPRODUCT('利润（汇总）'!$C$3:$AAK$67,('利润（汇总）'!$B$3:$B$67=$B31)*('利润（汇总）'!$C$1:$AAK$1=$D$1)*('利润（汇总）'!$C$2:$AAK$2&lt;=$D$2-1))</f>
        <v>65.80015400000002</v>
      </c>
      <c r="P31" s="1147">
        <f>SUMPRODUCT('利润（汇总）'!$C$3:$AAK$67,('利润（汇总）'!$B$3:$B$67=$B31)*('利润（汇总）'!$C$1:$AAK$1=$D$1)*('利润（汇总）'!$C$2:$AAK$2=$D$2))</f>
        <v>-61.28</v>
      </c>
      <c r="Q31" s="1148">
        <f t="shared" si="5"/>
        <v>0</v>
      </c>
      <c r="R31" s="1146">
        <f>SUMPRODUCT('利润（汇总）'!$C$3:$AAK$67,('利润（汇总）'!$B$3:$B$67=$B31)*('利润（汇总）'!$C$1:$AAK$1=$D$1)*('利润（汇总）'!$C$2:$AAK$2&lt;=$D$2))</f>
        <v>4.5201540000000193</v>
      </c>
      <c r="S31" s="1162">
        <f>R31-J31</f>
        <v>0</v>
      </c>
      <c r="AB31" s="2124" t="s">
        <v>481</v>
      </c>
      <c r="AC31" s="2125" t="s">
        <v>496</v>
      </c>
      <c r="AD31" s="2126" t="s">
        <v>483</v>
      </c>
      <c r="AE31" s="2125" t="s">
        <v>484</v>
      </c>
      <c r="AF31" s="1966" t="s">
        <v>485</v>
      </c>
      <c r="AG31" s="2125" t="s">
        <v>7</v>
      </c>
      <c r="AH31" s="2125" t="s">
        <v>9</v>
      </c>
      <c r="AI31" s="2125" t="s">
        <v>8</v>
      </c>
      <c r="AJ31" s="2125" t="s">
        <v>5</v>
      </c>
    </row>
    <row r="32" spans="1:36" ht="38.25" customHeight="1" thickBot="1">
      <c r="A32" s="410" t="s">
        <v>1166</v>
      </c>
      <c r="B32" s="410" t="s">
        <v>131</v>
      </c>
      <c r="C32" s="1127" t="s">
        <v>497</v>
      </c>
      <c r="D32" s="1123">
        <f>SUMPRODUCT('利润（汇总）'!$C$3:$AAK$67,('利润（汇总）'!$B$3:$B$67=$B32)*('利润（汇总）'!$C$1:$AAK$1=$D$1-1)*('利润（汇总）'!$C$2:$AAK$2&lt;=12))</f>
        <v>-1642.345879</v>
      </c>
      <c r="E32" s="1123">
        <v>1118</v>
      </c>
      <c r="F32" s="1123">
        <f>SUMPRODUCT('利润（汇总）'!$C$3:$AAK$67,('利润（汇总）'!$B$3:$B$67=$B32)*('利润（汇总）'!$C$1:$AAK$1=$F$1)*('利润（汇总）'!$C$2:$AAK$2=$F$2))</f>
        <v>-101.637</v>
      </c>
      <c r="G32" s="1975">
        <v>13</v>
      </c>
      <c r="H32" s="1124">
        <f t="shared" si="2"/>
        <v>114.637</v>
      </c>
      <c r="I32" s="1124">
        <f t="shared" si="3"/>
        <v>-80.166666666666671</v>
      </c>
      <c r="J32" s="1123">
        <f>G32+N32</f>
        <v>167.00336499999997</v>
      </c>
      <c r="K32" s="1143">
        <f t="shared" si="4"/>
        <v>-578.32996833333345</v>
      </c>
      <c r="L32" s="1978" t="s">
        <v>1752</v>
      </c>
      <c r="M32" s="1679">
        <f>SUMIFS('利润（汇总）'!$BA$3:$BA$36,'利润（汇总）'!$A$3:$A$36,'#子分公司分析'!A32)-G32</f>
        <v>-13</v>
      </c>
      <c r="N32" s="1134">
        <f>SUMPRODUCT('利润（汇总）'!$C$3:$AAK$67,('利润（汇总）'!$B$3:$B$67=$B32)*('利润（汇总）'!$C$1:$AAK$1=$D$1)*('利润（汇总）'!$C$2:$AAK$2&lt;=$D$2-1))</f>
        <v>154.00336499999997</v>
      </c>
      <c r="P32" s="1147">
        <f>SUMPRODUCT('利润（汇总）'!$C$3:$AAK$67,('利润（汇总）'!$B$3:$B$67=$B32)*('利润（汇总）'!$C$1:$AAK$1=$D$1)*('利润（汇总）'!$C$2:$AAK$2=$D$2))</f>
        <v>13</v>
      </c>
      <c r="Q32" s="1148">
        <f t="shared" si="5"/>
        <v>0</v>
      </c>
      <c r="R32" s="1146">
        <f>SUMPRODUCT('利润（汇总）'!$C$3:$AAK$67,('利润（汇总）'!$B$3:$B$67=$B32)*('利润（汇总）'!$C$1:$AAK$1=$D$1)*('利润（汇总）'!$C$2:$AAK$2&lt;=$D$2))</f>
        <v>167.00336499999997</v>
      </c>
      <c r="S32" s="1162">
        <f>R32-J32</f>
        <v>0</v>
      </c>
      <c r="AB32" s="2121" t="s">
        <v>187</v>
      </c>
      <c r="AC32" s="2127">
        <v>5749</v>
      </c>
      <c r="AD32" s="2127">
        <v>6958</v>
      </c>
      <c r="AE32" s="1752">
        <v>6212</v>
      </c>
      <c r="AF32" s="2128">
        <v>7216</v>
      </c>
      <c r="AG32" s="2130" t="s">
        <v>1631</v>
      </c>
      <c r="AH32" s="2129" t="s">
        <v>1632</v>
      </c>
      <c r="AI32" s="2130" t="s">
        <v>1633</v>
      </c>
      <c r="AJ32" s="2127">
        <v>25698</v>
      </c>
    </row>
    <row r="33" spans="1:36" s="422" customFormat="1" ht="15.75" thickBot="1">
      <c r="C33" s="1118" t="s">
        <v>498</v>
      </c>
      <c r="D33" s="1119">
        <f>SUM(D34:D36)</f>
        <v>-299.92651399999994</v>
      </c>
      <c r="E33" s="1119">
        <f>SUM(E34:E36)</f>
        <v>799</v>
      </c>
      <c r="F33" s="1125">
        <f>SUM(F34:F36)</f>
        <v>-25</v>
      </c>
      <c r="G33" s="1119">
        <f>SUBTOTAL(109,G34:G36)</f>
        <v>-24.258414999999999</v>
      </c>
      <c r="H33" s="1120">
        <f t="shared" si="2"/>
        <v>0.7415850000000006</v>
      </c>
      <c r="I33" s="1120">
        <f t="shared" si="3"/>
        <v>-90.841748333333328</v>
      </c>
      <c r="J33" s="1119">
        <f>SUM(J34:J36)</f>
        <v>-201.77648199999999</v>
      </c>
      <c r="K33" s="1139">
        <f t="shared" si="4"/>
        <v>-734.44314866666662</v>
      </c>
      <c r="L33" s="1979"/>
      <c r="M33" s="410"/>
      <c r="N33" s="1145"/>
      <c r="P33" s="1147"/>
      <c r="Q33" s="1148"/>
      <c r="R33" s="1146"/>
      <c r="S33" s="1162"/>
      <c r="AB33" s="1967" t="s">
        <v>499</v>
      </c>
      <c r="AC33" s="1747">
        <v>2027</v>
      </c>
      <c r="AD33" s="1747">
        <v>2381</v>
      </c>
      <c r="AE33" s="1749">
        <v>2376</v>
      </c>
      <c r="AF33" s="1750">
        <v>2569</v>
      </c>
      <c r="AG33" s="1968" t="s">
        <v>1634</v>
      </c>
      <c r="AH33" s="1968" t="s">
        <v>1635</v>
      </c>
      <c r="AI33" s="1969" t="s">
        <v>1636</v>
      </c>
      <c r="AJ33" s="1751">
        <v>10804</v>
      </c>
    </row>
    <row r="34" spans="1:36" ht="15.75" thickBot="1">
      <c r="A34" s="410" t="s">
        <v>1159</v>
      </c>
      <c r="B34" s="410" t="s">
        <v>139</v>
      </c>
      <c r="C34" s="1127" t="s">
        <v>139</v>
      </c>
      <c r="D34" s="1123">
        <f>SUMPRODUCT('利润（汇总）'!$C$3:$AAK$67,('利润（汇总）'!$B$3:$B$67=$B34)*('利润（汇总）'!$C$1:$AAK$1=$D$1-1)*('利润（汇总）'!$C$2:$AAK$2&lt;=12))</f>
        <v>-177.49662899999998</v>
      </c>
      <c r="E34" s="1123">
        <v>586</v>
      </c>
      <c r="F34" s="1123">
        <f>SUMPRODUCT('利润（汇总）'!$C$3:$AAK$67,('利润（汇总）'!$B$3:$B$67=$B34)*('利润（汇总）'!$C$1:$AAK$1=$F$1)*('利润（汇总）'!$C$2:$AAK$2=$F$2))</f>
        <v>-17</v>
      </c>
      <c r="G34" s="1130">
        <f>SUMPRODUCT('利润（汇总）'!$C$3:$AAK$67,('利润（汇总）'!$B$3:$B$67=$B34)*('利润（汇总）'!$C$1:$AAK$1=$D$1)*('利润（汇总）'!$C$2:$AAK$2=$D$2))</f>
        <v>-17.068158</v>
      </c>
      <c r="H34" s="1124">
        <f t="shared" si="2"/>
        <v>-6.8158000000000385E-2</v>
      </c>
      <c r="I34" s="1124">
        <f t="shared" si="3"/>
        <v>-65.90149133333334</v>
      </c>
      <c r="J34" s="1122">
        <f>G34+N34</f>
        <v>-124.90513499999999</v>
      </c>
      <c r="K34" s="1151">
        <f t="shared" si="4"/>
        <v>-515.57180166666672</v>
      </c>
      <c r="L34" s="1983"/>
      <c r="M34" s="1679">
        <f>SUMIFS('利润（汇总）'!$BA$3:$BA$36,'利润（汇总）'!$A$3:$A$36,'#子分公司分析'!A34)-G34</f>
        <v>17.068158</v>
      </c>
      <c r="N34" s="1134">
        <f>SUMPRODUCT('利润（汇总）'!$C$3:$AAK$67,('利润（汇总）'!$B$3:$B$67=$B34)*('利润（汇总）'!$C$1:$AAK$1=$D$1)*('利润（汇总）'!$C$2:$AAK$2&lt;=$D$2-1))</f>
        <v>-107.83697699999999</v>
      </c>
      <c r="P34" s="1147">
        <f>SUMPRODUCT('利润（汇总）'!$C$3:$AAK$67,('利润（汇总）'!$B$3:$B$67=$B34)*('利润（汇总）'!$C$1:$AAK$1=$D$1)*('利润（汇总）'!$C$2:$AAK$2=$D$2))</f>
        <v>-17.068158</v>
      </c>
      <c r="Q34" s="1148">
        <f t="shared" si="5"/>
        <v>0</v>
      </c>
      <c r="R34" s="1146">
        <f>SUMPRODUCT('利润（汇总）'!$C$3:$AAK$67,('利润（汇总）'!$B$3:$B$67=$B34)*('利润（汇总）'!$C$1:$AAK$1=$D$1)*('利润（汇总）'!$C$2:$AAK$2&lt;=$D$2))</f>
        <v>-124.90513499999999</v>
      </c>
      <c r="S34" s="1162">
        <f>R34-J34</f>
        <v>0</v>
      </c>
      <c r="AB34" s="1967" t="s">
        <v>500</v>
      </c>
      <c r="AC34" s="1747">
        <v>428</v>
      </c>
      <c r="AD34" s="1747">
        <v>527</v>
      </c>
      <c r="AE34" s="1749">
        <v>386</v>
      </c>
      <c r="AF34" s="1750">
        <v>386</v>
      </c>
      <c r="AG34" s="1969" t="s">
        <v>1627</v>
      </c>
      <c r="AH34" s="1968" t="s">
        <v>1472</v>
      </c>
      <c r="AI34" s="1968" t="s">
        <v>1637</v>
      </c>
      <c r="AJ34" s="1751">
        <v>1543</v>
      </c>
    </row>
    <row r="35" spans="1:36" ht="15.75" thickBot="1">
      <c r="A35" s="410" t="s">
        <v>1160</v>
      </c>
      <c r="B35" s="410" t="s">
        <v>140</v>
      </c>
      <c r="C35" s="1127" t="s">
        <v>140</v>
      </c>
      <c r="D35" s="1123">
        <f>SUMPRODUCT('利润（汇总）'!$C$3:$AAK$67,('利润（汇总）'!$B$3:$B$67=$B35)*('利润（汇总）'!$C$1:$AAK$1=$D$1-1)*('利润（汇总）'!$C$2:$AAK$2&lt;=12))</f>
        <v>-76.376676999999987</v>
      </c>
      <c r="E35" s="1123">
        <v>270</v>
      </c>
      <c r="F35" s="1123">
        <f>SUMPRODUCT('利润（汇总）'!$C$3:$AAK$67,('利润（汇总）'!$B$3:$B$67=$B35)*('利润（汇总）'!$C$1:$AAK$1=$F$1)*('利润（汇总）'!$C$2:$AAK$2=$F$2))</f>
        <v>-8</v>
      </c>
      <c r="G35" s="1130">
        <f>SUMPRODUCT('利润（汇总）'!$C$3:$AAK$67,('利润（汇总）'!$B$3:$B$67=$B35)*('利润（汇总）'!$C$1:$AAK$1=$D$1)*('利润（汇总）'!$C$2:$AAK$2=$D$2))</f>
        <v>-8.1818000000000008</v>
      </c>
      <c r="H35" s="1124">
        <f t="shared" si="2"/>
        <v>-0.18180000000000085</v>
      </c>
      <c r="I35" s="1124">
        <f t="shared" si="3"/>
        <v>-30.681800000000003</v>
      </c>
      <c r="J35" s="1122">
        <f>G35+N35</f>
        <v>-59.272069000000002</v>
      </c>
      <c r="K35" s="1151">
        <f t="shared" si="4"/>
        <v>-239.27206899999999</v>
      </c>
      <c r="L35" s="1983"/>
      <c r="M35" s="1679">
        <f>SUMIFS('利润（汇总）'!$BA$3:$BA$36,'利润（汇总）'!$A$3:$A$36,'#子分公司分析'!A35)-G35</f>
        <v>8.1818000000000008</v>
      </c>
      <c r="N35" s="1134">
        <f>SUMPRODUCT('利润（汇总）'!$C$3:$AAK$67,('利润（汇总）'!$B$3:$B$67=$B35)*('利润（汇总）'!$C$1:$AAK$1=$D$1)*('利润（汇总）'!$C$2:$AAK$2&lt;=$D$2-1))</f>
        <v>-51.090268999999999</v>
      </c>
      <c r="P35" s="1147">
        <f>SUMPRODUCT('利润（汇总）'!$C$3:$AAK$67,('利润（汇总）'!$B$3:$B$67=$B35)*('利润（汇总）'!$C$1:$AAK$1=$D$1)*('利润（汇总）'!$C$2:$AAK$2=$D$2))</f>
        <v>-8.1818000000000008</v>
      </c>
      <c r="Q35" s="1148">
        <f t="shared" si="5"/>
        <v>0</v>
      </c>
      <c r="R35" s="1146">
        <f>SUMPRODUCT('利润（汇总）'!$C$3:$AAK$67,('利润（汇总）'!$B$3:$B$67=$B35)*('利润（汇总）'!$C$1:$AAK$1=$D$1)*('利润（汇总）'!$C$2:$AAK$2&lt;=$D$2))</f>
        <v>-59.272069000000002</v>
      </c>
      <c r="S35" s="1162">
        <f>R35-J35</f>
        <v>0</v>
      </c>
      <c r="AB35" s="1967" t="s">
        <v>501</v>
      </c>
      <c r="AC35" s="1747">
        <v>1262</v>
      </c>
      <c r="AD35" s="1747">
        <v>1419</v>
      </c>
      <c r="AE35" s="1749">
        <v>1298</v>
      </c>
      <c r="AF35" s="1750">
        <v>1375</v>
      </c>
      <c r="AG35" s="1969" t="s">
        <v>1638</v>
      </c>
      <c r="AH35" s="1968" t="s">
        <v>1639</v>
      </c>
      <c r="AI35" s="1969" t="s">
        <v>1613</v>
      </c>
      <c r="AJ35" s="1751">
        <v>4801</v>
      </c>
    </row>
    <row r="36" spans="1:36" ht="15.75" thickBot="1">
      <c r="A36" s="410" t="s">
        <v>1161</v>
      </c>
      <c r="B36" s="410" t="s">
        <v>138</v>
      </c>
      <c r="C36" s="1127" t="s">
        <v>138</v>
      </c>
      <c r="D36" s="1123">
        <f>SUMPRODUCT('利润（汇总）'!$C$3:$AAK$67,('利润（汇总）'!$B$3:$B$67=$B36)*('利润（汇总）'!$C$1:$AAK$1=$D$1-1)*('利润（汇总）'!$C$2:$AAK$2&lt;=12))</f>
        <v>-46.053207999999998</v>
      </c>
      <c r="E36" s="1123">
        <v>-57</v>
      </c>
      <c r="F36" s="1123">
        <f>SUMPRODUCT('利润（汇总）'!$C$3:$AAK$67,('利润（汇总）'!$B$3:$B$67=$B36)*('利润（汇总）'!$C$1:$AAK$1=$F$1)*('利润（汇总）'!$C$2:$AAK$2=$F$2))</f>
        <v>0</v>
      </c>
      <c r="G36" s="1130">
        <f>SUMPRODUCT('利润（汇总）'!$C$3:$AAK$67,('利润（汇总）'!$B$3:$B$67=$B36)*('利润（汇总）'!$C$1:$AAK$1=$D$1)*('利润（汇总）'!$C$2:$AAK$2=$D$2))</f>
        <v>0.99154300000000006</v>
      </c>
      <c r="H36" s="1124">
        <f t="shared" si="2"/>
        <v>0.99154300000000006</v>
      </c>
      <c r="I36" s="1124">
        <f t="shared" si="3"/>
        <v>5.7415430000000001</v>
      </c>
      <c r="J36" s="1122">
        <f>G36+N36</f>
        <v>-17.599278000000002</v>
      </c>
      <c r="K36" s="1151">
        <f t="shared" si="4"/>
        <v>20.400721999999998</v>
      </c>
      <c r="L36" s="1983"/>
      <c r="M36" s="1679">
        <f>SUMIFS('利润（汇总）'!$BA$3:$BA$36,'利润（汇总）'!$A$3:$A$36,'#子分公司分析'!A36)-G36</f>
        <v>-0.99154300000000006</v>
      </c>
      <c r="N36" s="1134">
        <f>SUMPRODUCT('利润（汇总）'!$C$3:$AAK$67,('利润（汇总）'!$B$3:$B$67=$B36)*('利润（汇总）'!$C$1:$AAK$1=$D$1)*('利润（汇总）'!$C$2:$AAK$2&lt;=$D$2-1))</f>
        <v>-18.590821000000002</v>
      </c>
      <c r="P36" s="1147">
        <f>SUMPRODUCT('利润（汇总）'!$C$3:$AAK$67,('利润（汇总）'!$B$3:$B$67=$B36)*('利润（汇总）'!$C$1:$AAK$1=$D$1)*('利润（汇总）'!$C$2:$AAK$2=$D$2))</f>
        <v>0.99154300000000006</v>
      </c>
      <c r="Q36" s="1148">
        <f t="shared" si="5"/>
        <v>0</v>
      </c>
      <c r="R36" s="1146">
        <f>SUMPRODUCT('利润（汇总）'!$C$3:$AAK$67,('利润（汇总）'!$B$3:$B$67=$B36)*('利润（汇总）'!$C$1:$AAK$1=$D$1)*('利润（汇总）'!$C$2:$AAK$2&lt;=$D$2))</f>
        <v>-17.599278000000002</v>
      </c>
      <c r="S36" s="1162">
        <f>R36-J36</f>
        <v>0</v>
      </c>
      <c r="AB36" s="1967" t="s">
        <v>502</v>
      </c>
      <c r="AC36" s="1747">
        <v>25</v>
      </c>
      <c r="AD36" s="1747">
        <v>33</v>
      </c>
      <c r="AE36" s="1749">
        <v>25</v>
      </c>
      <c r="AF36" s="1750">
        <v>20</v>
      </c>
      <c r="AG36" s="1969" t="s">
        <v>1640</v>
      </c>
      <c r="AH36" s="1968" t="s">
        <v>1641</v>
      </c>
      <c r="AI36" s="1969" t="s">
        <v>1640</v>
      </c>
      <c r="AJ36" s="1751">
        <v>70</v>
      </c>
    </row>
    <row r="37" spans="1:36" s="422" customFormat="1" ht="15.75" thickBot="1">
      <c r="C37" s="1131" t="s">
        <v>187</v>
      </c>
      <c r="D37" s="1132">
        <f>D6+D11+D13+D21+D28+D33</f>
        <v>39722.732349000005</v>
      </c>
      <c r="E37" s="1132">
        <f>E6+E11+E13+E21+E28+E33</f>
        <v>64408.980645708565</v>
      </c>
      <c r="F37" s="1125">
        <f>F11+F6+F13+F21+F28+F33</f>
        <v>3410.7461580000004</v>
      </c>
      <c r="G37" s="1132">
        <f>G11+G6+G13+G21+G28+G33</f>
        <v>8384.8283909999991</v>
      </c>
      <c r="H37" s="1133">
        <f>H6+H11+H13+H21+H28+H33</f>
        <v>4974.0822329999992</v>
      </c>
      <c r="I37" s="1133">
        <f>I6+I11+I13+I21+I28+I33</f>
        <v>3017.4133371909525</v>
      </c>
      <c r="J37" s="1132">
        <f>J6+J11+J13+J21+J28+J33</f>
        <v>43763.373506000004</v>
      </c>
      <c r="K37" s="1152">
        <f>K6+K11+K13+K21+K28+K33</f>
        <v>824.05307552762577</v>
      </c>
      <c r="L37" s="1984"/>
      <c r="N37" s="419"/>
      <c r="P37" s="1141"/>
      <c r="Q37" s="1153"/>
      <c r="R37" s="1160"/>
      <c r="S37" s="1161"/>
      <c r="AB37" s="1967" t="s">
        <v>503</v>
      </c>
      <c r="AC37" s="1747">
        <v>1357</v>
      </c>
      <c r="AD37" s="1747">
        <v>2051</v>
      </c>
      <c r="AE37" s="1749">
        <v>1837</v>
      </c>
      <c r="AF37" s="1750">
        <v>2171</v>
      </c>
      <c r="AG37" s="1969" t="s">
        <v>1642</v>
      </c>
      <c r="AH37" s="1968" t="s">
        <v>1643</v>
      </c>
      <c r="AI37" s="1969" t="s">
        <v>1644</v>
      </c>
      <c r="AJ37" s="1751">
        <v>7451</v>
      </c>
    </row>
    <row r="38" spans="1:36" ht="15.75" thickBot="1">
      <c r="C38" s="410" t="s">
        <v>1734</v>
      </c>
      <c r="D38" s="2567">
        <v>957.22928699999989</v>
      </c>
      <c r="E38" s="2567">
        <v>1500</v>
      </c>
      <c r="F38" s="1975"/>
      <c r="G38" s="1975"/>
      <c r="H38" s="2568">
        <f>G38-F38</f>
        <v>0</v>
      </c>
      <c r="I38" s="2568">
        <f>G38-E38/12</f>
        <v>-125</v>
      </c>
      <c r="J38" s="1975"/>
      <c r="K38" s="2569">
        <f>J38-E38/12*$D$2</f>
        <v>-1000</v>
      </c>
      <c r="L38" s="1983"/>
      <c r="P38" s="1154"/>
      <c r="Q38" s="1153"/>
      <c r="R38" s="1164"/>
      <c r="S38" s="1165"/>
      <c r="AB38" s="1967" t="s">
        <v>504</v>
      </c>
      <c r="AC38" s="1747">
        <v>183</v>
      </c>
      <c r="AD38" s="1747">
        <v>86</v>
      </c>
      <c r="AE38" s="1749">
        <v>45</v>
      </c>
      <c r="AF38" s="1750">
        <v>51</v>
      </c>
      <c r="AG38" s="1969" t="s">
        <v>1645</v>
      </c>
      <c r="AH38" s="1968" t="s">
        <v>1646</v>
      </c>
      <c r="AI38" s="1968" t="s">
        <v>1647</v>
      </c>
      <c r="AJ38" s="1751">
        <v>168</v>
      </c>
    </row>
    <row r="39" spans="1:36" ht="15.75" thickBot="1">
      <c r="C39" s="1983" t="s">
        <v>1756</v>
      </c>
      <c r="D39" s="2567"/>
      <c r="E39" s="1123">
        <f>E40-E37</f>
        <v>193.01935429139121</v>
      </c>
      <c r="F39" s="1123">
        <f t="shared" ref="F39:K39" si="14">F40-F37</f>
        <v>2995.2455999999997</v>
      </c>
      <c r="G39" s="1123">
        <f t="shared" si="14"/>
        <v>4043.0396000000001</v>
      </c>
      <c r="H39" s="1124">
        <f t="shared" si="14"/>
        <v>1047.7939999999999</v>
      </c>
      <c r="I39" s="1124">
        <f t="shared" si="14"/>
        <v>4026.9546538090503</v>
      </c>
      <c r="J39" s="1123">
        <f t="shared" si="14"/>
        <v>2.6042339999621618</v>
      </c>
      <c r="K39" s="1143">
        <f t="shared" si="14"/>
        <v>-126.07533552763095</v>
      </c>
      <c r="L39" s="1983"/>
      <c r="P39" s="1154"/>
      <c r="Q39" s="1153"/>
      <c r="R39" s="1164"/>
      <c r="S39" s="1165"/>
      <c r="AB39" s="1967"/>
      <c r="AC39" s="1747"/>
      <c r="AD39" s="1747"/>
      <c r="AE39" s="1749"/>
      <c r="AF39" s="1750"/>
      <c r="AG39" s="1969"/>
      <c r="AH39" s="1968"/>
      <c r="AI39" s="1968"/>
      <c r="AJ39" s="1751"/>
    </row>
    <row r="40" spans="1:36" ht="15.75" thickBot="1">
      <c r="C40" s="1131" t="s">
        <v>187</v>
      </c>
      <c r="D40" s="1132">
        <f>D37</f>
        <v>39722.732349000005</v>
      </c>
      <c r="E40" s="1132">
        <f>'#经营利润'!B43</f>
        <v>64601.999999999956</v>
      </c>
      <c r="F40" s="1132">
        <f>'@分析#利润分析#'!E56-'@分析#利润分析#'!E25-'@分析#利润分析#'!E26-'@分析#利润分析#'!E27</f>
        <v>6405.9917580000001</v>
      </c>
      <c r="G40" s="1132">
        <f>'@分析#利润分析#'!F56-'@分析#利润分析#'!F25-'@分析#利润分析#'!F26-'@分析#利润分析#'!F27</f>
        <v>12427.867990999999</v>
      </c>
      <c r="H40" s="1133">
        <f>G40-F40</f>
        <v>6021.876232999999</v>
      </c>
      <c r="I40" s="1133">
        <f>G40-E40/12</f>
        <v>7044.3679910000028</v>
      </c>
      <c r="J40" s="1132">
        <f>SUMIFS('#经营利润'!43:43,'#经营利润'!1:1,D1,'#经营利润'!2:2,"&lt;="&amp;D2,'#经营利润'!4:4,"经营利润")</f>
        <v>43765.977739999966</v>
      </c>
      <c r="K40" s="1152">
        <f>J40-E40/12*$D$2</f>
        <v>697.97773999999481</v>
      </c>
      <c r="L40" s="1984"/>
      <c r="P40" s="1154"/>
      <c r="Q40" s="1153"/>
      <c r="R40" s="1164"/>
      <c r="S40" s="1165"/>
      <c r="AB40" s="1967" t="s">
        <v>84</v>
      </c>
      <c r="AC40" s="1747">
        <v>50</v>
      </c>
      <c r="AD40" s="1747">
        <v>101</v>
      </c>
      <c r="AE40" s="1749">
        <v>47</v>
      </c>
      <c r="AF40" s="1750">
        <v>415</v>
      </c>
      <c r="AG40" s="1969" t="s">
        <v>1648</v>
      </c>
      <c r="AH40" s="1968" t="s">
        <v>1649</v>
      </c>
      <c r="AI40" s="1968" t="s">
        <v>1650</v>
      </c>
      <c r="AJ40" s="1751">
        <v>551</v>
      </c>
    </row>
    <row r="41" spans="1:36" ht="15.75" thickBot="1">
      <c r="D41" s="1134"/>
      <c r="P41" s="1154"/>
      <c r="Q41" s="1153"/>
      <c r="R41" s="1164"/>
      <c r="S41" s="1165"/>
      <c r="AB41" s="1967" t="s">
        <v>505</v>
      </c>
      <c r="AC41" s="1747">
        <v>58</v>
      </c>
      <c r="AD41" s="1747">
        <v>100</v>
      </c>
      <c r="AE41" s="1749">
        <v>104</v>
      </c>
      <c r="AF41" s="1750">
        <v>57</v>
      </c>
      <c r="AG41" s="1969" t="s">
        <v>1651</v>
      </c>
      <c r="AH41" s="1969" t="s">
        <v>1620</v>
      </c>
      <c r="AI41" s="1968" t="s">
        <v>1652</v>
      </c>
      <c r="AJ41" s="1752">
        <v>470</v>
      </c>
    </row>
    <row r="42" spans="1:36" ht="15.75" thickBot="1">
      <c r="P42" s="1154"/>
      <c r="Q42" s="1153"/>
      <c r="R42" s="1164"/>
      <c r="S42" s="1165"/>
      <c r="AB42" s="1967" t="s">
        <v>160</v>
      </c>
      <c r="AC42" s="1747">
        <v>359</v>
      </c>
      <c r="AD42" s="1747">
        <v>261</v>
      </c>
      <c r="AE42" s="1749">
        <v>94</v>
      </c>
      <c r="AF42" s="1750">
        <v>172</v>
      </c>
      <c r="AG42" s="1968" t="s">
        <v>1653</v>
      </c>
      <c r="AH42" s="1968" t="s">
        <v>1654</v>
      </c>
      <c r="AI42" s="1969" t="s">
        <v>1655</v>
      </c>
      <c r="AJ42" s="1752">
        <v>-160</v>
      </c>
    </row>
    <row r="43" spans="1:36" ht="14.25">
      <c r="E43" s="1134">
        <f>E40-E37</f>
        <v>193.01935429139121</v>
      </c>
      <c r="F43" s="1134">
        <f>F40-F37</f>
        <v>2995.2455999999997</v>
      </c>
      <c r="G43" s="1134">
        <f>G40-G37</f>
        <v>4043.0396000000001</v>
      </c>
      <c r="H43" s="1134">
        <f>H40-H37</f>
        <v>1047.7939999999999</v>
      </c>
      <c r="I43" s="1134">
        <f>I40-I37</f>
        <v>4026.9546538090503</v>
      </c>
      <c r="J43" s="1134"/>
      <c r="P43" s="1154"/>
      <c r="Q43" s="1153"/>
      <c r="R43" s="1164"/>
      <c r="S43" s="1165"/>
    </row>
    <row r="44" spans="1:36" ht="14.25">
      <c r="P44" s="1154"/>
      <c r="Q44" s="1153"/>
      <c r="R44" s="1164"/>
      <c r="S44" s="1165"/>
    </row>
    <row r="45" spans="1:36" ht="14.25">
      <c r="L45" s="410" t="s">
        <v>1732</v>
      </c>
      <c r="P45" s="1154"/>
      <c r="Q45" s="1153"/>
      <c r="R45" s="1164"/>
      <c r="S45" s="1165"/>
    </row>
    <row r="46" spans="1:36" ht="14.25">
      <c r="P46" s="1154"/>
      <c r="Q46" s="1153"/>
      <c r="R46" s="1164"/>
      <c r="S46" s="1165"/>
    </row>
    <row r="47" spans="1:36" ht="14.25">
      <c r="B47" s="410" t="s">
        <v>127</v>
      </c>
      <c r="C47" s="1127" t="s">
        <v>506</v>
      </c>
      <c r="D47" s="1122">
        <f>SUMPRODUCT('利润（汇总）'!$C$3:$AAK$67,('利润（汇总）'!$B$3:$B$67=$B47)*('利润（汇总）'!$C$1:$AAK$1=$D$1-1)*('利润（汇总）'!$C$2:$AAK$2&lt;=12))</f>
        <v>7106.2610570000006</v>
      </c>
      <c r="E47" s="1122">
        <v>5864.3060175969404</v>
      </c>
      <c r="F47" s="1123">
        <f>SUMPRODUCT('利润（汇总）'!$C$3:$AAK$67,('利润（汇总）'!$B$3:$B$67=$B47)*('利润（汇总）'!$C$1:$AAK$1=$F$1)*('利润（汇总）'!$C$2:$AAK$2=$F$2))</f>
        <v>519.64996300000007</v>
      </c>
      <c r="G47" s="1123">
        <f>SUMPRODUCT('利润（汇总）'!$C$3:$AAK$67,('利润（汇总）'!$B$3:$B$67=$B47)*('利润（汇总）'!$C$1:$AAK$1=$D$1)*('利润（汇总）'!$C$2:$AAK$2=$D$2))</f>
        <v>1246.7662150000001</v>
      </c>
      <c r="H47" s="1124">
        <f>G47-F47</f>
        <v>727.11625200000003</v>
      </c>
      <c r="I47" s="1124">
        <f>G47-E47/12</f>
        <v>758.07404686692166</v>
      </c>
      <c r="J47" s="1122">
        <f>G47+N47</f>
        <v>5057.9174039999998</v>
      </c>
      <c r="K47" s="1151">
        <f>J47-E47/12*$D$2</f>
        <v>1148.3800589353727</v>
      </c>
      <c r="L47" s="1155"/>
      <c r="N47" s="1134">
        <f>SUMPRODUCT('利润（汇总）'!$C$3:$AAK$67,('利润（汇总）'!$B$3:$B$67=$B47)*('利润（汇总）'!$C$1:$AAK$1=$D$1)*('利润（汇总）'!$C$2:$AAK$2&lt;=$D$2-1))</f>
        <v>3811.1511890000002</v>
      </c>
      <c r="P47" s="1147">
        <f>SUMPRODUCT('利润（汇总）'!$C$3:$AAK$67,('利润（汇总）'!$B$3:$B$67=$B47)*('利润（汇总）'!$C$1:$AAK$1=$D$1)*('利润（汇总）'!$C$2:$AAK$2=$D$2))</f>
        <v>1246.7662150000001</v>
      </c>
      <c r="Q47" s="1148">
        <f>P47-G47</f>
        <v>0</v>
      </c>
      <c r="R47" s="1146">
        <f>SUMPRODUCT('利润（汇总）'!$C$3:$AAK$67,('利润（汇总）'!$B$3:$B$67=$B47)*('利润（汇总）'!$C$1:$AAK$1=$D$1)*('利润（汇总）'!$C$2:$AAK$2&lt;=$D$2))</f>
        <v>5057.9174039999998</v>
      </c>
      <c r="S47" s="1162">
        <f>R47-J47</f>
        <v>0</v>
      </c>
    </row>
    <row r="48" spans="1:36" ht="15" thickBot="1">
      <c r="B48" s="410" t="s">
        <v>128</v>
      </c>
      <c r="C48" s="1127" t="s">
        <v>507</v>
      </c>
      <c r="D48" s="1122">
        <f>SUMPRODUCT('利润（汇总）'!$C$3:$AAK$67,('利润（汇总）'!$B$3:$B$67=$B48)*('利润（汇总）'!$C$1:$AAK$1=$D$1-1)*('利润（汇总）'!$C$2:$AAK$2&lt;=12))</f>
        <v>2608.0780960000002</v>
      </c>
      <c r="E48" s="1122">
        <v>2292</v>
      </c>
      <c r="F48" s="1123">
        <f>SUMPRODUCT('利润（汇总）'!$C$3:$AAK$67,('利润（汇总）'!$B$3:$B$67=$B48)*('利润（汇总）'!$C$1:$AAK$1=$F$1)*('利润（汇总）'!$C$2:$AAK$2=$F$2))</f>
        <v>195.67499799999999</v>
      </c>
      <c r="G48" s="1123">
        <f>SUMPRODUCT('利润（汇总）'!$C$3:$AAK$67,('利润（汇总）'!$B$3:$B$67=$B48)*('利润（汇总）'!$C$1:$AAK$1=$D$1)*('利润（汇总）'!$C$2:$AAK$2=$D$2))</f>
        <v>472.78586899999993</v>
      </c>
      <c r="H48" s="1124">
        <f>G48-F48</f>
        <v>277.11087099999997</v>
      </c>
      <c r="I48" s="1124">
        <f>G48-E48/12</f>
        <v>281.78586899999993</v>
      </c>
      <c r="J48" s="1122">
        <f>G48+N48</f>
        <v>1848.1791479999997</v>
      </c>
      <c r="K48" s="1151">
        <f>J48-E48/12*$D$2</f>
        <v>320.17914799999971</v>
      </c>
      <c r="L48" s="1155"/>
      <c r="N48" s="1134">
        <f>SUMPRODUCT('利润（汇总）'!$C$3:$AAK$67,('利润（汇总）'!$B$3:$B$67=$B48)*('利润（汇总）'!$C$1:$AAK$1=$D$1)*('利润（汇总）'!$C$2:$AAK$2&lt;=$D$2-1))</f>
        <v>1375.3932789999999</v>
      </c>
      <c r="P48" s="1156">
        <f>SUMPRODUCT('利润（汇总）'!$C$3:$AAK$67,('利润（汇总）'!$B$3:$B$67=$B48)*('利润（汇总）'!$C$1:$AAK$1=$D$1)*('利润（汇总）'!$C$2:$AAK$2=$D$2))</f>
        <v>472.78586899999993</v>
      </c>
      <c r="Q48" s="1157">
        <f>P48-G48</f>
        <v>0</v>
      </c>
      <c r="R48" s="1166">
        <f>SUMPRODUCT('利润（汇总）'!$C$3:$AAK$67,('利润（汇总）'!$B$3:$B$67=$B48)*('利润（汇总）'!$C$1:$AAK$1=$D$1)*('利润（汇总）'!$C$2:$AAK$2&lt;=$D$2))</f>
        <v>1848.1791479999997</v>
      </c>
      <c r="S48" s="1167">
        <f>R48-J48</f>
        <v>0</v>
      </c>
    </row>
  </sheetData>
  <customSheetViews>
    <customSheetView guid="{1683F931-F47D-47C0-A395-D48080DC7EE6}" showPageBreaks="1" hiddenRows="1">
      <pane xSplit="1" topLeftCell="B1" activePane="topRight" state="frozen"/>
      <selection pane="topRight" activeCell="G25" sqref="G25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 showPageBreaks="1" hiddenRows="1" topLeftCell="A2">
      <pane xSplit="2" ySplit="3" topLeftCell="D33" activePane="bottomRight" state="frozen"/>
      <selection pane="bottomRight" activeCell="L49" sqref="L49"/>
      <pageMargins left="0.69930555555555596" right="0.69930555555555596" top="0.75" bottom="0.75" header="0.3" footer="0.3"/>
      <pageSetup paperSize="9" orientation="portrait" r:id="rId2"/>
    </customSheetView>
    <customSheetView guid="{849C46E5-4ED4-41B9-BDA9-A6465B9DA9C2}" hiddenRows="1">
      <selection activeCell="G17" sqref="G17"/>
      <pageMargins left="0.69930555555555596" right="0.69930555555555596" top="0.75" bottom="0.75" header="0.3" footer="0.3"/>
      <pageSetup paperSize="9" orientation="portrait" r:id="rId3"/>
    </customSheetView>
    <customSheetView guid="{8C09BCDE-4B8A-4469-B3F2-7F4528A2E78D}" showPageBreaks="1" printArea="1" hiddenRows="1" topLeftCell="A10">
      <selection activeCell="G20" sqref="G20"/>
      <pageMargins left="0.69930555555555596" right="0.69930555555555596" top="0.75" bottom="0.75" header="0.3" footer="0.3"/>
      <pageSetup paperSize="9" orientation="portrait" r:id="rId4"/>
    </customSheetView>
    <customSheetView guid="{F4EB51F4-FD23-4D5B-8072-1AF5D59D6686}" showPageBreaks="1" printArea="1" hiddenColumns="1" topLeftCell="B1">
      <selection activeCell="G6" sqref="G6"/>
      <pageMargins left="0.69930555555555596" right="0.69930555555555596" top="0.75" bottom="0.75" header="0.3" footer="0.3"/>
      <pageSetup paperSize="9" orientation="portrait" r:id="rId5"/>
    </customSheetView>
    <customSheetView guid="{D7BCFB76-2797-401D-A6F1-E020B5162DD4}" hiddenRows="1" topLeftCell="B1">
      <selection activeCell="B3" sqref="A3:XFD7"/>
      <pageMargins left="0.69930555555555596" right="0.69930555555555596" top="0.75" bottom="0.75" header="0.3" footer="0.3"/>
      <pageSetup paperSize="9" orientation="portrait" r:id="rId6"/>
    </customSheetView>
    <customSheetView guid="{C9A88430-3808-49F4-8D86-BF8C70C55441}" showPageBreaks="1" hiddenRows="1" topLeftCell="D15">
      <selection activeCell="L17" sqref="L17"/>
      <pageMargins left="0.69930555555555596" right="0.69930555555555596" top="0.75" bottom="0.75" header="0.3" footer="0.3"/>
      <pageSetup paperSize="9" orientation="portrait" r:id="rId7"/>
    </customSheetView>
    <customSheetView guid="{E61FFED3-723E-484A-93A0-94E1A801AF06}" showPageBreaks="1" hiddenRows="1">
      <pane xSplit="2" ySplit="4" topLeftCell="C18" activePane="bottomRight" state="frozen"/>
      <selection pane="bottomRight" activeCell="G53" sqref="G53"/>
      <pageMargins left="0.69930555555555596" right="0.69930555555555596" top="0.75" bottom="0.75" header="0.3" footer="0.3"/>
      <pageSetup paperSize="9" orientation="portrait" r:id="rId8"/>
    </customSheetView>
    <customSheetView guid="{6B5CCA07-2BDD-4B8E-9E3C-2111BBA97430}" hiddenRows="1">
      <selection activeCell="G42" sqref="G42"/>
      <pageMargins left="0.69930555555555596" right="0.69930555555555596" top="0.75" bottom="0.75" header="0.3" footer="0.3"/>
      <pageSetup paperSize="9" orientation="portrait" r:id="rId9"/>
    </customSheetView>
    <customSheetView guid="{2F47A827-9643-4D8A-AC5D-6B09D79AACF9}" showPageBreaks="1" hiddenRows="1" topLeftCell="A2">
      <pane xSplit="2" ySplit="3" topLeftCell="E5" activePane="bottomRight" state="frozen"/>
      <selection pane="bottomRight" activeCell="L10" sqref="L10"/>
      <pageMargins left="0.69930555555555596" right="0.69930555555555596" top="0.75" bottom="0.75" header="0.3" footer="0.3"/>
      <pageSetup paperSize="9" orientation="portrait" r:id="rId10"/>
    </customSheetView>
    <customSheetView guid="{B37168A1-DBAB-4BDE-9F92-6261DCDF3D92}" showPageBreaks="1" fitToPage="1" printArea="1" hiddenRows="1" hiddenColumns="1" topLeftCell="A20">
      <selection activeCell="F30" sqref="F30"/>
      <pageMargins left="0.69930555555555596" right="0.69930555555555596" top="0.75" bottom="0.75" header="0.3" footer="0.3"/>
      <pageSetup paperSize="8" orientation="landscape" r:id="rId11"/>
    </customSheetView>
    <customSheetView guid="{AE0DD889-C13C-4059-8024-0F5B234827E9}" showPageBreaks="1" hiddenRows="1" topLeftCell="C1">
      <selection activeCell="K15" sqref="K15"/>
      <pageMargins left="0.69930555555555596" right="0.69930555555555596" top="0.75" bottom="0.75" header="0.3" footer="0.3"/>
      <pageSetup paperSize="9" orientation="portrait" r:id="rId12"/>
    </customSheetView>
    <customSheetView guid="{CCBBD9B0-4191-4D7A-9F7B-BAC044A49153}" showPageBreaks="1" fitToPage="1" printArea="1" topLeftCell="D16">
      <selection activeCell="K22" sqref="K22"/>
      <pageMargins left="0.70866141732283505" right="0.70866141732283505" top="0.74803149606299202" bottom="0.74803149606299202" header="0.31496062992126" footer="0.31496062992126"/>
      <printOptions horizontalCentered="1"/>
      <pageSetup paperSize="9" scale="62" orientation="landscape"/>
    </customSheetView>
    <customSheetView guid="{F5F9735B-EE22-4AC6-B5AB-C856ED6C133D}" showPageBreaks="1" printArea="1">
      <pane xSplit="2" ySplit="5" topLeftCell="E18" state="frozen"/>
      <selection activeCell="K24" sqref="K24"/>
      <pageMargins left="0.69930555555555596" right="0.69930555555555596" top="0.75" bottom="0.75" header="0.3" footer="0.3"/>
      <pageSetup paperSize="9" orientation="portrait"/>
    </customSheetView>
    <customSheetView guid="{45B4C0D1-53B6-4553-BFF9-393760B8E0CE}" showPageBreaks="1" hiddenRows="1">
      <pane xSplit="3" ySplit="4" topLeftCell="G23" state="frozen"/>
      <selection activeCell="K28" sqref="K28"/>
      <pageMargins left="0.69930555555555596" right="0.69930555555555596" top="0.75" bottom="0.75" header="0.3" footer="0.3"/>
      <pageSetup paperSize="9" orientation="portrait"/>
    </customSheetView>
    <customSheetView guid="{1BBD1596-143E-4714-99EF-E3545231CCD1}">
      <pane xSplit="2" ySplit="3" topLeftCell="C4" state="frozen"/>
      <selection activeCell="K13" sqref="K13"/>
      <pageMargins left="0.69930555555555596" right="0.69930555555555596" top="0.75" bottom="0.75" header="0.3" footer="0.3"/>
      <pageSetup paperSize="9" orientation="portrait"/>
    </customSheetView>
    <customSheetView guid="{A8456D60-99BA-4794-8966-0CBA0A37EA6F}">
      <pane xSplit="2" ySplit="3" topLeftCell="C4" state="frozen"/>
      <selection activeCell="F30" sqref="F30"/>
      <pageMargins left="0.69930555555555596" right="0.69930555555555596" top="0.75" bottom="0.75" header="0.3" footer="0.3"/>
      <pageSetup paperSize="9" orientation="portrait"/>
    </customSheetView>
    <customSheetView guid="{500C3980-ED13-4C97-96B1-955D50509B66}" showPageBreaks="1" printArea="1" hiddenRows="1">
      <pane ySplit="4" topLeftCell="C16" state="frozen"/>
      <selection activeCell="J44" sqref="J44"/>
      <pageMargins left="0.69930555555555596" right="0.69930555555555596" top="0.75" bottom="0.75" header="0.3" footer="0.3"/>
      <pageSetup paperSize="9" orientation="portrait"/>
    </customSheetView>
    <customSheetView guid="{3B943BAF-34C7-494A-A071-85DE0891E5A1}" scale="115" showPageBreaks="1" printArea="1" topLeftCell="C19">
      <selection activeCell="K34" sqref="K34"/>
      <pageMargins left="0.69930555555555596" right="0.69930555555555596" top="0.75" bottom="0.75" header="0.3" footer="0.3"/>
      <pageSetup paperSize="9" orientation="portrait"/>
    </customSheetView>
    <customSheetView guid="{EEE4B3DA-ADF6-49CC-9873-068FE5927B92}" showPageBreaks="1" hiddenRows="1">
      <pane xSplit="2" ySplit="3" topLeftCell="J17" state="frozen"/>
      <selection activeCell="A23" sqref="A23:XFD23"/>
      <pageMargins left="0.69930555555555596" right="0.69930555555555596" top="0.75" bottom="0.75" header="0.3" footer="0.3"/>
      <pageSetup paperSize="9" orientation="portrait"/>
    </customSheetView>
    <customSheetView guid="{C52D0F53-4D1D-4D01-B833-260359FD02A5}" showPageBreaks="1" printArea="1" hiddenRows="1" topLeftCell="A15">
      <selection activeCell="L26" sqref="L26"/>
      <pageMargins left="0.69930555555555596" right="0.69930555555555596" top="0.75" bottom="0.75" header="0.3" footer="0.3"/>
      <pageSetup paperSize="9" orientation="portrait" r:id="rId13"/>
    </customSheetView>
    <customSheetView guid="{6A1E79C9-91E3-4EEA-8ABB-4446083299EC}" showPageBreaks="1" hiddenRows="1">
      <selection activeCell="K8" sqref="K8"/>
      <pageMargins left="0.69930555555555596" right="0.69930555555555596" top="0.75" bottom="0.75" header="0.3" footer="0.3"/>
      <pageSetup paperSize="9" orientation="portrait" r:id="rId14"/>
    </customSheetView>
    <customSheetView guid="{8B80B510-C931-46B1-8591-DEA916D76593}">
      <selection activeCell="L21" sqref="L21"/>
      <pageMargins left="0.69930555555555596" right="0.69930555555555596" top="0.75" bottom="0.75" header="0.3" footer="0.3"/>
      <pageSetup paperSize="9" orientation="portrait" r:id="rId15"/>
    </customSheetView>
    <customSheetView guid="{303A9D89-611D-4504-BCAA-071C53B021F7}" showPageBreaks="1">
      <pane xSplit="2" ySplit="3" topLeftCell="C4" activePane="bottomRight" state="frozen"/>
      <selection pane="bottomRight" activeCell="K13" sqref="K13"/>
      <pageMargins left="0.69930555555555596" right="0.69930555555555596" top="0.75" bottom="0.75" header="0.3" footer="0.3"/>
      <pageSetup paperSize="9" orientation="portrait" r:id="rId16"/>
    </customSheetView>
    <customSheetView guid="{4583A87D-5DFF-47BD-849A-FA4AAF2B9CE3}" showPageBreaks="1" printArea="1" topLeftCell="D16">
      <selection activeCell="G30" sqref="G30"/>
      <pageMargins left="0.69930555555555596" right="0.69930555555555596" top="0.75" bottom="0.75" header="0.3" footer="0.3"/>
      <pageSetup paperSize="9" orientation="portrait" r:id="rId17"/>
    </customSheetView>
    <customSheetView guid="{EA856AC2-CDFF-46B6-B0C4-30449DF132F4}" scale="85" showPageBreaks="1" hiddenRows="1" topLeftCell="A2">
      <pane xSplit="2" ySplit="3" topLeftCell="C5" activePane="bottomRight" state="frozen"/>
      <selection pane="bottomRight" activeCell="L16" sqref="L16"/>
      <pageMargins left="0.69930555555555596" right="0.69930555555555596" top="0.75" bottom="0.75" header="0.3" footer="0.3"/>
      <pageSetup paperSize="9" orientation="portrait" r:id="rId18"/>
    </customSheetView>
    <customSheetView guid="{322A45A6-8B26-49B8-A4D9-EFB3C94A758D}" showPageBreaks="1" hiddenRows="1" hiddenColumns="1">
      <pane xSplit="1" topLeftCell="B1" activePane="topRight" state="frozen"/>
      <selection pane="topRight" activeCell="F48" sqref="F48"/>
      <pageMargins left="0.69930555555555596" right="0.69930555555555596" top="0.75" bottom="0.75" header="0.3" footer="0.3"/>
      <pageSetup paperSize="9" orientation="portrait" r:id="rId19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20"/>
  <legacyDrawing r:id="rId2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-0.249977111117893"/>
  </sheetPr>
  <dimension ref="A1:AM29"/>
  <sheetViews>
    <sheetView workbookViewId="0">
      <selection activeCell="F6" sqref="F6:U17"/>
    </sheetView>
  </sheetViews>
  <sheetFormatPr defaultColWidth="9" defaultRowHeight="14.25"/>
  <cols>
    <col min="1" max="1" width="31.5" style="116" customWidth="1"/>
    <col min="2" max="2" width="8.5" style="116" customWidth="1"/>
    <col min="3" max="6" width="9" style="116" customWidth="1"/>
    <col min="7" max="8" width="11.125" style="116" hidden="1" customWidth="1"/>
    <col min="9" max="9" width="13.5" style="116" hidden="1" customWidth="1"/>
    <col min="10" max="14" width="11.125" style="116" hidden="1" customWidth="1"/>
    <col min="15" max="15" width="11.75" style="116" hidden="1" customWidth="1"/>
    <col min="16" max="16" width="11.875" style="116" hidden="1" customWidth="1"/>
    <col min="17" max="17" width="11.75" style="116" hidden="1" customWidth="1"/>
    <col min="18" max="18" width="10.125" style="116" hidden="1" customWidth="1"/>
    <col min="19" max="19" width="11.75" style="116" hidden="1" customWidth="1"/>
    <col min="20" max="20" width="12.75" style="116" hidden="1" customWidth="1"/>
    <col min="21" max="31" width="11.75" style="116" hidden="1" customWidth="1"/>
    <col min="32" max="34" width="11.125" style="116" hidden="1" customWidth="1"/>
    <col min="35" max="36" width="9.5" style="116" customWidth="1"/>
    <col min="37" max="37" width="9.75" style="116" customWidth="1"/>
    <col min="38" max="38" width="10.5" style="116" customWidth="1"/>
    <col min="39" max="39" width="9.5" style="116" customWidth="1"/>
    <col min="40" max="16384" width="9" style="116"/>
  </cols>
  <sheetData>
    <row r="1" spans="1:39">
      <c r="A1" s="116">
        <f>'#经营概况'!$B$1</f>
        <v>2021</v>
      </c>
      <c r="B1" s="153">
        <f>IF(A2=1,A1-1,A1)</f>
        <v>2021</v>
      </c>
      <c r="F1" s="116">
        <v>2020</v>
      </c>
      <c r="G1" s="116">
        <v>2020</v>
      </c>
      <c r="H1" s="116">
        <v>2020</v>
      </c>
      <c r="I1" s="116">
        <v>2020</v>
      </c>
      <c r="J1" s="116">
        <v>2020</v>
      </c>
      <c r="K1" s="116">
        <v>2020</v>
      </c>
      <c r="L1" s="116">
        <v>2020</v>
      </c>
      <c r="M1" s="116">
        <v>2020</v>
      </c>
      <c r="N1" s="116">
        <v>2020</v>
      </c>
      <c r="O1" s="116">
        <v>2020</v>
      </c>
      <c r="P1" s="116">
        <v>2020</v>
      </c>
      <c r="Q1" s="116">
        <v>2020</v>
      </c>
      <c r="T1" s="116">
        <v>2021</v>
      </c>
      <c r="U1" s="116">
        <v>2021</v>
      </c>
      <c r="V1" s="116">
        <v>2021</v>
      </c>
      <c r="W1" s="116">
        <v>2021</v>
      </c>
      <c r="X1" s="116">
        <v>2021</v>
      </c>
      <c r="Y1" s="116">
        <v>2021</v>
      </c>
      <c r="Z1" s="116">
        <v>2021</v>
      </c>
      <c r="AA1" s="116">
        <v>2021</v>
      </c>
      <c r="AB1" s="116">
        <v>2021</v>
      </c>
      <c r="AC1" s="116">
        <v>2021</v>
      </c>
      <c r="AD1" s="116">
        <v>2021</v>
      </c>
      <c r="AE1" s="116">
        <v>2021</v>
      </c>
      <c r="AI1" s="2657"/>
      <c r="AJ1" s="2657"/>
      <c r="AK1" s="2657"/>
    </row>
    <row r="2" spans="1:39">
      <c r="A2" s="116">
        <f>'#经营概况'!$B$2</f>
        <v>8</v>
      </c>
      <c r="B2" s="153">
        <f>IF(A2=1,12,A2-1)</f>
        <v>7</v>
      </c>
      <c r="F2" s="116">
        <v>1</v>
      </c>
      <c r="G2" s="116">
        <v>2</v>
      </c>
      <c r="H2" s="116">
        <v>3</v>
      </c>
      <c r="I2" s="116">
        <v>4</v>
      </c>
      <c r="J2" s="116">
        <v>5</v>
      </c>
      <c r="K2" s="116">
        <v>6</v>
      </c>
      <c r="L2" s="116">
        <v>7</v>
      </c>
      <c r="M2" s="116">
        <v>8</v>
      </c>
      <c r="N2" s="116">
        <v>9</v>
      </c>
      <c r="O2" s="116">
        <v>10</v>
      </c>
      <c r="P2" s="116">
        <v>11</v>
      </c>
      <c r="Q2" s="116">
        <v>12</v>
      </c>
      <c r="T2" s="116">
        <v>1</v>
      </c>
      <c r="U2" s="116">
        <v>2</v>
      </c>
      <c r="V2" s="116">
        <v>3</v>
      </c>
      <c r="W2" s="116">
        <v>4</v>
      </c>
      <c r="X2" s="116">
        <v>5</v>
      </c>
      <c r="Y2" s="116">
        <v>6</v>
      </c>
      <c r="Z2" s="116">
        <v>7</v>
      </c>
      <c r="AA2" s="116">
        <v>8</v>
      </c>
      <c r="AB2" s="116">
        <v>9</v>
      </c>
      <c r="AC2" s="116">
        <v>10</v>
      </c>
      <c r="AD2" s="116">
        <v>11</v>
      </c>
      <c r="AE2" s="116">
        <v>12</v>
      </c>
    </row>
    <row r="3" spans="1:39" ht="14.25" customHeight="1">
      <c r="A3" s="2660" t="s">
        <v>3</v>
      </c>
      <c r="B3" s="2658" t="s">
        <v>417</v>
      </c>
      <c r="C3" s="2658" t="s">
        <v>418</v>
      </c>
      <c r="D3" s="2658"/>
      <c r="E3" s="2661" t="s">
        <v>419</v>
      </c>
      <c r="F3" s="2661"/>
      <c r="G3" s="2661"/>
      <c r="H3" s="2661"/>
      <c r="I3" s="2661"/>
      <c r="J3" s="2661"/>
      <c r="K3" s="2661"/>
      <c r="L3" s="2661"/>
      <c r="M3" s="2661"/>
      <c r="N3" s="2661"/>
      <c r="O3" s="2661"/>
      <c r="P3" s="2661"/>
      <c r="Q3" s="2661"/>
      <c r="R3" s="2662" t="s">
        <v>1264</v>
      </c>
      <c r="S3" s="2664" t="s">
        <v>1261</v>
      </c>
      <c r="T3" s="2665"/>
      <c r="U3" s="2665"/>
      <c r="V3" s="2665"/>
      <c r="W3" s="2665"/>
      <c r="X3" s="2665"/>
      <c r="Y3" s="2665"/>
      <c r="Z3" s="2665"/>
      <c r="AA3" s="2665"/>
      <c r="AB3" s="2665"/>
      <c r="AC3" s="2665"/>
      <c r="AD3" s="2665"/>
      <c r="AE3" s="2665"/>
      <c r="AF3" s="2665"/>
      <c r="AG3" s="2665"/>
      <c r="AH3" s="2665"/>
      <c r="AI3" s="2665"/>
      <c r="AJ3" s="2665"/>
      <c r="AK3" s="2666"/>
      <c r="AL3" s="2659" t="s">
        <v>420</v>
      </c>
      <c r="AM3" s="2659"/>
    </row>
    <row r="4" spans="1:39">
      <c r="A4" s="2660"/>
      <c r="B4" s="2658"/>
      <c r="C4" s="1220" t="s">
        <v>421</v>
      </c>
      <c r="D4" s="1220" t="s">
        <v>4</v>
      </c>
      <c r="E4" s="1934" t="s">
        <v>58</v>
      </c>
      <c r="F4" s="1936" t="s">
        <v>422</v>
      </c>
      <c r="G4" s="1936" t="s">
        <v>423</v>
      </c>
      <c r="H4" s="1934" t="s">
        <v>424</v>
      </c>
      <c r="I4" s="1934" t="s">
        <v>425</v>
      </c>
      <c r="J4" s="1934" t="s">
        <v>426</v>
      </c>
      <c r="K4" s="1934" t="s">
        <v>427</v>
      </c>
      <c r="L4" s="1936" t="s">
        <v>428</v>
      </c>
      <c r="M4" s="1936" t="s">
        <v>429</v>
      </c>
      <c r="N4" s="1934" t="s">
        <v>430</v>
      </c>
      <c r="O4" s="1934" t="s">
        <v>431</v>
      </c>
      <c r="P4" s="1934" t="s">
        <v>432</v>
      </c>
      <c r="Q4" s="1934" t="s">
        <v>421</v>
      </c>
      <c r="R4" s="2663"/>
      <c r="S4" s="1934" t="s">
        <v>58</v>
      </c>
      <c r="T4" s="1936" t="s">
        <v>422</v>
      </c>
      <c r="U4" s="1936" t="s">
        <v>423</v>
      </c>
      <c r="V4" s="1934" t="s">
        <v>424</v>
      </c>
      <c r="W4" s="1934" t="s">
        <v>425</v>
      </c>
      <c r="X4" s="1934" t="s">
        <v>426</v>
      </c>
      <c r="Y4" s="1934" t="s">
        <v>427</v>
      </c>
      <c r="Z4" s="1936" t="s">
        <v>428</v>
      </c>
      <c r="AA4" s="1936" t="s">
        <v>429</v>
      </c>
      <c r="AB4" s="1934" t="s">
        <v>430</v>
      </c>
      <c r="AC4" s="1934" t="s">
        <v>431</v>
      </c>
      <c r="AD4" s="1934" t="s">
        <v>432</v>
      </c>
      <c r="AE4" s="1934" t="s">
        <v>421</v>
      </c>
      <c r="AF4" s="1532" t="str">
        <f>IF($A$2=1,"12月",($A$2-1)&amp;"月")</f>
        <v>7月</v>
      </c>
      <c r="AG4" s="1532" t="str">
        <f>A2&amp;"月"</f>
        <v>8月</v>
      </c>
      <c r="AH4" s="1220" t="s">
        <v>5</v>
      </c>
      <c r="AI4" s="1220" t="s">
        <v>168</v>
      </c>
      <c r="AJ4" s="1230" t="s">
        <v>9</v>
      </c>
      <c r="AK4" s="1230" t="s">
        <v>7</v>
      </c>
      <c r="AL4" s="1230" t="s">
        <v>168</v>
      </c>
      <c r="AM4" s="1230" t="s">
        <v>9</v>
      </c>
    </row>
    <row r="5" spans="1:39">
      <c r="A5" s="2352" t="s">
        <v>433</v>
      </c>
      <c r="B5" s="1220"/>
      <c r="C5" s="1220"/>
      <c r="D5" s="1221"/>
      <c r="E5" s="1222" t="s">
        <v>434</v>
      </c>
      <c r="F5" s="1223"/>
      <c r="G5" s="1224"/>
      <c r="H5" s="1221"/>
      <c r="I5" s="1221"/>
      <c r="J5" s="1221"/>
      <c r="K5" s="1221"/>
      <c r="L5" s="1224"/>
      <c r="M5" s="1224"/>
      <c r="N5" s="1221"/>
      <c r="O5" s="1221"/>
      <c r="P5" s="1221"/>
      <c r="Q5" s="1221"/>
      <c r="R5" s="1935"/>
      <c r="S5" s="1935"/>
      <c r="T5" s="1935"/>
      <c r="U5" s="1935"/>
      <c r="V5" s="1935"/>
      <c r="W5" s="1935"/>
      <c r="X5" s="1935"/>
      <c r="Y5" s="1935"/>
      <c r="Z5" s="1935"/>
      <c r="AA5" s="1935"/>
      <c r="AB5" s="1935"/>
      <c r="AC5" s="1935"/>
      <c r="AD5" s="1935"/>
      <c r="AE5" s="1935"/>
      <c r="AF5" s="1533"/>
      <c r="AG5" s="1533"/>
      <c r="AH5" s="1221"/>
      <c r="AI5" s="1221"/>
      <c r="AJ5" s="951"/>
      <c r="AK5" s="951"/>
      <c r="AL5" s="1231"/>
      <c r="AM5" s="1231"/>
    </row>
    <row r="6" spans="1:39">
      <c r="A6" s="2353" t="s">
        <v>435</v>
      </c>
      <c r="B6" s="1225" t="s">
        <v>62</v>
      </c>
      <c r="C6" s="1226">
        <v>90.304299999999998</v>
      </c>
      <c r="D6" s="1227">
        <v>971.01509999999996</v>
      </c>
      <c r="E6" s="1227">
        <v>937.9</v>
      </c>
      <c r="F6" s="1228">
        <f>58.3283+4</f>
        <v>62.328299999999999</v>
      </c>
      <c r="G6" s="1228">
        <v>61.828299999999999</v>
      </c>
      <c r="H6" s="1227">
        <v>79.457380000000001</v>
      </c>
      <c r="I6" s="1228">
        <v>90.094465999999997</v>
      </c>
      <c r="J6" s="1228">
        <v>72.093064999999996</v>
      </c>
      <c r="K6" s="1228">
        <v>73.787653000000006</v>
      </c>
      <c r="L6" s="1228">
        <v>82.308498</v>
      </c>
      <c r="M6" s="1228">
        <v>66.507315000000006</v>
      </c>
      <c r="N6" s="1227">
        <v>83.668060639999993</v>
      </c>
      <c r="O6" s="1227">
        <v>76.346767060000005</v>
      </c>
      <c r="P6" s="1227">
        <v>93.899228199999996</v>
      </c>
      <c r="Q6" s="1227">
        <v>118.7942225</v>
      </c>
      <c r="R6" s="2030">
        <f>SUM(F6:Q6)</f>
        <v>961.11325540000007</v>
      </c>
      <c r="S6" s="2004">
        <v>1220.5899999999999</v>
      </c>
      <c r="T6" s="2004">
        <v>81.325800000000001</v>
      </c>
      <c r="U6" s="2004">
        <v>93.782764200000003</v>
      </c>
      <c r="V6" s="2004">
        <v>107.14260438999999</v>
      </c>
      <c r="W6" s="2004">
        <v>122.62344591999999</v>
      </c>
      <c r="X6" s="2004">
        <v>127.07397378</v>
      </c>
      <c r="Y6" s="2004">
        <v>134.30590135</v>
      </c>
      <c r="Z6" s="2004">
        <v>134.11902776000002</v>
      </c>
      <c r="AA6" s="2004">
        <v>130.33400146</v>
      </c>
      <c r="AB6" s="2004"/>
      <c r="AC6" s="2004"/>
      <c r="AD6" s="2004"/>
      <c r="AE6" s="2004"/>
      <c r="AF6" s="2029">
        <f>SUMIFS(6:6,$1:$1,"="&amp;$B$1,$2:$2,"="&amp;$B$2)</f>
        <v>134.11902776000002</v>
      </c>
      <c r="AG6" s="2029">
        <f>SUMIFS(6:6,$1:$1,"="&amp;$A$1,$2:$2,"="&amp;$A$2)</f>
        <v>130.33400146</v>
      </c>
      <c r="AH6" s="2028">
        <v>927.07121400749998</v>
      </c>
      <c r="AI6" s="957">
        <f>AG6-SUMIFS(6:6,$1:$1,"="&amp;$A$1-1,$2:$2,"="&amp;$A$2)</f>
        <v>63.826686459999991</v>
      </c>
      <c r="AJ6" s="957">
        <f>AG6-S6/12</f>
        <v>28.618168126666674</v>
      </c>
      <c r="AK6" s="957">
        <f>AG6-AF6</f>
        <v>-3.7850263000000268</v>
      </c>
      <c r="AL6" s="957">
        <f>AH6-SUMIFS(6:6,$1:$1,"="&amp;$A$1-1,$2:$2,"&lt;="&amp;$A$2)</f>
        <v>338.66623700750006</v>
      </c>
      <c r="AM6" s="957">
        <f>AH6-S6/12*$A$2</f>
        <v>113.3445473408334</v>
      </c>
    </row>
    <row r="7" spans="1:39">
      <c r="A7" s="2353" t="s">
        <v>436</v>
      </c>
      <c r="B7" s="1225" t="s">
        <v>62</v>
      </c>
      <c r="C7" s="1226">
        <v>76.577771999999996</v>
      </c>
      <c r="D7" s="1227">
        <v>894.52927199999999</v>
      </c>
      <c r="E7" s="1227">
        <v>849.86</v>
      </c>
      <c r="F7" s="1228">
        <v>62.341299999999997</v>
      </c>
      <c r="G7" s="1228">
        <v>66.845399999999998</v>
      </c>
      <c r="H7" s="1227">
        <v>61.847679999999997</v>
      </c>
      <c r="I7" s="1228">
        <v>64.077066000000002</v>
      </c>
      <c r="J7" s="1228">
        <v>55.531965</v>
      </c>
      <c r="K7" s="1228">
        <v>71.484643000000005</v>
      </c>
      <c r="L7" s="1228">
        <v>71.250615999999994</v>
      </c>
      <c r="M7" s="1228">
        <v>56.893868500000004</v>
      </c>
      <c r="N7" s="1227">
        <v>78.464563039999987</v>
      </c>
      <c r="O7" s="1227">
        <v>74.321846549999989</v>
      </c>
      <c r="P7" s="1227">
        <v>80.429002200000014</v>
      </c>
      <c r="Q7" s="1227">
        <v>103.06971999999999</v>
      </c>
      <c r="R7" s="2030">
        <f t="shared" ref="R7" si="0">SUM(F7:Q7)</f>
        <v>846.55767029000003</v>
      </c>
      <c r="S7" s="2004">
        <v>1105.32</v>
      </c>
      <c r="T7" s="2004">
        <v>80.330299999999994</v>
      </c>
      <c r="U7" s="2004">
        <v>74.436951976000003</v>
      </c>
      <c r="V7" s="2004">
        <v>82.026286876699999</v>
      </c>
      <c r="W7" s="2004">
        <v>97.778445919999996</v>
      </c>
      <c r="X7" s="2004">
        <v>86.321273779999999</v>
      </c>
      <c r="Y7" s="2004">
        <v>107.76500134999999</v>
      </c>
      <c r="Z7" s="2004">
        <v>111.19710775999999</v>
      </c>
      <c r="AA7" s="2004">
        <v>101.89350146</v>
      </c>
      <c r="AB7" s="2004"/>
      <c r="AC7" s="2004"/>
      <c r="AD7" s="2004"/>
      <c r="AE7" s="2004"/>
      <c r="AF7" s="2029">
        <f>SUMIFS(7:7,$1:$1,"="&amp;$B$1,$2:$2,"="&amp;$B$2)</f>
        <v>111.19710775999999</v>
      </c>
      <c r="AG7" s="2029">
        <f>SUMIFS(7:7,$1:$1,"="&amp;$A$1,$2:$2,"="&amp;$A$2)</f>
        <v>101.89350146</v>
      </c>
      <c r="AH7" s="2028">
        <v>738.42501229400023</v>
      </c>
      <c r="AI7" s="957">
        <f>AG7-SUMIFS(7:7,$1:$1,"="&amp;$A$1-1,$2:$2,"="&amp;$A$2)</f>
        <v>44.999632959999992</v>
      </c>
      <c r="AJ7" s="957">
        <f>AG7-S7/12</f>
        <v>9.7835014599999965</v>
      </c>
      <c r="AK7" s="957">
        <f>AG7-AF7</f>
        <v>-9.3036062999999984</v>
      </c>
      <c r="AL7" s="957">
        <f>AH7-SUMIFS(7:7,$1:$1,"="&amp;$A$1-1,$2:$2,"&lt;="&amp;$A$2)</f>
        <v>228.15247379400023</v>
      </c>
      <c r="AM7" s="957">
        <f t="shared" ref="AM7:AM16" si="1">AH7-S7/12*$A$2</f>
        <v>1.5450122940002302</v>
      </c>
    </row>
    <row r="8" spans="1:39">
      <c r="A8" s="2354" t="s">
        <v>437</v>
      </c>
      <c r="B8" s="1225" t="s">
        <v>62</v>
      </c>
      <c r="C8" s="1226">
        <v>13.726528</v>
      </c>
      <c r="D8" s="1227">
        <v>76.485827999999998</v>
      </c>
      <c r="E8" s="1227">
        <v>88.04</v>
      </c>
      <c r="F8" s="1228">
        <f>-4.013+4</f>
        <v>-1.2999999999999901E-2</v>
      </c>
      <c r="G8" s="1228">
        <v>-5.0171000000000001</v>
      </c>
      <c r="H8" s="1227">
        <v>17.6097</v>
      </c>
      <c r="I8" s="1228">
        <v>26.017399999999999</v>
      </c>
      <c r="J8" s="1228">
        <v>16.5611</v>
      </c>
      <c r="K8" s="1228">
        <v>2.30301</v>
      </c>
      <c r="L8" s="1228">
        <v>11.057882000000001</v>
      </c>
      <c r="M8" s="1228">
        <v>9.6134465000000002</v>
      </c>
      <c r="N8" s="1227">
        <v>5.2034975999999995</v>
      </c>
      <c r="O8" s="1227">
        <v>2.0249205100000007</v>
      </c>
      <c r="P8" s="1227">
        <v>13.470225999999998</v>
      </c>
      <c r="Q8" s="1227">
        <v>15.7245025</v>
      </c>
      <c r="R8" s="2030">
        <f>SUM(F8:Q8)+1</f>
        <v>115.55558511</v>
      </c>
      <c r="S8" s="2004">
        <v>115.27</v>
      </c>
      <c r="T8" s="2054">
        <f>T6-T7</f>
        <v>0.99550000000000693</v>
      </c>
      <c r="U8" s="2004">
        <v>19.345812223999999</v>
      </c>
      <c r="V8" s="2004">
        <v>25.1163175133</v>
      </c>
      <c r="W8" s="2004">
        <v>24.844999999999999</v>
      </c>
      <c r="X8" s="2004">
        <v>40.752699999999997</v>
      </c>
      <c r="Y8" s="2004">
        <v>26.540900000000001</v>
      </c>
      <c r="Z8" s="2004">
        <v>22.92192</v>
      </c>
      <c r="AA8" s="2004">
        <v>28.4405</v>
      </c>
      <c r="AB8" s="2004"/>
      <c r="AC8" s="2004"/>
      <c r="AD8" s="2004"/>
      <c r="AE8" s="2004"/>
      <c r="AF8" s="2029">
        <f>SUMIFS(8:8,$1:$1,"="&amp;$B$1,$2:$2,"="&amp;$B$2)</f>
        <v>22.92192</v>
      </c>
      <c r="AG8" s="2199">
        <f>SUMIFS(8:8,$1:$1,"="&amp;$A$1,$2:$2,"="&amp;$A$2)</f>
        <v>28.4405</v>
      </c>
      <c r="AH8" s="2028">
        <v>188.64620171350001</v>
      </c>
      <c r="AI8" s="957">
        <f>AG8-SUMIFS(8:8,$1:$1,"="&amp;$A$1-1,$2:$2,"="&amp;$A$2)</f>
        <v>18.827053499999998</v>
      </c>
      <c r="AJ8" s="957">
        <f>AG8-S8/12</f>
        <v>18.834666666666667</v>
      </c>
      <c r="AK8" s="957">
        <f>AG8-AF8</f>
        <v>5.51858</v>
      </c>
      <c r="AL8" s="957">
        <f>AH8-SUMIFS(8:8,$1:$1,"="&amp;$A$1-1,$2:$2,"&lt;="&amp;$A$2)</f>
        <v>110.51376321350001</v>
      </c>
      <c r="AM8" s="957">
        <f t="shared" si="1"/>
        <v>111.79953504683334</v>
      </c>
    </row>
    <row r="9" spans="1:39">
      <c r="A9" s="2352" t="s">
        <v>438</v>
      </c>
      <c r="B9" s="1225" t="s">
        <v>62</v>
      </c>
      <c r="C9" s="1226"/>
      <c r="D9" s="1227"/>
      <c r="E9" s="1227"/>
      <c r="F9" s="1228"/>
      <c r="G9" s="1228"/>
      <c r="H9" s="1227"/>
      <c r="I9" s="1228"/>
      <c r="J9" s="1228"/>
      <c r="K9" s="1228"/>
      <c r="L9" s="1228"/>
      <c r="M9" s="1228"/>
      <c r="N9" s="1227"/>
      <c r="O9" s="1227"/>
      <c r="P9" s="1227"/>
      <c r="Q9" s="1227"/>
      <c r="R9" s="2030"/>
      <c r="S9" s="2004"/>
      <c r="T9" s="2004"/>
      <c r="U9" s="2004"/>
      <c r="V9" s="2004"/>
      <c r="W9" s="2004"/>
      <c r="X9" s="2004"/>
      <c r="Y9" s="2004"/>
      <c r="Z9" s="2004"/>
      <c r="AA9" s="2004"/>
      <c r="AB9" s="2004"/>
      <c r="AC9" s="2004"/>
      <c r="AD9" s="2004"/>
      <c r="AE9" s="2004"/>
      <c r="AF9" s="2029"/>
      <c r="AG9" s="2029"/>
      <c r="AH9" s="2028"/>
      <c r="AI9" s="957"/>
      <c r="AJ9" s="957"/>
      <c r="AK9" s="957"/>
      <c r="AL9" s="957"/>
      <c r="AM9" s="957"/>
    </row>
    <row r="10" spans="1:39">
      <c r="A10" s="2353" t="s">
        <v>439</v>
      </c>
      <c r="B10" s="1225" t="s">
        <v>62</v>
      </c>
      <c r="C10" s="1226">
        <v>8.9548000000000005</v>
      </c>
      <c r="D10" s="1227">
        <v>100.9686</v>
      </c>
      <c r="E10" s="1227">
        <v>24.26</v>
      </c>
      <c r="F10" s="1228">
        <v>1.6819999999999999</v>
      </c>
      <c r="G10" s="1228">
        <v>9.0845000000000002</v>
      </c>
      <c r="H10" s="1227">
        <v>7.2022000000000004</v>
      </c>
      <c r="I10" s="1228">
        <v>2.4805000000000001</v>
      </c>
      <c r="J10" s="1228">
        <v>10.553100000000001</v>
      </c>
      <c r="K10" s="1228">
        <v>12.094900000000001</v>
      </c>
      <c r="L10" s="1228">
        <v>4.7816999999999998</v>
      </c>
      <c r="M10" s="1228">
        <v>15.4857</v>
      </c>
      <c r="N10" s="1227">
        <v>8.0902999999999992</v>
      </c>
      <c r="O10" s="1227">
        <v>5.5094000000000003</v>
      </c>
      <c r="P10" s="1227">
        <v>3.6598000000000002</v>
      </c>
      <c r="Q10" s="1227">
        <v>13.1953</v>
      </c>
      <c r="R10" s="2030">
        <f t="shared" ref="R10:R12" si="2">SUM(F10:Q10)</f>
        <v>93.819400000000016</v>
      </c>
      <c r="S10" s="2004">
        <v>30.962599999999998</v>
      </c>
      <c r="T10" s="2004">
        <v>4.2405999999999997</v>
      </c>
      <c r="U10" s="2004">
        <v>1.0998000000000001</v>
      </c>
      <c r="V10" s="2004">
        <v>4.9539</v>
      </c>
      <c r="W10" s="2004">
        <v>4.0879000000000003</v>
      </c>
      <c r="X10" s="2004">
        <v>1.1569</v>
      </c>
      <c r="Y10" s="2004">
        <v>5.6661000000000001</v>
      </c>
      <c r="Z10" s="2004">
        <v>2.5939000000000001</v>
      </c>
      <c r="AA10" s="2004">
        <v>7.8968999999999996</v>
      </c>
      <c r="AB10" s="2004"/>
      <c r="AC10" s="2004"/>
      <c r="AD10" s="2004"/>
      <c r="AE10" s="2004"/>
      <c r="AF10" s="2029">
        <f>SUMIFS(10:10,$1:$1,"="&amp;$B$1,$2:$2,"="&amp;$B$2)</f>
        <v>2.5939000000000001</v>
      </c>
      <c r="AG10" s="2029">
        <f>SUMIFS(10:10,$1:$1,"="&amp;$A$1,$2:$2,"="&amp;$A$2)</f>
        <v>7.8968999999999996</v>
      </c>
      <c r="AH10" s="2028">
        <v>29.1574767856</v>
      </c>
      <c r="AI10" s="957">
        <f>AG10-SUMIFS(10:10,$1:$1,"="&amp;$A$1-1,$2:$2,"="&amp;$A$2)</f>
        <v>-7.5888</v>
      </c>
      <c r="AJ10" s="957">
        <f>AG10-S10/12</f>
        <v>5.3166833333333336</v>
      </c>
      <c r="AK10" s="957">
        <f>AG10-AF10</f>
        <v>5.302999999999999</v>
      </c>
      <c r="AL10" s="957">
        <f>AH10-SUMIFS(10:10,$1:$1,"="&amp;$A$1-1,$2:$2,"&lt;="&amp;$A$2)</f>
        <v>-34.207123214399999</v>
      </c>
      <c r="AM10" s="957">
        <f t="shared" si="1"/>
        <v>8.5157434522666691</v>
      </c>
    </row>
    <row r="11" spans="1:39">
      <c r="A11" s="2353" t="s">
        <v>440</v>
      </c>
      <c r="B11" s="1225" t="s">
        <v>62</v>
      </c>
      <c r="C11" s="1226">
        <v>9.7577999999999996</v>
      </c>
      <c r="D11" s="1227">
        <v>110.15479999999999</v>
      </c>
      <c r="E11" s="1227">
        <v>110.44</v>
      </c>
      <c r="F11" s="1228">
        <v>13.424099999999999</v>
      </c>
      <c r="G11" s="1228">
        <v>14.138500000000001</v>
      </c>
      <c r="H11" s="1227">
        <v>16.503499999999999</v>
      </c>
      <c r="I11" s="1228">
        <v>4.9042000000000003</v>
      </c>
      <c r="J11" s="1228">
        <v>13.4786</v>
      </c>
      <c r="K11" s="1228">
        <v>18.3384</v>
      </c>
      <c r="L11" s="1228">
        <v>8.2901000000000007</v>
      </c>
      <c r="M11" s="1228">
        <v>26.8931</v>
      </c>
      <c r="N11" s="1227">
        <v>8.5045999999999999</v>
      </c>
      <c r="O11" s="1227">
        <v>2.6779999999999999</v>
      </c>
      <c r="P11" s="1227">
        <v>12.3447</v>
      </c>
      <c r="Q11" s="1227">
        <v>14.6318</v>
      </c>
      <c r="R11" s="2030">
        <f t="shared" si="2"/>
        <v>154.12959999999998</v>
      </c>
      <c r="S11" s="2004">
        <v>179.99813399999999</v>
      </c>
      <c r="T11" s="2004">
        <v>11.7613</v>
      </c>
      <c r="U11" s="2004">
        <v>12.2438</v>
      </c>
      <c r="V11" s="2004">
        <v>2.8489</v>
      </c>
      <c r="W11" s="2004">
        <v>4.8295000000000003</v>
      </c>
      <c r="X11" s="2004">
        <v>7.3201999999999998</v>
      </c>
      <c r="Y11" s="2004">
        <v>4.9622999999999999</v>
      </c>
      <c r="Z11" s="2004">
        <v>3.3237999999999999</v>
      </c>
      <c r="AA11" s="2004">
        <v>3.1025</v>
      </c>
      <c r="AB11" s="2004"/>
      <c r="AC11" s="2004"/>
      <c r="AD11" s="2004"/>
      <c r="AE11" s="2004"/>
      <c r="AF11" s="2029">
        <f>SUMIFS(11:11,$1:$1,"="&amp;$B$1,$2:$2,"="&amp;$B$2)</f>
        <v>3.3237999999999999</v>
      </c>
      <c r="AG11" s="2029">
        <f>SUMIFS(11:11,$1:$1,"="&amp;$A$1,$2:$2,"="&amp;$A$2)</f>
        <v>3.1025</v>
      </c>
      <c r="AH11" s="2028">
        <v>44.850768681399998</v>
      </c>
      <c r="AI11" s="957">
        <f>AG11-SUMIFS(11:11,$1:$1,"="&amp;$A$1-1,$2:$2,"="&amp;$A$2)</f>
        <v>-23.790600000000001</v>
      </c>
      <c r="AJ11" s="957">
        <f>AG11-S11/12</f>
        <v>-11.897344499999999</v>
      </c>
      <c r="AK11" s="957">
        <f>AG11-AF11</f>
        <v>-0.22129999999999983</v>
      </c>
      <c r="AL11" s="957">
        <f>AH11-SUMIFS(11:11,$1:$1,"="&amp;$A$1-1,$2:$2,"&lt;="&amp;$A$2)</f>
        <v>-71.119731318600003</v>
      </c>
      <c r="AM11" s="957">
        <f t="shared" si="1"/>
        <v>-75.147987318600002</v>
      </c>
    </row>
    <row r="12" spans="1:39">
      <c r="A12" s="2354" t="s">
        <v>441</v>
      </c>
      <c r="B12" s="1225" t="s">
        <v>62</v>
      </c>
      <c r="C12" s="1226">
        <v>-0.80300000000000005</v>
      </c>
      <c r="D12" s="1227">
        <v>-9.1861999999999995</v>
      </c>
      <c r="E12" s="1227">
        <v>-86.18</v>
      </c>
      <c r="F12" s="1228">
        <v>-11.742100000000001</v>
      </c>
      <c r="G12" s="1228">
        <v>-5.0540000000000003</v>
      </c>
      <c r="H12" s="1227">
        <v>-9.3012999999999995</v>
      </c>
      <c r="I12" s="1228">
        <v>-2.4237000000000002</v>
      </c>
      <c r="J12" s="1228">
        <v>-2.9255</v>
      </c>
      <c r="K12" s="1228">
        <v>-6.2435</v>
      </c>
      <c r="L12" s="1228">
        <v>-3.5084</v>
      </c>
      <c r="M12" s="1228">
        <v>-11.407400000000001</v>
      </c>
      <c r="N12" s="1227">
        <v>-0.4143</v>
      </c>
      <c r="O12" s="1227">
        <v>2.8313999999999999</v>
      </c>
      <c r="P12" s="1227">
        <v>-8.6849000000000007</v>
      </c>
      <c r="Q12" s="1227">
        <v>-1.4365000000000001</v>
      </c>
      <c r="R12" s="2030">
        <f t="shared" si="2"/>
        <v>-60.310200000000002</v>
      </c>
      <c r="S12" s="2004">
        <v>-149.03553399999998</v>
      </c>
      <c r="T12" s="2004">
        <f>T10-T11</f>
        <v>-7.5207000000000006</v>
      </c>
      <c r="U12" s="2004">
        <v>-11.144</v>
      </c>
      <c r="V12" s="2004">
        <v>2.105</v>
      </c>
      <c r="W12" s="2004">
        <v>-0.74160000000000004</v>
      </c>
      <c r="X12" s="2004">
        <v>-6.1632999999999996</v>
      </c>
      <c r="Y12" s="2004">
        <v>0.70379999999999998</v>
      </c>
      <c r="Z12" s="2004">
        <v>-0.72989999999999999</v>
      </c>
      <c r="AA12" s="2004">
        <v>4.7944000000000004</v>
      </c>
      <c r="AB12" s="2004"/>
      <c r="AC12" s="2004"/>
      <c r="AD12" s="2004"/>
      <c r="AE12" s="2004"/>
      <c r="AF12" s="2029">
        <f>SUMIFS(12:12,$1:$1,"="&amp;$B$1,$2:$2,"="&amp;$B$2)</f>
        <v>-0.72989999999999999</v>
      </c>
      <c r="AG12" s="2029">
        <f>SUMIFS(12:12,$1:$1,"="&amp;$A$1,$2:$2,"="&amp;$A$2)</f>
        <v>4.7944000000000004</v>
      </c>
      <c r="AH12" s="2028">
        <v>-15.693291895800002</v>
      </c>
      <c r="AI12" s="957">
        <f>AG12-SUMIFS(12:12,$1:$1,"="&amp;$A$1-1,$2:$2,"="&amp;$A$2)</f>
        <v>16.201800000000002</v>
      </c>
      <c r="AJ12" s="957">
        <f>AG12-S12/12</f>
        <v>17.214027833333333</v>
      </c>
      <c r="AK12" s="957">
        <f>AG12-AF12</f>
        <v>5.5243000000000002</v>
      </c>
      <c r="AL12" s="957">
        <f>AH12-SUMIFS(12:12,$1:$1,"="&amp;$A$1-1,$2:$2,"&lt;="&amp;$A$2)</f>
        <v>36.912608104200004</v>
      </c>
      <c r="AM12" s="957">
        <f t="shared" si="1"/>
        <v>83.66373077086665</v>
      </c>
    </row>
    <row r="13" spans="1:39">
      <c r="A13" s="2352" t="s">
        <v>442</v>
      </c>
      <c r="B13" s="1225" t="s">
        <v>62</v>
      </c>
      <c r="C13" s="1226"/>
      <c r="D13" s="1227"/>
      <c r="E13" s="1227"/>
      <c r="F13" s="1228"/>
      <c r="G13" s="1228"/>
      <c r="H13" s="1227"/>
      <c r="I13" s="1228"/>
      <c r="J13" s="1228"/>
      <c r="K13" s="1228"/>
      <c r="L13" s="1228"/>
      <c r="M13" s="1228"/>
      <c r="N13" s="1227"/>
      <c r="O13" s="1227"/>
      <c r="P13" s="1227"/>
      <c r="Q13" s="1227"/>
      <c r="R13" s="2030"/>
      <c r="S13" s="2004"/>
      <c r="T13" s="2004"/>
      <c r="U13" s="2004"/>
      <c r="V13" s="2004"/>
      <c r="W13" s="2004"/>
      <c r="X13" s="2004"/>
      <c r="Y13" s="2004"/>
      <c r="Z13" s="2004"/>
      <c r="AA13" s="2004"/>
      <c r="AB13" s="2004"/>
      <c r="AC13" s="2004"/>
      <c r="AD13" s="2004"/>
      <c r="AE13" s="2004"/>
      <c r="AF13" s="2029"/>
      <c r="AG13" s="2029"/>
      <c r="AH13" s="2028"/>
      <c r="AI13" s="957"/>
      <c r="AJ13" s="957"/>
      <c r="AK13" s="957"/>
      <c r="AL13" s="957"/>
      <c r="AM13" s="957"/>
    </row>
    <row r="14" spans="1:39">
      <c r="A14" s="2355" t="s">
        <v>1490</v>
      </c>
      <c r="B14" s="1225" t="s">
        <v>62</v>
      </c>
      <c r="C14" s="1226">
        <v>90.1965</v>
      </c>
      <c r="D14" s="1227">
        <v>637.56659999999999</v>
      </c>
      <c r="E14" s="1227">
        <v>286.7</v>
      </c>
      <c r="F14" s="1228">
        <v>40.909999999999997</v>
      </c>
      <c r="G14" s="1228">
        <v>55.395200000000003</v>
      </c>
      <c r="H14" s="1227">
        <v>82.521500000000003</v>
      </c>
      <c r="I14" s="1228">
        <v>39.328600000000002</v>
      </c>
      <c r="J14" s="1228">
        <v>44.543500000000002</v>
      </c>
      <c r="K14" s="1228">
        <v>62.896799999999999</v>
      </c>
      <c r="L14" s="1228">
        <v>35.548400000000001</v>
      </c>
      <c r="M14" s="1228">
        <v>51.4786</v>
      </c>
      <c r="N14" s="1227">
        <v>58.768999999999998</v>
      </c>
      <c r="O14" s="1227">
        <v>33.432099999999998</v>
      </c>
      <c r="P14" s="1227">
        <v>33.363700000000001</v>
      </c>
      <c r="Q14" s="1227">
        <v>47.351900000000001</v>
      </c>
      <c r="R14" s="2030">
        <f t="shared" ref="R14:R17" si="3">SUM(F14:Q14)</f>
        <v>585.53930000000003</v>
      </c>
      <c r="S14" s="2004">
        <v>871.28599700000007</v>
      </c>
      <c r="T14" s="2004">
        <v>56.132199999999997</v>
      </c>
      <c r="U14" s="2004">
        <v>34.805900000000001</v>
      </c>
      <c r="V14" s="2004">
        <v>27.9938</v>
      </c>
      <c r="W14" s="2004">
        <v>34.461100000000002</v>
      </c>
      <c r="X14" s="2004">
        <v>24.096599999999999</v>
      </c>
      <c r="Y14" s="2004">
        <v>36.889299999999999</v>
      </c>
      <c r="Z14" s="2004">
        <v>27.855699999999999</v>
      </c>
      <c r="AA14" s="2004">
        <v>31.165600000000001</v>
      </c>
      <c r="AB14" s="2004"/>
      <c r="AC14" s="2004"/>
      <c r="AD14" s="2004"/>
      <c r="AE14" s="2004"/>
      <c r="AF14" s="2029">
        <f>SUMIFS(14:14,$1:$1,"="&amp;$B$1,$2:$2,"="&amp;$B$2)</f>
        <v>27.855699999999999</v>
      </c>
      <c r="AG14" s="2029">
        <f>SUMIFS(14:14,$1:$1,"="&amp;$A$1,$2:$2,"="&amp;$A$2)</f>
        <v>31.165600000000001</v>
      </c>
      <c r="AH14" s="2028">
        <v>273.39574199999998</v>
      </c>
      <c r="AI14" s="957">
        <f>AG14-SUMIFS(14:14,$1:$1,"="&amp;$A$1-1,$2:$2,"="&amp;$A$2)</f>
        <v>-20.312999999999999</v>
      </c>
      <c r="AJ14" s="957">
        <f>AG14-S14/12</f>
        <v>-41.441566416666674</v>
      </c>
      <c r="AK14" s="957">
        <f>AG14-AF14</f>
        <v>3.3099000000000025</v>
      </c>
      <c r="AL14" s="957">
        <f>AH14-SUMIFS(14:14,$1:$1,"="&amp;$A$1-1,$2:$2,"&lt;="&amp;$A$2)</f>
        <v>-139.22685800000005</v>
      </c>
      <c r="AM14" s="957">
        <f t="shared" si="1"/>
        <v>-307.46158933333339</v>
      </c>
    </row>
    <row r="15" spans="1:39">
      <c r="A15" s="2355" t="s">
        <v>1491</v>
      </c>
      <c r="B15" s="1225" t="s">
        <v>62</v>
      </c>
      <c r="C15" s="1226">
        <v>89.631528000000003</v>
      </c>
      <c r="D15" s="1227">
        <v>703.91012799999999</v>
      </c>
      <c r="E15" s="1227">
        <v>289.61</v>
      </c>
      <c r="F15" s="1228">
        <v>39.9116</v>
      </c>
      <c r="G15" s="1228">
        <v>44.7288</v>
      </c>
      <c r="H15" s="1227">
        <v>76.183800000000005</v>
      </c>
      <c r="I15" s="1228">
        <v>52.714700000000001</v>
      </c>
      <c r="J15" s="1228">
        <v>50.491500000000002</v>
      </c>
      <c r="K15" s="1228">
        <v>76.482855000000001</v>
      </c>
      <c r="L15" s="1228">
        <v>56.900482000000004</v>
      </c>
      <c r="M15" s="1228">
        <v>30.903446500000001</v>
      </c>
      <c r="N15" s="1227">
        <v>50.880197600000002</v>
      </c>
      <c r="O15" s="1227">
        <v>35.517405099999998</v>
      </c>
      <c r="P15" s="1227">
        <v>36.525618999999999</v>
      </c>
      <c r="Q15" s="1227">
        <v>89.045562500000003</v>
      </c>
      <c r="R15" s="2030">
        <f t="shared" si="3"/>
        <v>640.2859676999999</v>
      </c>
      <c r="S15" s="2004">
        <v>817.67912699999999</v>
      </c>
      <c r="T15" s="2004">
        <v>39.108499999999999</v>
      </c>
      <c r="U15" s="2004">
        <v>31.667312224</v>
      </c>
      <c r="V15" s="2004">
        <v>53.827317513300002</v>
      </c>
      <c r="W15" s="2004">
        <v>64.498800000000003</v>
      </c>
      <c r="X15" s="2004">
        <v>42.597299999999997</v>
      </c>
      <c r="Y15" s="2004">
        <v>65.572999999999993</v>
      </c>
      <c r="Z15" s="2004">
        <v>39.018300000000004</v>
      </c>
      <c r="AA15" s="2004">
        <v>73.893100000000004</v>
      </c>
      <c r="AB15" s="2004"/>
      <c r="AC15" s="2004"/>
      <c r="AD15" s="2004"/>
      <c r="AE15" s="2004"/>
      <c r="AF15" s="2029">
        <f>SUMIFS(15:15,$1:$1,"="&amp;$B$1,$2:$2,"="&amp;$B$2)</f>
        <v>39.018300000000004</v>
      </c>
      <c r="AG15" s="2029">
        <f>SUMIFS(15:15,$1:$1,"="&amp;$A$1,$2:$2,"="&amp;$A$2)</f>
        <v>73.893100000000004</v>
      </c>
      <c r="AH15" s="2028">
        <v>410.18360910429999</v>
      </c>
      <c r="AI15" s="957">
        <f>AG15-SUMIFS(15:15,$1:$1,"="&amp;$A$1-1,$2:$2,"="&amp;$A$2)</f>
        <v>42.989653500000003</v>
      </c>
      <c r="AJ15" s="957">
        <f>AG15-S15/12</f>
        <v>5.7531727500000045</v>
      </c>
      <c r="AK15" s="957">
        <f>AG15-AF15</f>
        <v>34.8748</v>
      </c>
      <c r="AL15" s="957">
        <f>AH15-SUMIFS(15:15,$1:$1,"="&amp;$A$1-1,$2:$2,"&lt;="&amp;$A$2)</f>
        <v>-18.133574395699952</v>
      </c>
      <c r="AM15" s="957">
        <f t="shared" si="1"/>
        <v>-134.93580889570001</v>
      </c>
    </row>
    <row r="16" spans="1:39">
      <c r="A16" s="2356" t="s">
        <v>1492</v>
      </c>
      <c r="B16" s="1225" t="s">
        <v>62</v>
      </c>
      <c r="C16" s="1226">
        <v>0.56497200000000003</v>
      </c>
      <c r="D16" s="1227">
        <v>-66.343528000000006</v>
      </c>
      <c r="E16" s="1227">
        <v>-2.91</v>
      </c>
      <c r="F16" s="1228">
        <v>0.99839999999999995</v>
      </c>
      <c r="G16" s="1228">
        <v>10.666399999999999</v>
      </c>
      <c r="H16" s="1227">
        <v>6.3376999999999999</v>
      </c>
      <c r="I16" s="1228">
        <v>-13.386100000000001</v>
      </c>
      <c r="J16" s="1228">
        <v>-5.9480000000000004</v>
      </c>
      <c r="K16" s="1228">
        <v>-13.586055</v>
      </c>
      <c r="L16" s="1228">
        <v>-21.352081999999999</v>
      </c>
      <c r="M16" s="1228">
        <v>20.575153499999999</v>
      </c>
      <c r="N16" s="1227">
        <v>7.8888024000000003</v>
      </c>
      <c r="O16" s="1227">
        <v>-2.0853051000000007</v>
      </c>
      <c r="P16" s="1227">
        <v>-3.1619190000000001</v>
      </c>
      <c r="Q16" s="1227">
        <v>-41.693662500000002</v>
      </c>
      <c r="R16" s="2030">
        <f t="shared" si="3"/>
        <v>-54.74666770000001</v>
      </c>
      <c r="S16" s="2004">
        <v>53.606870000000022</v>
      </c>
      <c r="T16" s="2004">
        <v>28.082150999999996</v>
      </c>
      <c r="U16" s="2004">
        <v>3.1385877760000005</v>
      </c>
      <c r="V16" s="2004">
        <v>-25.833517513300002</v>
      </c>
      <c r="W16" s="2004">
        <v>-30.037700000000001</v>
      </c>
      <c r="X16" s="2004">
        <v>-18.500699999999998</v>
      </c>
      <c r="Y16" s="2004">
        <v>-28.683700000000002</v>
      </c>
      <c r="Z16" s="2004">
        <v>-11.162599999999999</v>
      </c>
      <c r="AA16" s="2004">
        <v>-42.727499999999999</v>
      </c>
      <c r="AB16" s="2004"/>
      <c r="AC16" s="2004"/>
      <c r="AD16" s="2004"/>
      <c r="AE16" s="2004"/>
      <c r="AF16" s="2029">
        <f>SUMIFS(16:16,$1:$1,"="&amp;$B$1,$2:$2,"="&amp;$B$2)</f>
        <v>-11.162599999999999</v>
      </c>
      <c r="AG16" s="2029">
        <f>SUMIFS(16:16,$1:$1,"="&amp;$A$1,$2:$2,"="&amp;$A$2)</f>
        <v>-42.727499999999999</v>
      </c>
      <c r="AH16" s="2028">
        <v>-136.78786710430001</v>
      </c>
      <c r="AI16" s="957">
        <f>AG16-SUMIFS(16:16,$1:$1,"="&amp;$A$1-1,$2:$2,"="&amp;$A$2)</f>
        <v>-63.302653499999998</v>
      </c>
      <c r="AJ16" s="957">
        <f>AG16-S16/12</f>
        <v>-47.194739166666665</v>
      </c>
      <c r="AK16" s="957">
        <f>AG16-AF16</f>
        <v>-31.564900000000002</v>
      </c>
      <c r="AL16" s="957">
        <f>AH16-SUMIFS(16:16,$1:$1,"="&amp;$A$1-1,$2:$2,"&lt;="&amp;$A$2)</f>
        <v>-121.0932836043</v>
      </c>
      <c r="AM16" s="957">
        <f t="shared" si="1"/>
        <v>-172.52578043763336</v>
      </c>
    </row>
    <row r="17" spans="1:39">
      <c r="A17" s="2352" t="s">
        <v>443</v>
      </c>
      <c r="B17" s="1225" t="s">
        <v>62</v>
      </c>
      <c r="C17" s="1226">
        <v>13.4885</v>
      </c>
      <c r="D17" s="1227">
        <v>0.95609999999999995</v>
      </c>
      <c r="E17" s="1227">
        <v>-1.06</v>
      </c>
      <c r="F17" s="1228">
        <f>-14.7567+4</f>
        <v>-10.7567</v>
      </c>
      <c r="G17" s="1228">
        <v>0.59530000000000005</v>
      </c>
      <c r="H17" s="1227">
        <v>14.646100000000001</v>
      </c>
      <c r="I17" s="1228">
        <v>10.207599999999999</v>
      </c>
      <c r="J17" s="1228">
        <v>7.6875999999999998</v>
      </c>
      <c r="K17" s="1228">
        <v>-17.526544999999999</v>
      </c>
      <c r="L17" s="1228">
        <v>-13.8026</v>
      </c>
      <c r="M17" s="1228">
        <v>18.781199999999998</v>
      </c>
      <c r="N17" s="1227">
        <v>12.678000000000001</v>
      </c>
      <c r="O17" s="1227">
        <v>2.77101541</v>
      </c>
      <c r="P17" s="1227">
        <v>1.6234069999999978</v>
      </c>
      <c r="Q17" s="1227">
        <v>-27.405659999999997</v>
      </c>
      <c r="R17" s="2030">
        <f t="shared" si="3"/>
        <v>-0.50128259000000241</v>
      </c>
      <c r="S17" s="2004">
        <v>19.845644579999988</v>
      </c>
      <c r="T17" s="2004">
        <v>10.4986</v>
      </c>
      <c r="U17" s="2004">
        <v>11.340400000000001</v>
      </c>
      <c r="V17" s="2004">
        <v>1.3877999999999999</v>
      </c>
      <c r="W17" s="2004">
        <v>-5.9343000000000004</v>
      </c>
      <c r="X17" s="2004">
        <v>16.088699999999999</v>
      </c>
      <c r="Y17" s="2004">
        <v>-1.4390000000000001</v>
      </c>
      <c r="Z17" s="2004">
        <v>11.02942</v>
      </c>
      <c r="AA17" s="2004">
        <v>-9.4925999999999995</v>
      </c>
      <c r="AB17" s="2004"/>
      <c r="AC17" s="2004"/>
      <c r="AD17" s="2004"/>
      <c r="AE17" s="2004"/>
      <c r="AF17" s="2029">
        <f>SUMIFS(17:17,$1:$1,"="&amp;$B$1,$2:$2,"="&amp;$B$2)</f>
        <v>11.02942</v>
      </c>
      <c r="AG17" s="2029">
        <f>SUMIFS(17:17,$1:$1,"="&amp;$A$1,$2:$2,"="&amp;$A$2)</f>
        <v>-9.4925999999999995</v>
      </c>
      <c r="AH17" s="2028">
        <v>36.16504271340002</v>
      </c>
      <c r="AI17" s="957">
        <f>AG17-SUMIFS(17:17,$1:$1,"="&amp;$A$1-1,$2:$2,"="&amp;$A$2)</f>
        <v>-28.273799999999998</v>
      </c>
      <c r="AJ17" s="957">
        <f>AG17-S17/12</f>
        <v>-11.146403714999998</v>
      </c>
      <c r="AK17" s="957">
        <f>AG17-AF17</f>
        <v>-20.522019999999998</v>
      </c>
      <c r="AL17" s="957">
        <f>AH17-SUMIFS(17:17,$1:$1,"="&amp;$A$1-1,$2:$2,"&lt;="&amp;$A$2)</f>
        <v>26.333087713400019</v>
      </c>
      <c r="AM17" s="957">
        <f>AH17-S17/12*$A$2</f>
        <v>22.93461299340003</v>
      </c>
    </row>
    <row r="20" spans="1:39">
      <c r="G20" s="1229"/>
      <c r="H20" s="1229"/>
      <c r="I20" s="1229"/>
      <c r="J20" s="1229"/>
      <c r="K20" s="1229"/>
      <c r="L20" s="1229"/>
      <c r="M20" s="1229"/>
      <c r="N20" s="1229"/>
      <c r="O20" s="1229"/>
      <c r="P20" s="1229"/>
      <c r="Q20" s="1229"/>
      <c r="R20" s="1229"/>
      <c r="S20" s="1229"/>
      <c r="T20" s="1229"/>
      <c r="U20" s="1229"/>
      <c r="V20" s="1229"/>
      <c r="W20" s="1229"/>
      <c r="X20" s="1229"/>
      <c r="Y20" s="1229"/>
      <c r="Z20" s="1229"/>
      <c r="AA20" s="1229"/>
      <c r="AB20" s="1229"/>
      <c r="AC20" s="1229"/>
      <c r="AD20" s="1229"/>
      <c r="AE20" s="1229"/>
      <c r="AF20" s="1229"/>
      <c r="AG20" s="1229"/>
      <c r="AH20" s="1229"/>
    </row>
    <row r="26" spans="1:39">
      <c r="AI26" s="116">
        <v>36</v>
      </c>
      <c r="AJ26" s="116">
        <v>98</v>
      </c>
      <c r="AK26" s="116">
        <v>87</v>
      </c>
      <c r="AL26" s="116">
        <f>AI26+AJ26-AK26</f>
        <v>47</v>
      </c>
    </row>
    <row r="27" spans="1:39">
      <c r="AI27" s="116">
        <v>21737</v>
      </c>
      <c r="AJ27" s="116">
        <v>41913</v>
      </c>
      <c r="AK27" s="116">
        <v>42396</v>
      </c>
    </row>
    <row r="29" spans="1:39">
      <c r="AI29" s="116">
        <f>700/(AI26+AJ26)</f>
        <v>5.2238805970149258</v>
      </c>
      <c r="AJ29" s="116">
        <f>AI29*AJ26</f>
        <v>511.94029850746273</v>
      </c>
    </row>
  </sheetData>
  <customSheetViews>
    <customSheetView guid="{1683F931-F47D-47C0-A395-D48080DC7EE6}" showPageBreaks="1" hiddenColumns="1">
      <selection activeCell="F6" sqref="F6:U17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 hiddenColumns="1">
      <selection activeCell="AA30" sqref="AA30"/>
      <pageMargins left="0.69930555555555596" right="0.69930555555555596" top="0.75" bottom="0.75" header="0.3" footer="0.3"/>
      <pageSetup paperSize="9" orientation="portrait"/>
    </customSheetView>
    <customSheetView guid="{849C46E5-4ED4-41B9-BDA9-A6465B9DA9C2}" hiddenColumns="1">
      <selection activeCell="AG28" sqref="AG28"/>
      <pageMargins left="0.69930555555555596" right="0.69930555555555596" top="0.75" bottom="0.75" header="0.3" footer="0.3"/>
      <pageSetup paperSize="9" orientation="portrait"/>
    </customSheetView>
    <customSheetView guid="{8C09BCDE-4B8A-4469-B3F2-7F4528A2E78D}" hiddenColumns="1">
      <selection activeCell="AG28" sqref="AG28"/>
      <pageMargins left="0.69930555555555596" right="0.69930555555555596" top="0.75" bottom="0.75" header="0.3" footer="0.3"/>
      <pageSetup paperSize="9" orientation="portrait"/>
    </customSheetView>
    <customSheetView guid="{F4EB51F4-FD23-4D5B-8072-1AF5D59D6686}" hiddenColumns="1">
      <selection activeCell="AI23" sqref="AI23"/>
      <pageMargins left="0.69930555555555596" right="0.69930555555555596" top="0.75" bottom="0.75" header="0.3" footer="0.3"/>
      <pageSetup paperSize="9" orientation="portrait"/>
    </customSheetView>
    <customSheetView guid="{D7BCFB76-2797-401D-A6F1-E020B5162DD4}" hiddenColumns="1" topLeftCell="D1">
      <selection activeCell="AP12" sqref="AP12"/>
      <pageMargins left="0.69930555555555596" right="0.69930555555555596" top="0.75" bottom="0.75" header="0.3" footer="0.3"/>
      <pageSetup paperSize="9" orientation="portrait"/>
    </customSheetView>
    <customSheetView guid="{C9A88430-3808-49F4-8D86-BF8C70C55441}" hiddenColumns="1">
      <selection activeCell="F6" sqref="F6:U17"/>
      <pageMargins left="0.69930555555555596" right="0.69930555555555596" top="0.75" bottom="0.75" header="0.3" footer="0.3"/>
      <pageSetup paperSize="9" orientation="portrait"/>
    </customSheetView>
    <customSheetView guid="{E61FFED3-723E-484A-93A0-94E1A801AF06}" hiddenColumns="1">
      <selection activeCell="F6" sqref="F6:U17"/>
      <pageMargins left="0.69930555555555596" right="0.69930555555555596" top="0.75" bottom="0.75" header="0.3" footer="0.3"/>
      <pageSetup paperSize="9" orientation="portrait"/>
    </customSheetView>
    <customSheetView guid="{6B5CCA07-2BDD-4B8E-9E3C-2111BBA97430}" hiddenColumns="1">
      <selection activeCell="AD27" sqref="AD27"/>
      <pageMargins left="0.69930555555555596" right="0.69930555555555596" top="0.75" bottom="0.75" header="0.3" footer="0.3"/>
      <pageSetup paperSize="9" orientation="portrait" r:id="rId2"/>
    </customSheetView>
    <customSheetView guid="{2F47A827-9643-4D8A-AC5D-6B09D79AACF9}" hiddenColumns="1">
      <selection activeCell="AA30" sqref="AA30"/>
      <pageMargins left="0.69930555555555596" right="0.69930555555555596" top="0.75" bottom="0.75" header="0.3" footer="0.3"/>
      <pageSetup paperSize="9" orientation="portrait"/>
    </customSheetView>
    <customSheetView guid="{B37168A1-DBAB-4BDE-9F92-6261DCDF3D92}" hiddenColumns="1">
      <selection activeCell="U32" sqref="U32"/>
      <pageMargins left="0.69930555555555596" right="0.69930555555555596" top="0.75" bottom="0.75" header="0.3" footer="0.3"/>
      <pageSetup paperSize="9" orientation="portrait"/>
    </customSheetView>
    <customSheetView guid="{AE0DD889-C13C-4059-8024-0F5B234827E9}" hiddenColumns="1">
      <selection activeCell="E6" sqref="E6:W17"/>
      <pageMargins left="0.69930555555555596" right="0.69930555555555596" top="0.75" bottom="0.75" header="0.3" footer="0.3"/>
      <pageSetup paperSize="9" orientation="portrait"/>
    </customSheetView>
    <customSheetView guid="{CCBBD9B0-4191-4D7A-9F7B-BAC044A49153}" hiddenColumns="1">
      <selection activeCell="S26" sqref="S26"/>
      <pageMargins left="0.69930555555555596" right="0.69930555555555596" top="0.75" bottom="0.75" header="0.3" footer="0.3"/>
      <pageSetup paperSize="9" orientation="portrait"/>
    </customSheetView>
    <customSheetView guid="{F5F9735B-EE22-4AC6-B5AB-C856ED6C133D}" hiddenColumns="1">
      <selection activeCell="F6" sqref="F6:U17"/>
      <pageMargins left="0.69930555555555596" right="0.69930555555555596" top="0.75" bottom="0.75" header="0.3" footer="0.3"/>
      <pageSetup paperSize="9" orientation="portrait"/>
    </customSheetView>
    <customSheetView guid="{500C3980-ED13-4C97-96B1-955D50509B66}" hiddenColumns="1">
      <selection activeCell="U20" sqref="U20"/>
      <pageMargins left="0.69930555555555596" right="0.69930555555555596" top="0.75" bottom="0.75" header="0.3" footer="0.3"/>
      <pageSetup paperSize="9" orientation="portrait"/>
    </customSheetView>
    <customSheetView guid="{3B943BAF-34C7-494A-A071-85DE0891E5A1}" hiddenColumns="1">
      <selection activeCell="AA30" sqref="AA30"/>
      <pageMargins left="0.69930555555555596" right="0.69930555555555596" top="0.75" bottom="0.75" header="0.3" footer="0.3"/>
      <pageSetup paperSize="9" orientation="portrait"/>
    </customSheetView>
    <customSheetView guid="{EEE4B3DA-ADF6-49CC-9873-068FE5927B92}" hiddenColumns="1">
      <selection activeCell="AA30" sqref="AA30"/>
      <pageMargins left="0.69930555555555596" right="0.69930555555555596" top="0.75" bottom="0.75" header="0.3" footer="0.3"/>
      <pageSetup paperSize="9" orientation="portrait"/>
    </customSheetView>
    <customSheetView guid="{C52D0F53-4D1D-4D01-B833-260359FD02A5}" hiddenColumns="1">
      <selection activeCell="H30" sqref="H30"/>
      <pageMargins left="0.69930555555555596" right="0.69930555555555596" top="0.75" bottom="0.75" header="0.3" footer="0.3"/>
      <pageSetup paperSize="9" orientation="portrait"/>
    </customSheetView>
    <customSheetView guid="{6A1E79C9-91E3-4EEA-8ABB-4446083299EC}" hiddenColumns="1">
      <selection activeCell="F6" sqref="F6:U17"/>
      <pageMargins left="0.69930555555555596" right="0.69930555555555596" top="0.75" bottom="0.75" header="0.3" footer="0.3"/>
      <pageSetup paperSize="9" orientation="portrait"/>
    </customSheetView>
    <customSheetView guid="{8B80B510-C931-46B1-8591-DEA916D76593}" hiddenColumns="1">
      <selection activeCell="AA30" sqref="AA30"/>
      <pageMargins left="0.69930555555555596" right="0.69930555555555596" top="0.75" bottom="0.75" header="0.3" footer="0.3"/>
      <pageSetup paperSize="9" orientation="portrait"/>
    </customSheetView>
    <customSheetView guid="{303A9D89-611D-4504-BCAA-071C53B021F7}" hiddenColumns="1">
      <selection activeCell="AG23" sqref="AG23"/>
      <pageMargins left="0.69930555555555596" right="0.69930555555555596" top="0.75" bottom="0.75" header="0.3" footer="0.3"/>
      <pageSetup paperSize="9" orientation="portrait"/>
    </customSheetView>
    <customSheetView guid="{4583A87D-5DFF-47BD-849A-FA4AAF2B9CE3}" hiddenColumns="1">
      <selection activeCell="AA30" sqref="AA30"/>
      <pageMargins left="0.69930555555555596" right="0.69930555555555596" top="0.75" bottom="0.75" header="0.3" footer="0.3"/>
      <pageSetup paperSize="9" orientation="portrait"/>
    </customSheetView>
    <customSheetView guid="{EA856AC2-CDFF-46B6-B0C4-30449DF132F4}" hiddenColumns="1">
      <selection activeCell="AA30" sqref="AA30"/>
      <pageMargins left="0.69930555555555596" right="0.69930555555555596" top="0.75" bottom="0.75" header="0.3" footer="0.3"/>
      <pageSetup paperSize="9" orientation="portrait"/>
    </customSheetView>
    <customSheetView guid="{322A45A6-8B26-49B8-A4D9-EFB3C94A758D}" hiddenColumns="1">
      <selection activeCell="AP18" sqref="AP18"/>
      <pageMargins left="0.69930555555555596" right="0.69930555555555596" top="0.75" bottom="0.75" header="0.3" footer="0.3"/>
      <pageSetup paperSize="9" orientation="portrait" r:id="rId3"/>
    </customSheetView>
  </customSheetViews>
  <mergeCells count="8">
    <mergeCell ref="AI1:AK1"/>
    <mergeCell ref="C3:D3"/>
    <mergeCell ref="AL3:AM3"/>
    <mergeCell ref="A3:A4"/>
    <mergeCell ref="B3:B4"/>
    <mergeCell ref="E3:Q3"/>
    <mergeCell ref="R3:R4"/>
    <mergeCell ref="S3:AK3"/>
  </mergeCells>
  <phoneticPr fontId="133" type="noConversion"/>
  <pageMargins left="0.69930555555555596" right="0.69930555555555596" top="0.75" bottom="0.75" header="0.3" footer="0.3"/>
  <pageSetup paperSize="9" orientation="portrait"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BY41"/>
  <sheetViews>
    <sheetView topLeftCell="AP1" zoomScaleNormal="100" workbookViewId="0">
      <selection activeCell="B11" sqref="A11:XFD11"/>
    </sheetView>
  </sheetViews>
  <sheetFormatPr defaultColWidth="9" defaultRowHeight="14.25"/>
  <cols>
    <col min="1" max="1" width="9" style="116"/>
    <col min="2" max="2" width="23.75" style="116" customWidth="1"/>
    <col min="3" max="3" width="9" style="116"/>
    <col min="4" max="4" width="9" style="116" customWidth="1"/>
    <col min="5" max="5" width="11.125" style="116" customWidth="1"/>
    <col min="6" max="6" width="9.25" style="116" customWidth="1"/>
    <col min="7" max="7" width="8.375" style="116" customWidth="1"/>
    <col min="8" max="8" width="10" style="116" customWidth="1"/>
    <col min="9" max="10" width="9" style="116" customWidth="1"/>
    <col min="11" max="11" width="10.5" style="116" customWidth="1"/>
    <col min="12" max="13" width="9" style="116" customWidth="1"/>
    <col min="14" max="14" width="9.5" style="116" customWidth="1"/>
    <col min="15" max="16" width="9" style="116" hidden="1" customWidth="1"/>
    <col min="17" max="18" width="9" style="116" customWidth="1"/>
    <col min="19" max="19" width="8.875" style="116" customWidth="1"/>
    <col min="20" max="34" width="9" style="116" customWidth="1"/>
    <col min="35" max="35" width="10.5" style="116" customWidth="1"/>
    <col min="36" max="76" width="9" style="116" customWidth="1"/>
    <col min="77" max="16384" width="9" style="116"/>
  </cols>
  <sheetData>
    <row r="1" spans="1:77">
      <c r="A1" s="2667" t="s">
        <v>3</v>
      </c>
      <c r="B1" s="2667"/>
      <c r="C1" s="1173" t="s">
        <v>57</v>
      </c>
      <c r="D1" s="1173" t="s">
        <v>444</v>
      </c>
      <c r="E1" s="1173" t="s">
        <v>445</v>
      </c>
      <c r="F1" s="1173" t="s">
        <v>446</v>
      </c>
      <c r="G1" s="1173" t="s">
        <v>7</v>
      </c>
      <c r="H1" s="1173" t="s">
        <v>447</v>
      </c>
      <c r="I1" s="1173" t="s">
        <v>446</v>
      </c>
      <c r="J1" s="1173" t="s">
        <v>7</v>
      </c>
      <c r="K1" s="1173" t="s">
        <v>448</v>
      </c>
      <c r="L1" s="1173" t="s">
        <v>446</v>
      </c>
      <c r="M1" s="1173" t="s">
        <v>7</v>
      </c>
      <c r="N1" s="1173" t="s">
        <v>449</v>
      </c>
      <c r="O1" s="1173" t="s">
        <v>446</v>
      </c>
      <c r="P1" s="1173" t="s">
        <v>7</v>
      </c>
      <c r="Q1" s="1173" t="s">
        <v>450</v>
      </c>
      <c r="R1" s="1173" t="s">
        <v>446</v>
      </c>
      <c r="S1" s="1173" t="s">
        <v>7</v>
      </c>
      <c r="T1" s="1209" t="s">
        <v>451</v>
      </c>
      <c r="U1" s="1209" t="s">
        <v>446</v>
      </c>
      <c r="V1" s="1209" t="s">
        <v>7</v>
      </c>
      <c r="W1" s="1209" t="s">
        <v>452</v>
      </c>
      <c r="X1" s="1209" t="s">
        <v>446</v>
      </c>
      <c r="Y1" s="1209" t="s">
        <v>7</v>
      </c>
      <c r="Z1" s="1209" t="s">
        <v>453</v>
      </c>
      <c r="AA1" s="1209" t="s">
        <v>446</v>
      </c>
      <c r="AB1" s="1209" t="s">
        <v>7</v>
      </c>
      <c r="AC1" s="1209" t="s">
        <v>454</v>
      </c>
      <c r="AD1" s="1209" t="s">
        <v>446</v>
      </c>
      <c r="AE1" s="1209" t="s">
        <v>7</v>
      </c>
      <c r="AF1" s="1209" t="s">
        <v>455</v>
      </c>
      <c r="AG1" s="1209" t="s">
        <v>446</v>
      </c>
      <c r="AH1" s="1209" t="s">
        <v>7</v>
      </c>
      <c r="AI1" s="1209" t="s">
        <v>456</v>
      </c>
      <c r="AJ1" s="1209" t="s">
        <v>446</v>
      </c>
      <c r="AK1" s="1209" t="s">
        <v>7</v>
      </c>
      <c r="AL1" s="1209" t="s">
        <v>1416</v>
      </c>
      <c r="AM1" s="1209" t="s">
        <v>446</v>
      </c>
      <c r="AN1" s="1209" t="s">
        <v>7</v>
      </c>
      <c r="AO1" s="1209" t="s">
        <v>1272</v>
      </c>
      <c r="AP1" s="1209" t="s">
        <v>446</v>
      </c>
      <c r="AQ1" s="1209" t="s">
        <v>7</v>
      </c>
      <c r="AR1" s="1209" t="s">
        <v>1273</v>
      </c>
      <c r="AS1" s="1209" t="s">
        <v>446</v>
      </c>
      <c r="AT1" s="1209" t="s">
        <v>7</v>
      </c>
      <c r="AU1" s="1209" t="s">
        <v>1274</v>
      </c>
      <c r="AV1" s="1209" t="s">
        <v>446</v>
      </c>
      <c r="AW1" s="1209" t="s">
        <v>7</v>
      </c>
      <c r="AX1" s="1209" t="s">
        <v>1276</v>
      </c>
      <c r="AY1" s="1209" t="s">
        <v>446</v>
      </c>
      <c r="AZ1" s="1209" t="s">
        <v>7</v>
      </c>
      <c r="BA1" s="1209" t="s">
        <v>1277</v>
      </c>
      <c r="BB1" s="1209" t="s">
        <v>446</v>
      </c>
      <c r="BC1" s="1209" t="s">
        <v>7</v>
      </c>
      <c r="BD1" s="1209" t="s">
        <v>1275</v>
      </c>
      <c r="BE1" s="1209" t="s">
        <v>446</v>
      </c>
      <c r="BF1" s="1209" t="s">
        <v>7</v>
      </c>
      <c r="BG1" s="1209" t="s">
        <v>1278</v>
      </c>
      <c r="BH1" s="1209" t="s">
        <v>446</v>
      </c>
      <c r="BI1" s="1209" t="s">
        <v>7</v>
      </c>
      <c r="BJ1" s="1209" t="s">
        <v>1279</v>
      </c>
      <c r="BK1" s="1209" t="s">
        <v>446</v>
      </c>
      <c r="BL1" s="1209" t="s">
        <v>7</v>
      </c>
      <c r="BM1" s="1209" t="s">
        <v>1280</v>
      </c>
      <c r="BN1" s="1209" t="s">
        <v>446</v>
      </c>
      <c r="BO1" s="1209" t="s">
        <v>7</v>
      </c>
      <c r="BP1" s="1209" t="s">
        <v>1281</v>
      </c>
      <c r="BQ1" s="1209" t="s">
        <v>446</v>
      </c>
      <c r="BR1" s="1209" t="s">
        <v>7</v>
      </c>
      <c r="BS1" s="1209" t="s">
        <v>1282</v>
      </c>
      <c r="BT1" s="1209" t="s">
        <v>446</v>
      </c>
      <c r="BU1" s="1209" t="s">
        <v>7</v>
      </c>
      <c r="BV1" s="1209" t="s">
        <v>1283</v>
      </c>
      <c r="BW1" s="1209" t="s">
        <v>446</v>
      </c>
      <c r="BX1" s="1209" t="s">
        <v>7</v>
      </c>
    </row>
    <row r="2" spans="1:77">
      <c r="A2" s="2667" t="s">
        <v>457</v>
      </c>
      <c r="B2" s="1174" t="s">
        <v>13</v>
      </c>
      <c r="C2" s="1173" t="s">
        <v>458</v>
      </c>
      <c r="D2" s="1175">
        <v>25.217109000000001</v>
      </c>
      <c r="E2" s="1176">
        <f>E3+E7</f>
        <v>23.872239399999998</v>
      </c>
      <c r="F2" s="1177">
        <f>E2-D2</f>
        <v>-1.3448696000000027</v>
      </c>
      <c r="G2" s="1177"/>
      <c r="H2" s="1176">
        <f>H3+H7</f>
        <v>26.680350700000002</v>
      </c>
      <c r="I2" s="1177">
        <f>H2-D2</f>
        <v>1.4632417000000011</v>
      </c>
      <c r="J2" s="1177">
        <f>H2-E2</f>
        <v>2.8081113000000038</v>
      </c>
      <c r="K2" s="1176">
        <f>K3+K7</f>
        <v>34.320903999999999</v>
      </c>
      <c r="L2" s="1177">
        <f>K2-D2</f>
        <v>9.1037949999999981</v>
      </c>
      <c r="M2" s="1177">
        <f t="shared" ref="M2:M21" si="0">K2-H2</f>
        <v>7.640553299999997</v>
      </c>
      <c r="N2" s="1176">
        <f>N3+N7</f>
        <v>26.263485099999997</v>
      </c>
      <c r="O2" s="1177">
        <f>N2-D2</f>
        <v>1.0463760999999963</v>
      </c>
      <c r="P2" s="1177">
        <f>N2-K2</f>
        <v>-8.0574189000000018</v>
      </c>
      <c r="Q2" s="1176">
        <f>Q3+Q7</f>
        <v>42.853670899999997</v>
      </c>
      <c r="R2" s="1177">
        <f t="shared" ref="R2:R22" si="1">Q2-D2</f>
        <v>17.636561899999997</v>
      </c>
      <c r="S2" s="1177">
        <f t="shared" ref="S2:S22" si="2">Q2-N2</f>
        <v>16.5901858</v>
      </c>
      <c r="T2" s="1176">
        <f>T3+T7</f>
        <v>40.892543500000002</v>
      </c>
      <c r="U2" s="1177">
        <f t="shared" ref="U2:U21" si="3">T2-D2</f>
        <v>15.675434500000001</v>
      </c>
      <c r="V2" s="1177">
        <f t="shared" ref="V2:V22" si="4">T2-Q2</f>
        <v>-1.9611273999999952</v>
      </c>
      <c r="W2" s="1176">
        <f>W3+W7</f>
        <v>43.712852600000005</v>
      </c>
      <c r="X2" s="1177">
        <f>W2-D2</f>
        <v>18.495743600000004</v>
      </c>
      <c r="Y2" s="1177">
        <f t="shared" ref="Y2:Y21" si="5">W2-T2</f>
        <v>2.8203091000000029</v>
      </c>
      <c r="Z2" s="1176">
        <f>Z3+Z7</f>
        <v>38.048619000000002</v>
      </c>
      <c r="AA2" s="1177">
        <f>Z2-D2</f>
        <v>12.831510000000002</v>
      </c>
      <c r="AB2" s="1177">
        <f>Z2-W2</f>
        <v>-5.6642336000000029</v>
      </c>
      <c r="AC2" s="1176">
        <f>AC3+AC7</f>
        <v>33.799557800000002</v>
      </c>
      <c r="AD2" s="1177">
        <f>AC2-D2</f>
        <v>8.5824488000000017</v>
      </c>
      <c r="AE2" s="1177">
        <f>AC2-Z2</f>
        <v>-4.2490611999999999</v>
      </c>
      <c r="AF2" s="1176">
        <f>AF3+AF7</f>
        <v>65.132757600000005</v>
      </c>
      <c r="AG2" s="1177">
        <f>AF2-D2</f>
        <v>39.915648600000004</v>
      </c>
      <c r="AH2" s="1177">
        <f>AF2-AC2</f>
        <v>31.333199800000003</v>
      </c>
      <c r="AI2" s="1176">
        <f>AI3+AI7</f>
        <v>55.353354699999997</v>
      </c>
      <c r="AJ2" s="1177">
        <f>AI2-D2</f>
        <v>30.136245699999996</v>
      </c>
      <c r="AK2" s="1647">
        <f t="shared" ref="AK2:AK25" si="6">AI2-AF2</f>
        <v>-9.779402900000008</v>
      </c>
      <c r="AL2" s="1175">
        <f>AL3+AL7</f>
        <v>67.879925499999999</v>
      </c>
      <c r="AM2" s="1177">
        <f>AL2-D2</f>
        <v>42.662816499999998</v>
      </c>
      <c r="AN2" s="1177">
        <f t="shared" ref="AN2:AN21" si="7">AL2-AI2</f>
        <v>12.526570800000002</v>
      </c>
      <c r="AO2" s="1175">
        <f t="shared" ref="AO2" si="8">AO3+AO7</f>
        <v>77.701109399999993</v>
      </c>
      <c r="AP2" s="1177">
        <f>AO2-$AL2</f>
        <v>9.8211838999999941</v>
      </c>
      <c r="AQ2" s="1177">
        <f>AO2-AL2</f>
        <v>9.8211838999999941</v>
      </c>
      <c r="AR2" s="1175">
        <f t="shared" ref="AR2" si="9">AR3+AR7</f>
        <v>57.772235299999998</v>
      </c>
      <c r="AS2" s="1177">
        <f t="shared" ref="AS2:AS21" si="10">AR2-$AL2</f>
        <v>-10.1076902</v>
      </c>
      <c r="AT2" s="1177">
        <f>AR2-AO2</f>
        <v>-19.928874099999994</v>
      </c>
      <c r="AU2" s="1175">
        <f t="shared" ref="AU2" si="11">AU3+AU7</f>
        <v>65.164909300000005</v>
      </c>
      <c r="AV2" s="1177">
        <f t="shared" ref="AV2:AV21" si="12">AU2-$AL2</f>
        <v>-2.7150161999999938</v>
      </c>
      <c r="AW2" s="1177">
        <f>AU2-AR2</f>
        <v>7.3926740000000066</v>
      </c>
      <c r="AX2" s="1175">
        <f t="shared" ref="AX2" si="13">AX3+AX7</f>
        <v>43.131457700000006</v>
      </c>
      <c r="AY2" s="1177">
        <f t="shared" ref="AY2:AY21" si="14">AX2-$AL2</f>
        <v>-24.748467799999993</v>
      </c>
      <c r="AZ2" s="1647">
        <f>AX2-AU2</f>
        <v>-22.033451599999999</v>
      </c>
      <c r="BA2" s="1175">
        <f t="shared" ref="BA2" si="15">BA3+BA7</f>
        <v>35.731160000000003</v>
      </c>
      <c r="BB2" s="1177">
        <f t="shared" ref="BB2:BB23" si="16">BA2-$AL2</f>
        <v>-32.148765499999996</v>
      </c>
      <c r="BC2" s="1647">
        <f t="shared" ref="BC2:BC25" si="17">BA2-AX2</f>
        <v>-7.400297700000003</v>
      </c>
      <c r="BD2" s="1175">
        <f t="shared" ref="BD2" si="18">BD3+BD7</f>
        <v>37.739060000000002</v>
      </c>
      <c r="BE2" s="1177">
        <f t="shared" ref="BE2:BE21" si="19">BD2-$AL2</f>
        <v>-30.140865499999997</v>
      </c>
      <c r="BF2" s="1177">
        <f>BD2-BA2</f>
        <v>2.0078999999999994</v>
      </c>
      <c r="BG2" s="1175">
        <f>BG3+BG7</f>
        <v>44.203079200000005</v>
      </c>
      <c r="BH2" s="1177">
        <f t="shared" ref="BH2:BH21" si="20">BG2-$AL2</f>
        <v>-23.676846299999994</v>
      </c>
      <c r="BI2" s="1177">
        <f t="shared" ref="BI2:BI21" si="21">BG2-BD2</f>
        <v>6.4640192000000027</v>
      </c>
      <c r="BJ2" s="1175">
        <f>BJ3+BJ7</f>
        <v>4.5254461000000008</v>
      </c>
      <c r="BK2" s="1177">
        <f t="shared" ref="BK2:BK21" si="22">BJ2-$AL2</f>
        <v>-63.354479399999995</v>
      </c>
      <c r="BL2" s="1177">
        <f t="shared" ref="BL2:BL21" si="23">BJ2-BG2</f>
        <v>-39.677633100000001</v>
      </c>
      <c r="BM2" s="1175">
        <f>BM3+BM7</f>
        <v>0</v>
      </c>
      <c r="BN2" s="1177">
        <f t="shared" ref="BN2:BN21" si="24">BM2-$AL2</f>
        <v>-67.879925499999999</v>
      </c>
      <c r="BO2" s="1647">
        <f t="shared" ref="BO2:BO21" si="25">BM2-BJ2</f>
        <v>-4.5254461000000008</v>
      </c>
      <c r="BP2" s="1175">
        <f>BP3+BP7</f>
        <v>0</v>
      </c>
      <c r="BQ2" s="1177">
        <f t="shared" ref="BQ2:BQ21" si="26">BP2-$AL2</f>
        <v>-67.879925499999999</v>
      </c>
      <c r="BR2" s="1177">
        <f t="shared" ref="BR2:BR21" si="27">BP2-BM2</f>
        <v>0</v>
      </c>
      <c r="BS2" s="1175">
        <f>BS3+BS7</f>
        <v>0</v>
      </c>
      <c r="BT2" s="1177">
        <f t="shared" ref="BT2:BT21" si="28">BS2-$AL2</f>
        <v>-67.879925499999999</v>
      </c>
      <c r="BU2" s="1177">
        <f t="shared" ref="BU2:BU21" si="29">BS2-BP2</f>
        <v>0</v>
      </c>
      <c r="BV2" s="1175">
        <f>BV3+BV7</f>
        <v>0</v>
      </c>
      <c r="BW2" s="1177">
        <f t="shared" ref="BW2:BW21" si="30">BV2-$AL2</f>
        <v>-67.879925499999999</v>
      </c>
      <c r="BX2" s="1177">
        <f t="shared" ref="BX2:BX21" si="31">BV2-BS2</f>
        <v>0</v>
      </c>
    </row>
    <row r="3" spans="1:77" s="1168" customFormat="1">
      <c r="A3" s="2667"/>
      <c r="B3" s="1178" t="s">
        <v>459</v>
      </c>
      <c r="C3" s="1179" t="s">
        <v>458</v>
      </c>
      <c r="D3" s="1180">
        <v>6.7259000000000002</v>
      </c>
      <c r="E3" s="1181">
        <f>E4+E5</f>
        <v>9.4977999999999998</v>
      </c>
      <c r="F3" s="1182">
        <f t="shared" ref="F3:F21" si="32">E3-D3</f>
        <v>2.7718999999999996</v>
      </c>
      <c r="G3" s="1182"/>
      <c r="H3" s="1181">
        <f>H4+H5</f>
        <v>3.1184000000000003</v>
      </c>
      <c r="I3" s="1182">
        <f>H3-D3</f>
        <v>-3.6074999999999999</v>
      </c>
      <c r="J3" s="1182">
        <f>H3-E3</f>
        <v>-6.3793999999999995</v>
      </c>
      <c r="K3" s="1181">
        <f>K4+K5</f>
        <v>2.0213999999999999</v>
      </c>
      <c r="L3" s="1182">
        <f>K3-D3</f>
        <v>-4.7045000000000003</v>
      </c>
      <c r="M3" s="1182">
        <f t="shared" si="0"/>
        <v>-1.0970000000000004</v>
      </c>
      <c r="N3" s="1181">
        <f>N4+N5</f>
        <v>1.6586000000000001</v>
      </c>
      <c r="O3" s="1182">
        <f>N3-D3</f>
        <v>-5.0673000000000004</v>
      </c>
      <c r="P3" s="1182">
        <f t="shared" ref="P3:P22" si="33">N3-K3</f>
        <v>-0.36279999999999979</v>
      </c>
      <c r="Q3" s="1181">
        <f>Q4+Q5+Q6</f>
        <v>9.92</v>
      </c>
      <c r="R3" s="1182">
        <f t="shared" si="1"/>
        <v>3.1940999999999997</v>
      </c>
      <c r="S3" s="1182">
        <f t="shared" si="2"/>
        <v>8.2614000000000001</v>
      </c>
      <c r="T3" s="1181">
        <f>T4+T5+T6</f>
        <v>10.5291</v>
      </c>
      <c r="U3" s="1182">
        <f t="shared" si="3"/>
        <v>3.8031999999999995</v>
      </c>
      <c r="V3" s="1182">
        <f t="shared" si="4"/>
        <v>0.60909999999999975</v>
      </c>
      <c r="W3" s="1181">
        <f>W4+W5</f>
        <v>11.34</v>
      </c>
      <c r="X3" s="1182">
        <f>W3-D3</f>
        <v>4.6140999999999996</v>
      </c>
      <c r="Y3" s="1182">
        <f t="shared" si="5"/>
        <v>0.81090000000000018</v>
      </c>
      <c r="Z3" s="1181">
        <f>Z4+Z5</f>
        <v>14.527799999999999</v>
      </c>
      <c r="AA3" s="1182">
        <f>Z3-D3</f>
        <v>7.8018999999999989</v>
      </c>
      <c r="AB3" s="1182">
        <f>Z3-W3</f>
        <v>3.1877999999999993</v>
      </c>
      <c r="AC3" s="1181">
        <f>AC4+AC5</f>
        <v>28.58</v>
      </c>
      <c r="AD3" s="1182">
        <f>AC3-D3</f>
        <v>21.854099999999999</v>
      </c>
      <c r="AE3" s="1182">
        <f>AC3-Z3</f>
        <v>14.052199999999999</v>
      </c>
      <c r="AF3" s="1181">
        <f>AF4+AF5</f>
        <v>28.88</v>
      </c>
      <c r="AG3" s="1182">
        <f>AF3-D3</f>
        <v>22.1541</v>
      </c>
      <c r="AH3" s="1182">
        <f t="shared" ref="AH3:AH21" si="34">AF3-AC3</f>
        <v>0.30000000000000071</v>
      </c>
      <c r="AI3" s="1181">
        <f>AI4+AI5</f>
        <v>33.01</v>
      </c>
      <c r="AJ3" s="1182">
        <f>AI3-D3</f>
        <v>26.284099999999999</v>
      </c>
      <c r="AK3" s="1648">
        <f t="shared" si="6"/>
        <v>4.129999999999999</v>
      </c>
      <c r="AL3" s="1180">
        <f>AL4+AL5</f>
        <v>37.300000000000004</v>
      </c>
      <c r="AM3" s="1182">
        <f>AL3-D3</f>
        <v>30.574100000000005</v>
      </c>
      <c r="AN3" s="1182">
        <f t="shared" si="7"/>
        <v>4.2900000000000063</v>
      </c>
      <c r="AO3" s="1180">
        <f>AO4+AO5</f>
        <v>40.22</v>
      </c>
      <c r="AP3" s="1177">
        <f t="shared" ref="AP3:AP21" si="35">AO3-$AL3</f>
        <v>2.9199999999999946</v>
      </c>
      <c r="AQ3" s="1990">
        <f t="shared" ref="AQ3:AQ21" si="36">AO3-AL3</f>
        <v>2.9199999999999946</v>
      </c>
      <c r="AR3" s="1180">
        <f>AR4+AR5</f>
        <v>28.8018</v>
      </c>
      <c r="AS3" s="1177">
        <f t="shared" si="10"/>
        <v>-8.4982000000000042</v>
      </c>
      <c r="AT3" s="1990">
        <f t="shared" ref="AT3:AT21" si="37">AR3-AO3</f>
        <v>-11.418199999999999</v>
      </c>
      <c r="AU3" s="1180">
        <f>AU4+AU5</f>
        <v>23.112399999999997</v>
      </c>
      <c r="AV3" s="1177">
        <f t="shared" si="12"/>
        <v>-14.187600000000007</v>
      </c>
      <c r="AW3" s="1990">
        <f t="shared" ref="AW3:AW21" si="38">AU3-AR3</f>
        <v>-5.6894000000000027</v>
      </c>
      <c r="AX3" s="1180">
        <f>AX4+AX5</f>
        <v>10.600000000000001</v>
      </c>
      <c r="AY3" s="1177">
        <f t="shared" si="14"/>
        <v>-26.700000000000003</v>
      </c>
      <c r="AZ3" s="2164">
        <f t="shared" ref="AZ3:AZ21" si="39">AX3-AU3</f>
        <v>-12.512399999999996</v>
      </c>
      <c r="BA3" s="1180">
        <f t="shared" ref="BA3" si="40">BA4+BA5</f>
        <v>15.17</v>
      </c>
      <c r="BB3" s="1177">
        <f t="shared" si="16"/>
        <v>-22.130000000000003</v>
      </c>
      <c r="BC3" s="2164">
        <f t="shared" si="17"/>
        <v>4.5699999999999985</v>
      </c>
      <c r="BD3" s="1180">
        <f t="shared" ref="BD3" si="41">BD4+BD5</f>
        <v>8.81</v>
      </c>
      <c r="BE3" s="1177">
        <f t="shared" si="19"/>
        <v>-28.490000000000002</v>
      </c>
      <c r="BF3" s="1990">
        <f t="shared" ref="BF3:BF23" si="42">BD3-BA3</f>
        <v>-6.3599999999999994</v>
      </c>
      <c r="BG3" s="1180">
        <f>BG4+BG5</f>
        <v>13.823</v>
      </c>
      <c r="BH3" s="1177">
        <f>BG3-$AL3</f>
        <v>-23.477000000000004</v>
      </c>
      <c r="BI3" s="1990">
        <f t="shared" si="21"/>
        <v>5.0129999999999999</v>
      </c>
      <c r="BJ3" s="1180">
        <f>BJ4+BJ5</f>
        <v>7.3100000000000005</v>
      </c>
      <c r="BK3" s="1177">
        <f t="shared" si="22"/>
        <v>-29.990000000000002</v>
      </c>
      <c r="BL3" s="1990">
        <f t="shared" si="23"/>
        <v>-6.5129999999999999</v>
      </c>
      <c r="BM3" s="1180">
        <f>BM4+BM5</f>
        <v>0</v>
      </c>
      <c r="BN3" s="1177">
        <f t="shared" si="24"/>
        <v>-37.300000000000004</v>
      </c>
      <c r="BO3" s="2164">
        <f t="shared" si="25"/>
        <v>-7.3100000000000005</v>
      </c>
      <c r="BP3" s="1180">
        <f>BP4+BP5</f>
        <v>0</v>
      </c>
      <c r="BQ3" s="1177">
        <f t="shared" si="26"/>
        <v>-37.300000000000004</v>
      </c>
      <c r="BR3" s="1990">
        <f t="shared" si="27"/>
        <v>0</v>
      </c>
      <c r="BS3" s="1180">
        <f>BS4+BS5</f>
        <v>0</v>
      </c>
      <c r="BT3" s="1177">
        <f t="shared" si="28"/>
        <v>-37.300000000000004</v>
      </c>
      <c r="BU3" s="1990">
        <f t="shared" si="29"/>
        <v>0</v>
      </c>
      <c r="BV3" s="1180">
        <f>BV4+BV5</f>
        <v>0</v>
      </c>
      <c r="BW3" s="1177">
        <f t="shared" si="30"/>
        <v>-37.300000000000004</v>
      </c>
      <c r="BX3" s="1990">
        <f t="shared" si="31"/>
        <v>0</v>
      </c>
    </row>
    <row r="4" spans="1:77" s="1168" customFormat="1">
      <c r="A4" s="2667"/>
      <c r="B4" s="1178" t="s">
        <v>460</v>
      </c>
      <c r="C4" s="1179" t="s">
        <v>458</v>
      </c>
      <c r="D4" s="1180">
        <v>4.7359</v>
      </c>
      <c r="E4" s="1181">
        <v>6.6677999999999997</v>
      </c>
      <c r="F4" s="1182">
        <f t="shared" si="32"/>
        <v>1.9318999999999997</v>
      </c>
      <c r="G4" s="1182"/>
      <c r="H4" s="1181">
        <v>1.7984</v>
      </c>
      <c r="I4" s="1182">
        <f>H4-D4</f>
        <v>-2.9375</v>
      </c>
      <c r="J4" s="1182">
        <f>H4-E4</f>
        <v>-4.8693999999999997</v>
      </c>
      <c r="K4" s="1181">
        <v>0.85140000000000005</v>
      </c>
      <c r="L4" s="1182">
        <f>K4-D4</f>
        <v>-3.8845000000000001</v>
      </c>
      <c r="M4" s="1182">
        <f t="shared" si="0"/>
        <v>-0.94699999999999995</v>
      </c>
      <c r="N4" s="1181">
        <v>1.1486000000000001</v>
      </c>
      <c r="O4" s="1182">
        <f>N4-D4</f>
        <v>-3.5872999999999999</v>
      </c>
      <c r="P4" s="1182">
        <f t="shared" si="33"/>
        <v>0.29720000000000002</v>
      </c>
      <c r="Q4" s="1181">
        <v>9.07</v>
      </c>
      <c r="R4" s="1182">
        <f t="shared" si="1"/>
        <v>4.3341000000000003</v>
      </c>
      <c r="S4" s="1182">
        <f t="shared" si="2"/>
        <v>7.9214000000000002</v>
      </c>
      <c r="T4" s="1210">
        <v>9.6090999999999998</v>
      </c>
      <c r="U4" s="1182">
        <f t="shared" si="3"/>
        <v>4.8731999999999998</v>
      </c>
      <c r="V4" s="1182">
        <f t="shared" si="4"/>
        <v>0.53909999999999947</v>
      </c>
      <c r="W4" s="1210">
        <v>9.77</v>
      </c>
      <c r="X4" s="1182">
        <f>W4-D4</f>
        <v>5.0340999999999996</v>
      </c>
      <c r="Y4" s="1182">
        <f t="shared" si="5"/>
        <v>0.16089999999999982</v>
      </c>
      <c r="Z4" s="1181">
        <v>11.9878</v>
      </c>
      <c r="AA4" s="1182">
        <f>Z4-D4</f>
        <v>7.2519</v>
      </c>
      <c r="AB4" s="1182">
        <f>Z4-W4</f>
        <v>2.2178000000000004</v>
      </c>
      <c r="AC4" s="1181">
        <f>23.52+1.4</f>
        <v>24.919999999999998</v>
      </c>
      <c r="AD4" s="1182">
        <f>AC4-D4</f>
        <v>20.184099999999997</v>
      </c>
      <c r="AE4" s="1182">
        <f>AC4-Z4</f>
        <v>12.932199999999998</v>
      </c>
      <c r="AF4" s="1181">
        <f>25.39+1.7</f>
        <v>27.09</v>
      </c>
      <c r="AG4" s="1182">
        <f>AF4-D4</f>
        <v>22.354099999999999</v>
      </c>
      <c r="AH4" s="1182">
        <f t="shared" si="34"/>
        <v>2.1700000000000017</v>
      </c>
      <c r="AI4" s="1181">
        <v>31.11</v>
      </c>
      <c r="AJ4" s="1182">
        <f>AI4-D4</f>
        <v>26.374099999999999</v>
      </c>
      <c r="AK4" s="1648">
        <f t="shared" si="6"/>
        <v>4.0199999999999996</v>
      </c>
      <c r="AL4" s="1180">
        <f>35.02+0.57</f>
        <v>35.590000000000003</v>
      </c>
      <c r="AM4" s="1182">
        <f>AL4-D4</f>
        <v>30.854100000000003</v>
      </c>
      <c r="AN4" s="1182">
        <f t="shared" si="7"/>
        <v>4.480000000000004</v>
      </c>
      <c r="AO4" s="1180">
        <v>37.96</v>
      </c>
      <c r="AP4" s="1990">
        <f t="shared" si="35"/>
        <v>2.3699999999999974</v>
      </c>
      <c r="AQ4" s="1990">
        <f t="shared" si="36"/>
        <v>2.3699999999999974</v>
      </c>
      <c r="AR4" s="1180">
        <v>28.251799999999999</v>
      </c>
      <c r="AS4" s="1989">
        <f t="shared" si="10"/>
        <v>-7.3382000000000041</v>
      </c>
      <c r="AT4" s="1990">
        <f t="shared" si="37"/>
        <v>-9.7082000000000015</v>
      </c>
      <c r="AU4" s="1180">
        <f>20.1424+0.61</f>
        <v>20.752399999999998</v>
      </c>
      <c r="AV4" s="1989">
        <f t="shared" si="12"/>
        <v>-14.837600000000005</v>
      </c>
      <c r="AW4" s="1990">
        <f t="shared" si="38"/>
        <v>-7.4994000000000014</v>
      </c>
      <c r="AX4" s="1180">
        <v>9.6300000000000008</v>
      </c>
      <c r="AY4" s="1990">
        <f t="shared" si="14"/>
        <v>-25.96</v>
      </c>
      <c r="AZ4" s="2164">
        <f t="shared" si="39"/>
        <v>-11.122399999999997</v>
      </c>
      <c r="BA4" s="1180">
        <f>8.58+0.5</f>
        <v>9.08</v>
      </c>
      <c r="BB4" s="1990">
        <f t="shared" si="16"/>
        <v>-26.510000000000005</v>
      </c>
      <c r="BC4" s="2164">
        <f t="shared" si="17"/>
        <v>-0.55000000000000071</v>
      </c>
      <c r="BD4" s="1180">
        <f>6.86</f>
        <v>6.86</v>
      </c>
      <c r="BE4" s="1990">
        <f t="shared" si="19"/>
        <v>-28.730000000000004</v>
      </c>
      <c r="BF4" s="1990">
        <f t="shared" si="42"/>
        <v>-2.2199999999999998</v>
      </c>
      <c r="BG4" s="2442">
        <v>8.3529999999999998</v>
      </c>
      <c r="BH4" s="1990">
        <f t="shared" si="20"/>
        <v>-27.237000000000002</v>
      </c>
      <c r="BI4" s="1990">
        <f t="shared" si="21"/>
        <v>1.4929999999999994</v>
      </c>
      <c r="BJ4" s="2442">
        <v>3.69</v>
      </c>
      <c r="BK4" s="1990">
        <f t="shared" si="22"/>
        <v>-31.900000000000002</v>
      </c>
      <c r="BL4" s="1990">
        <f t="shared" si="23"/>
        <v>-4.6630000000000003</v>
      </c>
      <c r="BM4" s="2442"/>
      <c r="BN4" s="1990">
        <f t="shared" si="24"/>
        <v>-35.590000000000003</v>
      </c>
      <c r="BO4" s="2164">
        <f t="shared" si="25"/>
        <v>-3.69</v>
      </c>
      <c r="BP4" s="2442"/>
      <c r="BQ4" s="1990">
        <f t="shared" si="26"/>
        <v>-35.590000000000003</v>
      </c>
      <c r="BR4" s="1990">
        <f t="shared" si="27"/>
        <v>0</v>
      </c>
      <c r="BS4" s="2442"/>
      <c r="BT4" s="1990">
        <f t="shared" si="28"/>
        <v>-35.590000000000003</v>
      </c>
      <c r="BU4" s="1990">
        <f t="shared" si="29"/>
        <v>0</v>
      </c>
      <c r="BV4" s="2442"/>
      <c r="BW4" s="1990">
        <f t="shared" si="30"/>
        <v>-35.590000000000003</v>
      </c>
      <c r="BX4" s="1990">
        <f t="shared" si="31"/>
        <v>0</v>
      </c>
    </row>
    <row r="5" spans="1:77" s="1168" customFormat="1">
      <c r="A5" s="2667"/>
      <c r="B5" s="1178" t="s">
        <v>461</v>
      </c>
      <c r="C5" s="1179" t="s">
        <v>458</v>
      </c>
      <c r="D5" s="1180">
        <v>1.99</v>
      </c>
      <c r="E5" s="1181">
        <v>2.83</v>
      </c>
      <c r="F5" s="1182">
        <f t="shared" si="32"/>
        <v>0.84000000000000008</v>
      </c>
      <c r="G5" s="1182"/>
      <c r="H5" s="1181">
        <v>1.32</v>
      </c>
      <c r="I5" s="1182">
        <f>H5-D5</f>
        <v>-0.66999999999999993</v>
      </c>
      <c r="J5" s="1182">
        <f>H5-E5</f>
        <v>-1.51</v>
      </c>
      <c r="K5" s="1181">
        <v>1.17</v>
      </c>
      <c r="L5" s="1182">
        <f>K5-D5</f>
        <v>-0.82000000000000006</v>
      </c>
      <c r="M5" s="1182">
        <f t="shared" si="0"/>
        <v>-0.15000000000000013</v>
      </c>
      <c r="N5" s="1181">
        <v>0.51</v>
      </c>
      <c r="O5" s="1182">
        <f>N5-D5</f>
        <v>-1.48</v>
      </c>
      <c r="P5" s="1182">
        <f t="shared" si="33"/>
        <v>-0.65999999999999992</v>
      </c>
      <c r="Q5" s="1181">
        <v>0.85</v>
      </c>
      <c r="R5" s="1182">
        <f t="shared" si="1"/>
        <v>-1.1400000000000001</v>
      </c>
      <c r="S5" s="1182">
        <f t="shared" si="2"/>
        <v>0.33999999999999997</v>
      </c>
      <c r="T5" s="1210">
        <v>0.92</v>
      </c>
      <c r="U5" s="1182">
        <f t="shared" si="3"/>
        <v>-1.0699999999999998</v>
      </c>
      <c r="V5" s="1182">
        <f t="shared" si="4"/>
        <v>7.0000000000000062E-2</v>
      </c>
      <c r="W5" s="1210">
        <v>1.57</v>
      </c>
      <c r="X5" s="1182">
        <f>W5-D5</f>
        <v>-0.41999999999999993</v>
      </c>
      <c r="Y5" s="1182">
        <f t="shared" si="5"/>
        <v>0.65</v>
      </c>
      <c r="Z5" s="1181">
        <v>2.54</v>
      </c>
      <c r="AA5" s="1182">
        <f>Z5-D5</f>
        <v>0.55000000000000004</v>
      </c>
      <c r="AB5" s="1182">
        <f t="shared" ref="AB5:AC22" si="43">Z5-W5</f>
        <v>0.97</v>
      </c>
      <c r="AC5" s="1181">
        <v>3.66</v>
      </c>
      <c r="AD5" s="1182">
        <f>AC5-D5</f>
        <v>1.6700000000000002</v>
      </c>
      <c r="AE5" s="1182">
        <f t="shared" ref="AE5:AE23" si="44">AC5-Z5</f>
        <v>1.1200000000000001</v>
      </c>
      <c r="AF5" s="1181">
        <v>1.79</v>
      </c>
      <c r="AG5" s="1182">
        <f>AF5-D5</f>
        <v>-0.19999999999999996</v>
      </c>
      <c r="AH5" s="1182">
        <f t="shared" si="34"/>
        <v>-1.87</v>
      </c>
      <c r="AI5" s="1181">
        <v>1.9</v>
      </c>
      <c r="AJ5" s="1182">
        <f>AI5-D5</f>
        <v>-9.000000000000008E-2</v>
      </c>
      <c r="AK5" s="1648">
        <f t="shared" si="6"/>
        <v>0.10999999999999988</v>
      </c>
      <c r="AL5" s="1180">
        <v>1.71</v>
      </c>
      <c r="AM5" s="1182">
        <f>AL5-D5</f>
        <v>-0.28000000000000003</v>
      </c>
      <c r="AN5" s="1182">
        <f t="shared" si="7"/>
        <v>-0.18999999999999995</v>
      </c>
      <c r="AO5" s="1180">
        <v>2.2599999999999998</v>
      </c>
      <c r="AP5" s="1990">
        <f t="shared" si="35"/>
        <v>0.54999999999999982</v>
      </c>
      <c r="AQ5" s="1990">
        <f t="shared" si="36"/>
        <v>0.54999999999999982</v>
      </c>
      <c r="AR5" s="1180">
        <v>0.55000000000000004</v>
      </c>
      <c r="AS5" s="1989">
        <f t="shared" si="10"/>
        <v>-1.1599999999999999</v>
      </c>
      <c r="AT5" s="1990">
        <f t="shared" si="37"/>
        <v>-1.7099999999999997</v>
      </c>
      <c r="AU5" s="1180">
        <v>2.36</v>
      </c>
      <c r="AV5" s="1989">
        <f t="shared" si="12"/>
        <v>0.64999999999999991</v>
      </c>
      <c r="AW5" s="1990">
        <f t="shared" si="38"/>
        <v>1.8099999999999998</v>
      </c>
      <c r="AX5" s="2442">
        <v>0.97</v>
      </c>
      <c r="AY5" s="1990">
        <f t="shared" si="14"/>
        <v>-0.74</v>
      </c>
      <c r="AZ5" s="2164">
        <f t="shared" si="39"/>
        <v>-1.39</v>
      </c>
      <c r="BA5" s="2508">
        <v>6.09</v>
      </c>
      <c r="BB5" s="1990">
        <f t="shared" si="16"/>
        <v>4.38</v>
      </c>
      <c r="BC5" s="2164">
        <f t="shared" si="17"/>
        <v>5.12</v>
      </c>
      <c r="BD5" s="1180">
        <v>1.95</v>
      </c>
      <c r="BE5" s="1990">
        <f t="shared" si="19"/>
        <v>0.24</v>
      </c>
      <c r="BF5" s="1990">
        <f t="shared" si="42"/>
        <v>-4.1399999999999997</v>
      </c>
      <c r="BG5" s="2442">
        <v>5.47</v>
      </c>
      <c r="BH5" s="1990">
        <f t="shared" si="20"/>
        <v>3.76</v>
      </c>
      <c r="BI5" s="1990">
        <f t="shared" si="21"/>
        <v>3.5199999999999996</v>
      </c>
      <c r="BJ5" s="2442">
        <v>3.62</v>
      </c>
      <c r="BK5" s="1990">
        <f t="shared" si="22"/>
        <v>1.9100000000000001</v>
      </c>
      <c r="BL5" s="1990">
        <f t="shared" si="23"/>
        <v>-1.8499999999999996</v>
      </c>
      <c r="BM5" s="2442"/>
      <c r="BN5" s="1990">
        <f t="shared" si="24"/>
        <v>-1.71</v>
      </c>
      <c r="BO5" s="2164">
        <f t="shared" si="25"/>
        <v>-3.62</v>
      </c>
      <c r="BP5" s="2442"/>
      <c r="BQ5" s="1990">
        <f t="shared" si="26"/>
        <v>-1.71</v>
      </c>
      <c r="BR5" s="1990">
        <f t="shared" si="27"/>
        <v>0</v>
      </c>
      <c r="BS5" s="2442"/>
      <c r="BT5" s="1990">
        <f t="shared" si="28"/>
        <v>-1.71</v>
      </c>
      <c r="BU5" s="1990">
        <f t="shared" si="29"/>
        <v>0</v>
      </c>
      <c r="BV5" s="2442"/>
      <c r="BW5" s="1990">
        <f t="shared" si="30"/>
        <v>-1.71</v>
      </c>
      <c r="BX5" s="1990">
        <f t="shared" si="31"/>
        <v>0</v>
      </c>
      <c r="BY5" s="1168">
        <v>2.2599999999999998</v>
      </c>
    </row>
    <row r="6" spans="1:77" s="1168" customFormat="1" hidden="1">
      <c r="A6" s="2667"/>
      <c r="B6" s="1178" t="s">
        <v>462</v>
      </c>
      <c r="C6" s="1179" t="s">
        <v>458</v>
      </c>
      <c r="D6" s="1180"/>
      <c r="E6" s="1181"/>
      <c r="F6" s="1182">
        <f t="shared" si="32"/>
        <v>0</v>
      </c>
      <c r="G6" s="1182"/>
      <c r="H6" s="1181"/>
      <c r="I6" s="1182"/>
      <c r="J6" s="1182"/>
      <c r="K6" s="1181"/>
      <c r="L6" s="1182"/>
      <c r="M6" s="1182"/>
      <c r="N6" s="1203"/>
      <c r="O6" s="1182"/>
      <c r="P6" s="1182"/>
      <c r="Q6" s="1181"/>
      <c r="R6" s="1182">
        <f t="shared" si="1"/>
        <v>0</v>
      </c>
      <c r="S6" s="1182">
        <f t="shared" si="2"/>
        <v>0</v>
      </c>
      <c r="T6" s="1181"/>
      <c r="U6" s="1182">
        <f t="shared" si="3"/>
        <v>0</v>
      </c>
      <c r="V6" s="1182">
        <f t="shared" si="4"/>
        <v>0</v>
      </c>
      <c r="W6" s="1181"/>
      <c r="X6" s="1182"/>
      <c r="Y6" s="1182"/>
      <c r="Z6" s="1181"/>
      <c r="AA6" s="1182"/>
      <c r="AB6" s="1182"/>
      <c r="AC6" s="1181"/>
      <c r="AD6" s="1182"/>
      <c r="AE6" s="1182"/>
      <c r="AF6" s="1181"/>
      <c r="AG6" s="1182"/>
      <c r="AH6" s="1182"/>
      <c r="AI6" s="1181"/>
      <c r="AJ6" s="1182"/>
      <c r="AK6" s="1648"/>
      <c r="AL6" s="1180"/>
      <c r="AM6" s="1182"/>
      <c r="AN6" s="1182"/>
      <c r="AO6" s="1180"/>
      <c r="AP6" s="1990">
        <f t="shared" si="35"/>
        <v>0</v>
      </c>
      <c r="AQ6" s="1990">
        <f t="shared" si="36"/>
        <v>0</v>
      </c>
      <c r="AR6" s="1990"/>
      <c r="AS6" s="1989">
        <f t="shared" si="10"/>
        <v>0</v>
      </c>
      <c r="AT6" s="1990">
        <f t="shared" si="37"/>
        <v>0</v>
      </c>
      <c r="AU6" s="1990"/>
      <c r="AV6" s="1989">
        <f t="shared" si="12"/>
        <v>0</v>
      </c>
      <c r="AW6" s="1990">
        <f t="shared" si="38"/>
        <v>0</v>
      </c>
      <c r="AX6" s="1990"/>
      <c r="AY6" s="1990">
        <f t="shared" si="14"/>
        <v>0</v>
      </c>
      <c r="AZ6" s="2164">
        <f t="shared" si="39"/>
        <v>0</v>
      </c>
      <c r="BA6" s="1990"/>
      <c r="BB6" s="1990">
        <f t="shared" si="16"/>
        <v>0</v>
      </c>
      <c r="BC6" s="2164">
        <f t="shared" si="17"/>
        <v>0</v>
      </c>
      <c r="BD6" s="1180"/>
      <c r="BE6" s="1990">
        <f t="shared" si="19"/>
        <v>0</v>
      </c>
      <c r="BF6" s="1990">
        <f t="shared" si="42"/>
        <v>0</v>
      </c>
      <c r="BG6" s="2442"/>
      <c r="BH6" s="1990">
        <f t="shared" si="20"/>
        <v>0</v>
      </c>
      <c r="BI6" s="1990">
        <f t="shared" si="21"/>
        <v>0</v>
      </c>
      <c r="BJ6" s="2442"/>
      <c r="BK6" s="1990">
        <f t="shared" si="22"/>
        <v>0</v>
      </c>
      <c r="BL6" s="1990">
        <f t="shared" si="23"/>
        <v>0</v>
      </c>
      <c r="BM6" s="2442"/>
      <c r="BN6" s="1990">
        <f t="shared" si="24"/>
        <v>0</v>
      </c>
      <c r="BO6" s="2164">
        <f t="shared" si="25"/>
        <v>0</v>
      </c>
      <c r="BP6" s="2442"/>
      <c r="BQ6" s="1990">
        <f t="shared" si="26"/>
        <v>0</v>
      </c>
      <c r="BR6" s="1990">
        <f t="shared" si="27"/>
        <v>0</v>
      </c>
      <c r="BS6" s="2442"/>
      <c r="BT6" s="1990">
        <f t="shared" si="28"/>
        <v>0</v>
      </c>
      <c r="BU6" s="1990">
        <f t="shared" si="29"/>
        <v>0</v>
      </c>
      <c r="BV6" s="2442"/>
      <c r="BW6" s="1990">
        <f t="shared" si="30"/>
        <v>0</v>
      </c>
      <c r="BX6" s="1990">
        <f t="shared" si="31"/>
        <v>0</v>
      </c>
    </row>
    <row r="7" spans="1:77" s="1168" customFormat="1">
      <c r="A7" s="2667"/>
      <c r="B7" s="1178" t="s">
        <v>463</v>
      </c>
      <c r="C7" s="1179" t="s">
        <v>458</v>
      </c>
      <c r="D7" s="1180">
        <v>18.491209000000001</v>
      </c>
      <c r="E7" s="1181">
        <f>E22-E12</f>
        <v>14.3744394</v>
      </c>
      <c r="F7" s="1182">
        <f t="shared" si="32"/>
        <v>-4.1167696000000014</v>
      </c>
      <c r="G7" s="1181"/>
      <c r="H7" s="1181">
        <f>H22-H12</f>
        <v>23.561950700000001</v>
      </c>
      <c r="I7" s="1182">
        <f t="shared" ref="I7:I21" si="45">H7-D7</f>
        <v>5.0707416999999992</v>
      </c>
      <c r="J7" s="1182">
        <f t="shared" ref="J7:J21" si="46">H7-E7</f>
        <v>9.1875113000000006</v>
      </c>
      <c r="K7" s="1181">
        <f>K22-K12</f>
        <v>32.299503999999999</v>
      </c>
      <c r="L7" s="1182">
        <f t="shared" ref="L7:L21" si="47">K7-D7</f>
        <v>13.808294999999998</v>
      </c>
      <c r="M7" s="1182">
        <f t="shared" si="0"/>
        <v>8.7375532999999983</v>
      </c>
      <c r="N7" s="1181">
        <f>N22-N12</f>
        <v>24.604885099999997</v>
      </c>
      <c r="O7" s="1182">
        <f t="shared" ref="O7:O22" si="48">N7-D7</f>
        <v>6.1136760999999957</v>
      </c>
      <c r="P7" s="1182">
        <f t="shared" si="33"/>
        <v>-7.6946189000000018</v>
      </c>
      <c r="Q7" s="1181">
        <f>Q22-Q12</f>
        <v>32.933670899999996</v>
      </c>
      <c r="R7" s="1182">
        <f t="shared" si="1"/>
        <v>14.442461899999994</v>
      </c>
      <c r="S7" s="1182">
        <f t="shared" si="2"/>
        <v>8.3287857999999986</v>
      </c>
      <c r="T7" s="1181">
        <f>T22-T12</f>
        <v>30.363443499999999</v>
      </c>
      <c r="U7" s="1182">
        <f t="shared" si="3"/>
        <v>11.872234499999998</v>
      </c>
      <c r="V7" s="1182">
        <f t="shared" si="4"/>
        <v>-2.5702273999999967</v>
      </c>
      <c r="W7" s="1181">
        <f>W22-W12</f>
        <v>32.372852600000002</v>
      </c>
      <c r="X7" s="1182">
        <f t="shared" ref="X7:X21" si="49">W7-D7</f>
        <v>13.8816436</v>
      </c>
      <c r="Y7" s="1182">
        <f t="shared" si="5"/>
        <v>2.0094091000000027</v>
      </c>
      <c r="Z7" s="1181">
        <f>Z22-Z12</f>
        <v>23.520819000000003</v>
      </c>
      <c r="AA7" s="1182">
        <f t="shared" ref="AA7:AA23" si="50">Z7-D7</f>
        <v>5.0296100000000017</v>
      </c>
      <c r="AB7" s="1182">
        <f t="shared" si="43"/>
        <v>-8.8520335999999986</v>
      </c>
      <c r="AC7" s="1181">
        <f>AC22-AC12</f>
        <v>5.2195578000000005</v>
      </c>
      <c r="AD7" s="1182">
        <f t="shared" ref="AD7:AD21" si="51">AC7-D7</f>
        <v>-13.271651200000001</v>
      </c>
      <c r="AE7" s="1182">
        <f t="shared" si="44"/>
        <v>-18.301261200000003</v>
      </c>
      <c r="AF7" s="1181">
        <f>AF22-AF12</f>
        <v>36.252757600000002</v>
      </c>
      <c r="AG7" s="1182">
        <f t="shared" ref="AG7:AG23" si="52">AF7-D7</f>
        <v>17.761548600000001</v>
      </c>
      <c r="AH7" s="1182">
        <f t="shared" si="34"/>
        <v>31.033199800000002</v>
      </c>
      <c r="AI7" s="1181">
        <f>AI22-AI12</f>
        <v>22.343354700000003</v>
      </c>
      <c r="AJ7" s="1182">
        <f t="shared" ref="AJ7:AJ21" si="53">AI7-D7</f>
        <v>3.8521457000000012</v>
      </c>
      <c r="AK7" s="1648">
        <f t="shared" si="6"/>
        <v>-13.9094029</v>
      </c>
      <c r="AL7" s="1181">
        <f>AL22-AL12</f>
        <v>30.579925499999998</v>
      </c>
      <c r="AM7" s="1182">
        <f t="shared" ref="AM7:AM21" si="54">AL7-D7</f>
        <v>12.088716499999997</v>
      </c>
      <c r="AN7" s="1182">
        <f t="shared" si="7"/>
        <v>8.2365707999999955</v>
      </c>
      <c r="AO7" s="1181">
        <f>AO22-AO12</f>
        <v>37.481109399999994</v>
      </c>
      <c r="AP7" s="1990">
        <f t="shared" si="35"/>
        <v>6.9011838999999959</v>
      </c>
      <c r="AQ7" s="1990">
        <f t="shared" si="36"/>
        <v>6.9011838999999959</v>
      </c>
      <c r="AR7" s="1181">
        <f>AR22-AR12</f>
        <v>28.970435299999998</v>
      </c>
      <c r="AS7" s="1989">
        <f t="shared" si="10"/>
        <v>-1.6094901999999998</v>
      </c>
      <c r="AT7" s="1990">
        <f t="shared" si="37"/>
        <v>-8.5106740999999957</v>
      </c>
      <c r="AU7" s="1181">
        <f>AU22-AU12</f>
        <v>42.052509300000004</v>
      </c>
      <c r="AV7" s="1989">
        <f t="shared" si="12"/>
        <v>11.472583800000006</v>
      </c>
      <c r="AW7" s="1990">
        <f t="shared" si="38"/>
        <v>13.082074000000006</v>
      </c>
      <c r="AX7" s="1181">
        <f>AX22-AX12</f>
        <v>32.531457700000004</v>
      </c>
      <c r="AY7" s="1990">
        <f t="shared" si="14"/>
        <v>1.9515322000000062</v>
      </c>
      <c r="AZ7" s="2164">
        <f t="shared" si="39"/>
        <v>-9.5210515999999998</v>
      </c>
      <c r="BA7" s="1181">
        <f>BA22-BA12</f>
        <v>20.561160000000001</v>
      </c>
      <c r="BB7" s="1990">
        <f t="shared" si="16"/>
        <v>-10.018765499999997</v>
      </c>
      <c r="BC7" s="2164">
        <f t="shared" si="17"/>
        <v>-11.970297700000003</v>
      </c>
      <c r="BD7" s="1180">
        <f t="shared" ref="BD7" si="55">BD22-BD12</f>
        <v>28.92906</v>
      </c>
      <c r="BE7" s="1990">
        <f t="shared" si="19"/>
        <v>-1.6508654999999983</v>
      </c>
      <c r="BF7" s="1990">
        <f t="shared" si="42"/>
        <v>8.3678999999999988</v>
      </c>
      <c r="BG7" s="1180">
        <f>BG22-BG12</f>
        <v>30.380079200000001</v>
      </c>
      <c r="BH7" s="1990">
        <f t="shared" si="20"/>
        <v>-0.19984629999999726</v>
      </c>
      <c r="BI7" s="1990">
        <f t="shared" si="21"/>
        <v>1.4510192000000011</v>
      </c>
      <c r="BJ7" s="1180">
        <f>BJ22-BJ12</f>
        <v>-2.7845538999999997</v>
      </c>
      <c r="BK7" s="1990">
        <f t="shared" si="22"/>
        <v>-33.3644794</v>
      </c>
      <c r="BL7" s="1990">
        <f t="shared" si="23"/>
        <v>-33.164633100000003</v>
      </c>
      <c r="BM7" s="1180">
        <f>BM22-BM12</f>
        <v>0</v>
      </c>
      <c r="BN7" s="1990">
        <f t="shared" si="24"/>
        <v>-30.579925499999998</v>
      </c>
      <c r="BO7" s="2164">
        <f t="shared" si="25"/>
        <v>2.7845538999999997</v>
      </c>
      <c r="BP7" s="1180">
        <f>BP22-BP12</f>
        <v>0</v>
      </c>
      <c r="BQ7" s="1990">
        <f t="shared" si="26"/>
        <v>-30.579925499999998</v>
      </c>
      <c r="BR7" s="1990">
        <f t="shared" si="27"/>
        <v>0</v>
      </c>
      <c r="BS7" s="1180">
        <f>BS22-BS12</f>
        <v>0</v>
      </c>
      <c r="BT7" s="1990">
        <f t="shared" si="28"/>
        <v>-30.579925499999998</v>
      </c>
      <c r="BU7" s="1990">
        <f t="shared" si="29"/>
        <v>0</v>
      </c>
      <c r="BV7" s="1180">
        <f>BV22-BV12</f>
        <v>0</v>
      </c>
      <c r="BW7" s="1990">
        <f t="shared" si="30"/>
        <v>-30.579925499999998</v>
      </c>
      <c r="BX7" s="1990">
        <f t="shared" si="31"/>
        <v>0</v>
      </c>
    </row>
    <row r="8" spans="1:77">
      <c r="A8" s="2667"/>
      <c r="B8" s="1174" t="s">
        <v>17</v>
      </c>
      <c r="C8" s="1173" t="s">
        <v>458</v>
      </c>
      <c r="D8" s="1175">
        <v>9.4531910000000003</v>
      </c>
      <c r="E8" s="1176">
        <f>E9+E12</f>
        <v>15.341160599999998</v>
      </c>
      <c r="F8" s="1177">
        <f t="shared" si="32"/>
        <v>5.8879695999999981</v>
      </c>
      <c r="G8" s="1177"/>
      <c r="H8" s="1176">
        <f>H9+H12</f>
        <v>9.6209492999999995</v>
      </c>
      <c r="I8" s="1177">
        <f t="shared" si="45"/>
        <v>0.16775829999999914</v>
      </c>
      <c r="J8" s="1177">
        <f t="shared" si="46"/>
        <v>-5.720211299999999</v>
      </c>
      <c r="K8" s="1176">
        <f>K9+K12</f>
        <v>11.064395999999999</v>
      </c>
      <c r="L8" s="1177">
        <f t="shared" si="47"/>
        <v>1.6112049999999982</v>
      </c>
      <c r="M8" s="1177">
        <f t="shared" si="0"/>
        <v>1.4434466999999991</v>
      </c>
      <c r="N8" s="1176">
        <f>N9+N12</f>
        <v>11.6343149</v>
      </c>
      <c r="O8" s="1177">
        <f t="shared" si="48"/>
        <v>2.1811238999999993</v>
      </c>
      <c r="P8" s="1177">
        <f t="shared" si="33"/>
        <v>0.56991890000000112</v>
      </c>
      <c r="Q8" s="1176">
        <f>Q9+Q12</f>
        <v>10.838129100000002</v>
      </c>
      <c r="R8" s="1177">
        <f t="shared" si="1"/>
        <v>1.3849381000000012</v>
      </c>
      <c r="S8" s="1177">
        <f t="shared" si="2"/>
        <v>-0.79618579999999817</v>
      </c>
      <c r="T8" s="1176">
        <f>T9+T12</f>
        <v>20.435456500000001</v>
      </c>
      <c r="U8" s="1177">
        <f t="shared" si="3"/>
        <v>10.9822655</v>
      </c>
      <c r="V8" s="1177">
        <f t="shared" si="4"/>
        <v>9.5973273999999993</v>
      </c>
      <c r="W8" s="1176">
        <f>W9+W12</f>
        <v>29.256847399999998</v>
      </c>
      <c r="X8" s="1177">
        <f t="shared" si="49"/>
        <v>19.803656399999998</v>
      </c>
      <c r="Y8" s="1177">
        <f t="shared" si="5"/>
        <v>8.8213908999999973</v>
      </c>
      <c r="Z8" s="1176">
        <f>Z9+Z12</f>
        <v>34.086780999999995</v>
      </c>
      <c r="AA8" s="1177">
        <f t="shared" si="50"/>
        <v>24.633589999999995</v>
      </c>
      <c r="AB8" s="1177">
        <f t="shared" si="43"/>
        <v>4.8299335999999968</v>
      </c>
      <c r="AC8" s="1176">
        <f>AC9+AC12</f>
        <v>32.412942200000003</v>
      </c>
      <c r="AD8" s="1177">
        <f t="shared" si="51"/>
        <v>22.959751200000003</v>
      </c>
      <c r="AE8" s="1177">
        <f t="shared" si="44"/>
        <v>-1.6738387999999915</v>
      </c>
      <c r="AF8" s="1176">
        <f>AF9+AF12</f>
        <v>21.527242400000002</v>
      </c>
      <c r="AG8" s="1177">
        <f t="shared" si="52"/>
        <v>12.074051400000002</v>
      </c>
      <c r="AH8" s="1177">
        <f t="shared" si="34"/>
        <v>-10.885699800000001</v>
      </c>
      <c r="AI8" s="1176">
        <f>AI9+AI12</f>
        <v>17.5268406</v>
      </c>
      <c r="AJ8" s="1177">
        <f t="shared" si="53"/>
        <v>8.0736495999999995</v>
      </c>
      <c r="AK8" s="1647">
        <f t="shared" si="6"/>
        <v>-4.0004018000000023</v>
      </c>
      <c r="AL8" s="1175">
        <f>AL9+AL12</f>
        <v>15.1472459</v>
      </c>
      <c r="AM8" s="1177">
        <f t="shared" si="54"/>
        <v>5.6940548999999994</v>
      </c>
      <c r="AN8" s="1177">
        <f t="shared" si="7"/>
        <v>-2.3795947000000002</v>
      </c>
      <c r="AO8" s="1175">
        <f>AO9+AO12</f>
        <v>27.219042000000002</v>
      </c>
      <c r="AP8" s="1989">
        <f t="shared" si="35"/>
        <v>12.071796100000002</v>
      </c>
      <c r="AQ8" s="1989">
        <f t="shared" si="36"/>
        <v>12.071796100000002</v>
      </c>
      <c r="AR8" s="1175">
        <f>AR9+AR12</f>
        <v>17.441289599999998</v>
      </c>
      <c r="AS8" s="1989">
        <f t="shared" si="10"/>
        <v>2.2940436999999978</v>
      </c>
      <c r="AT8" s="1989">
        <f t="shared" si="37"/>
        <v>-9.7777524000000042</v>
      </c>
      <c r="AU8" s="1175">
        <f>AU9+AU12</f>
        <v>16.176190699999999</v>
      </c>
      <c r="AV8" s="1989">
        <f t="shared" si="12"/>
        <v>1.0289447999999997</v>
      </c>
      <c r="AW8" s="1989">
        <f t="shared" si="38"/>
        <v>-1.2650988999999981</v>
      </c>
      <c r="AX8" s="1175">
        <f>AX9+AX12</f>
        <v>10.6029423</v>
      </c>
      <c r="AY8" s="1989">
        <f t="shared" si="14"/>
        <v>-4.5443035999999992</v>
      </c>
      <c r="AZ8" s="2165">
        <f t="shared" si="39"/>
        <v>-5.5732483999999989</v>
      </c>
      <c r="BA8" s="1175">
        <f t="shared" ref="BA8" si="56">BA9+BA12</f>
        <v>17.240339999999996</v>
      </c>
      <c r="BB8" s="1989">
        <f t="shared" si="16"/>
        <v>2.0930940999999965</v>
      </c>
      <c r="BC8" s="2165">
        <f t="shared" si="17"/>
        <v>6.6373976999999957</v>
      </c>
      <c r="BD8" s="1175">
        <f t="shared" ref="BD8" si="57">BD9+BD12</f>
        <v>18.994524699999999</v>
      </c>
      <c r="BE8" s="1989">
        <f t="shared" si="19"/>
        <v>3.8472787999999998</v>
      </c>
      <c r="BF8" s="1989">
        <f t="shared" si="42"/>
        <v>1.7541847000000033</v>
      </c>
      <c r="BG8" s="1175">
        <f>BG9+BG12</f>
        <v>7.5153208000000005</v>
      </c>
      <c r="BH8" s="1989">
        <f t="shared" si="20"/>
        <v>-7.6319250999999992</v>
      </c>
      <c r="BI8" s="1989">
        <f t="shared" si="21"/>
        <v>-11.479203899999998</v>
      </c>
      <c r="BJ8" s="1175">
        <f>BJ9+BJ12</f>
        <v>13.324553899999998</v>
      </c>
      <c r="BK8" s="1989">
        <f t="shared" si="22"/>
        <v>-1.8226920000000018</v>
      </c>
      <c r="BL8" s="1989">
        <f t="shared" si="23"/>
        <v>5.8092330999999975</v>
      </c>
      <c r="BM8" s="1175">
        <f>BM9+BM12</f>
        <v>0</v>
      </c>
      <c r="BN8" s="1989">
        <f t="shared" si="24"/>
        <v>-15.1472459</v>
      </c>
      <c r="BO8" s="2165">
        <f t="shared" si="25"/>
        <v>-13.324553899999998</v>
      </c>
      <c r="BP8" s="1175">
        <f>BP9+BP12</f>
        <v>0</v>
      </c>
      <c r="BQ8" s="1989">
        <f t="shared" si="26"/>
        <v>-15.1472459</v>
      </c>
      <c r="BR8" s="1989">
        <f t="shared" si="27"/>
        <v>0</v>
      </c>
      <c r="BS8" s="1175">
        <f>BS9+BS12</f>
        <v>0</v>
      </c>
      <c r="BT8" s="1989">
        <f t="shared" si="28"/>
        <v>-15.1472459</v>
      </c>
      <c r="BU8" s="1989">
        <f t="shared" si="29"/>
        <v>0</v>
      </c>
      <c r="BV8" s="1175">
        <f>BV9+BV12</f>
        <v>0</v>
      </c>
      <c r="BW8" s="1989">
        <f t="shared" si="30"/>
        <v>-15.1472459</v>
      </c>
      <c r="BX8" s="1989">
        <f t="shared" si="31"/>
        <v>0</v>
      </c>
    </row>
    <row r="9" spans="1:77" s="1168" customFormat="1">
      <c r="A9" s="2667"/>
      <c r="B9" s="1178" t="s">
        <v>459</v>
      </c>
      <c r="C9" s="1179" t="s">
        <v>458</v>
      </c>
      <c r="D9" s="1180">
        <v>7.5838000000000001</v>
      </c>
      <c r="E9" s="1181">
        <f>E11+E10</f>
        <v>12.550899999999999</v>
      </c>
      <c r="F9" s="1182">
        <f t="shared" si="32"/>
        <v>4.9670999999999985</v>
      </c>
      <c r="G9" s="1182"/>
      <c r="H9" s="1181">
        <f>H11+H10</f>
        <v>6.9147999999999996</v>
      </c>
      <c r="I9" s="1182">
        <f t="shared" si="45"/>
        <v>-0.66900000000000048</v>
      </c>
      <c r="J9" s="1182">
        <f t="shared" si="46"/>
        <v>-5.636099999999999</v>
      </c>
      <c r="K9" s="1181">
        <f>K11+K10</f>
        <v>7.02</v>
      </c>
      <c r="L9" s="1182">
        <f t="shared" si="47"/>
        <v>-0.56380000000000052</v>
      </c>
      <c r="M9" s="1182">
        <f t="shared" si="0"/>
        <v>0.10519999999999996</v>
      </c>
      <c r="N9" s="1181">
        <f>N11+N10</f>
        <v>8.827</v>
      </c>
      <c r="O9" s="1182">
        <f t="shared" si="48"/>
        <v>1.2431999999999999</v>
      </c>
      <c r="P9" s="1182">
        <f t="shared" si="33"/>
        <v>1.8070000000000004</v>
      </c>
      <c r="Q9" s="1181">
        <f>Q11+Q10</f>
        <v>9.5142000000000007</v>
      </c>
      <c r="R9" s="1182">
        <f t="shared" si="1"/>
        <v>1.9304000000000006</v>
      </c>
      <c r="S9" s="1182">
        <f t="shared" si="2"/>
        <v>0.6872000000000007</v>
      </c>
      <c r="T9" s="1181">
        <f>T11+T10</f>
        <v>20.214500000000001</v>
      </c>
      <c r="U9" s="1182">
        <f t="shared" si="3"/>
        <v>12.630700000000001</v>
      </c>
      <c r="V9" s="1182">
        <f t="shared" si="4"/>
        <v>10.7003</v>
      </c>
      <c r="W9" s="1181">
        <f>W11+W10</f>
        <v>28.259999999999998</v>
      </c>
      <c r="X9" s="1182">
        <f t="shared" si="49"/>
        <v>20.676199999999998</v>
      </c>
      <c r="Y9" s="1182">
        <f t="shared" si="5"/>
        <v>8.045499999999997</v>
      </c>
      <c r="Z9" s="1181">
        <f>Z11+Z10</f>
        <v>31.524499999999996</v>
      </c>
      <c r="AA9" s="1182">
        <f t="shared" si="50"/>
        <v>23.940699999999996</v>
      </c>
      <c r="AB9" s="1182">
        <f t="shared" si="43"/>
        <v>3.2644999999999982</v>
      </c>
      <c r="AC9" s="1181">
        <f>AC11+AC10</f>
        <v>31.91</v>
      </c>
      <c r="AD9" s="1182">
        <f t="shared" si="51"/>
        <v>24.3262</v>
      </c>
      <c r="AE9" s="1182">
        <f t="shared" si="44"/>
        <v>0.38550000000000395</v>
      </c>
      <c r="AF9" s="1181">
        <f>AF11+AF10</f>
        <v>20.170000000000002</v>
      </c>
      <c r="AG9" s="1182">
        <f t="shared" si="52"/>
        <v>12.586200000000002</v>
      </c>
      <c r="AH9" s="1182">
        <f t="shared" si="34"/>
        <v>-11.739999999999998</v>
      </c>
      <c r="AI9" s="1181">
        <f>AI11+AI10</f>
        <v>16.87</v>
      </c>
      <c r="AJ9" s="1182">
        <f t="shared" si="53"/>
        <v>9.2862000000000009</v>
      </c>
      <c r="AK9" s="1648">
        <f t="shared" si="6"/>
        <v>-3.3000000000000007</v>
      </c>
      <c r="AL9" s="1180">
        <f>AL11+AL10</f>
        <v>13.8369</v>
      </c>
      <c r="AM9" s="1182">
        <f t="shared" si="54"/>
        <v>6.2530999999999999</v>
      </c>
      <c r="AN9" s="1182">
        <f t="shared" si="7"/>
        <v>-3.033100000000001</v>
      </c>
      <c r="AO9" s="1180">
        <f>AO11+AO10</f>
        <v>14.7972</v>
      </c>
      <c r="AP9" s="1990">
        <f t="shared" si="35"/>
        <v>0.96030000000000015</v>
      </c>
      <c r="AQ9" s="1990">
        <f t="shared" si="36"/>
        <v>0.96030000000000015</v>
      </c>
      <c r="AR9" s="1180">
        <f>AR11+AR10</f>
        <v>15.986499999999999</v>
      </c>
      <c r="AS9" s="1989">
        <f t="shared" si="10"/>
        <v>2.1495999999999995</v>
      </c>
      <c r="AT9" s="1990">
        <f t="shared" si="37"/>
        <v>1.1892999999999994</v>
      </c>
      <c r="AU9" s="1180">
        <f>AU11+AU10</f>
        <v>15.002199999999998</v>
      </c>
      <c r="AV9" s="1989">
        <f t="shared" si="12"/>
        <v>1.1652999999999984</v>
      </c>
      <c r="AW9" s="1990">
        <f t="shared" si="38"/>
        <v>-0.98430000000000106</v>
      </c>
      <c r="AX9" s="1180">
        <f>AX11+AX10</f>
        <v>9.8745000000000012</v>
      </c>
      <c r="AY9" s="1990">
        <f t="shared" si="14"/>
        <v>-3.9623999999999988</v>
      </c>
      <c r="AZ9" s="2164">
        <f t="shared" si="39"/>
        <v>-5.1276999999999973</v>
      </c>
      <c r="BA9" s="1180">
        <f t="shared" ref="BA9" si="58">BA11+BA10</f>
        <v>16.505499999999998</v>
      </c>
      <c r="BB9" s="1990">
        <f t="shared" si="16"/>
        <v>2.6685999999999979</v>
      </c>
      <c r="BC9" s="2164">
        <f t="shared" si="17"/>
        <v>6.6309999999999967</v>
      </c>
      <c r="BD9" s="1180">
        <f t="shared" ref="BD9" si="59">BD11+BD10</f>
        <v>15.44</v>
      </c>
      <c r="BE9" s="1990">
        <f t="shared" si="19"/>
        <v>1.6030999999999995</v>
      </c>
      <c r="BF9" s="1990">
        <f t="shared" si="42"/>
        <v>-1.0654999999999983</v>
      </c>
      <c r="BG9" s="1180">
        <f>BG11+BG10</f>
        <v>7.2671000000000001</v>
      </c>
      <c r="BH9" s="1990">
        <f t="shared" si="20"/>
        <v>-6.5697999999999999</v>
      </c>
      <c r="BI9" s="1990">
        <f t="shared" si="21"/>
        <v>-8.1728999999999985</v>
      </c>
      <c r="BJ9" s="1180">
        <f>BJ11+BJ10</f>
        <v>10.54</v>
      </c>
      <c r="BK9" s="1990">
        <f t="shared" si="22"/>
        <v>-3.2969000000000008</v>
      </c>
      <c r="BL9" s="1990">
        <f t="shared" si="23"/>
        <v>3.272899999999999</v>
      </c>
      <c r="BM9" s="1180">
        <f>BM11+BM10</f>
        <v>0</v>
      </c>
      <c r="BN9" s="1990">
        <f t="shared" si="24"/>
        <v>-13.8369</v>
      </c>
      <c r="BO9" s="2164">
        <f t="shared" si="25"/>
        <v>-10.54</v>
      </c>
      <c r="BP9" s="1180">
        <f>BP11+BP10</f>
        <v>0</v>
      </c>
      <c r="BQ9" s="1990">
        <f t="shared" si="26"/>
        <v>-13.8369</v>
      </c>
      <c r="BR9" s="1990">
        <f t="shared" si="27"/>
        <v>0</v>
      </c>
      <c r="BS9" s="1180">
        <f>BS11+BS10</f>
        <v>0</v>
      </c>
      <c r="BT9" s="1990">
        <f t="shared" si="28"/>
        <v>-13.8369</v>
      </c>
      <c r="BU9" s="1990">
        <f t="shared" si="29"/>
        <v>0</v>
      </c>
      <c r="BV9" s="1180">
        <f>BV11+BV10</f>
        <v>0</v>
      </c>
      <c r="BW9" s="1990">
        <f t="shared" si="30"/>
        <v>-13.8369</v>
      </c>
      <c r="BX9" s="1990">
        <f t="shared" si="31"/>
        <v>0</v>
      </c>
    </row>
    <row r="10" spans="1:77" s="1168" customFormat="1">
      <c r="A10" s="2667"/>
      <c r="B10" s="1178" t="s">
        <v>460</v>
      </c>
      <c r="C10" s="1179" t="s">
        <v>458</v>
      </c>
      <c r="D10" s="1180">
        <v>1.6838</v>
      </c>
      <c r="E10" s="1181">
        <v>1.1109</v>
      </c>
      <c r="F10" s="1182">
        <f t="shared" si="32"/>
        <v>-0.57289999999999996</v>
      </c>
      <c r="G10" s="1182"/>
      <c r="H10" s="1181">
        <v>2.1547999999999998</v>
      </c>
      <c r="I10" s="1182">
        <f t="shared" si="45"/>
        <v>0.47099999999999986</v>
      </c>
      <c r="J10" s="1182">
        <f t="shared" si="46"/>
        <v>1.0438999999999998</v>
      </c>
      <c r="K10" s="1181">
        <v>2.42</v>
      </c>
      <c r="L10" s="1182">
        <f t="shared" si="47"/>
        <v>0.73619999999999997</v>
      </c>
      <c r="M10" s="1182">
        <f t="shared" si="0"/>
        <v>0.2652000000000001</v>
      </c>
      <c r="N10" s="1181">
        <v>4.2670000000000003</v>
      </c>
      <c r="O10" s="1182">
        <f t="shared" si="48"/>
        <v>2.5832000000000006</v>
      </c>
      <c r="P10" s="1182">
        <f t="shared" si="33"/>
        <v>1.8470000000000004</v>
      </c>
      <c r="Q10" s="1181">
        <v>4.4042000000000003</v>
      </c>
      <c r="R10" s="1182">
        <f t="shared" si="1"/>
        <v>2.7204000000000006</v>
      </c>
      <c r="S10" s="1182">
        <f t="shared" si="2"/>
        <v>0.13719999999999999</v>
      </c>
      <c r="T10" s="1212">
        <v>11.5045</v>
      </c>
      <c r="U10" s="1182">
        <f t="shared" si="3"/>
        <v>9.8207000000000004</v>
      </c>
      <c r="V10" s="1182">
        <f t="shared" si="4"/>
        <v>7.1002999999999998</v>
      </c>
      <c r="W10" s="1210">
        <v>16.149999999999999</v>
      </c>
      <c r="X10" s="1182">
        <f t="shared" si="49"/>
        <v>14.466199999999999</v>
      </c>
      <c r="Y10" s="1182">
        <f t="shared" si="5"/>
        <v>4.6454999999999984</v>
      </c>
      <c r="Z10" s="1181">
        <v>20.674499999999998</v>
      </c>
      <c r="AA10" s="1182">
        <f t="shared" si="50"/>
        <v>18.990699999999997</v>
      </c>
      <c r="AB10" s="1182">
        <f t="shared" si="43"/>
        <v>4.5244999999999997</v>
      </c>
      <c r="AC10" s="1181">
        <f>14.78+11</f>
        <v>25.78</v>
      </c>
      <c r="AD10" s="1182">
        <f t="shared" si="51"/>
        <v>24.0962</v>
      </c>
      <c r="AE10" s="1182">
        <f t="shared" si="44"/>
        <v>5.1055000000000028</v>
      </c>
      <c r="AF10" s="1181">
        <v>11.07</v>
      </c>
      <c r="AG10" s="1182">
        <f t="shared" si="52"/>
        <v>9.3862000000000005</v>
      </c>
      <c r="AH10" s="1182">
        <f t="shared" si="34"/>
        <v>-14.71</v>
      </c>
      <c r="AI10" s="1181">
        <v>7.07</v>
      </c>
      <c r="AJ10" s="1182">
        <f t="shared" si="53"/>
        <v>5.3862000000000005</v>
      </c>
      <c r="AK10" s="1648">
        <f t="shared" si="6"/>
        <v>-4</v>
      </c>
      <c r="AL10" s="1180">
        <f>2.3269+0.8</f>
        <v>3.1269</v>
      </c>
      <c r="AM10" s="1182">
        <f t="shared" si="54"/>
        <v>1.4431</v>
      </c>
      <c r="AN10" s="1182">
        <f t="shared" si="7"/>
        <v>-3.9431000000000003</v>
      </c>
      <c r="AO10" s="1180">
        <v>3.6572</v>
      </c>
      <c r="AP10" s="1990">
        <f t="shared" si="35"/>
        <v>0.53029999999999999</v>
      </c>
      <c r="AQ10" s="1990">
        <f t="shared" si="36"/>
        <v>0.53029999999999999</v>
      </c>
      <c r="AR10" s="1180">
        <v>5.3064999999999998</v>
      </c>
      <c r="AS10" s="1989">
        <f t="shared" si="10"/>
        <v>2.1795999999999998</v>
      </c>
      <c r="AT10" s="1990">
        <f t="shared" si="37"/>
        <v>1.6492999999999998</v>
      </c>
      <c r="AU10" s="1180">
        <f>3.9322+0.64</f>
        <v>4.5721999999999996</v>
      </c>
      <c r="AV10" s="1989">
        <f t="shared" si="12"/>
        <v>1.4452999999999996</v>
      </c>
      <c r="AW10" s="1990">
        <f t="shared" si="38"/>
        <v>-0.73430000000000017</v>
      </c>
      <c r="AX10" s="1181">
        <v>1.8145</v>
      </c>
      <c r="AY10" s="1990">
        <f t="shared" si="14"/>
        <v>-1.3124</v>
      </c>
      <c r="AZ10" s="2164">
        <f t="shared" si="39"/>
        <v>-2.7576999999999998</v>
      </c>
      <c r="BA10" s="1180">
        <v>3.8855</v>
      </c>
      <c r="BB10" s="1990">
        <f t="shared" si="16"/>
        <v>0.75859999999999994</v>
      </c>
      <c r="BC10" s="2164">
        <f t="shared" si="17"/>
        <v>2.0709999999999997</v>
      </c>
      <c r="BD10" s="1180">
        <f>2.09</f>
        <v>2.09</v>
      </c>
      <c r="BE10" s="1990">
        <f t="shared" si="19"/>
        <v>-1.0369000000000002</v>
      </c>
      <c r="BF10" s="1990">
        <f t="shared" si="42"/>
        <v>-1.7955000000000001</v>
      </c>
      <c r="BG10" s="2442">
        <v>0.46710000000000002</v>
      </c>
      <c r="BH10" s="1990">
        <f t="shared" si="20"/>
        <v>-2.6598000000000002</v>
      </c>
      <c r="BI10" s="1990">
        <f t="shared" si="21"/>
        <v>-1.6228999999999998</v>
      </c>
      <c r="BJ10" s="2442">
        <v>1.95</v>
      </c>
      <c r="BK10" s="1990">
        <f t="shared" si="22"/>
        <v>-1.1769000000000001</v>
      </c>
      <c r="BL10" s="1990">
        <f t="shared" si="23"/>
        <v>1.4828999999999999</v>
      </c>
      <c r="BM10" s="2442"/>
      <c r="BN10" s="1990">
        <f t="shared" si="24"/>
        <v>-3.1269</v>
      </c>
      <c r="BO10" s="2164">
        <f t="shared" si="25"/>
        <v>-1.95</v>
      </c>
      <c r="BP10" s="2442"/>
      <c r="BQ10" s="1990">
        <f t="shared" si="26"/>
        <v>-3.1269</v>
      </c>
      <c r="BR10" s="1990">
        <f t="shared" si="27"/>
        <v>0</v>
      </c>
      <c r="BS10" s="2442"/>
      <c r="BT10" s="1990">
        <f t="shared" si="28"/>
        <v>-3.1269</v>
      </c>
      <c r="BU10" s="1990">
        <f t="shared" si="29"/>
        <v>0</v>
      </c>
      <c r="BV10" s="2442"/>
      <c r="BW10" s="1990">
        <f t="shared" si="30"/>
        <v>-3.1269</v>
      </c>
      <c r="BX10" s="1990">
        <f t="shared" si="31"/>
        <v>0</v>
      </c>
    </row>
    <row r="11" spans="1:77" s="1168" customFormat="1">
      <c r="A11" s="2667"/>
      <c r="B11" s="1178" t="s">
        <v>461</v>
      </c>
      <c r="C11" s="1179" t="s">
        <v>458</v>
      </c>
      <c r="D11" s="1180">
        <v>5.9</v>
      </c>
      <c r="E11" s="1181">
        <v>11.44</v>
      </c>
      <c r="F11" s="1182">
        <f t="shared" si="32"/>
        <v>5.5399999999999991</v>
      </c>
      <c r="G11" s="1182"/>
      <c r="H11" s="1181">
        <v>4.76</v>
      </c>
      <c r="I11" s="1182">
        <f t="shared" si="45"/>
        <v>-1.1400000000000006</v>
      </c>
      <c r="J11" s="1182">
        <f t="shared" si="46"/>
        <v>-6.68</v>
      </c>
      <c r="K11" s="1181">
        <v>4.5999999999999996</v>
      </c>
      <c r="L11" s="1182">
        <f t="shared" si="47"/>
        <v>-1.3000000000000007</v>
      </c>
      <c r="M11" s="1182">
        <f t="shared" si="0"/>
        <v>-0.16000000000000014</v>
      </c>
      <c r="N11" s="1181">
        <v>4.5599999999999996</v>
      </c>
      <c r="O11" s="1182">
        <f t="shared" si="48"/>
        <v>-1.3400000000000007</v>
      </c>
      <c r="P11" s="1182">
        <f t="shared" si="33"/>
        <v>-4.0000000000000036E-2</v>
      </c>
      <c r="Q11" s="1181">
        <v>5.1100000000000003</v>
      </c>
      <c r="R11" s="1182">
        <f t="shared" si="1"/>
        <v>-0.79</v>
      </c>
      <c r="S11" s="1182">
        <f t="shared" si="2"/>
        <v>0.55000000000000071</v>
      </c>
      <c r="T11" s="1212">
        <v>8.7100000000000009</v>
      </c>
      <c r="U11" s="1182">
        <f t="shared" si="3"/>
        <v>2.8100000000000005</v>
      </c>
      <c r="V11" s="1182">
        <f t="shared" si="4"/>
        <v>3.6000000000000005</v>
      </c>
      <c r="W11" s="1210">
        <v>12.11</v>
      </c>
      <c r="X11" s="1182">
        <f t="shared" si="49"/>
        <v>6.2099999999999991</v>
      </c>
      <c r="Y11" s="1182">
        <f t="shared" si="5"/>
        <v>3.3999999999999986</v>
      </c>
      <c r="Z11" s="1181">
        <v>10.85</v>
      </c>
      <c r="AA11" s="1182">
        <f t="shared" si="50"/>
        <v>4.9499999999999993</v>
      </c>
      <c r="AB11" s="1182">
        <f t="shared" si="43"/>
        <v>-1.2599999999999998</v>
      </c>
      <c r="AC11" s="1181">
        <v>6.13</v>
      </c>
      <c r="AD11" s="1182">
        <f t="shared" si="51"/>
        <v>0.22999999999999954</v>
      </c>
      <c r="AE11" s="1182">
        <f t="shared" si="44"/>
        <v>-4.72</v>
      </c>
      <c r="AF11" s="1181">
        <v>9.1</v>
      </c>
      <c r="AG11" s="1182">
        <f t="shared" si="52"/>
        <v>3.1999999999999993</v>
      </c>
      <c r="AH11" s="1182">
        <f t="shared" si="34"/>
        <v>2.9699999999999998</v>
      </c>
      <c r="AI11" s="1181">
        <v>9.8000000000000007</v>
      </c>
      <c r="AJ11" s="1182">
        <f t="shared" si="53"/>
        <v>3.9000000000000004</v>
      </c>
      <c r="AK11" s="1648">
        <f t="shared" si="6"/>
        <v>0.70000000000000107</v>
      </c>
      <c r="AL11" s="1180">
        <v>10.71</v>
      </c>
      <c r="AM11" s="1182">
        <f t="shared" si="54"/>
        <v>4.8100000000000005</v>
      </c>
      <c r="AN11" s="1182">
        <f t="shared" si="7"/>
        <v>0.91000000000000014</v>
      </c>
      <c r="AO11" s="1180">
        <v>11.14</v>
      </c>
      <c r="AP11" s="1990">
        <f t="shared" si="35"/>
        <v>0.42999999999999972</v>
      </c>
      <c r="AQ11" s="1990">
        <f t="shared" si="36"/>
        <v>0.42999999999999972</v>
      </c>
      <c r="AR11" s="1180">
        <v>10.68</v>
      </c>
      <c r="AS11" s="1989">
        <f t="shared" si="10"/>
        <v>-3.0000000000001137E-2</v>
      </c>
      <c r="AT11" s="1990">
        <f t="shared" si="37"/>
        <v>-0.46000000000000085</v>
      </c>
      <c r="AU11" s="1180">
        <v>10.43</v>
      </c>
      <c r="AV11" s="1989">
        <f t="shared" si="12"/>
        <v>-0.28000000000000114</v>
      </c>
      <c r="AW11" s="1990">
        <f t="shared" si="38"/>
        <v>-0.25</v>
      </c>
      <c r="AX11" s="2442">
        <v>8.06</v>
      </c>
      <c r="AY11" s="1990">
        <f t="shared" si="14"/>
        <v>-2.6500000000000004</v>
      </c>
      <c r="AZ11" s="2164">
        <f t="shared" si="39"/>
        <v>-2.3699999999999992</v>
      </c>
      <c r="BA11" s="2508">
        <v>12.62</v>
      </c>
      <c r="BB11" s="1990">
        <f t="shared" si="16"/>
        <v>1.9099999999999984</v>
      </c>
      <c r="BC11" s="2164">
        <f t="shared" si="17"/>
        <v>4.5599999999999987</v>
      </c>
      <c r="BD11" s="1180">
        <v>13.35</v>
      </c>
      <c r="BE11" s="1990">
        <f t="shared" si="19"/>
        <v>2.6399999999999988</v>
      </c>
      <c r="BF11" s="1990">
        <f t="shared" si="42"/>
        <v>0.73000000000000043</v>
      </c>
      <c r="BG11" s="2442">
        <v>6.8</v>
      </c>
      <c r="BH11" s="1990">
        <f t="shared" si="20"/>
        <v>-3.910000000000001</v>
      </c>
      <c r="BI11" s="1990">
        <f t="shared" si="21"/>
        <v>-6.55</v>
      </c>
      <c r="BJ11" s="2442">
        <v>8.59</v>
      </c>
      <c r="BK11" s="1990">
        <f t="shared" si="22"/>
        <v>-2.120000000000001</v>
      </c>
      <c r="BL11" s="1990">
        <f t="shared" si="23"/>
        <v>1.79</v>
      </c>
      <c r="BM11" s="2442"/>
      <c r="BN11" s="1990">
        <f t="shared" si="24"/>
        <v>-10.71</v>
      </c>
      <c r="BO11" s="2164">
        <f t="shared" si="25"/>
        <v>-8.59</v>
      </c>
      <c r="BP11" s="2442"/>
      <c r="BQ11" s="1990">
        <f t="shared" si="26"/>
        <v>-10.71</v>
      </c>
      <c r="BR11" s="1990">
        <f t="shared" si="27"/>
        <v>0</v>
      </c>
      <c r="BS11" s="2442"/>
      <c r="BT11" s="1990">
        <f t="shared" si="28"/>
        <v>-10.71</v>
      </c>
      <c r="BU11" s="1990">
        <f t="shared" si="29"/>
        <v>0</v>
      </c>
      <c r="BV11" s="2442"/>
      <c r="BW11" s="1990">
        <f t="shared" si="30"/>
        <v>-10.71</v>
      </c>
      <c r="BX11" s="1990">
        <f t="shared" si="31"/>
        <v>0</v>
      </c>
      <c r="BY11" s="1168">
        <v>11.14</v>
      </c>
    </row>
    <row r="12" spans="1:77" s="1168" customFormat="1">
      <c r="A12" s="2667"/>
      <c r="B12" s="1178" t="s">
        <v>463</v>
      </c>
      <c r="C12" s="1179" t="s">
        <v>458</v>
      </c>
      <c r="D12" s="1180">
        <v>1.869391</v>
      </c>
      <c r="E12" s="1181">
        <f>SUM(E23:E26)/10000</f>
        <v>2.7902605999999999</v>
      </c>
      <c r="F12" s="1182">
        <f t="shared" si="32"/>
        <v>0.92086959999999984</v>
      </c>
      <c r="G12" s="1182"/>
      <c r="H12" s="1181">
        <f>SUM(H23:H26)/10000</f>
        <v>2.7061493000000003</v>
      </c>
      <c r="I12" s="1182">
        <f t="shared" si="45"/>
        <v>0.83675830000000029</v>
      </c>
      <c r="J12" s="1182">
        <f t="shared" si="46"/>
        <v>-8.4111299999999556E-2</v>
      </c>
      <c r="K12" s="1181">
        <f>SUM(K23:K26)/10000</f>
        <v>4.0443959999999999</v>
      </c>
      <c r="L12" s="1182">
        <f t="shared" si="47"/>
        <v>2.1750049999999996</v>
      </c>
      <c r="M12" s="1182">
        <f t="shared" si="0"/>
        <v>1.3382466999999996</v>
      </c>
      <c r="N12" s="1181">
        <f>SUM(N23:N26)/10000</f>
        <v>2.8073148999999997</v>
      </c>
      <c r="O12" s="1182">
        <f t="shared" si="48"/>
        <v>0.9379238999999997</v>
      </c>
      <c r="P12" s="1182">
        <f t="shared" si="33"/>
        <v>-1.2370811000000002</v>
      </c>
      <c r="Q12" s="1181">
        <f>SUM(Q23:Q26)/10000</f>
        <v>1.3239291000000002</v>
      </c>
      <c r="R12" s="1182">
        <f>Q12-D12</f>
        <v>-0.54546189999999983</v>
      </c>
      <c r="S12" s="1182">
        <f>Q12-N12</f>
        <v>-1.4833857999999995</v>
      </c>
      <c r="T12" s="1181">
        <f>SUM(T23:T26)/10000</f>
        <v>0.2209565</v>
      </c>
      <c r="U12" s="1182">
        <f t="shared" si="3"/>
        <v>-1.6484345</v>
      </c>
      <c r="V12" s="1182">
        <f t="shared" si="4"/>
        <v>-1.1029726000000002</v>
      </c>
      <c r="W12" s="1181">
        <f>SUM(W23:W26)/10000</f>
        <v>0.99684740000000005</v>
      </c>
      <c r="X12" s="1182">
        <f t="shared" si="49"/>
        <v>-0.87254359999999997</v>
      </c>
      <c r="Y12" s="1182">
        <f t="shared" si="5"/>
        <v>0.77589090000000005</v>
      </c>
      <c r="Z12" s="1181">
        <f>SUM(Z23:Z26)/10000</f>
        <v>2.5622809999999996</v>
      </c>
      <c r="AA12" s="1182">
        <f t="shared" si="50"/>
        <v>0.69288999999999956</v>
      </c>
      <c r="AB12" s="1182">
        <f t="shared" si="43"/>
        <v>1.5654335999999995</v>
      </c>
      <c r="AC12" s="1181">
        <f>SUM(AC23:AC26)/10000</f>
        <v>0.50294220000000001</v>
      </c>
      <c r="AD12" s="1182">
        <f t="shared" si="51"/>
        <v>-1.3664488000000001</v>
      </c>
      <c r="AE12" s="1182">
        <f t="shared" si="44"/>
        <v>-2.0593387999999995</v>
      </c>
      <c r="AF12" s="1181">
        <f>SUM(AF23:AF26)/10000</f>
        <v>1.3572423999999998</v>
      </c>
      <c r="AG12" s="1182">
        <f t="shared" si="52"/>
        <v>-0.51214860000000018</v>
      </c>
      <c r="AH12" s="1182">
        <f t="shared" si="34"/>
        <v>0.85430019999999984</v>
      </c>
      <c r="AI12" s="1181">
        <f>SUM(AI23:AI26)/10000</f>
        <v>0.6568406</v>
      </c>
      <c r="AJ12" s="1182">
        <f t="shared" si="53"/>
        <v>-1.2125504</v>
      </c>
      <c r="AK12" s="1648">
        <f t="shared" si="6"/>
        <v>-0.70040179999999985</v>
      </c>
      <c r="AL12" s="1181">
        <f>SUM(AL23:AL26)/10000</f>
        <v>1.3103459</v>
      </c>
      <c r="AM12" s="1182">
        <f t="shared" si="54"/>
        <v>-0.55904510000000007</v>
      </c>
      <c r="AN12" s="1182">
        <f t="shared" si="7"/>
        <v>0.65350529999999996</v>
      </c>
      <c r="AO12" s="1181">
        <f>SUM(AO23:AO26)/10000</f>
        <v>12.421842000000002</v>
      </c>
      <c r="AP12" s="1990">
        <f t="shared" si="35"/>
        <v>11.111496100000002</v>
      </c>
      <c r="AQ12" s="1990">
        <f t="shared" si="36"/>
        <v>11.111496100000002</v>
      </c>
      <c r="AR12" s="1180">
        <f>SUM(AR23:AR26)/10000</f>
        <v>1.4547895999999998</v>
      </c>
      <c r="AS12" s="1989">
        <f t="shared" si="10"/>
        <v>0.14444369999999984</v>
      </c>
      <c r="AT12" s="1990">
        <f t="shared" si="37"/>
        <v>-10.967052400000002</v>
      </c>
      <c r="AU12" s="1181">
        <f>SUM(AU23:AU26)/10000</f>
        <v>1.1739906999999998</v>
      </c>
      <c r="AV12" s="1989">
        <f t="shared" si="12"/>
        <v>-0.13635520000000012</v>
      </c>
      <c r="AW12" s="1990">
        <f t="shared" si="38"/>
        <v>-0.28079889999999996</v>
      </c>
      <c r="AX12" s="1181">
        <f>SUM(AX23:AX26)/10000</f>
        <v>0.72844229999999999</v>
      </c>
      <c r="AY12" s="1990">
        <f t="shared" si="14"/>
        <v>-0.58190359999999997</v>
      </c>
      <c r="AZ12" s="2164">
        <f t="shared" si="39"/>
        <v>-0.44554839999999984</v>
      </c>
      <c r="BA12" s="1181">
        <f t="shared" ref="BA12" si="60">SUM(BA23:BA26)/10000</f>
        <v>0.73483999999999994</v>
      </c>
      <c r="BB12" s="1990">
        <f t="shared" si="16"/>
        <v>-0.57550590000000001</v>
      </c>
      <c r="BC12" s="2164">
        <f t="shared" si="17"/>
        <v>6.3976999999999506E-3</v>
      </c>
      <c r="BD12" s="1180">
        <f t="shared" ref="BD12" si="61">SUM(BD23:BD26)/10000</f>
        <v>3.5545247000000004</v>
      </c>
      <c r="BE12" s="1990">
        <f t="shared" si="19"/>
        <v>2.2441788000000003</v>
      </c>
      <c r="BF12" s="1990">
        <f t="shared" si="42"/>
        <v>2.8196847000000007</v>
      </c>
      <c r="BG12" s="1180">
        <f>SUM(BG23:BG26)/10000</f>
        <v>0.24822080000000002</v>
      </c>
      <c r="BH12" s="1990">
        <f t="shared" si="20"/>
        <v>-1.0621250999999998</v>
      </c>
      <c r="BI12" s="1990">
        <f t="shared" si="21"/>
        <v>-3.3063039000000005</v>
      </c>
      <c r="BJ12" s="1180">
        <f>SUM(BJ23:BJ26)/10000</f>
        <v>2.7845538999999997</v>
      </c>
      <c r="BK12" s="1990">
        <f t="shared" si="22"/>
        <v>1.4742079999999997</v>
      </c>
      <c r="BL12" s="1990">
        <f t="shared" si="23"/>
        <v>2.5363330999999998</v>
      </c>
      <c r="BM12" s="1180">
        <f>SUM(BM23:BM26)/10000</f>
        <v>0</v>
      </c>
      <c r="BN12" s="1990">
        <f t="shared" si="24"/>
        <v>-1.3103459</v>
      </c>
      <c r="BO12" s="2164">
        <f t="shared" si="25"/>
        <v>-2.7845538999999997</v>
      </c>
      <c r="BP12" s="1180">
        <f>SUM(BP23:BP26)/10000</f>
        <v>0</v>
      </c>
      <c r="BQ12" s="1990">
        <f t="shared" si="26"/>
        <v>-1.3103459</v>
      </c>
      <c r="BR12" s="1990">
        <f t="shared" si="27"/>
        <v>0</v>
      </c>
      <c r="BS12" s="1180">
        <f>SUM(BS23:BS26)/10000</f>
        <v>0</v>
      </c>
      <c r="BT12" s="1990">
        <f t="shared" si="28"/>
        <v>-1.3103459</v>
      </c>
      <c r="BU12" s="1990">
        <f t="shared" si="29"/>
        <v>0</v>
      </c>
      <c r="BV12" s="1180">
        <f>SUM(BV23:BV26)/10000</f>
        <v>0</v>
      </c>
      <c r="BW12" s="1990">
        <f t="shared" si="30"/>
        <v>-1.3103459</v>
      </c>
      <c r="BX12" s="1990">
        <f t="shared" si="31"/>
        <v>0</v>
      </c>
    </row>
    <row r="13" spans="1:77" s="1169" customFormat="1">
      <c r="A13" s="2672" t="s">
        <v>464</v>
      </c>
      <c r="B13" s="1174" t="s">
        <v>465</v>
      </c>
      <c r="C13" s="1173" t="s">
        <v>458</v>
      </c>
      <c r="D13" s="1175">
        <f>D15+D14</f>
        <v>38.286939414047296</v>
      </c>
      <c r="E13" s="1175">
        <f>E15+E14</f>
        <v>40.601879717835402</v>
      </c>
      <c r="F13" s="1177">
        <f t="shared" si="32"/>
        <v>2.3149403037881058</v>
      </c>
      <c r="G13" s="1177"/>
      <c r="H13" s="1175">
        <f>H15+H14</f>
        <v>41.9199268405238</v>
      </c>
      <c r="I13" s="1177">
        <f t="shared" si="45"/>
        <v>3.6329874264765039</v>
      </c>
      <c r="J13" s="1177">
        <f t="shared" si="46"/>
        <v>1.3180471226883981</v>
      </c>
      <c r="K13" s="1175">
        <f>K15+K14</f>
        <v>42.535080669810199</v>
      </c>
      <c r="L13" s="1177">
        <f t="shared" si="47"/>
        <v>4.2481412557629028</v>
      </c>
      <c r="M13" s="1177">
        <f t="shared" si="0"/>
        <v>0.61515382928639895</v>
      </c>
      <c r="N13" s="1175">
        <f>N15+N14</f>
        <v>34.835302882189396</v>
      </c>
      <c r="O13" s="1177">
        <f t="shared" si="48"/>
        <v>-3.4516365318579005</v>
      </c>
      <c r="P13" s="1177">
        <f t="shared" si="33"/>
        <v>-7.6997777876208033</v>
      </c>
      <c r="Q13" s="1175">
        <f>Q15+Q14</f>
        <v>36.628063120754497</v>
      </c>
      <c r="R13" s="1177">
        <f t="shared" si="1"/>
        <v>-1.6588762932927992</v>
      </c>
      <c r="S13" s="1177">
        <f t="shared" si="2"/>
        <v>1.7927602385651014</v>
      </c>
      <c r="T13" s="1175">
        <f>T15+T14</f>
        <v>37.974153435350303</v>
      </c>
      <c r="U13" s="1177">
        <f t="shared" si="3"/>
        <v>-0.31278597869699354</v>
      </c>
      <c r="V13" s="1177">
        <f t="shared" si="4"/>
        <v>1.3460903145958056</v>
      </c>
      <c r="W13" s="1175">
        <f>W15+W14</f>
        <v>47.752926178659862</v>
      </c>
      <c r="X13" s="1177">
        <f t="shared" si="49"/>
        <v>9.4659867646125662</v>
      </c>
      <c r="Y13" s="1177">
        <f t="shared" si="5"/>
        <v>9.7787727433095597</v>
      </c>
      <c r="Z13" s="1175">
        <f>Z15+Z14</f>
        <v>48.55203280619542</v>
      </c>
      <c r="AA13" s="1177">
        <f t="shared" si="50"/>
        <v>10.265093392148124</v>
      </c>
      <c r="AB13" s="1177">
        <f t="shared" si="43"/>
        <v>0.79910662753555783</v>
      </c>
      <c r="AC13" s="1175">
        <f>AC15+AC14</f>
        <v>50.0356154433181</v>
      </c>
      <c r="AD13" s="1177">
        <f t="shared" si="51"/>
        <v>11.748676029270804</v>
      </c>
      <c r="AE13" s="1177">
        <f t="shared" si="44"/>
        <v>1.4835826371226801</v>
      </c>
      <c r="AF13" s="1175">
        <f>AF15+AF14</f>
        <v>48.261235456278058</v>
      </c>
      <c r="AG13" s="1177">
        <f t="shared" si="52"/>
        <v>9.9742960422307618</v>
      </c>
      <c r="AH13" s="1177">
        <f t="shared" si="34"/>
        <v>-1.7743799870400423</v>
      </c>
      <c r="AI13" s="1175">
        <f>AI15+AI14</f>
        <v>47.217311253194588</v>
      </c>
      <c r="AJ13" s="1177">
        <f t="shared" si="53"/>
        <v>8.9303718391472913</v>
      </c>
      <c r="AK13" s="1647">
        <f t="shared" si="6"/>
        <v>-1.0439242030834706</v>
      </c>
      <c r="AL13" s="1175">
        <f>AL15+AL14</f>
        <v>46.760791994440815</v>
      </c>
      <c r="AM13" s="1177">
        <f t="shared" si="54"/>
        <v>8.473852580393519</v>
      </c>
      <c r="AN13" s="1177">
        <f t="shared" si="7"/>
        <v>-0.45651925875377231</v>
      </c>
      <c r="AO13" s="1175">
        <f>AO15+AO14</f>
        <v>42.659301160430765</v>
      </c>
      <c r="AP13" s="1989">
        <f t="shared" si="35"/>
        <v>-4.1014908340100504</v>
      </c>
      <c r="AQ13" s="1989">
        <f t="shared" si="36"/>
        <v>-4.1014908340100504</v>
      </c>
      <c r="AR13" s="1175">
        <f>AR15+AR14</f>
        <v>43.330169283381814</v>
      </c>
      <c r="AS13" s="1989">
        <f t="shared" si="10"/>
        <v>-3.4306227110590015</v>
      </c>
      <c r="AT13" s="1989">
        <f t="shared" si="37"/>
        <v>0.67086812295104892</v>
      </c>
      <c r="AU13" s="1175">
        <f>AU15+AU14</f>
        <v>42.55</v>
      </c>
      <c r="AV13" s="1989">
        <f t="shared" si="12"/>
        <v>-4.2107919944408181</v>
      </c>
      <c r="AW13" s="1989">
        <f t="shared" si="38"/>
        <v>-0.78016928338181657</v>
      </c>
      <c r="AX13" s="1175">
        <f>AX15+AX14</f>
        <v>39.838368600000003</v>
      </c>
      <c r="AY13" s="1989">
        <f t="shared" si="14"/>
        <v>-6.9224233944408127</v>
      </c>
      <c r="AZ13" s="2165">
        <f t="shared" si="39"/>
        <v>-2.7116313999999946</v>
      </c>
      <c r="BA13" s="1175">
        <f t="shared" ref="BA13" si="62">BA15+BA14</f>
        <v>40.29317739165181</v>
      </c>
      <c r="BB13" s="1989">
        <f t="shared" si="16"/>
        <v>-6.4676146027890056</v>
      </c>
      <c r="BC13" s="2165">
        <f t="shared" si="17"/>
        <v>0.4548087916518071</v>
      </c>
      <c r="BD13" s="1175">
        <f t="shared" ref="BD13" si="63">BD15+BD14</f>
        <v>40.175666792975214</v>
      </c>
      <c r="BE13" s="1989">
        <f t="shared" si="19"/>
        <v>-6.5851252014656012</v>
      </c>
      <c r="BF13" s="1989">
        <f t="shared" si="42"/>
        <v>-0.11751059867659563</v>
      </c>
      <c r="BG13" s="1175">
        <f>BG15+BG14</f>
        <v>38.568043402828856</v>
      </c>
      <c r="BH13" s="1989">
        <f t="shared" si="20"/>
        <v>-8.1927485916119593</v>
      </c>
      <c r="BI13" s="1989">
        <f t="shared" si="21"/>
        <v>-1.6076233901463581</v>
      </c>
      <c r="BJ13" s="1175">
        <f>BJ15+BJ14</f>
        <v>0</v>
      </c>
      <c r="BK13" s="1989">
        <f t="shared" si="22"/>
        <v>-46.760791994440815</v>
      </c>
      <c r="BL13" s="1989">
        <f t="shared" si="23"/>
        <v>-38.568043402828856</v>
      </c>
      <c r="BM13" s="1175">
        <f>BM15+BM14</f>
        <v>0</v>
      </c>
      <c r="BN13" s="1989">
        <f t="shared" si="24"/>
        <v>-46.760791994440815</v>
      </c>
      <c r="BO13" s="2165">
        <f t="shared" si="25"/>
        <v>0</v>
      </c>
      <c r="BP13" s="1175">
        <f>BP15+BP14</f>
        <v>0</v>
      </c>
      <c r="BQ13" s="1989">
        <f t="shared" si="26"/>
        <v>-46.760791994440815</v>
      </c>
      <c r="BR13" s="1989">
        <f t="shared" si="27"/>
        <v>0</v>
      </c>
      <c r="BS13" s="1175">
        <f>BS15+BS14</f>
        <v>0</v>
      </c>
      <c r="BT13" s="1989">
        <f t="shared" si="28"/>
        <v>-46.760791994440815</v>
      </c>
      <c r="BU13" s="1989">
        <f t="shared" si="29"/>
        <v>0</v>
      </c>
      <c r="BV13" s="1175">
        <f>BV15+BV14</f>
        <v>0</v>
      </c>
      <c r="BW13" s="1989">
        <f t="shared" si="30"/>
        <v>-46.760791994440815</v>
      </c>
      <c r="BX13" s="1989">
        <f t="shared" si="31"/>
        <v>0</v>
      </c>
    </row>
    <row r="14" spans="1:77" s="1168" customFormat="1">
      <c r="A14" s="2673"/>
      <c r="B14" s="1178" t="s">
        <v>466</v>
      </c>
      <c r="C14" s="1179" t="s">
        <v>458</v>
      </c>
      <c r="D14" s="1180">
        <f>D20-D17</f>
        <v>26.000005714047301</v>
      </c>
      <c r="E14" s="1180">
        <f>E20-E17</f>
        <v>27.153769917835401</v>
      </c>
      <c r="F14" s="1182">
        <f t="shared" si="32"/>
        <v>1.1537642037881</v>
      </c>
      <c r="G14" s="1182"/>
      <c r="H14" s="1180">
        <f>H20-H17</f>
        <v>28.1309588405238</v>
      </c>
      <c r="I14" s="1182">
        <f t="shared" si="45"/>
        <v>2.1309531264764985</v>
      </c>
      <c r="J14" s="1182">
        <f t="shared" si="46"/>
        <v>0.97718892268839852</v>
      </c>
      <c r="K14" s="1180">
        <f>K20-K17</f>
        <v>27.818416769810202</v>
      </c>
      <c r="L14" s="1182">
        <f t="shared" si="47"/>
        <v>1.8184110557629012</v>
      </c>
      <c r="M14" s="1182">
        <f t="shared" si="0"/>
        <v>-0.3125420707135973</v>
      </c>
      <c r="N14" s="1180">
        <f>N20-N17</f>
        <v>20.148092082189397</v>
      </c>
      <c r="O14" s="1182">
        <f t="shared" si="48"/>
        <v>-5.8519136318579044</v>
      </c>
      <c r="P14" s="1182">
        <f t="shared" si="33"/>
        <v>-7.6703246876208055</v>
      </c>
      <c r="Q14" s="1180">
        <f>Q20-Q17</f>
        <v>19.976491120754496</v>
      </c>
      <c r="R14" s="1182">
        <f t="shared" si="1"/>
        <v>-6.0235145932928056</v>
      </c>
      <c r="S14" s="1182">
        <f t="shared" si="2"/>
        <v>-0.17160096143490122</v>
      </c>
      <c r="T14" s="1180">
        <f>T20-T17</f>
        <v>22.6775533353503</v>
      </c>
      <c r="U14" s="1182">
        <f t="shared" si="3"/>
        <v>-3.3224523786970011</v>
      </c>
      <c r="V14" s="1182">
        <f t="shared" si="4"/>
        <v>2.7010622145958045</v>
      </c>
      <c r="W14" s="1180">
        <f>W20-W17</f>
        <v>28.215897078659857</v>
      </c>
      <c r="X14" s="1182">
        <f t="shared" si="49"/>
        <v>2.2158913646125562</v>
      </c>
      <c r="Y14" s="1182">
        <f t="shared" si="5"/>
        <v>5.5383437433095573</v>
      </c>
      <c r="Z14" s="1180">
        <f>Z20-Z17</f>
        <v>33.491661106195423</v>
      </c>
      <c r="AA14" s="1182">
        <f t="shared" si="50"/>
        <v>7.4916553921481217</v>
      </c>
      <c r="AB14" s="1182">
        <f t="shared" si="43"/>
        <v>5.2757640275355655</v>
      </c>
      <c r="AC14" s="1180">
        <f>AC20-AC17</f>
        <v>36.634598243318102</v>
      </c>
      <c r="AD14" s="1182">
        <f t="shared" si="51"/>
        <v>10.634592529270801</v>
      </c>
      <c r="AE14" s="1182">
        <f t="shared" si="44"/>
        <v>3.1429371371226793</v>
      </c>
      <c r="AF14" s="1180">
        <f>AF20-AF17</f>
        <v>33.405913256278055</v>
      </c>
      <c r="AG14" s="1182">
        <f t="shared" si="52"/>
        <v>7.4059075422307536</v>
      </c>
      <c r="AH14" s="1182">
        <f t="shared" si="34"/>
        <v>-3.2286849870400474</v>
      </c>
      <c r="AI14" s="1180">
        <f>AI20-AI17</f>
        <v>31.712011553194593</v>
      </c>
      <c r="AJ14" s="1182">
        <f t="shared" si="53"/>
        <v>5.7120058391472917</v>
      </c>
      <c r="AK14" s="1648">
        <f t="shared" si="6"/>
        <v>-1.693901703083462</v>
      </c>
      <c r="AL14" s="1180">
        <f>AL20-AL17</f>
        <v>30.794974294440813</v>
      </c>
      <c r="AM14" s="1182">
        <f t="shared" si="54"/>
        <v>4.7949685803935118</v>
      </c>
      <c r="AN14" s="1182">
        <f t="shared" si="7"/>
        <v>-0.91703725875377984</v>
      </c>
      <c r="AO14" s="1180">
        <f>AO20-AO17</f>
        <v>27.936378560430764</v>
      </c>
      <c r="AP14" s="1990">
        <f t="shared" si="35"/>
        <v>-2.8585957340100485</v>
      </c>
      <c r="AQ14" s="1990">
        <f t="shared" si="36"/>
        <v>-2.8585957340100485</v>
      </c>
      <c r="AR14" s="1180">
        <f>AR20-AR17</f>
        <v>27.565934583381818</v>
      </c>
      <c r="AS14" s="1989">
        <f t="shared" si="10"/>
        <v>-3.229039711058995</v>
      </c>
      <c r="AT14" s="1990">
        <f t="shared" si="37"/>
        <v>-0.37044397704894649</v>
      </c>
      <c r="AU14" s="1180">
        <f>AU20-AU17</f>
        <v>27.49</v>
      </c>
      <c r="AV14" s="1989">
        <f t="shared" si="12"/>
        <v>-3.3049742944408145</v>
      </c>
      <c r="AW14" s="1990">
        <f t="shared" si="38"/>
        <v>-7.5934583381819465E-2</v>
      </c>
      <c r="AX14" s="1180">
        <f>AX20-AX17</f>
        <v>25.115663100000003</v>
      </c>
      <c r="AY14" s="1990">
        <f t="shared" si="14"/>
        <v>-5.6793111944408103</v>
      </c>
      <c r="AZ14" s="2164">
        <f t="shared" si="39"/>
        <v>-2.3743368999999959</v>
      </c>
      <c r="BA14" s="1180">
        <f t="shared" ref="BA14" si="64">BA20-BA17</f>
        <v>25.181788491651815</v>
      </c>
      <c r="BB14" s="1990">
        <f t="shared" si="16"/>
        <v>-5.6131858027889976</v>
      </c>
      <c r="BC14" s="2164">
        <f t="shared" si="17"/>
        <v>6.6125391651812748E-2</v>
      </c>
      <c r="BD14" s="1180">
        <f t="shared" ref="BD14" si="65">BD20-BD17</f>
        <v>25.460570892975216</v>
      </c>
      <c r="BE14" s="1990">
        <f t="shared" si="19"/>
        <v>-5.3344034014655968</v>
      </c>
      <c r="BF14" s="1990">
        <f t="shared" si="42"/>
        <v>0.27878240132340082</v>
      </c>
      <c r="BG14" s="1180">
        <f>BG20-BG17</f>
        <v>24.151526302828852</v>
      </c>
      <c r="BH14" s="1990">
        <f t="shared" si="20"/>
        <v>-6.6434479916119606</v>
      </c>
      <c r="BI14" s="1990">
        <f t="shared" si="21"/>
        <v>-1.3090445901463639</v>
      </c>
      <c r="BJ14" s="1180">
        <f>BJ20-BJ17</f>
        <v>0</v>
      </c>
      <c r="BK14" s="1990">
        <f t="shared" si="22"/>
        <v>-30.794974294440813</v>
      </c>
      <c r="BL14" s="1990">
        <f t="shared" si="23"/>
        <v>-24.151526302828852</v>
      </c>
      <c r="BM14" s="1180">
        <f>BM20-BM17</f>
        <v>0</v>
      </c>
      <c r="BN14" s="1990">
        <f t="shared" si="24"/>
        <v>-30.794974294440813</v>
      </c>
      <c r="BO14" s="2164">
        <f t="shared" si="25"/>
        <v>0</v>
      </c>
      <c r="BP14" s="1180">
        <f>BP20-BP17</f>
        <v>0</v>
      </c>
      <c r="BQ14" s="1990">
        <f t="shared" si="26"/>
        <v>-30.794974294440813</v>
      </c>
      <c r="BR14" s="1990">
        <f t="shared" si="27"/>
        <v>0</v>
      </c>
      <c r="BS14" s="1180">
        <f>BS20-BS17</f>
        <v>0</v>
      </c>
      <c r="BT14" s="1990">
        <f t="shared" si="28"/>
        <v>-30.794974294440813</v>
      </c>
      <c r="BU14" s="1990">
        <f t="shared" si="29"/>
        <v>0</v>
      </c>
      <c r="BV14" s="1180">
        <f>BV20-BV17</f>
        <v>0</v>
      </c>
      <c r="BW14" s="1990">
        <f t="shared" si="30"/>
        <v>-30.794974294440813</v>
      </c>
      <c r="BX14" s="1990">
        <f t="shared" si="31"/>
        <v>0</v>
      </c>
    </row>
    <row r="15" spans="1:77" s="1168" customFormat="1">
      <c r="A15" s="2673"/>
      <c r="B15" s="1178" t="s">
        <v>467</v>
      </c>
      <c r="C15" s="1179" t="s">
        <v>458</v>
      </c>
      <c r="D15" s="1180">
        <f>D21-D18</f>
        <v>12.286933699999999</v>
      </c>
      <c r="E15" s="1180">
        <f>E21-E18</f>
        <v>13.448109800000001</v>
      </c>
      <c r="F15" s="1182">
        <f t="shared" si="32"/>
        <v>1.1611761000000023</v>
      </c>
      <c r="G15" s="1182"/>
      <c r="H15" s="1180">
        <f>H21-H18</f>
        <v>13.788967999999999</v>
      </c>
      <c r="I15" s="1182">
        <f t="shared" si="45"/>
        <v>1.5020343</v>
      </c>
      <c r="J15" s="1182">
        <f t="shared" si="46"/>
        <v>0.34085819999999778</v>
      </c>
      <c r="K15" s="1180">
        <f>K21-K18</f>
        <v>14.7166639</v>
      </c>
      <c r="L15" s="1182">
        <f t="shared" si="47"/>
        <v>2.4297302000000016</v>
      </c>
      <c r="M15" s="1182">
        <f t="shared" si="0"/>
        <v>0.92769590000000157</v>
      </c>
      <c r="N15" s="1180">
        <f>N21-N18</f>
        <v>14.687210800000001</v>
      </c>
      <c r="O15" s="1182">
        <f t="shared" si="48"/>
        <v>2.4002771000000021</v>
      </c>
      <c r="P15" s="1182">
        <f t="shared" si="33"/>
        <v>-2.9453099999999566E-2</v>
      </c>
      <c r="Q15" s="1180">
        <f>Q21-Q18</f>
        <v>16.651572000000002</v>
      </c>
      <c r="R15" s="1182">
        <f t="shared" si="1"/>
        <v>4.3646383000000029</v>
      </c>
      <c r="S15" s="1182">
        <f t="shared" si="2"/>
        <v>1.9643612000000008</v>
      </c>
      <c r="T15" s="1180">
        <f>T21-T18</f>
        <v>15.296600099999999</v>
      </c>
      <c r="U15" s="1182">
        <f t="shared" si="3"/>
        <v>3.0096664000000004</v>
      </c>
      <c r="V15" s="1182">
        <f t="shared" si="4"/>
        <v>-1.3549719000000024</v>
      </c>
      <c r="W15" s="1180">
        <f>W21-W18</f>
        <v>19.537029100000005</v>
      </c>
      <c r="X15" s="1182">
        <f t="shared" si="49"/>
        <v>7.2500954000000064</v>
      </c>
      <c r="Y15" s="1182">
        <f t="shared" si="5"/>
        <v>4.240429000000006</v>
      </c>
      <c r="Z15" s="1180">
        <f>Z21-Z18</f>
        <v>15.060371699999997</v>
      </c>
      <c r="AA15" s="1182">
        <f t="shared" si="50"/>
        <v>2.7734379999999987</v>
      </c>
      <c r="AB15" s="1182">
        <f t="shared" si="43"/>
        <v>-4.4766574000000077</v>
      </c>
      <c r="AC15" s="1180">
        <f>AC21-AC18</f>
        <v>13.401017199999998</v>
      </c>
      <c r="AD15" s="1182">
        <f t="shared" si="51"/>
        <v>1.1140834999999996</v>
      </c>
      <c r="AE15" s="1182">
        <f t="shared" si="44"/>
        <v>-1.6593544999999992</v>
      </c>
      <c r="AF15" s="1180">
        <f>AF21-AF18</f>
        <v>14.8553222</v>
      </c>
      <c r="AG15" s="1182">
        <f t="shared" si="52"/>
        <v>2.5683885000000011</v>
      </c>
      <c r="AH15" s="1182">
        <f t="shared" si="34"/>
        <v>1.4543050000000015</v>
      </c>
      <c r="AI15" s="1180">
        <f>AI21-AI18</f>
        <v>15.505299699999995</v>
      </c>
      <c r="AJ15" s="1182">
        <f t="shared" si="53"/>
        <v>3.2183659999999961</v>
      </c>
      <c r="AK15" s="1648">
        <f t="shared" si="6"/>
        <v>0.64997749999999499</v>
      </c>
      <c r="AL15" s="1180">
        <f>AL21-AL18</f>
        <v>15.965817700000002</v>
      </c>
      <c r="AM15" s="1182">
        <f t="shared" si="54"/>
        <v>3.6788840000000036</v>
      </c>
      <c r="AN15" s="1182">
        <f t="shared" si="7"/>
        <v>0.46051800000000753</v>
      </c>
      <c r="AO15" s="1180">
        <f>AO21-AO18</f>
        <v>14.7229226</v>
      </c>
      <c r="AP15" s="1990">
        <f t="shared" si="35"/>
        <v>-1.2428951000000019</v>
      </c>
      <c r="AQ15" s="1990">
        <f t="shared" si="36"/>
        <v>-1.2428951000000019</v>
      </c>
      <c r="AR15" s="1180">
        <f>AR21-AR18</f>
        <v>15.764234699999998</v>
      </c>
      <c r="AS15" s="1989">
        <f t="shared" si="10"/>
        <v>-0.20158300000000473</v>
      </c>
      <c r="AT15" s="1990">
        <f t="shared" si="37"/>
        <v>1.0413120999999972</v>
      </c>
      <c r="AU15" s="1180">
        <f>AU21-AU18</f>
        <v>15.059999999999999</v>
      </c>
      <c r="AV15" s="1989">
        <f t="shared" si="12"/>
        <v>-0.90581770000000361</v>
      </c>
      <c r="AW15" s="1990">
        <f t="shared" si="38"/>
        <v>-0.70423469999999888</v>
      </c>
      <c r="AX15" s="1180">
        <f>AX21-AX18</f>
        <v>14.722705500000002</v>
      </c>
      <c r="AY15" s="1990">
        <f t="shared" si="14"/>
        <v>-1.2431122000000006</v>
      </c>
      <c r="AZ15" s="2164">
        <f t="shared" si="39"/>
        <v>-0.33729449999999694</v>
      </c>
      <c r="BA15" s="1180">
        <f t="shared" ref="BA15" si="66">BA21-BA18</f>
        <v>15.111388899999998</v>
      </c>
      <c r="BB15" s="1990">
        <f t="shared" si="16"/>
        <v>-0.85442880000000443</v>
      </c>
      <c r="BC15" s="2164">
        <f t="shared" si="17"/>
        <v>0.38868339999999613</v>
      </c>
      <c r="BD15" s="1180">
        <f t="shared" ref="BD15" si="67">BD21-BD18</f>
        <v>14.7150959</v>
      </c>
      <c r="BE15" s="1990">
        <f t="shared" si="19"/>
        <v>-1.2507218000000027</v>
      </c>
      <c r="BF15" s="1990">
        <f t="shared" si="42"/>
        <v>-0.39629299999999823</v>
      </c>
      <c r="BG15" s="1180">
        <f>BG21-BG18</f>
        <v>14.416517100000002</v>
      </c>
      <c r="BH15" s="1990">
        <f t="shared" si="20"/>
        <v>-1.5493006000000005</v>
      </c>
      <c r="BI15" s="1990">
        <f t="shared" si="21"/>
        <v>-0.29857879999999781</v>
      </c>
      <c r="BJ15" s="1180">
        <f>BJ21-BJ18</f>
        <v>0</v>
      </c>
      <c r="BK15" s="1990">
        <f t="shared" si="22"/>
        <v>-15.965817700000002</v>
      </c>
      <c r="BL15" s="1990">
        <f t="shared" si="23"/>
        <v>-14.416517100000002</v>
      </c>
      <c r="BM15" s="1180">
        <f>BM21-BM18</f>
        <v>0</v>
      </c>
      <c r="BN15" s="1990">
        <f t="shared" si="24"/>
        <v>-15.965817700000002</v>
      </c>
      <c r="BO15" s="2164">
        <f t="shared" si="25"/>
        <v>0</v>
      </c>
      <c r="BP15" s="1180">
        <f>BP21-BP18</f>
        <v>0</v>
      </c>
      <c r="BQ15" s="1990">
        <f t="shared" si="26"/>
        <v>-15.965817700000002</v>
      </c>
      <c r="BR15" s="1990">
        <f t="shared" si="27"/>
        <v>0</v>
      </c>
      <c r="BS15" s="1180">
        <f>BS21-BS18</f>
        <v>0</v>
      </c>
      <c r="BT15" s="1990">
        <f t="shared" si="28"/>
        <v>-15.965817700000002</v>
      </c>
      <c r="BU15" s="1990">
        <f t="shared" si="29"/>
        <v>0</v>
      </c>
      <c r="BV15" s="1180">
        <f>BV21-BV18</f>
        <v>0</v>
      </c>
      <c r="BW15" s="1990">
        <f t="shared" si="30"/>
        <v>-15.965817700000002</v>
      </c>
      <c r="BX15" s="1990">
        <f t="shared" si="31"/>
        <v>0</v>
      </c>
    </row>
    <row r="16" spans="1:77" s="1169" customFormat="1">
      <c r="A16" s="2673"/>
      <c r="B16" s="1174" t="s">
        <v>468</v>
      </c>
      <c r="C16" s="1173" t="s">
        <v>458</v>
      </c>
      <c r="D16" s="1175">
        <f>D18+D17</f>
        <v>26.453060585952699</v>
      </c>
      <c r="E16" s="1175">
        <f>E18+E17</f>
        <v>38.625144968239397</v>
      </c>
      <c r="F16" s="1177">
        <f t="shared" si="32"/>
        <v>12.172084382286698</v>
      </c>
      <c r="G16" s="1177"/>
      <c r="H16" s="1175">
        <f>H18+H17</f>
        <v>43.558789594555201</v>
      </c>
      <c r="I16" s="1177">
        <f t="shared" si="45"/>
        <v>17.105729008602502</v>
      </c>
      <c r="J16" s="1177">
        <f t="shared" si="46"/>
        <v>4.9336446263158038</v>
      </c>
      <c r="K16" s="1175">
        <f>K18+K17</f>
        <v>40.867696903266605</v>
      </c>
      <c r="L16" s="1177">
        <f t="shared" si="47"/>
        <v>14.414636317313906</v>
      </c>
      <c r="M16" s="1177">
        <f t="shared" si="0"/>
        <v>-2.6910926912885955</v>
      </c>
      <c r="N16" s="1175">
        <f>N18+N17</f>
        <v>36.4512192413791</v>
      </c>
      <c r="O16" s="1177">
        <f t="shared" si="48"/>
        <v>9.9981586554264013</v>
      </c>
      <c r="P16" s="1177">
        <f t="shared" si="33"/>
        <v>-4.4164776618875052</v>
      </c>
      <c r="Q16" s="1175">
        <f>Q18+Q17</f>
        <v>35.335616904355504</v>
      </c>
      <c r="R16" s="1177">
        <f t="shared" si="1"/>
        <v>8.8825563184028056</v>
      </c>
      <c r="S16" s="1177">
        <f t="shared" si="2"/>
        <v>-1.1156023370235957</v>
      </c>
      <c r="T16" s="1175">
        <f>T18+T17</f>
        <v>33.1820049780397</v>
      </c>
      <c r="U16" s="1177">
        <f t="shared" si="3"/>
        <v>6.7289443920870013</v>
      </c>
      <c r="V16" s="1177">
        <f t="shared" si="4"/>
        <v>-2.1536119263158042</v>
      </c>
      <c r="W16" s="1175">
        <f>W18+W17</f>
        <v>29.829563754083239</v>
      </c>
      <c r="X16" s="1177">
        <f t="shared" si="49"/>
        <v>3.3765031681305402</v>
      </c>
      <c r="Y16" s="1177">
        <f t="shared" si="5"/>
        <v>-3.3524412239564612</v>
      </c>
      <c r="Z16" s="1175">
        <f>Z18+Z17</f>
        <v>27.819219298184887</v>
      </c>
      <c r="AA16" s="1177">
        <f t="shared" si="50"/>
        <v>1.3661587122321883</v>
      </c>
      <c r="AB16" s="1177">
        <f t="shared" si="43"/>
        <v>-2.0103444558983519</v>
      </c>
      <c r="AC16" s="1175">
        <f>AC18+AC17</f>
        <v>28.898970029019747</v>
      </c>
      <c r="AD16" s="1177">
        <f t="shared" si="51"/>
        <v>2.4459094430670483</v>
      </c>
      <c r="AE16" s="1177">
        <f t="shared" si="44"/>
        <v>1.07975073083486</v>
      </c>
      <c r="AF16" s="1175">
        <f>AF18+AF17</f>
        <v>34.351813770943522</v>
      </c>
      <c r="AG16" s="1177">
        <f t="shared" si="52"/>
        <v>7.8987531849908237</v>
      </c>
      <c r="AH16" s="1177">
        <f t="shared" si="34"/>
        <v>5.4528437419237754</v>
      </c>
      <c r="AI16" s="1175">
        <f>AI18+AI17</f>
        <v>30.448555396914458</v>
      </c>
      <c r="AJ16" s="1177">
        <f t="shared" si="53"/>
        <v>3.995494810961759</v>
      </c>
      <c r="AK16" s="1647">
        <f t="shared" si="6"/>
        <v>-3.9032583740290647</v>
      </c>
      <c r="AL16" s="1175">
        <f>AL18+AL17</f>
        <v>26.566011725771091</v>
      </c>
      <c r="AM16" s="1177">
        <f t="shared" si="54"/>
        <v>0.11295113981839222</v>
      </c>
      <c r="AN16" s="1177">
        <f t="shared" si="7"/>
        <v>-3.8825436711433667</v>
      </c>
      <c r="AO16" s="1175">
        <f>AO18+AO17</f>
        <v>31.144583290562373</v>
      </c>
      <c r="AP16" s="1989">
        <f t="shared" si="35"/>
        <v>4.5785715647912824</v>
      </c>
      <c r="AQ16" s="1989">
        <f t="shared" si="36"/>
        <v>4.5785715647912824</v>
      </c>
      <c r="AR16" s="1175">
        <f>AR18+AR17</f>
        <v>34.159305367331868</v>
      </c>
      <c r="AS16" s="1989">
        <f t="shared" si="10"/>
        <v>7.593293641560777</v>
      </c>
      <c r="AT16" s="1989">
        <f t="shared" si="37"/>
        <v>3.0147220767694947</v>
      </c>
      <c r="AU16" s="1175">
        <f>AU18+AU17</f>
        <v>35.510000000000005</v>
      </c>
      <c r="AV16" s="1989">
        <f t="shared" si="12"/>
        <v>8.9439882742289143</v>
      </c>
      <c r="AW16" s="1989">
        <f t="shared" si="38"/>
        <v>1.3506946326681373</v>
      </c>
      <c r="AX16" s="1175">
        <f>AX18+AX17</f>
        <v>32.789069804537206</v>
      </c>
      <c r="AY16" s="1989">
        <f t="shared" si="14"/>
        <v>6.2230580787661154</v>
      </c>
      <c r="AZ16" s="2165">
        <f t="shared" si="39"/>
        <v>-2.7209301954627989</v>
      </c>
      <c r="BA16" s="1175">
        <f t="shared" ref="BA16" si="68">BA18+BA17</f>
        <v>26.546822608348187</v>
      </c>
      <c r="BB16" s="1989">
        <f t="shared" si="16"/>
        <v>-1.9189117422904189E-2</v>
      </c>
      <c r="BC16" s="2165">
        <f t="shared" si="17"/>
        <v>-6.2422471961890196</v>
      </c>
      <c r="BD16" s="1175">
        <f t="shared" ref="BD16" si="69">BD18+BD17</f>
        <v>25.499307499999738</v>
      </c>
      <c r="BE16" s="1989">
        <f t="shared" si="19"/>
        <v>-1.0667042257713533</v>
      </c>
      <c r="BF16" s="1989">
        <f t="shared" si="42"/>
        <v>-1.0475151083484491</v>
      </c>
      <c r="BG16" s="1175">
        <f>BG18+BG17</f>
        <v>26.009765996683967</v>
      </c>
      <c r="BH16" s="1989">
        <f t="shared" si="20"/>
        <v>-0.55624572908712366</v>
      </c>
      <c r="BI16" s="1989">
        <f t="shared" si="21"/>
        <v>0.5104584966842296</v>
      </c>
      <c r="BJ16" s="1175">
        <f>BJ18+BJ17</f>
        <v>0</v>
      </c>
      <c r="BK16" s="1989">
        <f t="shared" si="22"/>
        <v>-26.566011725771091</v>
      </c>
      <c r="BL16" s="1989">
        <f t="shared" si="23"/>
        <v>-26.009765996683967</v>
      </c>
      <c r="BM16" s="1175">
        <f>BM18+BM17</f>
        <v>0</v>
      </c>
      <c r="BN16" s="1989">
        <f t="shared" si="24"/>
        <v>-26.566011725771091</v>
      </c>
      <c r="BO16" s="2165">
        <f t="shared" si="25"/>
        <v>0</v>
      </c>
      <c r="BP16" s="1175">
        <f>BP18+BP17</f>
        <v>0</v>
      </c>
      <c r="BQ16" s="1989">
        <f t="shared" si="26"/>
        <v>-26.566011725771091</v>
      </c>
      <c r="BR16" s="1989">
        <f t="shared" si="27"/>
        <v>0</v>
      </c>
      <c r="BS16" s="1175">
        <f>BS18+BS17</f>
        <v>0</v>
      </c>
      <c r="BT16" s="1989">
        <f t="shared" si="28"/>
        <v>-26.566011725771091</v>
      </c>
      <c r="BU16" s="1989">
        <f t="shared" si="29"/>
        <v>0</v>
      </c>
      <c r="BV16" s="1175">
        <f>BV18+BV17</f>
        <v>0</v>
      </c>
      <c r="BW16" s="1989">
        <f t="shared" si="30"/>
        <v>-26.566011725771091</v>
      </c>
      <c r="BX16" s="1989">
        <f t="shared" si="31"/>
        <v>0</v>
      </c>
    </row>
    <row r="17" spans="1:76" s="1168" customFormat="1">
      <c r="A17" s="2673"/>
      <c r="B17" s="1178" t="s">
        <v>466</v>
      </c>
      <c r="C17" s="1179" t="s">
        <v>458</v>
      </c>
      <c r="D17" s="1180">
        <v>18.499994285952699</v>
      </c>
      <c r="E17" s="1181">
        <v>26.600648968239401</v>
      </c>
      <c r="F17" s="1182">
        <f t="shared" si="32"/>
        <v>8.1006546822867023</v>
      </c>
      <c r="G17" s="1182"/>
      <c r="H17" s="1181">
        <v>28.907205694555199</v>
      </c>
      <c r="I17" s="1182">
        <f t="shared" si="45"/>
        <v>10.4072114086025</v>
      </c>
      <c r="J17" s="1182">
        <f t="shared" si="46"/>
        <v>2.3065567263157973</v>
      </c>
      <c r="K17" s="1181">
        <v>27.921711903266601</v>
      </c>
      <c r="L17" s="1182">
        <f t="shared" si="47"/>
        <v>9.4217176173139023</v>
      </c>
      <c r="M17" s="1182">
        <f t="shared" si="0"/>
        <v>-0.98549379128859727</v>
      </c>
      <c r="N17" s="1181">
        <v>24.031388241379101</v>
      </c>
      <c r="O17" s="1182">
        <f t="shared" si="48"/>
        <v>5.5313939554264024</v>
      </c>
      <c r="P17" s="1182">
        <f t="shared" si="33"/>
        <v>-3.8903236618874999</v>
      </c>
      <c r="Q17" s="1181">
        <v>20.668785804355501</v>
      </c>
      <c r="R17" s="1182">
        <f t="shared" si="1"/>
        <v>2.1687915184028022</v>
      </c>
      <c r="S17" s="1182">
        <f t="shared" si="2"/>
        <v>-3.3626024370236003</v>
      </c>
      <c r="T17" s="1210">
        <v>18.152363578039701</v>
      </c>
      <c r="U17" s="1182">
        <f t="shared" si="3"/>
        <v>-0.3476307079129981</v>
      </c>
      <c r="V17" s="1182">
        <f t="shared" si="4"/>
        <v>-2.5164222263158003</v>
      </c>
      <c r="W17" s="1211">
        <v>16.605404354083241</v>
      </c>
      <c r="X17" s="1182">
        <f t="shared" si="49"/>
        <v>-1.8945899318694579</v>
      </c>
      <c r="Y17" s="1182">
        <f t="shared" si="5"/>
        <v>-1.5469592239564598</v>
      </c>
      <c r="Z17" s="1181">
        <v>15.631459198184888</v>
      </c>
      <c r="AA17" s="1182">
        <f t="shared" si="50"/>
        <v>-2.8685350877678104</v>
      </c>
      <c r="AB17" s="1182">
        <f t="shared" si="43"/>
        <v>-0.97394515589835251</v>
      </c>
      <c r="AC17" s="1181">
        <v>16.182950429019748</v>
      </c>
      <c r="AD17" s="1182">
        <f t="shared" si="51"/>
        <v>-2.3170438569329512</v>
      </c>
      <c r="AE17" s="1182">
        <f t="shared" si="44"/>
        <v>0.55149123083485918</v>
      </c>
      <c r="AF17" s="1181">
        <v>20.211782370943521</v>
      </c>
      <c r="AG17" s="1182">
        <f t="shared" si="52"/>
        <v>1.7117880849908218</v>
      </c>
      <c r="AH17" s="1182">
        <f t="shared" si="34"/>
        <v>4.028831941923773</v>
      </c>
      <c r="AI17" s="1181">
        <v>19.498831996914454</v>
      </c>
      <c r="AJ17" s="1182">
        <f t="shared" si="53"/>
        <v>0.99883771096175522</v>
      </c>
      <c r="AK17" s="1648">
        <f t="shared" si="6"/>
        <v>-0.71295037402906658</v>
      </c>
      <c r="AL17" s="1180">
        <v>17.887787725771091</v>
      </c>
      <c r="AM17" s="1182">
        <f t="shared" si="54"/>
        <v>-0.61220656018160824</v>
      </c>
      <c r="AN17" s="1182">
        <f t="shared" si="7"/>
        <v>-1.6110442711433635</v>
      </c>
      <c r="AO17" s="1180">
        <v>18.553511290562373</v>
      </c>
      <c r="AP17" s="1990">
        <f t="shared" si="35"/>
        <v>0.66572356479128203</v>
      </c>
      <c r="AQ17" s="1990">
        <f t="shared" si="36"/>
        <v>0.66572356479128203</v>
      </c>
      <c r="AR17" s="1180">
        <v>19.253764067331872</v>
      </c>
      <c r="AS17" s="1989">
        <f t="shared" si="10"/>
        <v>1.3659763415607813</v>
      </c>
      <c r="AT17" s="1990">
        <f t="shared" si="37"/>
        <v>0.70025277676949926</v>
      </c>
      <c r="AU17" s="1180">
        <v>20.010000000000002</v>
      </c>
      <c r="AV17" s="1989">
        <f t="shared" si="12"/>
        <v>2.1222122742289109</v>
      </c>
      <c r="AW17" s="1990">
        <f t="shared" si="38"/>
        <v>0.75623593266812961</v>
      </c>
      <c r="AX17" s="1180">
        <v>22.015101204537206</v>
      </c>
      <c r="AY17" s="1990">
        <f t="shared" si="14"/>
        <v>4.1273134787661157</v>
      </c>
      <c r="AZ17" s="2164">
        <f t="shared" si="39"/>
        <v>2.0051012045372048</v>
      </c>
      <c r="BA17" s="1180">
        <v>19.418211508348186</v>
      </c>
      <c r="BB17" s="1990">
        <f t="shared" si="16"/>
        <v>1.5304237825770954</v>
      </c>
      <c r="BC17" s="2164">
        <f t="shared" si="17"/>
        <v>-2.5968896961890202</v>
      </c>
      <c r="BD17" s="1180">
        <v>19.364989899999738</v>
      </c>
      <c r="BE17" s="1990">
        <f t="shared" si="19"/>
        <v>1.4772021742286476</v>
      </c>
      <c r="BF17" s="1990">
        <f t="shared" si="42"/>
        <v>-5.3221608348447802E-2</v>
      </c>
      <c r="BG17" s="2442">
        <v>17.943724396683965</v>
      </c>
      <c r="BH17" s="1990">
        <f t="shared" si="20"/>
        <v>5.5936670912874575E-2</v>
      </c>
      <c r="BI17" s="1990">
        <f t="shared" si="21"/>
        <v>-1.4212655033157731</v>
      </c>
      <c r="BJ17" s="2442"/>
      <c r="BK17" s="1990">
        <f t="shared" si="22"/>
        <v>-17.887787725771091</v>
      </c>
      <c r="BL17" s="1990">
        <f t="shared" si="23"/>
        <v>-17.943724396683965</v>
      </c>
      <c r="BM17" s="2442"/>
      <c r="BN17" s="1990">
        <f t="shared" si="24"/>
        <v>-17.887787725771091</v>
      </c>
      <c r="BO17" s="2164">
        <f t="shared" si="25"/>
        <v>0</v>
      </c>
      <c r="BP17" s="2442"/>
      <c r="BQ17" s="1990">
        <f t="shared" si="26"/>
        <v>-17.887787725771091</v>
      </c>
      <c r="BR17" s="1990">
        <f t="shared" si="27"/>
        <v>0</v>
      </c>
      <c r="BS17" s="2442"/>
      <c r="BT17" s="1990">
        <f t="shared" si="28"/>
        <v>-17.887787725771091</v>
      </c>
      <c r="BU17" s="1990">
        <f t="shared" si="29"/>
        <v>0</v>
      </c>
      <c r="BV17" s="2442"/>
      <c r="BW17" s="1990">
        <f t="shared" si="30"/>
        <v>-17.887787725771091</v>
      </c>
      <c r="BX17" s="1990">
        <f t="shared" si="31"/>
        <v>0</v>
      </c>
    </row>
    <row r="18" spans="1:76" s="1168" customFormat="1">
      <c r="A18" s="2673"/>
      <c r="B18" s="1178" t="s">
        <v>467</v>
      </c>
      <c r="C18" s="1179" t="s">
        <v>458</v>
      </c>
      <c r="D18" s="1180">
        <v>7.9530662999999997</v>
      </c>
      <c r="E18" s="1181">
        <v>12.024495999999999</v>
      </c>
      <c r="F18" s="1182">
        <f t="shared" si="32"/>
        <v>4.0714296999999995</v>
      </c>
      <c r="G18" s="1182"/>
      <c r="H18" s="1181">
        <v>14.6515839</v>
      </c>
      <c r="I18" s="1182">
        <f t="shared" si="45"/>
        <v>6.6985176000000006</v>
      </c>
      <c r="J18" s="1182">
        <f t="shared" si="46"/>
        <v>2.6270879000000011</v>
      </c>
      <c r="K18" s="1181">
        <v>12.945985</v>
      </c>
      <c r="L18" s="1182">
        <f t="shared" si="47"/>
        <v>4.9929187000000006</v>
      </c>
      <c r="M18" s="1182">
        <f t="shared" si="0"/>
        <v>-1.7055989</v>
      </c>
      <c r="N18" s="1181">
        <v>12.419831</v>
      </c>
      <c r="O18" s="1182">
        <f t="shared" si="48"/>
        <v>4.4667647000000006</v>
      </c>
      <c r="P18" s="1182">
        <f t="shared" si="33"/>
        <v>-0.52615400000000001</v>
      </c>
      <c r="Q18" s="1181">
        <v>14.6668311</v>
      </c>
      <c r="R18" s="1182">
        <f t="shared" si="1"/>
        <v>6.7137647999999999</v>
      </c>
      <c r="S18" s="1182">
        <f t="shared" si="2"/>
        <v>2.2470000999999993</v>
      </c>
      <c r="T18" s="1210">
        <v>15.029641399999999</v>
      </c>
      <c r="U18" s="1182">
        <f t="shared" si="3"/>
        <v>7.0765750999999995</v>
      </c>
      <c r="V18" s="1182">
        <f t="shared" si="4"/>
        <v>0.36281029999999959</v>
      </c>
      <c r="W18" s="1211">
        <v>13.2241594</v>
      </c>
      <c r="X18" s="1182">
        <f t="shared" si="49"/>
        <v>5.2710930999999999</v>
      </c>
      <c r="Y18" s="1182">
        <f t="shared" si="5"/>
        <v>-1.8054819999999996</v>
      </c>
      <c r="Z18" s="1181">
        <v>12.187760099999998</v>
      </c>
      <c r="AA18" s="1182">
        <f t="shared" si="50"/>
        <v>4.2346937999999987</v>
      </c>
      <c r="AB18" s="1182">
        <f t="shared" si="43"/>
        <v>-1.0363993000000011</v>
      </c>
      <c r="AC18" s="1181">
        <v>12.716019599999999</v>
      </c>
      <c r="AD18" s="1182">
        <f t="shared" si="51"/>
        <v>4.7629532999999995</v>
      </c>
      <c r="AE18" s="1182">
        <f t="shared" si="44"/>
        <v>0.52825950000000077</v>
      </c>
      <c r="AF18" s="1181">
        <v>14.140031400000002</v>
      </c>
      <c r="AG18" s="1182">
        <f t="shared" si="52"/>
        <v>6.1869651000000019</v>
      </c>
      <c r="AH18" s="1182">
        <f t="shared" si="34"/>
        <v>1.4240118000000024</v>
      </c>
      <c r="AI18" s="1181">
        <v>10.949723400000003</v>
      </c>
      <c r="AJ18" s="1182">
        <f t="shared" si="53"/>
        <v>2.9966571000000037</v>
      </c>
      <c r="AK18" s="1648">
        <f t="shared" si="6"/>
        <v>-3.1903079999999981</v>
      </c>
      <c r="AL18" s="1180">
        <v>8.6782240000000002</v>
      </c>
      <c r="AM18" s="1182">
        <f t="shared" si="54"/>
        <v>0.72515770000000046</v>
      </c>
      <c r="AN18" s="1182">
        <f t="shared" si="7"/>
        <v>-2.2714994000000033</v>
      </c>
      <c r="AO18" s="1180">
        <v>12.591072</v>
      </c>
      <c r="AP18" s="1990">
        <f t="shared" si="35"/>
        <v>3.9128480000000003</v>
      </c>
      <c r="AQ18" s="1990">
        <f t="shared" si="36"/>
        <v>3.9128480000000003</v>
      </c>
      <c r="AR18" s="1180">
        <v>14.905541299999998</v>
      </c>
      <c r="AS18" s="1989">
        <f t="shared" si="10"/>
        <v>6.2273172999999975</v>
      </c>
      <c r="AT18" s="1990">
        <f t="shared" si="37"/>
        <v>2.3144692999999972</v>
      </c>
      <c r="AU18" s="1180">
        <v>15.5</v>
      </c>
      <c r="AV18" s="1989">
        <f t="shared" si="12"/>
        <v>6.8217759999999998</v>
      </c>
      <c r="AW18" s="1990">
        <f t="shared" si="38"/>
        <v>0.59445870000000234</v>
      </c>
      <c r="AX18" s="1180">
        <v>10.773968600000002</v>
      </c>
      <c r="AY18" s="1990">
        <f t="shared" si="14"/>
        <v>2.0957446000000015</v>
      </c>
      <c r="AZ18" s="2164">
        <f t="shared" si="39"/>
        <v>-4.7260313999999983</v>
      </c>
      <c r="BA18" s="1180">
        <v>7.1286111000000005</v>
      </c>
      <c r="BB18" s="1990">
        <f t="shared" si="16"/>
        <v>-1.5496128999999996</v>
      </c>
      <c r="BC18" s="2164">
        <f t="shared" si="17"/>
        <v>-3.6453575000000011</v>
      </c>
      <c r="BD18" s="1180">
        <v>6.134317600000001</v>
      </c>
      <c r="BE18" s="1990">
        <f t="shared" si="19"/>
        <v>-2.5439063999999991</v>
      </c>
      <c r="BF18" s="1990">
        <f t="shared" si="42"/>
        <v>-0.9942934999999995</v>
      </c>
      <c r="BG18" s="2442">
        <v>8.0660416000000001</v>
      </c>
      <c r="BH18" s="1990">
        <f t="shared" si="20"/>
        <v>-0.61218240000000002</v>
      </c>
      <c r="BI18" s="1990">
        <f t="shared" si="21"/>
        <v>1.9317239999999991</v>
      </c>
      <c r="BJ18" s="2442"/>
      <c r="BK18" s="1990">
        <f t="shared" si="22"/>
        <v>-8.6782240000000002</v>
      </c>
      <c r="BL18" s="1990">
        <f t="shared" si="23"/>
        <v>-8.0660416000000001</v>
      </c>
      <c r="BM18" s="2442"/>
      <c r="BN18" s="1990">
        <f t="shared" si="24"/>
        <v>-8.6782240000000002</v>
      </c>
      <c r="BO18" s="2164">
        <f t="shared" si="25"/>
        <v>0</v>
      </c>
      <c r="BP18" s="2442"/>
      <c r="BQ18" s="1990">
        <f t="shared" si="26"/>
        <v>-8.6782240000000002</v>
      </c>
      <c r="BR18" s="1990">
        <f t="shared" si="27"/>
        <v>0</v>
      </c>
      <c r="BS18" s="2442"/>
      <c r="BT18" s="1990">
        <f t="shared" si="28"/>
        <v>-8.6782240000000002</v>
      </c>
      <c r="BU18" s="1990">
        <f t="shared" si="29"/>
        <v>0</v>
      </c>
      <c r="BV18" s="2442"/>
      <c r="BW18" s="1990">
        <f t="shared" si="30"/>
        <v>-8.6782240000000002</v>
      </c>
      <c r="BX18" s="1990">
        <f t="shared" si="31"/>
        <v>0</v>
      </c>
    </row>
    <row r="19" spans="1:76">
      <c r="A19" s="2673"/>
      <c r="B19" s="1173" t="s">
        <v>469</v>
      </c>
      <c r="C19" s="1173" t="s">
        <v>458</v>
      </c>
      <c r="D19" s="1176">
        <v>64.739999999999995</v>
      </c>
      <c r="E19" s="1176">
        <f>E13+E16</f>
        <v>79.227024686074799</v>
      </c>
      <c r="F19" s="1177">
        <f>F13+F16</f>
        <v>14.487024686074804</v>
      </c>
      <c r="G19" s="1176"/>
      <c r="H19" s="1176">
        <f>H13+H16</f>
        <v>85.478716435079008</v>
      </c>
      <c r="I19" s="1177">
        <f t="shared" si="45"/>
        <v>20.738716435079013</v>
      </c>
      <c r="J19" s="1177">
        <f t="shared" si="46"/>
        <v>6.251691749004209</v>
      </c>
      <c r="K19" s="1176">
        <f>K13+K16</f>
        <v>83.402777573076804</v>
      </c>
      <c r="L19" s="1177">
        <f t="shared" si="47"/>
        <v>18.662777573076809</v>
      </c>
      <c r="M19" s="1177">
        <f t="shared" si="0"/>
        <v>-2.0759388620022037</v>
      </c>
      <c r="N19" s="1176">
        <f>N13+N16</f>
        <v>71.286522123568488</v>
      </c>
      <c r="O19" s="1177">
        <f t="shared" si="48"/>
        <v>6.5465221235684936</v>
      </c>
      <c r="P19" s="1177">
        <f t="shared" si="33"/>
        <v>-12.116255449508316</v>
      </c>
      <c r="Q19" s="1176">
        <f>Q13+Q16</f>
        <v>71.963680025109994</v>
      </c>
      <c r="R19" s="1177">
        <f t="shared" si="1"/>
        <v>7.2236800251099993</v>
      </c>
      <c r="S19" s="1177">
        <f t="shared" si="2"/>
        <v>0.67715790154150568</v>
      </c>
      <c r="T19" s="1176">
        <f>T13+T16</f>
        <v>71.156158413390003</v>
      </c>
      <c r="U19" s="1177">
        <f t="shared" si="3"/>
        <v>6.4161584133900078</v>
      </c>
      <c r="V19" s="1177">
        <f t="shared" si="4"/>
        <v>-0.80752161171999148</v>
      </c>
      <c r="W19" s="1176">
        <f>W13+W16</f>
        <v>77.582489932743101</v>
      </c>
      <c r="X19" s="1177">
        <f t="shared" si="49"/>
        <v>12.842489932743106</v>
      </c>
      <c r="Y19" s="1177">
        <f t="shared" si="5"/>
        <v>6.4263315193530985</v>
      </c>
      <c r="Z19" s="1176">
        <f>Z13+Z16</f>
        <v>76.371252104380304</v>
      </c>
      <c r="AA19" s="1177">
        <f t="shared" si="50"/>
        <v>11.631252104380309</v>
      </c>
      <c r="AB19" s="1177">
        <f t="shared" si="43"/>
        <v>-1.2112378283627976</v>
      </c>
      <c r="AC19" s="1176">
        <f>AC13+AC16</f>
        <v>78.934585472337844</v>
      </c>
      <c r="AD19" s="1177">
        <f t="shared" si="51"/>
        <v>14.194585472337849</v>
      </c>
      <c r="AE19" s="1177">
        <f t="shared" si="44"/>
        <v>2.5633333679575401</v>
      </c>
      <c r="AF19" s="1176">
        <f>AF13+AF16</f>
        <v>82.61304922722158</v>
      </c>
      <c r="AG19" s="1177">
        <f t="shared" si="52"/>
        <v>17.873049227221586</v>
      </c>
      <c r="AH19" s="1177">
        <f t="shared" si="34"/>
        <v>3.6784637548837367</v>
      </c>
      <c r="AI19" s="1176">
        <f>AI13+AI16</f>
        <v>77.665866650109052</v>
      </c>
      <c r="AJ19" s="1177">
        <f t="shared" si="53"/>
        <v>12.925866650109057</v>
      </c>
      <c r="AK19" s="1647">
        <f t="shared" si="6"/>
        <v>-4.9471825771125282</v>
      </c>
      <c r="AL19" s="1175">
        <f>AL13+AL16</f>
        <v>73.326803720211899</v>
      </c>
      <c r="AM19" s="1177">
        <f t="shared" si="54"/>
        <v>8.5868037202119041</v>
      </c>
      <c r="AN19" s="1177">
        <f t="shared" si="7"/>
        <v>-4.3390629298971533</v>
      </c>
      <c r="AO19" s="1175">
        <f>AO13+AO16</f>
        <v>73.803884450993138</v>
      </c>
      <c r="AP19" s="1989">
        <f t="shared" si="35"/>
        <v>0.47708073078123903</v>
      </c>
      <c r="AQ19" s="1989">
        <f t="shared" si="36"/>
        <v>0.47708073078123903</v>
      </c>
      <c r="AR19" s="1175">
        <f>AR13+AR16</f>
        <v>77.489474650713674</v>
      </c>
      <c r="AS19" s="1989">
        <f t="shared" si="10"/>
        <v>4.1626709305017755</v>
      </c>
      <c r="AT19" s="1989">
        <f t="shared" si="37"/>
        <v>3.6855901997205365</v>
      </c>
      <c r="AU19" s="1175">
        <f>AU13+AU16</f>
        <v>78.06</v>
      </c>
      <c r="AV19" s="1989">
        <f t="shared" si="12"/>
        <v>4.7331962797881033</v>
      </c>
      <c r="AW19" s="1989">
        <f t="shared" si="38"/>
        <v>0.57052534928632781</v>
      </c>
      <c r="AX19" s="1175">
        <f>AX13+AX16</f>
        <v>72.627438404537202</v>
      </c>
      <c r="AY19" s="1989">
        <f t="shared" si="14"/>
        <v>-0.69936531567469729</v>
      </c>
      <c r="AZ19" s="2165">
        <f t="shared" si="39"/>
        <v>-5.4325615954628006</v>
      </c>
      <c r="BA19" s="1175">
        <f t="shared" ref="BA19" si="70">BA13+BA16</f>
        <v>66.84</v>
      </c>
      <c r="BB19" s="1989">
        <f t="shared" si="16"/>
        <v>-6.4868037202118956</v>
      </c>
      <c r="BC19" s="2165">
        <f t="shared" si="17"/>
        <v>-5.7874384045371983</v>
      </c>
      <c r="BD19" s="1175">
        <f t="shared" ref="BD19" si="71">BD13+BD16</f>
        <v>65.674974292974952</v>
      </c>
      <c r="BE19" s="1989">
        <f t="shared" si="19"/>
        <v>-7.6518294272369474</v>
      </c>
      <c r="BF19" s="1989">
        <f t="shared" si="42"/>
        <v>-1.1650257070250518</v>
      </c>
      <c r="BG19" s="1175">
        <f>BG13+BG16</f>
        <v>64.57780939951283</v>
      </c>
      <c r="BH19" s="1989">
        <f t="shared" si="20"/>
        <v>-8.7489943206990688</v>
      </c>
      <c r="BI19" s="1989">
        <f t="shared" si="21"/>
        <v>-1.0971648934621214</v>
      </c>
      <c r="BJ19" s="1175">
        <f>BJ13+BJ16</f>
        <v>0</v>
      </c>
      <c r="BK19" s="1989">
        <f t="shared" si="22"/>
        <v>-73.326803720211899</v>
      </c>
      <c r="BL19" s="1989">
        <f t="shared" si="23"/>
        <v>-64.57780939951283</v>
      </c>
      <c r="BM19" s="1175">
        <f>BM13+BM16</f>
        <v>0</v>
      </c>
      <c r="BN19" s="1989">
        <f t="shared" si="24"/>
        <v>-73.326803720211899</v>
      </c>
      <c r="BO19" s="2165">
        <f t="shared" si="25"/>
        <v>0</v>
      </c>
      <c r="BP19" s="1175">
        <f>BP13+BP16</f>
        <v>0</v>
      </c>
      <c r="BQ19" s="1989">
        <f t="shared" si="26"/>
        <v>-73.326803720211899</v>
      </c>
      <c r="BR19" s="1989">
        <f t="shared" si="27"/>
        <v>0</v>
      </c>
      <c r="BS19" s="1175">
        <f>BS13+BS16</f>
        <v>0</v>
      </c>
      <c r="BT19" s="1989">
        <f t="shared" si="28"/>
        <v>-73.326803720211899</v>
      </c>
      <c r="BU19" s="1989">
        <f t="shared" si="29"/>
        <v>0</v>
      </c>
      <c r="BV19" s="1175">
        <f>BV13+BV16</f>
        <v>0</v>
      </c>
      <c r="BW19" s="1989">
        <f t="shared" si="30"/>
        <v>-73.326803720211899</v>
      </c>
      <c r="BX19" s="1989">
        <f t="shared" si="31"/>
        <v>0</v>
      </c>
    </row>
    <row r="20" spans="1:76" s="1168" customFormat="1">
      <c r="A20" s="2673"/>
      <c r="B20" s="1178" t="s">
        <v>466</v>
      </c>
      <c r="C20" s="1179" t="s">
        <v>458</v>
      </c>
      <c r="D20" s="1180">
        <v>44.5</v>
      </c>
      <c r="E20" s="1181">
        <v>53.754418886074802</v>
      </c>
      <c r="F20" s="1182">
        <f>E20-D20</f>
        <v>9.2544188860748022</v>
      </c>
      <c r="G20" s="1182"/>
      <c r="H20" s="1181">
        <v>57.038164535078998</v>
      </c>
      <c r="I20" s="1182">
        <f t="shared" si="45"/>
        <v>12.538164535078998</v>
      </c>
      <c r="J20" s="1182">
        <f t="shared" si="46"/>
        <v>3.2837456490041959</v>
      </c>
      <c r="K20" s="1181">
        <v>55.740128673076804</v>
      </c>
      <c r="L20" s="1182">
        <f t="shared" si="47"/>
        <v>11.240128673076804</v>
      </c>
      <c r="M20" s="1182">
        <f t="shared" si="0"/>
        <v>-1.2980358620021946</v>
      </c>
      <c r="N20" s="1181">
        <v>44.179480323568498</v>
      </c>
      <c r="O20" s="1182">
        <f t="shared" si="48"/>
        <v>-0.32051967643150192</v>
      </c>
      <c r="P20" s="1182">
        <f t="shared" si="33"/>
        <v>-11.560648349508305</v>
      </c>
      <c r="Q20" s="1181">
        <v>40.645276925109997</v>
      </c>
      <c r="R20" s="1182">
        <f t="shared" si="1"/>
        <v>-3.8547230748900034</v>
      </c>
      <c r="S20" s="1182">
        <f t="shared" si="2"/>
        <v>-3.5342033984585015</v>
      </c>
      <c r="T20" s="1211">
        <v>40.829916913390001</v>
      </c>
      <c r="U20" s="1182">
        <f t="shared" si="3"/>
        <v>-3.6700830866099992</v>
      </c>
      <c r="V20" s="1182">
        <f t="shared" si="4"/>
        <v>0.18463998828000427</v>
      </c>
      <c r="W20" s="1210">
        <v>44.821301432743098</v>
      </c>
      <c r="X20" s="1213">
        <f t="shared" si="49"/>
        <v>0.3213014327430983</v>
      </c>
      <c r="Y20" s="1213">
        <f t="shared" si="5"/>
        <v>3.9913845193530975</v>
      </c>
      <c r="Z20" s="1217">
        <v>49.123120304380308</v>
      </c>
      <c r="AA20" s="1213">
        <f t="shared" si="50"/>
        <v>4.6231203043803077</v>
      </c>
      <c r="AB20" s="1213">
        <f t="shared" si="43"/>
        <v>4.3018188716372094</v>
      </c>
      <c r="AC20" s="1217">
        <v>52.81754867233785</v>
      </c>
      <c r="AD20" s="1213">
        <f t="shared" si="51"/>
        <v>8.3175486723378498</v>
      </c>
      <c r="AE20" s="1213">
        <f t="shared" si="44"/>
        <v>3.694428367957542</v>
      </c>
      <c r="AF20" s="1217">
        <v>53.617695627221579</v>
      </c>
      <c r="AG20" s="1213">
        <f t="shared" si="52"/>
        <v>9.117695627221579</v>
      </c>
      <c r="AH20" s="1213">
        <f t="shared" si="34"/>
        <v>0.80014695488372922</v>
      </c>
      <c r="AI20" s="1217">
        <v>51.210843550109047</v>
      </c>
      <c r="AJ20" s="1213">
        <f t="shared" si="53"/>
        <v>6.7108435501090469</v>
      </c>
      <c r="AK20" s="1649">
        <f t="shared" si="6"/>
        <v>-2.4068520771125321</v>
      </c>
      <c r="AL20" s="1219">
        <v>48.682762020211904</v>
      </c>
      <c r="AM20" s="1213">
        <f t="shared" si="54"/>
        <v>4.1827620202119036</v>
      </c>
      <c r="AN20" s="1213">
        <f t="shared" si="7"/>
        <v>-2.5280815298971433</v>
      </c>
      <c r="AO20" s="1219">
        <v>46.489889850993137</v>
      </c>
      <c r="AP20" s="1990">
        <f t="shared" si="35"/>
        <v>-2.1928721692187665</v>
      </c>
      <c r="AQ20" s="1990">
        <f t="shared" si="36"/>
        <v>-2.1928721692187665</v>
      </c>
      <c r="AR20" s="1180">
        <v>46.81969865071369</v>
      </c>
      <c r="AS20" s="1989">
        <f t="shared" si="10"/>
        <v>-1.8630633694982137</v>
      </c>
      <c r="AT20" s="1990">
        <f t="shared" si="37"/>
        <v>0.32980879972055277</v>
      </c>
      <c r="AU20" s="1180">
        <v>47.5</v>
      </c>
      <c r="AV20" s="1989">
        <f t="shared" si="12"/>
        <v>-1.1827620202119036</v>
      </c>
      <c r="AW20" s="1990">
        <f t="shared" si="38"/>
        <v>0.68030134928631014</v>
      </c>
      <c r="AX20" s="1180">
        <v>47.130764304537209</v>
      </c>
      <c r="AY20" s="1990">
        <f t="shared" si="14"/>
        <v>-1.5519977156746947</v>
      </c>
      <c r="AZ20" s="2164">
        <f t="shared" si="39"/>
        <v>-0.36923569546279111</v>
      </c>
      <c r="BA20" s="1180">
        <v>44.6</v>
      </c>
      <c r="BB20" s="1990">
        <f t="shared" si="16"/>
        <v>-4.0827620202119022</v>
      </c>
      <c r="BC20" s="2164">
        <f t="shared" si="17"/>
        <v>-2.5307643045372075</v>
      </c>
      <c r="BD20" s="1180">
        <v>44.825560792974954</v>
      </c>
      <c r="BE20" s="1990">
        <f t="shared" si="19"/>
        <v>-3.8572012272369491</v>
      </c>
      <c r="BF20" s="1990">
        <f t="shared" si="42"/>
        <v>0.22556079297495302</v>
      </c>
      <c r="BG20" s="2442">
        <v>42.095250699512818</v>
      </c>
      <c r="BH20" s="1990">
        <f t="shared" si="20"/>
        <v>-6.5875113206990861</v>
      </c>
      <c r="BI20" s="1990">
        <f t="shared" si="21"/>
        <v>-2.7303100934621369</v>
      </c>
      <c r="BJ20" s="2442"/>
      <c r="BK20" s="1990">
        <f t="shared" si="22"/>
        <v>-48.682762020211904</v>
      </c>
      <c r="BL20" s="1990">
        <f t="shared" si="23"/>
        <v>-42.095250699512818</v>
      </c>
      <c r="BM20" s="2442"/>
      <c r="BN20" s="1990">
        <f t="shared" si="24"/>
        <v>-48.682762020211904</v>
      </c>
      <c r="BO20" s="2164">
        <f t="shared" si="25"/>
        <v>0</v>
      </c>
      <c r="BP20" s="2442"/>
      <c r="BQ20" s="1990">
        <f t="shared" si="26"/>
        <v>-48.682762020211904</v>
      </c>
      <c r="BR20" s="1990">
        <f t="shared" si="27"/>
        <v>0</v>
      </c>
      <c r="BS20" s="2442"/>
      <c r="BT20" s="1990">
        <f t="shared" si="28"/>
        <v>-48.682762020211904</v>
      </c>
      <c r="BU20" s="1990">
        <f t="shared" si="29"/>
        <v>0</v>
      </c>
      <c r="BV20" s="2442"/>
      <c r="BW20" s="1990">
        <f t="shared" si="30"/>
        <v>-48.682762020211904</v>
      </c>
      <c r="BX20" s="1990">
        <f t="shared" si="31"/>
        <v>0</v>
      </c>
    </row>
    <row r="21" spans="1:76" s="1168" customFormat="1">
      <c r="A21" s="2674"/>
      <c r="B21" s="1178" t="s">
        <v>467</v>
      </c>
      <c r="C21" s="1179" t="s">
        <v>458</v>
      </c>
      <c r="D21" s="1180">
        <v>20.239999999999998</v>
      </c>
      <c r="E21" s="1181">
        <v>25.4726058</v>
      </c>
      <c r="F21" s="1182">
        <f t="shared" si="32"/>
        <v>5.2326058000000018</v>
      </c>
      <c r="G21" s="1182"/>
      <c r="H21" s="1181">
        <v>28.440551899999999</v>
      </c>
      <c r="I21" s="1182">
        <f t="shared" si="45"/>
        <v>8.2005519000000007</v>
      </c>
      <c r="J21" s="1182">
        <f t="shared" si="46"/>
        <v>2.9679460999999989</v>
      </c>
      <c r="K21" s="1181">
        <v>27.662648900000001</v>
      </c>
      <c r="L21" s="1182">
        <f t="shared" si="47"/>
        <v>7.4226489000000022</v>
      </c>
      <c r="M21" s="1182">
        <f t="shared" si="0"/>
        <v>-0.77790299999999846</v>
      </c>
      <c r="N21" s="1181">
        <v>27.107041800000001</v>
      </c>
      <c r="O21" s="1182">
        <f t="shared" si="48"/>
        <v>6.8670418000000026</v>
      </c>
      <c r="P21" s="1182">
        <f t="shared" si="33"/>
        <v>-0.55560709999999958</v>
      </c>
      <c r="Q21" s="1181">
        <v>31.318403100000001</v>
      </c>
      <c r="R21" s="1182">
        <f t="shared" si="1"/>
        <v>11.078403100000003</v>
      </c>
      <c r="S21" s="1182">
        <f t="shared" si="2"/>
        <v>4.2113613000000001</v>
      </c>
      <c r="T21" s="1211">
        <v>30.326241499999998</v>
      </c>
      <c r="U21" s="1182">
        <f t="shared" si="3"/>
        <v>10.0862415</v>
      </c>
      <c r="V21" s="1182">
        <f t="shared" si="4"/>
        <v>-0.99216160000000286</v>
      </c>
      <c r="W21" s="1210">
        <v>32.761188500000003</v>
      </c>
      <c r="X21" s="1182">
        <f t="shared" si="49"/>
        <v>12.521188500000004</v>
      </c>
      <c r="Y21" s="1182">
        <f t="shared" si="5"/>
        <v>2.4349470000000046</v>
      </c>
      <c r="Z21" s="1181">
        <v>27.248131799999996</v>
      </c>
      <c r="AA21" s="1182">
        <f t="shared" si="50"/>
        <v>7.0081317999999975</v>
      </c>
      <c r="AB21" s="1182">
        <f t="shared" si="43"/>
        <v>-5.513056700000007</v>
      </c>
      <c r="AC21" s="1181">
        <v>26.117036799999997</v>
      </c>
      <c r="AD21" s="1182">
        <f t="shared" si="51"/>
        <v>5.8770367999999991</v>
      </c>
      <c r="AE21" s="1182">
        <f t="shared" si="44"/>
        <v>-1.1310949999999984</v>
      </c>
      <c r="AF21" s="1181">
        <v>28.995353600000001</v>
      </c>
      <c r="AG21" s="1182">
        <f t="shared" si="52"/>
        <v>8.755353600000003</v>
      </c>
      <c r="AH21" s="1182">
        <f t="shared" si="34"/>
        <v>2.8783168000000039</v>
      </c>
      <c r="AI21" s="1181">
        <v>26.455023099999998</v>
      </c>
      <c r="AJ21" s="1182">
        <f t="shared" si="53"/>
        <v>6.2150230999999998</v>
      </c>
      <c r="AK21" s="1648">
        <f t="shared" si="6"/>
        <v>-2.5403305000000032</v>
      </c>
      <c r="AL21" s="1180">
        <v>24.644041700000002</v>
      </c>
      <c r="AM21" s="1182">
        <f t="shared" si="54"/>
        <v>4.4040417000000041</v>
      </c>
      <c r="AN21" s="1182">
        <f t="shared" si="7"/>
        <v>-1.8109813999999957</v>
      </c>
      <c r="AO21" s="1180">
        <v>27.313994600000001</v>
      </c>
      <c r="AP21" s="1990">
        <f t="shared" si="35"/>
        <v>2.6699528999999984</v>
      </c>
      <c r="AQ21" s="1990">
        <f t="shared" si="36"/>
        <v>2.6699528999999984</v>
      </c>
      <c r="AR21" s="1180">
        <v>30.669775999999995</v>
      </c>
      <c r="AS21" s="1989">
        <f t="shared" si="10"/>
        <v>6.0257342999999928</v>
      </c>
      <c r="AT21" s="1990">
        <f t="shared" si="37"/>
        <v>3.3557813999999944</v>
      </c>
      <c r="AU21" s="1180">
        <v>30.56</v>
      </c>
      <c r="AV21" s="1989">
        <f t="shared" si="12"/>
        <v>5.9159582999999962</v>
      </c>
      <c r="AW21" s="1990">
        <f t="shared" si="38"/>
        <v>-0.10977599999999654</v>
      </c>
      <c r="AX21" s="1180">
        <v>25.496674100000003</v>
      </c>
      <c r="AY21" s="1990">
        <f t="shared" si="14"/>
        <v>0.85263240000000096</v>
      </c>
      <c r="AZ21" s="2164">
        <f t="shared" si="39"/>
        <v>-5.0633258999999953</v>
      </c>
      <c r="BA21" s="1180">
        <v>22.24</v>
      </c>
      <c r="BB21" s="1990">
        <f t="shared" si="16"/>
        <v>-2.4040417000000041</v>
      </c>
      <c r="BC21" s="2164">
        <f t="shared" si="17"/>
        <v>-3.256674100000005</v>
      </c>
      <c r="BD21" s="1180">
        <v>20.849413500000001</v>
      </c>
      <c r="BE21" s="1990">
        <f t="shared" si="19"/>
        <v>-3.7946282000000018</v>
      </c>
      <c r="BF21" s="1990">
        <f t="shared" si="42"/>
        <v>-1.3905864999999977</v>
      </c>
      <c r="BG21" s="2442">
        <v>22.482558700000002</v>
      </c>
      <c r="BH21" s="1990">
        <f t="shared" si="20"/>
        <v>-2.1614830000000005</v>
      </c>
      <c r="BI21" s="1990">
        <f t="shared" si="21"/>
        <v>1.6331452000000013</v>
      </c>
      <c r="BJ21" s="2442"/>
      <c r="BK21" s="1990">
        <f t="shared" si="22"/>
        <v>-24.644041700000002</v>
      </c>
      <c r="BL21" s="1990">
        <f t="shared" si="23"/>
        <v>-22.482558700000002</v>
      </c>
      <c r="BM21" s="2442"/>
      <c r="BN21" s="1990">
        <f t="shared" si="24"/>
        <v>-24.644041700000002</v>
      </c>
      <c r="BO21" s="2164">
        <f t="shared" si="25"/>
        <v>0</v>
      </c>
      <c r="BP21" s="2442"/>
      <c r="BQ21" s="1990">
        <f t="shared" si="26"/>
        <v>-24.644041700000002</v>
      </c>
      <c r="BR21" s="1990">
        <f t="shared" si="27"/>
        <v>0</v>
      </c>
      <c r="BS21" s="2442"/>
      <c r="BT21" s="1990">
        <f t="shared" si="28"/>
        <v>-24.644041700000002</v>
      </c>
      <c r="BU21" s="1990">
        <f t="shared" si="29"/>
        <v>0</v>
      </c>
      <c r="BV21" s="2442"/>
      <c r="BW21" s="1990">
        <f t="shared" si="30"/>
        <v>-24.644041700000002</v>
      </c>
      <c r="BX21" s="1990">
        <f t="shared" si="31"/>
        <v>0</v>
      </c>
    </row>
    <row r="22" spans="1:76" s="1170" customFormat="1" ht="13.5">
      <c r="A22" s="1183"/>
      <c r="B22" s="1184" t="s">
        <v>470</v>
      </c>
      <c r="C22" s="1184"/>
      <c r="D22" s="1185">
        <v>20.360600000000002</v>
      </c>
      <c r="E22" s="1186">
        <v>17.1647</v>
      </c>
      <c r="F22" s="1187"/>
      <c r="G22" s="1187"/>
      <c r="H22" s="1186">
        <v>26.2681</v>
      </c>
      <c r="I22" s="1187"/>
      <c r="J22" s="1187"/>
      <c r="K22" s="1186">
        <v>36.343899999999998</v>
      </c>
      <c r="L22" s="1187"/>
      <c r="M22" s="1187"/>
      <c r="N22" s="1186">
        <v>27.412199999999999</v>
      </c>
      <c r="O22" s="1187">
        <f t="shared" si="48"/>
        <v>7.051599999999997</v>
      </c>
      <c r="P22" s="1187">
        <f t="shared" si="33"/>
        <v>-8.9316999999999993</v>
      </c>
      <c r="Q22" s="1186">
        <v>34.257599999999996</v>
      </c>
      <c r="R22" s="1187">
        <f t="shared" si="1"/>
        <v>13.896999999999995</v>
      </c>
      <c r="S22" s="1187">
        <f t="shared" si="2"/>
        <v>6.8453999999999979</v>
      </c>
      <c r="T22" s="1211">
        <v>30.584399999999999</v>
      </c>
      <c r="U22" s="1187"/>
      <c r="V22" s="1187">
        <f t="shared" si="4"/>
        <v>-3.6731999999999978</v>
      </c>
      <c r="W22" s="1186">
        <v>33.369700000000002</v>
      </c>
      <c r="X22" s="1187"/>
      <c r="Y22" s="1187"/>
      <c r="Z22" s="1186">
        <v>26.083100000000002</v>
      </c>
      <c r="AA22" s="1218">
        <f t="shared" si="50"/>
        <v>5.7225000000000001</v>
      </c>
      <c r="AB22" s="1187">
        <f t="shared" si="43"/>
        <v>-7.2866</v>
      </c>
      <c r="AC22" s="1187">
        <f t="shared" si="43"/>
        <v>5.7225000000000001</v>
      </c>
      <c r="AD22" s="1218"/>
      <c r="AE22" s="1187">
        <f t="shared" si="44"/>
        <v>-20.360600000000002</v>
      </c>
      <c r="AF22" s="1186">
        <v>37.61</v>
      </c>
      <c r="AG22" s="1218">
        <f t="shared" si="52"/>
        <v>17.249399999999998</v>
      </c>
      <c r="AH22" s="1187"/>
      <c r="AI22" s="1186">
        <v>23.000195300000001</v>
      </c>
      <c r="AJ22" s="1187"/>
      <c r="AK22" s="1187">
        <f t="shared" si="6"/>
        <v>-14.609804699999998</v>
      </c>
      <c r="AL22" s="1185">
        <v>31.8902714</v>
      </c>
      <c r="AM22" s="1218"/>
      <c r="AN22" s="1187">
        <f>AL22-AI22</f>
        <v>8.8900760999999981</v>
      </c>
      <c r="AO22" s="1180">
        <v>49.902951399999999</v>
      </c>
      <c r="AP22" s="1187"/>
      <c r="AQ22" s="1180">
        <f>AO22-AL22</f>
        <v>18.01268</v>
      </c>
      <c r="AR22" s="1180">
        <v>30.4252249</v>
      </c>
      <c r="AS22" s="1187"/>
      <c r="AT22" s="1214"/>
      <c r="AU22" s="1214">
        <v>43.226500000000001</v>
      </c>
      <c r="AV22" s="1187"/>
      <c r="AW22" s="1187"/>
      <c r="AX22" s="1214">
        <v>33.259900000000002</v>
      </c>
      <c r="AY22" s="1187"/>
      <c r="AZ22" s="1187"/>
      <c r="BA22" s="1180">
        <v>21.295999999999999</v>
      </c>
      <c r="BB22" s="1187">
        <f t="shared" si="16"/>
        <v>-10.5942714</v>
      </c>
      <c r="BC22" s="1187">
        <f t="shared" si="17"/>
        <v>-11.963900000000002</v>
      </c>
      <c r="BD22" s="1186">
        <v>32.483584700000002</v>
      </c>
      <c r="BE22" s="1187"/>
      <c r="BF22" s="1187">
        <f t="shared" si="42"/>
        <v>11.187584700000002</v>
      </c>
      <c r="BG22" s="1186">
        <v>30.628299999999999</v>
      </c>
      <c r="BH22" s="1187">
        <f>BG22-$AL22</f>
        <v>-1.2619714000000002</v>
      </c>
      <c r="BI22" s="1187">
        <f>BG22-BD22</f>
        <v>-1.8552847000000021</v>
      </c>
      <c r="BJ22" s="1186"/>
      <c r="BK22" s="1187"/>
      <c r="BL22" s="1170">
        <f>BJ22-BG22</f>
        <v>-30.628299999999999</v>
      </c>
      <c r="BM22" s="1186"/>
      <c r="BP22" s="1186"/>
      <c r="BS22" s="1186"/>
      <c r="BV22" s="1186"/>
    </row>
    <row r="23" spans="1:76" s="1171" customFormat="1" ht="12">
      <c r="A23" s="1188">
        <v>6000</v>
      </c>
      <c r="B23" s="1189" t="s">
        <v>1128</v>
      </c>
      <c r="C23" s="1189"/>
      <c r="D23" s="1190">
        <v>59.63</v>
      </c>
      <c r="E23" s="1191">
        <v>3246.364</v>
      </c>
      <c r="F23" s="1192"/>
      <c r="G23" s="1192"/>
      <c r="H23" s="1191">
        <v>59.63</v>
      </c>
      <c r="I23" s="1192"/>
      <c r="J23" s="1192"/>
      <c r="K23" s="1204">
        <v>59.63</v>
      </c>
      <c r="L23" s="1192"/>
      <c r="M23" s="1192"/>
      <c r="N23" s="1204">
        <v>59.63</v>
      </c>
      <c r="O23" s="1192"/>
      <c r="P23" s="1192"/>
      <c r="Q23" s="1191">
        <v>59.63</v>
      </c>
      <c r="R23" s="1192"/>
      <c r="S23" s="1192"/>
      <c r="T23" s="1211">
        <v>1644.9110000000001</v>
      </c>
      <c r="U23" s="1192"/>
      <c r="V23" s="1192"/>
      <c r="W23" s="1214">
        <v>1556.34</v>
      </c>
      <c r="X23" s="1214"/>
      <c r="Y23" s="1214"/>
      <c r="Z23" s="1214">
        <v>59.63</v>
      </c>
      <c r="AA23" s="1214">
        <f t="shared" si="50"/>
        <v>0</v>
      </c>
      <c r="AB23" s="1214"/>
      <c r="AC23" s="1214">
        <v>59.63</v>
      </c>
      <c r="AD23" s="1214"/>
      <c r="AE23" s="1214">
        <f t="shared" si="44"/>
        <v>0</v>
      </c>
      <c r="AF23" s="1214">
        <v>59.63</v>
      </c>
      <c r="AG23" s="1214">
        <f t="shared" si="52"/>
        <v>0</v>
      </c>
      <c r="AH23" s="1214"/>
      <c r="AI23" s="1214">
        <v>2051.4499999999998</v>
      </c>
      <c r="AJ23" s="1214"/>
      <c r="AK23" s="1214">
        <f t="shared" si="6"/>
        <v>1991.8199999999997</v>
      </c>
      <c r="AL23" s="1214">
        <v>59.63</v>
      </c>
      <c r="AM23" s="1214"/>
      <c r="AN23" s="1214">
        <f>AL23-AI23</f>
        <v>-1991.8199999999997</v>
      </c>
      <c r="AO23" s="1214">
        <v>51064</v>
      </c>
      <c r="AP23" s="1214"/>
      <c r="AQ23" s="1214">
        <f>AO23-AL23</f>
        <v>51004.37</v>
      </c>
      <c r="AR23" s="1214">
        <v>59.63</v>
      </c>
      <c r="AS23" s="1214"/>
      <c r="AT23" s="1214"/>
      <c r="AU23" s="1214">
        <v>59.63</v>
      </c>
      <c r="AV23" s="1214"/>
      <c r="AW23" s="1214"/>
      <c r="AX23" s="1214">
        <v>59.63</v>
      </c>
      <c r="AY23" s="1214"/>
      <c r="AZ23" s="1214"/>
      <c r="BA23" s="1214">
        <v>59.63</v>
      </c>
      <c r="BB23" s="1214">
        <f t="shared" si="16"/>
        <v>0</v>
      </c>
      <c r="BC23" s="1214">
        <f t="shared" si="17"/>
        <v>0</v>
      </c>
      <c r="BD23" s="1214">
        <v>59.63</v>
      </c>
      <c r="BE23" s="1214"/>
      <c r="BF23" s="1214">
        <f t="shared" si="42"/>
        <v>0</v>
      </c>
      <c r="BG23" s="1214">
        <v>59.63</v>
      </c>
      <c r="BH23" s="1214"/>
      <c r="BI23" s="1214"/>
      <c r="BJ23" s="1214">
        <v>59.63</v>
      </c>
      <c r="BK23" s="1214"/>
      <c r="BM23" s="1186"/>
      <c r="BP23" s="1186"/>
      <c r="BS23" s="1186"/>
      <c r="BV23" s="1186"/>
    </row>
    <row r="24" spans="1:76" s="1171" customFormat="1" ht="14.25" customHeight="1">
      <c r="B24" s="1193" t="s">
        <v>1137</v>
      </c>
      <c r="C24" s="1193"/>
      <c r="D24" s="1193">
        <v>0</v>
      </c>
      <c r="E24" s="1194">
        <v>1910.6320000000001</v>
      </c>
      <c r="F24" s="1193"/>
      <c r="G24" s="1193"/>
      <c r="H24" s="1193">
        <v>0</v>
      </c>
      <c r="I24" s="1193"/>
      <c r="J24" s="1193"/>
      <c r="K24" s="1205">
        <v>3795.2310000000002</v>
      </c>
      <c r="L24" s="1193"/>
      <c r="M24" s="1193"/>
      <c r="N24" s="1206">
        <v>0</v>
      </c>
      <c r="O24" s="1193"/>
      <c r="P24" s="1193"/>
      <c r="Q24" s="1193">
        <v>0</v>
      </c>
      <c r="R24" s="1193"/>
      <c r="S24" s="1193"/>
      <c r="T24" s="1211">
        <v>0</v>
      </c>
      <c r="U24" s="1193"/>
      <c r="V24" s="1193"/>
      <c r="W24" s="1215">
        <v>0</v>
      </c>
      <c r="X24" s="1215"/>
      <c r="Y24" s="1215"/>
      <c r="Z24" s="1215">
        <v>0</v>
      </c>
      <c r="AA24" s="1215"/>
      <c r="AB24" s="1215"/>
      <c r="AC24" s="1215">
        <v>0</v>
      </c>
      <c r="AD24" s="1215"/>
      <c r="AE24" s="1215"/>
      <c r="AF24" s="1215">
        <v>0</v>
      </c>
      <c r="AG24" s="1215"/>
      <c r="AH24" s="1215"/>
      <c r="AI24" s="1215">
        <v>0</v>
      </c>
      <c r="AJ24" s="1215"/>
      <c r="AK24" s="1215">
        <f t="shared" si="6"/>
        <v>0</v>
      </c>
      <c r="AL24" s="1215">
        <v>0</v>
      </c>
      <c r="AM24" s="1215"/>
      <c r="AN24" s="1215">
        <f>AL24-AI24</f>
        <v>0</v>
      </c>
      <c r="AO24" s="1215">
        <v>60483</v>
      </c>
      <c r="AP24" s="1215"/>
      <c r="AQ24" s="1215">
        <f>AO24-AL24</f>
        <v>60483</v>
      </c>
      <c r="AR24" s="1215">
        <v>0</v>
      </c>
      <c r="AS24" s="1215"/>
      <c r="AT24" s="1215"/>
      <c r="AU24" s="1215">
        <v>0</v>
      </c>
      <c r="AV24" s="1215"/>
      <c r="AW24" s="1215"/>
      <c r="AX24" s="1215">
        <v>0</v>
      </c>
      <c r="AY24" s="1215"/>
      <c r="AZ24" s="1215"/>
      <c r="BA24" s="1215">
        <v>0</v>
      </c>
      <c r="BB24" s="1215"/>
      <c r="BC24" s="1215">
        <f t="shared" si="17"/>
        <v>0</v>
      </c>
      <c r="BD24" s="1215">
        <v>0</v>
      </c>
      <c r="BE24" s="1215"/>
      <c r="BF24" s="1215"/>
      <c r="BG24" s="1215">
        <v>0</v>
      </c>
      <c r="BH24" s="1215"/>
      <c r="BI24" s="1215"/>
      <c r="BJ24" s="1215">
        <v>0</v>
      </c>
      <c r="BK24" s="1215"/>
    </row>
    <row r="25" spans="1:76" s="1171" customFormat="1" ht="14.25" customHeight="1">
      <c r="A25" s="1171">
        <v>6120</v>
      </c>
      <c r="B25" s="1193" t="s">
        <v>1128</v>
      </c>
      <c r="C25" s="1193"/>
      <c r="D25" s="1193">
        <v>7251.4750000000004</v>
      </c>
      <c r="E25" s="1194">
        <v>11454.683000000001</v>
      </c>
      <c r="F25" s="1193"/>
      <c r="G25" s="1193"/>
      <c r="H25" s="1194">
        <v>20725.092000000001</v>
      </c>
      <c r="I25" s="1193"/>
      <c r="J25" s="1193"/>
      <c r="K25" s="1194">
        <v>16333.874</v>
      </c>
      <c r="L25" s="1193"/>
      <c r="M25" s="1193"/>
      <c r="N25" s="1205">
        <v>12865.82</v>
      </c>
      <c r="O25" s="1193"/>
      <c r="P25" s="1193"/>
      <c r="Q25" s="1194">
        <v>4317.1260000000002</v>
      </c>
      <c r="R25" s="1193"/>
      <c r="S25" s="1193"/>
      <c r="T25" s="1211">
        <v>404.697</v>
      </c>
      <c r="U25" s="1193"/>
      <c r="V25" s="1193"/>
      <c r="W25" s="1215">
        <v>4902.1220000000003</v>
      </c>
      <c r="X25" s="1215"/>
      <c r="Y25" s="1215"/>
      <c r="Z25" s="1215">
        <v>14545.4</v>
      </c>
      <c r="AA25" s="1215"/>
      <c r="AB25" s="1215"/>
      <c r="AC25" s="1215">
        <v>31.22</v>
      </c>
      <c r="AD25" s="1215"/>
      <c r="AE25" s="1215"/>
      <c r="AF25" s="1215">
        <v>8368.4179999999997</v>
      </c>
      <c r="AG25" s="1215"/>
      <c r="AH25" s="1215"/>
      <c r="AI25" s="1215">
        <v>578.73900000000003</v>
      </c>
      <c r="AJ25" s="1215"/>
      <c r="AK25" s="1215">
        <f t="shared" si="6"/>
        <v>-7789.6790000000001</v>
      </c>
      <c r="AL25" s="1215">
        <v>8223.3860000000004</v>
      </c>
      <c r="AM25" s="1215"/>
      <c r="AN25" s="1215">
        <f>AL25-AI25</f>
        <v>7644.6470000000008</v>
      </c>
      <c r="AO25" s="1215">
        <v>3965.4639999999999</v>
      </c>
      <c r="AP25" s="1215"/>
      <c r="AQ25" s="1215">
        <f>AO25-AL25</f>
        <v>-4257.9220000000005</v>
      </c>
      <c r="AR25" s="1215">
        <v>10357</v>
      </c>
      <c r="AS25" s="1215"/>
      <c r="AT25" s="1215"/>
      <c r="AU25" s="1215">
        <v>10635.236000000001</v>
      </c>
      <c r="AV25" s="1215"/>
      <c r="AW25" s="1215"/>
      <c r="AX25" s="1215">
        <v>4424.07</v>
      </c>
      <c r="AY25" s="1215"/>
      <c r="AZ25" s="1215"/>
      <c r="BA25" s="1215">
        <v>5002.6149999999998</v>
      </c>
      <c r="BB25" s="1215"/>
      <c r="BC25" s="1215">
        <f t="shared" si="17"/>
        <v>578.54500000000007</v>
      </c>
      <c r="BD25" s="1215">
        <v>11597.987999999999</v>
      </c>
      <c r="BE25" s="1215"/>
      <c r="BF25" s="1215"/>
      <c r="BG25" s="1215">
        <v>1240.393</v>
      </c>
      <c r="BH25" s="1215"/>
      <c r="BI25" s="1215"/>
      <c r="BJ25" s="1215">
        <v>9593.2829999999994</v>
      </c>
      <c r="BK25" s="1215"/>
    </row>
    <row r="26" spans="1:76" s="1172" customFormat="1" ht="14.25" customHeight="1">
      <c r="B26" s="1195" t="s">
        <v>1136</v>
      </c>
      <c r="C26" s="1195"/>
      <c r="D26" s="1195">
        <v>11382.805</v>
      </c>
      <c r="E26" s="1196">
        <v>11290.927</v>
      </c>
      <c r="F26" s="1195"/>
      <c r="G26" s="1195"/>
      <c r="H26" s="1196">
        <v>6276.7709999999997</v>
      </c>
      <c r="I26" s="1195"/>
      <c r="J26" s="1195"/>
      <c r="K26" s="1196">
        <v>20255.224999999999</v>
      </c>
      <c r="L26" s="1195"/>
      <c r="M26" s="1195"/>
      <c r="N26" s="1207">
        <v>15147.699000000001</v>
      </c>
      <c r="O26" s="1195"/>
      <c r="P26" s="1195"/>
      <c r="Q26" s="1196">
        <v>8862.5349999999999</v>
      </c>
      <c r="R26" s="1195"/>
      <c r="S26" s="1195"/>
      <c r="T26" s="1211">
        <v>159.95699999999999</v>
      </c>
      <c r="U26" s="1195"/>
      <c r="V26" s="1195"/>
      <c r="W26" s="1216">
        <v>3510.0120000000002</v>
      </c>
      <c r="X26" s="1216"/>
      <c r="Y26" s="1216"/>
      <c r="Z26" s="1216">
        <v>11017.78</v>
      </c>
      <c r="AA26" s="1216"/>
      <c r="AB26" s="1216"/>
      <c r="AC26" s="1216">
        <v>4938.5720000000001</v>
      </c>
      <c r="AD26" s="1216"/>
      <c r="AE26" s="1216"/>
      <c r="AF26" s="1216">
        <v>5144.3760000000002</v>
      </c>
      <c r="AG26" s="1216"/>
      <c r="AH26" s="1216"/>
      <c r="AI26" s="1216">
        <v>3938.2170000000001</v>
      </c>
      <c r="AJ26" s="1216"/>
      <c r="AK26" s="1215">
        <f>AI26-AF26</f>
        <v>-1206.1590000000001</v>
      </c>
      <c r="AL26" s="1216">
        <v>4820.4430000000002</v>
      </c>
      <c r="AM26" s="1216"/>
      <c r="AN26" s="1215">
        <f>AL26-AI26</f>
        <v>882.22600000000011</v>
      </c>
      <c r="AO26" s="1215">
        <v>8705.9560000000001</v>
      </c>
      <c r="AP26" s="1215"/>
      <c r="AQ26" s="1215">
        <f>AO26-AL26</f>
        <v>3885.5129999999999</v>
      </c>
      <c r="AR26" s="1215">
        <v>4131.2659999999996</v>
      </c>
      <c r="AS26" s="1215"/>
      <c r="AT26" s="1215"/>
      <c r="AU26" s="1215">
        <v>1045.0409999999999</v>
      </c>
      <c r="AV26" s="1215"/>
      <c r="AW26" s="1215"/>
      <c r="AX26" s="1215">
        <v>2800.723</v>
      </c>
      <c r="AY26" s="1215"/>
      <c r="AZ26" s="1215"/>
      <c r="BA26" s="1215">
        <v>2286.1550000000002</v>
      </c>
      <c r="BB26" s="1215"/>
      <c r="BC26" s="1215"/>
      <c r="BD26" s="1215">
        <v>23887.629000000001</v>
      </c>
      <c r="BE26" s="1215"/>
      <c r="BF26" s="1215"/>
      <c r="BG26" s="1215">
        <v>1182.1849999999999</v>
      </c>
      <c r="BH26" s="1215"/>
      <c r="BI26" s="1215"/>
      <c r="BJ26" s="1215">
        <v>18192.626</v>
      </c>
      <c r="BK26" s="1215"/>
    </row>
    <row r="27" spans="1:76" ht="14.25" customHeight="1"/>
    <row r="28" spans="1:76">
      <c r="B28" s="116" t="s">
        <v>101</v>
      </c>
      <c r="E28" s="1197">
        <f>E4+E10</f>
        <v>7.7786999999999997</v>
      </c>
      <c r="F28" s="1198">
        <f>F4+F10</f>
        <v>1.3589999999999998</v>
      </c>
      <c r="G28" s="1198"/>
      <c r="H28" s="132">
        <f t="shared" ref="H28:AN28" si="72">H4+H10</f>
        <v>3.9531999999999998</v>
      </c>
      <c r="I28" s="1198">
        <f t="shared" si="72"/>
        <v>-2.4664999999999999</v>
      </c>
      <c r="J28" s="1198">
        <f t="shared" si="72"/>
        <v>-3.8254999999999999</v>
      </c>
      <c r="K28" s="132">
        <f t="shared" si="72"/>
        <v>3.2713999999999999</v>
      </c>
      <c r="L28" s="132">
        <f t="shared" si="72"/>
        <v>-3.1482999999999999</v>
      </c>
      <c r="M28" s="132">
        <f t="shared" si="72"/>
        <v>-0.68179999999999985</v>
      </c>
      <c r="N28" s="132">
        <f t="shared" si="72"/>
        <v>5.4156000000000004</v>
      </c>
      <c r="O28" s="1198">
        <f t="shared" si="72"/>
        <v>-1.0040999999999993</v>
      </c>
      <c r="P28" s="1198">
        <f t="shared" si="72"/>
        <v>2.1442000000000005</v>
      </c>
      <c r="Q28" s="132">
        <f t="shared" si="72"/>
        <v>13.4742</v>
      </c>
      <c r="R28" s="1198">
        <f t="shared" si="72"/>
        <v>7.0545000000000009</v>
      </c>
      <c r="S28" s="1198">
        <f t="shared" si="72"/>
        <v>8.0586000000000002</v>
      </c>
      <c r="T28" s="132">
        <f t="shared" si="72"/>
        <v>21.113599999999998</v>
      </c>
      <c r="U28" s="1198">
        <f t="shared" si="72"/>
        <v>14.693899999999999</v>
      </c>
      <c r="V28" s="1198">
        <f t="shared" si="72"/>
        <v>7.6393999999999993</v>
      </c>
      <c r="W28" s="132">
        <f t="shared" si="72"/>
        <v>25.919999999999998</v>
      </c>
      <c r="X28" s="1198">
        <f t="shared" si="72"/>
        <v>19.500299999999999</v>
      </c>
      <c r="Y28" s="1198">
        <f t="shared" si="72"/>
        <v>4.8063999999999982</v>
      </c>
      <c r="Z28" s="132">
        <f t="shared" si="72"/>
        <v>32.662300000000002</v>
      </c>
      <c r="AA28" s="1198">
        <f t="shared" si="72"/>
        <v>26.242599999999996</v>
      </c>
      <c r="AB28" s="1198">
        <f t="shared" si="72"/>
        <v>6.7423000000000002</v>
      </c>
      <c r="AC28" s="132">
        <f t="shared" si="72"/>
        <v>50.7</v>
      </c>
      <c r="AD28" s="1198">
        <f t="shared" si="72"/>
        <v>44.280299999999997</v>
      </c>
      <c r="AE28" s="1198">
        <f t="shared" si="72"/>
        <v>18.037700000000001</v>
      </c>
      <c r="AF28" s="132">
        <f t="shared" si="72"/>
        <v>38.159999999999997</v>
      </c>
      <c r="AG28" s="1198">
        <f t="shared" si="72"/>
        <v>31.740299999999998</v>
      </c>
      <c r="AH28" s="1198">
        <f t="shared" si="72"/>
        <v>-12.54</v>
      </c>
      <c r="AI28" s="132">
        <f t="shared" si="72"/>
        <v>38.18</v>
      </c>
      <c r="AJ28" s="1198">
        <f t="shared" si="72"/>
        <v>31.760300000000001</v>
      </c>
      <c r="AK28" s="1198">
        <f t="shared" si="72"/>
        <v>1.9999999999999574E-2</v>
      </c>
      <c r="AL28" s="132">
        <f t="shared" si="72"/>
        <v>38.716900000000003</v>
      </c>
      <c r="AM28" s="1198">
        <f t="shared" si="72"/>
        <v>32.297200000000004</v>
      </c>
      <c r="AN28" s="1198">
        <f t="shared" si="72"/>
        <v>0.53690000000000371</v>
      </c>
      <c r="AO28" s="132">
        <f t="shared" ref="AO28" si="73">AO4+AO10</f>
        <v>41.617200000000004</v>
      </c>
      <c r="AP28" s="1198">
        <f t="shared" ref="AP28:AQ28" si="74">AP4+AP10</f>
        <v>2.9002999999999974</v>
      </c>
      <c r="AQ28" s="1198">
        <f t="shared" si="74"/>
        <v>2.9002999999999974</v>
      </c>
      <c r="AR28" s="1198"/>
      <c r="AS28" s="1198"/>
      <c r="AT28" s="1198"/>
      <c r="AU28" s="1198"/>
      <c r="AV28" s="1198"/>
      <c r="AW28" s="1198"/>
      <c r="AX28" s="1198"/>
      <c r="AY28" s="1198"/>
      <c r="AZ28" s="1198"/>
      <c r="BA28" s="1198"/>
      <c r="BB28" s="1198"/>
      <c r="BC28" s="1198"/>
      <c r="BD28" s="1198"/>
      <c r="BE28" s="1198"/>
      <c r="BF28" s="1198"/>
      <c r="BG28" s="1198"/>
      <c r="BH28" s="1198"/>
      <c r="BI28" s="1198"/>
      <c r="BJ28" s="1198"/>
      <c r="BK28" s="1198"/>
    </row>
    <row r="29" spans="1:76">
      <c r="B29" s="116" t="s">
        <v>96</v>
      </c>
      <c r="E29" s="1199">
        <f>E5+E11</f>
        <v>14.27</v>
      </c>
      <c r="F29" s="1198">
        <f>F5+F11</f>
        <v>6.379999999999999</v>
      </c>
      <c r="G29" s="1198"/>
      <c r="H29" s="132">
        <f t="shared" ref="H29:AN29" si="75">H5+H11</f>
        <v>6.08</v>
      </c>
      <c r="I29" s="1198">
        <f t="shared" si="75"/>
        <v>-1.8100000000000005</v>
      </c>
      <c r="J29" s="1198">
        <f t="shared" si="75"/>
        <v>-8.19</v>
      </c>
      <c r="K29" s="132">
        <f t="shared" si="75"/>
        <v>5.77</v>
      </c>
      <c r="L29" s="132">
        <f t="shared" si="75"/>
        <v>-2.120000000000001</v>
      </c>
      <c r="M29" s="132">
        <f t="shared" si="75"/>
        <v>-0.31000000000000028</v>
      </c>
      <c r="N29" s="132">
        <f t="shared" si="75"/>
        <v>5.0699999999999994</v>
      </c>
      <c r="O29" s="1198">
        <f t="shared" si="75"/>
        <v>-2.8200000000000007</v>
      </c>
      <c r="P29" s="1198">
        <f t="shared" si="75"/>
        <v>-0.7</v>
      </c>
      <c r="Q29" s="132">
        <f t="shared" si="75"/>
        <v>5.96</v>
      </c>
      <c r="R29" s="1198">
        <f t="shared" si="75"/>
        <v>-1.9300000000000002</v>
      </c>
      <c r="S29" s="1198">
        <f t="shared" si="75"/>
        <v>0.89000000000000068</v>
      </c>
      <c r="T29" s="132">
        <f t="shared" si="75"/>
        <v>9.6300000000000008</v>
      </c>
      <c r="U29" s="1198">
        <f t="shared" si="75"/>
        <v>1.7400000000000007</v>
      </c>
      <c r="V29" s="1198">
        <f t="shared" si="75"/>
        <v>3.6700000000000008</v>
      </c>
      <c r="W29" s="132">
        <f t="shared" si="75"/>
        <v>13.68</v>
      </c>
      <c r="X29" s="1198">
        <f t="shared" si="75"/>
        <v>5.7899999999999991</v>
      </c>
      <c r="Y29" s="1198">
        <f t="shared" si="75"/>
        <v>4.0499999999999989</v>
      </c>
      <c r="Z29" s="132">
        <f t="shared" si="75"/>
        <v>13.39</v>
      </c>
      <c r="AA29" s="1198">
        <f t="shared" si="75"/>
        <v>5.4999999999999991</v>
      </c>
      <c r="AB29" s="1198">
        <f t="shared" si="75"/>
        <v>-0.28999999999999981</v>
      </c>
      <c r="AC29" s="132">
        <f t="shared" si="75"/>
        <v>9.7899999999999991</v>
      </c>
      <c r="AD29" s="1198">
        <f t="shared" si="75"/>
        <v>1.8999999999999997</v>
      </c>
      <c r="AE29" s="1198">
        <f t="shared" si="75"/>
        <v>-3.5999999999999996</v>
      </c>
      <c r="AF29" s="132">
        <f t="shared" si="75"/>
        <v>10.89</v>
      </c>
      <c r="AG29" s="1198">
        <f t="shared" si="75"/>
        <v>2.9999999999999991</v>
      </c>
      <c r="AH29" s="1198">
        <f t="shared" si="75"/>
        <v>1.0999999999999996</v>
      </c>
      <c r="AI29" s="132">
        <f t="shared" si="75"/>
        <v>11.700000000000001</v>
      </c>
      <c r="AJ29" s="1198">
        <f t="shared" si="75"/>
        <v>3.8100000000000005</v>
      </c>
      <c r="AK29" s="1198">
        <f t="shared" si="75"/>
        <v>0.81000000000000094</v>
      </c>
      <c r="AL29" s="132">
        <f t="shared" si="75"/>
        <v>12.420000000000002</v>
      </c>
      <c r="AM29" s="1198">
        <f t="shared" si="75"/>
        <v>4.53</v>
      </c>
      <c r="AN29" s="1198">
        <f t="shared" si="75"/>
        <v>0.7200000000000002</v>
      </c>
      <c r="AO29" s="132">
        <f t="shared" ref="AO29" si="76">AO5+AO11</f>
        <v>13.4</v>
      </c>
      <c r="AP29" s="1198">
        <f t="shared" ref="AP29:AQ29" si="77">AP5+AP11</f>
        <v>0.97999999999999954</v>
      </c>
      <c r="AQ29" s="1198">
        <f t="shared" si="77"/>
        <v>0.97999999999999954</v>
      </c>
      <c r="AR29" s="1198"/>
      <c r="AS29" s="1198"/>
      <c r="AT29" s="1198"/>
      <c r="AU29" s="1198"/>
      <c r="AV29" s="1198"/>
      <c r="AW29" s="1198"/>
      <c r="AX29" s="1198"/>
      <c r="AY29" s="1198"/>
      <c r="AZ29" s="1198"/>
      <c r="BA29" s="1198"/>
      <c r="BB29" s="1198"/>
      <c r="BC29" s="1198"/>
      <c r="BD29" s="1198"/>
      <c r="BE29" s="1198"/>
      <c r="BF29" s="1198"/>
      <c r="BG29" s="1198"/>
      <c r="BH29" s="1198"/>
      <c r="BI29" s="1198"/>
      <c r="BJ29" s="1198"/>
      <c r="BK29" s="1198"/>
    </row>
    <row r="31" spans="1:76" ht="59.25" customHeight="1">
      <c r="C31" s="116" t="s">
        <v>46</v>
      </c>
      <c r="E31" s="1200" t="str">
        <f>"全线库存"&amp;ROUND(E19,2)&amp;"万吨（其中碳钢"&amp;ROUND(E21,2)&amp;"万吨，不锈钢"&amp;ROUND(E20,2)&amp;"万吨），比年初"&amp;IF(F19&gt;=0,"↑","↓")&amp;ABS(ROUND(F19,2))&amp;"万吨（其中碳钢"&amp;IF(F21&gt;=0,"↑","↓")&amp;ABS(ROUND(F21,2))&amp;"万吨，不锈钢"&amp;IF(F20&gt;=0,"↑","↓")&amp;ABS(ROUND(F20,2))&amp;"万吨）。"</f>
        <v>全线库存79.23万吨（其中碳钢25.47万吨，不锈钢53.75万吨），比年初↑14.49万吨（其中碳钢↑5.23万吨，不锈钢↑9.25万吨）。</v>
      </c>
      <c r="F31" s="1200"/>
      <c r="G31" s="1200"/>
      <c r="H31" s="2668" t="str">
        <f>"全线库存"&amp;ROUND(H19,2)&amp;"万吨（其中碳钢"&amp;ROUND(H21,2)&amp;"万吨，不锈钢"&amp;ROUND(H20,2)&amp;"万吨），比年初"&amp;IF(I19&gt;=0,"↑","↓")&amp;ABS(ROUND(I19,2))&amp;"万吨（其中碳钢"&amp;IF(I21&gt;=0,"↑","↓")&amp;ABS(ROUND(I21,2))&amp;"万吨，不锈钢"&amp;IF(I20&gt;=0,"↑","↓")&amp;ABS(ROUND(I20,2))&amp;"万吨）；比上月"&amp;IF(J19&gt;=0,"↑","↓")&amp;ABS(ROUND(J19,2))&amp;"万吨（其中碳钢"&amp;IF(J21&gt;=0,"↑","↓")&amp;ABS(ROUND(J21,2))&amp;"万吨，不锈钢"&amp;IF(J20&gt;=0,"↑","↓")&amp;ABS(ROUND(J20,2))&amp;"万吨）。"</f>
        <v>全线库存85.48万吨（其中碳钢28.44万吨，不锈钢57.04万吨），比年初↑20.74万吨（其中碳钢↑8.2万吨，不锈钢↑12.54万吨）；比上月↑6.25万吨（其中碳钢↑2.97万吨，不锈钢↑3.28万吨）。</v>
      </c>
      <c r="I31" s="2668"/>
      <c r="J31" s="2668"/>
      <c r="K31" s="2668" t="str">
        <f>"全线库存"&amp;ROUND(K19,2)&amp;"万吨（其中碳钢"&amp;ROUND(K21,2)&amp;"万吨，不锈钢"&amp;ROUND(K20,2)&amp;"万吨），比年初"&amp;IF(L19&gt;=0,"↑","↓")&amp;ABS(ROUND(L19,2))&amp;"万吨（其中碳钢"&amp;IF(L21&gt;=0,"↑","↓")&amp;ABS(ROUND(L21,2))&amp;"万吨，不锈钢"&amp;IF(L20&gt;=0,"↑","↓")&amp;ABS(ROUND(L20,2))&amp;"万吨）；比上月"&amp;IF(M19&gt;=0,"↑","↓")&amp;ABS(ROUND(M19,2))&amp;"万吨（其中碳钢"&amp;IF(M21&gt;=0,"↑","↓")&amp;ABS(ROUND(M21,2))&amp;"万吨，不锈钢"&amp;IF(M20&gt;=0,"↑","↓")&amp;ABS(ROUND(M20,2))&amp;"万吨）。"</f>
        <v>全线库存83.4万吨（其中碳钢27.66万吨，不锈钢55.74万吨），比年初↑18.66万吨（其中碳钢↑7.42万吨，不锈钢↑11.24万吨）；比上月↓2.08万吨（其中碳钢↓0.78万吨，不锈钢↓1.3万吨）。</v>
      </c>
      <c r="L31" s="2668"/>
      <c r="M31" s="2668"/>
      <c r="N31" s="2668" t="str">
        <f>"全线库存"&amp;ROUND(N19,2)&amp;"万吨（其中碳钢"&amp;ROUND(N21,2)&amp;"万吨，不锈钢"&amp;ROUND(N20,2)&amp;"万吨），比年初"&amp;IF(O19&gt;=0,"↑","↓")&amp;ABS(ROUND(O19,2))&amp;"万吨（其中碳钢"&amp;IF(O21&gt;=0,"↑","↓")&amp;ABS(ROUND(O21,2))&amp;"万吨，不锈钢"&amp;IF(O20&gt;=0,"↑","↓")&amp;ABS(ROUND(O20,2))&amp;"万吨）；比上月"&amp;IF(P19&gt;=0,"↑","↓")&amp;ABS(ROUND(P19,2))&amp;"万吨（其中碳钢"&amp;IF(P21&gt;=0,"↑","↓")&amp;ABS(ROUND(P21,2))&amp;"万吨，不锈钢"&amp;IF(P20&gt;=0,"↑","↓")&amp;ABS(ROUND(P20,2))&amp;"万吨）。"</f>
        <v>全线库存71.29万吨（其中碳钢27.11万吨，不锈钢44.18万吨），比年初↑6.55万吨（其中碳钢↑6.87万吨，不锈钢↓0.32万吨）；比上月↓12.12万吨（其中碳钢↓0.56万吨，不锈钢↓11.56万吨）。</v>
      </c>
      <c r="O31" s="2668"/>
      <c r="P31" s="2668"/>
      <c r="Q31" s="2668" t="str">
        <f>"全线库存"&amp;ROUND(Q19,2)&amp;"万吨（其中碳钢"&amp;ROUND(Q21,2)&amp;"万吨，不锈钢"&amp;ROUND(Q20,2)&amp;"万吨），比年初"&amp;IF(R19&gt;=0,"↑","↓")&amp;ABS(ROUND(R19,2))&amp;"万吨（其中碳钢"&amp;IF(R21&gt;=0,"↑","↓")&amp;ABS(ROUND(R21,2))&amp;"万吨，不锈钢"&amp;IF(R20&gt;=0,"↑","↓")&amp;ABS(ROUND(R20,2))&amp;"万吨）；比上月"&amp;IF(S19&gt;=0,"↑","↓")&amp;ABS(ROUND(S19,2))&amp;"万吨（其中碳钢"&amp;IF(S21&gt;=0,"↑","↓")&amp;ABS(ROUND(S21,2))&amp;"万吨，不锈钢"&amp;IF(S20&gt;=0,"↑","↓")&amp;ABS(ROUND(S20,2))&amp;"万吨）。"</f>
        <v>全线库存71.96万吨（其中碳钢31.32万吨，不锈钢40.65万吨），比年初↑7.22万吨（其中碳钢↑11.08万吨，不锈钢↓3.85万吨）；比上月↑0.68万吨（其中碳钢↑4.21万吨，不锈钢↓3.53万吨）。</v>
      </c>
      <c r="R31" s="2668"/>
      <c r="S31" s="2668"/>
      <c r="T31" s="2668" t="str">
        <f>"全线库存"&amp;ROUND(T19,2)&amp;"万吨（其中碳钢"&amp;ROUND(T21,2)&amp;"万吨，不锈钢"&amp;ROUND(T20,2)&amp;"万吨），比年初"&amp;IF(U19&gt;=0,"↑","↓")&amp;ABS(ROUND(U19,2))&amp;"万吨（其中碳钢"&amp;IF(U21&gt;=0,"↑","↓")&amp;ABS(ROUND(U21,2))&amp;"万吨，不锈钢"&amp;IF(U20&gt;=0,"↑","↓")&amp;ABS(ROUND(U20,2))&amp;"万吨）；比上月"&amp;IF(V19&gt;=0,"↑","↓")&amp;ABS(ROUND(V19,2))&amp;"万吨（其中碳钢"&amp;IF(V21&gt;=0,"↑","↓")&amp;ABS(ROUND(V21,2))&amp;"万吨，不锈钢"&amp;IF(V20&gt;=0,"↑","↓")&amp;ABS(ROUND(V20,2))&amp;"万吨）。"</f>
        <v>全线库存71.16万吨（其中碳钢30.33万吨，不锈钢40.83万吨），比年初↑6.42万吨（其中碳钢↑10.09万吨，不锈钢↓3.67万吨）；比上月↓0.81万吨（其中碳钢↓0.99万吨，不锈钢↑0.18万吨）。</v>
      </c>
      <c r="U31" s="2668"/>
      <c r="V31" s="2668"/>
      <c r="W31" s="2668" t="str">
        <f>"全线库存"&amp;ROUND(W19,2)&amp;"万吨（其中碳钢"&amp;ROUND(W21,2)&amp;"万吨，不锈钢"&amp;ROUND(W20,2)&amp;"万吨），比年初"&amp;IF(X19&gt;=0,"↑","↓")&amp;ABS(ROUND(X19,2))&amp;"万吨（其中碳钢"&amp;IF(X21&gt;=0,"↑","↓")&amp;ABS(ROUND(X21,2))&amp;"万吨，不锈钢"&amp;IF(X20&gt;=0,"↑","↓")&amp;ABS(ROUND(X20,2))&amp;"万吨）；比上月"&amp;IF(Y19&gt;=0,"↑","↓")&amp;ABS(ROUND(Y19,2))&amp;"万吨（其中碳钢"&amp;IF(Y21&gt;=0,"↑","↓")&amp;ABS(ROUND(Y21,2))&amp;"万吨，不锈钢"&amp;IF(Y20&gt;=0,"↑","↓")&amp;ABS(ROUND(Y20,2))&amp;"万吨）。"</f>
        <v>全线库存77.58万吨（其中碳钢32.76万吨，不锈钢44.82万吨），比年初↑12.84万吨（其中碳钢↑12.52万吨，不锈钢↑0.32万吨）；比上月↑6.43万吨（其中碳钢↑2.43万吨，不锈钢↑3.99万吨）。</v>
      </c>
      <c r="X31" s="2668"/>
      <c r="Y31" s="2668"/>
      <c r="Z31" s="2668" t="str">
        <f>"全线库存"&amp;ROUND(Z19,2)&amp;"万吨（其中碳钢"&amp;ROUND(Z21,2)&amp;"万吨，不锈钢"&amp;ROUND(Z20,2)&amp;"万吨），比年初"&amp;IF(AA19&gt;=0,"↑","↓")&amp;ABS(ROUND(AA19,2))&amp;"万吨（其中碳钢"&amp;IF(AA21&gt;=0,"↑","↓")&amp;ABS(ROUND(AA21,2))&amp;"万吨，不锈钢"&amp;IF(AA20&gt;=0,"↑","↓")&amp;ABS(ROUND(AA20,2))&amp;"万吨）；比上月"&amp;IF(AB19&gt;=0,"↑","↓")&amp;ABS(ROUND(AB19,2))&amp;"万吨（其中碳钢"&amp;IF(AB21&gt;=0,"↑","↓")&amp;ABS(ROUND(AB21,2))&amp;"万吨，不锈钢"&amp;IF(AB20&gt;=0,"↑","↓")&amp;ABS(ROUND(AB20,2))&amp;"万吨）。"</f>
        <v>全线库存76.37万吨（其中碳钢27.25万吨，不锈钢49.12万吨），比年初↑11.63万吨（其中碳钢↑7.01万吨，不锈钢↑4.62万吨）；比上月↓1.21万吨（其中碳钢↓5.51万吨，不锈钢↑4.3万吨）。</v>
      </c>
      <c r="AA31" s="2668"/>
      <c r="AB31" s="2668"/>
      <c r="AC31" s="2668" t="str">
        <f>"全线库存"&amp;ROUND(AC19,2)&amp;"万吨（其中碳钢"&amp;ROUND(AC21,2)&amp;"万吨，不锈钢"&amp;ROUND(AC20,2)&amp;"万吨），比年初"&amp;IF(AD19&gt;=0,"↑","↓")&amp;ABS(ROUND(AD19,2))&amp;"万吨（其中碳钢"&amp;IF(AD21&gt;=0,"↑","↓")&amp;ABS(ROUND(AD21,2))&amp;"万吨，不锈钢"&amp;IF(AD20&gt;=0,"↑","↓")&amp;ABS(ROUND(AD20,2))&amp;"万吨）；比上月"&amp;IF(AE19&gt;=0,"↑","↓")&amp;ABS(ROUND(AE19,2))&amp;"万吨（其中碳钢"&amp;IF(AE21&gt;=0,"↑","↓")&amp;ABS(ROUND(AE21,2))&amp;"万吨，不锈钢"&amp;IF(AE20&gt;=0,"↑","↓")&amp;ABS(ROUND(AE20,2))&amp;"万吨）。"</f>
        <v>全线库存78.93万吨（其中碳钢26.12万吨，不锈钢52.82万吨），比年初↑14.19万吨（其中碳钢↑5.88万吨，不锈钢↑8.32万吨）；比上月↑2.56万吨（其中碳钢↓1.13万吨，不锈钢↑3.69万吨）。</v>
      </c>
      <c r="AD31" s="2668"/>
      <c r="AE31" s="2668"/>
      <c r="AF31" s="2668" t="str">
        <f>"全线库存"&amp;ROUND(AF19,2)&amp;"万吨（其中碳钢"&amp;ROUND(AF21,2)&amp;"万吨，不锈钢"&amp;ROUND(AF20,2)&amp;"万吨），比年初"&amp;IF(AG19&gt;=0,"↑","↓")&amp;ABS(ROUND(AG19,2))&amp;"万吨（其中碳钢"&amp;IF(AG21&gt;=0,"↑","↓")&amp;ABS(ROUND(AG21,2))&amp;"万吨，不锈钢"&amp;IF(AG20&gt;=0,"↑","↓")&amp;ABS(ROUND(AG20,2))&amp;"万吨）；比上月"&amp;IF(AH19&gt;=0,"↑","↓")&amp;ABS(ROUND(AH19,2))&amp;"万吨（其中碳钢"&amp;IF(AH21&gt;=0,"↑","↓")&amp;ABS(ROUND(AH21,2))&amp;"万吨，不锈钢"&amp;IF(AH20&gt;=0,"↑","↓")&amp;ABS(ROUND(AH20,2))&amp;"万吨）。"</f>
        <v>全线库存82.61万吨（其中碳钢29万吨，不锈钢53.62万吨），比年初↑17.87万吨（其中碳钢↑8.76万吨，不锈钢↑9.12万吨）；比上月↑3.68万吨（其中碳钢↑2.88万吨，不锈钢↑0.8万吨）。</v>
      </c>
      <c r="AG31" s="2668"/>
      <c r="AH31" s="2668"/>
      <c r="AI31" s="2668" t="str">
        <f>"全线库存"&amp;ROUND(AI19,2)&amp;"万吨（其中碳钢"&amp;ROUND(AI21,2)&amp;"万吨，不锈钢"&amp;ROUND(AI20,2)&amp;"万吨），比年初"&amp;IF(AJ19&gt;=0,"↑","↓")&amp;ABS(ROUND(AJ19,2))&amp;"万吨（其中碳钢"&amp;IF(AJ21&gt;=0,"↑","↓")&amp;ABS(ROUND(AJ21,2))&amp;"万吨，不锈钢"&amp;IF(AJ20&gt;=0,"↑","↓")&amp;ABS(ROUND(AJ20,2))&amp;"万吨）；比上月"&amp;IF(AK19&gt;=0,"↑","↓")&amp;ABS(ROUND(AK19,2))&amp;"万吨（其中碳钢"&amp;IF(AK21&gt;=0,"↑","↓")&amp;ABS(ROUND(AK21,2))&amp;"万吨，不锈钢"&amp;IF(AK20&gt;=0,"↑","↓")&amp;ABS(ROUND(AK20,2))&amp;"万吨）。"</f>
        <v>全线库存77.67万吨（其中碳钢26.46万吨，不锈钢51.21万吨），比年初↑12.93万吨（其中碳钢↑6.22万吨，不锈钢↑6.71万吨）；比上月↓4.95万吨（其中碳钢↓2.54万吨，不锈钢↓2.41万吨）。</v>
      </c>
      <c r="AJ31" s="2668"/>
      <c r="AK31" s="2668"/>
      <c r="AL31" s="2668" t="str">
        <f>"全线库存"&amp;ROUND(AL19,2)&amp;"万吨（其中碳钢"&amp;ROUND(AL21,2)&amp;"万吨，不锈钢"&amp;ROUND(AL20,2)&amp;"万吨），比年初"&amp;IF(AM19&gt;=0,"↑","↓")&amp;ABS(ROUND(AM19,2))&amp;"万吨（其中碳钢"&amp;IF(AM21&gt;=0,"↑","↓")&amp;ABS(ROUND(AM21,2))&amp;"万吨，不锈钢"&amp;IF(AM20&gt;=0,"↑","↓")&amp;ABS(ROUND(AM20,2))&amp;"万吨）；比上月"&amp;IF(AN19&gt;=0,"↑","↓")&amp;ABS(ROUND(AN19,2))&amp;"万吨（其中碳钢"&amp;IF(AN21&gt;=0,"↑","↓")&amp;ABS(ROUND(AN21,2))&amp;"万吨，不锈钢"&amp;IF(AN20&gt;=0,"↑","↓")&amp;ABS(ROUND(AN20,2))&amp;"万吨）。"</f>
        <v>全线库存73.33万吨（其中碳钢24.64万吨，不锈钢48.68万吨），比年初↑8.59万吨（其中碳钢↑4.4万吨，不锈钢↑4.18万吨）；比上月↓4.34万吨（其中碳钢↓1.81万吨，不锈钢↓2.53万吨）。</v>
      </c>
      <c r="AM31" s="2668"/>
      <c r="AN31" s="2668"/>
      <c r="AO31" s="1987" t="str">
        <f t="shared" ref="AO31" si="78">"全线库存"&amp;ROUND(AO19,2)&amp;"万吨（其中碳钢"&amp;ROUND(AO21,2)&amp;"万吨，不锈钢"&amp;ROUND(AO20,2)&amp;"万吨），比年初"&amp;IF(AP19&gt;=0,"↑","↓")&amp;ABS(ROUND(AP19,2))&amp;"万吨（其中碳钢"&amp;IF(AP21&gt;=0,"↑","↓")&amp;ABS(ROUND(AP21,2))&amp;"万吨，不锈钢"&amp;IF(AP20&gt;=0,"↑","↓")&amp;ABS(ROUND(AP20,2))&amp;"万吨）；比上月"&amp;IF(AQ19&gt;=0,"↑","↓")&amp;ABS(ROUND(AQ19,2))&amp;"万吨（其中碳钢"&amp;IF(AQ21&gt;=0,"↑","↓")&amp;ABS(ROUND(AQ21,2))&amp;"万吨，不锈钢"&amp;IF(AQ20&gt;=0,"↑","↓")&amp;ABS(ROUND(AQ20,2))&amp;"万吨）。"</f>
        <v>全线库存73.8万吨（其中碳钢27.31万吨，不锈钢46.49万吨），比年初↑0.48万吨（其中碳钢↑2.67万吨，不锈钢↓2.19万吨）；比上月↑0.48万吨（其中碳钢↑2.67万吨，不锈钢↓2.19万吨）。</v>
      </c>
      <c r="AP31" s="1987"/>
      <c r="AQ31" s="1987"/>
      <c r="AR31" s="1987" t="str">
        <f t="shared" ref="AR31" si="79">"全线库存"&amp;ROUND(AR19,2)&amp;"万吨（其中碳钢"&amp;ROUND(AR21,2)&amp;"万吨，不锈钢"&amp;ROUND(AR20,2)&amp;"万吨），比年初"&amp;IF(AS19&gt;=0,"↑","↓")&amp;ABS(ROUND(AS19,2))&amp;"万吨（其中碳钢"&amp;IF(AS21&gt;=0,"↑","↓")&amp;ABS(ROUND(AS21,2))&amp;"万吨，不锈钢"&amp;IF(AS20&gt;=0,"↑","↓")&amp;ABS(ROUND(AS20,2))&amp;"万吨）；比上月"&amp;IF(AT19&gt;=0,"↑","↓")&amp;ABS(ROUND(AT19,2))&amp;"万吨（其中碳钢"&amp;IF(AT21&gt;=0,"↑","↓")&amp;ABS(ROUND(AT21,2))&amp;"万吨，不锈钢"&amp;IF(AT20&gt;=0,"↑","↓")&amp;ABS(ROUND(AT20,2))&amp;"万吨）。"</f>
        <v>全线库存77.49万吨（其中碳钢30.67万吨，不锈钢46.82万吨），比年初↑4.16万吨（其中碳钢↑6.03万吨，不锈钢↓1.86万吨）；比上月↑3.69万吨（其中碳钢↑3.36万吨，不锈钢↑0.33万吨）。</v>
      </c>
      <c r="AS31" s="1987"/>
      <c r="AT31" s="1987"/>
      <c r="AU31" s="1987" t="str">
        <f t="shared" ref="AU31" si="80">"全线库存"&amp;ROUND(AU19,2)&amp;"万吨（其中碳钢"&amp;ROUND(AU21,2)&amp;"万吨，不锈钢"&amp;ROUND(AU20,2)&amp;"万吨），比年初"&amp;IF(AV19&gt;=0,"↑","↓")&amp;ABS(ROUND(AV19,2))&amp;"万吨（其中碳钢"&amp;IF(AV21&gt;=0,"↑","↓")&amp;ABS(ROUND(AV21,2))&amp;"万吨，不锈钢"&amp;IF(AV20&gt;=0,"↑","↓")&amp;ABS(ROUND(AV20,2))&amp;"万吨）；比上月"&amp;IF(AW19&gt;=0,"↑","↓")&amp;ABS(ROUND(AW19,2))&amp;"万吨（其中碳钢"&amp;IF(AW21&gt;=0,"↑","↓")&amp;ABS(ROUND(AW21,2))&amp;"万吨，不锈钢"&amp;IF(AW20&gt;=0,"↑","↓")&amp;ABS(ROUND(AW20,2))&amp;"万吨）。"</f>
        <v>全线库存78.06万吨（其中碳钢30.56万吨，不锈钢47.5万吨），比年初↑4.73万吨（其中碳钢↑5.92万吨，不锈钢↓1.18万吨）；比上月↑0.57万吨（其中碳钢↓0.11万吨，不锈钢↑0.68万吨）。</v>
      </c>
      <c r="AV31" s="1987"/>
      <c r="AW31" s="1987"/>
      <c r="AX31" s="1987" t="str">
        <f t="shared" ref="AX31" si="81">"全线库存"&amp;ROUND(AX19,2)&amp;"万吨（其中碳钢"&amp;ROUND(AX21,2)&amp;"万吨，不锈钢"&amp;ROUND(AX20,2)&amp;"万吨），比年初"&amp;IF(AY19&gt;=0,"↑","↓")&amp;ABS(ROUND(AY19,2))&amp;"万吨（其中碳钢"&amp;IF(AY21&gt;=0,"↑","↓")&amp;ABS(ROUND(AY21,2))&amp;"万吨，不锈钢"&amp;IF(AY20&gt;=0,"↑","↓")&amp;ABS(ROUND(AY20,2))&amp;"万吨）；比上月"&amp;IF(AZ19&gt;=0,"↑","↓")&amp;ABS(ROUND(AZ19,2))&amp;"万吨（其中碳钢"&amp;IF(AZ21&gt;=0,"↑","↓")&amp;ABS(ROUND(AZ21,2))&amp;"万吨，不锈钢"&amp;IF(AZ20&gt;=0,"↑","↓")&amp;ABS(ROUND(AZ20,2))&amp;"万吨）。"</f>
        <v>全线库存72.63万吨（其中碳钢25.5万吨，不锈钢47.13万吨），比年初↓0.7万吨（其中碳钢↑0.85万吨，不锈钢↓1.55万吨）；比上月↓5.43万吨（其中碳钢↓5.06万吨，不锈钢↓0.37万吨）。</v>
      </c>
      <c r="AY31" s="1987"/>
      <c r="AZ31" s="1987"/>
      <c r="BA31" s="1987" t="str">
        <f t="shared" ref="BA31" si="82">"全线库存"&amp;ROUND(BA19,2)&amp;"万吨（其中碳钢"&amp;ROUND(BA21,2)&amp;"万吨，不锈钢"&amp;ROUND(BA20,2)&amp;"万吨），比年初"&amp;IF(BB19&gt;=0,"↑","↓")&amp;ABS(ROUND(BB19,2))&amp;"万吨（其中碳钢"&amp;IF(BB21&gt;=0,"↑","↓")&amp;ABS(ROUND(BB21,2))&amp;"万吨，不锈钢"&amp;IF(BB20&gt;=0,"↑","↓")&amp;ABS(ROUND(BB20,2))&amp;"万吨）；比上月"&amp;IF(BC19&gt;=0,"↑","↓")&amp;ABS(ROUND(BC19,2))&amp;"万吨（其中碳钢"&amp;IF(BC21&gt;=0,"↑","↓")&amp;ABS(ROUND(BC21,2))&amp;"万吨，不锈钢"&amp;IF(BC20&gt;=0,"↑","↓")&amp;ABS(ROUND(BC20,2))&amp;"万吨）。"</f>
        <v>全线库存66.84万吨（其中碳钢22.24万吨，不锈钢44.6万吨），比年初↓6.49万吨（其中碳钢↓2.4万吨，不锈钢↓4.08万吨）；比上月↓5.79万吨（其中碳钢↓3.26万吨，不锈钢↓2.53万吨）。</v>
      </c>
      <c r="BB31" s="1987"/>
      <c r="BC31" s="1987"/>
      <c r="BD31" s="1987" t="str">
        <f t="shared" ref="BD31" si="83">"全线库存"&amp;ROUND(BD19,2)&amp;"万吨（其中碳钢"&amp;ROUND(BD21,2)&amp;"万吨，不锈钢"&amp;ROUND(BD20,2)&amp;"万吨），比年初"&amp;IF(BE19&gt;=0,"↑","↓")&amp;ABS(ROUND(BE19,2))&amp;"万吨（其中碳钢"&amp;IF(BE21&gt;=0,"↑","↓")&amp;ABS(ROUND(BE21,2))&amp;"万吨，不锈钢"&amp;IF(BE20&gt;=0,"↑","↓")&amp;ABS(ROUND(BE20,2))&amp;"万吨）；比上月"&amp;IF(BF19&gt;=0,"↑","↓")&amp;ABS(ROUND(BF19,2))&amp;"万吨（其中碳钢"&amp;IF(BF21&gt;=0,"↑","↓")&amp;ABS(ROUND(BF21,2))&amp;"万吨，不锈钢"&amp;IF(BF20&gt;=0,"↑","↓")&amp;ABS(ROUND(BF20,2))&amp;"万吨）。"</f>
        <v>全线库存65.67万吨（其中碳钢20.85万吨，不锈钢44.83万吨），比年初↓7.65万吨（其中碳钢↓3.79万吨，不锈钢↓3.86万吨）；比上月↓1.17万吨（其中碳钢↓1.39万吨，不锈钢↑0.23万吨）。</v>
      </c>
      <c r="BE31" s="1987"/>
      <c r="BF31" s="1987"/>
      <c r="BG31" s="1987" t="str">
        <f t="shared" ref="BG31" si="84">"全线库存"&amp;ROUND(BG19,2)&amp;"万吨（其中碳钢"&amp;ROUND(BG21,2)&amp;"万吨，不锈钢"&amp;ROUND(BG20,2)&amp;"万吨），比年初"&amp;IF(BH19&gt;=0,"↑","↓")&amp;ABS(ROUND(BH19,2))&amp;"万吨（其中碳钢"&amp;IF(BH21&gt;=0,"↑","↓")&amp;ABS(ROUND(BH21,2))&amp;"万吨，不锈钢"&amp;IF(BH20&gt;=0,"↑","↓")&amp;ABS(ROUND(BH20,2))&amp;"万吨）；比上月"&amp;IF(BI19&gt;=0,"↑","↓")&amp;ABS(ROUND(BI19,2))&amp;"万吨（其中碳钢"&amp;IF(BI21&gt;=0,"↑","↓")&amp;ABS(ROUND(BI21,2))&amp;"万吨，不锈钢"&amp;IF(BI20&gt;=0,"↑","↓")&amp;ABS(ROUND(BI20,2))&amp;"万吨）。"</f>
        <v>全线库存64.58万吨（其中碳钢22.48万吨，不锈钢42.1万吨），比年初↓8.75万吨（其中碳钢↓2.16万吨，不锈钢↓6.59万吨）；比上月↓1.1万吨（其中碳钢↑1.63万吨，不锈钢↓2.73万吨）。</v>
      </c>
      <c r="BH31" s="1987"/>
      <c r="BI31" s="1987"/>
      <c r="BJ31" s="1987" t="str">
        <f t="shared" ref="BJ31" si="85">"全线库存"&amp;ROUND(BJ19,2)&amp;"万吨（其中碳钢"&amp;ROUND(BJ21,2)&amp;"万吨，不锈钢"&amp;ROUND(BJ20,2)&amp;"万吨），比年初"&amp;IF(BK19&gt;=0,"↑","↓")&amp;ABS(ROUND(BK19,2))&amp;"万吨（其中碳钢"&amp;IF(BK21&gt;=0,"↑","↓")&amp;ABS(ROUND(BK21,2))&amp;"万吨，不锈钢"&amp;IF(BK20&gt;=0,"↑","↓")&amp;ABS(ROUND(BK20,2))&amp;"万吨）；比上月"&amp;IF(BL19&gt;=0,"↑","↓")&amp;ABS(ROUND(BL19,2))&amp;"万吨（其中碳钢"&amp;IF(BL21&gt;=0,"↑","↓")&amp;ABS(ROUND(BL21,2))&amp;"万吨，不锈钢"&amp;IF(BL20&gt;=0,"↑","↓")&amp;ABS(ROUND(BL20,2))&amp;"万吨）。"</f>
        <v>全线库存0万吨（其中碳钢0万吨，不锈钢0万吨），比年初↓73.33万吨（其中碳钢↓24.64万吨，不锈钢↓48.68万吨）；比上月↓64.58万吨（其中碳钢↓22.48万吨，不锈钢↓42.1万吨）。</v>
      </c>
      <c r="BK31" s="1987"/>
      <c r="BL31" s="1987"/>
      <c r="BM31" s="1987" t="str">
        <f t="shared" ref="BM31" si="86">"全线库存"&amp;ROUND(BM19,2)&amp;"万吨（其中碳钢"&amp;ROUND(BM21,2)&amp;"万吨，不锈钢"&amp;ROUND(BM20,2)&amp;"万吨），比年初"&amp;IF(BN19&gt;=0,"↑","↓")&amp;ABS(ROUND(BN19,2))&amp;"万吨（其中碳钢"&amp;IF(BN21&gt;=0,"↑","↓")&amp;ABS(ROUND(BN21,2))&amp;"万吨，不锈钢"&amp;IF(BN20&gt;=0,"↑","↓")&amp;ABS(ROUND(BN20,2))&amp;"万吨）；比上月"&amp;IF(BO19&gt;=0,"↑","↓")&amp;ABS(ROUND(BO19,2))&amp;"万吨（其中碳钢"&amp;IF(BO21&gt;=0,"↑","↓")&amp;ABS(ROUND(BO21,2))&amp;"万吨，不锈钢"&amp;IF(BO20&gt;=0,"↑","↓")&amp;ABS(ROUND(BO20,2))&amp;"万吨）。"</f>
        <v>全线库存0万吨（其中碳钢0万吨，不锈钢0万吨），比年初↓73.33万吨（其中碳钢↓24.64万吨，不锈钢↓48.68万吨）；比上月↑0万吨（其中碳钢↑0万吨，不锈钢↑0万吨）。</v>
      </c>
      <c r="BN31" s="1987"/>
      <c r="BO31" s="1987"/>
      <c r="BP31" s="1987" t="str">
        <f t="shared" ref="BP31" si="87">"全线库存"&amp;ROUND(BP19,2)&amp;"万吨（其中碳钢"&amp;ROUND(BP21,2)&amp;"万吨，不锈钢"&amp;ROUND(BP20,2)&amp;"万吨），比年初"&amp;IF(BQ19&gt;=0,"↑","↓")&amp;ABS(ROUND(BQ19,2))&amp;"万吨（其中碳钢"&amp;IF(BQ21&gt;=0,"↑","↓")&amp;ABS(ROUND(BQ21,2))&amp;"万吨，不锈钢"&amp;IF(BQ20&gt;=0,"↑","↓")&amp;ABS(ROUND(BQ20,2))&amp;"万吨）；比上月"&amp;IF(BR19&gt;=0,"↑","↓")&amp;ABS(ROUND(BR19,2))&amp;"万吨（其中碳钢"&amp;IF(BR21&gt;=0,"↑","↓")&amp;ABS(ROUND(BR21,2))&amp;"万吨，不锈钢"&amp;IF(BR20&gt;=0,"↑","↓")&amp;ABS(ROUND(BR20,2))&amp;"万吨）。"</f>
        <v>全线库存0万吨（其中碳钢0万吨，不锈钢0万吨），比年初↓73.33万吨（其中碳钢↓24.64万吨，不锈钢↓48.68万吨）；比上月↑0万吨（其中碳钢↑0万吨，不锈钢↑0万吨）。</v>
      </c>
      <c r="BQ31" s="1987"/>
      <c r="BR31" s="1987"/>
      <c r="BS31" s="1987" t="str">
        <f t="shared" ref="BS31" si="88">"全线库存"&amp;ROUND(BS19,2)&amp;"万吨（其中碳钢"&amp;ROUND(BS21,2)&amp;"万吨，不锈钢"&amp;ROUND(BS20,2)&amp;"万吨），比年初"&amp;IF(BT19&gt;=0,"↑","↓")&amp;ABS(ROUND(BT19,2))&amp;"万吨（其中碳钢"&amp;IF(BT21&gt;=0,"↑","↓")&amp;ABS(ROUND(BT21,2))&amp;"万吨，不锈钢"&amp;IF(BT20&gt;=0,"↑","↓")&amp;ABS(ROUND(BT20,2))&amp;"万吨）；比上月"&amp;IF(BU19&gt;=0,"↑","↓")&amp;ABS(ROUND(BU19,2))&amp;"万吨（其中碳钢"&amp;IF(BU21&gt;=0,"↑","↓")&amp;ABS(ROUND(BU21,2))&amp;"万吨，不锈钢"&amp;IF(BU20&gt;=0,"↑","↓")&amp;ABS(ROUND(BU20,2))&amp;"万吨）。"</f>
        <v>全线库存0万吨（其中碳钢0万吨，不锈钢0万吨），比年初↓73.33万吨（其中碳钢↓24.64万吨，不锈钢↓48.68万吨）；比上月↑0万吨（其中碳钢↑0万吨，不锈钢↑0万吨）。</v>
      </c>
      <c r="BT31" s="1987"/>
      <c r="BU31" s="1987"/>
    </row>
    <row r="32" spans="1:76" ht="59.25" customHeight="1">
      <c r="E32" s="1200" t="str">
        <f>"产成品库存"&amp;ROUND(E16,2)&amp;"万吨（其中碳钢"&amp;ROUND(E18,2)&amp;"万吨，不锈钢"&amp;ROUND(E17,2)&amp;"万吨），比年初"&amp;IF(F16&gt;=0,"↑","↓")&amp;ABS(ROUND(F16,2))&amp;"万吨（其中碳钢"&amp;IF(F18&gt;=0,"↑","↓")&amp;ABS(ROUND(F18,2))&amp;"万吨，不锈钢"&amp;IF(F17&gt;=0,"↑","↓")&amp;ABS(ROUND(F17,2))&amp;"万吨）。"</f>
        <v>产成品库存38.63万吨（其中碳钢12.02万吨，不锈钢26.6万吨），比年初↑12.17万吨（其中碳钢↑4.07万吨，不锈钢↑8.1万吨）。</v>
      </c>
      <c r="F32" s="1200"/>
      <c r="G32" s="1200"/>
      <c r="H32" s="2669" t="str">
        <f>"产成品库存"&amp;ROUND(H16,2)&amp;"万吨（其中碳钢"&amp;ROUND(H18,2)&amp;"万吨，不锈钢"&amp;ROUND(H17,2)&amp;"万吨），比年初"&amp;IF(I16&gt;=0,"↑","↓")&amp;ABS(ROUND(I16,2))&amp;"万吨（其中碳钢"&amp;IF(I18&gt;=0,"↑","↓")&amp;ABS(ROUND(I18,2))&amp;"万吨，不锈钢"&amp;IF(I17&gt;=0,"↑","↓")&amp;ABS(ROUND(I17,2))&amp;"万吨）；比上月"&amp;IF(J16&gt;=0,"↑","↓")&amp;ABS(ROUND(J16,2))&amp;"万吨（其中碳钢"&amp;IF(J18&gt;=0,"↑","↓")&amp;ABS(ROUND(J18,2))&amp;"万吨，不锈钢"&amp;IF(J17&gt;=0,"↑","↓")&amp;ABS(ROUND(J17,2))&amp;"万吨）。"</f>
        <v>产成品库存43.56万吨（其中碳钢14.65万吨，不锈钢28.91万吨），比年初↑17.11万吨（其中碳钢↑6.7万吨，不锈钢↑10.41万吨）；比上月↑4.93万吨（其中碳钢↑2.63万吨，不锈钢↑2.31万吨）。</v>
      </c>
      <c r="I32" s="2669"/>
      <c r="J32" s="2669"/>
      <c r="K32" s="2669" t="str">
        <f>"产成品库存"&amp;ROUND(K16,2)&amp;"万吨（其中碳钢"&amp;ROUND(K18,2)&amp;"万吨，不锈钢"&amp;ROUND(K17,2)&amp;"万吨），比年初"&amp;IF(L16&gt;=0,"↑","↓")&amp;ABS(ROUND(L16,2))&amp;"万吨（其中碳钢"&amp;IF(L18&gt;=0,"↑","↓")&amp;ABS(ROUND(L18,2))&amp;"万吨，不锈钢"&amp;IF(L17&gt;=0,"↑","↓")&amp;ABS(ROUND(L17,2))&amp;"万吨）；比上月"&amp;IF(M16&gt;=0,"↑","↓")&amp;ABS(ROUND(M16,2))&amp;"万吨（其中碳钢"&amp;IF(M18&gt;=0,"↑","↓")&amp;ABS(ROUND(M18,2))&amp;"万吨，不锈钢"&amp;IF(M17&gt;=0,"↑","↓")&amp;ABS(ROUND(M17,2))&amp;"万吨）。"</f>
        <v>产成品库存40.87万吨（其中碳钢12.95万吨，不锈钢27.92万吨），比年初↑14.41万吨（其中碳钢↑4.99万吨，不锈钢↑9.42万吨）；比上月↓2.69万吨（其中碳钢↓1.71万吨，不锈钢↓0.99万吨）。</v>
      </c>
      <c r="L32" s="2669"/>
      <c r="M32" s="2669"/>
      <c r="N32" s="2669" t="str">
        <f>"产成品库存"&amp;ROUND(N16,2)&amp;"万吨（其中碳钢"&amp;ROUND(N18,2)&amp;"万吨，不锈钢"&amp;ROUND(N17,2)&amp;"万吨），比年初"&amp;IF(O16&gt;=0,"↑","↓")&amp;ABS(ROUND(O16,2))&amp;"万吨（其中碳钢"&amp;IF(O18&gt;=0,"↑","↓")&amp;ABS(ROUND(O18,2))&amp;"万吨，不锈钢"&amp;IF(O17&gt;=0,"↑","↓")&amp;ABS(ROUND(O17,2))&amp;"万吨）；比上月"&amp;IF(P16&gt;=0,"↑","↓")&amp;ABS(ROUND(P16,2))&amp;"万吨（其中碳钢"&amp;IF(P18&gt;=0,"↑","↓")&amp;ABS(ROUND(P18,2))&amp;"万吨，不锈钢"&amp;IF(P17&gt;=0,"↑","↓")&amp;ABS(ROUND(P17,2))&amp;"万吨）。"</f>
        <v>产成品库存36.45万吨（其中碳钢12.42万吨，不锈钢24.03万吨），比年初↑10万吨（其中碳钢↑4.47万吨，不锈钢↑5.53万吨）；比上月↓4.42万吨（其中碳钢↓0.53万吨，不锈钢↓3.89万吨）。</v>
      </c>
      <c r="O32" s="2669"/>
      <c r="P32" s="2669"/>
      <c r="Q32" s="2669" t="str">
        <f>"产成品库存"&amp;ROUND(Q16,2)&amp;"万吨（其中碳钢"&amp;ROUND(Q18,2)&amp;"万吨，不锈钢"&amp;ROUND(Q17,2)&amp;"万吨），比年初"&amp;IF(R16&gt;=0,"↑","↓")&amp;ABS(ROUND(R16,2))&amp;"万吨（其中碳钢"&amp;IF(R18&gt;=0,"↑","↓")&amp;ABS(ROUND(R18,2))&amp;"万吨，不锈钢"&amp;IF(R17&gt;=0,"↑","↓")&amp;ABS(ROUND(R17,2))&amp;"万吨）；比上月"&amp;IF(S16&gt;=0,"↑","↓")&amp;ABS(ROUND(S16,2))&amp;"万吨（其中碳钢"&amp;IF(S18&gt;=0,"↑","↓")&amp;ABS(ROUND(S18,2))&amp;"万吨，不锈钢"&amp;IF(S17&gt;=0,"↑","↓")&amp;ABS(ROUND(S17,2))&amp;"万吨）。"</f>
        <v>产成品库存35.34万吨（其中碳钢14.67万吨，不锈钢20.67万吨），比年初↑8.88万吨（其中碳钢↑6.71万吨，不锈钢↑2.17万吨）；比上月↓1.12万吨（其中碳钢↑2.25万吨，不锈钢↓3.36万吨）。</v>
      </c>
      <c r="R32" s="2669"/>
      <c r="S32" s="2669"/>
      <c r="T32" s="2669" t="str">
        <f>"产成品库存"&amp;ROUND(T16,2)&amp;"万吨（其中碳钢"&amp;ROUND(T18,2)&amp;"万吨，不锈钢"&amp;ROUND(T17,2)&amp;"万吨），比年初"&amp;IF(U16&gt;=0,"↑","↓")&amp;ABS(ROUND(U16,2))&amp;"万吨（其中碳钢"&amp;IF(U18&gt;=0,"↑","↓")&amp;ABS(ROUND(U18,2))&amp;"万吨，不锈钢"&amp;IF(U17&gt;=0,"↑","↓")&amp;ABS(ROUND(U17,2))&amp;"万吨）；比上月"&amp;IF(V16&gt;=0,"↑","↓")&amp;ABS(ROUND(V16,2))&amp;"万吨（其中碳钢"&amp;IF(V18&gt;=0,"↑","↓")&amp;ABS(ROUND(V18,2))&amp;"万吨，不锈钢"&amp;IF(V17&gt;=0,"↑","↓")&amp;ABS(ROUND(V17,2))&amp;"万吨）。"</f>
        <v>产成品库存33.18万吨（其中碳钢15.03万吨，不锈钢18.15万吨），比年初↑6.73万吨（其中碳钢↑7.08万吨，不锈钢↓0.35万吨）；比上月↓2.15万吨（其中碳钢↑0.36万吨，不锈钢↓2.52万吨）。</v>
      </c>
      <c r="U32" s="2669"/>
      <c r="V32" s="2669"/>
      <c r="W32" s="2669" t="str">
        <f>"产成品库存"&amp;ROUND(W16,2)&amp;"万吨（其中碳钢"&amp;ROUND(W18,2)&amp;"万吨，不锈钢"&amp;ROUND(W17,2)&amp;"万吨），比年初"&amp;IF(X16&gt;=0,"↑","↓")&amp;ABS(ROUND(X16,2))&amp;"万吨（其中碳钢"&amp;IF(X18&gt;=0,"↑","↓")&amp;ABS(ROUND(X18,2))&amp;"万吨，不锈钢"&amp;IF(X17&gt;=0,"↑","↓")&amp;ABS(ROUND(X17,2))&amp;"万吨）；比上月"&amp;IF(Y16&gt;=0,"↑","↓")&amp;ABS(ROUND(Y16,2))&amp;"万吨（其中碳钢"&amp;IF(Y18&gt;=0,"↑","↓")&amp;ABS(ROUND(Y18,2))&amp;"万吨，不锈钢"&amp;IF(Y17&gt;=0,"↑","↓")&amp;ABS(ROUND(Y17,2))&amp;"万吨）。"</f>
        <v>产成品库存29.83万吨（其中碳钢13.22万吨，不锈钢16.61万吨），比年初↑3.38万吨（其中碳钢↑5.27万吨，不锈钢↓1.89万吨）；比上月↓3.35万吨（其中碳钢↓1.81万吨，不锈钢↓1.55万吨）。</v>
      </c>
      <c r="X32" s="2669"/>
      <c r="Y32" s="2669"/>
      <c r="Z32" s="2669" t="str">
        <f>"产成品库存"&amp;ROUND(Z16,2)&amp;"万吨（其中碳钢"&amp;ROUND(Z18,2)&amp;"万吨，不锈钢"&amp;ROUND(Z17,2)&amp;"万吨），比年初"&amp;IF(AA16&gt;=0,"↑","↓")&amp;ABS(ROUND(AA16,2))&amp;"万吨（其中碳钢"&amp;IF(AA18&gt;=0,"↑","↓")&amp;ABS(ROUND(AA18,2))&amp;"万吨，不锈钢"&amp;IF(AA17&gt;=0,"↑","↓")&amp;ABS(ROUND(AA17,2))&amp;"万吨）；比上月"&amp;IF(AB16&gt;=0,"↑","↓")&amp;ABS(ROUND(AB16,2))&amp;"万吨（其中碳钢"&amp;IF(AB18&gt;=0,"↑","↓")&amp;ABS(ROUND(AB18,2))&amp;"万吨，不锈钢"&amp;IF(AB17&gt;=0,"↑","↓")&amp;ABS(ROUND(AB17,2))&amp;"万吨）。"</f>
        <v>产成品库存27.82万吨（其中碳钢12.19万吨，不锈钢15.63万吨），比年初↑1.37万吨（其中碳钢↑4.23万吨，不锈钢↓2.87万吨）；比上月↓2.01万吨（其中碳钢↓1.04万吨，不锈钢↓0.97万吨）。</v>
      </c>
      <c r="AA32" s="2669"/>
      <c r="AB32" s="2669"/>
      <c r="AC32" s="2669" t="str">
        <f>"产成品库存"&amp;ROUND(AC16,2)&amp;"万吨（其中碳钢"&amp;ROUND(AC18,2)&amp;"万吨，不锈钢"&amp;ROUND(AC17,2)&amp;"万吨），比年初"&amp;IF(AD16&gt;=0,"↑","↓")&amp;ABS(ROUND(AD16,2))&amp;"万吨（其中碳钢"&amp;IF(AD18&gt;=0,"↑","↓")&amp;ABS(ROUND(AD18,2))&amp;"万吨，不锈钢"&amp;IF(AD17&gt;=0,"↑","↓")&amp;ABS(ROUND(AD17,2))&amp;"万吨）；比上月"&amp;IF(AE16&gt;=0,"↑","↓")&amp;ABS(ROUND(AE16,2))&amp;"万吨（其中碳钢"&amp;IF(AE18&gt;=0,"↑","↓")&amp;ABS(ROUND(AE18,2))&amp;"万吨，不锈钢"&amp;IF(AE17&gt;=0,"↑","↓")&amp;ABS(ROUND(AE17,2))&amp;"万吨）。"</f>
        <v>产成品库存28.9万吨（其中碳钢12.72万吨，不锈钢16.18万吨），比年初↑2.45万吨（其中碳钢↑4.76万吨，不锈钢↓2.32万吨）；比上月↑1.08万吨（其中碳钢↑0.53万吨，不锈钢↑0.55万吨）。</v>
      </c>
      <c r="AD32" s="2669"/>
      <c r="AE32" s="2669"/>
      <c r="AF32" s="2669" t="str">
        <f>"产成品库存"&amp;ROUND(AF16,2)&amp;"万吨（其中碳钢"&amp;ROUND(AF18,2)&amp;"万吨，不锈钢"&amp;ROUND(AF17,2)&amp;"万吨），比年初"&amp;IF(AG16&gt;=0,"↑","↓")&amp;ABS(ROUND(AG16,2))&amp;"万吨（其中碳钢"&amp;IF(AG18&gt;=0,"↑","↓")&amp;ABS(ROUND(AG18,2))&amp;"万吨，不锈钢"&amp;IF(AG17&gt;=0,"↑","↓")&amp;ABS(ROUND(AG17,2))&amp;"万吨）；比上月"&amp;IF(AH16&gt;=0,"↑","↓")&amp;ABS(ROUND(AH16,2))&amp;"万吨（其中碳钢"&amp;IF(AH18&gt;=0,"↑","↓")&amp;ABS(ROUND(AH18,2))&amp;"万吨，不锈钢"&amp;IF(AH17&gt;=0,"↑","↓")&amp;ABS(ROUND(AH17,2))&amp;"万吨）。"</f>
        <v>产成品库存34.35万吨（其中碳钢14.14万吨，不锈钢20.21万吨），比年初↑7.9万吨（其中碳钢↑6.19万吨，不锈钢↑1.71万吨）；比上月↑5.45万吨（其中碳钢↑1.42万吨，不锈钢↑4.03万吨）。</v>
      </c>
      <c r="AG32" s="2669"/>
      <c r="AH32" s="2669"/>
      <c r="AI32" s="2669" t="str">
        <f>"产成品库存"&amp;ROUND(AI16,2)&amp;"万吨（其中碳钢"&amp;ROUND(AI18,2)&amp;"万吨，不锈钢"&amp;ROUND(AI17,2)&amp;"万吨），比年初"&amp;IF(AJ16&gt;=0,"↑","↓")&amp;ABS(ROUND(AJ16,2))&amp;"万吨（其中碳钢"&amp;IF(AJ18&gt;=0,"↑","↓")&amp;ABS(ROUND(AJ18,2))&amp;"万吨，不锈钢"&amp;IF(AJ17&gt;=0,"↑","↓")&amp;ABS(ROUND(AJ17,2))&amp;"万吨）；比上月"&amp;IF(AK16&gt;=0,"↑","↓")&amp;ABS(ROUND(AK16,2))&amp;"万吨（其中碳钢"&amp;IF(AK18&gt;=0,"↑","↓")&amp;ABS(ROUND(AK18,2))&amp;"万吨，不锈钢"&amp;IF(AK17&gt;=0,"↑","↓")&amp;ABS(ROUND(AK17,2))&amp;"万吨）。"</f>
        <v>产成品库存30.45万吨（其中碳钢10.95万吨，不锈钢19.5万吨），比年初↑4万吨（其中碳钢↑3万吨，不锈钢↑1万吨）；比上月↓3.9万吨（其中碳钢↓3.19万吨，不锈钢↓0.71万吨）。</v>
      </c>
      <c r="AJ32" s="2669"/>
      <c r="AK32" s="2669"/>
      <c r="AL32" s="2669" t="str">
        <f>"产成品库存"&amp;ROUND(AL16,2)&amp;"万吨（其中碳钢"&amp;ROUND(AL18,2)&amp;"万吨，不锈钢"&amp;ROUND(AL17,2)&amp;"万吨），比年初"&amp;IF(AM16&gt;=0,"↑","↓")&amp;ABS(ROUND(AM16,2))&amp;"万吨（其中碳钢"&amp;IF(AM18&gt;=0,"↑","↓")&amp;ABS(ROUND(AM18,2))&amp;"万吨，不锈钢"&amp;IF(AM17&gt;=0,"↑","↓")&amp;ABS(ROUND(AM17,2))&amp;"万吨）；比上月"&amp;IF(AN16&gt;=0,"↑","↓")&amp;ABS(ROUND(AN16,2))&amp;"万吨（其中碳钢"&amp;IF(AN18&gt;=0,"↑","↓")&amp;ABS(ROUND(AN18,2))&amp;"万吨，不锈钢"&amp;IF(AN17&gt;=0,"↑","↓")&amp;ABS(ROUND(AN17,2))&amp;"万吨）。"</f>
        <v>产成品库存26.57万吨（其中碳钢8.68万吨，不锈钢17.89万吨），比年初↑0.11万吨（其中碳钢↑0.73万吨，不锈钢↓0.61万吨）；比上月↓3.88万吨（其中碳钢↓2.27万吨，不锈钢↓1.61万吨）。</v>
      </c>
      <c r="AM32" s="2669"/>
      <c r="AN32" s="2669"/>
      <c r="AO32" s="1988" t="str">
        <f t="shared" ref="AO32" si="89">"产成品库存"&amp;ROUND(AO16,2)&amp;"万吨（其中碳钢"&amp;ROUND(AO18,2)&amp;"万吨，不锈钢"&amp;ROUND(AO17,2)&amp;"万吨），比年初"&amp;IF(AP16&gt;=0,"↑","↓")&amp;ABS(ROUND(AP16,2))&amp;"万吨（其中碳钢"&amp;IF(AP18&gt;=0,"↑","↓")&amp;ABS(ROUND(AP18,2))&amp;"万吨，不锈钢"&amp;IF(AP17&gt;=0,"↑","↓")&amp;ABS(ROUND(AP17,2))&amp;"万吨）；比上月"&amp;IF(AQ16&gt;=0,"↑","↓")&amp;ABS(ROUND(AQ16,2))&amp;"万吨（其中碳钢"&amp;IF(AQ18&gt;=0,"↑","↓")&amp;ABS(ROUND(AQ18,2))&amp;"万吨，不锈钢"&amp;IF(AQ17&gt;=0,"↑","↓")&amp;ABS(ROUND(AQ17,2))&amp;"万吨）。"</f>
        <v>产成品库存31.14万吨（其中碳钢12.59万吨，不锈钢18.55万吨），比年初↑4.58万吨（其中碳钢↑3.91万吨，不锈钢↑0.67万吨）；比上月↑4.58万吨（其中碳钢↑3.91万吨，不锈钢↑0.67万吨）。</v>
      </c>
      <c r="AP32" s="1988"/>
      <c r="AQ32" s="1988"/>
      <c r="AR32" s="1988" t="str">
        <f t="shared" ref="AR32" si="90">"产成品库存"&amp;ROUND(AR16,2)&amp;"万吨（其中碳钢"&amp;ROUND(AR18,2)&amp;"万吨，不锈钢"&amp;ROUND(AR17,2)&amp;"万吨），比年初"&amp;IF(AS16&gt;=0,"↑","↓")&amp;ABS(ROUND(AS16,2))&amp;"万吨（其中碳钢"&amp;IF(AS18&gt;=0,"↑","↓")&amp;ABS(ROUND(AS18,2))&amp;"万吨，不锈钢"&amp;IF(AS17&gt;=0,"↑","↓")&amp;ABS(ROUND(AS17,2))&amp;"万吨）；比上月"&amp;IF(AT16&gt;=0,"↑","↓")&amp;ABS(ROUND(AT16,2))&amp;"万吨（其中碳钢"&amp;IF(AT18&gt;=0,"↑","↓")&amp;ABS(ROUND(AT18,2))&amp;"万吨，不锈钢"&amp;IF(AT17&gt;=0,"↑","↓")&amp;ABS(ROUND(AT17,2))&amp;"万吨）。"</f>
        <v>产成品库存34.16万吨（其中碳钢14.91万吨，不锈钢19.25万吨），比年初↑7.59万吨（其中碳钢↑6.23万吨，不锈钢↑1.37万吨）；比上月↑3.01万吨（其中碳钢↑2.31万吨，不锈钢↑0.7万吨）。</v>
      </c>
      <c r="AS32" s="1988"/>
      <c r="AT32" s="1988"/>
      <c r="AU32" s="1988" t="str">
        <f t="shared" ref="AU32" si="91">"产成品库存"&amp;ROUND(AU16,2)&amp;"万吨（其中碳钢"&amp;ROUND(AU18,2)&amp;"万吨，不锈钢"&amp;ROUND(AU17,2)&amp;"万吨），比年初"&amp;IF(AV16&gt;=0,"↑","↓")&amp;ABS(ROUND(AV16,2))&amp;"万吨（其中碳钢"&amp;IF(AV18&gt;=0,"↑","↓")&amp;ABS(ROUND(AV18,2))&amp;"万吨，不锈钢"&amp;IF(AV17&gt;=0,"↑","↓")&amp;ABS(ROUND(AV17,2))&amp;"万吨）；比上月"&amp;IF(AW16&gt;=0,"↑","↓")&amp;ABS(ROUND(AW16,2))&amp;"万吨（其中碳钢"&amp;IF(AW18&gt;=0,"↑","↓")&amp;ABS(ROUND(AW18,2))&amp;"万吨，不锈钢"&amp;IF(AW17&gt;=0,"↑","↓")&amp;ABS(ROUND(AW17,2))&amp;"万吨）。"</f>
        <v>产成品库存35.51万吨（其中碳钢15.5万吨，不锈钢20.01万吨），比年初↑8.94万吨（其中碳钢↑6.82万吨，不锈钢↑2.12万吨）；比上月↑1.35万吨（其中碳钢↑0.59万吨，不锈钢↑0.76万吨）。</v>
      </c>
      <c r="AV32" s="1988"/>
      <c r="AW32" s="1988"/>
      <c r="AX32" s="1988" t="str">
        <f t="shared" ref="AX32" si="92">"产成品库存"&amp;ROUND(AX16,2)&amp;"万吨（其中碳钢"&amp;ROUND(AX18,2)&amp;"万吨，不锈钢"&amp;ROUND(AX17,2)&amp;"万吨），比年初"&amp;IF(AY16&gt;=0,"↑","↓")&amp;ABS(ROUND(AY16,2))&amp;"万吨（其中碳钢"&amp;IF(AY18&gt;=0,"↑","↓")&amp;ABS(ROUND(AY18,2))&amp;"万吨，不锈钢"&amp;IF(AY17&gt;=0,"↑","↓")&amp;ABS(ROUND(AY17,2))&amp;"万吨）；比上月"&amp;IF(AZ16&gt;=0,"↑","↓")&amp;ABS(ROUND(AZ16,2))&amp;"万吨（其中碳钢"&amp;IF(AZ18&gt;=0,"↑","↓")&amp;ABS(ROUND(AZ18,2))&amp;"万吨，不锈钢"&amp;IF(AZ17&gt;=0,"↑","↓")&amp;ABS(ROUND(AZ17,2))&amp;"万吨）。"</f>
        <v>产成品库存32.79万吨（其中碳钢10.77万吨，不锈钢22.02万吨），比年初↑6.22万吨（其中碳钢↑2.1万吨，不锈钢↑4.13万吨）；比上月↓2.72万吨（其中碳钢↓4.73万吨，不锈钢↑2.01万吨）。</v>
      </c>
      <c r="AY32" s="1988"/>
      <c r="AZ32" s="1988"/>
      <c r="BA32" s="1988" t="str">
        <f t="shared" ref="BA32" si="93">"产成品库存"&amp;ROUND(BA16,2)&amp;"万吨（其中碳钢"&amp;ROUND(BA18,2)&amp;"万吨，不锈钢"&amp;ROUND(BA17,2)&amp;"万吨），比年初"&amp;IF(BB16&gt;=0,"↑","↓")&amp;ABS(ROUND(BB16,2))&amp;"万吨（其中碳钢"&amp;IF(BB18&gt;=0,"↑","↓")&amp;ABS(ROUND(BB18,2))&amp;"万吨，不锈钢"&amp;IF(BB17&gt;=0,"↑","↓")&amp;ABS(ROUND(BB17,2))&amp;"万吨）；比上月"&amp;IF(BC16&gt;=0,"↑","↓")&amp;ABS(ROUND(BC16,2))&amp;"万吨（其中碳钢"&amp;IF(BC18&gt;=0,"↑","↓")&amp;ABS(ROUND(BC18,2))&amp;"万吨，不锈钢"&amp;IF(BC17&gt;=0,"↑","↓")&amp;ABS(ROUND(BC17,2))&amp;"万吨）。"</f>
        <v>产成品库存26.55万吨（其中碳钢7.13万吨，不锈钢19.42万吨），比年初↓0.02万吨（其中碳钢↓1.55万吨，不锈钢↑1.53万吨）；比上月↓6.24万吨（其中碳钢↓3.65万吨，不锈钢↓2.6万吨）。</v>
      </c>
      <c r="BB32" s="1988"/>
      <c r="BC32" s="1988"/>
      <c r="BD32" s="1988" t="str">
        <f t="shared" ref="BD32" si="94">"产成品库存"&amp;ROUND(BD16,2)&amp;"万吨（其中碳钢"&amp;ROUND(BD18,2)&amp;"万吨，不锈钢"&amp;ROUND(BD17,2)&amp;"万吨），比年初"&amp;IF(BE16&gt;=0,"↑","↓")&amp;ABS(ROUND(BE16,2))&amp;"万吨（其中碳钢"&amp;IF(BE18&gt;=0,"↑","↓")&amp;ABS(ROUND(BE18,2))&amp;"万吨，不锈钢"&amp;IF(BE17&gt;=0,"↑","↓")&amp;ABS(ROUND(BE17,2))&amp;"万吨）；比上月"&amp;IF(BF16&gt;=0,"↑","↓")&amp;ABS(ROUND(BF16,2))&amp;"万吨（其中碳钢"&amp;IF(BF18&gt;=0,"↑","↓")&amp;ABS(ROUND(BF18,2))&amp;"万吨，不锈钢"&amp;IF(BF17&gt;=0,"↑","↓")&amp;ABS(ROUND(BF17,2))&amp;"万吨）。"</f>
        <v>产成品库存25.5万吨（其中碳钢6.13万吨，不锈钢19.36万吨），比年初↓1.07万吨（其中碳钢↓2.54万吨，不锈钢↑1.48万吨）；比上月↓1.05万吨（其中碳钢↓0.99万吨，不锈钢↓0.05万吨）。</v>
      </c>
      <c r="BE32" s="1988"/>
      <c r="BF32" s="1988"/>
      <c r="BG32" s="1988" t="str">
        <f t="shared" ref="BG32" si="95">"产成品库存"&amp;ROUND(BG16,2)&amp;"万吨（其中碳钢"&amp;ROUND(BG18,2)&amp;"万吨，不锈钢"&amp;ROUND(BG17,2)&amp;"万吨），比年初"&amp;IF(BH16&gt;=0,"↑","↓")&amp;ABS(ROUND(BH16,2))&amp;"万吨（其中碳钢"&amp;IF(BH18&gt;=0,"↑","↓")&amp;ABS(ROUND(BH18,2))&amp;"万吨，不锈钢"&amp;IF(BH17&gt;=0,"↑","↓")&amp;ABS(ROUND(BH17,2))&amp;"万吨）；比上月"&amp;IF(BI16&gt;=0,"↑","↓")&amp;ABS(ROUND(BI16,2))&amp;"万吨（其中碳钢"&amp;IF(BI18&gt;=0,"↑","↓")&amp;ABS(ROUND(BI18,2))&amp;"万吨，不锈钢"&amp;IF(BI17&gt;=0,"↑","↓")&amp;ABS(ROUND(BI17,2))&amp;"万吨）。"</f>
        <v>产成品库存26.01万吨（其中碳钢8.07万吨，不锈钢17.94万吨），比年初↓0.56万吨（其中碳钢↓0.61万吨，不锈钢↑0.06万吨）；比上月↑0.51万吨（其中碳钢↑1.93万吨，不锈钢↓1.42万吨）。</v>
      </c>
      <c r="BH32" s="1988"/>
      <c r="BI32" s="1988"/>
      <c r="BJ32" s="1988" t="str">
        <f t="shared" ref="BJ32" si="96">"产成品库存"&amp;ROUND(BJ16,2)&amp;"万吨（其中碳钢"&amp;ROUND(BJ18,2)&amp;"万吨，不锈钢"&amp;ROUND(BJ17,2)&amp;"万吨），比年初"&amp;IF(BK16&gt;=0,"↑","↓")&amp;ABS(ROUND(BK16,2))&amp;"万吨（其中碳钢"&amp;IF(BK18&gt;=0,"↑","↓")&amp;ABS(ROUND(BK18,2))&amp;"万吨，不锈钢"&amp;IF(BK17&gt;=0,"↑","↓")&amp;ABS(ROUND(BK17,2))&amp;"万吨）；比上月"&amp;IF(BL16&gt;=0,"↑","↓")&amp;ABS(ROUND(BL16,2))&amp;"万吨（其中碳钢"&amp;IF(BL18&gt;=0,"↑","↓")&amp;ABS(ROUND(BL18,2))&amp;"万吨，不锈钢"&amp;IF(BL17&gt;=0,"↑","↓")&amp;ABS(ROUND(BL17,2))&amp;"万吨）。"</f>
        <v>产成品库存0万吨（其中碳钢0万吨，不锈钢0万吨），比年初↓26.57万吨（其中碳钢↓8.68万吨，不锈钢↓17.89万吨）；比上月↓26.01万吨（其中碳钢↓8.07万吨，不锈钢↓17.94万吨）。</v>
      </c>
      <c r="BK32" s="1988"/>
      <c r="BL32" s="1988"/>
      <c r="BM32" s="1988" t="str">
        <f t="shared" ref="BM32" si="97">"产成品库存"&amp;ROUND(BM16,2)&amp;"万吨（其中碳钢"&amp;ROUND(BM18,2)&amp;"万吨，不锈钢"&amp;ROUND(BM17,2)&amp;"万吨），比年初"&amp;IF(BN16&gt;=0,"↑","↓")&amp;ABS(ROUND(BN16,2))&amp;"万吨（其中碳钢"&amp;IF(BN18&gt;=0,"↑","↓")&amp;ABS(ROUND(BN18,2))&amp;"万吨，不锈钢"&amp;IF(BN17&gt;=0,"↑","↓")&amp;ABS(ROUND(BN17,2))&amp;"万吨）；比上月"&amp;IF(BO16&gt;=0,"↑","↓")&amp;ABS(ROUND(BO16,2))&amp;"万吨（其中碳钢"&amp;IF(BO18&gt;=0,"↑","↓")&amp;ABS(ROUND(BO18,2))&amp;"万吨，不锈钢"&amp;IF(BO17&gt;=0,"↑","↓")&amp;ABS(ROUND(BO17,2))&amp;"万吨）。"</f>
        <v>产成品库存0万吨（其中碳钢0万吨，不锈钢0万吨），比年初↓26.57万吨（其中碳钢↓8.68万吨，不锈钢↓17.89万吨）；比上月↑0万吨（其中碳钢↑0万吨，不锈钢↑0万吨）。</v>
      </c>
      <c r="BN32" s="1988"/>
      <c r="BO32" s="1988"/>
      <c r="BP32" s="1988" t="str">
        <f t="shared" ref="BP32" si="98">"产成品库存"&amp;ROUND(BP16,2)&amp;"万吨（其中碳钢"&amp;ROUND(BP18,2)&amp;"万吨，不锈钢"&amp;ROUND(BP17,2)&amp;"万吨），比年初"&amp;IF(BQ16&gt;=0,"↑","↓")&amp;ABS(ROUND(BQ16,2))&amp;"万吨（其中碳钢"&amp;IF(BQ18&gt;=0,"↑","↓")&amp;ABS(ROUND(BQ18,2))&amp;"万吨，不锈钢"&amp;IF(BQ17&gt;=0,"↑","↓")&amp;ABS(ROUND(BQ17,2))&amp;"万吨）；比上月"&amp;IF(BR16&gt;=0,"↑","↓")&amp;ABS(ROUND(BR16,2))&amp;"万吨（其中碳钢"&amp;IF(BR18&gt;=0,"↑","↓")&amp;ABS(ROUND(BR18,2))&amp;"万吨，不锈钢"&amp;IF(BR17&gt;=0,"↑","↓")&amp;ABS(ROUND(BR17,2))&amp;"万吨）。"</f>
        <v>产成品库存0万吨（其中碳钢0万吨，不锈钢0万吨），比年初↓26.57万吨（其中碳钢↓8.68万吨，不锈钢↓17.89万吨）；比上月↑0万吨（其中碳钢↑0万吨，不锈钢↑0万吨）。</v>
      </c>
      <c r="BQ32" s="1988"/>
      <c r="BR32" s="1988"/>
      <c r="BS32" s="1988" t="str">
        <f t="shared" ref="BS32" si="99">"产成品库存"&amp;ROUND(BS16,2)&amp;"万吨（其中碳钢"&amp;ROUND(BS18,2)&amp;"万吨，不锈钢"&amp;ROUND(BS17,2)&amp;"万吨），比年初"&amp;IF(BT16&gt;=0,"↑","↓")&amp;ABS(ROUND(BT16,2))&amp;"万吨（其中碳钢"&amp;IF(BT18&gt;=0,"↑","↓")&amp;ABS(ROUND(BT18,2))&amp;"万吨，不锈钢"&amp;IF(BT17&gt;=0,"↑","↓")&amp;ABS(ROUND(BT17,2))&amp;"万吨）；比上月"&amp;IF(BU16&gt;=0,"↑","↓")&amp;ABS(ROUND(BU16,2))&amp;"万吨（其中碳钢"&amp;IF(BU18&gt;=0,"↑","↓")&amp;ABS(ROUND(BU18,2))&amp;"万吨，不锈钢"&amp;IF(BU17&gt;=0,"↑","↓")&amp;ABS(ROUND(BU17,2))&amp;"万吨）。"</f>
        <v>产成品库存0万吨（其中碳钢0万吨，不锈钢0万吨），比年初↓26.57万吨（其中碳钢↓8.68万吨，不锈钢↓17.89万吨）；比上月↑0万吨（其中碳钢↑0万吨，不锈钢↑0万吨）。</v>
      </c>
      <c r="BT32" s="1988"/>
      <c r="BU32" s="1988"/>
    </row>
    <row r="33" spans="3:73">
      <c r="E33" s="1201"/>
      <c r="F33" s="1202"/>
      <c r="G33" s="1202"/>
      <c r="H33" s="1200"/>
      <c r="I33" s="1208"/>
      <c r="J33" s="1208"/>
      <c r="K33" s="1200"/>
      <c r="L33" s="1208"/>
      <c r="M33" s="1208"/>
      <c r="N33" s="2668"/>
      <c r="O33" s="2668"/>
      <c r="P33" s="2668"/>
      <c r="Q33" s="2668"/>
      <c r="R33" s="2668"/>
      <c r="S33" s="2668"/>
      <c r="T33" s="2668"/>
      <c r="U33" s="2668"/>
      <c r="V33" s="2668"/>
      <c r="W33" s="2668"/>
      <c r="X33" s="2668"/>
      <c r="Y33" s="2668"/>
      <c r="Z33" s="2668"/>
      <c r="AA33" s="2668"/>
      <c r="AB33" s="2668"/>
      <c r="AC33" s="2668"/>
      <c r="AD33" s="2668"/>
      <c r="AE33" s="2668"/>
      <c r="AF33" s="2668"/>
      <c r="AG33" s="2668"/>
      <c r="AH33" s="2668"/>
      <c r="AI33" s="2668"/>
      <c r="AJ33" s="2668"/>
      <c r="AK33" s="2668"/>
      <c r="AL33" s="2668"/>
      <c r="AM33" s="2668"/>
      <c r="AN33" s="2668"/>
      <c r="AO33" s="1987"/>
      <c r="AP33" s="1987"/>
      <c r="AQ33" s="1987"/>
      <c r="AR33" s="1987"/>
      <c r="AS33" s="1987"/>
      <c r="AT33" s="1987"/>
      <c r="AU33" s="1987"/>
      <c r="AV33" s="1987"/>
      <c r="AW33" s="1987"/>
      <c r="AX33" s="1987"/>
      <c r="AY33" s="1987"/>
      <c r="AZ33" s="1987"/>
      <c r="BA33" s="1987"/>
      <c r="BB33" s="1987"/>
      <c r="BC33" s="1987"/>
      <c r="BD33" s="1987"/>
      <c r="BE33" s="1987"/>
      <c r="BF33" s="1987"/>
      <c r="BG33" s="1987"/>
      <c r="BH33" s="1987"/>
      <c r="BI33" s="1987"/>
      <c r="BJ33" s="1987"/>
      <c r="BK33" s="1987"/>
      <c r="BL33" s="1987"/>
      <c r="BM33" s="1987"/>
      <c r="BN33" s="1987"/>
      <c r="BO33" s="1987"/>
      <c r="BP33" s="1987"/>
      <c r="BQ33" s="1987"/>
      <c r="BR33" s="1987"/>
      <c r="BS33" s="1987"/>
      <c r="BT33" s="1987"/>
      <c r="BU33" s="1987"/>
    </row>
    <row r="34" spans="3:73" ht="37.5" customHeight="1">
      <c r="C34" s="116" t="s">
        <v>101</v>
      </c>
      <c r="E34" s="1200" t="str">
        <f>"（2）岚县矿业公司：矿产品库存"&amp;ROUND(E28,2)&amp;"万吨，比年初"&amp;IF(F28&gt;=0,"↑","↓")&amp;ABS(ROUND(F28,2))&amp;"万吨，比上月"&amp;IF(G28&gt;=0,"↑","↓")&amp;ABS(ROUND(G28,2))&amp;"万吨。其中："</f>
        <v>（2）岚县矿业公司：矿产品库存7.78万吨，比年初↑1.36万吨，比上月↑0万吨。其中：</v>
      </c>
      <c r="F34" s="1200"/>
      <c r="G34" s="1200"/>
      <c r="H34" s="2670" t="str">
        <f>"（2）岚县矿业公司：矿产品库存"&amp;ROUND(H28,2)&amp;"万吨，比年初"&amp;IF(I28&gt;=0,"↑","↓")&amp;ABS(ROUND(I28,2))&amp;"万吨，比上月"&amp;IF(J28&gt;=0,"↑","↓")&amp;ABS(ROUND(J28,2))&amp;"万吨。其中："</f>
        <v>（2）岚县矿业公司：矿产品库存3.95万吨，比年初↓2.47万吨，比上月↓3.83万吨。其中：</v>
      </c>
      <c r="I34" s="2670"/>
      <c r="J34" s="2670"/>
      <c r="K34" s="2670" t="str">
        <f>"（2）岚县矿业公司：矿产品库存"&amp;ROUND(K28,2)&amp;"万吨，比年初"&amp;IF(L28&gt;=0,"↑","↓")&amp;ABS(ROUND(L28,2))&amp;"万吨，比上月"&amp;IF(M28&gt;=0,"↑","↓")&amp;ABS(ROUND(M28,2))&amp;"万吨。其中："</f>
        <v>（2）岚县矿业公司：矿产品库存3.27万吨，比年初↓3.15万吨，比上月↓0.68万吨。其中：</v>
      </c>
      <c r="L34" s="2670"/>
      <c r="M34" s="2670"/>
      <c r="N34" s="2670" t="str">
        <f>"（2）岚县矿业公司：矿产品库存"&amp;ROUND(N28,2)&amp;"万吨，比年初"&amp;IF(O28&gt;=0,"↑","↓")&amp;ABS(ROUND(O28,2))&amp;"万吨，比上月"&amp;IF(P28&gt;=0,"↑","↓")&amp;ABS(ROUND(P28,2))&amp;"万吨。其中："</f>
        <v>（2）岚县矿业公司：矿产品库存5.42万吨，比年初↓1万吨，比上月↑2.14万吨。其中：</v>
      </c>
      <c r="O34" s="2670"/>
      <c r="P34" s="2670"/>
      <c r="Q34" s="2670" t="str">
        <f>"（2）岚县矿业公司：矿产品库存"&amp;ROUND(Q28,2)&amp;"万吨，比年初"&amp;IF(R28&gt;=0,"↑","↓")&amp;ABS(ROUND(R28,2))&amp;"万吨，比上月"&amp;IF(S28&gt;=0,"↑","↓")&amp;ABS(ROUND(S28,2))&amp;"万吨。其中："</f>
        <v>（2）岚县矿业公司：矿产品库存13.47万吨，比年初↑7.05万吨，比上月↑8.06万吨。其中：</v>
      </c>
      <c r="R34" s="2670"/>
      <c r="S34" s="2670"/>
      <c r="T34" s="2670" t="str">
        <f>"（2）岚县矿业公司：矿产品库存"&amp;ROUND(T28,2)&amp;"万吨，比年初"&amp;IF(U28&gt;=0,"↑","↓")&amp;ABS(ROUND(U28,2))&amp;"万吨，比上月"&amp;IF(V28&gt;=0,"↑","↓")&amp;ABS(ROUND(V28,2))&amp;"万吨。其中："</f>
        <v>（2）岚县矿业公司：矿产品库存21.11万吨，比年初↑14.69万吨，比上月↑7.64万吨。其中：</v>
      </c>
      <c r="U34" s="2670"/>
      <c r="V34" s="2670"/>
      <c r="W34" s="2670" t="str">
        <f>"（2）岚县矿业公司：矿产品库存"&amp;ROUND(W28,2)&amp;"万吨，比年初"&amp;IF(X28&gt;=0,"↑","↓")&amp;ABS(ROUND(X28,2))&amp;"万吨，比上月"&amp;IF(Y28&gt;=0,"↑","↓")&amp;ABS(ROUND(Y28,2))&amp;"万吨。其中："</f>
        <v>（2）岚县矿业公司：矿产品库存25.92万吨，比年初↑19.5万吨，比上月↑4.81万吨。其中：</v>
      </c>
      <c r="X34" s="2670"/>
      <c r="Y34" s="2670"/>
      <c r="Z34" s="2670" t="str">
        <f>"（2）岚县矿业公司：矿产品库存"&amp;ROUND(Z28,2)&amp;"万吨，比年初"&amp;IF(AA28&gt;=0,"↑","↓")&amp;ABS(ROUND(AA28,2))&amp;"万吨，比上月"&amp;IF(AB28&gt;=0,"↑","↓")&amp;ABS(ROUND(AB28,2))&amp;"万吨。其中："</f>
        <v>（2）岚县矿业公司：矿产品库存32.66万吨，比年初↑26.24万吨，比上月↑6.74万吨。其中：</v>
      </c>
      <c r="AA34" s="2670"/>
      <c r="AB34" s="2670"/>
      <c r="AC34" s="2670" t="str">
        <f>"（2）岚县矿业公司：矿产品库存"&amp;ROUND(AC28,2)&amp;"万吨，比年初"&amp;IF(AD28&gt;=0,"↑","↓")&amp;ABS(ROUND(AD28,2))&amp;"万吨，比上月"&amp;IF(AE28&gt;=0,"↑","↓")&amp;ABS(ROUND(AE28,2))&amp;"万吨。其中："</f>
        <v>（2）岚县矿业公司：矿产品库存50.7万吨，比年初↑44.28万吨，比上月↑18.04万吨。其中：</v>
      </c>
      <c r="AD34" s="2670"/>
      <c r="AE34" s="2670"/>
      <c r="AF34" s="2670" t="str">
        <f>"（2）岚县矿业公司：矿产品库存"&amp;ROUND(AF28,2)&amp;"万吨，比年初"&amp;IF(AG28&gt;=0,"↑","↓")&amp;ABS(ROUND(AG28,2))&amp;"万吨，比上月"&amp;IF(AH28&gt;=0,"↑","↓")&amp;ABS(ROUND(AH28,2))&amp;"万吨。其中："</f>
        <v>（2）岚县矿业公司：矿产品库存38.16万吨，比年初↑31.74万吨，比上月↓12.54万吨。其中：</v>
      </c>
      <c r="AG34" s="2670"/>
      <c r="AH34" s="2670"/>
      <c r="AI34" s="2670" t="str">
        <f>"（2）岚县矿业公司：矿产品库存"&amp;ROUND(AI28,2)&amp;"万吨，比年初"&amp;IF(AJ28&gt;=0,"↑","↓")&amp;ABS(ROUND(AJ28,2))&amp;"万吨，比上月"&amp;IF(AK28&gt;=0,"↑","↓")&amp;ABS(ROUND(AK28,2))&amp;"万吨。其中："</f>
        <v>（2）岚县矿业公司：矿产品库存38.18万吨，比年初↑31.76万吨，比上月↑0.02万吨。其中：</v>
      </c>
      <c r="AJ34" s="2670"/>
      <c r="AK34" s="2670"/>
      <c r="AL34" s="2670" t="str">
        <f>"（2）岚县矿业公司：矿产品库存"&amp;ROUND(AL28,2)&amp;"万吨，比年初"&amp;IF(AM28&gt;=0,"↑","↓")&amp;ABS(ROUND(AM28,2))&amp;"万吨，比上月"&amp;IF(AN28&gt;=0,"↑","↓")&amp;ABS(ROUND(AN28,2))&amp;"万吨。其中："</f>
        <v>（2）岚县矿业公司：矿产品库存38.72万吨，比年初↑32.3万吨，比上月↑0.54万吨。其中：</v>
      </c>
      <c r="AM34" s="2670"/>
      <c r="AN34" s="2670"/>
      <c r="AO34" s="1986" t="str">
        <f t="shared" ref="AO34" si="100">"（2）岚县矿业公司：矿产品库存"&amp;ROUND(AO28,2)&amp;"万吨，比年初"&amp;IF(AP28&gt;=0,"↑","↓")&amp;ABS(ROUND(AP28,2))&amp;"万吨，比上月"&amp;IF(AQ28&gt;=0,"↑","↓")&amp;ABS(ROUND(AQ28,2))&amp;"万吨。其中："</f>
        <v>（2）岚县矿业公司：矿产品库存41.62万吨，比年初↑2.9万吨，比上月↑2.9万吨。其中：</v>
      </c>
      <c r="AP34" s="1986"/>
      <c r="AQ34" s="1986"/>
      <c r="AR34" s="1986" t="str">
        <f t="shared" ref="AR34" si="101">"（2）岚县矿业公司：矿产品库存"&amp;ROUND(AR28,2)&amp;"万吨，比年初"&amp;IF(AS28&gt;=0,"↑","↓")&amp;ABS(ROUND(AS28,2))&amp;"万吨，比上月"&amp;IF(AT28&gt;=0,"↑","↓")&amp;ABS(ROUND(AT28,2))&amp;"万吨。其中："</f>
        <v>（2）岚县矿业公司：矿产品库存0万吨，比年初↑0万吨，比上月↑0万吨。其中：</v>
      </c>
      <c r="AS34" s="1986"/>
      <c r="AT34" s="1986"/>
      <c r="AU34" s="1986" t="str">
        <f t="shared" ref="AU34" si="102">"（2）岚县矿业公司：矿产品库存"&amp;ROUND(AU28,2)&amp;"万吨，比年初"&amp;IF(AV28&gt;=0,"↑","↓")&amp;ABS(ROUND(AV28,2))&amp;"万吨，比上月"&amp;IF(AW28&gt;=0,"↑","↓")&amp;ABS(ROUND(AW28,2))&amp;"万吨。其中："</f>
        <v>（2）岚县矿业公司：矿产品库存0万吨，比年初↑0万吨，比上月↑0万吨。其中：</v>
      </c>
      <c r="AV34" s="1986"/>
      <c r="AW34" s="1986"/>
      <c r="AX34" s="1986" t="str">
        <f t="shared" ref="AX34" si="103">"（2）岚县矿业公司：矿产品库存"&amp;ROUND(AX28,2)&amp;"万吨，比年初"&amp;IF(AY28&gt;=0,"↑","↓")&amp;ABS(ROUND(AY28,2))&amp;"万吨，比上月"&amp;IF(AZ28&gt;=0,"↑","↓")&amp;ABS(ROUND(AZ28,2))&amp;"万吨。其中："</f>
        <v>（2）岚县矿业公司：矿产品库存0万吨，比年初↑0万吨，比上月↑0万吨。其中：</v>
      </c>
      <c r="AY34" s="1986"/>
      <c r="AZ34" s="1986"/>
      <c r="BA34" s="1986" t="str">
        <f t="shared" ref="BA34" si="104">"（2）岚县矿业公司：矿产品库存"&amp;ROUND(BA28,2)&amp;"万吨，比年初"&amp;IF(BB28&gt;=0,"↑","↓")&amp;ABS(ROUND(BB28,2))&amp;"万吨，比上月"&amp;IF(BC28&gt;=0,"↑","↓")&amp;ABS(ROUND(BC28,2))&amp;"万吨。其中："</f>
        <v>（2）岚县矿业公司：矿产品库存0万吨，比年初↑0万吨，比上月↑0万吨。其中：</v>
      </c>
      <c r="BB34" s="1986"/>
      <c r="BC34" s="1986"/>
      <c r="BD34" s="1986" t="str">
        <f t="shared" ref="BD34" si="105">"（2）岚县矿业公司：矿产品库存"&amp;ROUND(BD28,2)&amp;"万吨，比年初"&amp;IF(BE28&gt;=0,"↑","↓")&amp;ABS(ROUND(BE28,2))&amp;"万吨，比上月"&amp;IF(BF28&gt;=0,"↑","↓")&amp;ABS(ROUND(BF28,2))&amp;"万吨。其中："</f>
        <v>（2）岚县矿业公司：矿产品库存0万吨，比年初↑0万吨，比上月↑0万吨。其中：</v>
      </c>
      <c r="BE34" s="1986"/>
      <c r="BF34" s="1986"/>
      <c r="BG34" s="1986" t="str">
        <f t="shared" ref="BG34" si="106">"（2）岚县矿业公司：矿产品库存"&amp;ROUND(BG28,2)&amp;"万吨，比年初"&amp;IF(BH28&gt;=0,"↑","↓")&amp;ABS(ROUND(BH28,2))&amp;"万吨，比上月"&amp;IF(BI28&gt;=0,"↑","↓")&amp;ABS(ROUND(BI28,2))&amp;"万吨。其中："</f>
        <v>（2）岚县矿业公司：矿产品库存0万吨，比年初↑0万吨，比上月↑0万吨。其中：</v>
      </c>
      <c r="BH34" s="1986"/>
      <c r="BI34" s="1986"/>
      <c r="BJ34" s="1986" t="str">
        <f t="shared" ref="BJ34" si="107">"（2）岚县矿业公司：矿产品库存"&amp;ROUND(BJ28,2)&amp;"万吨，比年初"&amp;IF(BK28&gt;=0,"↑","↓")&amp;ABS(ROUND(BK28,2))&amp;"万吨，比上月"&amp;IF(BL28&gt;=0,"↑","↓")&amp;ABS(ROUND(BL28,2))&amp;"万吨。其中："</f>
        <v>（2）岚县矿业公司：矿产品库存0万吨，比年初↑0万吨，比上月↑0万吨。其中：</v>
      </c>
      <c r="BK34" s="1986"/>
      <c r="BL34" s="1986"/>
      <c r="BM34" s="1986" t="str">
        <f t="shared" ref="BM34" si="108">"（2）岚县矿业公司：矿产品库存"&amp;ROUND(BM28,2)&amp;"万吨，比年初"&amp;IF(BN28&gt;=0,"↑","↓")&amp;ABS(ROUND(BN28,2))&amp;"万吨，比上月"&amp;IF(BO28&gt;=0,"↑","↓")&amp;ABS(ROUND(BO28,2))&amp;"万吨。其中："</f>
        <v>（2）岚县矿业公司：矿产品库存0万吨，比年初↑0万吨，比上月↑0万吨。其中：</v>
      </c>
      <c r="BN34" s="1986"/>
      <c r="BO34" s="1986"/>
      <c r="BP34" s="1986" t="str">
        <f t="shared" ref="BP34" si="109">"（2）岚县矿业公司：矿产品库存"&amp;ROUND(BP28,2)&amp;"万吨，比年初"&amp;IF(BQ28&gt;=0,"↑","↓")&amp;ABS(ROUND(BQ28,2))&amp;"万吨，比上月"&amp;IF(BR28&gt;=0,"↑","↓")&amp;ABS(ROUND(BR28,2))&amp;"万吨。其中："</f>
        <v>（2）岚县矿业公司：矿产品库存0万吨，比年初↑0万吨，比上月↑0万吨。其中：</v>
      </c>
      <c r="BQ34" s="1986"/>
      <c r="BR34" s="1986"/>
      <c r="BS34" s="1986" t="str">
        <f t="shared" ref="BS34" si="110">"（2）岚县矿业公司：矿产品库存"&amp;ROUND(BS28,2)&amp;"万吨，比年初"&amp;IF(BT28&gt;=0,"↑","↓")&amp;ABS(ROUND(BT28,2))&amp;"万吨，比上月"&amp;IF(BU28&gt;=0,"↑","↓")&amp;ABS(ROUND(BU28,2))&amp;"万吨。其中："</f>
        <v>（2）岚县矿业公司：矿产品库存0万吨，比年初↑0万吨，比上月↑0万吨。其中：</v>
      </c>
      <c r="BT34" s="1986"/>
      <c r="BU34" s="1986"/>
    </row>
    <row r="35" spans="3:73" ht="27.75" customHeight="1">
      <c r="E35" s="1200" t="str">
        <f>"精矿粉库存"&amp;ABS(ROUND(E4,2))&amp;"万吨，比年初"&amp;IF(F4&gt;=0,"↑","↓")&amp;ABS(ROUND(F4,2))&amp;"万吨；"</f>
        <v>精矿粉库存6.67万吨，比年初↑1.93万吨；</v>
      </c>
      <c r="F35" s="1200"/>
      <c r="G35" s="1200"/>
      <c r="H35" s="2670" t="str">
        <f>"精矿粉库存"&amp;ABS(ROUND(H4,2))&amp;"万吨，比年初"&amp;IF(I4&gt;=0,"↑","↓")&amp;ABS(ROUND(I4,2))&amp;"万吨，比上月"&amp;IF(J4&gt;=0,"↑","↓")&amp;ABS(ROUND(J4,2))&amp;"万吨；"</f>
        <v>精矿粉库存1.8万吨，比年初↓2.94万吨，比上月↓4.87万吨；</v>
      </c>
      <c r="I35" s="2670"/>
      <c r="J35" s="2670"/>
      <c r="K35" s="2670" t="str">
        <f>"精矿粉库存"&amp;ABS(ROUND(K4,2))&amp;"万吨，比年初"&amp;IF(L4&gt;=0,"↑","↓")&amp;ABS(ROUND(L4,2))&amp;"万吨，比上月"&amp;IF(M4&gt;=0,"↑","↓")&amp;ABS(ROUND(M4,2))&amp;"万吨；"</f>
        <v>精矿粉库存0.85万吨，比年初↓3.88万吨，比上月↓0.95万吨；</v>
      </c>
      <c r="L35" s="2670"/>
      <c r="M35" s="2670"/>
      <c r="N35" s="2670" t="str">
        <f>"精矿粉库存"&amp;ABS(ROUND(N4,2))&amp;"万吨，比年初"&amp;IF(O4&gt;=0,"↑","↓")&amp;ABS(ROUND(O4,2))&amp;"万吨，比上月"&amp;IF(P4&gt;=0,"↑","↓")&amp;ABS(ROUND(P4,2))&amp;"万吨；"</f>
        <v>精矿粉库存1.15万吨，比年初↓3.59万吨，比上月↑0.3万吨；</v>
      </c>
      <c r="O35" s="2670"/>
      <c r="P35" s="2670"/>
      <c r="Q35" s="2670" t="str">
        <f>"精矿粉库存"&amp;ABS(ROUND(Q4,2))&amp;"万吨，比年初"&amp;IF(R4&gt;=0,"↑","↓")&amp;ABS(ROUND(R4,2))&amp;"万吨，比上月"&amp;IF(S4&gt;=0,"↑","↓")&amp;ABS(ROUND(S4,2))&amp;"万吨；"</f>
        <v>精矿粉库存9.07万吨，比年初↑4.33万吨，比上月↑7.92万吨；</v>
      </c>
      <c r="R35" s="2670"/>
      <c r="S35" s="2670"/>
      <c r="T35" s="2670" t="str">
        <f>"精矿粉库存"&amp;ABS(ROUND(T4,2))&amp;"万吨，比年初"&amp;IF(U4&gt;=0,"↑","↓")&amp;ABS(ROUND(U4,2))&amp;"万吨，比上月"&amp;IF(V4&gt;=0,"↑","↓")&amp;ABS(ROUND(V4,2))&amp;"万吨；"</f>
        <v>精矿粉库存9.61万吨，比年初↑4.87万吨，比上月↑0.54万吨；</v>
      </c>
      <c r="U35" s="2670"/>
      <c r="V35" s="2670"/>
      <c r="W35" s="2670" t="str">
        <f>"精矿粉库存"&amp;ABS(ROUND(W4,2))&amp;"万吨，比年初"&amp;IF(X4&gt;=0,"↑","↓")&amp;ABS(ROUND(X4,2))&amp;"万吨，比上月"&amp;IF(Y4&gt;=0,"↑","↓")&amp;ABS(ROUND(Y4,2))&amp;"万吨；"</f>
        <v>精矿粉库存9.77万吨，比年初↑5.03万吨，比上月↑0.16万吨；</v>
      </c>
      <c r="X35" s="2670"/>
      <c r="Y35" s="2670"/>
      <c r="Z35" s="2670" t="str">
        <f>"精矿粉库存"&amp;ABS(ROUND(Z4,2))&amp;"万吨，比年初"&amp;IF(AA4&gt;=0,"↑","↓")&amp;ABS(ROUND(AA4,2))&amp;"万吨，比上月"&amp;IF(AB4&gt;=0,"↑","↓")&amp;ABS(ROUND(AB4,2))&amp;"万吨；"</f>
        <v>精矿粉库存11.99万吨，比年初↑7.25万吨，比上月↑2.22万吨；</v>
      </c>
      <c r="AA35" s="2670"/>
      <c r="AB35" s="2670"/>
      <c r="AC35" s="2670" t="str">
        <f>"精矿粉库存"&amp;ABS(ROUND(AC4,2))&amp;"万吨，比年初"&amp;IF(AD4&gt;=0,"↑","↓")&amp;ABS(ROUND(AD4,2))&amp;"万吨，比上月"&amp;IF(AE4&gt;=0,"↑","↓")&amp;ABS(ROUND(AE4,2))&amp;"万吨；"</f>
        <v>精矿粉库存24.92万吨，比年初↑20.18万吨，比上月↑12.93万吨；</v>
      </c>
      <c r="AD35" s="2670"/>
      <c r="AE35" s="2670"/>
      <c r="AF35" s="2670" t="str">
        <f>"精矿粉库存"&amp;ABS(ROUND(AF4,2))&amp;"万吨，比年初"&amp;IF(AG4&gt;=0,"↑","↓")&amp;ABS(ROUND(AG4,2))&amp;"万吨，比上月"&amp;IF(AH4&gt;=0,"↑","↓")&amp;ABS(ROUND(AH4,2))&amp;"万吨；"</f>
        <v>精矿粉库存27.09万吨，比年初↑22.35万吨，比上月↑2.17万吨；</v>
      </c>
      <c r="AG35" s="2670"/>
      <c r="AH35" s="2670"/>
      <c r="AI35" s="2670" t="str">
        <f>"精矿粉库存"&amp;ABS(ROUND(AI4,2))&amp;"万吨，比年初"&amp;IF(AJ4&gt;=0,"↑","↓")&amp;ABS(ROUND(AJ4,2))&amp;"万吨，比上月"&amp;IF(AK4&gt;=0,"↑","↓")&amp;ABS(ROUND(AK4,2))&amp;"万吨；"</f>
        <v>精矿粉库存31.11万吨，比年初↑26.37万吨，比上月↑4.02万吨；</v>
      </c>
      <c r="AJ35" s="2670"/>
      <c r="AK35" s="2670"/>
      <c r="AL35" s="2670" t="str">
        <f>"精矿粉库存"&amp;ABS(ROUND(AL4,2))&amp;"万吨，比年初"&amp;IF(AM4&gt;=0,"↑","↓")&amp;ABS(ROUND(AM4,2))&amp;"万吨，比上月"&amp;IF(AN4&gt;=0,"↑","↓")&amp;ABS(ROUND(AN4,2))&amp;"万吨；"</f>
        <v>精矿粉库存35.59万吨，比年初↑30.85万吨，比上月↑4.48万吨；</v>
      </c>
      <c r="AM35" s="2670"/>
      <c r="AN35" s="2670"/>
      <c r="AO35" s="1986" t="str">
        <f t="shared" ref="AO35" si="111">"精矿粉库存"&amp;ABS(ROUND(AO4,2))&amp;"万吨，比年初"&amp;IF(AP4&gt;=0,"↑","↓")&amp;ABS(ROUND(AP4,2))&amp;"万吨，比上月"&amp;IF(AQ4&gt;=0,"↑","↓")&amp;ABS(ROUND(AQ4,2))&amp;"万吨；"</f>
        <v>精矿粉库存37.96万吨，比年初↑2.37万吨，比上月↑2.37万吨；</v>
      </c>
      <c r="AP35" s="1986"/>
      <c r="AQ35" s="1986"/>
      <c r="AR35" s="1986" t="str">
        <f t="shared" ref="AR35" si="112">"精矿粉库存"&amp;ABS(ROUND(AR4,2))&amp;"万吨，比年初"&amp;IF(AS4&gt;=0,"↑","↓")&amp;ABS(ROUND(AS4,2))&amp;"万吨，比上月"&amp;IF(AT4&gt;=0,"↑","↓")&amp;ABS(ROUND(AT4,2))&amp;"万吨；"</f>
        <v>精矿粉库存28.25万吨，比年初↓7.34万吨，比上月↓9.71万吨；</v>
      </c>
      <c r="AS35" s="1986"/>
      <c r="AT35" s="1986"/>
      <c r="AU35" s="1986" t="str">
        <f t="shared" ref="AU35" si="113">"精矿粉库存"&amp;ABS(ROUND(AU4,2))&amp;"万吨，比年初"&amp;IF(AV4&gt;=0,"↑","↓")&amp;ABS(ROUND(AV4,2))&amp;"万吨，比上月"&amp;IF(AW4&gt;=0,"↑","↓")&amp;ABS(ROUND(AW4,2))&amp;"万吨；"</f>
        <v>精矿粉库存20.75万吨，比年初↓14.84万吨，比上月↓7.5万吨；</v>
      </c>
      <c r="AV35" s="1986"/>
      <c r="AW35" s="1986"/>
      <c r="AX35" s="1986" t="str">
        <f t="shared" ref="AX35" si="114">"精矿粉库存"&amp;ABS(ROUND(AX4,2))&amp;"万吨，比年初"&amp;IF(AY4&gt;=0,"↑","↓")&amp;ABS(ROUND(AY4,2))&amp;"万吨，比上月"&amp;IF(AZ4&gt;=0,"↑","↓")&amp;ABS(ROUND(AZ4,2))&amp;"万吨；"</f>
        <v>精矿粉库存9.63万吨，比年初↓25.96万吨，比上月↓11.12万吨；</v>
      </c>
      <c r="AY35" s="1986"/>
      <c r="AZ35" s="1986"/>
      <c r="BA35" s="1986" t="str">
        <f t="shared" ref="BA35" si="115">"精矿粉库存"&amp;ABS(ROUND(BA4,2))&amp;"万吨，比年初"&amp;IF(BB4&gt;=0,"↑","↓")&amp;ABS(ROUND(BB4,2))&amp;"万吨，比上月"&amp;IF(BC4&gt;=0,"↑","↓")&amp;ABS(ROUND(BC4,2))&amp;"万吨；"</f>
        <v>精矿粉库存9.08万吨，比年初↓26.51万吨，比上月↓0.55万吨；</v>
      </c>
      <c r="BB35" s="1986"/>
      <c r="BC35" s="1986"/>
      <c r="BD35" s="1986" t="str">
        <f t="shared" ref="BD35" si="116">"精矿粉库存"&amp;ABS(ROUND(BD4,2))&amp;"万吨，比年初"&amp;IF(BE4&gt;=0,"↑","↓")&amp;ABS(ROUND(BE4,2))&amp;"万吨，比上月"&amp;IF(BF4&gt;=0,"↑","↓")&amp;ABS(ROUND(BF4,2))&amp;"万吨；"</f>
        <v>精矿粉库存6.86万吨，比年初↓28.73万吨，比上月↓2.22万吨；</v>
      </c>
      <c r="BE35" s="1986"/>
      <c r="BF35" s="1986"/>
      <c r="BG35" s="1986" t="str">
        <f t="shared" ref="BG35" si="117">"精矿粉库存"&amp;ABS(ROUND(BG4,2))&amp;"万吨，比年初"&amp;IF(BH4&gt;=0,"↑","↓")&amp;ABS(ROUND(BH4,2))&amp;"万吨，比上月"&amp;IF(BI4&gt;=0,"↑","↓")&amp;ABS(ROUND(BI4,2))&amp;"万吨；"</f>
        <v>精矿粉库存8.35万吨，比年初↓27.24万吨，比上月↑1.49万吨；</v>
      </c>
      <c r="BH35" s="1986"/>
      <c r="BI35" s="1986"/>
      <c r="BJ35" s="1986" t="str">
        <f t="shared" ref="BJ35" si="118">"精矿粉库存"&amp;ABS(ROUND(BJ4,2))&amp;"万吨，比年初"&amp;IF(BK4&gt;=0,"↑","↓")&amp;ABS(ROUND(BK4,2))&amp;"万吨，比上月"&amp;IF(BL4&gt;=0,"↑","↓")&amp;ABS(ROUND(BL4,2))&amp;"万吨；"</f>
        <v>精矿粉库存3.69万吨，比年初↓31.9万吨，比上月↓4.66万吨；</v>
      </c>
      <c r="BK35" s="1986"/>
      <c r="BL35" s="1986"/>
      <c r="BM35" s="1986" t="str">
        <f t="shared" ref="BM35" si="119">"精矿粉库存"&amp;ABS(ROUND(BM4,2))&amp;"万吨，比年初"&amp;IF(BN4&gt;=0,"↑","↓")&amp;ABS(ROUND(BN4,2))&amp;"万吨，比上月"&amp;IF(BO4&gt;=0,"↑","↓")&amp;ABS(ROUND(BO4,2))&amp;"万吨；"</f>
        <v>精矿粉库存0万吨，比年初↓35.59万吨，比上月↓3.69万吨；</v>
      </c>
      <c r="BN35" s="1986"/>
      <c r="BO35" s="1986"/>
      <c r="BP35" s="1986" t="str">
        <f t="shared" ref="BP35" si="120">"精矿粉库存"&amp;ABS(ROUND(BP4,2))&amp;"万吨，比年初"&amp;IF(BQ4&gt;=0,"↑","↓")&amp;ABS(ROUND(BQ4,2))&amp;"万吨，比上月"&amp;IF(BR4&gt;=0,"↑","↓")&amp;ABS(ROUND(BR4,2))&amp;"万吨；"</f>
        <v>精矿粉库存0万吨，比年初↓35.59万吨，比上月↑0万吨；</v>
      </c>
      <c r="BQ35" s="1986"/>
      <c r="BR35" s="1986"/>
      <c r="BS35" s="1986" t="str">
        <f t="shared" ref="BS35" si="121">"精矿粉库存"&amp;ABS(ROUND(BS4,2))&amp;"万吨，比年初"&amp;IF(BT4&gt;=0,"↑","↓")&amp;ABS(ROUND(BT4,2))&amp;"万吨，比上月"&amp;IF(BU4&gt;=0,"↑","↓")&amp;ABS(ROUND(BU4,2))&amp;"万吨；"</f>
        <v>精矿粉库存0万吨，比年初↓35.59万吨，比上月↑0万吨；</v>
      </c>
      <c r="BT35" s="1986"/>
      <c r="BU35" s="1986"/>
    </row>
    <row r="36" spans="3:73" ht="23.25" customHeight="1">
      <c r="E36" s="1200" t="str">
        <f>"球团库存"&amp;ABS(ROUND(E10,2))&amp;"万吨，比年初"&amp;IF(F10&gt;=0,"↑","↓")&amp;ABS(ROUND(F10,2))&amp;"万吨。"</f>
        <v>球团库存1.11万吨，比年初↓0.57万吨。</v>
      </c>
      <c r="F36" s="1200"/>
      <c r="G36" s="1200"/>
      <c r="H36" s="2670" t="str">
        <f>"球团库存"&amp;ABS(ROUND(H10,2))&amp;"万吨，比年初"&amp;IF(I10&gt;=0,"↑","↓")&amp;ABS(ROUND(I10,2))&amp;"万吨，比上月"&amp;IF(J10&gt;=0,"↑","↓")&amp;ABS(ROUND(J10,2))&amp;"万吨。"</f>
        <v>球团库存2.15万吨，比年初↑0.47万吨，比上月↑1.04万吨。</v>
      </c>
      <c r="I36" s="2670"/>
      <c r="J36" s="2670"/>
      <c r="K36" s="2670" t="str">
        <f>"球团库存"&amp;ABS(ROUND(K10,2))&amp;"万吨，比年初"&amp;IF(L10&gt;=0,"↑","↓")&amp;ABS(ROUND(L10,2))&amp;"万吨，比上月"&amp;IF(M10&gt;=0,"↑","↓")&amp;ABS(ROUND(M10,2))&amp;"万吨。"</f>
        <v>球团库存2.42万吨，比年初↑0.74万吨，比上月↑0.27万吨。</v>
      </c>
      <c r="L36" s="2670"/>
      <c r="M36" s="2670"/>
      <c r="N36" s="2670" t="str">
        <f>"球团库存"&amp;ABS(ROUND(N10,2))&amp;"万吨，比年初"&amp;IF(O10&gt;=0,"↑","↓")&amp;ABS(ROUND(O10,2))&amp;"万吨，比上月"&amp;IF(P10&gt;=0,"↑","↓")&amp;ABS(ROUND(P10,2))&amp;"万吨。"</f>
        <v>球团库存4.27万吨，比年初↑2.58万吨，比上月↑1.85万吨。</v>
      </c>
      <c r="O36" s="2670"/>
      <c r="P36" s="2670"/>
      <c r="Q36" s="2670" t="str">
        <f>"球团库存"&amp;ABS(ROUND(Q10,2))&amp;"万吨，比年初"&amp;IF(R10&gt;=0,"↑","↓")&amp;ABS(ROUND(R10,2))&amp;"万吨，比上月"&amp;IF(S10&gt;=0,"↑","↓")&amp;ABS(ROUND(S10,2))&amp;"万吨。"</f>
        <v>球团库存4.4万吨，比年初↑2.72万吨，比上月↑0.14万吨。</v>
      </c>
      <c r="R36" s="2670"/>
      <c r="S36" s="2670"/>
      <c r="T36" s="2670" t="str">
        <f>"球团库存"&amp;ABS(ROUND(T10,2))&amp;"万吨，比年初"&amp;IF(U10&gt;=0,"↑","↓")&amp;ABS(ROUND(U10,2))&amp;"万吨，比上月"&amp;IF(V10&gt;=0,"↑","↓")&amp;ABS(ROUND(V10,2))&amp;"万吨。"</f>
        <v>球团库存11.5万吨，比年初↑9.82万吨，比上月↑7.1万吨。</v>
      </c>
      <c r="U36" s="2670"/>
      <c r="V36" s="2670"/>
      <c r="W36" s="2670" t="str">
        <f>"球团库存"&amp;ABS(ROUND(W10,2))&amp;"万吨，比年初"&amp;IF(X10&gt;=0,"↑","↓")&amp;ABS(ROUND(X10,2))&amp;"万吨，比上月"&amp;IF(Y10&gt;=0,"↑","↓")&amp;ABS(ROUND(Y10,2))&amp;"万吨。"</f>
        <v>球团库存16.15万吨，比年初↑14.47万吨，比上月↑4.65万吨。</v>
      </c>
      <c r="X36" s="2670"/>
      <c r="Y36" s="2670"/>
      <c r="Z36" s="2670" t="str">
        <f>"球团库存"&amp;ABS(ROUND(Z10,2))&amp;"万吨，比年初"&amp;IF(AA10&gt;=0,"↑","↓")&amp;ABS(ROUND(AA10,2))&amp;"万吨，比上月"&amp;IF(AB10&gt;=0,"↑","↓")&amp;ABS(ROUND(AB10,2))&amp;"万吨。"</f>
        <v>球团库存20.67万吨，比年初↑18.99万吨，比上月↑4.52万吨。</v>
      </c>
      <c r="AA36" s="2670"/>
      <c r="AB36" s="2670"/>
      <c r="AC36" s="2670" t="str">
        <f>"球团库存"&amp;ABS(ROUND(AC10,2))&amp;"万吨，比年初"&amp;IF(AD10&gt;=0,"↑","↓")&amp;ABS(ROUND(AD10,2))&amp;"万吨，比上月"&amp;IF(AE10&gt;=0,"↑","↓")&amp;ABS(ROUND(AE10,2))&amp;"万吨。"</f>
        <v>球团库存25.78万吨，比年初↑24.1万吨，比上月↑5.11万吨。</v>
      </c>
      <c r="AD36" s="2670"/>
      <c r="AE36" s="2670"/>
      <c r="AF36" s="2670" t="str">
        <f>"球团库存"&amp;ABS(ROUND(AF10,2))&amp;"万吨，比年初"&amp;IF(AG10&gt;=0,"↑","↓")&amp;ABS(ROUND(AG10,2))&amp;"万吨，比上月"&amp;IF(AH10&gt;=0,"↑","↓")&amp;ABS(ROUND(AH10,2))&amp;"万吨。"</f>
        <v>球团库存11.07万吨，比年初↑9.39万吨，比上月↓14.71万吨。</v>
      </c>
      <c r="AG36" s="2670"/>
      <c r="AH36" s="2670"/>
      <c r="AI36" s="2670" t="str">
        <f>"球团库存"&amp;ABS(ROUND(AI10,2))&amp;"万吨，比年初"&amp;IF(AJ10&gt;=0,"↑","↓")&amp;ABS(ROUND(AJ10,2))&amp;"万吨，比上月"&amp;IF(AK10&gt;=0,"↑","↓")&amp;ABS(ROUND(AK10,2))&amp;"万吨。"</f>
        <v>球团库存7.07万吨，比年初↑5.39万吨，比上月↓4万吨。</v>
      </c>
      <c r="AJ36" s="2670"/>
      <c r="AK36" s="2670"/>
      <c r="AL36" s="2670" t="str">
        <f>"球团库存"&amp;ABS(ROUND(AL10,2))&amp;"万吨，比年初"&amp;IF(AM10&gt;=0,"↑","↓")&amp;ABS(ROUND(AM10,2))&amp;"万吨，比上月"&amp;IF(AN10&gt;=0,"↑","↓")&amp;ABS(ROUND(AN10,2))&amp;"万吨。"</f>
        <v>球团库存3.13万吨，比年初↑1.44万吨，比上月↓3.94万吨。</v>
      </c>
      <c r="AM36" s="2670"/>
      <c r="AN36" s="2670"/>
      <c r="AO36" s="1986" t="str">
        <f t="shared" ref="AO36" si="122">"球团库存"&amp;ABS(ROUND(AO10,2))&amp;"万吨，比年初"&amp;IF(AP10&gt;=0,"↑","↓")&amp;ABS(ROUND(AP10,2))&amp;"万吨，比上月"&amp;IF(AQ10&gt;=0,"↑","↓")&amp;ABS(ROUND(AQ10,2))&amp;"万吨。"</f>
        <v>球团库存3.66万吨，比年初↑0.53万吨，比上月↑0.53万吨。</v>
      </c>
      <c r="AP36" s="1986"/>
      <c r="AQ36" s="1986"/>
      <c r="AR36" s="1986" t="str">
        <f t="shared" ref="AR36" si="123">"球团库存"&amp;ABS(ROUND(AR10,2))&amp;"万吨，比年初"&amp;IF(AS10&gt;=0,"↑","↓")&amp;ABS(ROUND(AS10,2))&amp;"万吨，比上月"&amp;IF(AT10&gt;=0,"↑","↓")&amp;ABS(ROUND(AT10,2))&amp;"万吨。"</f>
        <v>球团库存5.31万吨，比年初↑2.18万吨，比上月↑1.65万吨。</v>
      </c>
      <c r="AS36" s="1986"/>
      <c r="AT36" s="1986"/>
      <c r="AU36" s="1986" t="str">
        <f t="shared" ref="AU36" si="124">"球团库存"&amp;ABS(ROUND(AU10,2))&amp;"万吨，比年初"&amp;IF(AV10&gt;=0,"↑","↓")&amp;ABS(ROUND(AV10,2))&amp;"万吨，比上月"&amp;IF(AW10&gt;=0,"↑","↓")&amp;ABS(ROUND(AW10,2))&amp;"万吨。"</f>
        <v>球团库存4.57万吨，比年初↑1.45万吨，比上月↓0.73万吨。</v>
      </c>
      <c r="AV36" s="1986"/>
      <c r="AW36" s="1986"/>
      <c r="AX36" s="1986" t="str">
        <f t="shared" ref="AX36" si="125">"球团库存"&amp;ABS(ROUND(AX10,2))&amp;"万吨，比年初"&amp;IF(AY10&gt;=0,"↑","↓")&amp;ABS(ROUND(AY10,2))&amp;"万吨，比上月"&amp;IF(AZ10&gt;=0,"↑","↓")&amp;ABS(ROUND(AZ10,2))&amp;"万吨。"</f>
        <v>球团库存1.81万吨，比年初↓1.31万吨，比上月↓2.76万吨。</v>
      </c>
      <c r="AY36" s="1986"/>
      <c r="AZ36" s="1986"/>
      <c r="BA36" s="1986" t="str">
        <f t="shared" ref="BA36" si="126">"球团库存"&amp;ABS(ROUND(BA10,2))&amp;"万吨，比年初"&amp;IF(BB10&gt;=0,"↑","↓")&amp;ABS(ROUND(BB10,2))&amp;"万吨，比上月"&amp;IF(BC10&gt;=0,"↑","↓")&amp;ABS(ROUND(BC10,2))&amp;"万吨。"</f>
        <v>球团库存3.89万吨，比年初↑0.76万吨，比上月↑2.07万吨。</v>
      </c>
      <c r="BB36" s="1986"/>
      <c r="BC36" s="1986"/>
      <c r="BD36" s="1986" t="str">
        <f t="shared" ref="BD36" si="127">"球团库存"&amp;ABS(ROUND(BD10,2))&amp;"万吨，比年初"&amp;IF(BE10&gt;=0,"↑","↓")&amp;ABS(ROUND(BE10,2))&amp;"万吨，比上月"&amp;IF(BF10&gt;=0,"↑","↓")&amp;ABS(ROUND(BF10,2))&amp;"万吨。"</f>
        <v>球团库存2.09万吨，比年初↓1.04万吨，比上月↓1.8万吨。</v>
      </c>
      <c r="BE36" s="1986"/>
      <c r="BF36" s="1986"/>
      <c r="BG36" s="1986" t="str">
        <f t="shared" ref="BG36" si="128">"球团库存"&amp;ABS(ROUND(BG10,2))&amp;"万吨，比年初"&amp;IF(BH10&gt;=0,"↑","↓")&amp;ABS(ROUND(BH10,2))&amp;"万吨，比上月"&amp;IF(BI10&gt;=0,"↑","↓")&amp;ABS(ROUND(BI10,2))&amp;"万吨。"</f>
        <v>球团库存0.47万吨，比年初↓2.66万吨，比上月↓1.62万吨。</v>
      </c>
      <c r="BH36" s="1986"/>
      <c r="BI36" s="1986"/>
      <c r="BJ36" s="1986" t="str">
        <f t="shared" ref="BJ36" si="129">"球团库存"&amp;ABS(ROUND(BJ10,2))&amp;"万吨，比年初"&amp;IF(BK10&gt;=0,"↑","↓")&amp;ABS(ROUND(BK10,2))&amp;"万吨，比上月"&amp;IF(BL10&gt;=0,"↑","↓")&amp;ABS(ROUND(BL10,2))&amp;"万吨。"</f>
        <v>球团库存1.95万吨，比年初↓1.18万吨，比上月↑1.48万吨。</v>
      </c>
      <c r="BK36" s="1986"/>
      <c r="BL36" s="1986"/>
      <c r="BM36" s="1986" t="str">
        <f t="shared" ref="BM36" si="130">"球团库存"&amp;ABS(ROUND(BM10,2))&amp;"万吨，比年初"&amp;IF(BN10&gt;=0,"↑","↓")&amp;ABS(ROUND(BN10,2))&amp;"万吨，比上月"&amp;IF(BO10&gt;=0,"↑","↓")&amp;ABS(ROUND(BO10,2))&amp;"万吨。"</f>
        <v>球团库存0万吨，比年初↓3.13万吨，比上月↓1.95万吨。</v>
      </c>
      <c r="BN36" s="1986"/>
      <c r="BO36" s="1986"/>
      <c r="BP36" s="1986" t="str">
        <f t="shared" ref="BP36" si="131">"球团库存"&amp;ABS(ROUND(BP10,2))&amp;"万吨，比年初"&amp;IF(BQ10&gt;=0,"↑","↓")&amp;ABS(ROUND(BQ10,2))&amp;"万吨，比上月"&amp;IF(BR10&gt;=0,"↑","↓")&amp;ABS(ROUND(BR10,2))&amp;"万吨。"</f>
        <v>球团库存0万吨，比年初↓3.13万吨，比上月↑0万吨。</v>
      </c>
      <c r="BQ36" s="1986"/>
      <c r="BR36" s="1986"/>
      <c r="BS36" s="1986" t="str">
        <f t="shared" ref="BS36" si="132">"球团库存"&amp;ABS(ROUND(BS10,2))&amp;"万吨，比年初"&amp;IF(BT10&gt;=0,"↑","↓")&amp;ABS(ROUND(BT10,2))&amp;"万吨，比上月"&amp;IF(BU10&gt;=0,"↑","↓")&amp;ABS(ROUND(BU10,2))&amp;"万吨。"</f>
        <v>球团库存0万吨，比年初↓3.13万吨，比上月↑0万吨。</v>
      </c>
      <c r="BT36" s="1986"/>
      <c r="BU36" s="1986"/>
    </row>
    <row r="37" spans="3:73">
      <c r="E37" s="1200"/>
      <c r="F37" s="1200"/>
      <c r="G37" s="1200"/>
      <c r="H37" s="1200"/>
      <c r="I37" s="1208"/>
      <c r="J37" s="1208"/>
      <c r="K37" s="1200"/>
      <c r="L37" s="1208"/>
      <c r="M37" s="1208"/>
      <c r="N37" s="2668"/>
      <c r="O37" s="2668"/>
      <c r="P37" s="2668"/>
      <c r="Q37" s="2668"/>
      <c r="R37" s="2668"/>
      <c r="S37" s="2668"/>
      <c r="T37" s="2668"/>
      <c r="U37" s="2668"/>
      <c r="V37" s="2668"/>
      <c r="W37" s="2668"/>
      <c r="X37" s="2668"/>
      <c r="Y37" s="2668"/>
      <c r="Z37" s="2668"/>
      <c r="AA37" s="2668"/>
      <c r="AB37" s="2668"/>
      <c r="AC37" s="2668"/>
      <c r="AD37" s="2668"/>
      <c r="AE37" s="2668"/>
      <c r="AF37" s="2668"/>
      <c r="AG37" s="2668"/>
      <c r="AH37" s="2668"/>
      <c r="AI37" s="2668"/>
      <c r="AJ37" s="2668"/>
      <c r="AK37" s="2668"/>
      <c r="AL37" s="2668"/>
      <c r="AM37" s="2668"/>
      <c r="AN37" s="2668"/>
      <c r="AO37" s="1987"/>
      <c r="AP37" s="1987"/>
      <c r="AQ37" s="1987"/>
      <c r="AR37" s="1987"/>
      <c r="AS37" s="1987"/>
      <c r="AT37" s="1987"/>
      <c r="AU37" s="1987"/>
      <c r="AV37" s="1987"/>
      <c r="AW37" s="1987"/>
      <c r="AX37" s="1987"/>
      <c r="AY37" s="1987"/>
      <c r="AZ37" s="1987"/>
      <c r="BA37" s="1987"/>
      <c r="BB37" s="1987"/>
      <c r="BC37" s="1987"/>
      <c r="BD37" s="1987"/>
      <c r="BE37" s="1987"/>
      <c r="BF37" s="1987"/>
      <c r="BG37" s="1987"/>
      <c r="BH37" s="1987"/>
      <c r="BI37" s="1987"/>
      <c r="BJ37" s="1987"/>
      <c r="BK37" s="1987"/>
      <c r="BL37" s="1987"/>
      <c r="BM37" s="1987"/>
      <c r="BN37" s="1987"/>
      <c r="BO37" s="1987"/>
      <c r="BP37" s="1987"/>
      <c r="BQ37" s="1987"/>
      <c r="BR37" s="1987"/>
      <c r="BS37" s="1987"/>
      <c r="BT37" s="1987"/>
      <c r="BU37" s="1987"/>
    </row>
    <row r="38" spans="3:73" ht="78.75">
      <c r="C38" s="116" t="s">
        <v>96</v>
      </c>
      <c r="E38" s="1200" t="str">
        <f>"（3）峨口铁矿：矿产品库存"&amp;ROUND(E29,2)&amp;"万吨，比年初"&amp;IF(F29&gt;=0,"↑","↓")&amp;ABS(ROUND(F29,2))&amp;"万吨，比上月"&amp;IF(G29&gt;=0,"↑","↓")&amp;ABS(ROUND(G29,2))&amp;"万吨。其中："</f>
        <v>（3）峨口铁矿：矿产品库存14.27万吨，比年初↑6.38万吨，比上月↑0万吨。其中：</v>
      </c>
      <c r="F38" s="1200"/>
      <c r="G38" s="1200"/>
      <c r="H38" s="2671" t="str">
        <f>"（3）峨口铁矿：矿产品库存"&amp;ROUND(H29,2)&amp;"万吨，比年初"&amp;IF(I29&gt;=0,"↑","↓")&amp;ABS(ROUND(I29,2))&amp;"万吨，比上月"&amp;IF(J29&gt;=0,"↑","↓")&amp;ABS(ROUND(J29,2))&amp;"万吨。其中："</f>
        <v>（3）峨口铁矿：矿产品库存6.08万吨，比年初↓1.81万吨，比上月↓8.19万吨。其中：</v>
      </c>
      <c r="I38" s="2671"/>
      <c r="J38" s="2671"/>
      <c r="K38" s="2671" t="str">
        <f>"（3）峨口铁矿：矿产品库存"&amp;ROUND(K29,2)&amp;"万吨，比年初"&amp;IF(L29&gt;=0,"↑","↓")&amp;ABS(ROUND(L29,2))&amp;"万吨，比上月"&amp;IF(M29&gt;=0,"↑","↓")&amp;ABS(ROUND(M29,2))&amp;"万吨。其中："</f>
        <v>（3）峨口铁矿：矿产品库存5.77万吨，比年初↓2.12万吨，比上月↓0.31万吨。其中：</v>
      </c>
      <c r="L38" s="2671"/>
      <c r="M38" s="2671"/>
      <c r="N38" s="2671" t="str">
        <f>"（3）峨口铁矿：矿产品库存"&amp;ROUND(N29,2)&amp;"万吨，比年初"&amp;IF(O29&gt;=0,"↑","↓")&amp;ABS(ROUND(O29,2))&amp;"万吨，比上月"&amp;IF(P29&gt;=0,"↑","↓")&amp;ABS(ROUND(P29,2))&amp;"万吨。其中："</f>
        <v>（3）峨口铁矿：矿产品库存5.07万吨，比年初↓2.82万吨，比上月↓0.7万吨。其中：</v>
      </c>
      <c r="O38" s="2671"/>
      <c r="P38" s="2671"/>
      <c r="Q38" s="2671" t="str">
        <f>"（3）峨口铁矿：矿产品库存"&amp;ROUND(Q29,2)&amp;"万吨，比年初"&amp;IF(R29&gt;=0,"↑","↓")&amp;ABS(ROUND(R29,2))&amp;"万吨，比上月"&amp;IF(S29&gt;=0,"↑","↓")&amp;ABS(ROUND(S29,2))&amp;"万吨。其中："</f>
        <v>（3）峨口铁矿：矿产品库存5.96万吨，比年初↓1.93万吨，比上月↑0.89万吨。其中：</v>
      </c>
      <c r="R38" s="2671"/>
      <c r="S38" s="2671"/>
      <c r="T38" s="2671" t="str">
        <f>"（3）峨口铁矿：矿产品库存"&amp;ROUND(T29,2)&amp;"万吨，比年初"&amp;IF(U29&gt;=0,"↑","↓")&amp;ABS(ROUND(U29,2))&amp;"万吨，比上月"&amp;IF(V29&gt;=0,"↑","↓")&amp;ABS(ROUND(V29,2))&amp;"万吨。其中："</f>
        <v>（3）峨口铁矿：矿产品库存9.63万吨，比年初↑1.74万吨，比上月↑3.67万吨。其中：</v>
      </c>
      <c r="U38" s="2671"/>
      <c r="V38" s="2671"/>
      <c r="W38" s="2671" t="str">
        <f>"（3）峨口铁矿：矿产品库存"&amp;ROUND(W29,2)&amp;"万吨，比年初"&amp;IF(X29&gt;=0,"↑","↓")&amp;ABS(ROUND(X29,2))&amp;"万吨，比上月"&amp;IF(Y29&gt;=0,"↑","↓")&amp;ABS(ROUND(Y29,2))&amp;"万吨。其中："</f>
        <v>（3）峨口铁矿：矿产品库存13.68万吨，比年初↑5.79万吨，比上月↑4.05万吨。其中：</v>
      </c>
      <c r="X38" s="2671"/>
      <c r="Y38" s="2671"/>
      <c r="Z38" s="2671" t="str">
        <f>"（3）峨口铁矿：矿产品库存"&amp;ROUND(Z29,2)&amp;"万吨，比年初"&amp;IF(AA29&gt;=0,"↑","↓")&amp;ABS(ROUND(AA29,2))&amp;"万吨，比上月"&amp;IF(AB29&gt;=0,"↑","↓")&amp;ABS(ROUND(AB29,2))&amp;"万吨。其中："</f>
        <v>（3）峨口铁矿：矿产品库存13.39万吨，比年初↑5.5万吨，比上月↓0.29万吨。其中：</v>
      </c>
      <c r="AA38" s="2671"/>
      <c r="AB38" s="2671"/>
      <c r="AC38" s="2671" t="str">
        <f>"（3）峨口铁矿：矿产品库存"&amp;ROUND(AC29,2)&amp;"万吨，比年初"&amp;IF(AD29&gt;=0,"↑","↓")&amp;ABS(ROUND(AD29,2))&amp;"万吨，比上月"&amp;IF(AE29&gt;=0,"↑","↓")&amp;ABS(ROUND(AE29,2))&amp;"万吨。其中："</f>
        <v>（3）峨口铁矿：矿产品库存9.79万吨，比年初↑1.9万吨，比上月↓3.6万吨。其中：</v>
      </c>
      <c r="AD38" s="2671"/>
      <c r="AE38" s="2671"/>
      <c r="AF38" s="2671" t="str">
        <f>"（3）峨口铁矿：矿产品库存"&amp;ROUND(AF29,2)&amp;"万吨，比年初"&amp;IF(AG29&gt;=0,"↑","↓")&amp;ABS(ROUND(AG29,2))&amp;"万吨，比上月"&amp;IF(AH29&gt;=0,"↑","↓")&amp;ABS(ROUND(AH29,2))&amp;"万吨。其中："</f>
        <v>（3）峨口铁矿：矿产品库存10.89万吨，比年初↑3万吨，比上月↑1.1万吨。其中：</v>
      </c>
      <c r="AG38" s="2671"/>
      <c r="AH38" s="2671"/>
      <c r="AI38" s="2671" t="str">
        <f>"（3）峨口铁矿：矿产品库存"&amp;ROUND(AI29,2)&amp;"万吨，比年初"&amp;IF(AJ29&gt;=0,"↑","↓")&amp;ABS(ROUND(AJ29,2))&amp;"万吨，比上月"&amp;IF(AK29&gt;=0,"↑","↓")&amp;ABS(ROUND(AK29,2))&amp;"万吨。其中："</f>
        <v>（3）峨口铁矿：矿产品库存11.7万吨，比年初↑3.81万吨，比上月↑0.81万吨。其中：</v>
      </c>
      <c r="AJ38" s="2671"/>
      <c r="AK38" s="2671"/>
      <c r="AL38" s="2671" t="str">
        <f>"（3）峨口铁矿：矿产品库存"&amp;ROUND(AL29,2)&amp;"万吨，比年初"&amp;IF(AM29&gt;=0,"↑","↓")&amp;ABS(ROUND(AM29,2))&amp;"万吨，比上月"&amp;IF(AN29&gt;=0,"↑","↓")&amp;ABS(ROUND(AN29,2))&amp;"万吨。其中："</f>
        <v>（3）峨口铁矿：矿产品库存12.42万吨，比年初↑4.53万吨，比上月↑0.72万吨。其中：</v>
      </c>
      <c r="AM38" s="2671"/>
      <c r="AN38" s="2671"/>
      <c r="AO38" s="1985" t="str">
        <f t="shared" ref="AO38" si="133">"（3）峨口铁矿：矿产品库存"&amp;ROUND(AO29,2)&amp;"万吨，比年初"&amp;IF(AP29&gt;=0,"↑","↓")&amp;ABS(ROUND(AP29,2))&amp;"万吨，比上月"&amp;IF(AQ29&gt;=0,"↑","↓")&amp;ABS(ROUND(AQ29,2))&amp;"万吨。其中："</f>
        <v>（3）峨口铁矿：矿产品库存13.4万吨，比年初↑0.98万吨，比上月↑0.98万吨。其中：</v>
      </c>
      <c r="AP38" s="1985"/>
      <c r="AQ38" s="1985"/>
      <c r="AR38" s="1985" t="str">
        <f t="shared" ref="AR38" si="134">"（3）峨口铁矿：矿产品库存"&amp;ROUND(AR29,2)&amp;"万吨，比年初"&amp;IF(AS29&gt;=0,"↑","↓")&amp;ABS(ROUND(AS29,2))&amp;"万吨，比上月"&amp;IF(AT29&gt;=0,"↑","↓")&amp;ABS(ROUND(AT29,2))&amp;"万吨。其中："</f>
        <v>（3）峨口铁矿：矿产品库存0万吨，比年初↑0万吨，比上月↑0万吨。其中：</v>
      </c>
      <c r="AS38" s="1985"/>
      <c r="AT38" s="1985"/>
      <c r="AU38" s="1985" t="str">
        <f t="shared" ref="AU38" si="135">"（3）峨口铁矿：矿产品库存"&amp;ROUND(AU29,2)&amp;"万吨，比年初"&amp;IF(AV29&gt;=0,"↑","↓")&amp;ABS(ROUND(AV29,2))&amp;"万吨，比上月"&amp;IF(AW29&gt;=0,"↑","↓")&amp;ABS(ROUND(AW29,2))&amp;"万吨。其中："</f>
        <v>（3）峨口铁矿：矿产品库存0万吨，比年初↑0万吨，比上月↑0万吨。其中：</v>
      </c>
      <c r="AV38" s="1985"/>
      <c r="AW38" s="1985"/>
      <c r="AX38" s="1985" t="str">
        <f t="shared" ref="AX38" si="136">"（3）峨口铁矿：矿产品库存"&amp;ROUND(AX29,2)&amp;"万吨，比年初"&amp;IF(AY29&gt;=0,"↑","↓")&amp;ABS(ROUND(AY29,2))&amp;"万吨，比上月"&amp;IF(AZ29&gt;=0,"↑","↓")&amp;ABS(ROUND(AZ29,2))&amp;"万吨。其中："</f>
        <v>（3）峨口铁矿：矿产品库存0万吨，比年初↑0万吨，比上月↑0万吨。其中：</v>
      </c>
      <c r="AY38" s="1985"/>
      <c r="AZ38" s="1985"/>
      <c r="BA38" s="1985" t="str">
        <f t="shared" ref="BA38" si="137">"（3）峨口铁矿：矿产品库存"&amp;ROUND(BA29,2)&amp;"万吨，比年初"&amp;IF(BB29&gt;=0,"↑","↓")&amp;ABS(ROUND(BB29,2))&amp;"万吨，比上月"&amp;IF(BC29&gt;=0,"↑","↓")&amp;ABS(ROUND(BC29,2))&amp;"万吨。其中："</f>
        <v>（3）峨口铁矿：矿产品库存0万吨，比年初↑0万吨，比上月↑0万吨。其中：</v>
      </c>
      <c r="BB38" s="1985"/>
      <c r="BC38" s="1985"/>
      <c r="BD38" s="1985" t="str">
        <f t="shared" ref="BD38" si="138">"（3）峨口铁矿：矿产品库存"&amp;ROUND(BD29,2)&amp;"万吨，比年初"&amp;IF(BE29&gt;=0,"↑","↓")&amp;ABS(ROUND(BE29,2))&amp;"万吨，比上月"&amp;IF(BF29&gt;=0,"↑","↓")&amp;ABS(ROUND(BF29,2))&amp;"万吨。其中："</f>
        <v>（3）峨口铁矿：矿产品库存0万吨，比年初↑0万吨，比上月↑0万吨。其中：</v>
      </c>
      <c r="BE38" s="1985"/>
      <c r="BF38" s="1985"/>
      <c r="BG38" s="1985" t="str">
        <f t="shared" ref="BG38" si="139">"（3）峨口铁矿：矿产品库存"&amp;ROUND(BG29,2)&amp;"万吨，比年初"&amp;IF(BH29&gt;=0,"↑","↓")&amp;ABS(ROUND(BH29,2))&amp;"万吨，比上月"&amp;IF(BI29&gt;=0,"↑","↓")&amp;ABS(ROUND(BI29,2))&amp;"万吨。其中："</f>
        <v>（3）峨口铁矿：矿产品库存0万吨，比年初↑0万吨，比上月↑0万吨。其中：</v>
      </c>
      <c r="BH38" s="1985"/>
      <c r="BI38" s="1985"/>
      <c r="BJ38" s="1985" t="str">
        <f t="shared" ref="BJ38" si="140">"（3）峨口铁矿：矿产品库存"&amp;ROUND(BJ29,2)&amp;"万吨，比年初"&amp;IF(BK29&gt;=0,"↑","↓")&amp;ABS(ROUND(BK29,2))&amp;"万吨，比上月"&amp;IF(BL29&gt;=0,"↑","↓")&amp;ABS(ROUND(BL29,2))&amp;"万吨。其中："</f>
        <v>（3）峨口铁矿：矿产品库存0万吨，比年初↑0万吨，比上月↑0万吨。其中：</v>
      </c>
      <c r="BK38" s="1985"/>
      <c r="BL38" s="1985"/>
      <c r="BM38" s="1985" t="str">
        <f t="shared" ref="BM38" si="141">"（3）峨口铁矿：矿产品库存"&amp;ROUND(BM29,2)&amp;"万吨，比年初"&amp;IF(BN29&gt;=0,"↑","↓")&amp;ABS(ROUND(BN29,2))&amp;"万吨，比上月"&amp;IF(BO29&gt;=0,"↑","↓")&amp;ABS(ROUND(BO29,2))&amp;"万吨。其中："</f>
        <v>（3）峨口铁矿：矿产品库存0万吨，比年初↑0万吨，比上月↑0万吨。其中：</v>
      </c>
      <c r="BN38" s="1985"/>
      <c r="BO38" s="1985"/>
      <c r="BP38" s="1985" t="str">
        <f t="shared" ref="BP38" si="142">"（3）峨口铁矿：矿产品库存"&amp;ROUND(BP29,2)&amp;"万吨，比年初"&amp;IF(BQ29&gt;=0,"↑","↓")&amp;ABS(ROUND(BQ29,2))&amp;"万吨，比上月"&amp;IF(BR29&gt;=0,"↑","↓")&amp;ABS(ROUND(BR29,2))&amp;"万吨。其中："</f>
        <v>（3）峨口铁矿：矿产品库存0万吨，比年初↑0万吨，比上月↑0万吨。其中：</v>
      </c>
      <c r="BQ38" s="1985"/>
      <c r="BR38" s="1985"/>
      <c r="BS38" s="1985" t="str">
        <f t="shared" ref="BS38" si="143">"（3）峨口铁矿：矿产品库存"&amp;ROUND(BS29,2)&amp;"万吨，比年初"&amp;IF(BT29&gt;=0,"↑","↓")&amp;ABS(ROUND(BT29,2))&amp;"万吨，比上月"&amp;IF(BU29&gt;=0,"↑","↓")&amp;ABS(ROUND(BU29,2))&amp;"万吨。其中："</f>
        <v>（3）峨口铁矿：矿产品库存0万吨，比年初↑0万吨，比上月↑0万吨。其中：</v>
      </c>
      <c r="BT38" s="1985"/>
      <c r="BU38" s="1985"/>
    </row>
    <row r="39" spans="3:73" ht="56.25">
      <c r="E39" s="1200" t="str">
        <f>"精矿粉库存"&amp;ABS(ROUND(E5,2))&amp;"万吨，比年初"&amp;IF(F5&gt;=0,"↑","↓")&amp;ABS(ROUND(F5,2))&amp;"万吨；"</f>
        <v>精矿粉库存2.83万吨，比年初↑0.84万吨；</v>
      </c>
      <c r="F39" s="1200"/>
      <c r="G39" s="1200"/>
      <c r="H39" s="2671" t="str">
        <f>"精矿粉库存"&amp;ABS(ROUND(H5,2))&amp;"万吨，比年初"&amp;IF(I5&gt;=0,"↑","↓")&amp;ABS(ROUND(I5,2))&amp;"万吨，比上月"&amp;IF(J5&gt;=0,"↑","↓")&amp;ABS(ROUND(J5,2))&amp;"万吨；"</f>
        <v>精矿粉库存1.32万吨，比年初↓0.67万吨，比上月↓1.51万吨；</v>
      </c>
      <c r="I39" s="2671"/>
      <c r="J39" s="2671"/>
      <c r="K39" s="2671" t="str">
        <f>"精矿粉库存"&amp;ABS(ROUND(K5,2))&amp;"万吨，比年初"&amp;IF(L5&gt;=0,"↑","↓")&amp;ABS(ROUND(L5,2))&amp;"万吨，比上月"&amp;IF(M5&gt;=0,"↑","↓")&amp;ABS(ROUND(M5,2))&amp;"万吨；"</f>
        <v>精矿粉库存1.17万吨，比年初↓0.82万吨，比上月↓0.15万吨；</v>
      </c>
      <c r="L39" s="2671"/>
      <c r="M39" s="2671"/>
      <c r="N39" s="2671" t="str">
        <f>"精矿粉库存"&amp;ABS(ROUND(N5,2))&amp;"万吨，比年初"&amp;IF(O5&gt;=0,"↑","↓")&amp;ABS(ROUND(O5,2))&amp;"万吨，比上月"&amp;IF(P5&gt;=0,"↑","↓")&amp;ABS(ROUND(P5,2))&amp;"万吨；"</f>
        <v>精矿粉库存0.51万吨，比年初↓1.48万吨，比上月↓0.66万吨；</v>
      </c>
      <c r="O39" s="2671"/>
      <c r="P39" s="2671"/>
      <c r="Q39" s="2671" t="str">
        <f>"精矿粉库存"&amp;ABS(ROUND(Q5,2))&amp;"万吨，比年初"&amp;IF(R5&gt;=0,"↑","↓")&amp;ABS(ROUND(R5,2))&amp;"万吨，比上月"&amp;IF(S5&gt;=0,"↑","↓")&amp;ABS(ROUND(S5,2))&amp;"万吨；"</f>
        <v>精矿粉库存0.85万吨，比年初↓1.14万吨，比上月↑0.34万吨；</v>
      </c>
      <c r="R39" s="2671"/>
      <c r="S39" s="2671"/>
      <c r="T39" s="2671" t="str">
        <f>"精矿粉库存"&amp;ABS(ROUND(T5,2))&amp;"万吨，比年初"&amp;IF(U5&gt;=0,"↑","↓")&amp;ABS(ROUND(U5,2))&amp;"万吨，比上月"&amp;IF(V5&gt;=0,"↑","↓")&amp;ABS(ROUND(V5,2))&amp;"万吨；"</f>
        <v>精矿粉库存0.92万吨，比年初↓1.07万吨，比上月↑0.07万吨；</v>
      </c>
      <c r="U39" s="2671"/>
      <c r="V39" s="2671"/>
      <c r="W39" s="2671" t="str">
        <f>"精矿粉库存"&amp;ABS(ROUND(W5,2))&amp;"万吨，比年初"&amp;IF(X5&gt;=0,"↑","↓")&amp;ABS(ROUND(X5,2))&amp;"万吨，比上月"&amp;IF(Y5&gt;=0,"↑","↓")&amp;ABS(ROUND(Y5,2))&amp;"万吨；"</f>
        <v>精矿粉库存1.57万吨，比年初↓0.42万吨，比上月↑0.65万吨；</v>
      </c>
      <c r="X39" s="2671"/>
      <c r="Y39" s="2671"/>
      <c r="Z39" s="2671" t="str">
        <f>"精矿粉库存"&amp;ABS(ROUND(Z5,2))&amp;"万吨，比年初"&amp;IF(AA5&gt;=0,"↑","↓")&amp;ABS(ROUND(AA5,2))&amp;"万吨，比上月"&amp;IF(AB5&gt;=0,"↑","↓")&amp;ABS(ROUND(AB5,2))&amp;"万吨；"</f>
        <v>精矿粉库存2.54万吨，比年初↑0.55万吨，比上月↑0.97万吨；</v>
      </c>
      <c r="AA39" s="2671"/>
      <c r="AB39" s="2671"/>
      <c r="AC39" s="2671" t="str">
        <f>"精矿粉库存"&amp;ABS(ROUND(AC5,2))&amp;"万吨，比年初"&amp;IF(AD5&gt;=0,"↑","↓")&amp;ABS(ROUND(AD5,2))&amp;"万吨，比上月"&amp;IF(AE5&gt;=0,"↑","↓")&amp;ABS(ROUND(AE5,2))&amp;"万吨；"</f>
        <v>精矿粉库存3.66万吨，比年初↑1.67万吨，比上月↑1.12万吨；</v>
      </c>
      <c r="AD39" s="2671"/>
      <c r="AE39" s="2671"/>
      <c r="AF39" s="2671" t="str">
        <f>"精矿粉库存"&amp;ABS(ROUND(AF5,2))&amp;"万吨，比年初"&amp;IF(AG5&gt;=0,"↑","↓")&amp;ABS(ROUND(AG5,2))&amp;"万吨，比上月"&amp;IF(AH5&gt;=0,"↑","↓")&amp;ABS(ROUND(AH5,2))&amp;"万吨；"</f>
        <v>精矿粉库存1.79万吨，比年初↓0.2万吨，比上月↓1.87万吨；</v>
      </c>
      <c r="AG39" s="2671"/>
      <c r="AH39" s="2671"/>
      <c r="AI39" s="2671" t="str">
        <f>"精矿粉库存"&amp;ABS(ROUND(AI5,2))&amp;"万吨，比年初"&amp;IF(AJ5&gt;=0,"↑","↓")&amp;ABS(ROUND(AJ5,2))&amp;"万吨，比上月"&amp;IF(AK5&gt;=0,"↑","↓")&amp;ABS(ROUND(AK5,2))&amp;"万吨；"</f>
        <v>精矿粉库存1.9万吨，比年初↓0.09万吨，比上月↑0.11万吨；</v>
      </c>
      <c r="AJ39" s="2671"/>
      <c r="AK39" s="2671"/>
      <c r="AL39" s="2671" t="str">
        <f>"精矿粉库存"&amp;ABS(ROUND(AL5,2))&amp;"万吨，比年初"&amp;IF(AM5&gt;=0,"↑","↓")&amp;ABS(ROUND(AM5,2))&amp;"万吨，比上月"&amp;IF(AN5&gt;=0,"↑","↓")&amp;ABS(ROUND(AN5,2))&amp;"万吨；"</f>
        <v>精矿粉库存1.71万吨，比年初↓0.28万吨，比上月↓0.19万吨；</v>
      </c>
      <c r="AM39" s="2671"/>
      <c r="AN39" s="2671"/>
      <c r="AO39" s="1985" t="str">
        <f t="shared" ref="AO39" si="144">"精矿粉库存"&amp;ABS(ROUND(AO5,2))&amp;"万吨，比年初"&amp;IF(AP5&gt;=0,"↑","↓")&amp;ABS(ROUND(AP5,2))&amp;"万吨，比上月"&amp;IF(AQ5&gt;=0,"↑","↓")&amp;ABS(ROUND(AQ5,2))&amp;"万吨；"</f>
        <v>精矿粉库存2.26万吨，比年初↑0.55万吨，比上月↑0.55万吨；</v>
      </c>
      <c r="AP39" s="1985"/>
      <c r="AQ39" s="1985"/>
      <c r="AR39" s="1985" t="str">
        <f t="shared" ref="AR39" si="145">"精矿粉库存"&amp;ABS(ROUND(AR5,2))&amp;"万吨，比年初"&amp;IF(AS5&gt;=0,"↑","↓")&amp;ABS(ROUND(AS5,2))&amp;"万吨，比上月"&amp;IF(AT5&gt;=0,"↑","↓")&amp;ABS(ROUND(AT5,2))&amp;"万吨；"</f>
        <v>精矿粉库存0.55万吨，比年初↓1.16万吨，比上月↓1.71万吨；</v>
      </c>
      <c r="AS39" s="1985"/>
      <c r="AT39" s="1985"/>
      <c r="AU39" s="1985" t="str">
        <f t="shared" ref="AU39" si="146">"精矿粉库存"&amp;ABS(ROUND(AU5,2))&amp;"万吨，比年初"&amp;IF(AV5&gt;=0,"↑","↓")&amp;ABS(ROUND(AV5,2))&amp;"万吨，比上月"&amp;IF(AW5&gt;=0,"↑","↓")&amp;ABS(ROUND(AW5,2))&amp;"万吨；"</f>
        <v>精矿粉库存2.36万吨，比年初↑0.65万吨，比上月↑1.81万吨；</v>
      </c>
      <c r="AV39" s="1985"/>
      <c r="AW39" s="1985"/>
      <c r="AX39" s="1985" t="str">
        <f t="shared" ref="AX39" si="147">"精矿粉库存"&amp;ABS(ROUND(AX5,2))&amp;"万吨，比年初"&amp;IF(AY5&gt;=0,"↑","↓")&amp;ABS(ROUND(AY5,2))&amp;"万吨，比上月"&amp;IF(AZ5&gt;=0,"↑","↓")&amp;ABS(ROUND(AZ5,2))&amp;"万吨；"</f>
        <v>精矿粉库存0.97万吨，比年初↓0.74万吨，比上月↓1.39万吨；</v>
      </c>
      <c r="AY39" s="1985"/>
      <c r="AZ39" s="1985"/>
      <c r="BA39" s="1985" t="str">
        <f t="shared" ref="BA39" si="148">"精矿粉库存"&amp;ABS(ROUND(BA5,2))&amp;"万吨，比年初"&amp;IF(BB5&gt;=0,"↑","↓")&amp;ABS(ROUND(BB5,2))&amp;"万吨，比上月"&amp;IF(BC5&gt;=0,"↑","↓")&amp;ABS(ROUND(BC5,2))&amp;"万吨；"</f>
        <v>精矿粉库存6.09万吨，比年初↑4.38万吨，比上月↑5.12万吨；</v>
      </c>
      <c r="BB39" s="1985"/>
      <c r="BC39" s="1985"/>
      <c r="BD39" s="1985" t="str">
        <f t="shared" ref="BD39" si="149">"精矿粉库存"&amp;ABS(ROUND(BD5,2))&amp;"万吨，比年初"&amp;IF(BE5&gt;=0,"↑","↓")&amp;ABS(ROUND(BE5,2))&amp;"万吨，比上月"&amp;IF(BF5&gt;=0,"↑","↓")&amp;ABS(ROUND(BF5,2))&amp;"万吨；"</f>
        <v>精矿粉库存1.95万吨，比年初↑0.24万吨，比上月↓4.14万吨；</v>
      </c>
      <c r="BE39" s="1985"/>
      <c r="BF39" s="1985"/>
      <c r="BG39" s="1985" t="str">
        <f t="shared" ref="BG39" si="150">"精矿粉库存"&amp;ABS(ROUND(BG5,2))&amp;"万吨，比年初"&amp;IF(BH5&gt;=0,"↑","↓")&amp;ABS(ROUND(BH5,2))&amp;"万吨，比上月"&amp;IF(BI5&gt;=0,"↑","↓")&amp;ABS(ROUND(BI5,2))&amp;"万吨；"</f>
        <v>精矿粉库存5.47万吨，比年初↑3.76万吨，比上月↑3.52万吨；</v>
      </c>
      <c r="BH39" s="1985"/>
      <c r="BI39" s="1985"/>
      <c r="BJ39" s="1985" t="str">
        <f t="shared" ref="BJ39" si="151">"精矿粉库存"&amp;ABS(ROUND(BJ5,2))&amp;"万吨，比年初"&amp;IF(BK5&gt;=0,"↑","↓")&amp;ABS(ROUND(BK5,2))&amp;"万吨，比上月"&amp;IF(BL5&gt;=0,"↑","↓")&amp;ABS(ROUND(BL5,2))&amp;"万吨；"</f>
        <v>精矿粉库存3.62万吨，比年初↑1.91万吨，比上月↓1.85万吨；</v>
      </c>
      <c r="BK39" s="1985"/>
      <c r="BL39" s="1985"/>
      <c r="BM39" s="1985" t="str">
        <f t="shared" ref="BM39" si="152">"精矿粉库存"&amp;ABS(ROUND(BM5,2))&amp;"万吨，比年初"&amp;IF(BN5&gt;=0,"↑","↓")&amp;ABS(ROUND(BN5,2))&amp;"万吨，比上月"&amp;IF(BO5&gt;=0,"↑","↓")&amp;ABS(ROUND(BO5,2))&amp;"万吨；"</f>
        <v>精矿粉库存0万吨，比年初↓1.71万吨，比上月↓3.62万吨；</v>
      </c>
      <c r="BN39" s="1985"/>
      <c r="BO39" s="1985"/>
      <c r="BP39" s="1985" t="str">
        <f t="shared" ref="BP39" si="153">"精矿粉库存"&amp;ABS(ROUND(BP5,2))&amp;"万吨，比年初"&amp;IF(BQ5&gt;=0,"↑","↓")&amp;ABS(ROUND(BQ5,2))&amp;"万吨，比上月"&amp;IF(BR5&gt;=0,"↑","↓")&amp;ABS(ROUND(BR5,2))&amp;"万吨；"</f>
        <v>精矿粉库存0万吨，比年初↓1.71万吨，比上月↑0万吨；</v>
      </c>
      <c r="BQ39" s="1985"/>
      <c r="BR39" s="1985"/>
      <c r="BS39" s="1985" t="str">
        <f t="shared" ref="BS39" si="154">"精矿粉库存"&amp;ABS(ROUND(BS5,2))&amp;"万吨，比年初"&amp;IF(BT5&gt;=0,"↑","↓")&amp;ABS(ROUND(BT5,2))&amp;"万吨，比上月"&amp;IF(BU5&gt;=0,"↑","↓")&amp;ABS(ROUND(BU5,2))&amp;"万吨；"</f>
        <v>精矿粉库存0万吨，比年初↓1.71万吨，比上月↑0万吨；</v>
      </c>
      <c r="BT39" s="1985"/>
      <c r="BU39" s="1985"/>
    </row>
    <row r="40" spans="3:73" ht="56.25">
      <c r="E40" s="1200" t="str">
        <f>"球团库存"&amp;ABS(ROUND(E11,2))&amp;"万吨，比年初"&amp;IF(F11&gt;=0,"↑","↓")&amp;ABS(ROUND(F11,2))&amp;"万吨。"</f>
        <v>球团库存11.44万吨，比年初↑5.54万吨。</v>
      </c>
      <c r="F40" s="1200"/>
      <c r="G40" s="1200"/>
      <c r="H40" s="2671" t="str">
        <f>"球团库存"&amp;ABS(ROUND(H11,2))&amp;"万吨，比年初"&amp;IF(I11&gt;=0,"↑","↓")&amp;ABS(ROUND(I11,2))&amp;"万吨，比上月"&amp;IF(J11&gt;=0,"↑","↓")&amp;ABS(ROUND(J11,2))&amp;"万吨。"</f>
        <v>球团库存4.76万吨，比年初↓1.14万吨，比上月↓6.68万吨。</v>
      </c>
      <c r="I40" s="2671"/>
      <c r="J40" s="2671"/>
      <c r="K40" s="2671" t="str">
        <f>"球团库存"&amp;ABS(ROUND(K11,2))&amp;"万吨，比年初"&amp;IF(L11&gt;=0,"↑","↓")&amp;ABS(ROUND(L11,2))&amp;"万吨，比上月"&amp;IF(M11&gt;=0,"↑","↓")&amp;ABS(ROUND(M11,2))&amp;"万吨。"</f>
        <v>球团库存4.6万吨，比年初↓1.3万吨，比上月↓0.16万吨。</v>
      </c>
      <c r="L40" s="2671"/>
      <c r="M40" s="2671"/>
      <c r="N40" s="2671" t="str">
        <f>"球团库存"&amp;ABS(ROUND(N11,2))&amp;"万吨，比年初"&amp;IF(O11&gt;=0,"↑","↓")&amp;ABS(ROUND(O11,2))&amp;"万吨，比上月"&amp;IF(P11&gt;=0,"↑","↓")&amp;ABS(ROUND(P11,2))&amp;"万吨。"</f>
        <v>球团库存4.56万吨，比年初↓1.34万吨，比上月↓0.04万吨。</v>
      </c>
      <c r="O40" s="2671"/>
      <c r="P40" s="2671"/>
      <c r="Q40" s="2671" t="str">
        <f>"球团库存"&amp;ABS(ROUND(Q11,2))&amp;"万吨，比年初"&amp;IF(R11&gt;=0,"↑","↓")&amp;ABS(ROUND(R11,2))&amp;"万吨，比上月"&amp;IF(S11&gt;=0,"↑","↓")&amp;ABS(ROUND(S11,2))&amp;"万吨。"</f>
        <v>球团库存5.11万吨，比年初↓0.79万吨，比上月↑0.55万吨。</v>
      </c>
      <c r="R40" s="2671"/>
      <c r="S40" s="2671"/>
      <c r="T40" s="2671" t="str">
        <f>"球团库存"&amp;ABS(ROUND(T11,2))&amp;"万吨，比年初"&amp;IF(U11&gt;=0,"↑","↓")&amp;ABS(ROUND(U11,2))&amp;"万吨，比上月"&amp;IF(V11&gt;=0,"↑","↓")&amp;ABS(ROUND(V11,2))&amp;"万吨。"</f>
        <v>球团库存8.71万吨，比年初↑2.81万吨，比上月↑3.6万吨。</v>
      </c>
      <c r="U40" s="2671"/>
      <c r="V40" s="2671"/>
      <c r="W40" s="2671" t="str">
        <f>"球团库存"&amp;ABS(ROUND(W11,2))&amp;"万吨，比年初"&amp;IF(X11&gt;=0,"↑","↓")&amp;ABS(ROUND(X11,2))&amp;"万吨，比上月"&amp;IF(Y11&gt;=0,"↑","↓")&amp;ABS(ROUND(Y11,2))&amp;"万吨。"</f>
        <v>球团库存12.11万吨，比年初↑6.21万吨，比上月↑3.4万吨。</v>
      </c>
      <c r="X40" s="2671"/>
      <c r="Y40" s="2671"/>
      <c r="Z40" s="2671" t="str">
        <f>"球团库存"&amp;ABS(ROUND(Z11,2))&amp;"万吨，比年初"&amp;IF(AA11&gt;=0,"↑","↓")&amp;ABS(ROUND(AA11,2))&amp;"万吨，比上月"&amp;IF(AB11&gt;=0,"↑","↓")&amp;ABS(ROUND(AB11,2))&amp;"万吨。"</f>
        <v>球团库存10.85万吨，比年初↑4.95万吨，比上月↓1.26万吨。</v>
      </c>
      <c r="AA40" s="2671"/>
      <c r="AB40" s="2671"/>
      <c r="AC40" s="2671" t="str">
        <f>"球团库存"&amp;ABS(ROUND(AC11,2))&amp;"万吨，比年初"&amp;IF(AD11&gt;=0,"↑","↓")&amp;ABS(ROUND(AD11,2))&amp;"万吨，比上月"&amp;IF(AE11&gt;=0,"↑","↓")&amp;ABS(ROUND(AE11,2))&amp;"万吨。"</f>
        <v>球团库存6.13万吨，比年初↑0.23万吨，比上月↓4.72万吨。</v>
      </c>
      <c r="AD40" s="2671"/>
      <c r="AE40" s="2671"/>
      <c r="AF40" s="2671" t="str">
        <f>"球团库存"&amp;ABS(ROUND(AF11,2))&amp;"万吨，比年初"&amp;IF(AG11&gt;=0,"↑","↓")&amp;ABS(ROUND(AG11,2))&amp;"万吨，比上月"&amp;IF(AH11&gt;=0,"↑","↓")&amp;ABS(ROUND(AH11,2))&amp;"万吨。"</f>
        <v>球团库存9.1万吨，比年初↑3.2万吨，比上月↑2.97万吨。</v>
      </c>
      <c r="AG40" s="2671"/>
      <c r="AH40" s="2671"/>
      <c r="AI40" s="2671" t="str">
        <f>"球团库存"&amp;ABS(ROUND(AI11,2))&amp;"万吨，比年初"&amp;IF(AJ11&gt;=0,"↑","↓")&amp;ABS(ROUND(AJ11,2))&amp;"万吨，比上月"&amp;IF(AK11&gt;=0,"↑","↓")&amp;ABS(ROUND(AK11,2))&amp;"万吨。"</f>
        <v>球团库存9.8万吨，比年初↑3.9万吨，比上月↑0.7万吨。</v>
      </c>
      <c r="AJ40" s="2671"/>
      <c r="AK40" s="2671"/>
      <c r="AL40" s="2671" t="str">
        <f>"球团库存"&amp;ABS(ROUND(AL11,2))&amp;"万吨，比年初"&amp;IF(AM11&gt;=0,"↑","↓")&amp;ABS(ROUND(AM11,2))&amp;"万吨，比上月"&amp;IF(AN11&gt;=0,"↑","↓")&amp;ABS(ROUND(AN11,2))&amp;"万吨。"</f>
        <v>球团库存10.71万吨，比年初↑4.81万吨，比上月↑0.91万吨。</v>
      </c>
      <c r="AM40" s="2671"/>
      <c r="AN40" s="2671"/>
      <c r="AO40" s="1985" t="str">
        <f t="shared" ref="AO40" si="155">"球团库存"&amp;ABS(ROUND(AO11,2))&amp;"万吨，比年初"&amp;IF(AP11&gt;=0,"↑","↓")&amp;ABS(ROUND(AP11,2))&amp;"万吨，比上月"&amp;IF(AQ11&gt;=0,"↑","↓")&amp;ABS(ROUND(AQ11,2))&amp;"万吨。"</f>
        <v>球团库存11.14万吨，比年初↑0.43万吨，比上月↑0.43万吨。</v>
      </c>
      <c r="AP40" s="1985"/>
      <c r="AQ40" s="1985"/>
      <c r="AR40" s="1985" t="str">
        <f t="shared" ref="AR40" si="156">"球团库存"&amp;ABS(ROUND(AR11,2))&amp;"万吨，比年初"&amp;IF(AS11&gt;=0,"↑","↓")&amp;ABS(ROUND(AS11,2))&amp;"万吨，比上月"&amp;IF(AT11&gt;=0,"↑","↓")&amp;ABS(ROUND(AT11,2))&amp;"万吨。"</f>
        <v>球团库存10.68万吨，比年初↓0.03万吨，比上月↓0.46万吨。</v>
      </c>
      <c r="AS40" s="1985"/>
      <c r="AT40" s="1985"/>
      <c r="AU40" s="1985" t="str">
        <f t="shared" ref="AU40" si="157">"球团库存"&amp;ABS(ROUND(AU11,2))&amp;"万吨，比年初"&amp;IF(AV11&gt;=0,"↑","↓")&amp;ABS(ROUND(AV11,2))&amp;"万吨，比上月"&amp;IF(AW11&gt;=0,"↑","↓")&amp;ABS(ROUND(AW11,2))&amp;"万吨。"</f>
        <v>球团库存10.43万吨，比年初↓0.28万吨，比上月↓0.25万吨。</v>
      </c>
      <c r="AV40" s="1985"/>
      <c r="AW40" s="1985"/>
      <c r="AX40" s="1985" t="str">
        <f t="shared" ref="AX40" si="158">"球团库存"&amp;ABS(ROUND(AX11,2))&amp;"万吨，比年初"&amp;IF(AY11&gt;=0,"↑","↓")&amp;ABS(ROUND(AY11,2))&amp;"万吨，比上月"&amp;IF(AZ11&gt;=0,"↑","↓")&amp;ABS(ROUND(AZ11,2))&amp;"万吨。"</f>
        <v>球团库存8.06万吨，比年初↓2.65万吨，比上月↓2.37万吨。</v>
      </c>
      <c r="AY40" s="1985"/>
      <c r="AZ40" s="1985"/>
      <c r="BA40" s="1985" t="str">
        <f t="shared" ref="BA40" si="159">"球团库存"&amp;ABS(ROUND(BA11,2))&amp;"万吨，比年初"&amp;IF(BB11&gt;=0,"↑","↓")&amp;ABS(ROUND(BB11,2))&amp;"万吨，比上月"&amp;IF(BC11&gt;=0,"↑","↓")&amp;ABS(ROUND(BC11,2))&amp;"万吨。"</f>
        <v>球团库存12.62万吨，比年初↑1.91万吨，比上月↑4.56万吨。</v>
      </c>
      <c r="BB40" s="1985"/>
      <c r="BC40" s="1985"/>
      <c r="BD40" s="1985" t="str">
        <f t="shared" ref="BD40" si="160">"球团库存"&amp;ABS(ROUND(BD11,2))&amp;"万吨，比年初"&amp;IF(BE11&gt;=0,"↑","↓")&amp;ABS(ROUND(BE11,2))&amp;"万吨，比上月"&amp;IF(BF11&gt;=0,"↑","↓")&amp;ABS(ROUND(BF11,2))&amp;"万吨。"</f>
        <v>球团库存13.35万吨，比年初↑2.64万吨，比上月↑0.73万吨。</v>
      </c>
      <c r="BE40" s="1985"/>
      <c r="BF40" s="1985"/>
      <c r="BG40" s="1985" t="str">
        <f t="shared" ref="BG40" si="161">"球团库存"&amp;ABS(ROUND(BG11,2))&amp;"万吨，比年初"&amp;IF(BH11&gt;=0,"↑","↓")&amp;ABS(ROUND(BH11,2))&amp;"万吨，比上月"&amp;IF(BI11&gt;=0,"↑","↓")&amp;ABS(ROUND(BI11,2))&amp;"万吨。"</f>
        <v>球团库存6.8万吨，比年初↓3.91万吨，比上月↓6.55万吨。</v>
      </c>
      <c r="BH40" s="1985"/>
      <c r="BI40" s="1985"/>
      <c r="BJ40" s="1985" t="str">
        <f t="shared" ref="BJ40" si="162">"球团库存"&amp;ABS(ROUND(BJ11,2))&amp;"万吨，比年初"&amp;IF(BK11&gt;=0,"↑","↓")&amp;ABS(ROUND(BK11,2))&amp;"万吨，比上月"&amp;IF(BL11&gt;=0,"↑","↓")&amp;ABS(ROUND(BL11,2))&amp;"万吨。"</f>
        <v>球团库存8.59万吨，比年初↓2.12万吨，比上月↑1.79万吨。</v>
      </c>
      <c r="BK40" s="1985"/>
      <c r="BL40" s="1985"/>
      <c r="BM40" s="1985" t="str">
        <f t="shared" ref="BM40" si="163">"球团库存"&amp;ABS(ROUND(BM11,2))&amp;"万吨，比年初"&amp;IF(BN11&gt;=0,"↑","↓")&amp;ABS(ROUND(BN11,2))&amp;"万吨，比上月"&amp;IF(BO11&gt;=0,"↑","↓")&amp;ABS(ROUND(BO11,2))&amp;"万吨。"</f>
        <v>球团库存0万吨，比年初↓10.71万吨，比上月↓8.59万吨。</v>
      </c>
      <c r="BN40" s="1985"/>
      <c r="BO40" s="1985"/>
      <c r="BP40" s="1985" t="str">
        <f t="shared" ref="BP40" si="164">"球团库存"&amp;ABS(ROUND(BP11,2))&amp;"万吨，比年初"&amp;IF(BQ11&gt;=0,"↑","↓")&amp;ABS(ROUND(BQ11,2))&amp;"万吨，比上月"&amp;IF(BR11&gt;=0,"↑","↓")&amp;ABS(ROUND(BR11,2))&amp;"万吨。"</f>
        <v>球团库存0万吨，比年初↓10.71万吨，比上月↑0万吨。</v>
      </c>
      <c r="BQ40" s="1985"/>
      <c r="BR40" s="1985"/>
      <c r="BS40" s="1985" t="str">
        <f t="shared" ref="BS40" si="165">"球团库存"&amp;ABS(ROUND(BS11,2))&amp;"万吨，比年初"&amp;IF(BT11&gt;=0,"↑","↓")&amp;ABS(ROUND(BT11,2))&amp;"万吨，比上月"&amp;IF(BU11&gt;=0,"↑","↓")&amp;ABS(ROUND(BU11,2))&amp;"万吨。"</f>
        <v>球团库存0万吨，比年初↓10.71万吨，比上月↑0万吨。</v>
      </c>
      <c r="BT40" s="1985"/>
      <c r="BU40" s="1985"/>
    </row>
    <row r="41" spans="3:73">
      <c r="N41" s="1200"/>
      <c r="O41" s="1200"/>
      <c r="P41" s="1200"/>
    </row>
  </sheetData>
  <customSheetViews>
    <customSheetView guid="{1683F931-F47D-47C0-A395-D48080DC7EE6}" showPageBreaks="1" hiddenRows="1" hiddenColumns="1" topLeftCell="AP1">
      <selection activeCell="B11" sqref="A11:XFD11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 hiddenRows="1" hiddenColumns="1">
      <selection activeCell="M12" sqref="M12"/>
      <pageMargins left="0.69930555555555596" right="0.69930555555555596" top="0.75" bottom="0.75" header="0.3" footer="0.3"/>
      <pageSetup paperSize="9" orientation="portrait"/>
    </customSheetView>
    <customSheetView guid="{849C46E5-4ED4-41B9-BDA9-A6465B9DA9C2}" hiddenRows="1" hiddenColumns="1">
      <selection activeCell="AY10" sqref="AY10"/>
      <pageMargins left="0.69930555555555596" right="0.69930555555555596" top="0.75" bottom="0.75" header="0.3" footer="0.3"/>
      <pageSetup paperSize="9" orientation="portrait"/>
    </customSheetView>
    <customSheetView guid="{8C09BCDE-4B8A-4469-B3F2-7F4528A2E78D}" hiddenRows="1" hiddenColumns="1">
      <selection activeCell="AY10" sqref="AY10"/>
      <pageMargins left="0.69930555555555596" right="0.69930555555555596" top="0.75" bottom="0.75" header="0.3" footer="0.3"/>
      <pageSetup paperSize="9" orientation="portrait"/>
    </customSheetView>
    <customSheetView guid="{F4EB51F4-FD23-4D5B-8072-1AF5D59D6686}" hiddenRows="1" hiddenColumns="1" topLeftCell="AC1">
      <selection activeCell="AO23" sqref="AO23"/>
      <pageMargins left="0.69930555555555596" right="0.69930555555555596" top="0.75" bottom="0.75" header="0.3" footer="0.3"/>
      <pageSetup paperSize="9" orientation="portrait"/>
    </customSheetView>
    <customSheetView guid="{D7BCFB76-2797-401D-A6F1-E020B5162DD4}" hiddenRows="1" hiddenColumns="1">
      <pane xSplit="2" ySplit="1" topLeftCell="Q8" activePane="bottomRight" state="frozen"/>
      <selection pane="bottomRight" activeCell="BD17" sqref="BD17:BD18"/>
      <pageMargins left="0.69930555555555596" right="0.69930555555555596" top="0.75" bottom="0.75" header="0.3" footer="0.3"/>
      <pageSetup paperSize="9" orientation="portrait"/>
    </customSheetView>
    <customSheetView guid="{C9A88430-3808-49F4-8D86-BF8C70C55441}" hiddenRows="1" hiddenColumns="1">
      <selection activeCell="AT25" sqref="AT25"/>
      <pageMargins left="0.69930555555555596" right="0.69930555555555596" top="0.75" bottom="0.75" header="0.3" footer="0.3"/>
      <pageSetup paperSize="9" orientation="portrait"/>
    </customSheetView>
    <customSheetView guid="{E61FFED3-723E-484A-93A0-94E1A801AF06}" hiddenRows="1" hiddenColumns="1">
      <selection activeCell="K34" sqref="K34:M36"/>
      <pageMargins left="0.69930555555555596" right="0.69930555555555596" top="0.75" bottom="0.75" header="0.3" footer="0.3"/>
      <pageSetup paperSize="9" orientation="portrait"/>
    </customSheetView>
    <customSheetView guid="{6B5CCA07-2BDD-4B8E-9E3C-2111BBA97430}" scale="85" hiddenRows="1">
      <pane xSplit="2" ySplit="1" topLeftCell="N2" activePane="bottomRight" state="frozen"/>
      <selection pane="bottomRight" activeCell="Q34" sqref="Q34:S34"/>
      <pageMargins left="0.69930555555555596" right="0.69930555555555596" top="0.75" bottom="0.75" header="0.3" footer="0.3"/>
      <pageSetup paperSize="9" orientation="portrait" r:id="rId2"/>
    </customSheetView>
    <customSheetView guid="{2F47A827-9643-4D8A-AC5D-6B09D79AACF9}" hiddenRows="1" hiddenColumns="1">
      <selection activeCell="M12" sqref="M12"/>
      <pageMargins left="0.69930555555555596" right="0.69930555555555596" top="0.75" bottom="0.75" header="0.3" footer="0.3"/>
      <pageSetup paperSize="9" orientation="portrait"/>
    </customSheetView>
    <customSheetView guid="{B37168A1-DBAB-4BDE-9F92-6261DCDF3D92}" hiddenRows="1" hiddenColumns="1">
      <selection activeCell="W32" sqref="W32:Y32"/>
      <pageMargins left="0.69930555555555596" right="0.69930555555555596" top="0.75" bottom="0.75" header="0.3" footer="0.3"/>
      <pageSetup paperSize="9" orientation="portrait"/>
    </customSheetView>
    <customSheetView guid="{AE0DD889-C13C-4059-8024-0F5B234827E9}" hiddenRows="1" hiddenColumns="1" topLeftCell="A10">
      <selection activeCell="AO39" sqref="AO39"/>
      <pageMargins left="0.69930555555555596" right="0.69930555555555596" top="0.75" bottom="0.75" header="0.3" footer="0.3"/>
      <pageSetup paperSize="9" orientation="portrait"/>
    </customSheetView>
    <customSheetView guid="{CCBBD9B0-4191-4D7A-9F7B-BAC044A49153}" hiddenRows="1" hiddenColumns="1">
      <selection activeCell="AQ19" sqref="AQ19"/>
      <pageMargins left="0.69930555555555596" right="0.69930555555555596" top="0.75" bottom="0.75" header="0.3" footer="0.3"/>
      <pageSetup paperSize="9" orientation="portrait"/>
    </customSheetView>
    <customSheetView guid="{F5F9735B-EE22-4AC6-B5AB-C856ED6C133D}" hiddenRows="1" hiddenColumns="1">
      <selection activeCell="AS21" sqref="AS21"/>
      <pageMargins left="0.69930555555555596" right="0.69930555555555596" top="0.75" bottom="0.75" header="0.3" footer="0.3"/>
      <pageSetup paperSize="9" orientation="portrait"/>
    </customSheetView>
    <customSheetView guid="{45B4C0D1-53B6-4553-BFF9-393760B8E0CE}" hiddenRows="1" hiddenColumns="1" topLeftCell="A25">
      <selection activeCell="AV36" sqref="AV36"/>
      <pageMargins left="0.69930555555555596" right="0.69930555555555596" top="0.75" bottom="0.75" header="0.3" footer="0.3"/>
      <pageSetup paperSize="9" orientation="portrait"/>
    </customSheetView>
    <customSheetView guid="{1BBD1596-143E-4714-99EF-E3545231CCD1}" hiddenRows="1">
      <selection activeCell="E24" sqref="E24"/>
      <pageMargins left="0.69930555555555596" right="0.69930555555555596" top="0.75" bottom="0.75" header="0.3" footer="0.3"/>
      <pageSetup paperSize="9" orientation="portrait"/>
    </customSheetView>
    <customSheetView guid="{A8456D60-99BA-4794-8966-0CBA0A37EA6F}" hiddenRows="1">
      <selection activeCell="E24" sqref="E24"/>
      <pageMargins left="0.69930555555555596" right="0.69930555555555596" top="0.75" bottom="0.75" header="0.3" footer="0.3"/>
      <pageSetup paperSize="9" orientation="portrait"/>
    </customSheetView>
    <customSheetView guid="{500C3980-ED13-4C97-96B1-955D50509B66}" hiddenRows="1" hiddenColumns="1" topLeftCell="A7">
      <selection activeCell="AS31" sqref="AS31"/>
      <pageMargins left="0.69930555555555596" right="0.69930555555555596" top="0.75" bottom="0.75" header="0.3" footer="0.3"/>
      <pageSetup paperSize="9" orientation="portrait"/>
    </customSheetView>
    <customSheetView guid="{3B943BAF-34C7-494A-A071-85DE0891E5A1}" hiddenRows="1">
      <selection activeCell="H19" sqref="H19"/>
      <pageMargins left="0.69930555555555596" right="0.69930555555555596" top="0.75" bottom="0.75" header="0.3" footer="0.3"/>
      <pageSetup paperSize="9" orientation="portrait"/>
    </customSheetView>
    <customSheetView guid="{EEE4B3DA-ADF6-49CC-9873-068FE5927B92}" hiddenRows="1" hiddenColumns="1">
      <selection activeCell="M12" sqref="M12"/>
      <pageMargins left="0.69930555555555596" right="0.69930555555555596" top="0.75" bottom="0.75" header="0.3" footer="0.3"/>
      <pageSetup paperSize="9" orientation="portrait"/>
    </customSheetView>
    <customSheetView guid="{C52D0F53-4D1D-4D01-B833-260359FD02A5}" hiddenRows="1" hiddenColumns="1">
      <selection activeCell="N4" sqref="N4"/>
      <pageMargins left="0.69930555555555596" right="0.69930555555555596" top="0.75" bottom="0.75" header="0.3" footer="0.3"/>
      <pageSetup paperSize="9" orientation="portrait"/>
    </customSheetView>
    <customSheetView guid="{6A1E79C9-91E3-4EEA-8ABB-4446083299EC}" hiddenRows="1" hiddenColumns="1">
      <selection activeCell="AP26" sqref="AP26"/>
      <pageMargins left="0.69930555555555596" right="0.69930555555555596" top="0.75" bottom="0.75" header="0.3" footer="0.3"/>
      <pageSetup paperSize="9" orientation="portrait"/>
    </customSheetView>
    <customSheetView guid="{8B80B510-C931-46B1-8591-DEA916D76593}" hiddenRows="1" topLeftCell="D1">
      <selection activeCell="M24" sqref="M24:R24"/>
      <pageMargins left="0.69930555555555596" right="0.69930555555555596" top="0.75" bottom="0.75" header="0.3" footer="0.3"/>
      <pageSetup paperSize="9" orientation="portrait"/>
    </customSheetView>
    <customSheetView guid="{303A9D89-611D-4504-BCAA-071C53B021F7}" hiddenRows="1">
      <selection activeCell="E24" sqref="E24"/>
      <pageMargins left="0.69930555555555596" right="0.69930555555555596" top="0.75" bottom="0.75" header="0.3" footer="0.3"/>
      <pageSetup paperSize="9" orientation="portrait"/>
    </customSheetView>
    <customSheetView guid="{4583A87D-5DFF-47BD-849A-FA4AAF2B9CE3}" hiddenRows="1">
      <selection activeCell="H19" sqref="H19"/>
      <pageMargins left="0.69930555555555596" right="0.69930555555555596" top="0.75" bottom="0.75" header="0.3" footer="0.3"/>
      <pageSetup paperSize="9" orientation="portrait"/>
    </customSheetView>
    <customSheetView guid="{EA856AC2-CDFF-46B6-B0C4-30449DF132F4}" hiddenRows="1" hiddenColumns="1">
      <selection activeCell="M12" sqref="M12"/>
      <pageMargins left="0.69930555555555596" right="0.69930555555555596" top="0.75" bottom="0.75" header="0.3" footer="0.3"/>
      <pageSetup paperSize="9" orientation="portrait"/>
    </customSheetView>
    <customSheetView guid="{322A45A6-8B26-49B8-A4D9-EFB3C94A758D}" hiddenRows="1" hiddenColumns="1">
      <selection activeCell="BJ23" sqref="BJ23"/>
      <pageMargins left="0.69930555555555596" right="0.69930555555555596" top="0.75" bottom="0.75" header="0.3" footer="0.3"/>
      <pageSetup paperSize="9" orientation="portrait" r:id="rId3"/>
    </customSheetView>
  </customSheetViews>
  <mergeCells count="109">
    <mergeCell ref="AI40:AK40"/>
    <mergeCell ref="AL40:AN40"/>
    <mergeCell ref="A2:A12"/>
    <mergeCell ref="A13:A21"/>
    <mergeCell ref="H40:J40"/>
    <mergeCell ref="K40:M40"/>
    <mergeCell ref="N40:P40"/>
    <mergeCell ref="Q40:S40"/>
    <mergeCell ref="T40:V40"/>
    <mergeCell ref="W40:Y40"/>
    <mergeCell ref="Z40:AB40"/>
    <mergeCell ref="AC40:AE40"/>
    <mergeCell ref="AF40:AH40"/>
    <mergeCell ref="AI38:AK38"/>
    <mergeCell ref="AL38:AN38"/>
    <mergeCell ref="H39:J39"/>
    <mergeCell ref="K39:M39"/>
    <mergeCell ref="N39:P39"/>
    <mergeCell ref="Q39:S39"/>
    <mergeCell ref="T39:V39"/>
    <mergeCell ref="W39:Y39"/>
    <mergeCell ref="Z39:AB39"/>
    <mergeCell ref="AC39:AE39"/>
    <mergeCell ref="AF39:AH39"/>
    <mergeCell ref="AI39:AK39"/>
    <mergeCell ref="AL39:AN39"/>
    <mergeCell ref="H38:J38"/>
    <mergeCell ref="K38:M38"/>
    <mergeCell ref="N38:P38"/>
    <mergeCell ref="Q38:S38"/>
    <mergeCell ref="T38:V38"/>
    <mergeCell ref="W38:Y38"/>
    <mergeCell ref="Z38:AB38"/>
    <mergeCell ref="AC38:AE38"/>
    <mergeCell ref="AF38:AH38"/>
    <mergeCell ref="AI36:AK36"/>
    <mergeCell ref="AL36:AN36"/>
    <mergeCell ref="N37:P37"/>
    <mergeCell ref="Q37:S37"/>
    <mergeCell ref="T37:V37"/>
    <mergeCell ref="W37:Y37"/>
    <mergeCell ref="Z37:AB37"/>
    <mergeCell ref="AC37:AE37"/>
    <mergeCell ref="AF37:AH37"/>
    <mergeCell ref="AI37:AK37"/>
    <mergeCell ref="AL37:AN37"/>
    <mergeCell ref="H36:J36"/>
    <mergeCell ref="K36:M36"/>
    <mergeCell ref="N36:P36"/>
    <mergeCell ref="Q36:S36"/>
    <mergeCell ref="T36:V36"/>
    <mergeCell ref="W36:Y36"/>
    <mergeCell ref="Z36:AB36"/>
    <mergeCell ref="AC36:AE36"/>
    <mergeCell ref="AF36:AH36"/>
    <mergeCell ref="AI34:AK34"/>
    <mergeCell ref="AL34:AN34"/>
    <mergeCell ref="H35:J35"/>
    <mergeCell ref="K35:M35"/>
    <mergeCell ref="N35:P35"/>
    <mergeCell ref="Q35:S35"/>
    <mergeCell ref="T35:V35"/>
    <mergeCell ref="W35:Y35"/>
    <mergeCell ref="Z35:AB35"/>
    <mergeCell ref="AC35:AE35"/>
    <mergeCell ref="AF35:AH35"/>
    <mergeCell ref="AI35:AK35"/>
    <mergeCell ref="AL35:AN35"/>
    <mergeCell ref="H34:J34"/>
    <mergeCell ref="K34:M34"/>
    <mergeCell ref="N34:P34"/>
    <mergeCell ref="Q34:S34"/>
    <mergeCell ref="T34:V34"/>
    <mergeCell ref="W34:Y34"/>
    <mergeCell ref="Z34:AB34"/>
    <mergeCell ref="AC34:AE34"/>
    <mergeCell ref="AF34:AH34"/>
    <mergeCell ref="N33:P33"/>
    <mergeCell ref="Q33:S33"/>
    <mergeCell ref="T33:V33"/>
    <mergeCell ref="W33:Y33"/>
    <mergeCell ref="Z33:AB33"/>
    <mergeCell ref="AC33:AE33"/>
    <mergeCell ref="AF33:AH33"/>
    <mergeCell ref="AI33:AK33"/>
    <mergeCell ref="AL33:AN33"/>
    <mergeCell ref="AF31:AH31"/>
    <mergeCell ref="AI31:AK31"/>
    <mergeCell ref="AL31:AN31"/>
    <mergeCell ref="H32:J32"/>
    <mergeCell ref="K32:M32"/>
    <mergeCell ref="N32:P32"/>
    <mergeCell ref="Q32:S32"/>
    <mergeCell ref="T32:V32"/>
    <mergeCell ref="W32:Y32"/>
    <mergeCell ref="Z32:AB32"/>
    <mergeCell ref="AC32:AE32"/>
    <mergeCell ref="AF32:AH32"/>
    <mergeCell ref="AI32:AK32"/>
    <mergeCell ref="AL32:AN32"/>
    <mergeCell ref="A1:B1"/>
    <mergeCell ref="H31:J31"/>
    <mergeCell ref="K31:M31"/>
    <mergeCell ref="N31:P31"/>
    <mergeCell ref="Q31:S31"/>
    <mergeCell ref="T31:V31"/>
    <mergeCell ref="W31:Y31"/>
    <mergeCell ref="Z31:AB31"/>
    <mergeCell ref="AC31:AE31"/>
  </mergeCells>
  <phoneticPr fontId="133" type="noConversion"/>
  <pageMargins left="0.69930555555555596" right="0.69930555555555596" top="0.75" bottom="0.75" header="0.3" footer="0.3"/>
  <pageSetup paperSize="9" orientation="portrait" r:id="rId4"/>
  <legacy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-0.249977111117893"/>
  </sheetPr>
  <dimension ref="A1:CW111"/>
  <sheetViews>
    <sheetView zoomScale="115" zoomScaleNormal="100" workbookViewId="0">
      <pane xSplit="52" ySplit="3" topLeftCell="BV64" activePane="bottomRight" state="frozen"/>
      <selection pane="topRight" activeCell="BA1" sqref="BA1"/>
      <selection pane="bottomLeft" activeCell="A4" sqref="A4"/>
      <selection pane="bottomRight" activeCell="CM88" sqref="CM88"/>
    </sheetView>
  </sheetViews>
  <sheetFormatPr defaultColWidth="9" defaultRowHeight="12"/>
  <cols>
    <col min="1" max="1" width="9" style="1015"/>
    <col min="2" max="2" width="23.5" style="1016" customWidth="1"/>
    <col min="3" max="4" width="11.5" style="1015" hidden="1" customWidth="1"/>
    <col min="5" max="6" width="11.375" style="1017" hidden="1" customWidth="1"/>
    <col min="7" max="8" width="10.375" style="1017" hidden="1" customWidth="1"/>
    <col min="9" max="9" width="11.375" style="1017" hidden="1" customWidth="1"/>
    <col min="10" max="10" width="10.375" style="1017" hidden="1" customWidth="1"/>
    <col min="11" max="15" width="11.375" style="1017" hidden="1" customWidth="1"/>
    <col min="16" max="16" width="10.375" style="1017" hidden="1" customWidth="1"/>
    <col min="17" max="17" width="11.375" style="1017" hidden="1" customWidth="1"/>
    <col min="18" max="18" width="10.375" style="1017" hidden="1" customWidth="1"/>
    <col min="19" max="20" width="11.375" style="1017" hidden="1" customWidth="1"/>
    <col min="21" max="21" width="10.375" style="1017" hidden="1" customWidth="1"/>
    <col min="22" max="22" width="11.25" style="1017" hidden="1" customWidth="1"/>
    <col min="23" max="24" width="11.5" style="1017" hidden="1" customWidth="1"/>
    <col min="25" max="26" width="12.75" style="1017" hidden="1" customWidth="1"/>
    <col min="27" max="28" width="11.5" style="1017" hidden="1" customWidth="1"/>
    <col min="29" max="30" width="10.5" style="1015" hidden="1" customWidth="1"/>
    <col min="31" max="31" width="11.75" style="1015" hidden="1" customWidth="1"/>
    <col min="32" max="32" width="9.5" style="1015" hidden="1" customWidth="1"/>
    <col min="33" max="33" width="13.25" style="1015" hidden="1" customWidth="1"/>
    <col min="34" max="34" width="10.5" style="1015" hidden="1" customWidth="1"/>
    <col min="35" max="35" width="9.25" style="1015" hidden="1" customWidth="1"/>
    <col min="36" max="52" width="9" style="1015" hidden="1" customWidth="1"/>
    <col min="53" max="53" width="9" style="1015" bestFit="1" customWidth="1"/>
    <col min="54" max="54" width="12.75" style="1015" bestFit="1" customWidth="1"/>
    <col min="55" max="60" width="9" style="1015"/>
    <col min="61" max="62" width="10.5" style="1015" customWidth="1"/>
    <col min="63" max="72" width="9" style="1015"/>
    <col min="73" max="74" width="9.375" style="1015" bestFit="1" customWidth="1"/>
    <col min="75" max="75" width="9" style="1015"/>
    <col min="76" max="76" width="10.375" style="1015" customWidth="1"/>
    <col min="77" max="77" width="12.25" style="1015" bestFit="1" customWidth="1"/>
    <col min="78" max="78" width="9.625" style="1015" customWidth="1"/>
    <col min="79" max="84" width="9" style="1015" customWidth="1"/>
    <col min="85" max="85" width="9.5" style="1015" customWidth="1"/>
    <col min="86" max="100" width="9" style="1015" customWidth="1"/>
    <col min="101" max="16384" width="9" style="1015"/>
  </cols>
  <sheetData>
    <row r="1" spans="1:100" s="163" customFormat="1">
      <c r="B1" s="163" t="s">
        <v>0</v>
      </c>
      <c r="C1" s="163">
        <v>2017</v>
      </c>
      <c r="D1" s="163">
        <v>2017</v>
      </c>
      <c r="E1" s="163">
        <v>2018</v>
      </c>
      <c r="F1" s="163">
        <v>2018</v>
      </c>
      <c r="G1" s="163">
        <v>2018</v>
      </c>
      <c r="H1" s="163">
        <v>2018</v>
      </c>
      <c r="I1" s="163">
        <v>2018</v>
      </c>
      <c r="J1" s="163">
        <v>2018</v>
      </c>
      <c r="K1" s="163">
        <v>2018</v>
      </c>
      <c r="L1" s="163">
        <v>2018</v>
      </c>
      <c r="M1" s="163">
        <v>2018</v>
      </c>
      <c r="N1" s="163">
        <v>2018</v>
      </c>
      <c r="O1" s="163">
        <v>2018</v>
      </c>
      <c r="P1" s="163">
        <v>2018</v>
      </c>
      <c r="Q1" s="163">
        <v>2018</v>
      </c>
      <c r="R1" s="163">
        <v>2018</v>
      </c>
      <c r="S1" s="163">
        <v>2018</v>
      </c>
      <c r="T1" s="163">
        <v>2018</v>
      </c>
      <c r="U1" s="163">
        <v>2018</v>
      </c>
      <c r="V1" s="163">
        <v>2018</v>
      </c>
      <c r="W1" s="163">
        <v>2018</v>
      </c>
      <c r="X1" s="163">
        <v>2018</v>
      </c>
      <c r="Y1" s="163">
        <v>2018</v>
      </c>
      <c r="Z1" s="163">
        <v>2018</v>
      </c>
      <c r="AA1" s="163">
        <v>2018</v>
      </c>
      <c r="AB1" s="163">
        <v>2018</v>
      </c>
      <c r="AC1" s="163">
        <v>2019</v>
      </c>
      <c r="AD1" s="163">
        <v>2019</v>
      </c>
      <c r="AE1" s="163">
        <v>2019</v>
      </c>
      <c r="AF1" s="163">
        <v>2019</v>
      </c>
      <c r="AG1" s="163">
        <v>2019</v>
      </c>
      <c r="AH1" s="163">
        <v>2019</v>
      </c>
      <c r="AI1" s="163">
        <v>2019</v>
      </c>
      <c r="AJ1" s="163">
        <v>2019</v>
      </c>
      <c r="AK1" s="163">
        <v>2019</v>
      </c>
      <c r="AL1" s="163">
        <v>2019</v>
      </c>
      <c r="AM1" s="163">
        <v>2019</v>
      </c>
      <c r="AN1" s="163">
        <v>2019</v>
      </c>
      <c r="AO1" s="163">
        <v>2019</v>
      </c>
      <c r="AP1" s="163">
        <v>2019</v>
      </c>
      <c r="AQ1" s="163">
        <v>2019</v>
      </c>
      <c r="AR1" s="163">
        <v>2019</v>
      </c>
      <c r="AS1" s="163">
        <v>2019</v>
      </c>
      <c r="AT1" s="163">
        <v>2019</v>
      </c>
      <c r="AU1" s="163">
        <v>2019</v>
      </c>
      <c r="AV1" s="163">
        <v>2019</v>
      </c>
      <c r="AW1" s="163">
        <v>2019</v>
      </c>
      <c r="AX1" s="163">
        <v>2019</v>
      </c>
      <c r="AY1" s="163">
        <v>2019</v>
      </c>
      <c r="AZ1" s="163">
        <v>2019</v>
      </c>
      <c r="BA1" s="163">
        <v>2020</v>
      </c>
      <c r="BB1" s="163">
        <v>2020</v>
      </c>
      <c r="BC1" s="163">
        <v>2020</v>
      </c>
      <c r="BD1" s="163">
        <v>2020</v>
      </c>
      <c r="BE1" s="163">
        <v>2020</v>
      </c>
      <c r="BF1" s="163">
        <v>2020</v>
      </c>
      <c r="BG1" s="163">
        <v>2020</v>
      </c>
      <c r="BH1" s="163">
        <v>2020</v>
      </c>
      <c r="BI1" s="163">
        <v>2020</v>
      </c>
      <c r="BJ1" s="163">
        <v>2020</v>
      </c>
      <c r="BK1" s="163">
        <v>2020</v>
      </c>
      <c r="BL1" s="163">
        <v>2020</v>
      </c>
      <c r="BM1" s="163">
        <v>2020</v>
      </c>
      <c r="BN1" s="163">
        <v>2020</v>
      </c>
      <c r="BO1" s="163">
        <v>2020</v>
      </c>
      <c r="BP1" s="163">
        <v>2020</v>
      </c>
      <c r="BQ1" s="163">
        <v>2020</v>
      </c>
      <c r="BR1" s="163">
        <v>2020</v>
      </c>
      <c r="BS1" s="163">
        <v>2020</v>
      </c>
      <c r="BT1" s="163">
        <v>2020</v>
      </c>
      <c r="BU1" s="163">
        <v>2020</v>
      </c>
      <c r="BV1" s="163">
        <v>2020</v>
      </c>
      <c r="BW1" s="163">
        <v>2020</v>
      </c>
      <c r="BX1" s="163">
        <v>2020</v>
      </c>
      <c r="BY1" s="163">
        <v>2021</v>
      </c>
      <c r="BZ1" s="163">
        <v>2021</v>
      </c>
      <c r="CA1" s="163">
        <v>2021</v>
      </c>
      <c r="CB1" s="163">
        <v>2021</v>
      </c>
      <c r="CC1" s="163">
        <v>2021</v>
      </c>
      <c r="CD1" s="163">
        <v>2021</v>
      </c>
      <c r="CE1" s="163">
        <v>2021</v>
      </c>
      <c r="CF1" s="163">
        <v>2021</v>
      </c>
      <c r="CG1" s="163">
        <v>2021</v>
      </c>
      <c r="CH1" s="163">
        <v>2021</v>
      </c>
      <c r="CI1" s="163">
        <v>2021</v>
      </c>
      <c r="CJ1" s="163">
        <v>2021</v>
      </c>
      <c r="CK1" s="163">
        <v>2021</v>
      </c>
      <c r="CL1" s="163">
        <v>2021</v>
      </c>
      <c r="CM1" s="163">
        <v>2021</v>
      </c>
      <c r="CN1" s="163">
        <v>2021</v>
      </c>
      <c r="CO1" s="163">
        <v>2021</v>
      </c>
      <c r="CP1" s="163">
        <v>2021</v>
      </c>
      <c r="CQ1" s="163">
        <v>2021</v>
      </c>
      <c r="CR1" s="163">
        <v>2021</v>
      </c>
      <c r="CS1" s="163">
        <v>2021</v>
      </c>
      <c r="CT1" s="163">
        <v>2021</v>
      </c>
      <c r="CU1" s="163">
        <v>2021</v>
      </c>
      <c r="CV1" s="163">
        <v>2021</v>
      </c>
    </row>
    <row r="2" spans="1:100" s="163" customFormat="1">
      <c r="B2" s="163" t="s">
        <v>1</v>
      </c>
      <c r="C2" s="163">
        <v>12</v>
      </c>
      <c r="D2" s="163">
        <v>12</v>
      </c>
      <c r="E2" s="163">
        <v>1</v>
      </c>
      <c r="F2" s="163">
        <v>1</v>
      </c>
      <c r="G2" s="163">
        <v>2</v>
      </c>
      <c r="H2" s="163">
        <v>2</v>
      </c>
      <c r="I2" s="163">
        <v>3</v>
      </c>
      <c r="J2" s="163">
        <v>3</v>
      </c>
      <c r="K2" s="163">
        <v>4</v>
      </c>
      <c r="L2" s="163">
        <v>4</v>
      </c>
      <c r="M2" s="163">
        <v>5</v>
      </c>
      <c r="N2" s="163">
        <v>5</v>
      </c>
      <c r="O2" s="163">
        <v>6</v>
      </c>
      <c r="P2" s="163">
        <v>6</v>
      </c>
      <c r="Q2" s="163">
        <v>7</v>
      </c>
      <c r="R2" s="163">
        <v>7</v>
      </c>
      <c r="S2" s="163">
        <v>8</v>
      </c>
      <c r="T2" s="163">
        <v>8</v>
      </c>
      <c r="U2" s="163">
        <v>9</v>
      </c>
      <c r="V2" s="163">
        <v>9</v>
      </c>
      <c r="W2" s="163">
        <v>10</v>
      </c>
      <c r="X2" s="163">
        <v>10</v>
      </c>
      <c r="Y2" s="163">
        <v>11</v>
      </c>
      <c r="Z2" s="163">
        <v>11</v>
      </c>
      <c r="AA2" s="163">
        <v>12</v>
      </c>
      <c r="AB2" s="163">
        <v>12</v>
      </c>
      <c r="AC2" s="163">
        <v>1</v>
      </c>
      <c r="AD2" s="163">
        <v>1</v>
      </c>
      <c r="AE2" s="163">
        <v>2</v>
      </c>
      <c r="AF2" s="163">
        <v>2</v>
      </c>
      <c r="AG2" s="163">
        <v>3</v>
      </c>
      <c r="AH2" s="163">
        <v>3</v>
      </c>
      <c r="AI2" s="163">
        <v>4</v>
      </c>
      <c r="AJ2" s="163">
        <v>4</v>
      </c>
      <c r="AK2" s="163">
        <v>5</v>
      </c>
      <c r="AL2" s="163">
        <v>5</v>
      </c>
      <c r="AM2" s="163">
        <v>6</v>
      </c>
      <c r="AN2" s="163">
        <v>6</v>
      </c>
      <c r="AO2" s="163">
        <v>7</v>
      </c>
      <c r="AP2" s="163">
        <v>7</v>
      </c>
      <c r="AQ2" s="163">
        <v>8</v>
      </c>
      <c r="AR2" s="163">
        <v>8</v>
      </c>
      <c r="AS2" s="163">
        <v>9</v>
      </c>
      <c r="AT2" s="163">
        <v>9</v>
      </c>
      <c r="AU2" s="163">
        <v>10</v>
      </c>
      <c r="AV2" s="163">
        <v>10</v>
      </c>
      <c r="AW2" s="163">
        <v>11</v>
      </c>
      <c r="AX2" s="163">
        <v>11</v>
      </c>
      <c r="AY2" s="163">
        <v>12</v>
      </c>
      <c r="AZ2" s="163">
        <v>12</v>
      </c>
      <c r="BA2" s="163">
        <v>1</v>
      </c>
      <c r="BB2" s="163">
        <v>1</v>
      </c>
      <c r="BC2" s="163">
        <v>2</v>
      </c>
      <c r="BD2" s="163">
        <v>2</v>
      </c>
      <c r="BE2" s="163">
        <v>3</v>
      </c>
      <c r="BF2" s="163">
        <v>3</v>
      </c>
      <c r="BG2" s="163">
        <v>4</v>
      </c>
      <c r="BH2" s="163">
        <v>4</v>
      </c>
      <c r="BI2" s="163">
        <v>5</v>
      </c>
      <c r="BJ2" s="163">
        <v>5</v>
      </c>
      <c r="BK2" s="163">
        <v>6</v>
      </c>
      <c r="BL2" s="163">
        <v>6</v>
      </c>
      <c r="BM2" s="163">
        <v>7</v>
      </c>
      <c r="BN2" s="163">
        <v>7</v>
      </c>
      <c r="BO2" s="163">
        <v>8</v>
      </c>
      <c r="BP2" s="163">
        <v>8</v>
      </c>
      <c r="BQ2" s="163">
        <v>9</v>
      </c>
      <c r="BR2" s="163">
        <v>9</v>
      </c>
      <c r="BS2" s="163">
        <v>10</v>
      </c>
      <c r="BT2" s="163">
        <v>10</v>
      </c>
      <c r="BU2" s="163">
        <v>11</v>
      </c>
      <c r="BV2" s="163">
        <v>11</v>
      </c>
      <c r="BW2" s="163">
        <v>12</v>
      </c>
      <c r="BX2" s="163">
        <v>12</v>
      </c>
      <c r="BY2" s="163">
        <v>1</v>
      </c>
      <c r="BZ2" s="163">
        <v>1</v>
      </c>
      <c r="CA2" s="163">
        <v>2</v>
      </c>
      <c r="CB2" s="163">
        <v>2</v>
      </c>
      <c r="CC2" s="163">
        <v>3</v>
      </c>
      <c r="CD2" s="163">
        <v>3</v>
      </c>
      <c r="CE2" s="163">
        <v>4</v>
      </c>
      <c r="CF2" s="163">
        <v>4</v>
      </c>
      <c r="CG2" s="163">
        <v>5</v>
      </c>
      <c r="CH2" s="163">
        <v>5</v>
      </c>
      <c r="CI2" s="163">
        <v>6</v>
      </c>
      <c r="CJ2" s="163">
        <v>6</v>
      </c>
      <c r="CK2" s="163">
        <v>7</v>
      </c>
      <c r="CL2" s="163">
        <v>7</v>
      </c>
      <c r="CM2" s="163">
        <v>8</v>
      </c>
      <c r="CN2" s="163">
        <v>8</v>
      </c>
      <c r="CO2" s="163">
        <v>9</v>
      </c>
      <c r="CP2" s="163">
        <v>9</v>
      </c>
      <c r="CQ2" s="163">
        <v>10</v>
      </c>
      <c r="CR2" s="163">
        <v>10</v>
      </c>
      <c r="CS2" s="163">
        <v>11</v>
      </c>
      <c r="CT2" s="163">
        <v>11</v>
      </c>
      <c r="CU2" s="163">
        <v>12</v>
      </c>
      <c r="CV2" s="163">
        <v>12</v>
      </c>
    </row>
    <row r="3" spans="1:100" s="1006" customFormat="1">
      <c r="B3" s="1018"/>
      <c r="C3" s="1018" t="s">
        <v>69</v>
      </c>
      <c r="D3" s="1018" t="s">
        <v>39</v>
      </c>
      <c r="E3" s="1018" t="s">
        <v>69</v>
      </c>
      <c r="F3" s="1018" t="s">
        <v>39</v>
      </c>
      <c r="G3" s="1018" t="s">
        <v>69</v>
      </c>
      <c r="H3" s="1018" t="s">
        <v>39</v>
      </c>
      <c r="I3" s="1018" t="s">
        <v>69</v>
      </c>
      <c r="J3" s="1018" t="s">
        <v>39</v>
      </c>
      <c r="K3" s="1018" t="s">
        <v>69</v>
      </c>
      <c r="L3" s="1018" t="s">
        <v>39</v>
      </c>
      <c r="M3" s="1018" t="s">
        <v>69</v>
      </c>
      <c r="N3" s="1018" t="s">
        <v>39</v>
      </c>
      <c r="O3" s="1018" t="s">
        <v>69</v>
      </c>
      <c r="P3" s="1018" t="s">
        <v>39</v>
      </c>
      <c r="Q3" s="1018" t="s">
        <v>69</v>
      </c>
      <c r="R3" s="1018" t="s">
        <v>39</v>
      </c>
      <c r="S3" s="1018" t="s">
        <v>69</v>
      </c>
      <c r="T3" s="1018" t="s">
        <v>39</v>
      </c>
      <c r="U3" s="1018" t="s">
        <v>69</v>
      </c>
      <c r="V3" s="1018" t="s">
        <v>39</v>
      </c>
      <c r="W3" s="1018" t="s">
        <v>69</v>
      </c>
      <c r="X3" s="1018" t="s">
        <v>39</v>
      </c>
      <c r="Y3" s="1018" t="s">
        <v>69</v>
      </c>
      <c r="Z3" s="1018" t="s">
        <v>39</v>
      </c>
      <c r="AA3" s="1018" t="s">
        <v>69</v>
      </c>
      <c r="AB3" s="1018" t="s">
        <v>39</v>
      </c>
      <c r="AC3" s="1018" t="s">
        <v>69</v>
      </c>
      <c r="AD3" s="1018" t="s">
        <v>39</v>
      </c>
      <c r="AE3" s="1018" t="s">
        <v>69</v>
      </c>
      <c r="AF3" s="1018" t="s">
        <v>39</v>
      </c>
      <c r="AG3" s="1018" t="s">
        <v>69</v>
      </c>
      <c r="AH3" s="1018" t="s">
        <v>39</v>
      </c>
      <c r="AI3" s="1018" t="s">
        <v>69</v>
      </c>
      <c r="AJ3" s="1018" t="s">
        <v>39</v>
      </c>
      <c r="AK3" s="1018" t="s">
        <v>69</v>
      </c>
      <c r="AL3" s="1018" t="s">
        <v>39</v>
      </c>
      <c r="AM3" s="1018" t="s">
        <v>69</v>
      </c>
      <c r="AN3" s="1018" t="s">
        <v>39</v>
      </c>
      <c r="AO3" s="1018" t="s">
        <v>69</v>
      </c>
      <c r="AP3" s="1018" t="s">
        <v>39</v>
      </c>
      <c r="AQ3" s="1018" t="s">
        <v>69</v>
      </c>
      <c r="AR3" s="1018" t="s">
        <v>39</v>
      </c>
      <c r="AS3" s="1018" t="s">
        <v>69</v>
      </c>
      <c r="AT3" s="1018" t="s">
        <v>39</v>
      </c>
      <c r="AU3" s="1018" t="s">
        <v>69</v>
      </c>
      <c r="AV3" s="1018" t="s">
        <v>39</v>
      </c>
      <c r="AW3" s="1018" t="s">
        <v>69</v>
      </c>
      <c r="AX3" s="1018" t="s">
        <v>39</v>
      </c>
      <c r="AY3" s="1018" t="s">
        <v>69</v>
      </c>
      <c r="AZ3" s="1018" t="s">
        <v>39</v>
      </c>
      <c r="BA3" s="1018" t="s">
        <v>69</v>
      </c>
      <c r="BB3" s="1018" t="s">
        <v>39</v>
      </c>
      <c r="BC3" s="1018" t="s">
        <v>69</v>
      </c>
      <c r="BD3" s="1018" t="s">
        <v>39</v>
      </c>
      <c r="BE3" s="1018" t="s">
        <v>69</v>
      </c>
      <c r="BF3" s="1018" t="s">
        <v>39</v>
      </c>
      <c r="BG3" s="1018" t="s">
        <v>69</v>
      </c>
      <c r="BH3" s="1018" t="s">
        <v>39</v>
      </c>
      <c r="BI3" s="1018" t="s">
        <v>69</v>
      </c>
      <c r="BJ3" s="1018" t="s">
        <v>39</v>
      </c>
      <c r="BK3" s="1018" t="s">
        <v>69</v>
      </c>
      <c r="BL3" s="1018" t="s">
        <v>39</v>
      </c>
      <c r="BM3" s="1018" t="s">
        <v>69</v>
      </c>
      <c r="BN3" s="1018" t="s">
        <v>39</v>
      </c>
      <c r="BO3" s="1018" t="s">
        <v>69</v>
      </c>
      <c r="BP3" s="1018" t="s">
        <v>39</v>
      </c>
      <c r="BQ3" s="1018" t="s">
        <v>69</v>
      </c>
      <c r="BR3" s="1018" t="s">
        <v>39</v>
      </c>
      <c r="BS3" s="1018" t="s">
        <v>69</v>
      </c>
      <c r="BT3" s="1018" t="s">
        <v>39</v>
      </c>
      <c r="BU3" s="1018" t="s">
        <v>69</v>
      </c>
      <c r="BV3" s="1018" t="s">
        <v>39</v>
      </c>
      <c r="BW3" s="1018" t="s">
        <v>69</v>
      </c>
      <c r="BX3" s="1018" t="s">
        <v>39</v>
      </c>
      <c r="BY3" s="1018" t="s">
        <v>69</v>
      </c>
      <c r="BZ3" s="1018" t="s">
        <v>39</v>
      </c>
      <c r="CA3" s="1018" t="s">
        <v>69</v>
      </c>
      <c r="CB3" s="1018" t="s">
        <v>39</v>
      </c>
      <c r="CC3" s="1018" t="s">
        <v>69</v>
      </c>
      <c r="CD3" s="1018" t="s">
        <v>39</v>
      </c>
      <c r="CE3" s="1018" t="s">
        <v>69</v>
      </c>
      <c r="CF3" s="1018" t="s">
        <v>39</v>
      </c>
      <c r="CG3" s="1018" t="s">
        <v>69</v>
      </c>
      <c r="CH3" s="1018" t="s">
        <v>39</v>
      </c>
      <c r="CI3" s="1018" t="s">
        <v>69</v>
      </c>
      <c r="CJ3" s="1018" t="s">
        <v>39</v>
      </c>
      <c r="CK3" s="1018" t="s">
        <v>69</v>
      </c>
      <c r="CL3" s="1018" t="s">
        <v>39</v>
      </c>
      <c r="CM3" s="1018" t="s">
        <v>69</v>
      </c>
      <c r="CN3" s="1018" t="s">
        <v>39</v>
      </c>
      <c r="CO3" s="1018" t="s">
        <v>69</v>
      </c>
      <c r="CP3" s="1018" t="s">
        <v>39</v>
      </c>
      <c r="CQ3" s="1018" t="s">
        <v>69</v>
      </c>
      <c r="CR3" s="1018" t="s">
        <v>39</v>
      </c>
      <c r="CS3" s="1018" t="s">
        <v>69</v>
      </c>
      <c r="CT3" s="1018" t="s">
        <v>39</v>
      </c>
      <c r="CU3" s="1018" t="s">
        <v>69</v>
      </c>
      <c r="CV3" s="1018" t="s">
        <v>39</v>
      </c>
    </row>
    <row r="4" spans="1:100" s="1007" customFormat="1">
      <c r="B4" s="1019" t="s">
        <v>508</v>
      </c>
      <c r="C4" s="1020">
        <f t="shared" ref="C4:AL4" si="0">C5+C29+C57+C58+C59</f>
        <v>882245.88799999992</v>
      </c>
      <c r="D4" s="1020">
        <f t="shared" si="0"/>
        <v>559233.15008599998</v>
      </c>
      <c r="E4" s="1020">
        <f t="shared" si="0"/>
        <v>784075.38899999997</v>
      </c>
      <c r="F4" s="1020">
        <f t="shared" si="0"/>
        <v>530706.07483048923</v>
      </c>
      <c r="G4" s="1020">
        <f t="shared" si="0"/>
        <v>641584.49399999995</v>
      </c>
      <c r="H4" s="1020">
        <f t="shared" si="0"/>
        <v>417991.06520222116</v>
      </c>
      <c r="I4" s="1020">
        <f t="shared" si="0"/>
        <v>896451.35300000024</v>
      </c>
      <c r="J4" s="1020">
        <f t="shared" si="0"/>
        <v>612395.06237933005</v>
      </c>
      <c r="K4" s="1020">
        <f t="shared" si="0"/>
        <v>774745.13400000008</v>
      </c>
      <c r="L4" s="1020">
        <f t="shared" si="0"/>
        <v>518475.95129656553</v>
      </c>
      <c r="M4" s="1020">
        <f t="shared" si="0"/>
        <v>824570.44</v>
      </c>
      <c r="N4" s="1020">
        <f t="shared" si="0"/>
        <v>544587.10202999995</v>
      </c>
      <c r="O4" s="1020">
        <f t="shared" si="0"/>
        <v>799473.27600000007</v>
      </c>
      <c r="P4" s="1020">
        <f t="shared" si="0"/>
        <v>520884.51957617345</v>
      </c>
      <c r="Q4" s="1020">
        <f t="shared" si="0"/>
        <v>757028.74399999995</v>
      </c>
      <c r="R4" s="1020">
        <f t="shared" si="0"/>
        <v>513342.65819599997</v>
      </c>
      <c r="S4" s="1020">
        <f t="shared" si="0"/>
        <v>812933.35799999989</v>
      </c>
      <c r="T4" s="1020">
        <f t="shared" si="0"/>
        <v>535210.13508472429</v>
      </c>
      <c r="U4" s="1020">
        <f t="shared" si="0"/>
        <v>733678.27399999998</v>
      </c>
      <c r="V4" s="1020">
        <f t="shared" si="0"/>
        <v>500483.60757860937</v>
      </c>
      <c r="W4" s="1020">
        <f t="shared" si="0"/>
        <v>778511</v>
      </c>
      <c r="X4" s="1020">
        <f t="shared" si="0"/>
        <v>513293</v>
      </c>
      <c r="Y4" s="1020">
        <f t="shared" si="0"/>
        <v>728071.13599999994</v>
      </c>
      <c r="Z4" s="1020">
        <f t="shared" si="0"/>
        <v>481040.30909600004</v>
      </c>
      <c r="AA4" s="1020">
        <f t="shared" si="0"/>
        <v>882050.22600000002</v>
      </c>
      <c r="AB4" s="1020">
        <f t="shared" si="0"/>
        <v>522204.74940271286</v>
      </c>
      <c r="AC4" s="1020">
        <f t="shared" si="0"/>
        <v>742264.81500000006</v>
      </c>
      <c r="AD4" s="1020">
        <f t="shared" si="0"/>
        <v>454409.38214627659</v>
      </c>
      <c r="AE4" s="1020">
        <f t="shared" si="0"/>
        <v>709077.63499999989</v>
      </c>
      <c r="AF4" s="1020">
        <f t="shared" si="0"/>
        <v>414094.47528332507</v>
      </c>
      <c r="AG4" s="1020">
        <f t="shared" si="0"/>
        <v>871030.73699999996</v>
      </c>
      <c r="AH4" s="1020">
        <f t="shared" si="0"/>
        <v>562232.92842246382</v>
      </c>
      <c r="AI4" s="1020">
        <f t="shared" si="0"/>
        <v>785562.01300000004</v>
      </c>
      <c r="AJ4" s="1020">
        <f t="shared" si="0"/>
        <v>500653.99151338002</v>
      </c>
      <c r="AK4" s="1020">
        <f t="shared" si="0"/>
        <v>775798.2030000001</v>
      </c>
      <c r="AL4" s="1020">
        <f t="shared" si="0"/>
        <v>506619.02847161138</v>
      </c>
      <c r="AM4" s="1007">
        <v>731612.29</v>
      </c>
      <c r="AN4" s="1007">
        <v>484331.70376939297</v>
      </c>
      <c r="AO4" s="1020">
        <f t="shared" ref="AO4:BL4" si="1">AO5+AO29+AO57+AO58+AO59</f>
        <v>818595.28699999989</v>
      </c>
      <c r="AP4" s="1020">
        <f t="shared" si="1"/>
        <v>506365.44298545865</v>
      </c>
      <c r="AQ4" s="1020">
        <f t="shared" si="1"/>
        <v>825674.01</v>
      </c>
      <c r="AR4" s="1020">
        <f t="shared" si="1"/>
        <v>543096.35244520893</v>
      </c>
      <c r="AS4" s="1020">
        <f t="shared" si="1"/>
        <v>786622.41700000002</v>
      </c>
      <c r="AT4" s="1020">
        <f t="shared" si="1"/>
        <v>522860.32366080792</v>
      </c>
      <c r="AU4" s="1020">
        <f t="shared" si="1"/>
        <v>742423.10699999996</v>
      </c>
      <c r="AV4" s="1020">
        <f t="shared" si="1"/>
        <v>457140.94841578917</v>
      </c>
      <c r="AW4" s="1020">
        <f t="shared" si="1"/>
        <v>778124.48900000018</v>
      </c>
      <c r="AX4" s="1020">
        <f t="shared" si="1"/>
        <v>459113.86576404457</v>
      </c>
      <c r="AY4" s="1020">
        <f t="shared" si="1"/>
        <v>888920.375</v>
      </c>
      <c r="AZ4" s="1020">
        <f t="shared" si="1"/>
        <v>516268.5363312948</v>
      </c>
      <c r="BA4" s="1020">
        <f t="shared" si="1"/>
        <v>711186.68400000001</v>
      </c>
      <c r="BB4" s="1020">
        <f t="shared" si="1"/>
        <v>393118.92922871257</v>
      </c>
      <c r="BC4" s="1020">
        <f t="shared" si="1"/>
        <v>749668.47200000007</v>
      </c>
      <c r="BD4" s="1020">
        <f t="shared" si="1"/>
        <v>435979.83234800003</v>
      </c>
      <c r="BE4" s="1020">
        <f t="shared" si="1"/>
        <v>823881.65500000014</v>
      </c>
      <c r="BF4" s="1020">
        <f t="shared" si="1"/>
        <v>501021.61161334353</v>
      </c>
      <c r="BG4" s="1020">
        <f t="shared" si="1"/>
        <v>909675.44799999997</v>
      </c>
      <c r="BH4" s="1020">
        <f t="shared" si="1"/>
        <v>535525.04037167551</v>
      </c>
      <c r="BI4" s="1020">
        <f t="shared" si="1"/>
        <v>845101.51899999985</v>
      </c>
      <c r="BJ4" s="1020">
        <f t="shared" si="1"/>
        <v>482828.89503836189</v>
      </c>
      <c r="BK4" s="1020">
        <f t="shared" si="1"/>
        <v>697477.59699999995</v>
      </c>
      <c r="BL4" s="1020">
        <f t="shared" si="1"/>
        <v>427437.05208674161</v>
      </c>
      <c r="BM4" s="1020">
        <f>BM5+BM29+BM57+BM58+BM59</f>
        <v>620069.4580000001</v>
      </c>
      <c r="BN4" s="1020">
        <f>BN5+BN29+BN57+BN58+BN59</f>
        <v>408497.89888381999</v>
      </c>
      <c r="BO4" s="1020">
        <f>BO5+BO29+BO57+BO58+BO59</f>
        <v>669377.96100000001</v>
      </c>
      <c r="BP4" s="1020">
        <f>BP5+BP29+BP57+BP58+BP59</f>
        <v>424640.86130566761</v>
      </c>
      <c r="BQ4" s="1020">
        <f t="shared" ref="BQ4:BV4" si="2">BQ5+BQ29+BQ57+BQ58+BQ59</f>
        <v>619006.37099999993</v>
      </c>
      <c r="BR4" s="1020">
        <f t="shared" si="2"/>
        <v>406098.18840098125</v>
      </c>
      <c r="BS4" s="1020">
        <f t="shared" si="2"/>
        <v>806085.50900000008</v>
      </c>
      <c r="BT4" s="1020">
        <f t="shared" si="2"/>
        <v>515456.36329122045</v>
      </c>
      <c r="BU4" s="1020">
        <f t="shared" si="2"/>
        <v>908745.6590000001</v>
      </c>
      <c r="BV4" s="1020">
        <f t="shared" si="2"/>
        <v>549111.33191402757</v>
      </c>
      <c r="BW4" s="1020">
        <f>BW5+BW29+BW57+BW58+BW59</f>
        <v>932142.55200000003</v>
      </c>
      <c r="BX4" s="1020">
        <f>BX5+BX29+BX57+BX58+BX59</f>
        <v>582469.74916811229</v>
      </c>
      <c r="BY4" s="1020">
        <f t="shared" ref="BY4:CV4" si="3">BY5+BY29+BY57+BY58+BY59</f>
        <v>887688.18099999998</v>
      </c>
      <c r="BZ4" s="1020">
        <f t="shared" si="3"/>
        <v>579848.54079860321</v>
      </c>
      <c r="CA4" s="1020">
        <f t="shared" si="3"/>
        <v>814445.88900000008</v>
      </c>
      <c r="CB4" s="1020">
        <f t="shared" si="3"/>
        <v>565569.95133800001</v>
      </c>
      <c r="CC4" s="1020">
        <f t="shared" si="3"/>
        <v>974284.56700000004</v>
      </c>
      <c r="CD4" s="1020">
        <f t="shared" si="3"/>
        <v>706960.08548265928</v>
      </c>
      <c r="CE4" s="1020">
        <f t="shared" si="3"/>
        <v>984648.85399999993</v>
      </c>
      <c r="CF4" s="1020">
        <f t="shared" si="3"/>
        <v>734388.44154628401</v>
      </c>
      <c r="CG4" s="1020">
        <f t="shared" si="3"/>
        <v>1034317.4770000001</v>
      </c>
      <c r="CH4" s="1020">
        <f t="shared" si="3"/>
        <v>811444.4762391604</v>
      </c>
      <c r="CI4" s="1020">
        <f t="shared" si="3"/>
        <v>985771.30300000007</v>
      </c>
      <c r="CJ4" s="1020">
        <f t="shared" si="3"/>
        <v>751414.63159898296</v>
      </c>
      <c r="CK4" s="1020">
        <f t="shared" si="3"/>
        <v>996170.45900000015</v>
      </c>
      <c r="CL4" s="1020">
        <f t="shared" si="3"/>
        <v>818452.46547517972</v>
      </c>
      <c r="CM4" s="1020">
        <f t="shared" si="3"/>
        <v>1001523</v>
      </c>
      <c r="CN4" s="1020">
        <f t="shared" si="3"/>
        <v>828207</v>
      </c>
      <c r="CO4" s="1020">
        <f t="shared" si="3"/>
        <v>0</v>
      </c>
      <c r="CP4" s="1020">
        <f t="shared" si="3"/>
        <v>0</v>
      </c>
      <c r="CQ4" s="1020">
        <f t="shared" si="3"/>
        <v>0</v>
      </c>
      <c r="CR4" s="1020">
        <f t="shared" si="3"/>
        <v>0</v>
      </c>
      <c r="CS4" s="1020">
        <f t="shared" si="3"/>
        <v>0</v>
      </c>
      <c r="CT4" s="1020">
        <f t="shared" si="3"/>
        <v>0</v>
      </c>
      <c r="CU4" s="1020">
        <f t="shared" si="3"/>
        <v>0</v>
      </c>
      <c r="CV4" s="1020">
        <f t="shared" si="3"/>
        <v>0</v>
      </c>
    </row>
    <row r="5" spans="1:100" s="1008" customFormat="1">
      <c r="A5" s="1008" t="s">
        <v>52</v>
      </c>
      <c r="B5" s="1021" t="s">
        <v>509</v>
      </c>
      <c r="C5" s="1022">
        <f t="shared" ref="C5:Z5" si="4">C7+C10+C15+C16+C18+C21+C26+C6+C28+C27</f>
        <v>576311.326</v>
      </c>
      <c r="D5" s="1022">
        <f t="shared" si="4"/>
        <v>227615.56578100001</v>
      </c>
      <c r="E5" s="1022">
        <f t="shared" si="4"/>
        <v>498673.65400000004</v>
      </c>
      <c r="F5" s="1022">
        <f t="shared" si="4"/>
        <v>201777.38567700004</v>
      </c>
      <c r="G5" s="1022">
        <f t="shared" si="4"/>
        <v>422420.02899999998</v>
      </c>
      <c r="H5" s="1022">
        <f t="shared" si="4"/>
        <v>168211.88434900003</v>
      </c>
      <c r="I5" s="1022">
        <f t="shared" si="4"/>
        <v>560542.10300000012</v>
      </c>
      <c r="J5" s="1022">
        <f t="shared" si="4"/>
        <v>228746.603515</v>
      </c>
      <c r="K5" s="1022">
        <f t="shared" si="4"/>
        <v>498036.71299999999</v>
      </c>
      <c r="L5" s="1022">
        <f t="shared" si="4"/>
        <v>197220.65320500004</v>
      </c>
      <c r="M5" s="1022">
        <f t="shared" si="4"/>
        <v>547238.48599999992</v>
      </c>
      <c r="N5" s="1022">
        <f t="shared" si="4"/>
        <v>218309.82580599998</v>
      </c>
      <c r="O5" s="1022">
        <f t="shared" si="4"/>
        <v>529182.86199999996</v>
      </c>
      <c r="P5" s="1022">
        <f t="shared" si="4"/>
        <v>216564.95920599997</v>
      </c>
      <c r="Q5" s="1022">
        <f t="shared" si="4"/>
        <v>494156.70900000003</v>
      </c>
      <c r="R5" s="1022">
        <f t="shared" si="4"/>
        <v>209971.00813199996</v>
      </c>
      <c r="S5" s="1022">
        <f t="shared" si="4"/>
        <v>545267.82699999993</v>
      </c>
      <c r="T5" s="1022">
        <f t="shared" si="4"/>
        <v>223125.92360600014</v>
      </c>
      <c r="U5" s="1022">
        <f t="shared" si="4"/>
        <v>468284.32300000003</v>
      </c>
      <c r="V5" s="1022">
        <f t="shared" si="4"/>
        <v>197971.27745899992</v>
      </c>
      <c r="W5" s="1022">
        <f t="shared" si="4"/>
        <v>509513</v>
      </c>
      <c r="X5" s="1022">
        <f t="shared" si="4"/>
        <v>207341</v>
      </c>
      <c r="Y5" s="1022">
        <f t="shared" si="4"/>
        <v>481432.50900000002</v>
      </c>
      <c r="Z5" s="1022">
        <f t="shared" si="4"/>
        <v>197045.28625499996</v>
      </c>
      <c r="AA5" s="1022">
        <f t="shared" ref="AA5:AL5" si="5">AA7+AA10+AA15+AA16+AA18+AA21+AA26+AA6+AA28+AA27</f>
        <v>615038.33200000005</v>
      </c>
      <c r="AB5" s="1022">
        <f t="shared" si="5"/>
        <v>228857.56637299995</v>
      </c>
      <c r="AC5" s="1022">
        <f t="shared" si="5"/>
        <v>484131.63600000006</v>
      </c>
      <c r="AD5" s="1022">
        <f t="shared" si="5"/>
        <v>167757.98055799995</v>
      </c>
      <c r="AE5" s="1022">
        <f t="shared" si="5"/>
        <v>472793.16899999999</v>
      </c>
      <c r="AF5" s="1022">
        <f t="shared" si="5"/>
        <v>170734.32919700004</v>
      </c>
      <c r="AG5" s="1045">
        <f t="shared" si="5"/>
        <v>545491.58600000001</v>
      </c>
      <c r="AH5" s="1045">
        <f t="shared" si="5"/>
        <v>207299.33079500002</v>
      </c>
      <c r="AI5" s="1045">
        <f t="shared" si="5"/>
        <v>540263.72700000007</v>
      </c>
      <c r="AJ5" s="1045">
        <f t="shared" si="5"/>
        <v>217805.82143300003</v>
      </c>
      <c r="AK5" s="1045">
        <f t="shared" si="5"/>
        <v>527306.1370000001</v>
      </c>
      <c r="AL5" s="1045">
        <f t="shared" si="5"/>
        <v>212568.65400000001</v>
      </c>
      <c r="AM5" s="1008">
        <v>482187.18199999997</v>
      </c>
      <c r="AN5" s="1008">
        <v>198912.784101</v>
      </c>
      <c r="AO5" s="1045">
        <f t="shared" ref="AO5:BL5" si="6">AO7+AO10+AO15+AO16+AO18+AO21+AO26+AO6+AO28+AO27</f>
        <v>568721.18099999987</v>
      </c>
      <c r="AP5" s="1045">
        <f t="shared" si="6"/>
        <v>219676.31869100002</v>
      </c>
      <c r="AQ5" s="1045">
        <f t="shared" si="6"/>
        <v>546464.24000000011</v>
      </c>
      <c r="AR5" s="1045">
        <f t="shared" si="6"/>
        <v>214526.98216000001</v>
      </c>
      <c r="AS5" s="1045">
        <f t="shared" si="6"/>
        <v>492967.69800000003</v>
      </c>
      <c r="AT5" s="1045">
        <f t="shared" si="6"/>
        <v>190557.41264499997</v>
      </c>
      <c r="AU5" s="1045">
        <f t="shared" si="6"/>
        <v>478099.96299999999</v>
      </c>
      <c r="AV5" s="1045">
        <f t="shared" si="6"/>
        <v>174603.29699899998</v>
      </c>
      <c r="AW5" s="1045">
        <f t="shared" si="6"/>
        <v>533360.56200000015</v>
      </c>
      <c r="AX5" s="1045">
        <f t="shared" si="6"/>
        <v>198855.72803999999</v>
      </c>
      <c r="AY5" s="1045">
        <f t="shared" si="6"/>
        <v>595240.21299999999</v>
      </c>
      <c r="AZ5" s="1045">
        <f t="shared" si="6"/>
        <v>216003.87305300002</v>
      </c>
      <c r="BA5" s="1045">
        <f t="shared" si="6"/>
        <v>517583.50400000002</v>
      </c>
      <c r="BB5" s="1045">
        <f t="shared" si="6"/>
        <v>190704.983087</v>
      </c>
      <c r="BC5" s="1045">
        <f t="shared" si="6"/>
        <v>508291.70400000003</v>
      </c>
      <c r="BD5" s="1045">
        <f t="shared" si="6"/>
        <v>189414.06057500001</v>
      </c>
      <c r="BE5" s="1045">
        <f t="shared" si="6"/>
        <v>556272.79300000006</v>
      </c>
      <c r="BF5" s="1045">
        <f t="shared" si="6"/>
        <v>198532.25455008898</v>
      </c>
      <c r="BG5" s="1045">
        <f t="shared" si="6"/>
        <v>611302.64500000002</v>
      </c>
      <c r="BH5" s="1045">
        <f t="shared" si="6"/>
        <v>218744.94979899997</v>
      </c>
      <c r="BI5" s="1045">
        <f t="shared" si="6"/>
        <v>542858.88099999994</v>
      </c>
      <c r="BJ5" s="1045">
        <f t="shared" si="6"/>
        <v>191808.475687</v>
      </c>
      <c r="BK5" s="1045">
        <f t="shared" si="6"/>
        <v>427807.05300000001</v>
      </c>
      <c r="BL5" s="1045">
        <f t="shared" si="6"/>
        <v>164965.10624845701</v>
      </c>
      <c r="BM5" s="1045">
        <f>BM7+BM10+BM15+BM16+BM18+BM21+BM26+BM6+BM28+BM27</f>
        <v>369939.83600000001</v>
      </c>
      <c r="BN5" s="1045">
        <f>BN7+BN10+BN15+BN16+BN18+BN21+BN26+BN6+BN28+BN27</f>
        <v>143857.21601682398</v>
      </c>
      <c r="BO5" s="1045">
        <f>BO7+BO10+BO15+BO16+BO18+BO21+BO26+BO6+BO28+BO27</f>
        <v>439851.84599999996</v>
      </c>
      <c r="BP5" s="1045">
        <f>BP7+BP10+BP15+BP16+BP18+BP21+BP26+BP6+BP28+BP27</f>
        <v>172563.38949100001</v>
      </c>
      <c r="BQ5" s="1045">
        <f t="shared" ref="BQ5:BV5" si="7">BQ7+BQ10+BQ15+BQ16+BQ18+BQ21+BQ26+BQ6+BQ28+BQ27</f>
        <v>367157.77399999998</v>
      </c>
      <c r="BR5" s="1045">
        <f t="shared" si="7"/>
        <v>150526.13533299998</v>
      </c>
      <c r="BS5" s="1045">
        <f t="shared" si="7"/>
        <v>520337.84</v>
      </c>
      <c r="BT5" s="1045">
        <f t="shared" si="7"/>
        <v>207887.91096500002</v>
      </c>
      <c r="BU5" s="1045">
        <f t="shared" si="7"/>
        <v>605749.30800000008</v>
      </c>
      <c r="BV5" s="1045">
        <f t="shared" si="7"/>
        <v>232145.20217900001</v>
      </c>
      <c r="BW5" s="1045">
        <f>BW7+BW10+BW15+BW16+BW18+BW21+BW26+BW6+BW28+BW27</f>
        <v>599606.49800000002</v>
      </c>
      <c r="BX5" s="1045">
        <f>BX7+BX10+BX15+BX16+BX18+BX21+BX26+BX6+BX28+BX27</f>
        <v>241849.109761</v>
      </c>
      <c r="BY5" s="1045">
        <f t="shared" ref="BY5:CV5" si="8">BY7+BY10+BY15+BY16+BY18+BY21+BY26+BY6+BY28+BY27</f>
        <v>578350.34</v>
      </c>
      <c r="BZ5" s="1045">
        <f t="shared" si="8"/>
        <v>250789.561212</v>
      </c>
      <c r="CA5" s="1045">
        <f t="shared" si="8"/>
        <v>555278.03100000008</v>
      </c>
      <c r="CB5" s="1045">
        <f t="shared" si="8"/>
        <v>257581.458534</v>
      </c>
      <c r="CC5" s="1045">
        <f t="shared" si="8"/>
        <v>687182.37699999998</v>
      </c>
      <c r="CD5" s="1045">
        <f t="shared" si="8"/>
        <v>342729.295866</v>
      </c>
      <c r="CE5" s="1045">
        <f t="shared" si="8"/>
        <v>705050.245</v>
      </c>
      <c r="CF5" s="1045">
        <f t="shared" si="8"/>
        <v>379005.42051899998</v>
      </c>
      <c r="CG5" s="1045">
        <f t="shared" si="8"/>
        <v>709930.76400000008</v>
      </c>
      <c r="CH5" s="1045">
        <f t="shared" si="8"/>
        <v>399962.888484</v>
      </c>
      <c r="CI5" s="1045">
        <f t="shared" si="8"/>
        <v>694510.20200000005</v>
      </c>
      <c r="CJ5" s="1045">
        <f t="shared" si="8"/>
        <v>391078.01686000003</v>
      </c>
      <c r="CK5" s="1045">
        <f t="shared" si="8"/>
        <v>666262.69000000006</v>
      </c>
      <c r="CL5" s="1045">
        <f t="shared" si="8"/>
        <v>338926.55758699996</v>
      </c>
      <c r="CM5" s="1045">
        <f t="shared" si="8"/>
        <v>701081</v>
      </c>
      <c r="CN5" s="1045">
        <f t="shared" si="8"/>
        <v>398602</v>
      </c>
      <c r="CO5" s="1045">
        <f t="shared" si="8"/>
        <v>0</v>
      </c>
      <c r="CP5" s="1045">
        <f t="shared" si="8"/>
        <v>0</v>
      </c>
      <c r="CQ5" s="1045">
        <f t="shared" si="8"/>
        <v>0</v>
      </c>
      <c r="CR5" s="1045">
        <f t="shared" si="8"/>
        <v>0</v>
      </c>
      <c r="CS5" s="1045">
        <f t="shared" si="8"/>
        <v>0</v>
      </c>
      <c r="CT5" s="1045">
        <f t="shared" si="8"/>
        <v>0</v>
      </c>
      <c r="CU5" s="1045">
        <f t="shared" si="8"/>
        <v>0</v>
      </c>
      <c r="CV5" s="1045">
        <f t="shared" si="8"/>
        <v>0</v>
      </c>
    </row>
    <row r="6" spans="1:100" ht="15">
      <c r="A6" s="1015" t="s">
        <v>52</v>
      </c>
      <c r="B6" s="1016" t="s">
        <v>510</v>
      </c>
      <c r="C6" s="1023"/>
      <c r="D6" s="1023"/>
      <c r="E6" s="1023">
        <v>0</v>
      </c>
      <c r="F6" s="1023">
        <v>0</v>
      </c>
      <c r="G6" s="1023"/>
      <c r="H6" s="1023"/>
      <c r="I6" s="1023">
        <v>0</v>
      </c>
      <c r="J6" s="1023">
        <v>0</v>
      </c>
      <c r="K6" s="1023">
        <v>0</v>
      </c>
      <c r="L6" s="1023">
        <v>0</v>
      </c>
      <c r="M6" s="1023">
        <v>0</v>
      </c>
      <c r="N6" s="1023">
        <v>0</v>
      </c>
      <c r="O6" s="1023"/>
      <c r="P6" s="1023"/>
      <c r="Q6" s="1023">
        <v>0</v>
      </c>
      <c r="R6" s="1023">
        <v>0</v>
      </c>
      <c r="S6" s="1023">
        <v>0</v>
      </c>
      <c r="T6" s="1023">
        <v>0</v>
      </c>
      <c r="U6" s="1023">
        <v>0</v>
      </c>
      <c r="V6" s="1023">
        <v>0</v>
      </c>
      <c r="W6" s="1032">
        <v>0</v>
      </c>
      <c r="X6" s="1032">
        <v>0</v>
      </c>
      <c r="Y6" s="1023"/>
      <c r="Z6" s="1023"/>
      <c r="AA6" s="1025">
        <v>0</v>
      </c>
      <c r="AB6" s="1025">
        <v>0</v>
      </c>
      <c r="AC6" s="1023">
        <v>0</v>
      </c>
      <c r="AD6" s="1023">
        <v>0</v>
      </c>
      <c r="AE6" s="1017"/>
      <c r="AF6" s="1017"/>
      <c r="AG6" s="1046"/>
      <c r="AH6" s="1046"/>
      <c r="AI6" s="1015">
        <v>0</v>
      </c>
      <c r="AJ6" s="1015">
        <v>0</v>
      </c>
      <c r="AK6" s="1015">
        <v>0</v>
      </c>
      <c r="AL6" s="1015">
        <v>0</v>
      </c>
      <c r="AM6" s="1015">
        <v>0</v>
      </c>
      <c r="AN6" s="1015">
        <v>0</v>
      </c>
      <c r="AQ6" s="1015">
        <v>0</v>
      </c>
      <c r="AR6" s="1015">
        <v>0</v>
      </c>
      <c r="AW6" s="1058">
        <v>0</v>
      </c>
      <c r="AX6" s="1058">
        <v>0</v>
      </c>
      <c r="AY6" s="1052">
        <v>0</v>
      </c>
      <c r="AZ6" s="1052">
        <v>0</v>
      </c>
    </row>
    <row r="7" spans="1:100">
      <c r="A7" s="1015" t="s">
        <v>52</v>
      </c>
      <c r="B7" s="1024" t="s">
        <v>511</v>
      </c>
      <c r="C7" s="1025">
        <v>3945.51</v>
      </c>
      <c r="D7" s="1025">
        <v>1344.2484199999999</v>
      </c>
      <c r="E7" s="1025">
        <v>1584.1980000000001</v>
      </c>
      <c r="F7" s="1025">
        <v>548.15308000000005</v>
      </c>
      <c r="G7" s="1025">
        <v>1394.075</v>
      </c>
      <c r="H7" s="1025">
        <v>479.34231399999999</v>
      </c>
      <c r="I7" s="1025">
        <v>2026.85</v>
      </c>
      <c r="J7" s="1025">
        <v>708.22116800000003</v>
      </c>
      <c r="K7" s="1025">
        <v>1247.8800000000001</v>
      </c>
      <c r="L7" s="1025">
        <v>438.12067200000001</v>
      </c>
      <c r="M7" s="1025">
        <v>4058.9050000000002</v>
      </c>
      <c r="N7" s="1025">
        <v>1430.020037</v>
      </c>
      <c r="O7" s="1025">
        <v>6347.28</v>
      </c>
      <c r="P7" s="1025">
        <v>2231.0951340000001</v>
      </c>
      <c r="Q7" s="1025">
        <v>2028.36</v>
      </c>
      <c r="R7" s="1025">
        <v>725.70306200000005</v>
      </c>
      <c r="S7" s="1025">
        <v>70696.777000000002</v>
      </c>
      <c r="T7" s="1025">
        <v>24986.050792000002</v>
      </c>
      <c r="U7" s="1025">
        <v>43131.584000000003</v>
      </c>
      <c r="V7" s="1025">
        <v>15239.904914000001</v>
      </c>
      <c r="W7" s="1028">
        <v>40255</v>
      </c>
      <c r="X7" s="1028">
        <v>14076</v>
      </c>
      <c r="Y7" s="1037">
        <v>36056.832999999999</v>
      </c>
      <c r="Z7" s="1037">
        <v>11760.850275000001</v>
      </c>
      <c r="AA7" s="1025">
        <v>74084.994999999995</v>
      </c>
      <c r="AB7" s="1025">
        <v>19601.520622</v>
      </c>
      <c r="AC7" s="1023">
        <v>70421.042000000001</v>
      </c>
      <c r="AD7" s="1023">
        <v>19634.694299999999</v>
      </c>
      <c r="AE7" s="1038">
        <v>30138.434000000001</v>
      </c>
      <c r="AF7" s="1038">
        <v>8949.7369390000003</v>
      </c>
      <c r="AG7" s="1038">
        <v>9340.0450000000001</v>
      </c>
      <c r="AH7" s="1038">
        <v>3205.1928630000002</v>
      </c>
      <c r="AI7" s="1047">
        <v>6860.76</v>
      </c>
      <c r="AJ7" s="1047">
        <v>2412.876878</v>
      </c>
      <c r="AK7" s="1015">
        <v>4218.18</v>
      </c>
      <c r="AL7" s="1015">
        <v>1430.835585</v>
      </c>
      <c r="AM7" s="1015">
        <v>6209.3029999999999</v>
      </c>
      <c r="AN7" s="1015">
        <v>2106.9515500000002</v>
      </c>
      <c r="AO7" s="1015">
        <v>23.65</v>
      </c>
      <c r="AP7" s="1015">
        <v>8.8007299999999997</v>
      </c>
      <c r="AQ7" s="1015">
        <v>6158.79</v>
      </c>
      <c r="AR7" s="1015">
        <v>2184.1498350000002</v>
      </c>
      <c r="AS7" s="1015">
        <v>6119.59</v>
      </c>
      <c r="AT7" s="1015">
        <v>2058.3352789999999</v>
      </c>
      <c r="AU7" s="1015">
        <v>4933.5249999999996</v>
      </c>
      <c r="AV7" s="1015">
        <v>1624.3492639999999</v>
      </c>
      <c r="AW7" s="1058">
        <v>3264.114</v>
      </c>
      <c r="AX7" s="1058">
        <v>1082.9988699999999</v>
      </c>
      <c r="AY7" s="1052">
        <v>4146.07</v>
      </c>
      <c r="AZ7" s="1052">
        <v>1387.098477</v>
      </c>
      <c r="BC7" s="1052">
        <v>4914.9440000000004</v>
      </c>
      <c r="BD7" s="1052">
        <v>1603.2047600000001</v>
      </c>
    </row>
    <row r="8" spans="1:100" ht="15">
      <c r="A8" s="1015" t="s">
        <v>52</v>
      </c>
      <c r="B8" s="1024" t="s">
        <v>512</v>
      </c>
      <c r="C8" s="1025"/>
      <c r="D8" s="1025"/>
      <c r="E8" s="1025"/>
      <c r="F8" s="1025"/>
      <c r="G8" s="1025"/>
      <c r="H8" s="1025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8"/>
      <c r="X8" s="1028"/>
      <c r="Y8" s="1037"/>
      <c r="Z8" s="1037"/>
      <c r="AA8" s="1025"/>
      <c r="AB8" s="1025"/>
      <c r="AC8" s="1039"/>
      <c r="AD8" s="1039"/>
      <c r="AE8" s="1038"/>
      <c r="AF8" s="1038"/>
      <c r="AG8" s="1038">
        <v>0</v>
      </c>
      <c r="AH8" s="1038">
        <v>0</v>
      </c>
      <c r="AI8" s="1047">
        <v>0</v>
      </c>
      <c r="AJ8" s="1047">
        <v>0</v>
      </c>
      <c r="AK8" s="1015">
        <v>0</v>
      </c>
      <c r="AL8" s="1015">
        <v>0</v>
      </c>
      <c r="AM8" s="1015">
        <v>0</v>
      </c>
      <c r="AN8" s="1015">
        <v>0</v>
      </c>
      <c r="AQ8" s="1015">
        <v>0</v>
      </c>
      <c r="AR8" s="1015">
        <v>0</v>
      </c>
      <c r="AW8" s="1059">
        <v>0</v>
      </c>
      <c r="AX8" s="1059">
        <v>0</v>
      </c>
      <c r="AY8" s="1060"/>
      <c r="AZ8" s="1061"/>
      <c r="BC8" s="1062"/>
      <c r="BD8" s="1062"/>
      <c r="CC8" s="1015">
        <v>0</v>
      </c>
      <c r="CD8" s="1015">
        <v>0</v>
      </c>
    </row>
    <row r="9" spans="1:100" ht="15">
      <c r="A9" s="1015" t="s">
        <v>52</v>
      </c>
      <c r="B9" s="1024" t="s">
        <v>513</v>
      </c>
      <c r="C9" s="1025"/>
      <c r="D9" s="1025"/>
      <c r="E9" s="1025"/>
      <c r="F9" s="1025"/>
      <c r="G9" s="1025"/>
      <c r="H9" s="1025"/>
      <c r="I9" s="1025"/>
      <c r="J9" s="1025"/>
      <c r="K9" s="1025"/>
      <c r="L9" s="1025"/>
      <c r="M9" s="1025"/>
      <c r="N9" s="1025"/>
      <c r="O9" s="1025"/>
      <c r="P9" s="1025"/>
      <c r="Q9" s="1025"/>
      <c r="R9" s="1025"/>
      <c r="S9" s="1025"/>
      <c r="T9" s="1025"/>
      <c r="U9" s="1025"/>
      <c r="V9" s="1025"/>
      <c r="W9" s="1028"/>
      <c r="X9" s="1028"/>
      <c r="Y9" s="1037"/>
      <c r="Z9" s="1037"/>
      <c r="AA9" s="1025"/>
      <c r="AB9" s="1025"/>
      <c r="AC9" s="1023">
        <v>70421.042000000001</v>
      </c>
      <c r="AD9" s="1023">
        <v>19634.694299999999</v>
      </c>
      <c r="AE9" s="1038">
        <v>30138.434000000001</v>
      </c>
      <c r="AF9" s="1038">
        <v>8949.7369390000003</v>
      </c>
      <c r="AG9" s="1038">
        <v>9340.0450000000001</v>
      </c>
      <c r="AH9" s="1038">
        <v>3205.1930000000002</v>
      </c>
      <c r="AI9" s="1047">
        <v>6860.76</v>
      </c>
      <c r="AJ9" s="1047">
        <v>2412.876878</v>
      </c>
      <c r="AK9" s="1015">
        <v>4218.18</v>
      </c>
      <c r="AL9" s="1015">
        <v>1430.835585</v>
      </c>
      <c r="AM9" s="1015">
        <v>6209.3029999999999</v>
      </c>
      <c r="AN9" s="1015">
        <v>2106.9515500000002</v>
      </c>
      <c r="AO9" s="1015">
        <v>23.65</v>
      </c>
      <c r="AP9" s="1015">
        <v>8.8007299999999997</v>
      </c>
      <c r="AQ9" s="1015">
        <v>6158.79</v>
      </c>
      <c r="AR9" s="1015">
        <v>2184.1498350000002</v>
      </c>
      <c r="AS9" s="1015">
        <v>6119.59</v>
      </c>
      <c r="AT9" s="1015">
        <v>2058.3352789999999</v>
      </c>
      <c r="AU9" s="1015">
        <v>4933.5249999999996</v>
      </c>
      <c r="AV9" s="1015">
        <v>1624.3492639999999</v>
      </c>
      <c r="AW9" s="1058">
        <v>3264.114</v>
      </c>
      <c r="AX9" s="1058">
        <v>1082.9988699999999</v>
      </c>
      <c r="AY9" s="1063">
        <v>4146.07</v>
      </c>
      <c r="AZ9" s="1064">
        <v>1387.098477</v>
      </c>
      <c r="BC9" s="1052">
        <v>4914.9440000000004</v>
      </c>
      <c r="BD9" s="1052">
        <v>1603.2047600000001</v>
      </c>
    </row>
    <row r="10" spans="1:100">
      <c r="A10" s="1015" t="s">
        <v>52</v>
      </c>
      <c r="B10" s="1024" t="s">
        <v>302</v>
      </c>
      <c r="C10" s="1025">
        <v>206892.9</v>
      </c>
      <c r="D10" s="1025">
        <v>70620.443559000007</v>
      </c>
      <c r="E10" s="1025">
        <v>126620.462</v>
      </c>
      <c r="F10" s="1025">
        <v>43621.303658999997</v>
      </c>
      <c r="G10" s="1025">
        <v>102752.89200000001</v>
      </c>
      <c r="H10" s="1025">
        <v>36345.590564999999</v>
      </c>
      <c r="I10" s="1025">
        <v>112707.239</v>
      </c>
      <c r="J10" s="1025">
        <v>41077.592124000003</v>
      </c>
      <c r="K10" s="1025">
        <v>101240.60400000001</v>
      </c>
      <c r="L10" s="1025">
        <v>36951.047637000003</v>
      </c>
      <c r="M10" s="1025">
        <v>130291.784</v>
      </c>
      <c r="N10" s="1025">
        <v>47146.373079999998</v>
      </c>
      <c r="O10" s="1025">
        <v>115745.83900000001</v>
      </c>
      <c r="P10" s="1025">
        <v>43299.200633</v>
      </c>
      <c r="Q10" s="1025">
        <v>90954.304999999993</v>
      </c>
      <c r="R10" s="1025">
        <v>34529.163225999997</v>
      </c>
      <c r="S10" s="1025">
        <v>134931.337</v>
      </c>
      <c r="T10" s="1025">
        <v>49606.299369</v>
      </c>
      <c r="U10" s="1025">
        <v>78985.245999999999</v>
      </c>
      <c r="V10" s="1025">
        <v>30707.453595999999</v>
      </c>
      <c r="W10" s="1028">
        <v>97116</v>
      </c>
      <c r="X10" s="1028">
        <v>37278</v>
      </c>
      <c r="Y10" s="1037">
        <v>80208.016000000003</v>
      </c>
      <c r="Z10" s="1037">
        <v>31157.551513999999</v>
      </c>
      <c r="AA10" s="1025">
        <v>67600.558999999994</v>
      </c>
      <c r="AB10" s="1025">
        <v>24308.404769000001</v>
      </c>
      <c r="AC10" s="1023">
        <v>119067.401</v>
      </c>
      <c r="AD10" s="1023">
        <v>38868.189701000003</v>
      </c>
      <c r="AE10" s="1038">
        <v>113867.569</v>
      </c>
      <c r="AF10" s="1038">
        <v>38666.051292999997</v>
      </c>
      <c r="AG10" s="1038">
        <v>184673.98699999999</v>
      </c>
      <c r="AH10" s="1038">
        <v>62172.081506000002</v>
      </c>
      <c r="AI10" s="1047">
        <v>162592.549</v>
      </c>
      <c r="AJ10" s="1047">
        <v>58207.235831999998</v>
      </c>
      <c r="AK10" s="1015">
        <v>134957.81700000001</v>
      </c>
      <c r="AL10" s="1015">
        <v>48426.642714000001</v>
      </c>
      <c r="AM10" s="1015">
        <v>111213.878</v>
      </c>
      <c r="AN10" s="1015">
        <v>40262.332381</v>
      </c>
      <c r="AO10" s="1015">
        <v>211670.63699999999</v>
      </c>
      <c r="AP10" s="1015">
        <v>71604.847034999999</v>
      </c>
      <c r="AQ10" s="1015">
        <v>206616.18900000001</v>
      </c>
      <c r="AR10" s="1015">
        <v>68857.435800000007</v>
      </c>
      <c r="AS10" s="1015">
        <v>158973.87700000001</v>
      </c>
      <c r="AT10" s="1015">
        <v>52495.749376</v>
      </c>
      <c r="AU10" s="1015">
        <v>119567.15</v>
      </c>
      <c r="AV10" s="1015">
        <v>40140.056357000001</v>
      </c>
      <c r="AW10" s="1058">
        <v>139348.28</v>
      </c>
      <c r="AX10" s="1058">
        <v>46285.101257000002</v>
      </c>
      <c r="AY10" s="1052">
        <v>213916.484</v>
      </c>
      <c r="AZ10" s="1052">
        <v>69503.111103999996</v>
      </c>
      <c r="BA10" s="1065">
        <v>208289.05499999999</v>
      </c>
      <c r="BB10" s="1065">
        <v>67126.513630999994</v>
      </c>
      <c r="BC10" s="1052">
        <v>158813.734</v>
      </c>
      <c r="BD10" s="1052">
        <v>50455.479721000003</v>
      </c>
      <c r="BE10" s="1015">
        <v>175560.08799999999</v>
      </c>
      <c r="BF10" s="1015">
        <v>54888.823507000001</v>
      </c>
      <c r="BG10" s="1015">
        <v>142955.31</v>
      </c>
      <c r="BH10" s="1015">
        <v>46495.827733999999</v>
      </c>
      <c r="BI10" s="1015">
        <v>132860.503</v>
      </c>
      <c r="BJ10" s="1015">
        <v>42973.658965000002</v>
      </c>
      <c r="BK10" s="1015">
        <v>58163.824999999997</v>
      </c>
      <c r="BL10" s="1015">
        <v>22167.732874000001</v>
      </c>
      <c r="BM10" s="1015">
        <v>82883.035999999993</v>
      </c>
      <c r="BN10" s="1015">
        <v>30443.219597999996</v>
      </c>
      <c r="BO10" s="1015">
        <v>138243.58900000001</v>
      </c>
      <c r="BP10" s="1015">
        <v>48946.593152000001</v>
      </c>
      <c r="BQ10" s="1015">
        <v>97835.504000000001</v>
      </c>
      <c r="BR10" s="1015">
        <v>35909.915257000001</v>
      </c>
      <c r="BS10" s="1015">
        <v>149401.024</v>
      </c>
      <c r="BT10" s="1015">
        <v>51836.739048000003</v>
      </c>
      <c r="BU10" s="1015">
        <v>255158.579</v>
      </c>
      <c r="BV10" s="1015">
        <v>87411.393484</v>
      </c>
      <c r="BW10" s="1015">
        <v>236246.10800000001</v>
      </c>
      <c r="BX10" s="1015">
        <v>89584.412414000006</v>
      </c>
      <c r="BY10" s="1015">
        <v>226002.64</v>
      </c>
      <c r="BZ10" s="1015">
        <v>83530.455847000005</v>
      </c>
      <c r="CA10" s="1015">
        <v>235198.95800000001</v>
      </c>
      <c r="CB10" s="1015">
        <v>94553.542140999998</v>
      </c>
      <c r="CC10" s="1015">
        <v>291488.23200000002</v>
      </c>
      <c r="CD10" s="1015">
        <v>123927.63480699999</v>
      </c>
      <c r="CE10" s="1015">
        <v>322501.696</v>
      </c>
      <c r="CF10" s="1015">
        <v>157531.363025</v>
      </c>
      <c r="CG10" s="1015">
        <v>285903.21799999999</v>
      </c>
      <c r="CH10" s="1015">
        <v>143829.108014</v>
      </c>
      <c r="CI10" s="1015">
        <v>276392.81900000002</v>
      </c>
      <c r="CJ10" s="1015">
        <v>141230.03417999999</v>
      </c>
      <c r="CK10" s="1015">
        <v>267498.37900000002</v>
      </c>
      <c r="CL10" s="1015">
        <v>114021.38394300001</v>
      </c>
      <c r="CM10" s="1015">
        <v>271413</v>
      </c>
      <c r="CN10" s="1015">
        <v>135755</v>
      </c>
    </row>
    <row r="11" spans="1:100">
      <c r="A11" s="1015" t="s">
        <v>52</v>
      </c>
      <c r="B11" s="1024" t="s">
        <v>514</v>
      </c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8"/>
      <c r="X11" s="1028"/>
      <c r="Y11" s="1037"/>
      <c r="Z11" s="1037"/>
      <c r="AA11" s="1025"/>
      <c r="AB11" s="1025"/>
      <c r="AC11" s="1023">
        <v>115856.038</v>
      </c>
      <c r="AD11" s="1023">
        <v>36589.525653999997</v>
      </c>
      <c r="AE11" s="1038">
        <v>109986.155</v>
      </c>
      <c r="AF11" s="1038">
        <v>35661.570653000002</v>
      </c>
      <c r="AG11" s="1038">
        <v>179393.758</v>
      </c>
      <c r="AH11" s="1038">
        <v>58637.024340999997</v>
      </c>
      <c r="AI11" s="1047">
        <v>158285.17499999999</v>
      </c>
      <c r="AJ11" s="1047">
        <v>54985.746622999999</v>
      </c>
      <c r="AK11" s="1015">
        <v>131387.96299999999</v>
      </c>
      <c r="AL11" s="1015">
        <v>45727.060710999998</v>
      </c>
      <c r="AM11" s="1015">
        <v>107265.05</v>
      </c>
      <c r="AN11" s="1015">
        <v>36970.203955999998</v>
      </c>
      <c r="AO11" s="1015">
        <v>206993.24100000001</v>
      </c>
      <c r="AP11" s="1015">
        <v>68181.040189000007</v>
      </c>
      <c r="AQ11" s="1015">
        <v>202414.785</v>
      </c>
      <c r="AR11" s="1015">
        <v>66176.111814000004</v>
      </c>
      <c r="AS11" s="1015">
        <v>155749.35699999999</v>
      </c>
      <c r="AT11" s="1015">
        <v>50077.894681999998</v>
      </c>
      <c r="AU11" s="1015">
        <v>115449.749</v>
      </c>
      <c r="AV11" s="1015">
        <v>37144.389585999998</v>
      </c>
      <c r="AW11" s="1058">
        <v>135690.56899999999</v>
      </c>
      <c r="AX11" s="1058">
        <v>43871.427702000001</v>
      </c>
      <c r="AY11" s="1052">
        <v>209957.87400000001</v>
      </c>
      <c r="AZ11" s="1052">
        <v>67116.352952999994</v>
      </c>
      <c r="BA11" s="1065">
        <v>205124.12899999999</v>
      </c>
      <c r="BB11" s="1065">
        <v>65006.751449000003</v>
      </c>
      <c r="BC11" s="1052">
        <v>154271.12700000001</v>
      </c>
      <c r="BD11" s="1052">
        <v>47581.883018</v>
      </c>
      <c r="BE11" s="1015">
        <v>171386.698</v>
      </c>
      <c r="BF11" s="1015">
        <v>51702.955195000002</v>
      </c>
      <c r="BG11" s="1015">
        <v>139102.927</v>
      </c>
      <c r="BH11" s="1015">
        <v>43679.907786999996</v>
      </c>
      <c r="BI11" s="1015">
        <v>129505.762</v>
      </c>
      <c r="BJ11" s="1015">
        <v>40693.091651000002</v>
      </c>
      <c r="BK11" s="1015">
        <v>54914.103000000003</v>
      </c>
      <c r="BL11" s="1015">
        <v>19832.930422000001</v>
      </c>
      <c r="BM11" s="1015">
        <v>79023.164999999994</v>
      </c>
      <c r="BN11" s="1015">
        <v>27764.281722000003</v>
      </c>
      <c r="BO11" s="1015">
        <v>134892.15100000001</v>
      </c>
      <c r="BP11" s="1015">
        <v>46326.389306999998</v>
      </c>
      <c r="BQ11" s="1015">
        <v>94416.135999999999</v>
      </c>
      <c r="BR11" s="1015">
        <v>33218.977673000001</v>
      </c>
      <c r="BS11" s="1015">
        <v>146472.84099999999</v>
      </c>
      <c r="BT11" s="1015">
        <v>49467.578398000005</v>
      </c>
      <c r="BU11" s="1015">
        <v>252140.55799999999</v>
      </c>
      <c r="BV11" s="1015">
        <v>84774.549891000002</v>
      </c>
      <c r="BW11" s="1015">
        <v>232393.38399999999</v>
      </c>
      <c r="BX11" s="1015">
        <v>86927.462763999996</v>
      </c>
      <c r="BY11" s="1015">
        <v>222068.851</v>
      </c>
      <c r="BZ11" s="1015">
        <v>80753.041094</v>
      </c>
      <c r="CA11" s="1015">
        <v>232483.27799999999</v>
      </c>
      <c r="CB11" s="1015">
        <v>92418.109517000004</v>
      </c>
      <c r="CC11" s="1015">
        <v>285862.15100000001</v>
      </c>
      <c r="CD11" s="1015">
        <v>119587.883438</v>
      </c>
      <c r="CE11" s="1015">
        <v>318225.17300000001</v>
      </c>
      <c r="CF11" s="1015">
        <v>154103.39318700001</v>
      </c>
      <c r="CG11" s="1015">
        <v>281800.06800000003</v>
      </c>
      <c r="CH11" s="1015">
        <v>140991.64715</v>
      </c>
      <c r="CI11" s="1015">
        <v>273000.89399999997</v>
      </c>
      <c r="CJ11" s="1015">
        <v>138865.739615</v>
      </c>
      <c r="CK11" s="1015">
        <v>263963.20899999997</v>
      </c>
      <c r="CL11" s="1015">
        <v>111504.245228</v>
      </c>
      <c r="CM11" s="1015">
        <v>268300</v>
      </c>
      <c r="CN11" s="1015">
        <v>133436</v>
      </c>
    </row>
    <row r="12" spans="1:100">
      <c r="A12" s="1015" t="s">
        <v>52</v>
      </c>
      <c r="B12" s="1024" t="s">
        <v>515</v>
      </c>
      <c r="C12" s="1025"/>
      <c r="D12" s="1025"/>
      <c r="E12" s="1025"/>
      <c r="F12" s="1025"/>
      <c r="G12" s="1025"/>
      <c r="H12" s="1025"/>
      <c r="I12" s="1025"/>
      <c r="J12" s="1025"/>
      <c r="K12" s="1025"/>
      <c r="L12" s="1025"/>
      <c r="M12" s="1025"/>
      <c r="N12" s="1025"/>
      <c r="O12" s="1025"/>
      <c r="P12" s="1025"/>
      <c r="Q12" s="1025"/>
      <c r="R12" s="1025"/>
      <c r="S12" s="1025"/>
      <c r="T12" s="1025"/>
      <c r="U12" s="1025"/>
      <c r="V12" s="1025"/>
      <c r="W12" s="1028"/>
      <c r="X12" s="1028"/>
      <c r="Y12" s="1037"/>
      <c r="Z12" s="1037"/>
      <c r="AA12" s="1025"/>
      <c r="AB12" s="1025"/>
      <c r="AC12" s="1023">
        <v>3211.3629999999998</v>
      </c>
      <c r="AD12" s="1023">
        <v>2278.6640470000002</v>
      </c>
      <c r="AE12" s="1038">
        <v>3881.4140000000002</v>
      </c>
      <c r="AF12" s="1038">
        <v>3004.4806400000002</v>
      </c>
      <c r="AG12" s="1038">
        <v>5280.2290000000003</v>
      </c>
      <c r="AH12" s="1038">
        <v>3535.0571650000002</v>
      </c>
      <c r="AI12" s="1047">
        <v>4307.3739999999998</v>
      </c>
      <c r="AJ12" s="1047">
        <v>3221.4892089999998</v>
      </c>
      <c r="AK12" s="1015">
        <v>3569.8539999999998</v>
      </c>
      <c r="AL12" s="1015">
        <v>2699.582003</v>
      </c>
      <c r="AM12" s="1015">
        <v>3948.828</v>
      </c>
      <c r="AN12" s="1015">
        <v>3292.1284249999999</v>
      </c>
      <c r="AO12" s="1015">
        <v>4677.3959999999997</v>
      </c>
      <c r="AP12" s="1015">
        <v>3423.806846</v>
      </c>
      <c r="AQ12" s="1015">
        <v>4201.4040000000005</v>
      </c>
      <c r="AR12" s="1015">
        <v>2681.3239859999999</v>
      </c>
      <c r="AS12" s="1015">
        <v>3224.52</v>
      </c>
      <c r="AT12" s="1015">
        <v>2417.8546940000001</v>
      </c>
      <c r="AU12" s="1015">
        <v>4117.4009999999998</v>
      </c>
      <c r="AV12" s="1015">
        <v>2995.6667710000002</v>
      </c>
      <c r="AW12" s="1058">
        <v>3657.7109999999998</v>
      </c>
      <c r="AX12" s="1058">
        <v>2413.6735549999999</v>
      </c>
      <c r="AY12" s="1052">
        <v>3958.61</v>
      </c>
      <c r="AZ12" s="1052">
        <v>2386.758151</v>
      </c>
      <c r="BA12" s="1065">
        <v>3164.9259999999999</v>
      </c>
      <c r="BB12" s="1065">
        <v>2119.7621819999999</v>
      </c>
      <c r="BC12" s="1052">
        <v>4542.607</v>
      </c>
      <c r="BD12" s="1052">
        <v>2873.5967030000002</v>
      </c>
      <c r="BE12" s="1015">
        <v>4173.3900000000003</v>
      </c>
      <c r="BF12" s="1015">
        <v>3185.8683120000001</v>
      </c>
      <c r="BG12" s="1015">
        <v>3852.3829999999998</v>
      </c>
      <c r="BH12" s="1015">
        <v>2815.9199469999999</v>
      </c>
      <c r="BI12" s="1015">
        <v>3354.741</v>
      </c>
      <c r="BJ12" s="1015">
        <v>2280.5673139999999</v>
      </c>
      <c r="BK12" s="1015">
        <v>3249.7220000000002</v>
      </c>
      <c r="BL12" s="1015">
        <v>2334.8024519999999</v>
      </c>
      <c r="BM12" s="1015">
        <v>3859.8710000000001</v>
      </c>
      <c r="BN12" s="1015">
        <v>2678.937876</v>
      </c>
      <c r="BO12" s="1015">
        <v>3351.4380000000001</v>
      </c>
      <c r="BP12" s="1015">
        <v>2620.203845</v>
      </c>
      <c r="BQ12" s="1015">
        <v>3419.3679999999999</v>
      </c>
      <c r="BR12" s="1015">
        <v>2690.9375839999998</v>
      </c>
      <c r="BS12" s="1015">
        <v>2928.183</v>
      </c>
      <c r="BT12" s="1015">
        <v>2369.1606499999998</v>
      </c>
      <c r="BU12" s="1015">
        <v>3018.0210000000002</v>
      </c>
      <c r="BV12" s="1015">
        <v>2636.8435930000001</v>
      </c>
      <c r="BW12" s="1015">
        <v>3852.7240000000002</v>
      </c>
      <c r="BX12" s="1015">
        <v>2656.94965</v>
      </c>
      <c r="BY12" s="1015">
        <v>3933.7890000000002</v>
      </c>
      <c r="BZ12" s="1015">
        <v>2777.414753</v>
      </c>
      <c r="CA12" s="1015">
        <v>2715.68</v>
      </c>
      <c r="CB12" s="1015">
        <v>2135.432624</v>
      </c>
      <c r="CC12" s="1015">
        <v>5626.0810000000001</v>
      </c>
      <c r="CD12" s="1015">
        <v>4339.7513689999996</v>
      </c>
      <c r="CE12" s="1015">
        <v>4276.5230000000001</v>
      </c>
      <c r="CF12" s="1015">
        <v>3427.9698380000004</v>
      </c>
      <c r="CG12" s="1015">
        <v>4103.1499999999996</v>
      </c>
      <c r="CH12" s="1015">
        <v>2837.4608640000001</v>
      </c>
      <c r="CI12" s="1015">
        <v>3391.9250000000002</v>
      </c>
      <c r="CJ12" s="1015">
        <v>2364.2945649999997</v>
      </c>
      <c r="CK12" s="1015">
        <v>3535.17</v>
      </c>
      <c r="CL12" s="1015">
        <v>2517.138715</v>
      </c>
      <c r="CM12" s="1015">
        <v>3113</v>
      </c>
      <c r="CN12" s="1015">
        <v>2319</v>
      </c>
    </row>
    <row r="13" spans="1:100">
      <c r="A13" s="1015" t="s">
        <v>52</v>
      </c>
      <c r="B13" s="1024" t="s">
        <v>516</v>
      </c>
      <c r="C13" s="1025"/>
      <c r="D13" s="1025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8"/>
      <c r="X13" s="1028"/>
      <c r="Y13" s="1037"/>
      <c r="Z13" s="1037"/>
      <c r="AA13" s="1025"/>
      <c r="AB13" s="1025"/>
      <c r="AC13" s="1023">
        <v>2041.1030000000001</v>
      </c>
      <c r="AD13" s="1023">
        <v>1651.3747659999999</v>
      </c>
      <c r="AE13" s="1038">
        <v>2047.56</v>
      </c>
      <c r="AF13" s="1038">
        <v>1856.310367</v>
      </c>
      <c r="AG13" s="1038">
        <v>3051.942</v>
      </c>
      <c r="AH13" s="1038">
        <v>2255.8560560000001</v>
      </c>
      <c r="AI13" s="1047">
        <v>2436.308</v>
      </c>
      <c r="AJ13" s="1047">
        <v>2111.6684570000002</v>
      </c>
      <c r="AK13" s="1015">
        <v>2104.683</v>
      </c>
      <c r="AL13" s="1015">
        <v>1804.548033</v>
      </c>
      <c r="AM13" s="1015">
        <v>2026.345</v>
      </c>
      <c r="AN13" s="1015">
        <v>2205.1925809999998</v>
      </c>
      <c r="AO13" s="1015">
        <v>2186.6680000000001</v>
      </c>
      <c r="AP13" s="1015">
        <v>2122.176164</v>
      </c>
      <c r="AQ13" s="1015">
        <v>2347.8310000000001</v>
      </c>
      <c r="AR13" s="1015">
        <v>1631.668226</v>
      </c>
      <c r="AS13" s="1015">
        <v>1969.896</v>
      </c>
      <c r="AT13" s="1015">
        <v>1711.768186</v>
      </c>
      <c r="AU13" s="1015">
        <v>2060.0450000000001</v>
      </c>
      <c r="AV13" s="1015">
        <v>1779.4719700000001</v>
      </c>
      <c r="AW13" s="1058">
        <v>1702.499</v>
      </c>
      <c r="AX13" s="1058">
        <v>1242.6527289999999</v>
      </c>
      <c r="AY13" s="1052">
        <v>2497.5349999999999</v>
      </c>
      <c r="AZ13" s="1052">
        <v>1510.051755</v>
      </c>
      <c r="BA13" s="1065">
        <v>1222.5820000000001</v>
      </c>
      <c r="BB13" s="1065">
        <v>916.68866100000002</v>
      </c>
      <c r="BC13" s="1052">
        <v>1977.5229999999999</v>
      </c>
      <c r="BD13" s="1052">
        <v>1334.2289390000001</v>
      </c>
      <c r="BE13" s="1015">
        <v>2267.9430000000002</v>
      </c>
      <c r="BF13" s="1015">
        <v>1932.233894</v>
      </c>
      <c r="BG13" s="1015">
        <v>2488.806</v>
      </c>
      <c r="BH13" s="1015">
        <v>2005.0428710000001</v>
      </c>
      <c r="BI13" s="1015">
        <v>1833.164</v>
      </c>
      <c r="BJ13" s="1015">
        <v>1365.8405519999999</v>
      </c>
      <c r="BK13" s="1015">
        <v>2045.415</v>
      </c>
      <c r="BL13" s="1015">
        <v>1464.1007010000001</v>
      </c>
      <c r="BM13" s="1015">
        <v>2057.21</v>
      </c>
      <c r="BN13" s="1015">
        <v>1580.1155709999998</v>
      </c>
      <c r="BO13" s="1015">
        <v>1653.0519999999999</v>
      </c>
      <c r="BP13" s="1015">
        <v>1602.4890399999999</v>
      </c>
      <c r="BQ13" s="1015">
        <v>1881.3</v>
      </c>
      <c r="BR13" s="1015">
        <v>1693.9024949999998</v>
      </c>
      <c r="BS13" s="1015">
        <v>1450.663</v>
      </c>
      <c r="BT13" s="1015">
        <v>1502.686833</v>
      </c>
      <c r="BU13" s="1015">
        <v>1959.7660000000001</v>
      </c>
      <c r="BV13" s="1015">
        <v>1937.4467930000001</v>
      </c>
      <c r="BW13" s="1015">
        <v>2030.5340000000001</v>
      </c>
      <c r="BX13" s="1015">
        <v>1337.505488</v>
      </c>
      <c r="BY13" s="1015">
        <v>1923.175</v>
      </c>
      <c r="BZ13" s="1015">
        <v>1478.3695680000001</v>
      </c>
      <c r="CA13" s="1015">
        <v>1358.075</v>
      </c>
      <c r="CB13" s="1015">
        <v>1184.8464859999999</v>
      </c>
      <c r="CC13" s="1015">
        <v>2990.018</v>
      </c>
      <c r="CD13" s="1015">
        <v>2536.953512</v>
      </c>
      <c r="CE13" s="1015">
        <v>2501.2220000000002</v>
      </c>
      <c r="CF13" s="1015">
        <v>2201.211847</v>
      </c>
      <c r="CG13" s="1015">
        <v>2290.1410000000001</v>
      </c>
      <c r="CH13" s="1015">
        <v>1581.88212</v>
      </c>
      <c r="CI13" s="1015">
        <v>2079.4050000000002</v>
      </c>
      <c r="CJ13" s="1015">
        <v>1415.966183</v>
      </c>
      <c r="CK13" s="1015">
        <v>1938.49</v>
      </c>
      <c r="CL13" s="1015">
        <v>1392.706848</v>
      </c>
      <c r="CM13" s="1015">
        <v>1195</v>
      </c>
      <c r="CN13" s="1015">
        <v>958</v>
      </c>
    </row>
    <row r="14" spans="1:100">
      <c r="A14" s="1015" t="s">
        <v>52</v>
      </c>
      <c r="B14" s="1024" t="s">
        <v>517</v>
      </c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8"/>
      <c r="X14" s="1028"/>
      <c r="Y14" s="1037"/>
      <c r="Z14" s="1037"/>
      <c r="AA14" s="1025"/>
      <c r="AB14" s="1025"/>
      <c r="AC14" s="1023">
        <v>1170.26</v>
      </c>
      <c r="AD14" s="1023">
        <v>627.28928099999996</v>
      </c>
      <c r="AE14" s="1038">
        <v>1833.854</v>
      </c>
      <c r="AF14" s="1038">
        <v>1148.170273</v>
      </c>
      <c r="AG14" s="1038">
        <v>2228.2869999999998</v>
      </c>
      <c r="AH14" s="1038">
        <v>1279.2011090000001</v>
      </c>
      <c r="AI14" s="1047">
        <v>1871.066</v>
      </c>
      <c r="AJ14" s="1047">
        <v>1109.8207520000001</v>
      </c>
      <c r="AK14" s="1015">
        <v>1465.171</v>
      </c>
      <c r="AL14" s="1015">
        <v>895.03396999999995</v>
      </c>
      <c r="AM14" s="1015">
        <v>1922.4829999999999</v>
      </c>
      <c r="AN14" s="1015">
        <v>1086.9358440000001</v>
      </c>
      <c r="AO14" s="1015">
        <v>2490.7280000000001</v>
      </c>
      <c r="AP14" s="1015">
        <v>1301.630682</v>
      </c>
      <c r="AQ14" s="1015">
        <v>1853.5730000000001</v>
      </c>
      <c r="AR14" s="1015">
        <v>1049.6557600000001</v>
      </c>
      <c r="AS14" s="1015">
        <v>1254.624</v>
      </c>
      <c r="AT14" s="1015">
        <v>706.08650799999998</v>
      </c>
      <c r="AU14" s="1015">
        <v>2057.3560000000002</v>
      </c>
      <c r="AV14" s="1015">
        <v>1216.1948010000001</v>
      </c>
      <c r="AW14" s="1058">
        <v>1955.212</v>
      </c>
      <c r="AX14" s="1058">
        <v>1171.0208259999999</v>
      </c>
      <c r="AY14" s="1052">
        <v>1461.075</v>
      </c>
      <c r="AZ14" s="1052">
        <v>876.70639600000004</v>
      </c>
      <c r="BA14" s="1065">
        <v>1942.3440000000001</v>
      </c>
      <c r="BB14" s="1065">
        <v>1203.073521</v>
      </c>
      <c r="BC14" s="1052">
        <v>2565.0839999999998</v>
      </c>
      <c r="BD14" s="1052">
        <v>1539.3677640000001</v>
      </c>
      <c r="BE14" s="1015">
        <v>1905.4469999999999</v>
      </c>
      <c r="BF14" s="1015">
        <v>1253.6344180000001</v>
      </c>
      <c r="BG14" s="1015">
        <v>1363.577</v>
      </c>
      <c r="BH14" s="1015">
        <v>810.87707599999999</v>
      </c>
      <c r="BI14" s="1015">
        <v>1521.577</v>
      </c>
      <c r="BJ14" s="1015">
        <v>914.72676200000001</v>
      </c>
      <c r="BK14" s="1015">
        <v>1204.307</v>
      </c>
      <c r="BL14" s="1015">
        <v>870.70175099999994</v>
      </c>
      <c r="BM14" s="1015">
        <v>1802.6610000000001</v>
      </c>
      <c r="BN14" s="1015">
        <v>1098.8223050000001</v>
      </c>
      <c r="BO14" s="1015">
        <v>1698.386</v>
      </c>
      <c r="BP14" s="1015">
        <v>1017.7148050000001</v>
      </c>
      <c r="BQ14" s="1015">
        <v>1538.068</v>
      </c>
      <c r="BR14" s="1015">
        <v>997.03508900000008</v>
      </c>
      <c r="BS14" s="1015">
        <v>1477.52</v>
      </c>
      <c r="BT14" s="1015">
        <v>866.47381699999994</v>
      </c>
      <c r="BU14" s="1015">
        <v>1058.2550000000001</v>
      </c>
      <c r="BV14" s="1015">
        <v>699.39679999999998</v>
      </c>
      <c r="BW14" s="1015">
        <v>1822.19</v>
      </c>
      <c r="BX14" s="1015">
        <v>1319.444162</v>
      </c>
      <c r="BY14" s="1015">
        <v>2010.614</v>
      </c>
      <c r="BZ14" s="1015">
        <v>1299.0451849999999</v>
      </c>
      <c r="CA14" s="1015">
        <v>1357.605</v>
      </c>
      <c r="CB14" s="1015">
        <v>950.58613800000012</v>
      </c>
      <c r="CC14" s="1015">
        <v>2636.0630000000001</v>
      </c>
      <c r="CD14" s="1015">
        <v>1802.797857</v>
      </c>
      <c r="CE14" s="1015">
        <v>1775.3009999999999</v>
      </c>
      <c r="CF14" s="1015">
        <v>1226.7579909999999</v>
      </c>
      <c r="CG14" s="1015">
        <v>1813.009</v>
      </c>
      <c r="CH14" s="1015">
        <v>1255.5787439999999</v>
      </c>
      <c r="CI14" s="1015">
        <v>1312.52</v>
      </c>
      <c r="CJ14" s="1015">
        <v>948.32838200000003</v>
      </c>
      <c r="CK14" s="1015">
        <v>1596.68</v>
      </c>
      <c r="CL14" s="1015">
        <v>1124.431867</v>
      </c>
      <c r="CM14" s="1015">
        <v>1917</v>
      </c>
      <c r="CN14" s="1015">
        <v>1361</v>
      </c>
    </row>
    <row r="15" spans="1:100">
      <c r="A15" s="1015" t="s">
        <v>52</v>
      </c>
      <c r="B15" s="1024" t="s">
        <v>307</v>
      </c>
      <c r="C15" s="1025">
        <v>7981.1459999999997</v>
      </c>
      <c r="D15" s="1025">
        <v>3646.8760670000001</v>
      </c>
      <c r="E15" s="1025">
        <v>4485.3490000000002</v>
      </c>
      <c r="F15" s="1025">
        <v>2152.461033</v>
      </c>
      <c r="G15" s="1025">
        <v>3827.0790000000002</v>
      </c>
      <c r="H15" s="1025">
        <v>1861.291759</v>
      </c>
      <c r="I15" s="1025">
        <v>4983.7150000000001</v>
      </c>
      <c r="J15" s="1025">
        <v>2444.587802</v>
      </c>
      <c r="K15" s="1025">
        <v>6676.88</v>
      </c>
      <c r="L15" s="1025">
        <v>3383.346884</v>
      </c>
      <c r="M15" s="1025">
        <v>4272.7879999999996</v>
      </c>
      <c r="N15" s="1025">
        <v>2051.6361539999998</v>
      </c>
      <c r="O15" s="1025">
        <v>4502.3900000000003</v>
      </c>
      <c r="P15" s="1025">
        <v>2133.001651</v>
      </c>
      <c r="Q15" s="1025">
        <v>3889.9470000000001</v>
      </c>
      <c r="R15" s="1025">
        <v>1949.208828</v>
      </c>
      <c r="S15" s="1025">
        <v>3618.261</v>
      </c>
      <c r="T15" s="1025">
        <v>1785.159752</v>
      </c>
      <c r="U15" s="1025">
        <v>5573.68</v>
      </c>
      <c r="V15" s="1025">
        <v>2745.1248970000001</v>
      </c>
      <c r="W15" s="1028">
        <v>4133</v>
      </c>
      <c r="X15" s="1028">
        <v>2057</v>
      </c>
      <c r="Y15" s="1037">
        <v>4773.5330000000004</v>
      </c>
      <c r="Z15" s="1037">
        <v>2388.8686819999998</v>
      </c>
      <c r="AA15" s="1025">
        <v>4632.4799999999996</v>
      </c>
      <c r="AB15" s="1025">
        <v>2199.8367920000001</v>
      </c>
      <c r="AC15" s="1023">
        <v>4399.0050000000001</v>
      </c>
      <c r="AD15" s="1023">
        <v>2065.15083</v>
      </c>
      <c r="AE15" s="1038">
        <v>2983.4949999999999</v>
      </c>
      <c r="AF15" s="1038">
        <v>1395.2933</v>
      </c>
      <c r="AG15" s="1038">
        <v>4672.7629999999999</v>
      </c>
      <c r="AH15" s="1038">
        <v>2164.5603350000001</v>
      </c>
      <c r="AI15" s="1047">
        <v>4856.9939999999997</v>
      </c>
      <c r="AJ15" s="1047">
        <v>2354.3906550000002</v>
      </c>
      <c r="AK15" s="1015">
        <v>3933.0639999999999</v>
      </c>
      <c r="AL15" s="1015">
        <v>1921.944045</v>
      </c>
      <c r="AM15" s="1015">
        <v>550.23</v>
      </c>
      <c r="AN15" s="1015">
        <v>269.86286799999999</v>
      </c>
      <c r="AO15" s="1015">
        <v>3714.2060000000001</v>
      </c>
      <c r="AP15" s="1015">
        <v>1690.308657</v>
      </c>
      <c r="AQ15" s="1015">
        <v>4642.9589999999998</v>
      </c>
      <c r="AR15" s="1015">
        <v>2161.4693050000001</v>
      </c>
      <c r="AS15" s="1015">
        <v>3176.7910000000002</v>
      </c>
      <c r="AT15" s="1015">
        <v>1563.6810869999999</v>
      </c>
      <c r="AU15" s="1015">
        <v>2927.127</v>
      </c>
      <c r="AV15" s="1015">
        <v>1496.164291</v>
      </c>
      <c r="AW15" s="1058">
        <v>4727.3590000000004</v>
      </c>
      <c r="AX15" s="1058">
        <v>2100.924739</v>
      </c>
      <c r="AY15" s="1052">
        <v>4661.9059999999999</v>
      </c>
      <c r="AZ15" s="1052">
        <v>2096.7765209999998</v>
      </c>
      <c r="BA15" s="1065">
        <v>276.041</v>
      </c>
      <c r="BB15" s="1065">
        <v>126.154557</v>
      </c>
      <c r="BC15" s="1052">
        <v>1810.1890000000001</v>
      </c>
      <c r="BD15" s="1052">
        <v>864.71125500000005</v>
      </c>
      <c r="BE15" s="1015">
        <v>2149.7069999999999</v>
      </c>
      <c r="BF15" s="1015">
        <v>975.19095000000004</v>
      </c>
      <c r="BG15" s="1015">
        <v>4092.9969999999998</v>
      </c>
      <c r="BH15" s="1015">
        <v>2001.4670610000001</v>
      </c>
      <c r="BI15" s="1015">
        <v>4466.6170000000002</v>
      </c>
      <c r="BJ15" s="1015">
        <v>2048.0705090000001</v>
      </c>
      <c r="BK15" s="1015">
        <v>3091.1489999999999</v>
      </c>
      <c r="BL15" s="1015">
        <v>1397.662597</v>
      </c>
      <c r="BM15" s="1015">
        <v>3546.1689999999999</v>
      </c>
      <c r="BN15" s="1015">
        <v>1621.636753</v>
      </c>
      <c r="BO15" s="1015">
        <v>3206.5509999999999</v>
      </c>
      <c r="BP15" s="1015">
        <v>1494.2000499999999</v>
      </c>
      <c r="BQ15" s="1015">
        <v>3034.163</v>
      </c>
      <c r="BR15" s="1015">
        <v>1462.6832589999999</v>
      </c>
      <c r="BS15" s="1015">
        <v>3373.4380000000001</v>
      </c>
      <c r="BT15" s="1015">
        <v>1675.2528309999998</v>
      </c>
      <c r="BU15" s="1015">
        <v>3203.2379999999998</v>
      </c>
      <c r="BV15" s="1015">
        <v>1612.6907289999999</v>
      </c>
      <c r="BW15" s="1015">
        <v>4671.5889999999999</v>
      </c>
      <c r="BX15" s="1015">
        <v>2352.4119070000002</v>
      </c>
      <c r="BY15" s="1015">
        <v>4820.7910000000002</v>
      </c>
      <c r="BZ15" s="1015">
        <v>2643.529884</v>
      </c>
      <c r="CA15" s="1015">
        <v>4125.085</v>
      </c>
      <c r="CB15" s="1015">
        <v>2439.215369</v>
      </c>
      <c r="CC15" s="1015">
        <v>5596.67</v>
      </c>
      <c r="CD15" s="1015">
        <v>3107.3330769999998</v>
      </c>
      <c r="CE15" s="1015">
        <v>4694.0240000000003</v>
      </c>
      <c r="CF15" s="1015">
        <v>2792.054459</v>
      </c>
      <c r="CG15" s="1015">
        <v>6326.0020000000004</v>
      </c>
      <c r="CH15" s="1015">
        <v>3791.9899869999999</v>
      </c>
      <c r="CI15" s="1015">
        <v>5483.77</v>
      </c>
      <c r="CJ15" s="1015">
        <v>3144.3392519999998</v>
      </c>
      <c r="CK15" s="1015">
        <v>8378.6720000000005</v>
      </c>
      <c r="CL15" s="1015">
        <v>4527.171797</v>
      </c>
      <c r="CM15" s="1015">
        <v>10972</v>
      </c>
      <c r="CN15" s="1015">
        <v>6081</v>
      </c>
    </row>
    <row r="16" spans="1:100">
      <c r="A16" s="1015" t="s">
        <v>52</v>
      </c>
      <c r="B16" s="1024" t="s">
        <v>308</v>
      </c>
      <c r="C16" s="1025">
        <v>24198.109</v>
      </c>
      <c r="D16" s="1025">
        <v>9651.4465390000005</v>
      </c>
      <c r="E16" s="1025">
        <v>22350.794999999998</v>
      </c>
      <c r="F16" s="1025">
        <v>9135.2986070000006</v>
      </c>
      <c r="G16" s="1025">
        <v>16629.516</v>
      </c>
      <c r="H16" s="1025">
        <v>6403.0423259999998</v>
      </c>
      <c r="I16" s="1025">
        <v>22643.861000000001</v>
      </c>
      <c r="J16" s="1025">
        <v>8922.8687599999994</v>
      </c>
      <c r="K16" s="1025">
        <v>20132.032999999999</v>
      </c>
      <c r="L16" s="1025">
        <v>8213.671644</v>
      </c>
      <c r="M16" s="1025">
        <v>18279.223999999998</v>
      </c>
      <c r="N16" s="1025">
        <v>7876.413544</v>
      </c>
      <c r="O16" s="1025">
        <v>16991.370999999999</v>
      </c>
      <c r="P16" s="1025">
        <v>6937.530949</v>
      </c>
      <c r="Q16" s="1025">
        <v>22073.062999999998</v>
      </c>
      <c r="R16" s="1025">
        <v>9622.5472480000008</v>
      </c>
      <c r="S16" s="1025">
        <v>19709.968000000001</v>
      </c>
      <c r="T16" s="1025">
        <v>8722.943518</v>
      </c>
      <c r="U16" s="1025">
        <v>21608.287</v>
      </c>
      <c r="V16" s="1025">
        <v>9727.2298449999998</v>
      </c>
      <c r="W16" s="1028">
        <v>23117</v>
      </c>
      <c r="X16" s="1028">
        <v>10154</v>
      </c>
      <c r="Y16" s="1037">
        <v>17818.487000000001</v>
      </c>
      <c r="Z16" s="1037">
        <v>8245.0938540000006</v>
      </c>
      <c r="AA16" s="1025">
        <v>26801.704000000002</v>
      </c>
      <c r="AB16" s="1025">
        <v>10843.280291999999</v>
      </c>
      <c r="AC16" s="1023">
        <v>23431.326000000001</v>
      </c>
      <c r="AD16" s="1023">
        <v>8845.5566519999993</v>
      </c>
      <c r="AE16" s="1038">
        <v>18266.154999999999</v>
      </c>
      <c r="AF16" s="1038">
        <v>7000.4342310000002</v>
      </c>
      <c r="AG16" s="1038">
        <v>23956.252</v>
      </c>
      <c r="AH16" s="1038">
        <v>9737.3507279999994</v>
      </c>
      <c r="AI16" s="1047">
        <v>19870.809000000001</v>
      </c>
      <c r="AJ16" s="1047">
        <v>8328.9696089999998</v>
      </c>
      <c r="AK16" s="1015">
        <v>21299.868999999999</v>
      </c>
      <c r="AL16" s="1015">
        <v>8854.1175989999992</v>
      </c>
      <c r="AM16" s="1015">
        <v>24144.48</v>
      </c>
      <c r="AN16" s="1015">
        <v>9732.9389520000004</v>
      </c>
      <c r="AO16" s="1015">
        <v>22124.895</v>
      </c>
      <c r="AP16" s="1015">
        <v>9166.8701789999996</v>
      </c>
      <c r="AQ16" s="1015">
        <v>20854.41</v>
      </c>
      <c r="AR16" s="1015">
        <v>8411.9076640000003</v>
      </c>
      <c r="AS16" s="1015">
        <v>23093.952000000001</v>
      </c>
      <c r="AT16" s="1015">
        <v>9323.3269390000005</v>
      </c>
      <c r="AU16" s="1015">
        <v>19401.725999999999</v>
      </c>
      <c r="AV16" s="1015">
        <v>7466.6923829999996</v>
      </c>
      <c r="AW16" s="1058">
        <v>23860.186000000002</v>
      </c>
      <c r="AX16" s="1058">
        <v>8919.3525279999994</v>
      </c>
      <c r="AY16" s="1052">
        <v>22028.532999999999</v>
      </c>
      <c r="AZ16" s="1052">
        <v>8454.8439539999999</v>
      </c>
      <c r="BA16" s="1065">
        <v>18573.071</v>
      </c>
      <c r="BB16" s="1065">
        <v>7317.9663499999997</v>
      </c>
      <c r="BC16" s="1052">
        <v>21834.582999999999</v>
      </c>
      <c r="BD16" s="1052">
        <v>8431.8707180000001</v>
      </c>
      <c r="BE16" s="1015">
        <v>23834.516</v>
      </c>
      <c r="BF16" s="1015">
        <v>9240.7763680000007</v>
      </c>
      <c r="BG16" s="1015">
        <v>21337.434000000001</v>
      </c>
      <c r="BH16" s="1015">
        <v>8373.9771459999993</v>
      </c>
      <c r="BI16" s="1015">
        <v>23940.097000000002</v>
      </c>
      <c r="BJ16" s="1015">
        <v>10101.000126000001</v>
      </c>
      <c r="BK16" s="1015">
        <v>15546.415000000001</v>
      </c>
      <c r="BL16" s="1015">
        <v>5985.0456919999997</v>
      </c>
      <c r="BM16" s="1015">
        <v>17116.445</v>
      </c>
      <c r="BN16" s="1015">
        <v>7332.2393180000008</v>
      </c>
      <c r="BO16" s="1015">
        <v>19579.87</v>
      </c>
      <c r="BP16" s="1015">
        <v>7773.8152739999996</v>
      </c>
      <c r="BQ16" s="1015">
        <v>18430.375</v>
      </c>
      <c r="BR16" s="1015">
        <v>7528.3616340000008</v>
      </c>
      <c r="BS16" s="1015">
        <v>22658.147000000001</v>
      </c>
      <c r="BT16" s="1015">
        <v>8922.2947509999995</v>
      </c>
      <c r="BU16" s="1015">
        <v>17811.333999999999</v>
      </c>
      <c r="BV16" s="1015">
        <v>7403.1891329999999</v>
      </c>
      <c r="BW16" s="1015">
        <v>21239.134999999998</v>
      </c>
      <c r="BX16" s="1065">
        <v>8727.7418969999999</v>
      </c>
      <c r="BY16" s="1015">
        <v>22380.440999999999</v>
      </c>
      <c r="BZ16" s="1015">
        <v>9745.3390099999997</v>
      </c>
      <c r="CA16" s="1015">
        <v>20590.383999999998</v>
      </c>
      <c r="CB16" s="1015">
        <v>9376.3724349999993</v>
      </c>
      <c r="CC16" s="1015">
        <v>22288.241999999998</v>
      </c>
      <c r="CD16" s="1015">
        <v>10514.662953000001</v>
      </c>
      <c r="CE16" s="1015">
        <v>21814.901000000002</v>
      </c>
      <c r="CF16" s="1015">
        <v>11706.442094</v>
      </c>
      <c r="CG16" s="1015">
        <v>23847.337</v>
      </c>
      <c r="CH16" s="1015">
        <v>13384.030895</v>
      </c>
      <c r="CI16" s="1015">
        <v>21828.678</v>
      </c>
      <c r="CJ16" s="1015">
        <v>11968.863208000001</v>
      </c>
      <c r="CK16" s="1015">
        <v>24048.125</v>
      </c>
      <c r="CL16" s="1015">
        <v>13047.097356999999</v>
      </c>
      <c r="CM16" s="1015">
        <v>21972</v>
      </c>
      <c r="CN16" s="1015">
        <v>12288</v>
      </c>
    </row>
    <row r="17" spans="1:100" ht="15">
      <c r="A17" s="1015" t="s">
        <v>52</v>
      </c>
      <c r="B17" s="1024" t="s">
        <v>518</v>
      </c>
      <c r="C17" s="1025"/>
      <c r="D17" s="1025"/>
      <c r="E17" s="1025"/>
      <c r="F17" s="1025"/>
      <c r="G17" s="1025"/>
      <c r="H17" s="1025"/>
      <c r="I17" s="1025"/>
      <c r="J17" s="1025"/>
      <c r="K17" s="1025"/>
      <c r="L17" s="1025"/>
      <c r="M17" s="1025"/>
      <c r="N17" s="1025"/>
      <c r="O17" s="1025"/>
      <c r="P17" s="1025"/>
      <c r="Q17" s="1025"/>
      <c r="R17" s="1025"/>
      <c r="S17" s="1025"/>
      <c r="T17" s="1025"/>
      <c r="U17" s="1025"/>
      <c r="V17" s="1025"/>
      <c r="W17" s="1028"/>
      <c r="X17" s="1028"/>
      <c r="Y17" s="1037"/>
      <c r="Z17" s="1037"/>
      <c r="AA17" s="1025"/>
      <c r="AB17" s="1025"/>
      <c r="AC17" s="1023">
        <v>0</v>
      </c>
      <c r="AD17" s="1023">
        <v>0</v>
      </c>
      <c r="AE17" s="1038">
        <v>0</v>
      </c>
      <c r="AF17" s="1038">
        <v>0</v>
      </c>
      <c r="AG17" s="1038">
        <v>0</v>
      </c>
      <c r="AH17" s="1038">
        <v>0</v>
      </c>
      <c r="AI17" s="1047">
        <v>0</v>
      </c>
      <c r="AJ17" s="1047">
        <v>0</v>
      </c>
      <c r="AK17" s="1015">
        <v>0</v>
      </c>
      <c r="AL17" s="1015">
        <v>0</v>
      </c>
      <c r="AM17" s="1015">
        <v>0</v>
      </c>
      <c r="AN17" s="1015">
        <v>0</v>
      </c>
      <c r="AO17" s="1015">
        <v>0</v>
      </c>
      <c r="AP17" s="1015">
        <v>0</v>
      </c>
      <c r="AQ17" s="1015">
        <v>0</v>
      </c>
      <c r="AR17" s="1015">
        <v>0</v>
      </c>
      <c r="AW17" s="1058">
        <v>0</v>
      </c>
      <c r="AX17" s="1058">
        <v>0</v>
      </c>
      <c r="AY17" s="1052">
        <v>0</v>
      </c>
      <c r="AZ17" s="1052">
        <v>0</v>
      </c>
      <c r="BA17" s="1065">
        <v>17280.384999999998</v>
      </c>
      <c r="BB17" s="1065">
        <v>6054.0586940000003</v>
      </c>
      <c r="BC17" s="1066">
        <v>-317.71199999999999</v>
      </c>
      <c r="BD17" s="1066">
        <v>0</v>
      </c>
      <c r="BE17" s="1015">
        <v>23834.516</v>
      </c>
      <c r="BF17" s="1015">
        <v>9240.7763680000007</v>
      </c>
      <c r="BG17" s="1015">
        <v>21337.434000000001</v>
      </c>
      <c r="BH17" s="1015">
        <v>8373.9771459999993</v>
      </c>
      <c r="BI17" s="1015">
        <v>23940.097000000002</v>
      </c>
      <c r="BJ17" s="1015">
        <v>10101.000126000001</v>
      </c>
      <c r="BK17" s="1015">
        <v>15546.415000000001</v>
      </c>
      <c r="BL17" s="1015">
        <v>5985.0456919999997</v>
      </c>
      <c r="BM17" s="1015">
        <v>17116.445</v>
      </c>
      <c r="BN17" s="1015">
        <v>7332.2393180000008</v>
      </c>
      <c r="BO17" s="1015">
        <v>19579.87</v>
      </c>
      <c r="BP17" s="1015">
        <v>7773.8152739999996</v>
      </c>
      <c r="BQ17" s="1015">
        <v>18430.375</v>
      </c>
      <c r="BR17" s="1015">
        <v>7528.3616340000008</v>
      </c>
      <c r="BS17" s="1015">
        <v>22658.147000000001</v>
      </c>
      <c r="BT17" s="1015">
        <v>8922.2947509999995</v>
      </c>
      <c r="BU17" s="1015">
        <v>17811.333999999999</v>
      </c>
      <c r="BV17" s="1015">
        <v>7403.1891329999999</v>
      </c>
      <c r="BW17" s="1015">
        <v>21239.134999999998</v>
      </c>
      <c r="BX17" s="1065">
        <v>8727.7418969999999</v>
      </c>
      <c r="BY17" s="1015">
        <v>22380.440999999999</v>
      </c>
      <c r="BZ17" s="1015">
        <v>9745.3390099999997</v>
      </c>
      <c r="CA17" s="1015">
        <v>20590.383999999998</v>
      </c>
      <c r="CB17" s="1015">
        <v>9376.3724349999993</v>
      </c>
      <c r="CC17" s="1015">
        <v>22288.241999999998</v>
      </c>
      <c r="CD17" s="1015">
        <v>10514.662953000001</v>
      </c>
      <c r="CE17" s="1015">
        <v>21814.901000000002</v>
      </c>
      <c r="CF17" s="1015">
        <v>11706.442094</v>
      </c>
      <c r="CG17" s="1015">
        <v>23847.337</v>
      </c>
      <c r="CH17" s="1015">
        <v>13384.030895</v>
      </c>
      <c r="CI17" s="1015">
        <v>21828.678</v>
      </c>
      <c r="CJ17" s="1015">
        <v>11968.863208000001</v>
      </c>
      <c r="CK17" s="1015">
        <v>24048.125</v>
      </c>
      <c r="CL17" s="1015">
        <v>13047.097356999999</v>
      </c>
      <c r="CM17" s="1015">
        <v>21972</v>
      </c>
      <c r="CN17" s="1015">
        <v>12288</v>
      </c>
    </row>
    <row r="18" spans="1:100">
      <c r="A18" s="1015" t="s">
        <v>52</v>
      </c>
      <c r="B18" s="1024" t="s">
        <v>309</v>
      </c>
      <c r="C18" s="1025">
        <v>100121.27499999999</v>
      </c>
      <c r="D18" s="1025">
        <v>51104.156722</v>
      </c>
      <c r="E18" s="1025">
        <v>80680.83</v>
      </c>
      <c r="F18" s="1025">
        <v>42011.178205999997</v>
      </c>
      <c r="G18" s="1025">
        <v>65514.042000000001</v>
      </c>
      <c r="H18" s="1025">
        <v>34292.450029</v>
      </c>
      <c r="I18" s="1025">
        <v>89691.447</v>
      </c>
      <c r="J18" s="1025">
        <v>46911.830714000003</v>
      </c>
      <c r="K18" s="1025">
        <v>83482.937000000005</v>
      </c>
      <c r="L18" s="1025">
        <v>44183.008817000002</v>
      </c>
      <c r="M18" s="1025">
        <v>84401.782999999996</v>
      </c>
      <c r="N18" s="1025">
        <v>44001.226823999998</v>
      </c>
      <c r="O18" s="1025">
        <v>80639.764999999999</v>
      </c>
      <c r="P18" s="1025">
        <v>41411.670083999998</v>
      </c>
      <c r="Q18" s="1025">
        <v>87332.741999999998</v>
      </c>
      <c r="R18" s="1025">
        <v>46379.846625999999</v>
      </c>
      <c r="S18" s="1025">
        <v>78089.657000000007</v>
      </c>
      <c r="T18" s="1025">
        <v>41278.207685000001</v>
      </c>
      <c r="U18" s="1025">
        <v>67462.388000000006</v>
      </c>
      <c r="V18" s="1025">
        <v>35702.011014999996</v>
      </c>
      <c r="W18" s="1028">
        <v>81659</v>
      </c>
      <c r="X18" s="1028">
        <v>43851</v>
      </c>
      <c r="Y18" s="1037">
        <v>76313.144</v>
      </c>
      <c r="Z18" s="1037">
        <v>40885.893542999998</v>
      </c>
      <c r="AA18" s="1025">
        <v>87193.270999999993</v>
      </c>
      <c r="AB18" s="1025">
        <v>44122.039834000003</v>
      </c>
      <c r="AC18" s="1023">
        <v>66176.784</v>
      </c>
      <c r="AD18" s="1023">
        <v>31395.646033000001</v>
      </c>
      <c r="AE18" s="1038">
        <v>76064.267999999996</v>
      </c>
      <c r="AF18" s="1038">
        <v>34885.373122999998</v>
      </c>
      <c r="AG18" s="1038">
        <v>86222.577999999994</v>
      </c>
      <c r="AH18" s="1038">
        <v>41619.749743</v>
      </c>
      <c r="AI18" s="1047">
        <v>84117.379000000001</v>
      </c>
      <c r="AJ18" s="1047">
        <v>43128.950471999997</v>
      </c>
      <c r="AK18" s="1015">
        <v>76826.445000000007</v>
      </c>
      <c r="AL18" s="1015">
        <v>40146.272637000002</v>
      </c>
      <c r="AM18" s="1015">
        <v>74701.982999999993</v>
      </c>
      <c r="AN18" s="1015">
        <v>38978.154622000002</v>
      </c>
      <c r="AO18" s="1015">
        <v>78933.107999999993</v>
      </c>
      <c r="AP18" s="1015">
        <v>39435.987893999998</v>
      </c>
      <c r="AQ18" s="1015">
        <v>80029.380999999994</v>
      </c>
      <c r="AR18" s="1015">
        <v>39525.393241999998</v>
      </c>
      <c r="AS18" s="1015">
        <v>74193.440000000002</v>
      </c>
      <c r="AT18" s="1015">
        <v>37415.149035000002</v>
      </c>
      <c r="AU18" s="1015">
        <v>74891.888999999996</v>
      </c>
      <c r="AV18" s="1015">
        <v>37031.544561000002</v>
      </c>
      <c r="AW18" s="1058">
        <v>78039.89</v>
      </c>
      <c r="AX18" s="1058">
        <v>38296.309960999999</v>
      </c>
      <c r="AY18" s="1052">
        <v>85579.247000000003</v>
      </c>
      <c r="AZ18" s="1052">
        <v>41489.605269</v>
      </c>
      <c r="BA18" s="1065">
        <v>62839.334000000003</v>
      </c>
      <c r="BB18" s="1065">
        <v>30522.977860999999</v>
      </c>
      <c r="BC18" s="1052">
        <v>73122.304999999993</v>
      </c>
      <c r="BD18" s="1052">
        <v>36775.668044999999</v>
      </c>
      <c r="BE18" s="1015">
        <v>83666.453999999998</v>
      </c>
      <c r="BF18" s="1015">
        <v>42301.721918000003</v>
      </c>
      <c r="BG18" s="1015">
        <v>75587.02</v>
      </c>
      <c r="BH18" s="1015">
        <v>40151.618488</v>
      </c>
      <c r="BI18" s="1015">
        <v>77827.13</v>
      </c>
      <c r="BJ18" s="1015">
        <v>37473.600587000001</v>
      </c>
      <c r="BK18" s="1015">
        <v>79587.126999999993</v>
      </c>
      <c r="BL18" s="1015">
        <v>38948.504530999999</v>
      </c>
      <c r="BM18" s="1015">
        <v>61581.191000000006</v>
      </c>
      <c r="BN18" s="1015">
        <v>30484.678257</v>
      </c>
      <c r="BO18" s="1015">
        <v>79443.149000000005</v>
      </c>
      <c r="BP18" s="1015">
        <v>40825.787441</v>
      </c>
      <c r="BQ18" s="1015">
        <v>83488.519</v>
      </c>
      <c r="BR18" s="1015">
        <v>43029.571581000004</v>
      </c>
      <c r="BS18" s="1015">
        <v>83677.744000000006</v>
      </c>
      <c r="BT18" s="1015">
        <v>45061.721569999994</v>
      </c>
      <c r="BU18" s="1015">
        <v>84127.599000000002</v>
      </c>
      <c r="BV18" s="1015">
        <v>45752.701991000002</v>
      </c>
      <c r="BW18" s="1015">
        <v>87839.032000000007</v>
      </c>
      <c r="BX18" s="1015">
        <v>48309.863476999999</v>
      </c>
      <c r="BY18" s="1015">
        <v>88980.872000000003</v>
      </c>
      <c r="BZ18" s="1015">
        <v>53569.358502999996</v>
      </c>
      <c r="CA18" s="1015">
        <v>79359.910999999993</v>
      </c>
      <c r="CB18" s="1015">
        <v>55903.020444000009</v>
      </c>
      <c r="CC18" s="1015">
        <v>97577.751000000004</v>
      </c>
      <c r="CD18" s="1015">
        <v>74592.909813999999</v>
      </c>
      <c r="CE18" s="1015">
        <v>97904.755000000005</v>
      </c>
      <c r="CF18" s="1015">
        <v>77999.866802999997</v>
      </c>
      <c r="CG18" s="1015">
        <v>95138.474000000002</v>
      </c>
      <c r="CH18" s="1015">
        <v>75247.384749999997</v>
      </c>
      <c r="CI18" s="1015">
        <v>77211.585999999996</v>
      </c>
      <c r="CJ18" s="1015">
        <v>61756.933272000002</v>
      </c>
      <c r="CK18" s="1015">
        <v>77336.464999999997</v>
      </c>
      <c r="CL18" s="1015">
        <v>64189.400017999993</v>
      </c>
      <c r="CM18" s="1015">
        <v>95038</v>
      </c>
      <c r="CN18" s="1015">
        <v>77770</v>
      </c>
    </row>
    <row r="19" spans="1:100">
      <c r="A19" s="1015" t="s">
        <v>52</v>
      </c>
      <c r="B19" s="1024" t="s">
        <v>519</v>
      </c>
      <c r="C19" s="1025"/>
      <c r="D19" s="1025"/>
      <c r="E19" s="1025">
        <v>2512.41</v>
      </c>
      <c r="F19" s="1025">
        <v>1211.2463290000001</v>
      </c>
      <c r="G19" s="1025">
        <v>1482.1849999999999</v>
      </c>
      <c r="H19" s="1025">
        <v>687.45388600000001</v>
      </c>
      <c r="I19" s="1025">
        <v>2836.4050000000002</v>
      </c>
      <c r="J19" s="1025">
        <v>1239.642994</v>
      </c>
      <c r="K19" s="1025">
        <v>2106.66</v>
      </c>
      <c r="L19" s="1025">
        <v>999.63390400000003</v>
      </c>
      <c r="M19" s="1025">
        <v>2777.3850000000002</v>
      </c>
      <c r="N19" s="1025">
        <v>1321.018345</v>
      </c>
      <c r="O19" s="1025">
        <v>2798.2550000000001</v>
      </c>
      <c r="P19" s="1025">
        <v>1346.967977</v>
      </c>
      <c r="Q19" s="1025">
        <v>2261.5050000000001</v>
      </c>
      <c r="R19" s="1025">
        <v>1087.1055080000001</v>
      </c>
      <c r="S19" s="1025">
        <v>1934.88</v>
      </c>
      <c r="T19" s="1025">
        <v>996.81188099999997</v>
      </c>
      <c r="U19" s="1025">
        <v>2122.7750000000001</v>
      </c>
      <c r="V19" s="1025">
        <v>1024.198605</v>
      </c>
      <c r="W19" s="1028">
        <v>2130.27</v>
      </c>
      <c r="X19" s="1028">
        <v>1044.9682760000001</v>
      </c>
      <c r="Y19" s="1037">
        <v>2248.16</v>
      </c>
      <c r="Z19" s="1037">
        <v>1132.7202669999999</v>
      </c>
      <c r="AA19" s="1025">
        <v>1912.25</v>
      </c>
      <c r="AB19" s="1025">
        <v>905.84634400000004</v>
      </c>
      <c r="AC19" s="1023">
        <v>1985.13</v>
      </c>
      <c r="AD19" s="1023">
        <v>895.73775999999998</v>
      </c>
      <c r="AE19" s="1038">
        <v>1338.16</v>
      </c>
      <c r="AF19" s="1038">
        <v>578.25199199999997</v>
      </c>
      <c r="AG19" s="1038">
        <v>2073.5300000000002</v>
      </c>
      <c r="AH19" s="1038">
        <v>899.72300199999995</v>
      </c>
      <c r="AI19" s="1047">
        <v>2114.0149999999999</v>
      </c>
      <c r="AJ19" s="1047">
        <v>1052.3163500000001</v>
      </c>
      <c r="AK19" s="1015">
        <v>2260.39</v>
      </c>
      <c r="AL19" s="1015">
        <v>1008.727632</v>
      </c>
      <c r="AM19" s="1015">
        <v>1380.73</v>
      </c>
      <c r="AN19" s="1015">
        <v>634.67219399999999</v>
      </c>
      <c r="AO19" s="1015">
        <v>1018.54</v>
      </c>
      <c r="AP19" s="1015">
        <v>476.53704399999998</v>
      </c>
      <c r="AQ19" s="1015">
        <v>1373.7049999999999</v>
      </c>
      <c r="AR19" s="1015">
        <v>694.276297</v>
      </c>
      <c r="AS19" s="1015">
        <v>1654.45</v>
      </c>
      <c r="AT19" s="1015">
        <v>789.688985</v>
      </c>
      <c r="AU19" s="1015">
        <v>1942.7650000000001</v>
      </c>
      <c r="AV19" s="1015">
        <v>900.98271699999998</v>
      </c>
      <c r="AW19" s="1058">
        <v>2289.6750000000002</v>
      </c>
      <c r="AX19" s="1058">
        <v>1136.818299</v>
      </c>
      <c r="AY19" s="1052">
        <v>1918.5650000000001</v>
      </c>
      <c r="AZ19" s="1052">
        <v>993.82184299999994</v>
      </c>
      <c r="BA19" s="1065">
        <v>2078.3249999999998</v>
      </c>
      <c r="BB19" s="1065">
        <v>971.44912599999998</v>
      </c>
      <c r="BC19" s="1052">
        <v>2834.26</v>
      </c>
      <c r="BD19" s="1052">
        <v>1369.5056770000001</v>
      </c>
      <c r="BE19" s="1015">
        <v>1818.6</v>
      </c>
      <c r="BF19" s="1015">
        <v>829.97042899999997</v>
      </c>
      <c r="BG19" s="1015">
        <v>2042.5450000000001</v>
      </c>
      <c r="BH19" s="1015">
        <v>960.54422</v>
      </c>
      <c r="BI19" s="1015">
        <v>1865.2149999999999</v>
      </c>
      <c r="BJ19" s="1015">
        <v>885.15687500000001</v>
      </c>
      <c r="BK19" s="1015">
        <v>2208.25</v>
      </c>
      <c r="BL19" s="1015">
        <v>1052.1625710000001</v>
      </c>
      <c r="BM19" s="1015">
        <v>1701.89</v>
      </c>
      <c r="BN19" s="1015">
        <v>818.09436400000004</v>
      </c>
      <c r="BO19" s="1015">
        <v>1829.5</v>
      </c>
      <c r="BP19" s="1015">
        <v>875.90392699999995</v>
      </c>
      <c r="BQ19" s="1015">
        <v>2183.9949999999999</v>
      </c>
      <c r="BR19" s="1015">
        <v>1003.436864</v>
      </c>
      <c r="BS19" s="1015">
        <v>2415.64</v>
      </c>
      <c r="BT19" s="1015">
        <v>1211.123945</v>
      </c>
      <c r="BU19" s="1015">
        <v>2498.06</v>
      </c>
      <c r="BV19" s="1015">
        <v>1279.069866</v>
      </c>
      <c r="BW19" s="1015">
        <v>2266.29</v>
      </c>
      <c r="BX19" s="1015">
        <v>1188.855947</v>
      </c>
      <c r="BY19" s="1015">
        <v>2429.8200000000002</v>
      </c>
      <c r="BZ19" s="1015">
        <v>1409.568319</v>
      </c>
      <c r="CA19" s="1015">
        <v>1717.415</v>
      </c>
      <c r="CB19" s="1015">
        <v>979.32421699999998</v>
      </c>
      <c r="CC19" s="1015">
        <v>2004.405</v>
      </c>
      <c r="CD19" s="1015">
        <v>1207.6123680000001</v>
      </c>
      <c r="CE19" s="1015">
        <v>2410.65</v>
      </c>
      <c r="CF19" s="1015">
        <v>1544.6511009999999</v>
      </c>
      <c r="CG19" s="1015">
        <v>2265.9250000000002</v>
      </c>
      <c r="CH19" s="1015">
        <v>1457.4344579999999</v>
      </c>
      <c r="CI19" s="1015">
        <v>2045.21</v>
      </c>
      <c r="CJ19" s="1015">
        <v>1377.912544</v>
      </c>
      <c r="CK19" s="1015">
        <v>2188.12</v>
      </c>
      <c r="CL19" s="1015">
        <v>1539.713749</v>
      </c>
      <c r="CM19" s="1015">
        <v>2211</v>
      </c>
      <c r="CN19" s="1015">
        <v>1619</v>
      </c>
    </row>
    <row r="20" spans="1:100">
      <c r="A20" s="1015" t="s">
        <v>52</v>
      </c>
      <c r="B20" s="1024" t="s">
        <v>520</v>
      </c>
      <c r="C20" s="1025"/>
      <c r="D20" s="1025"/>
      <c r="E20" s="1025">
        <v>78168.42</v>
      </c>
      <c r="F20" s="1025">
        <v>40799.931877000003</v>
      </c>
      <c r="G20" s="1025">
        <v>64031.857000000004</v>
      </c>
      <c r="H20" s="1025">
        <v>33604.996142999997</v>
      </c>
      <c r="I20" s="1025">
        <v>86855.042000000001</v>
      </c>
      <c r="J20" s="1025">
        <v>45672.187720000002</v>
      </c>
      <c r="K20" s="1025">
        <v>81376.277000000002</v>
      </c>
      <c r="L20" s="1025">
        <v>43183.374913</v>
      </c>
      <c r="M20" s="1025">
        <v>81624.398000000001</v>
      </c>
      <c r="N20" s="1025">
        <v>42680.208479000001</v>
      </c>
      <c r="O20" s="1025">
        <v>77841.509999999995</v>
      </c>
      <c r="P20" s="1025">
        <v>40064.702106999997</v>
      </c>
      <c r="Q20" s="1025">
        <v>85071.236999999994</v>
      </c>
      <c r="R20" s="1025">
        <v>45292.741117999998</v>
      </c>
      <c r="S20" s="1025">
        <v>76154.777000000002</v>
      </c>
      <c r="T20" s="1025">
        <v>40281.395804</v>
      </c>
      <c r="U20" s="1025">
        <v>65339.612999999998</v>
      </c>
      <c r="V20" s="1025">
        <v>34677.812409999999</v>
      </c>
      <c r="W20" s="1028">
        <v>79529.058000000005</v>
      </c>
      <c r="X20" s="1028">
        <v>42806.119286000001</v>
      </c>
      <c r="Y20" s="1037">
        <v>74064.983999999997</v>
      </c>
      <c r="Z20" s="1037">
        <v>39753.173276000001</v>
      </c>
      <c r="AA20" s="1025">
        <v>85281.020999999993</v>
      </c>
      <c r="AB20" s="1025">
        <v>43216.193489999998</v>
      </c>
      <c r="AC20" s="1023">
        <v>64191.654000000002</v>
      </c>
      <c r="AD20" s="1023">
        <v>30499.908273000001</v>
      </c>
      <c r="AE20" s="1038">
        <v>74726.107999999993</v>
      </c>
      <c r="AF20" s="1038">
        <v>34307.121131</v>
      </c>
      <c r="AG20" s="1038">
        <v>84149.047999999995</v>
      </c>
      <c r="AH20" s="1038">
        <v>40720.026741000001</v>
      </c>
      <c r="AI20" s="1047">
        <v>82003.364000000001</v>
      </c>
      <c r="AJ20" s="1047">
        <v>42076.634122000003</v>
      </c>
      <c r="AK20" s="1015">
        <v>74566.054999999993</v>
      </c>
      <c r="AL20" s="1015">
        <v>39137.545005</v>
      </c>
      <c r="AM20" s="1015">
        <v>73321.252999999997</v>
      </c>
      <c r="AN20" s="1015">
        <v>38343.482428000003</v>
      </c>
      <c r="AO20" s="1015">
        <v>77914.567999999999</v>
      </c>
      <c r="AP20" s="1015">
        <v>38959.450850000001</v>
      </c>
      <c r="AQ20" s="1015">
        <v>78655.676000000007</v>
      </c>
      <c r="AR20" s="1015">
        <v>38831.116945000002</v>
      </c>
      <c r="AS20" s="1015">
        <v>72538.990000000005</v>
      </c>
      <c r="AT20" s="1015">
        <v>36625.460050000002</v>
      </c>
      <c r="AU20" s="1015">
        <v>72949.123999999996</v>
      </c>
      <c r="AV20" s="1015">
        <v>36130.561844000003</v>
      </c>
      <c r="AW20" s="1058">
        <v>75750.214999999997</v>
      </c>
      <c r="AX20" s="1058">
        <v>37159.491662</v>
      </c>
      <c r="AY20" s="1052">
        <v>83660.682000000001</v>
      </c>
      <c r="AZ20" s="1052">
        <v>40495.783426000002</v>
      </c>
      <c r="BA20" s="1065">
        <v>60761.008999999998</v>
      </c>
      <c r="BB20" s="1065">
        <v>29551.528735</v>
      </c>
      <c r="BC20" s="1052">
        <v>70288.044999999998</v>
      </c>
      <c r="BD20" s="1052">
        <v>35406.162367999998</v>
      </c>
      <c r="BE20" s="1015">
        <v>81847.854000000007</v>
      </c>
      <c r="BF20" s="1015">
        <v>41471.751489000002</v>
      </c>
      <c r="BG20" s="1015">
        <v>73544.475000000006</v>
      </c>
      <c r="BH20" s="1015">
        <v>39191.074267999997</v>
      </c>
      <c r="BI20" s="1015">
        <v>75961.914999999994</v>
      </c>
      <c r="BJ20" s="1015">
        <v>36588.443712</v>
      </c>
      <c r="BK20" s="1015">
        <v>77378.876999999993</v>
      </c>
      <c r="BL20" s="1015">
        <v>37896.341959999998</v>
      </c>
      <c r="BM20" s="1015">
        <v>59879.301000000007</v>
      </c>
      <c r="BN20" s="1015">
        <v>29666.583893000006</v>
      </c>
      <c r="BO20" s="1015">
        <v>77613.649000000005</v>
      </c>
      <c r="BP20" s="1015">
        <v>39949.883514000001</v>
      </c>
      <c r="BQ20" s="1015">
        <v>81304.524000000005</v>
      </c>
      <c r="BR20" s="1015">
        <v>42026.134717000001</v>
      </c>
      <c r="BS20" s="1015">
        <v>81262.104000000007</v>
      </c>
      <c r="BT20" s="1015">
        <v>43850.597625000002</v>
      </c>
      <c r="BU20" s="1015">
        <v>81629.539000000004</v>
      </c>
      <c r="BV20" s="1015">
        <v>44473.632124999996</v>
      </c>
      <c r="BW20" s="1015">
        <v>85572.741999999998</v>
      </c>
      <c r="BX20" s="1015">
        <v>47121.007530000003</v>
      </c>
      <c r="BY20" s="1015">
        <v>86551.051999999996</v>
      </c>
      <c r="BZ20" s="1015">
        <v>52159.790183999998</v>
      </c>
      <c r="CA20" s="1015">
        <v>77642.495999999999</v>
      </c>
      <c r="CB20" s="1015">
        <v>54923.696227</v>
      </c>
      <c r="CC20" s="1015">
        <v>95573.346000000005</v>
      </c>
      <c r="CD20" s="1015">
        <v>73385.297445999997</v>
      </c>
      <c r="CE20" s="1015">
        <v>95494.104999999996</v>
      </c>
      <c r="CF20" s="1015">
        <v>76455.215702000001</v>
      </c>
      <c r="CG20" s="1015">
        <v>92872.548999999999</v>
      </c>
      <c r="CH20" s="1015">
        <v>73789.950291999994</v>
      </c>
      <c r="CI20" s="1015">
        <v>75166.376000000004</v>
      </c>
      <c r="CJ20" s="1015">
        <v>60379.020727999996</v>
      </c>
      <c r="CK20" s="1015">
        <v>75148.345000000001</v>
      </c>
      <c r="CL20" s="1015">
        <v>62649.686269000005</v>
      </c>
      <c r="CM20" s="1015">
        <v>92827</v>
      </c>
      <c r="CN20" s="1015">
        <v>76151</v>
      </c>
    </row>
    <row r="21" spans="1:100">
      <c r="A21" s="1015" t="s">
        <v>52</v>
      </c>
      <c r="B21" s="1024" t="s">
        <v>312</v>
      </c>
      <c r="C21" s="1025">
        <v>219483.14199999999</v>
      </c>
      <c r="D21" s="1025">
        <v>86681.046061000001</v>
      </c>
      <c r="E21" s="1025">
        <v>236504.315</v>
      </c>
      <c r="F21" s="1025">
        <v>94986.455768</v>
      </c>
      <c r="G21" s="1025">
        <v>208298.69699999999</v>
      </c>
      <c r="H21" s="1025">
        <v>80546.963784000007</v>
      </c>
      <c r="I21" s="1025">
        <v>303563.147</v>
      </c>
      <c r="J21" s="1025">
        <v>119858.898667</v>
      </c>
      <c r="K21" s="1025">
        <v>269839.321</v>
      </c>
      <c r="L21" s="1025">
        <v>98721.066361000005</v>
      </c>
      <c r="M21" s="1025">
        <v>279396.20199999999</v>
      </c>
      <c r="N21" s="1025">
        <v>105430.215772</v>
      </c>
      <c r="O21" s="1025">
        <v>287944.65999999997</v>
      </c>
      <c r="P21" s="1025">
        <v>114498.473298</v>
      </c>
      <c r="Q21" s="1025">
        <v>271415.48300000001</v>
      </c>
      <c r="R21" s="1025">
        <v>110186.917439</v>
      </c>
      <c r="S21" s="1025">
        <v>223175.00200000001</v>
      </c>
      <c r="T21" s="1025">
        <v>90093.817102999994</v>
      </c>
      <c r="U21" s="1025">
        <v>230319.07399999999</v>
      </c>
      <c r="V21" s="1025">
        <v>94295.893620999996</v>
      </c>
      <c r="W21" s="1028">
        <v>246465</v>
      </c>
      <c r="X21" s="1028">
        <v>92960</v>
      </c>
      <c r="Y21" s="1037">
        <v>245822.617</v>
      </c>
      <c r="Z21" s="1037">
        <v>93176.927280999997</v>
      </c>
      <c r="AA21" s="1025">
        <v>325048.09399999998</v>
      </c>
      <c r="AB21" s="1025">
        <v>115633.048415</v>
      </c>
      <c r="AC21" s="1023">
        <v>184017.55799999999</v>
      </c>
      <c r="AD21" s="1023">
        <v>61335.750960999998</v>
      </c>
      <c r="AE21" s="1038">
        <v>201550.049</v>
      </c>
      <c r="AF21" s="1038">
        <v>69968.369544999994</v>
      </c>
      <c r="AG21" s="1038">
        <v>211752.49799999999</v>
      </c>
      <c r="AH21" s="1038">
        <v>79581.643288000007</v>
      </c>
      <c r="AI21" s="1047">
        <v>231679.239</v>
      </c>
      <c r="AJ21" s="1047">
        <v>92652.376327999998</v>
      </c>
      <c r="AK21" s="1015">
        <v>258611.087</v>
      </c>
      <c r="AL21" s="1015">
        <v>101829.029062</v>
      </c>
      <c r="AM21" s="1015">
        <v>235904.61799999999</v>
      </c>
      <c r="AN21" s="1015">
        <v>93603.385154999996</v>
      </c>
      <c r="AO21" s="1015">
        <v>226380.299</v>
      </c>
      <c r="AP21" s="1015">
        <v>88177.217290999994</v>
      </c>
      <c r="AQ21" s="1015">
        <v>198084.21900000001</v>
      </c>
      <c r="AR21" s="1015">
        <v>80232.083278000006</v>
      </c>
      <c r="AS21" s="1015">
        <v>205146.68400000001</v>
      </c>
      <c r="AT21" s="1015">
        <v>79347.644035999998</v>
      </c>
      <c r="AU21" s="1015">
        <v>235279.584</v>
      </c>
      <c r="AV21" s="1015">
        <v>79370.699150999993</v>
      </c>
      <c r="AW21" s="1058">
        <v>251530.929</v>
      </c>
      <c r="AX21" s="1058">
        <v>90709.624591999993</v>
      </c>
      <c r="AY21" s="1052">
        <v>236732.179</v>
      </c>
      <c r="AZ21" s="1052">
        <v>83565.788241999995</v>
      </c>
      <c r="BA21" s="1065">
        <v>212579.916</v>
      </c>
      <c r="BB21" s="1065">
        <v>80001.068041999999</v>
      </c>
      <c r="BC21" s="1052">
        <v>209694.861</v>
      </c>
      <c r="BD21" s="1052">
        <v>78026.289506000001</v>
      </c>
      <c r="BE21" s="1015">
        <v>237869.535</v>
      </c>
      <c r="BF21" s="1015">
        <v>79629.300390999997</v>
      </c>
      <c r="BG21" s="1015">
        <v>332631.90399999998</v>
      </c>
      <c r="BH21" s="1015">
        <v>109734.22249099999</v>
      </c>
      <c r="BI21" s="1015">
        <v>273452.37199999997</v>
      </c>
      <c r="BJ21" s="1015">
        <v>89532.529303000003</v>
      </c>
      <c r="BK21" s="1015">
        <v>221122.954</v>
      </c>
      <c r="BL21" s="1015">
        <v>77875.651637000003</v>
      </c>
      <c r="BM21" s="1015">
        <v>173762.35800000001</v>
      </c>
      <c r="BN21" s="1015">
        <v>63305.123675999996</v>
      </c>
      <c r="BO21" s="1015">
        <v>163927.85999999999</v>
      </c>
      <c r="BP21" s="1015">
        <v>59816.726569000006</v>
      </c>
      <c r="BQ21" s="1015">
        <v>146813.94399999999</v>
      </c>
      <c r="BR21" s="1015">
        <v>55568.663272999998</v>
      </c>
      <c r="BS21" s="1015">
        <v>212333.14400000003</v>
      </c>
      <c r="BT21" s="1015">
        <v>80589.943660000019</v>
      </c>
      <c r="BU21" s="1015">
        <v>217154.951</v>
      </c>
      <c r="BV21" s="1015">
        <v>78955.815023999996</v>
      </c>
      <c r="BW21" s="1015">
        <v>222344.30100000001</v>
      </c>
      <c r="BX21" s="1015">
        <v>82783.371616999997</v>
      </c>
      <c r="BY21" s="1015">
        <v>209523.69500000001</v>
      </c>
      <c r="BZ21" s="1015">
        <v>89344.833551000003</v>
      </c>
      <c r="CA21" s="1015">
        <v>183422.731</v>
      </c>
      <c r="CB21" s="1015">
        <v>80876.05992</v>
      </c>
      <c r="CC21" s="1015">
        <v>228651.03599999999</v>
      </c>
      <c r="CD21" s="1015">
        <v>108988.78767400001</v>
      </c>
      <c r="CE21" s="1015">
        <v>226741.24400000001</v>
      </c>
      <c r="CF21" s="1015">
        <v>112016.255234</v>
      </c>
      <c r="CG21" s="1015">
        <v>264577.72899999999</v>
      </c>
      <c r="CH21" s="1015">
        <v>142929.149944</v>
      </c>
      <c r="CI21" s="1015">
        <v>279715.86900000001</v>
      </c>
      <c r="CJ21" s="1015">
        <v>155208.438471</v>
      </c>
      <c r="CK21" s="1015">
        <v>259687.47500000001</v>
      </c>
      <c r="CL21" s="1015">
        <v>128772.23929300001</v>
      </c>
      <c r="CM21" s="1015">
        <v>268879</v>
      </c>
      <c r="CN21" s="1015">
        <v>150231</v>
      </c>
    </row>
    <row r="22" spans="1:100">
      <c r="A22" s="1015" t="s">
        <v>52</v>
      </c>
      <c r="B22" s="1024" t="s">
        <v>521</v>
      </c>
      <c r="C22" s="1025"/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8"/>
      <c r="X22" s="1028"/>
      <c r="Y22" s="1037"/>
      <c r="Z22" s="1037"/>
      <c r="AA22" s="1025"/>
      <c r="AB22" s="1025"/>
      <c r="AC22" s="1023">
        <v>62714.665000000001</v>
      </c>
      <c r="AD22" s="1023">
        <v>19935.806618999999</v>
      </c>
      <c r="AE22" s="1038">
        <v>56487.02</v>
      </c>
      <c r="AF22" s="1038">
        <v>18248.591965</v>
      </c>
      <c r="AG22" s="1038">
        <v>68313.615000000005</v>
      </c>
      <c r="AH22" s="1038">
        <v>25298.354880999999</v>
      </c>
      <c r="AI22" s="1047">
        <v>67451.8</v>
      </c>
      <c r="AJ22" s="1047">
        <v>26853.2009</v>
      </c>
      <c r="AK22" s="1015">
        <v>71469.009999999995</v>
      </c>
      <c r="AL22" s="1015">
        <v>27443.585668</v>
      </c>
      <c r="AM22" s="1015">
        <v>67379.418999999994</v>
      </c>
      <c r="AN22" s="1015">
        <v>24788.167303999999</v>
      </c>
      <c r="AO22" s="1015">
        <v>63649.974999999999</v>
      </c>
      <c r="AP22" s="1015">
        <v>23570.374864000001</v>
      </c>
      <c r="AQ22" s="1015">
        <v>71899.539999999994</v>
      </c>
      <c r="AR22" s="1015">
        <v>27820.358091999999</v>
      </c>
      <c r="AS22" s="1015">
        <v>62769.442999999999</v>
      </c>
      <c r="AT22" s="1015">
        <v>23080.076978000001</v>
      </c>
      <c r="AU22" s="1015">
        <v>86625.627999999997</v>
      </c>
      <c r="AV22" s="1015">
        <v>28192.705586</v>
      </c>
      <c r="AW22" s="1058">
        <v>66483.55</v>
      </c>
      <c r="AX22" s="1058">
        <v>22755.736733999998</v>
      </c>
      <c r="AY22" s="1052">
        <v>75833.75</v>
      </c>
      <c r="AZ22" s="1052">
        <v>25580.814943000001</v>
      </c>
      <c r="BA22" s="1065">
        <v>72175.600000000006</v>
      </c>
      <c r="BB22" s="1065">
        <v>24930.842852000002</v>
      </c>
      <c r="BC22" s="1052">
        <v>65706.039999999994</v>
      </c>
      <c r="BD22" s="1052">
        <v>23543.721044000002</v>
      </c>
      <c r="BE22" s="1015">
        <v>69997.960000000006</v>
      </c>
      <c r="BF22" s="1015">
        <v>19446.809175999999</v>
      </c>
      <c r="BG22" s="1015">
        <v>116749.79</v>
      </c>
      <c r="BH22" s="1015">
        <v>35763.741668000002</v>
      </c>
      <c r="BI22" s="1015">
        <v>85803.74</v>
      </c>
      <c r="BJ22" s="1015">
        <v>25525.444125999999</v>
      </c>
      <c r="BK22" s="1015">
        <v>64261.45</v>
      </c>
      <c r="BL22" s="1015">
        <v>21137.808085000001</v>
      </c>
      <c r="BM22" s="1015">
        <v>47405.34</v>
      </c>
      <c r="BN22" s="1015">
        <v>16380.696316</v>
      </c>
      <c r="BO22" s="1015">
        <v>70120.47</v>
      </c>
      <c r="BP22" s="1015">
        <v>24740.198453000001</v>
      </c>
      <c r="BQ22" s="1015">
        <v>62963.14</v>
      </c>
      <c r="BR22" s="1015">
        <v>22767.386528999999</v>
      </c>
      <c r="BS22" s="1015">
        <v>84477.47</v>
      </c>
      <c r="BT22" s="1015">
        <v>30243.104151</v>
      </c>
      <c r="BU22" s="1015">
        <v>75090.399999999994</v>
      </c>
      <c r="BV22" s="1015">
        <v>25621.273017</v>
      </c>
      <c r="BW22" s="1015">
        <v>81255.19</v>
      </c>
      <c r="BX22" s="1015">
        <v>29736.279462000002</v>
      </c>
      <c r="BY22" s="1015">
        <v>77733.289999999994</v>
      </c>
      <c r="BZ22" s="1015">
        <v>35077.285228000001</v>
      </c>
      <c r="CA22" s="1015">
        <v>63723.6</v>
      </c>
      <c r="CB22" s="1015">
        <v>24313.918356999999</v>
      </c>
      <c r="CC22" s="1015">
        <v>72845.37</v>
      </c>
      <c r="CD22" s="1015">
        <v>31486.765744</v>
      </c>
      <c r="CE22" s="1015">
        <v>79015.429999999993</v>
      </c>
      <c r="CF22" s="1015">
        <v>38710.245643000002</v>
      </c>
      <c r="CG22" s="1015">
        <v>99854.399999999994</v>
      </c>
      <c r="CH22" s="1015">
        <v>55115.408760999999</v>
      </c>
      <c r="CI22" s="1015">
        <v>107220.83</v>
      </c>
      <c r="CJ22" s="1015">
        <v>58608.923972000004</v>
      </c>
      <c r="CK22" s="1015">
        <v>92184.5</v>
      </c>
      <c r="CL22" s="1015">
        <v>43422.359835000003</v>
      </c>
      <c r="CM22" s="1015">
        <v>90167</v>
      </c>
      <c r="CN22" s="1015">
        <v>50196</v>
      </c>
    </row>
    <row r="23" spans="1:100" ht="15">
      <c r="A23" s="1015" t="s">
        <v>52</v>
      </c>
      <c r="B23" s="1024" t="s">
        <v>518</v>
      </c>
      <c r="C23" s="1025"/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  <c r="O23" s="1025"/>
      <c r="P23" s="1025"/>
      <c r="Q23" s="1025"/>
      <c r="R23" s="1025"/>
      <c r="S23" s="1025"/>
      <c r="T23" s="1025"/>
      <c r="U23" s="1025"/>
      <c r="V23" s="1025"/>
      <c r="W23" s="1028"/>
      <c r="X23" s="1028"/>
      <c r="Y23" s="1037"/>
      <c r="Z23" s="1037"/>
      <c r="AA23" s="1025"/>
      <c r="AB23" s="1025"/>
      <c r="AC23" s="1023">
        <v>0</v>
      </c>
      <c r="AD23" s="1023">
        <v>0</v>
      </c>
      <c r="AE23" s="1038">
        <v>0</v>
      </c>
      <c r="AF23" s="1038">
        <v>0</v>
      </c>
      <c r="AG23" s="1038">
        <v>0</v>
      </c>
      <c r="AH23" s="1038">
        <v>0</v>
      </c>
      <c r="AI23" s="1047">
        <v>0</v>
      </c>
      <c r="AJ23" s="1047">
        <v>0</v>
      </c>
      <c r="AK23" s="1015">
        <v>0</v>
      </c>
      <c r="AL23" s="1015">
        <v>0</v>
      </c>
      <c r="AM23" s="1015">
        <v>0</v>
      </c>
      <c r="AN23" s="1015">
        <v>0</v>
      </c>
      <c r="AO23" s="1015">
        <v>0</v>
      </c>
      <c r="AP23" s="1015">
        <v>0</v>
      </c>
      <c r="AQ23" s="1015">
        <v>0</v>
      </c>
      <c r="AR23" s="1015">
        <v>0</v>
      </c>
      <c r="AS23" s="1015">
        <v>0</v>
      </c>
      <c r="AT23" s="1015">
        <v>0</v>
      </c>
      <c r="AU23" s="1015">
        <v>0</v>
      </c>
      <c r="AV23" s="1015">
        <v>0</v>
      </c>
      <c r="AW23" s="1058">
        <v>0</v>
      </c>
      <c r="AX23" s="1058">
        <v>0</v>
      </c>
      <c r="AY23" s="1052"/>
      <c r="AZ23" s="1052"/>
      <c r="BA23" s="1065">
        <v>0</v>
      </c>
      <c r="BB23" s="1065">
        <v>0</v>
      </c>
      <c r="BC23" s="1066">
        <v>0</v>
      </c>
      <c r="BD23" s="1066">
        <v>0</v>
      </c>
      <c r="BE23" s="1015">
        <v>0</v>
      </c>
      <c r="BF23" s="1015">
        <v>0</v>
      </c>
      <c r="BG23" s="1015">
        <v>0</v>
      </c>
      <c r="BH23" s="1015">
        <v>0</v>
      </c>
      <c r="BI23" s="1015">
        <v>0</v>
      </c>
      <c r="BJ23" s="1015">
        <v>0</v>
      </c>
      <c r="BK23" s="1015">
        <v>0</v>
      </c>
      <c r="BL23" s="1015">
        <v>0</v>
      </c>
      <c r="BM23" s="1015">
        <v>0</v>
      </c>
      <c r="BN23" s="1015">
        <v>0</v>
      </c>
      <c r="BO23" s="1015">
        <v>0</v>
      </c>
      <c r="BP23" s="1015">
        <v>0</v>
      </c>
      <c r="BQ23" s="1015">
        <v>0</v>
      </c>
      <c r="BR23" s="1015">
        <v>0</v>
      </c>
      <c r="BS23" s="1015">
        <v>0</v>
      </c>
      <c r="BT23" s="1015">
        <v>0</v>
      </c>
      <c r="BU23" s="1015">
        <v>0</v>
      </c>
      <c r="BV23" s="1015">
        <v>0</v>
      </c>
      <c r="BW23" s="1015">
        <v>0</v>
      </c>
      <c r="BX23" s="1015">
        <v>0</v>
      </c>
      <c r="BY23" s="1015">
        <v>0</v>
      </c>
      <c r="BZ23" s="1015">
        <v>0</v>
      </c>
      <c r="CA23" s="1015">
        <v>0</v>
      </c>
      <c r="CB23" s="1015">
        <v>0</v>
      </c>
      <c r="CC23" s="1015">
        <v>0</v>
      </c>
      <c r="CD23" s="1015">
        <v>0</v>
      </c>
      <c r="CE23" s="1015">
        <v>0</v>
      </c>
      <c r="CF23" s="1015">
        <v>0</v>
      </c>
      <c r="CG23" s="1015">
        <v>0</v>
      </c>
      <c r="CH23" s="1015">
        <v>0</v>
      </c>
      <c r="CI23" s="1015">
        <v>0</v>
      </c>
      <c r="CJ23" s="1015">
        <v>0</v>
      </c>
      <c r="CK23" s="1015">
        <v>0</v>
      </c>
      <c r="CL23" s="1015">
        <v>0</v>
      </c>
    </row>
    <row r="24" spans="1:100">
      <c r="A24" s="1015" t="s">
        <v>52</v>
      </c>
      <c r="B24" s="1024" t="s">
        <v>522</v>
      </c>
      <c r="C24" s="1025"/>
      <c r="D24" s="1025"/>
      <c r="E24" s="1025"/>
      <c r="F24" s="1025"/>
      <c r="G24" s="1025"/>
      <c r="H24" s="1025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8"/>
      <c r="X24" s="1028"/>
      <c r="Y24" s="1037"/>
      <c r="Z24" s="1037"/>
      <c r="AA24" s="1025"/>
      <c r="AB24" s="1025"/>
      <c r="AC24" s="1023">
        <v>121302.893</v>
      </c>
      <c r="AD24" s="1023">
        <v>41399.944342000003</v>
      </c>
      <c r="AE24" s="1038">
        <v>145063.02900000001</v>
      </c>
      <c r="AF24" s="1038">
        <v>51719.777580000002</v>
      </c>
      <c r="AG24" s="1038">
        <v>143438.883</v>
      </c>
      <c r="AH24" s="1038">
        <v>54283.288407</v>
      </c>
      <c r="AI24" s="1047">
        <v>164227.43900000001</v>
      </c>
      <c r="AJ24" s="1047">
        <v>65799.175428000002</v>
      </c>
      <c r="AK24" s="1015">
        <v>187142.07699999999</v>
      </c>
      <c r="AL24" s="1015">
        <v>74385.443394000002</v>
      </c>
      <c r="AM24" s="1015">
        <v>168525.19899999999</v>
      </c>
      <c r="AN24" s="1015">
        <v>68815.217850999994</v>
      </c>
      <c r="AO24" s="1015">
        <v>162730.32399999999</v>
      </c>
      <c r="AP24" s="1015">
        <v>64606.842427000003</v>
      </c>
      <c r="AQ24" s="1015">
        <v>126184.679</v>
      </c>
      <c r="AR24" s="1015">
        <v>52411.725186000003</v>
      </c>
      <c r="AS24" s="1015">
        <v>142377.24100000001</v>
      </c>
      <c r="AT24" s="1015">
        <v>56267.567058000001</v>
      </c>
      <c r="AU24" s="1015">
        <v>148653.95600000001</v>
      </c>
      <c r="AV24" s="1015">
        <v>51177.993564999997</v>
      </c>
      <c r="AW24" s="1058">
        <v>185047.37899999999</v>
      </c>
      <c r="AX24" s="1058">
        <v>67953.887858000002</v>
      </c>
      <c r="AY24" s="1052">
        <v>160898.429</v>
      </c>
      <c r="AZ24" s="1052">
        <v>57984.973298999997</v>
      </c>
      <c r="BA24" s="1065">
        <v>140404.31599999999</v>
      </c>
      <c r="BB24" s="1065">
        <v>55070.225189999997</v>
      </c>
      <c r="BC24" s="1052">
        <v>143988.821</v>
      </c>
      <c r="BD24" s="1052">
        <v>54482.568462000003</v>
      </c>
      <c r="BE24" s="1015">
        <v>167871.57500000001</v>
      </c>
      <c r="BF24" s="1015">
        <v>60182.491215000002</v>
      </c>
      <c r="BG24" s="1015">
        <v>215882.114</v>
      </c>
      <c r="BH24" s="1015">
        <v>73970.480823000005</v>
      </c>
      <c r="BI24" s="1015">
        <v>187648.63200000001</v>
      </c>
      <c r="BJ24" s="1015">
        <v>64007.085177000001</v>
      </c>
      <c r="BK24" s="1015">
        <v>156861.50399999999</v>
      </c>
      <c r="BL24" s="1015">
        <v>56737.843551999998</v>
      </c>
      <c r="BM24" s="1015">
        <v>126357.01800000001</v>
      </c>
      <c r="BN24" s="1015">
        <v>46924.427360000001</v>
      </c>
      <c r="BO24" s="1015">
        <v>93807.39</v>
      </c>
      <c r="BP24" s="1015">
        <v>35076.528116000001</v>
      </c>
      <c r="BQ24" s="1015">
        <v>83850.804000000004</v>
      </c>
      <c r="BR24" s="1015">
        <v>32801.276744000003</v>
      </c>
      <c r="BS24" s="1015">
        <v>127855.674</v>
      </c>
      <c r="BT24" s="1015">
        <v>50346.839508999998</v>
      </c>
      <c r="BU24" s="1015">
        <v>142064.55100000001</v>
      </c>
      <c r="BV24" s="1015">
        <v>53334.542006999996</v>
      </c>
      <c r="BW24" s="1015">
        <v>141089.111</v>
      </c>
      <c r="BX24" s="1015">
        <v>53047.092154999998</v>
      </c>
      <c r="BY24" s="1015">
        <v>131790.405</v>
      </c>
      <c r="BZ24" s="1015">
        <v>54267.548323000003</v>
      </c>
      <c r="CA24" s="1015">
        <v>119699.13099999999</v>
      </c>
      <c r="CB24" s="1015">
        <v>56562.141562999997</v>
      </c>
      <c r="CC24" s="1015">
        <v>155805.666</v>
      </c>
      <c r="CD24" s="1015">
        <v>77502.021930000003</v>
      </c>
      <c r="CE24" s="1015">
        <v>147725.81400000001</v>
      </c>
      <c r="CF24" s="1015">
        <v>73306.009590999995</v>
      </c>
      <c r="CG24" s="1015">
        <v>164723.329</v>
      </c>
      <c r="CH24" s="1015">
        <v>87813.741183000006</v>
      </c>
      <c r="CI24" s="1015">
        <v>172495.03899999999</v>
      </c>
      <c r="CJ24" s="1015">
        <v>96599.514498999997</v>
      </c>
      <c r="CK24" s="1015">
        <v>167502.97500000001</v>
      </c>
      <c r="CL24" s="1015">
        <v>85349.87945800001</v>
      </c>
      <c r="CM24" s="1015">
        <v>178713</v>
      </c>
      <c r="CN24" s="1015">
        <v>100034</v>
      </c>
    </row>
    <row r="25" spans="1:100">
      <c r="A25" s="1015" t="s">
        <v>52</v>
      </c>
      <c r="B25" s="1024" t="s">
        <v>518</v>
      </c>
      <c r="C25" s="1025"/>
      <c r="D25" s="1025"/>
      <c r="E25" s="1025"/>
      <c r="F25" s="1025"/>
      <c r="G25" s="1025"/>
      <c r="H25" s="1025"/>
      <c r="I25" s="1025"/>
      <c r="J25" s="1025"/>
      <c r="K25" s="1025"/>
      <c r="L25" s="1025"/>
      <c r="M25" s="1025"/>
      <c r="N25" s="1025"/>
      <c r="O25" s="1025"/>
      <c r="P25" s="1025"/>
      <c r="Q25" s="1025"/>
      <c r="R25" s="1025"/>
      <c r="S25" s="1025"/>
      <c r="T25" s="1025"/>
      <c r="U25" s="1025"/>
      <c r="V25" s="1025"/>
      <c r="W25" s="1028"/>
      <c r="X25" s="1028"/>
      <c r="Y25" s="1037"/>
      <c r="Z25" s="1037"/>
      <c r="AA25" s="1025"/>
      <c r="AB25" s="1025"/>
      <c r="AC25" s="1023">
        <v>21240.598000000002</v>
      </c>
      <c r="AD25" s="1023">
        <v>8480.000951</v>
      </c>
      <c r="AE25" s="1038">
        <v>23485.153999999999</v>
      </c>
      <c r="AF25" s="1038">
        <v>9683.588796</v>
      </c>
      <c r="AG25" s="1038">
        <v>32882.154000000002</v>
      </c>
      <c r="AH25" s="1038">
        <v>13053.568541000001</v>
      </c>
      <c r="AI25" s="1047">
        <v>24603.688999999998</v>
      </c>
      <c r="AJ25" s="1047">
        <v>10241.523561</v>
      </c>
      <c r="AK25" s="1015">
        <v>27945.877</v>
      </c>
      <c r="AL25" s="1015">
        <v>11564.100752</v>
      </c>
      <c r="AM25" s="1015">
        <v>32193.419000000002</v>
      </c>
      <c r="AN25" s="1015">
        <v>13680.279758999999</v>
      </c>
      <c r="AO25" s="1015">
        <v>11197.169</v>
      </c>
      <c r="AP25" s="1015">
        <v>5023.5852080000004</v>
      </c>
      <c r="AQ25" s="1015">
        <v>14289.754999999999</v>
      </c>
      <c r="AR25" s="1015">
        <v>6237.0081739999996</v>
      </c>
      <c r="AS25" s="1015">
        <v>8959.5810000000001</v>
      </c>
      <c r="AT25" s="1015">
        <v>3930.034474</v>
      </c>
      <c r="AU25" s="1015">
        <v>17582.106</v>
      </c>
      <c r="AV25" s="1015">
        <v>7334.4282409999996</v>
      </c>
      <c r="AW25" s="1058">
        <v>24893.199000000001</v>
      </c>
      <c r="AX25" s="1058">
        <v>10124.990707999999</v>
      </c>
      <c r="AY25" s="1052">
        <v>30831.919000000002</v>
      </c>
      <c r="AZ25" s="1052">
        <v>12282.352473999999</v>
      </c>
      <c r="BA25" s="1065">
        <v>24158.231</v>
      </c>
      <c r="BB25" s="1065">
        <v>9937.5639960000008</v>
      </c>
      <c r="BC25" s="1052">
        <v>18973.350999999999</v>
      </c>
      <c r="BD25" s="1052">
        <v>7888.9000749999996</v>
      </c>
      <c r="BE25" s="1015">
        <v>30269.105</v>
      </c>
      <c r="BF25" s="1015">
        <v>13375.357255000001</v>
      </c>
      <c r="BG25" s="1015">
        <v>34641.404000000002</v>
      </c>
      <c r="BH25" s="1015">
        <v>13478.373680000001</v>
      </c>
      <c r="BI25" s="1015">
        <v>32064.392</v>
      </c>
      <c r="BJ25" s="1015">
        <v>12635.912133</v>
      </c>
      <c r="BK25" s="1015">
        <v>36860.398999999998</v>
      </c>
      <c r="BL25" s="1015">
        <v>13949.360876000001</v>
      </c>
      <c r="BM25" s="1015">
        <v>28657.206999999999</v>
      </c>
      <c r="BN25" s="1015">
        <v>11474.768534999999</v>
      </c>
      <c r="BO25" s="1015">
        <v>27611.112000000001</v>
      </c>
      <c r="BP25" s="1015">
        <v>10954.016837000001</v>
      </c>
      <c r="BQ25" s="1015">
        <v>20522.525000000001</v>
      </c>
      <c r="BR25" s="1015">
        <v>8221.457789</v>
      </c>
      <c r="BS25" s="1015">
        <v>26292.104000000003</v>
      </c>
      <c r="BT25" s="1015">
        <v>0</v>
      </c>
      <c r="BU25" s="1015">
        <v>29423.778999999999</v>
      </c>
      <c r="BV25" s="1015">
        <v>12140.833129999999</v>
      </c>
      <c r="BW25" s="1015">
        <v>30293.580999999998</v>
      </c>
      <c r="BX25" s="1015">
        <v>12680.357165000001</v>
      </c>
      <c r="BY25" s="1015">
        <v>26227.994999999999</v>
      </c>
      <c r="BZ25" s="1015">
        <v>11441.318348000001</v>
      </c>
      <c r="CA25" s="1015">
        <v>31180.440999999999</v>
      </c>
      <c r="CB25" s="1015">
        <v>14560.488347</v>
      </c>
      <c r="CC25" s="1015">
        <v>31215.856</v>
      </c>
      <c r="CD25" s="1015">
        <v>15497.156508000002</v>
      </c>
      <c r="CE25" s="1015">
        <v>32674.743999999999</v>
      </c>
      <c r="CF25" s="1015">
        <v>16579.733928999998</v>
      </c>
      <c r="CG25" s="1015">
        <v>51451.909</v>
      </c>
      <c r="CH25" s="1015">
        <v>27610.567601999999</v>
      </c>
      <c r="CI25" s="1015">
        <v>33854.249000000003</v>
      </c>
      <c r="CJ25" s="1015">
        <v>19391.763360000001</v>
      </c>
      <c r="CK25" s="1015">
        <v>13073.932000000001</v>
      </c>
      <c r="CL25" s="1015">
        <v>7647.5450680000004</v>
      </c>
      <c r="CM25" s="1015">
        <v>11471</v>
      </c>
      <c r="CN25" s="1015">
        <v>6819</v>
      </c>
    </row>
    <row r="26" spans="1:100">
      <c r="A26" s="1015" t="s">
        <v>52</v>
      </c>
      <c r="B26" s="1024" t="s">
        <v>523</v>
      </c>
      <c r="C26" s="1025">
        <v>13504.099</v>
      </c>
      <c r="D26" s="1025">
        <v>4831.7566809999998</v>
      </c>
      <c r="E26" s="1025">
        <v>25937.435000000001</v>
      </c>
      <c r="F26" s="1025">
        <v>9266.0995359999997</v>
      </c>
      <c r="G26" s="1025">
        <v>23640.488000000001</v>
      </c>
      <c r="H26" s="1025">
        <v>8280.4641210000009</v>
      </c>
      <c r="I26" s="1025">
        <v>24224.616000000002</v>
      </c>
      <c r="J26" s="1025">
        <v>8494.2030780000005</v>
      </c>
      <c r="K26" s="1025">
        <v>15290.282999999999</v>
      </c>
      <c r="L26" s="1025">
        <v>5476.4190289999997</v>
      </c>
      <c r="M26" s="1025">
        <v>26311.493999999999</v>
      </c>
      <c r="N26" s="1025">
        <v>10418.886605</v>
      </c>
      <c r="O26" s="1025">
        <v>16804.422999999999</v>
      </c>
      <c r="P26" s="1025">
        <v>6677.076008</v>
      </c>
      <c r="Q26" s="1025">
        <v>16475.728999999999</v>
      </c>
      <c r="R26" s="1025">
        <v>6544.1683849999999</v>
      </c>
      <c r="S26" s="1025">
        <v>15085.825000000001</v>
      </c>
      <c r="T26" s="1025">
        <v>6503.423992</v>
      </c>
      <c r="U26" s="1028">
        <v>21213.353999999999</v>
      </c>
      <c r="V26" s="1028">
        <v>9545.0638340000005</v>
      </c>
      <c r="W26" s="1028">
        <v>17039</v>
      </c>
      <c r="X26" s="1028">
        <v>6894</v>
      </c>
      <c r="Y26" s="1037">
        <v>20439.879000000001</v>
      </c>
      <c r="Z26" s="1037">
        <v>9137.1011060000001</v>
      </c>
      <c r="AA26" s="1025">
        <v>29778.245999999999</v>
      </c>
      <c r="AB26" s="1025">
        <v>11944.588145</v>
      </c>
      <c r="AC26" s="1023">
        <v>16618.52</v>
      </c>
      <c r="AD26" s="1023">
        <v>5573.9298829999998</v>
      </c>
      <c r="AE26" s="1038">
        <v>29923.199000000001</v>
      </c>
      <c r="AF26" s="1038">
        <v>9947.3143880000007</v>
      </c>
      <c r="AG26" s="1038">
        <v>24888.323</v>
      </c>
      <c r="AH26" s="1038">
        <v>8748.4835299999995</v>
      </c>
      <c r="AI26" s="1047">
        <v>30098.386999999999</v>
      </c>
      <c r="AJ26" s="1047">
        <v>10861.845915</v>
      </c>
      <c r="AK26" s="1015">
        <v>27459.674999999999</v>
      </c>
      <c r="AL26" s="1015">
        <v>10713.279205999999</v>
      </c>
      <c r="AM26" s="1015">
        <v>29275.08</v>
      </c>
      <c r="AN26" s="1015">
        <v>14098.604111000001</v>
      </c>
      <c r="AO26" s="1015">
        <v>25874.385999999999</v>
      </c>
      <c r="AP26" s="1015">
        <v>9629.6692810000004</v>
      </c>
      <c r="AQ26" s="1015">
        <v>30065.420999999998</v>
      </c>
      <c r="AR26" s="1015">
        <v>13493.493307999999</v>
      </c>
      <c r="AS26" s="1015">
        <v>20291.634999999998</v>
      </c>
      <c r="AT26" s="1015">
        <v>6992.6590310000001</v>
      </c>
      <c r="AU26" s="1015">
        <v>19304.376</v>
      </c>
      <c r="AV26" s="1015">
        <v>6299.3156559999998</v>
      </c>
      <c r="AW26" s="1058">
        <v>28690.157999999999</v>
      </c>
      <c r="AX26" s="1058">
        <v>9816.9653699999999</v>
      </c>
      <c r="AY26" s="1052">
        <v>28152.216</v>
      </c>
      <c r="AZ26" s="1052">
        <v>9532.4006270000009</v>
      </c>
      <c r="BA26" s="1065">
        <v>12047.391</v>
      </c>
      <c r="BB26" s="1065">
        <v>4329.4146959999998</v>
      </c>
      <c r="BC26" s="1052">
        <v>34900.413999999997</v>
      </c>
      <c r="BD26" s="1052">
        <v>12033.442974</v>
      </c>
      <c r="BE26" s="1015">
        <v>29629.17</v>
      </c>
      <c r="BF26" s="1015">
        <v>9808.6811589999998</v>
      </c>
      <c r="BG26" s="1015">
        <v>32641.007000000001</v>
      </c>
      <c r="BH26" s="1015">
        <v>10914.991475000001</v>
      </c>
      <c r="BI26" s="1015">
        <v>29581.439999999999</v>
      </c>
      <c r="BJ26" s="1015">
        <v>10202.584053</v>
      </c>
      <c r="BK26" s="1015">
        <v>28894.003000000001</v>
      </c>
      <c r="BL26" s="1015">
        <v>10176.393649</v>
      </c>
      <c r="BM26" s="1015">
        <v>30089.197</v>
      </c>
      <c r="BN26" s="1015">
        <v>10702.989996</v>
      </c>
      <c r="BO26" s="1015">
        <v>26326.341</v>
      </c>
      <c r="BP26" s="1015">
        <v>9587.6221679999999</v>
      </c>
      <c r="BQ26" s="1015">
        <v>15493.115</v>
      </c>
      <c r="BR26" s="1015">
        <v>6156.6163189999997</v>
      </c>
      <c r="BS26" s="1015">
        <v>25863.028999999999</v>
      </c>
      <c r="BT26" s="1015">
        <v>10141.097407999998</v>
      </c>
      <c r="BU26" s="1015">
        <v>25579.975999999999</v>
      </c>
      <c r="BV26" s="1015">
        <v>9636.7018879999996</v>
      </c>
      <c r="BW26" s="1015">
        <v>27266.332999999999</v>
      </c>
      <c r="BX26" s="1015">
        <v>10091.308449</v>
      </c>
      <c r="BY26" s="1015">
        <v>26641.901000000002</v>
      </c>
      <c r="BZ26" s="1015">
        <v>11956.044417000001</v>
      </c>
      <c r="CA26" s="1015">
        <v>30605.671999999999</v>
      </c>
      <c r="CB26" s="1015">
        <v>13638.604043000001</v>
      </c>
      <c r="CC26" s="1015">
        <v>28063.629000000001</v>
      </c>
      <c r="CD26" s="1015">
        <v>14134.279241</v>
      </c>
      <c r="CE26" s="1015">
        <v>29231.323</v>
      </c>
      <c r="CF26" s="1015">
        <v>15466.437771999999</v>
      </c>
      <c r="CG26" s="1015">
        <v>33096.392999999996</v>
      </c>
      <c r="CH26" s="1015">
        <v>19540.905074000002</v>
      </c>
      <c r="CI26" s="1015">
        <v>33693.519999999997</v>
      </c>
      <c r="CJ26" s="1015">
        <v>17462.630412999999</v>
      </c>
      <c r="CK26" s="1015">
        <v>29313.574000000001</v>
      </c>
      <c r="CL26" s="1015">
        <v>14369.265179</v>
      </c>
      <c r="CM26" s="1015">
        <v>29905</v>
      </c>
      <c r="CN26" s="1015">
        <v>14736</v>
      </c>
    </row>
    <row r="27" spans="1:100">
      <c r="A27" s="1015" t="s">
        <v>52</v>
      </c>
      <c r="B27" s="1024" t="s">
        <v>524</v>
      </c>
      <c r="C27" s="1023">
        <v>185.14500000000001</v>
      </c>
      <c r="D27" s="1023">
        <v>86.559174999999996</v>
      </c>
      <c r="E27" s="1023">
        <v>510.27</v>
      </c>
      <c r="F27" s="1023">
        <v>275.18559299999998</v>
      </c>
      <c r="G27" s="1023">
        <v>363.24</v>
      </c>
      <c r="H27" s="1023">
        <v>213.44248300000001</v>
      </c>
      <c r="I27" s="1023">
        <v>701.22799999999995</v>
      </c>
      <c r="J27" s="1023">
        <v>425.53179799999998</v>
      </c>
      <c r="K27" s="1023">
        <v>196.41499999999999</v>
      </c>
      <c r="L27" s="1023">
        <v>119.192087</v>
      </c>
      <c r="M27" s="1023">
        <v>203.09</v>
      </c>
      <c r="N27" s="1023">
        <v>123.242729</v>
      </c>
      <c r="O27" s="1023">
        <v>207.13399999999999</v>
      </c>
      <c r="P27" s="1023">
        <v>125.696782</v>
      </c>
      <c r="Q27" s="1023">
        <v>0</v>
      </c>
      <c r="R27" s="1023">
        <v>0</v>
      </c>
      <c r="S27" s="1023"/>
      <c r="T27" s="1023"/>
      <c r="U27" s="1028">
        <v>0</v>
      </c>
      <c r="V27" s="1028">
        <v>0</v>
      </c>
      <c r="W27" s="1028">
        <v>14</v>
      </c>
      <c r="X27" s="1028">
        <v>9</v>
      </c>
      <c r="Y27" s="1023"/>
      <c r="Z27" s="1023"/>
      <c r="AA27" s="1025">
        <v>-84.876999999999995</v>
      </c>
      <c r="AB27" s="1025">
        <v>-47.661093999999999</v>
      </c>
      <c r="AC27" s="1023">
        <v>0</v>
      </c>
      <c r="AD27" s="1023">
        <v>0</v>
      </c>
      <c r="AE27" s="1038">
        <v>0</v>
      </c>
      <c r="AF27" s="1038">
        <v>0</v>
      </c>
      <c r="AG27" s="1038">
        <v>0</v>
      </c>
      <c r="AH27" s="1038">
        <v>0</v>
      </c>
      <c r="AI27" s="1047">
        <v>0</v>
      </c>
      <c r="AJ27" s="1047">
        <v>0</v>
      </c>
      <c r="AK27" s="1015">
        <v>0</v>
      </c>
      <c r="AL27" s="1015">
        <v>0</v>
      </c>
      <c r="AM27" s="1015">
        <v>0</v>
      </c>
      <c r="AN27" s="1015">
        <v>0</v>
      </c>
      <c r="AO27" s="1015">
        <v>0</v>
      </c>
      <c r="AP27" s="1015">
        <v>0</v>
      </c>
      <c r="AQ27" s="1015">
        <v>12.871</v>
      </c>
      <c r="AR27" s="1015">
        <v>6.5461900000000002</v>
      </c>
      <c r="AS27" s="1015">
        <v>0</v>
      </c>
      <c r="AT27" s="1015">
        <v>0</v>
      </c>
      <c r="AW27" s="1058">
        <v>161.947</v>
      </c>
      <c r="AX27" s="1058">
        <v>4.9840590000000002</v>
      </c>
      <c r="AY27" s="1052">
        <v>0</v>
      </c>
      <c r="AZ27" s="1052">
        <v>0</v>
      </c>
      <c r="BA27" s="1065">
        <v>0</v>
      </c>
      <c r="BB27" s="1065">
        <v>0</v>
      </c>
      <c r="BC27" s="1052">
        <v>0</v>
      </c>
      <c r="BD27" s="1052">
        <v>0</v>
      </c>
      <c r="BE27" s="1015">
        <v>0</v>
      </c>
      <c r="BF27" s="1015">
        <v>0</v>
      </c>
      <c r="BG27" s="1015">
        <v>0</v>
      </c>
      <c r="BH27" s="1015">
        <v>0</v>
      </c>
      <c r="BI27" s="1015">
        <v>0</v>
      </c>
      <c r="BJ27" s="1015">
        <v>0</v>
      </c>
      <c r="BK27" s="1015">
        <v>0</v>
      </c>
      <c r="BL27" s="1015">
        <v>0</v>
      </c>
      <c r="BM27" s="1015">
        <v>0</v>
      </c>
      <c r="BN27" s="1015">
        <v>0</v>
      </c>
      <c r="BO27" s="1015">
        <v>0</v>
      </c>
      <c r="BP27" s="1015">
        <v>0</v>
      </c>
      <c r="BQ27" s="1015">
        <v>0</v>
      </c>
      <c r="BR27" s="1015">
        <v>0</v>
      </c>
      <c r="BS27" s="1015">
        <v>0</v>
      </c>
      <c r="BT27" s="1015">
        <v>0</v>
      </c>
      <c r="BU27" s="1015">
        <v>0</v>
      </c>
      <c r="BV27" s="1015">
        <v>0</v>
      </c>
      <c r="BW27" s="1015">
        <v>0</v>
      </c>
      <c r="BY27" s="1015">
        <v>0</v>
      </c>
      <c r="BZ27" s="1015">
        <v>0</v>
      </c>
      <c r="CA27" s="1015">
        <v>0</v>
      </c>
      <c r="CB27" s="1015">
        <v>0</v>
      </c>
      <c r="CC27" s="1015">
        <v>0</v>
      </c>
      <c r="CD27" s="1015">
        <v>0</v>
      </c>
      <c r="CE27" s="1015">
        <v>0</v>
      </c>
      <c r="CF27" s="1015">
        <v>0</v>
      </c>
      <c r="CG27" s="1015">
        <v>0</v>
      </c>
      <c r="CH27" s="1015">
        <v>0</v>
      </c>
      <c r="CI27" s="1015">
        <v>0</v>
      </c>
      <c r="CJ27" s="1015">
        <v>0</v>
      </c>
      <c r="CK27" s="1015">
        <v>0</v>
      </c>
      <c r="CL27" s="1015">
        <v>0</v>
      </c>
    </row>
    <row r="28" spans="1:100" s="1009" customFormat="1" ht="15">
      <c r="A28" s="1009" t="s">
        <v>52</v>
      </c>
      <c r="B28" s="1026" t="s">
        <v>525</v>
      </c>
      <c r="C28" s="1027">
        <v>0</v>
      </c>
      <c r="D28" s="1027">
        <v>-350.967443</v>
      </c>
      <c r="E28" s="1027"/>
      <c r="F28" s="1027">
        <v>-218.74980499994001</v>
      </c>
      <c r="G28" s="1027"/>
      <c r="H28" s="1027">
        <v>-210.70303200000001</v>
      </c>
      <c r="I28" s="1027">
        <v>0</v>
      </c>
      <c r="J28" s="1027">
        <v>-97.130595999999997</v>
      </c>
      <c r="K28" s="1027">
        <v>-69.64</v>
      </c>
      <c r="L28" s="1027">
        <v>-265.21992599999999</v>
      </c>
      <c r="M28" s="1027">
        <v>23.216000000000001</v>
      </c>
      <c r="N28" s="1027">
        <v>-168.188939</v>
      </c>
      <c r="O28" s="1027">
        <v>0</v>
      </c>
      <c r="P28" s="1027">
        <v>-748.78533300003801</v>
      </c>
      <c r="Q28" s="1027">
        <v>-12.92</v>
      </c>
      <c r="R28" s="1027">
        <v>33.453317999961797</v>
      </c>
      <c r="S28" s="1033">
        <v>-39</v>
      </c>
      <c r="T28" s="1033">
        <v>150.021395000122</v>
      </c>
      <c r="U28" s="1034">
        <v>-9.2899999999999991</v>
      </c>
      <c r="V28" s="1034">
        <v>8.5957369999389606</v>
      </c>
      <c r="W28" s="1034">
        <v>-285</v>
      </c>
      <c r="X28" s="1034">
        <v>62</v>
      </c>
      <c r="Y28" s="1027"/>
      <c r="Z28" s="1027">
        <v>293</v>
      </c>
      <c r="AA28" s="1033">
        <v>-16.14</v>
      </c>
      <c r="AB28" s="1033">
        <v>252.50859800000001</v>
      </c>
      <c r="AC28" s="1027">
        <v>0</v>
      </c>
      <c r="AD28" s="1027">
        <v>39.062197999980903</v>
      </c>
      <c r="AE28" s="1040">
        <v>0</v>
      </c>
      <c r="AF28" s="1040">
        <v>-78.243621999961803</v>
      </c>
      <c r="AG28" s="1038">
        <v>-14.86</v>
      </c>
      <c r="AH28" s="1038">
        <v>70.268801999999994</v>
      </c>
      <c r="AI28" s="1048">
        <v>187.61</v>
      </c>
      <c r="AJ28" s="1048">
        <v>-140.82425599999999</v>
      </c>
      <c r="AK28" s="1009">
        <v>0</v>
      </c>
      <c r="AL28" s="1009">
        <v>-753.46684800000003</v>
      </c>
      <c r="AM28" s="1009">
        <v>187.61</v>
      </c>
      <c r="AN28" s="1009">
        <v>-139.44553799997701</v>
      </c>
      <c r="AO28" s="1009">
        <v>0</v>
      </c>
      <c r="AP28" s="1009">
        <v>-37.382376000000001</v>
      </c>
      <c r="AQ28" s="1009">
        <v>0</v>
      </c>
      <c r="AR28" s="1009">
        <v>-345.49646200000001</v>
      </c>
      <c r="AS28" s="1009">
        <v>1971.729</v>
      </c>
      <c r="AT28" s="1009">
        <v>1360.8678620000001</v>
      </c>
      <c r="AU28" s="1009">
        <v>1794.586</v>
      </c>
      <c r="AV28" s="1009">
        <v>1174.475336</v>
      </c>
      <c r="AW28" s="1058">
        <v>3737.6990000000001</v>
      </c>
      <c r="AX28" s="1058">
        <v>1639.466664</v>
      </c>
      <c r="AY28" s="1052">
        <v>23.577999999999999</v>
      </c>
      <c r="AZ28" s="1052">
        <v>-25.751141000000001</v>
      </c>
      <c r="BA28" s="1067">
        <v>2978.6959999999999</v>
      </c>
      <c r="BB28" s="1067">
        <v>1280.88795</v>
      </c>
      <c r="BC28" s="1066">
        <v>3200.674</v>
      </c>
      <c r="BD28" s="1052">
        <v>1223.3935959999999</v>
      </c>
      <c r="BE28" s="1009">
        <v>3563.3229999999999</v>
      </c>
      <c r="BF28" s="1009">
        <v>1687.7602570890001</v>
      </c>
      <c r="BG28" s="1009">
        <v>2056.973</v>
      </c>
      <c r="BH28" s="1009">
        <v>1072.8454039999999</v>
      </c>
      <c r="BI28" s="1009">
        <v>730.72199999999998</v>
      </c>
      <c r="BJ28" s="1009">
        <v>-522.96785599999998</v>
      </c>
      <c r="BK28" s="1009">
        <v>21401.58</v>
      </c>
      <c r="BL28" s="1009">
        <v>8414.1152684570006</v>
      </c>
      <c r="BM28" s="1009">
        <v>961.44</v>
      </c>
      <c r="BN28" s="1009">
        <v>-32.671581175999904</v>
      </c>
      <c r="BO28" s="1009">
        <v>9124.4860000000008</v>
      </c>
      <c r="BP28" s="1009">
        <v>4118.6448369999998</v>
      </c>
      <c r="BQ28" s="1009">
        <v>2062.154</v>
      </c>
      <c r="BR28" s="1009">
        <v>870.32400999999993</v>
      </c>
      <c r="BS28" s="1009">
        <v>23031.314000000002</v>
      </c>
      <c r="BT28" s="1009">
        <v>9660.8616969999985</v>
      </c>
      <c r="BU28" s="1009">
        <v>2713.6309999999999</v>
      </c>
      <c r="BV28" s="1009">
        <v>1372.70993</v>
      </c>
      <c r="BY28" s="1009">
        <v>0</v>
      </c>
      <c r="BZ28" s="1009">
        <v>0</v>
      </c>
      <c r="CA28" s="1009">
        <v>1975.29</v>
      </c>
      <c r="CB28" s="1009">
        <v>794.644182</v>
      </c>
      <c r="CC28" s="1009">
        <v>13516.816999999999</v>
      </c>
      <c r="CD28" s="1009">
        <v>7463.6882999999998</v>
      </c>
      <c r="CE28" s="1009">
        <v>2162.3020000000001</v>
      </c>
      <c r="CF28" s="1009">
        <v>1493.0011320000001</v>
      </c>
      <c r="CG28" s="1009">
        <v>1041.6110000000001</v>
      </c>
      <c r="CH28" s="1009">
        <v>1240.3198199999999</v>
      </c>
      <c r="CI28" s="1009">
        <v>183.96</v>
      </c>
      <c r="CJ28" s="1009">
        <v>306.77806400000003</v>
      </c>
      <c r="CK28" s="1009">
        <v>0</v>
      </c>
      <c r="CL28" s="1009">
        <v>0</v>
      </c>
      <c r="CM28" s="1009">
        <v>2902</v>
      </c>
      <c r="CN28" s="1009">
        <v>1741</v>
      </c>
    </row>
    <row r="29" spans="1:100" s="1007" customFormat="1">
      <c r="A29" s="1007" t="s">
        <v>51</v>
      </c>
      <c r="B29" s="1019" t="s">
        <v>526</v>
      </c>
      <c r="C29" s="1020">
        <f>C31+C34+C39+C40+C45+C50+C51+C56+C42</f>
        <v>305179.65599999996</v>
      </c>
      <c r="D29" s="1020">
        <f>D31+D34+D39+D40+D45+D50+D51+D56+D42</f>
        <v>330308.09602900001</v>
      </c>
      <c r="E29" s="1020">
        <f>E31+E34+E39+E40+E45+E50+E51+E56+E42+E30</f>
        <v>285175.89999999997</v>
      </c>
      <c r="F29" s="1020">
        <f>F31+F34+F39+F40+F45+F50+F51+F56+F42+F30</f>
        <v>328497.5872044891</v>
      </c>
      <c r="G29" s="1020">
        <f>G31+G34+G39+G40+G45+G50+G51+G56+G42+G30</f>
        <v>219164.465</v>
      </c>
      <c r="H29" s="1020">
        <f>H31+H34+H39+H40+H45+H50+H51+H56+H42+H30</f>
        <v>249779.18085322113</v>
      </c>
      <c r="I29" s="1020">
        <f t="shared" ref="I29:T29" si="9">I31+I34+I39+I40+I45+I50+I51+I56+I42</f>
        <v>335537.32</v>
      </c>
      <c r="J29" s="1020">
        <f t="shared" si="9"/>
        <v>382875.37993832998</v>
      </c>
      <c r="K29" s="1020">
        <f t="shared" si="9"/>
        <v>276708.42100000003</v>
      </c>
      <c r="L29" s="1020">
        <f t="shared" si="9"/>
        <v>321255.29809156549</v>
      </c>
      <c r="M29" s="1020">
        <f t="shared" si="9"/>
        <v>276887.78399999999</v>
      </c>
      <c r="N29" s="1020">
        <f t="shared" si="9"/>
        <v>325413.25345999998</v>
      </c>
      <c r="O29" s="1020">
        <f t="shared" si="9"/>
        <v>269947.08</v>
      </c>
      <c r="P29" s="1020">
        <f t="shared" si="9"/>
        <v>303626.6781491735</v>
      </c>
      <c r="Q29" s="1020">
        <f t="shared" si="9"/>
        <v>262650.43</v>
      </c>
      <c r="R29" s="1020">
        <f t="shared" si="9"/>
        <v>302913.76912100002</v>
      </c>
      <c r="S29" s="1020">
        <f t="shared" si="9"/>
        <v>267375.82300000003</v>
      </c>
      <c r="T29" s="1020">
        <f t="shared" si="9"/>
        <v>311417.44798872404</v>
      </c>
      <c r="U29" s="1020">
        <f>U30+U31+U34+U39+U40+U45+U50+U51+U56+U42</f>
        <v>265393.95099999994</v>
      </c>
      <c r="V29" s="1020">
        <f>V30+V31+V34+V39+V40+V45+V50+V51+V56+V42</f>
        <v>302512.33011960948</v>
      </c>
      <c r="W29" s="1020">
        <f>W30+W31+W34+W39+W40+W45+W50+W51+W56+W42</f>
        <v>268801</v>
      </c>
      <c r="X29" s="1020">
        <f>X30+X31+X34+X39+X40+X45+X50+X51+X56+X42</f>
        <v>305523</v>
      </c>
      <c r="Y29" s="1020">
        <f t="shared" ref="Y29:AL29" si="10">Y31+Y34+Y39+Y40+Y45+Y50+Y51+Y56+Y42+Y30</f>
        <v>246550.47100000002</v>
      </c>
      <c r="Z29" s="1020">
        <f t="shared" si="10"/>
        <v>283808.68485100003</v>
      </c>
      <c r="AA29" s="1020">
        <f t="shared" si="10"/>
        <v>266787.92200000002</v>
      </c>
      <c r="AB29" s="1020">
        <f t="shared" si="10"/>
        <v>292843.13433971291</v>
      </c>
      <c r="AC29" s="1020">
        <f t="shared" si="10"/>
        <v>257972.69299999997</v>
      </c>
      <c r="AD29" s="1020">
        <f t="shared" si="10"/>
        <v>286320.72264327662</v>
      </c>
      <c r="AE29" s="1020">
        <f t="shared" si="10"/>
        <v>236160.93</v>
      </c>
      <c r="AF29" s="1020">
        <f t="shared" si="10"/>
        <v>243105.62785232501</v>
      </c>
      <c r="AG29" s="1049">
        <f t="shared" si="10"/>
        <v>325539.15100000001</v>
      </c>
      <c r="AH29" s="1049">
        <f t="shared" si="10"/>
        <v>354933.59762746387</v>
      </c>
      <c r="AI29" s="1049">
        <f t="shared" si="10"/>
        <v>245099.766</v>
      </c>
      <c r="AJ29" s="1049">
        <f t="shared" si="10"/>
        <v>282457.01464438002</v>
      </c>
      <c r="AK29" s="1049">
        <f t="shared" si="10"/>
        <v>248262.51699999996</v>
      </c>
      <c r="AL29" s="1049">
        <f t="shared" si="10"/>
        <v>293611.14301061141</v>
      </c>
      <c r="AM29" s="1007">
        <v>249199.18799999999</v>
      </c>
      <c r="AN29" s="1007">
        <v>284901.17276539298</v>
      </c>
      <c r="AO29" s="1049">
        <f t="shared" ref="AO29:BP29" si="11">AO31+AO34+AO39+AO40+AO45+AO50+AO51+AO56+AO42+AO30</f>
        <v>249874.106</v>
      </c>
      <c r="AP29" s="1049">
        <f t="shared" si="11"/>
        <v>286689.1242944586</v>
      </c>
      <c r="AQ29" s="1049">
        <f t="shared" si="11"/>
        <v>278948.21299999993</v>
      </c>
      <c r="AR29" s="1049">
        <f t="shared" si="11"/>
        <v>328020.62594320899</v>
      </c>
      <c r="AS29" s="1049">
        <f t="shared" si="11"/>
        <v>293347.90499999997</v>
      </c>
      <c r="AT29" s="1049">
        <f t="shared" si="11"/>
        <v>331689.38846880797</v>
      </c>
      <c r="AU29" s="1049">
        <f t="shared" si="11"/>
        <v>264222.32199999999</v>
      </c>
      <c r="AV29" s="1049">
        <f t="shared" si="11"/>
        <v>282345.13771678921</v>
      </c>
      <c r="AW29" s="1049">
        <f t="shared" si="11"/>
        <v>244725.74100000001</v>
      </c>
      <c r="AX29" s="1049">
        <f t="shared" si="11"/>
        <v>260182.3699110446</v>
      </c>
      <c r="AY29" s="1049">
        <f t="shared" si="11"/>
        <v>293192.47899999999</v>
      </c>
      <c r="AZ29" s="1049">
        <f t="shared" si="11"/>
        <v>299281.74012629478</v>
      </c>
      <c r="BA29" s="1049">
        <f t="shared" si="11"/>
        <v>193603.18000000002</v>
      </c>
      <c r="BB29" s="1049">
        <f t="shared" si="11"/>
        <v>202413.9461417126</v>
      </c>
      <c r="BC29" s="1049">
        <f t="shared" si="11"/>
        <v>241376.76799999998</v>
      </c>
      <c r="BD29" s="1049">
        <f t="shared" si="11"/>
        <v>246565.77177299999</v>
      </c>
      <c r="BE29" s="1049">
        <f t="shared" si="11"/>
        <v>267278.41000000003</v>
      </c>
      <c r="BF29" s="1049">
        <f t="shared" si="11"/>
        <v>301839.84255534358</v>
      </c>
      <c r="BG29" s="1049">
        <f t="shared" si="11"/>
        <v>297847.26799999998</v>
      </c>
      <c r="BH29" s="1049">
        <f t="shared" si="11"/>
        <v>315688.76971467561</v>
      </c>
      <c r="BI29" s="1049">
        <f t="shared" si="11"/>
        <v>302058.97699999996</v>
      </c>
      <c r="BJ29" s="1049">
        <f t="shared" si="11"/>
        <v>290659.15303836192</v>
      </c>
      <c r="BK29" s="1049">
        <f t="shared" si="11"/>
        <v>269341.85099999997</v>
      </c>
      <c r="BL29" s="1049">
        <f t="shared" si="11"/>
        <v>261898.42101552204</v>
      </c>
      <c r="BM29" s="1049">
        <f t="shared" si="11"/>
        <v>249884.484</v>
      </c>
      <c r="BN29" s="1049">
        <f t="shared" si="11"/>
        <v>264155.60240295099</v>
      </c>
      <c r="BO29" s="1049">
        <f t="shared" si="11"/>
        <v>229223.353</v>
      </c>
      <c r="BP29" s="1049">
        <f t="shared" si="11"/>
        <v>251549.5779746676</v>
      </c>
      <c r="BQ29" s="1049">
        <f t="shared" ref="BQ29:BV29" si="12">BQ31+BQ34+BQ39+BQ40+BQ45+BQ50+BQ51+BQ56+BQ42+BQ30</f>
        <v>251665.11399999997</v>
      </c>
      <c r="BR29" s="1049">
        <f t="shared" si="12"/>
        <v>255212.86427098128</v>
      </c>
      <c r="BS29" s="1049">
        <f t="shared" si="12"/>
        <v>285641.31700000004</v>
      </c>
      <c r="BT29" s="1049">
        <f t="shared" si="12"/>
        <v>307384.45355510566</v>
      </c>
      <c r="BU29" s="1049">
        <f t="shared" si="12"/>
        <v>302674.64299999998</v>
      </c>
      <c r="BV29" s="1049">
        <f t="shared" si="12"/>
        <v>316385.75976402761</v>
      </c>
      <c r="BW29" s="1049">
        <f>BW31+BW34+BW39+BW40+BW45+BW50+BW51+BW56+BW42+BW30</f>
        <v>332374.68400000001</v>
      </c>
      <c r="BX29" s="1049">
        <f>BX31+BX34+BX39+BX40+BX45+BX50+BX51+BX56+BX42+BX30</f>
        <v>340307.17695701343</v>
      </c>
      <c r="BY29" s="1049">
        <f t="shared" ref="BY29:CV29" si="13">BY31+BY34+BY39+BY40+BY45+BY50+BY51+BY56+BY42+BY30</f>
        <v>309337.84100000001</v>
      </c>
      <c r="BZ29" s="1049">
        <f t="shared" si="13"/>
        <v>329058.97958660324</v>
      </c>
      <c r="CA29" s="1049">
        <f t="shared" si="13"/>
        <v>259106.454</v>
      </c>
      <c r="CB29" s="1049">
        <f t="shared" si="13"/>
        <v>307882.78989200003</v>
      </c>
      <c r="CC29" s="1049">
        <f t="shared" si="13"/>
        <v>287083.64999999997</v>
      </c>
      <c r="CD29" s="1049">
        <f t="shared" si="13"/>
        <v>364194.17317265924</v>
      </c>
      <c r="CE29" s="1049">
        <f t="shared" si="13"/>
        <v>278864.85000000003</v>
      </c>
      <c r="CF29" s="1049">
        <f t="shared" si="13"/>
        <v>354045.62452828401</v>
      </c>
      <c r="CG29" s="1049">
        <f t="shared" si="13"/>
        <v>323710.995</v>
      </c>
      <c r="CH29" s="1049">
        <f t="shared" si="13"/>
        <v>410147.50792216038</v>
      </c>
      <c r="CI29" s="1049">
        <f t="shared" si="13"/>
        <v>291261.10100000002</v>
      </c>
      <c r="CJ29" s="1049">
        <f t="shared" si="13"/>
        <v>360336.61473898287</v>
      </c>
      <c r="CK29" s="1049">
        <f t="shared" si="13"/>
        <v>329155.77400000003</v>
      </c>
      <c r="CL29" s="1049">
        <f t="shared" si="13"/>
        <v>477996.00449317973</v>
      </c>
      <c r="CM29" s="1049">
        <f t="shared" si="13"/>
        <v>299791</v>
      </c>
      <c r="CN29" s="1049">
        <f t="shared" si="13"/>
        <v>428200</v>
      </c>
      <c r="CO29" s="1049">
        <f t="shared" si="13"/>
        <v>0</v>
      </c>
      <c r="CP29" s="1049">
        <f t="shared" si="13"/>
        <v>0</v>
      </c>
      <c r="CQ29" s="1049">
        <f t="shared" si="13"/>
        <v>0</v>
      </c>
      <c r="CR29" s="1049">
        <f t="shared" si="13"/>
        <v>0</v>
      </c>
      <c r="CS29" s="1049">
        <f t="shared" si="13"/>
        <v>0</v>
      </c>
      <c r="CT29" s="1049">
        <f t="shared" si="13"/>
        <v>0</v>
      </c>
      <c r="CU29" s="1049">
        <f t="shared" si="13"/>
        <v>0</v>
      </c>
      <c r="CV29" s="1049">
        <f t="shared" si="13"/>
        <v>0</v>
      </c>
    </row>
    <row r="30" spans="1:100">
      <c r="A30" s="1015" t="s">
        <v>51</v>
      </c>
      <c r="B30" s="1024" t="s">
        <v>510</v>
      </c>
      <c r="C30" s="1023"/>
      <c r="D30" s="1023"/>
      <c r="E30" s="1023"/>
      <c r="F30" s="1023"/>
      <c r="G30" s="1023"/>
      <c r="H30" s="1023"/>
      <c r="I30" s="1023">
        <v>0</v>
      </c>
      <c r="J30" s="1023">
        <v>0</v>
      </c>
      <c r="K30" s="1023">
        <v>0</v>
      </c>
      <c r="L30" s="1023">
        <v>0</v>
      </c>
      <c r="M30" s="1023">
        <v>0</v>
      </c>
      <c r="N30" s="1023">
        <v>0</v>
      </c>
      <c r="O30" s="1023"/>
      <c r="P30" s="1023"/>
      <c r="Q30" s="1023">
        <v>0</v>
      </c>
      <c r="R30" s="1023">
        <v>0</v>
      </c>
      <c r="S30" s="1023"/>
      <c r="T30" s="1023"/>
      <c r="U30" s="1028">
        <v>0</v>
      </c>
      <c r="V30" s="1028">
        <v>0</v>
      </c>
      <c r="W30" s="1032">
        <v>0</v>
      </c>
      <c r="X30" s="1032">
        <v>0</v>
      </c>
      <c r="Y30" s="1037">
        <v>46.94</v>
      </c>
      <c r="Z30" s="1037">
        <v>54.919825000000003</v>
      </c>
      <c r="AA30" s="1025">
        <v>37.4</v>
      </c>
      <c r="AB30" s="1025">
        <v>43.654820000000001</v>
      </c>
      <c r="AC30" s="1023">
        <v>0</v>
      </c>
      <c r="AD30" s="1023">
        <v>0</v>
      </c>
      <c r="AE30" s="1038">
        <v>0</v>
      </c>
      <c r="AF30" s="1038">
        <v>0</v>
      </c>
      <c r="AG30" s="1038">
        <v>162.62</v>
      </c>
      <c r="AH30" s="1038">
        <v>180.45683399999999</v>
      </c>
      <c r="AI30" s="1047">
        <v>0</v>
      </c>
      <c r="AJ30" s="1047">
        <v>0</v>
      </c>
      <c r="AK30" s="1015">
        <v>0</v>
      </c>
      <c r="AL30" s="1015">
        <v>0</v>
      </c>
      <c r="AM30" s="1015">
        <v>0</v>
      </c>
      <c r="AN30" s="1015">
        <v>0</v>
      </c>
      <c r="AO30" s="1015">
        <v>0</v>
      </c>
      <c r="AP30" s="1015">
        <v>0</v>
      </c>
      <c r="AQ30" s="1052">
        <v>0</v>
      </c>
      <c r="AR30" s="1052">
        <v>0</v>
      </c>
      <c r="AW30" s="1068">
        <v>0</v>
      </c>
      <c r="AX30" s="1068">
        <v>0</v>
      </c>
      <c r="AY30" s="1052"/>
      <c r="AZ30" s="1052"/>
    </row>
    <row r="31" spans="1:100" ht="15">
      <c r="A31" s="1015" t="s">
        <v>51</v>
      </c>
      <c r="B31" s="1016" t="s">
        <v>511</v>
      </c>
      <c r="C31" s="1023">
        <v>55.524999999999999</v>
      </c>
      <c r="D31" s="1023">
        <v>56.948717000000002</v>
      </c>
      <c r="E31" s="1023">
        <v>372.779</v>
      </c>
      <c r="F31" s="1023">
        <v>389.36484200000001</v>
      </c>
      <c r="G31" s="1023">
        <v>-55.06</v>
      </c>
      <c r="H31" s="1023">
        <v>-56.857213000000002</v>
      </c>
      <c r="I31" s="1023">
        <v>0</v>
      </c>
      <c r="J31" s="1023">
        <v>0</v>
      </c>
      <c r="K31" s="1023">
        <v>201.87</v>
      </c>
      <c r="L31" s="1023">
        <v>213.82742200000001</v>
      </c>
      <c r="M31" s="1023">
        <v>0</v>
      </c>
      <c r="N31" s="1023">
        <v>0</v>
      </c>
      <c r="O31" s="1023"/>
      <c r="P31" s="1023"/>
      <c r="Q31" s="1023">
        <v>0</v>
      </c>
      <c r="R31" s="1023">
        <v>0</v>
      </c>
      <c r="S31" s="1028"/>
      <c r="T31" s="1028"/>
      <c r="U31" s="1028">
        <v>0</v>
      </c>
      <c r="V31" s="1028">
        <v>0</v>
      </c>
      <c r="W31" s="1032">
        <v>0</v>
      </c>
      <c r="X31" s="1032">
        <v>0</v>
      </c>
      <c r="Y31" s="1023"/>
      <c r="Z31" s="1023"/>
      <c r="AA31" s="1025">
        <v>0</v>
      </c>
      <c r="AB31" s="1025">
        <v>0</v>
      </c>
      <c r="AC31" s="1023">
        <v>0</v>
      </c>
      <c r="AD31" s="1023">
        <v>0</v>
      </c>
      <c r="AE31" s="1038">
        <v>0</v>
      </c>
      <c r="AF31" s="1038">
        <v>0</v>
      </c>
      <c r="AG31" s="1038">
        <v>0</v>
      </c>
      <c r="AH31" s="1038">
        <v>0</v>
      </c>
      <c r="AI31" s="1047">
        <v>0</v>
      </c>
      <c r="AJ31" s="1047">
        <v>0</v>
      </c>
      <c r="AK31" s="1015">
        <v>0</v>
      </c>
      <c r="AL31" s="1015">
        <v>0</v>
      </c>
      <c r="AM31" s="1015">
        <v>0</v>
      </c>
      <c r="AN31" s="1015">
        <v>0</v>
      </c>
      <c r="AO31" s="1015">
        <v>0</v>
      </c>
      <c r="AP31" s="1015">
        <v>0</v>
      </c>
      <c r="AQ31" s="1052">
        <v>0</v>
      </c>
      <c r="AR31" s="1052">
        <v>0</v>
      </c>
      <c r="AW31" s="1069">
        <v>0</v>
      </c>
      <c r="AX31" s="1069">
        <v>0</v>
      </c>
      <c r="AY31" s="1052"/>
      <c r="AZ31" s="1052"/>
    </row>
    <row r="32" spans="1:100" ht="15">
      <c r="A32" s="1015" t="s">
        <v>51</v>
      </c>
      <c r="B32" s="1016" t="s">
        <v>527</v>
      </c>
      <c r="C32" s="1023">
        <v>0</v>
      </c>
      <c r="D32" s="1023">
        <v>0</v>
      </c>
      <c r="E32" s="1023">
        <v>0</v>
      </c>
      <c r="F32" s="1023">
        <v>0</v>
      </c>
      <c r="G32" s="1023">
        <v>0</v>
      </c>
      <c r="H32" s="1023">
        <v>0</v>
      </c>
      <c r="I32" s="1023">
        <v>0</v>
      </c>
      <c r="J32" s="1023">
        <v>0</v>
      </c>
      <c r="K32" s="1023">
        <v>0</v>
      </c>
      <c r="L32" s="1023">
        <v>0</v>
      </c>
      <c r="M32" s="1023">
        <v>0</v>
      </c>
      <c r="N32" s="1023">
        <v>0</v>
      </c>
      <c r="O32" s="1023"/>
      <c r="P32" s="1023"/>
      <c r="Q32" s="1023">
        <v>0</v>
      </c>
      <c r="R32" s="1023">
        <v>0</v>
      </c>
      <c r="S32" s="1023"/>
      <c r="T32" s="1023"/>
      <c r="U32" s="1028">
        <v>0</v>
      </c>
      <c r="V32" s="1028">
        <v>0</v>
      </c>
      <c r="W32" s="1032">
        <v>0</v>
      </c>
      <c r="X32" s="1032">
        <v>0</v>
      </c>
      <c r="Y32" s="1023"/>
      <c r="Z32" s="1023"/>
      <c r="AA32" s="1025">
        <v>0</v>
      </c>
      <c r="AB32" s="1025">
        <v>0</v>
      </c>
      <c r="AC32" s="1023">
        <v>0</v>
      </c>
      <c r="AD32" s="1023">
        <v>0</v>
      </c>
      <c r="AE32" s="1038">
        <v>0</v>
      </c>
      <c r="AF32" s="1038">
        <v>0</v>
      </c>
      <c r="AG32" s="1038">
        <v>0</v>
      </c>
      <c r="AH32" s="1038">
        <v>0</v>
      </c>
      <c r="AI32" s="1047">
        <v>0</v>
      </c>
      <c r="AJ32" s="1047">
        <v>0</v>
      </c>
      <c r="AK32" s="1015">
        <v>0</v>
      </c>
      <c r="AL32" s="1015">
        <v>0</v>
      </c>
      <c r="AM32" s="1015">
        <v>0</v>
      </c>
      <c r="AN32" s="1015">
        <v>0</v>
      </c>
      <c r="AO32" s="1015">
        <v>0</v>
      </c>
      <c r="AP32" s="1015">
        <v>0</v>
      </c>
      <c r="AQ32" s="1052">
        <v>0</v>
      </c>
      <c r="AR32" s="1052">
        <v>0</v>
      </c>
      <c r="AW32" s="1069">
        <v>0</v>
      </c>
      <c r="AX32" s="1069">
        <v>0</v>
      </c>
      <c r="AY32" s="1052"/>
      <c r="AZ32" s="1052"/>
    </row>
    <row r="33" spans="1:92" ht="15">
      <c r="A33" s="1015" t="s">
        <v>51</v>
      </c>
      <c r="B33" s="1016" t="s">
        <v>528</v>
      </c>
      <c r="C33" s="1023">
        <v>55.524999999999999</v>
      </c>
      <c r="D33" s="1023">
        <v>56.948717000000002</v>
      </c>
      <c r="E33" s="1023">
        <v>372.779</v>
      </c>
      <c r="F33" s="1023">
        <v>389.36484200000001</v>
      </c>
      <c r="G33" s="1023">
        <v>-55.06</v>
      </c>
      <c r="H33" s="1023">
        <v>-56.857213000000002</v>
      </c>
      <c r="I33" s="1023">
        <v>0</v>
      </c>
      <c r="J33" s="1023">
        <v>0</v>
      </c>
      <c r="K33" s="1023">
        <v>201.87</v>
      </c>
      <c r="L33" s="1023">
        <v>213.82742200000001</v>
      </c>
      <c r="M33" s="1023">
        <v>0</v>
      </c>
      <c r="N33" s="1023">
        <v>0</v>
      </c>
      <c r="O33" s="1023"/>
      <c r="P33" s="1023"/>
      <c r="Q33" s="1023">
        <v>0</v>
      </c>
      <c r="R33" s="1023">
        <v>0</v>
      </c>
      <c r="S33" s="1023"/>
      <c r="T33" s="1023"/>
      <c r="U33" s="1028">
        <v>0</v>
      </c>
      <c r="V33" s="1028">
        <v>0</v>
      </c>
      <c r="W33" s="1032">
        <v>0</v>
      </c>
      <c r="X33" s="1032">
        <v>0</v>
      </c>
      <c r="Y33" s="1023"/>
      <c r="Z33" s="1023"/>
      <c r="AA33" s="1025">
        <v>0</v>
      </c>
      <c r="AB33" s="1025">
        <v>0</v>
      </c>
      <c r="AC33" s="1023">
        <v>0</v>
      </c>
      <c r="AD33" s="1023">
        <v>0</v>
      </c>
      <c r="AE33" s="1038">
        <v>0</v>
      </c>
      <c r="AF33" s="1038">
        <v>0</v>
      </c>
      <c r="AG33" s="1038">
        <v>0</v>
      </c>
      <c r="AH33" s="1038">
        <v>0</v>
      </c>
      <c r="AI33" s="1047">
        <v>0</v>
      </c>
      <c r="AJ33" s="1047">
        <v>0</v>
      </c>
      <c r="AK33" s="1015">
        <v>0</v>
      </c>
      <c r="AL33" s="1015">
        <v>0</v>
      </c>
      <c r="AM33" s="1015">
        <v>0</v>
      </c>
      <c r="AN33" s="1015">
        <v>0</v>
      </c>
      <c r="AO33" s="1015">
        <v>0</v>
      </c>
      <c r="AP33" s="1015">
        <v>0</v>
      </c>
      <c r="AQ33" s="1052">
        <v>0</v>
      </c>
      <c r="AR33" s="1052">
        <v>0</v>
      </c>
      <c r="AW33" s="1069">
        <v>0</v>
      </c>
      <c r="AX33" s="1069">
        <v>0</v>
      </c>
      <c r="AY33" s="1052"/>
      <c r="AZ33" s="1052"/>
    </row>
    <row r="34" spans="1:92">
      <c r="A34" s="1015" t="s">
        <v>51</v>
      </c>
      <c r="B34" s="1016" t="s">
        <v>302</v>
      </c>
      <c r="C34" s="1028">
        <v>2388.6179999999999</v>
      </c>
      <c r="D34" s="1028">
        <v>4083.1897530000001</v>
      </c>
      <c r="E34" s="1028">
        <v>1549.519</v>
      </c>
      <c r="F34" s="1028">
        <v>2232.4123199999999</v>
      </c>
      <c r="G34" s="1025">
        <v>1731.83</v>
      </c>
      <c r="H34" s="1025">
        <v>3096.4059229999998</v>
      </c>
      <c r="I34" s="1025">
        <v>2990.84</v>
      </c>
      <c r="J34" s="1025">
        <v>3853.8826800000002</v>
      </c>
      <c r="K34" s="1028">
        <v>1986.046</v>
      </c>
      <c r="L34" s="1028">
        <v>2748.0870500000001</v>
      </c>
      <c r="M34" s="1028">
        <v>1995.8910000000001</v>
      </c>
      <c r="N34" s="1028">
        <v>3118.5421860000001</v>
      </c>
      <c r="O34" s="1025">
        <v>2293.163</v>
      </c>
      <c r="P34" s="1025">
        <v>3116.3928169999999</v>
      </c>
      <c r="Q34" s="1025">
        <v>2287.33</v>
      </c>
      <c r="R34" s="1025">
        <v>2931.355548</v>
      </c>
      <c r="S34" s="1025">
        <v>1597.057</v>
      </c>
      <c r="T34" s="1025">
        <v>2915.5303560000002</v>
      </c>
      <c r="U34" s="1028">
        <v>6871.5910000000003</v>
      </c>
      <c r="V34" s="1028">
        <v>9088.6118310000002</v>
      </c>
      <c r="W34" s="1028">
        <v>5779</v>
      </c>
      <c r="X34" s="1028">
        <v>7837</v>
      </c>
      <c r="Y34" s="1037">
        <v>1646.93</v>
      </c>
      <c r="Z34" s="1037">
        <v>2068.7551520000002</v>
      </c>
      <c r="AA34" s="1025">
        <v>2035.88</v>
      </c>
      <c r="AB34" s="1025">
        <v>3031.429185</v>
      </c>
      <c r="AC34" s="1023">
        <v>1247.925</v>
      </c>
      <c r="AD34" s="1023">
        <v>2032.4839689999999</v>
      </c>
      <c r="AE34" s="1038">
        <v>2474.8539999999998</v>
      </c>
      <c r="AF34" s="1038">
        <v>3815.4854559999999</v>
      </c>
      <c r="AG34" s="1038">
        <v>4024.145</v>
      </c>
      <c r="AH34" s="1038">
        <v>7375.4273329999996</v>
      </c>
      <c r="AI34" s="1047">
        <v>2196.81</v>
      </c>
      <c r="AJ34" s="1047">
        <v>4192.848919</v>
      </c>
      <c r="AK34" s="1015">
        <v>2201.2739999999999</v>
      </c>
      <c r="AL34" s="1015">
        <v>3529.9622829999998</v>
      </c>
      <c r="AM34" s="1015">
        <v>2493.471</v>
      </c>
      <c r="AN34" s="1015">
        <v>4161.4378589999997</v>
      </c>
      <c r="AO34" s="1015">
        <v>2699.12</v>
      </c>
      <c r="AP34" s="1015">
        <v>4639.841238</v>
      </c>
      <c r="AQ34" s="1052">
        <v>1992.56</v>
      </c>
      <c r="AR34" s="1052">
        <v>2741.5179910000002</v>
      </c>
      <c r="AS34" s="1052">
        <v>1711.171</v>
      </c>
      <c r="AT34" s="1052">
        <v>3183.7150889999998</v>
      </c>
      <c r="AU34" s="1015">
        <v>2435.1489999999999</v>
      </c>
      <c r="AV34" s="1015">
        <v>4757.0818760000002</v>
      </c>
      <c r="AW34" s="1068">
        <v>2259.1019999999999</v>
      </c>
      <c r="AX34" s="1068">
        <v>4415.6134410000004</v>
      </c>
      <c r="AY34" s="1052">
        <v>2464.8530000000001</v>
      </c>
      <c r="AZ34" s="1052">
        <v>4546.4753499999997</v>
      </c>
      <c r="BA34" s="1015">
        <v>670.84199999999998</v>
      </c>
      <c r="BB34" s="1015">
        <v>1287.5484429999999</v>
      </c>
      <c r="BC34" s="1052">
        <v>827.99199999999996</v>
      </c>
      <c r="BD34" s="1052">
        <v>1147.2293689999999</v>
      </c>
      <c r="BE34" s="1015">
        <v>1491.95</v>
      </c>
      <c r="BF34" s="1015">
        <v>2836.2695749999998</v>
      </c>
      <c r="BG34" s="1015">
        <v>2334.2310000000002</v>
      </c>
      <c r="BH34" s="1015">
        <v>4557.0960489999998</v>
      </c>
      <c r="BI34" s="1015">
        <v>1895.085</v>
      </c>
      <c r="BJ34" s="1015">
        <v>2561.2103480000001</v>
      </c>
      <c r="BK34" s="1015">
        <v>2283.5540000000001</v>
      </c>
      <c r="BL34" s="1015">
        <v>3324.7181770000002</v>
      </c>
      <c r="BM34" s="1015">
        <v>2755.817</v>
      </c>
      <c r="BN34" s="1015">
        <v>5308.611809</v>
      </c>
      <c r="BO34" s="1015">
        <v>1586.346</v>
      </c>
      <c r="BP34" s="1015">
        <v>3068.1574639999999</v>
      </c>
      <c r="BQ34" s="1015">
        <v>1675.327</v>
      </c>
      <c r="BR34" s="1015">
        <v>2478.1911289999998</v>
      </c>
      <c r="BS34" s="1015">
        <v>2143.4609999999998</v>
      </c>
      <c r="BT34" s="1015">
        <v>3643.6456780000003</v>
      </c>
      <c r="BU34" s="1015">
        <v>3195.9690000000001</v>
      </c>
      <c r="BV34" s="1015">
        <v>6636.0284170000004</v>
      </c>
      <c r="BW34" s="1015">
        <v>1611.2260000000001</v>
      </c>
      <c r="BX34" s="1015">
        <v>2370.4258319999999</v>
      </c>
      <c r="BY34" s="1015">
        <v>1433.4839999999999</v>
      </c>
      <c r="BZ34" s="1015">
        <v>1607.9893119999999</v>
      </c>
      <c r="CA34" s="1015">
        <v>1147.452</v>
      </c>
      <c r="CB34" s="1015">
        <v>1586.711777</v>
      </c>
      <c r="CC34" s="1015">
        <v>1014.331</v>
      </c>
      <c r="CD34" s="1015">
        <v>1903.1262320000001</v>
      </c>
      <c r="CE34" s="1015">
        <v>1294.0920000000001</v>
      </c>
      <c r="CF34" s="1015">
        <v>2663.5133129999999</v>
      </c>
      <c r="CG34" s="1015">
        <v>1715.1890000000001</v>
      </c>
      <c r="CH34" s="1015">
        <v>3852.4908070000001</v>
      </c>
      <c r="CI34" s="1015">
        <v>1363.4780000000001</v>
      </c>
      <c r="CJ34" s="1015">
        <v>2961.1383820000001</v>
      </c>
      <c r="CK34" s="1015">
        <v>1649.8879999999999</v>
      </c>
      <c r="CL34" s="1015">
        <v>3353.2438520000001</v>
      </c>
      <c r="CM34" s="1015">
        <v>1035</v>
      </c>
      <c r="CN34" s="1015">
        <v>2484</v>
      </c>
    </row>
    <row r="35" spans="1:92">
      <c r="A35" s="1015" t="s">
        <v>51</v>
      </c>
      <c r="B35" s="1016" t="s">
        <v>514</v>
      </c>
      <c r="C35" s="1023">
        <v>973.59</v>
      </c>
      <c r="D35" s="1023">
        <v>1468.1947339999999</v>
      </c>
      <c r="E35" s="1023">
        <v>829.95100000000002</v>
      </c>
      <c r="F35" s="1023">
        <v>1075.520929</v>
      </c>
      <c r="G35" s="1023">
        <v>500.91500000000002</v>
      </c>
      <c r="H35" s="1023">
        <v>727.10442699999999</v>
      </c>
      <c r="I35" s="1023">
        <v>1326.7449999999999</v>
      </c>
      <c r="J35" s="1023">
        <v>1275.324519</v>
      </c>
      <c r="K35" s="1023">
        <v>787.76599999999996</v>
      </c>
      <c r="L35" s="1023">
        <v>743.55563500000005</v>
      </c>
      <c r="M35" s="1023">
        <v>1090.519</v>
      </c>
      <c r="N35" s="1023">
        <v>1607.3009039999999</v>
      </c>
      <c r="O35" s="1023">
        <v>1429.383</v>
      </c>
      <c r="P35" s="1023">
        <v>1851.505725</v>
      </c>
      <c r="Q35" s="1023">
        <v>1355.7719999999999</v>
      </c>
      <c r="R35" s="1023">
        <v>1427.568677</v>
      </c>
      <c r="S35" s="1023">
        <v>997.20600000000002</v>
      </c>
      <c r="T35" s="1023">
        <v>1905.9430990000001</v>
      </c>
      <c r="U35" s="1023">
        <v>5770.598</v>
      </c>
      <c r="V35" s="1023">
        <v>7163.6917279999998</v>
      </c>
      <c r="W35" s="1032">
        <v>4475</v>
      </c>
      <c r="X35" s="1032">
        <v>5220</v>
      </c>
      <c r="Y35" s="1037">
        <v>883.32</v>
      </c>
      <c r="Z35" s="1037">
        <v>887.26232400000004</v>
      </c>
      <c r="AA35" s="1025">
        <v>1040.8910000000001</v>
      </c>
      <c r="AB35" s="1025">
        <v>1018.469485</v>
      </c>
      <c r="AC35" s="1023">
        <v>928.18700000000001</v>
      </c>
      <c r="AD35" s="1023">
        <v>1351.547855</v>
      </c>
      <c r="AE35" s="1038">
        <v>1356.604</v>
      </c>
      <c r="AF35" s="1038">
        <v>1987.815965</v>
      </c>
      <c r="AG35" s="1038">
        <v>2125.6350000000002</v>
      </c>
      <c r="AH35" s="1038">
        <v>3121.2959949999999</v>
      </c>
      <c r="AI35" s="1047">
        <v>614.245</v>
      </c>
      <c r="AJ35" s="1047">
        <v>616.35605099999998</v>
      </c>
      <c r="AK35" s="1015">
        <v>1174.6659999999999</v>
      </c>
      <c r="AL35" s="1015">
        <v>1111.530256</v>
      </c>
      <c r="AM35" s="1015">
        <v>1115.2270000000001</v>
      </c>
      <c r="AN35" s="1015">
        <v>1419.589021</v>
      </c>
      <c r="AO35" s="1015">
        <v>975.76</v>
      </c>
      <c r="AP35" s="1015">
        <v>1032.763874</v>
      </c>
      <c r="AQ35" s="1052">
        <v>608.19000000000005</v>
      </c>
      <c r="AR35" s="1052">
        <v>488.543115</v>
      </c>
      <c r="AS35" s="1052">
        <v>519.39599999999996</v>
      </c>
      <c r="AT35" s="1052">
        <v>691.62101600000005</v>
      </c>
      <c r="AU35" s="1015">
        <v>673.41399999999999</v>
      </c>
      <c r="AV35" s="1015">
        <v>759.12948500000005</v>
      </c>
      <c r="AW35" s="1068">
        <v>568.64700000000005</v>
      </c>
      <c r="AX35" s="1068">
        <v>458.14636400000001</v>
      </c>
      <c r="AY35" s="1052">
        <v>580.22699999999998</v>
      </c>
      <c r="AZ35" s="1052">
        <v>670.668496</v>
      </c>
      <c r="BA35" s="1015">
        <v>282.53500000000003</v>
      </c>
      <c r="BB35" s="1015">
        <v>206.490487</v>
      </c>
      <c r="BC35" s="1052">
        <v>396.61200000000002</v>
      </c>
      <c r="BD35" s="1052">
        <v>289.10524900000001</v>
      </c>
      <c r="BE35" s="1015">
        <v>381.49099999999999</v>
      </c>
      <c r="BF35" s="1015">
        <v>472.090172</v>
      </c>
      <c r="BG35" s="1015">
        <v>893.19899999999996</v>
      </c>
      <c r="BH35" s="1015">
        <v>1390.223884</v>
      </c>
      <c r="BI35" s="1015">
        <v>700.97299999999996</v>
      </c>
      <c r="BJ35" s="1015">
        <v>632.28045199999997</v>
      </c>
      <c r="BK35" s="1015">
        <v>1066.624</v>
      </c>
      <c r="BL35" s="1015">
        <v>1053.658981</v>
      </c>
      <c r="BM35" s="1015">
        <v>1059.6849999999999</v>
      </c>
      <c r="BN35" s="1015">
        <v>1560.798845</v>
      </c>
      <c r="BO35" s="1015">
        <v>635.98599999999999</v>
      </c>
      <c r="BP35" s="1015">
        <v>955.90462799999989</v>
      </c>
      <c r="BQ35" s="1015">
        <v>590.24699999999996</v>
      </c>
      <c r="BR35" s="1015">
        <v>480.60787499999998</v>
      </c>
      <c r="BS35" s="1015">
        <v>872.40099999999995</v>
      </c>
      <c r="BT35" s="1015">
        <v>1579.0310069999998</v>
      </c>
      <c r="BU35" s="1015">
        <v>1904.0989999999999</v>
      </c>
      <c r="BV35" s="1015">
        <v>4284.6916039999996</v>
      </c>
      <c r="BW35" s="1015">
        <v>834.43499999999995</v>
      </c>
      <c r="BX35" s="1015">
        <v>846.72801600000003</v>
      </c>
      <c r="BY35" s="1015">
        <v>962.24900000000002</v>
      </c>
      <c r="BZ35" s="1015">
        <v>749.26114400000006</v>
      </c>
      <c r="CA35" s="1015">
        <v>385.26900000000001</v>
      </c>
      <c r="CB35" s="1015">
        <v>351.83755299999996</v>
      </c>
      <c r="CC35" s="1015">
        <v>345.721</v>
      </c>
      <c r="CD35" s="1015">
        <v>809.54967799999997</v>
      </c>
      <c r="CE35" s="1015">
        <v>244.11199999999999</v>
      </c>
      <c r="CF35" s="1015">
        <v>288.925681</v>
      </c>
      <c r="CG35" s="1015">
        <v>882.09900000000005</v>
      </c>
      <c r="CH35" s="1015">
        <v>2417.5563790000001</v>
      </c>
      <c r="CI35" s="1015">
        <v>350.798</v>
      </c>
      <c r="CJ35" s="1015">
        <v>820.35202400000003</v>
      </c>
      <c r="CK35" s="1015">
        <v>319.93799999999999</v>
      </c>
      <c r="CL35" s="1015">
        <v>682.54923299999996</v>
      </c>
      <c r="CM35" s="1015">
        <v>282</v>
      </c>
      <c r="CN35" s="1015">
        <v>506</v>
      </c>
    </row>
    <row r="36" spans="1:92">
      <c r="A36" s="1015" t="s">
        <v>51</v>
      </c>
      <c r="B36" s="1016" t="s">
        <v>515</v>
      </c>
      <c r="C36" s="1023">
        <v>1415.028</v>
      </c>
      <c r="D36" s="1023">
        <v>2614.995019</v>
      </c>
      <c r="E36" s="1023">
        <v>719.56799999999998</v>
      </c>
      <c r="F36" s="1023">
        <v>1156.8913910000001</v>
      </c>
      <c r="G36" s="1023">
        <v>1230.915</v>
      </c>
      <c r="H36" s="1023">
        <v>2369.301496</v>
      </c>
      <c r="I36" s="1023">
        <v>1664.095</v>
      </c>
      <c r="J36" s="1023">
        <v>2578.5581609999999</v>
      </c>
      <c r="K36" s="1023">
        <v>1198.28</v>
      </c>
      <c r="L36" s="1023">
        <v>2004.5314149999999</v>
      </c>
      <c r="M36" s="1023">
        <v>905.37199999999996</v>
      </c>
      <c r="N36" s="1023">
        <v>1511.241282</v>
      </c>
      <c r="O36" s="1023">
        <v>863.78</v>
      </c>
      <c r="P36" s="1023">
        <v>1264.8870919999999</v>
      </c>
      <c r="Q36" s="1023">
        <v>931.55799999999999</v>
      </c>
      <c r="R36" s="1023">
        <v>1503.786871</v>
      </c>
      <c r="S36" s="1023">
        <v>599.851</v>
      </c>
      <c r="T36" s="1023">
        <v>1009.587257</v>
      </c>
      <c r="U36" s="1023">
        <v>1100.9929999999999</v>
      </c>
      <c r="V36" s="1023">
        <v>1924.9201029999999</v>
      </c>
      <c r="W36" s="1032">
        <v>1303</v>
      </c>
      <c r="X36" s="1032">
        <v>2617</v>
      </c>
      <c r="Y36" s="1037">
        <v>763.61</v>
      </c>
      <c r="Z36" s="1037">
        <v>1181.4928279999999</v>
      </c>
      <c r="AA36" s="1025">
        <v>994.98900000000003</v>
      </c>
      <c r="AB36" s="1025">
        <v>2012.9597000000001</v>
      </c>
      <c r="AC36" s="1023">
        <v>319.738</v>
      </c>
      <c r="AD36" s="1023">
        <v>680.93611399999998</v>
      </c>
      <c r="AE36" s="1038">
        <v>1118.25</v>
      </c>
      <c r="AF36" s="1038">
        <v>1827.6694910000001</v>
      </c>
      <c r="AG36" s="1038">
        <v>1898.51</v>
      </c>
      <c r="AH36" s="1038">
        <v>4254.1313380000001</v>
      </c>
      <c r="AI36" s="1047">
        <v>1582.5650000000001</v>
      </c>
      <c r="AJ36" s="1047">
        <v>3576.4928679999998</v>
      </c>
      <c r="AK36" s="1015">
        <v>1026.6079999999999</v>
      </c>
      <c r="AL36" s="1015">
        <v>2418.4320269999998</v>
      </c>
      <c r="AM36" s="1015">
        <v>1378.2439999999999</v>
      </c>
      <c r="AN36" s="1015">
        <v>2741.8488379999999</v>
      </c>
      <c r="AO36" s="1015">
        <v>1723.36</v>
      </c>
      <c r="AP36" s="1015">
        <v>3607.0773640000002</v>
      </c>
      <c r="AQ36" s="1052">
        <v>1384.37</v>
      </c>
      <c r="AR36" s="1052">
        <v>2252.9748760000002</v>
      </c>
      <c r="AS36" s="1052">
        <v>1191.7750000000001</v>
      </c>
      <c r="AT36" s="1052">
        <v>2492.0940730000002</v>
      </c>
      <c r="AU36" s="1015">
        <v>1761.7349999999999</v>
      </c>
      <c r="AV36" s="1015">
        <v>3997.9523909999998</v>
      </c>
      <c r="AW36" s="1068">
        <v>1690.4549999999999</v>
      </c>
      <c r="AX36" s="1068">
        <v>3957.4670769999998</v>
      </c>
      <c r="AY36" s="1052">
        <v>1884.626</v>
      </c>
      <c r="AZ36" s="1052">
        <v>3875.8068539999999</v>
      </c>
      <c r="BA36" s="1015">
        <v>388.30700000000002</v>
      </c>
      <c r="BB36" s="1015">
        <v>1081.0579560000001</v>
      </c>
      <c r="BC36" s="1052">
        <v>431.38</v>
      </c>
      <c r="BD36" s="1052">
        <v>858.12411999999995</v>
      </c>
      <c r="BE36" s="1015">
        <v>1110.4590000000001</v>
      </c>
      <c r="BF36" s="1015">
        <v>2364.1794030000001</v>
      </c>
      <c r="BG36" s="1015">
        <v>1441.0319999999999</v>
      </c>
      <c r="BH36" s="1015">
        <v>3166.8721650000002</v>
      </c>
      <c r="BI36" s="1015">
        <v>1194.1120000000001</v>
      </c>
      <c r="BJ36" s="1015">
        <v>1928.9298960000001</v>
      </c>
      <c r="BK36" s="1015">
        <v>1216.93</v>
      </c>
      <c r="BL36" s="1015">
        <v>2271.0591960000002</v>
      </c>
      <c r="BM36" s="1015">
        <v>1696.1320000000001</v>
      </c>
      <c r="BN36" s="1015">
        <v>3747.8129640000006</v>
      </c>
      <c r="BO36" s="1015">
        <v>950.36</v>
      </c>
      <c r="BP36" s="1015">
        <v>2112.2528360000001</v>
      </c>
      <c r="BQ36" s="1015">
        <v>1085.08</v>
      </c>
      <c r="BR36" s="1015">
        <v>1997.5832539999999</v>
      </c>
      <c r="BS36" s="1015">
        <v>1271.06</v>
      </c>
      <c r="BT36" s="1015">
        <v>2064.6146710000003</v>
      </c>
      <c r="BU36" s="1015">
        <v>1291.8699999999999</v>
      </c>
      <c r="BV36" s="1015">
        <v>2351.3368129999999</v>
      </c>
      <c r="BW36" s="1015">
        <v>776.79100000000005</v>
      </c>
      <c r="BX36" s="1015">
        <v>1523.6978160000001</v>
      </c>
      <c r="BY36" s="1015">
        <v>471.23500000000001</v>
      </c>
      <c r="BZ36" s="1015">
        <v>858.72816799999998</v>
      </c>
      <c r="CA36" s="1015">
        <v>762.18299999999999</v>
      </c>
      <c r="CB36" s="1015">
        <v>1234.8742239999999</v>
      </c>
      <c r="CC36" s="1015">
        <v>668.61</v>
      </c>
      <c r="CD36" s="1015">
        <v>1093.576554</v>
      </c>
      <c r="CE36" s="1015">
        <v>1049.98</v>
      </c>
      <c r="CF36" s="1015">
        <v>2374.5876320000002</v>
      </c>
      <c r="CG36" s="1015">
        <v>833.09</v>
      </c>
      <c r="CH36" s="1015">
        <v>1434.934428</v>
      </c>
      <c r="CI36" s="1015">
        <v>1012.68</v>
      </c>
      <c r="CJ36" s="1015">
        <v>2140.7863579999998</v>
      </c>
      <c r="CK36" s="1015">
        <v>1329.95</v>
      </c>
      <c r="CL36" s="1015">
        <v>2670.6946190000003</v>
      </c>
      <c r="CM36" s="1015">
        <v>753</v>
      </c>
      <c r="CN36" s="1015">
        <v>1978</v>
      </c>
    </row>
    <row r="37" spans="1:92">
      <c r="A37" s="1015" t="s">
        <v>51</v>
      </c>
      <c r="B37" s="1016" t="s">
        <v>516</v>
      </c>
      <c r="C37" s="1023">
        <v>1410.6479999999999</v>
      </c>
      <c r="D37" s="1023">
        <v>2611.2514289999999</v>
      </c>
      <c r="E37" s="1023">
        <v>710.55799999999999</v>
      </c>
      <c r="F37" s="1023">
        <v>1149.190535</v>
      </c>
      <c r="G37" s="1023">
        <v>1230.915</v>
      </c>
      <c r="H37" s="1023">
        <v>2369.301496</v>
      </c>
      <c r="I37" s="1023">
        <v>1664.095</v>
      </c>
      <c r="J37" s="1023">
        <v>2578.5581609999999</v>
      </c>
      <c r="K37" s="1023">
        <v>1198.28</v>
      </c>
      <c r="L37" s="1023">
        <v>2004.5314149999999</v>
      </c>
      <c r="M37" s="1023">
        <v>905.37199999999996</v>
      </c>
      <c r="N37" s="1023">
        <v>1511.241282</v>
      </c>
      <c r="O37" s="1023">
        <v>863.78</v>
      </c>
      <c r="P37" s="1023">
        <v>1264.8870919999999</v>
      </c>
      <c r="Q37" s="1023">
        <v>898.16800000000001</v>
      </c>
      <c r="R37" s="1023">
        <v>1456.0046460000001</v>
      </c>
      <c r="S37" s="1023">
        <v>596.03099999999995</v>
      </c>
      <c r="T37" s="1023">
        <v>1003.593807</v>
      </c>
      <c r="U37" s="1023">
        <v>1079.703</v>
      </c>
      <c r="V37" s="1023">
        <v>1894.453389</v>
      </c>
      <c r="W37" s="1032">
        <v>1303</v>
      </c>
      <c r="X37" s="1032">
        <v>2617</v>
      </c>
      <c r="Y37" s="1037">
        <v>751.29</v>
      </c>
      <c r="Z37" s="1037">
        <v>1172.12538</v>
      </c>
      <c r="AA37" s="1025">
        <v>994.98900000000003</v>
      </c>
      <c r="AB37" s="1025">
        <v>2012.9597000000001</v>
      </c>
      <c r="AC37" s="1023">
        <v>319.738</v>
      </c>
      <c r="AD37" s="1023">
        <v>680.93611399999998</v>
      </c>
      <c r="AE37" s="1038">
        <v>1118.25</v>
      </c>
      <c r="AF37" s="1038">
        <v>1827.6694910000001</v>
      </c>
      <c r="AG37" s="1038">
        <v>1850.95</v>
      </c>
      <c r="AH37" s="1038">
        <v>4189.3513359999997</v>
      </c>
      <c r="AI37" s="1047">
        <v>1582.5650000000001</v>
      </c>
      <c r="AJ37" s="1047">
        <v>3576.4928679999998</v>
      </c>
      <c r="AK37" s="1015">
        <v>1015.018</v>
      </c>
      <c r="AL37" s="1015">
        <v>2402.6456469999998</v>
      </c>
      <c r="AM37" s="1015">
        <v>1378.2439999999999</v>
      </c>
      <c r="AN37" s="1015">
        <v>2741.8488379999999</v>
      </c>
      <c r="AO37" s="1015">
        <v>1708.47</v>
      </c>
      <c r="AP37" s="1015">
        <v>3595.1592559999999</v>
      </c>
      <c r="AQ37" s="1052">
        <v>1381.87</v>
      </c>
      <c r="AR37" s="1052">
        <v>2249.1474429999998</v>
      </c>
      <c r="AS37" s="1052">
        <v>1163.3150000000001</v>
      </c>
      <c r="AT37" s="1052">
        <v>2447.6037369999999</v>
      </c>
      <c r="AU37" s="1015">
        <v>1761.7349999999999</v>
      </c>
      <c r="AV37" s="1015">
        <v>3997.9523909999998</v>
      </c>
      <c r="AW37" s="1068">
        <v>1644.375</v>
      </c>
      <c r="AX37" s="1068">
        <v>3906.9014189999998</v>
      </c>
      <c r="AY37" s="1052">
        <v>1796.2360000000001</v>
      </c>
      <c r="AZ37" s="1052">
        <v>3770.618254</v>
      </c>
      <c r="BA37" s="1015">
        <v>329.84699999999998</v>
      </c>
      <c r="BB37" s="1015">
        <v>1039.015445</v>
      </c>
      <c r="BC37" s="1052">
        <v>431.38</v>
      </c>
      <c r="BD37" s="1052">
        <v>858.12411999999995</v>
      </c>
      <c r="BE37" s="1015">
        <v>1057.759</v>
      </c>
      <c r="BF37" s="1015">
        <v>2323.8464640000002</v>
      </c>
      <c r="BG37" s="1015">
        <v>1405.3219999999999</v>
      </c>
      <c r="BH37" s="1015">
        <v>3138.3569640000001</v>
      </c>
      <c r="BI37" s="1015">
        <v>1180.2719999999999</v>
      </c>
      <c r="BJ37" s="1015">
        <v>1918.641752</v>
      </c>
      <c r="BK37" s="1015">
        <v>1216.93</v>
      </c>
      <c r="BL37" s="1015">
        <v>2271.0591960000002</v>
      </c>
      <c r="BM37" s="1015">
        <v>1696.1320000000001</v>
      </c>
      <c r="BN37" s="1015">
        <v>3747.8129640000006</v>
      </c>
      <c r="BO37" s="1015">
        <v>945.94</v>
      </c>
      <c r="BP37" s="1015">
        <v>2110.4848360000001</v>
      </c>
      <c r="BQ37" s="1015">
        <v>956.26</v>
      </c>
      <c r="BR37" s="1015">
        <v>1906.135023</v>
      </c>
      <c r="BS37" s="1015">
        <v>1132.94</v>
      </c>
      <c r="BT37" s="1015">
        <v>1962.8226990000005</v>
      </c>
      <c r="BU37" s="1015">
        <v>1218.51</v>
      </c>
      <c r="BV37" s="1015">
        <v>2298.023396</v>
      </c>
      <c r="BW37" s="1015">
        <v>585.95100000000002</v>
      </c>
      <c r="BX37" s="1015">
        <v>1384.4170999999999</v>
      </c>
      <c r="BY37" s="1015">
        <v>439.10500000000002</v>
      </c>
      <c r="BZ37" s="1015">
        <v>834.32632799999999</v>
      </c>
      <c r="CA37" s="1015">
        <v>423.53300000000002</v>
      </c>
      <c r="CB37" s="1015">
        <v>971.06997100000012</v>
      </c>
      <c r="CC37" s="1015">
        <v>552.86</v>
      </c>
      <c r="CD37" s="1015">
        <v>1005.6338619999999</v>
      </c>
      <c r="CE37" s="1015">
        <v>1029.28</v>
      </c>
      <c r="CF37" s="1015">
        <v>2343.1529420000002</v>
      </c>
      <c r="CG37" s="1015">
        <v>830.93</v>
      </c>
      <c r="CH37" s="1015">
        <v>1431.770888</v>
      </c>
      <c r="CI37" s="1015">
        <v>1012.68</v>
      </c>
      <c r="CJ37" s="1015">
        <v>2140.7863579999998</v>
      </c>
      <c r="CK37" s="1015">
        <v>1327.23</v>
      </c>
      <c r="CL37" s="1015">
        <v>2668.374194</v>
      </c>
      <c r="CM37" s="1015">
        <v>713</v>
      </c>
      <c r="CN37" s="1015">
        <v>1608</v>
      </c>
    </row>
    <row r="38" spans="1:92" ht="15">
      <c r="A38" s="1015" t="s">
        <v>51</v>
      </c>
      <c r="B38" s="1016" t="s">
        <v>517</v>
      </c>
      <c r="C38" s="1023">
        <v>4.38</v>
      </c>
      <c r="D38" s="1023">
        <v>3.7435900000000002</v>
      </c>
      <c r="E38" s="1023">
        <v>9.01</v>
      </c>
      <c r="F38" s="1023">
        <v>7.7008559999999999</v>
      </c>
      <c r="G38" s="1023"/>
      <c r="H38" s="1023"/>
      <c r="I38" s="1023">
        <v>0</v>
      </c>
      <c r="J38" s="1023">
        <v>0</v>
      </c>
      <c r="K38" s="1023">
        <v>0</v>
      </c>
      <c r="L38" s="1023">
        <v>0</v>
      </c>
      <c r="M38" s="1023">
        <v>0</v>
      </c>
      <c r="N38" s="1023">
        <v>0</v>
      </c>
      <c r="O38" s="1023"/>
      <c r="P38" s="1023"/>
      <c r="Q38" s="1023">
        <v>33.39</v>
      </c>
      <c r="R38" s="1023">
        <v>47.782224999999997</v>
      </c>
      <c r="S38" s="1023">
        <v>3.82</v>
      </c>
      <c r="T38" s="1023">
        <v>5.9934500000000002</v>
      </c>
      <c r="U38" s="1023">
        <v>21.29</v>
      </c>
      <c r="V38" s="1023">
        <v>30.466714</v>
      </c>
      <c r="W38" s="1032">
        <v>0</v>
      </c>
      <c r="X38" s="1032">
        <v>0</v>
      </c>
      <c r="Y38" s="1037">
        <v>12.32</v>
      </c>
      <c r="Z38" s="1037">
        <v>9.3674479999999996</v>
      </c>
      <c r="AA38" s="1025">
        <v>0</v>
      </c>
      <c r="AB38" s="1025">
        <v>0</v>
      </c>
      <c r="AC38" s="1023">
        <v>0</v>
      </c>
      <c r="AD38" s="1023">
        <v>0</v>
      </c>
      <c r="AE38" s="1038">
        <v>0</v>
      </c>
      <c r="AF38" s="1038">
        <v>0</v>
      </c>
      <c r="AG38" s="1038">
        <v>47.56</v>
      </c>
      <c r="AH38" s="1038">
        <v>64.780001999999996</v>
      </c>
      <c r="AI38" s="1047">
        <v>0</v>
      </c>
      <c r="AJ38" s="1047">
        <v>0</v>
      </c>
      <c r="AK38" s="1015">
        <v>11.59</v>
      </c>
      <c r="AL38" s="1015">
        <v>15.786379999999999</v>
      </c>
      <c r="AM38" s="1015">
        <v>0</v>
      </c>
      <c r="AN38" s="1015">
        <v>0</v>
      </c>
      <c r="AO38" s="1015">
        <v>14.89</v>
      </c>
      <c r="AP38" s="1015">
        <v>11.918108</v>
      </c>
      <c r="AQ38" s="1052">
        <v>2.5</v>
      </c>
      <c r="AR38" s="1052">
        <v>3.8274330000000001</v>
      </c>
      <c r="AS38" s="1052">
        <v>28.46</v>
      </c>
      <c r="AT38" s="1052">
        <v>44.490335999999999</v>
      </c>
      <c r="AU38" s="1015">
        <v>0</v>
      </c>
      <c r="AV38" s="1015">
        <v>0</v>
      </c>
      <c r="AW38" s="1068">
        <v>46.08</v>
      </c>
      <c r="AX38" s="1068">
        <v>50.565657999999999</v>
      </c>
      <c r="AY38" s="1052">
        <v>88.39</v>
      </c>
      <c r="AZ38" s="1052">
        <v>105.18859999999999</v>
      </c>
      <c r="BA38" s="1015">
        <v>58.46</v>
      </c>
      <c r="BB38" s="1015">
        <v>42.042510999999998</v>
      </c>
      <c r="BC38" s="1066">
        <v>0</v>
      </c>
      <c r="BD38" s="1066">
        <v>0</v>
      </c>
      <c r="BE38" s="1015">
        <v>52.7</v>
      </c>
      <c r="BF38" s="1015">
        <v>40.332939000000003</v>
      </c>
      <c r="BG38" s="1015">
        <v>35.71</v>
      </c>
      <c r="BH38" s="1015">
        <v>28.515201000000001</v>
      </c>
      <c r="BI38" s="1015">
        <v>13.84</v>
      </c>
      <c r="BJ38" s="1015">
        <v>10.288144000000001</v>
      </c>
      <c r="BK38" s="1015">
        <v>0</v>
      </c>
      <c r="BL38" s="1015">
        <v>0</v>
      </c>
      <c r="BM38" s="1015">
        <v>0</v>
      </c>
      <c r="BN38" s="1015">
        <v>0</v>
      </c>
      <c r="BO38" s="1015">
        <v>4.42</v>
      </c>
      <c r="BP38" s="1015">
        <v>1.768</v>
      </c>
      <c r="BQ38" s="1015">
        <v>128.82</v>
      </c>
      <c r="BR38" s="1015">
        <v>91.448231000000007</v>
      </c>
      <c r="BS38" s="1015">
        <v>138.12</v>
      </c>
      <c r="BT38" s="1015">
        <v>101.791972</v>
      </c>
      <c r="BU38" s="1015">
        <v>73.36</v>
      </c>
      <c r="BV38" s="1015">
        <v>53.313417000000001</v>
      </c>
      <c r="BW38" s="1015">
        <v>190.84</v>
      </c>
      <c r="BX38" s="1015">
        <v>139.28071599999998</v>
      </c>
      <c r="BY38" s="1015">
        <v>32.130000000000003</v>
      </c>
      <c r="BZ38" s="1015">
        <v>24.40184</v>
      </c>
      <c r="CA38" s="1015">
        <v>338.65</v>
      </c>
      <c r="CB38" s="1015">
        <v>263.80425299999996</v>
      </c>
      <c r="CC38" s="1015">
        <v>115.75</v>
      </c>
      <c r="CD38" s="1015">
        <v>87.942692000000008</v>
      </c>
      <c r="CE38" s="1015">
        <v>20.7</v>
      </c>
      <c r="CF38" s="1015">
        <v>31.434690000000003</v>
      </c>
      <c r="CG38" s="1015">
        <v>2.16</v>
      </c>
      <c r="CH38" s="1015">
        <v>3.1635400000000002</v>
      </c>
      <c r="CI38" s="1015">
        <v>0</v>
      </c>
      <c r="CJ38" s="1015">
        <v>0</v>
      </c>
      <c r="CK38" s="1015">
        <v>2.72</v>
      </c>
      <c r="CL38" s="1015">
        <v>2.3204250000000002</v>
      </c>
      <c r="CM38" s="1015">
        <v>40</v>
      </c>
      <c r="CN38" s="1015">
        <v>370</v>
      </c>
    </row>
    <row r="39" spans="1:92">
      <c r="A39" s="1015" t="s">
        <v>51</v>
      </c>
      <c r="B39" s="1016" t="s">
        <v>307</v>
      </c>
      <c r="C39" s="1028">
        <v>7516.643</v>
      </c>
      <c r="D39" s="1028">
        <v>8787.0244660000008</v>
      </c>
      <c r="E39" s="1028">
        <v>6429.8810000000003</v>
      </c>
      <c r="F39" s="1028">
        <v>7528.3572260000001</v>
      </c>
      <c r="G39" s="1025">
        <v>6247.6109999999999</v>
      </c>
      <c r="H39" s="1025">
        <v>7061.6397889999998</v>
      </c>
      <c r="I39" s="1025">
        <v>7657.308</v>
      </c>
      <c r="J39" s="1025">
        <v>8960.9678010000007</v>
      </c>
      <c r="K39" s="1028">
        <v>6233.0450000000001</v>
      </c>
      <c r="L39" s="1028">
        <v>6804.1323899999998</v>
      </c>
      <c r="M39" s="1028">
        <v>7632.35</v>
      </c>
      <c r="N39" s="1028">
        <v>9372.2380740000008</v>
      </c>
      <c r="O39" s="1025">
        <v>6277.2860000000001</v>
      </c>
      <c r="P39" s="1025">
        <v>7021.3594869999997</v>
      </c>
      <c r="Q39" s="1025">
        <v>6716.5320000000002</v>
      </c>
      <c r="R39" s="1025">
        <v>7954.3480920000002</v>
      </c>
      <c r="S39" s="1025">
        <v>6364.1019999999999</v>
      </c>
      <c r="T39" s="1025">
        <v>7448.6801169999999</v>
      </c>
      <c r="U39" s="1028">
        <v>5906.0550000000003</v>
      </c>
      <c r="V39" s="1028">
        <v>7293.1583330000003</v>
      </c>
      <c r="W39" s="1028">
        <v>7210</v>
      </c>
      <c r="X39" s="1028">
        <v>8448</v>
      </c>
      <c r="Y39" s="1037">
        <v>5963.8209999999999</v>
      </c>
      <c r="Z39" s="1037">
        <v>6641.5817850000003</v>
      </c>
      <c r="AA39" s="1025">
        <v>6776.9459999999999</v>
      </c>
      <c r="AB39" s="1025">
        <v>7926.7388469999996</v>
      </c>
      <c r="AC39" s="1023">
        <v>5659.9740000000002</v>
      </c>
      <c r="AD39" s="1023">
        <v>7828.310716</v>
      </c>
      <c r="AE39" s="1038">
        <v>5729.9870000000001</v>
      </c>
      <c r="AF39" s="1038">
        <v>6651.317556</v>
      </c>
      <c r="AG39" s="1038">
        <v>7852.5870000000004</v>
      </c>
      <c r="AH39" s="1038">
        <v>10333.924197</v>
      </c>
      <c r="AI39" s="1047">
        <v>7841.75</v>
      </c>
      <c r="AJ39" s="1047">
        <v>9713.7104569999992</v>
      </c>
      <c r="AK39" s="1015">
        <v>6350.55</v>
      </c>
      <c r="AL39" s="1015">
        <v>8785.5490360000003</v>
      </c>
      <c r="AM39" s="1015">
        <v>2217.5369999999998</v>
      </c>
      <c r="AN39" s="1015">
        <v>4679.8437459999996</v>
      </c>
      <c r="AO39" s="1015">
        <v>3899.5279999999998</v>
      </c>
      <c r="AP39" s="1015">
        <v>6204.265856</v>
      </c>
      <c r="AQ39" s="1052">
        <v>5445.5020000000004</v>
      </c>
      <c r="AR39" s="1052">
        <v>7465.2455280000004</v>
      </c>
      <c r="AS39" s="1052">
        <v>4971.9319999999998</v>
      </c>
      <c r="AT39" s="1052">
        <v>6304.3873430000003</v>
      </c>
      <c r="AU39" s="1015">
        <v>6420.5039999999999</v>
      </c>
      <c r="AV39" s="1015">
        <v>7359.2915869999997</v>
      </c>
      <c r="AW39" s="1068">
        <v>3149.6840000000002</v>
      </c>
      <c r="AX39" s="1068">
        <v>5381.293619</v>
      </c>
      <c r="AY39" s="1052">
        <v>1664.1369999999999</v>
      </c>
      <c r="AZ39" s="1052">
        <v>3965.1764360000002</v>
      </c>
      <c r="BA39" s="1015">
        <v>1365.6189999999999</v>
      </c>
      <c r="BB39" s="1015">
        <v>2517.7008860000001</v>
      </c>
      <c r="BC39" s="1052">
        <v>4635.0789999999997</v>
      </c>
      <c r="BD39" s="1052">
        <v>3581.2344469999998</v>
      </c>
      <c r="BE39" s="1015">
        <v>4796.2359999999999</v>
      </c>
      <c r="BF39" s="1015">
        <v>6654.1220780000003</v>
      </c>
      <c r="BG39" s="1015">
        <v>5154.3609999999999</v>
      </c>
      <c r="BH39" s="1015">
        <v>6086.018462</v>
      </c>
      <c r="BI39" s="1015">
        <v>5892.08</v>
      </c>
      <c r="BJ39" s="1015">
        <v>6449.1314659999998</v>
      </c>
      <c r="BK39" s="1015">
        <v>6791.8950000000004</v>
      </c>
      <c r="BL39" s="1015">
        <v>5632.7810710000003</v>
      </c>
      <c r="BM39" s="1015">
        <v>9917.5759999999991</v>
      </c>
      <c r="BN39" s="1015">
        <v>8216.919460000001</v>
      </c>
      <c r="BO39" s="1015">
        <v>6874.8869999999997</v>
      </c>
      <c r="BP39" s="1015">
        <v>6192.9613330000002</v>
      </c>
      <c r="BQ39" s="1015">
        <v>4852.7669999999998</v>
      </c>
      <c r="BR39" s="1015">
        <v>5815.6155079999999</v>
      </c>
      <c r="BS39" s="1015">
        <v>5544.494999999999</v>
      </c>
      <c r="BT39" s="1015">
        <v>5923.3664460000009</v>
      </c>
      <c r="BU39" s="1015">
        <v>5679.26</v>
      </c>
      <c r="BV39" s="1015">
        <v>7112.3502699999999</v>
      </c>
      <c r="BW39" s="1015">
        <v>5140.634</v>
      </c>
      <c r="BX39" s="1015">
        <v>6328.3537409999999</v>
      </c>
      <c r="BY39" s="1015">
        <v>4597.7129999999997</v>
      </c>
      <c r="BZ39" s="1015">
        <v>6714.3772209999997</v>
      </c>
      <c r="CA39" s="1015">
        <v>4082.4690000000001</v>
      </c>
      <c r="CB39" s="1015">
        <v>5717.9820840000002</v>
      </c>
      <c r="CC39" s="1015">
        <v>4885.3270000000002</v>
      </c>
      <c r="CD39" s="1015">
        <v>7216.1629419999999</v>
      </c>
      <c r="CE39" s="1015">
        <v>4078.768</v>
      </c>
      <c r="CF39" s="1015">
        <v>7133.1335779999999</v>
      </c>
      <c r="CG39" s="1015">
        <v>8176.4629999999997</v>
      </c>
      <c r="CH39" s="1015">
        <v>10997.307042</v>
      </c>
      <c r="CI39" s="1015">
        <v>7182.9129999999996</v>
      </c>
      <c r="CJ39" s="1015">
        <v>10249.718596999999</v>
      </c>
      <c r="CK39" s="1015">
        <v>6196.5990000000002</v>
      </c>
      <c r="CL39" s="1015">
        <v>9796.4790919999996</v>
      </c>
      <c r="CM39" s="1015">
        <v>6502</v>
      </c>
      <c r="CN39" s="1015">
        <v>12732</v>
      </c>
    </row>
    <row r="40" spans="1:92">
      <c r="A40" s="1015" t="s">
        <v>51</v>
      </c>
      <c r="B40" s="1016" t="s">
        <v>308</v>
      </c>
      <c r="C40" s="1028">
        <v>8584.5</v>
      </c>
      <c r="D40" s="1028">
        <v>12937.225200000001</v>
      </c>
      <c r="E40" s="1028">
        <v>9789.6460000000006</v>
      </c>
      <c r="F40" s="1028">
        <v>14917.702957</v>
      </c>
      <c r="G40" s="1025">
        <v>9562.5470000000005</v>
      </c>
      <c r="H40" s="1025">
        <v>14613.912447000001</v>
      </c>
      <c r="I40" s="1025">
        <v>10937.496999999999</v>
      </c>
      <c r="J40" s="1025">
        <v>16761.889526999999</v>
      </c>
      <c r="K40" s="1028">
        <v>9669.4770000000008</v>
      </c>
      <c r="L40" s="1028">
        <v>15246.20565</v>
      </c>
      <c r="M40" s="1028">
        <v>8953.7180000000008</v>
      </c>
      <c r="N40" s="1028">
        <v>14555.990239000001</v>
      </c>
      <c r="O40" s="1025">
        <v>8379.3140000000003</v>
      </c>
      <c r="P40" s="1025">
        <v>13082.171036</v>
      </c>
      <c r="Q40" s="1025">
        <v>8553.0450000000001</v>
      </c>
      <c r="R40" s="1025">
        <v>14978.769305</v>
      </c>
      <c r="S40" s="1025">
        <v>9960.7759999999998</v>
      </c>
      <c r="T40" s="1025">
        <v>16702.354625</v>
      </c>
      <c r="U40" s="1028">
        <v>9673.7669999999998</v>
      </c>
      <c r="V40" s="1028">
        <v>16166.490413</v>
      </c>
      <c r="W40" s="1028">
        <v>9510</v>
      </c>
      <c r="X40" s="1028">
        <v>16460</v>
      </c>
      <c r="Y40" s="1037">
        <v>9894.4320000000007</v>
      </c>
      <c r="Z40" s="1037">
        <v>16339.765197999999</v>
      </c>
      <c r="AA40" s="1025">
        <v>10347.493</v>
      </c>
      <c r="AB40" s="1025">
        <v>18038.009295</v>
      </c>
      <c r="AC40" s="1023">
        <v>9950.018</v>
      </c>
      <c r="AD40" s="1023">
        <v>17254.633451999998</v>
      </c>
      <c r="AE40" s="1038">
        <v>9929.3070000000007</v>
      </c>
      <c r="AF40" s="1038">
        <v>15852.570471999999</v>
      </c>
      <c r="AG40" s="1038">
        <v>12083.063</v>
      </c>
      <c r="AH40" s="1038">
        <v>19813.602881999999</v>
      </c>
      <c r="AI40" s="1047">
        <v>7765.2430000000004</v>
      </c>
      <c r="AJ40" s="1047">
        <v>13151.49494</v>
      </c>
      <c r="AK40" s="1015">
        <v>9049.9930000000004</v>
      </c>
      <c r="AL40" s="1015">
        <v>14956.958133</v>
      </c>
      <c r="AM40" s="1015">
        <v>9171.2330000000002</v>
      </c>
      <c r="AN40" s="1015">
        <v>16124.540621</v>
      </c>
      <c r="AO40" s="1015">
        <v>9899.6919999999991</v>
      </c>
      <c r="AP40" s="1015">
        <v>16734.097430999998</v>
      </c>
      <c r="AQ40" s="1052">
        <v>10185.034</v>
      </c>
      <c r="AR40" s="1052">
        <v>16709.348247000002</v>
      </c>
      <c r="AS40" s="1052">
        <v>10492.725</v>
      </c>
      <c r="AT40" s="1052">
        <v>17483.136068</v>
      </c>
      <c r="AU40" s="1015">
        <v>9076.7080000000005</v>
      </c>
      <c r="AV40" s="1015">
        <v>16082.222012</v>
      </c>
      <c r="AW40" s="1068">
        <v>8753.8259999999991</v>
      </c>
      <c r="AX40" s="1068">
        <v>14636.300811999999</v>
      </c>
      <c r="AY40" s="1052">
        <v>11056.465</v>
      </c>
      <c r="AZ40" s="1052">
        <v>17986.276485999999</v>
      </c>
      <c r="BA40" s="1015">
        <v>6897.3959999999997</v>
      </c>
      <c r="BB40" s="1015">
        <v>10928.730938000001</v>
      </c>
      <c r="BC40" s="1052">
        <v>7918.9620000000004</v>
      </c>
      <c r="BD40" s="1052">
        <v>12376.081203</v>
      </c>
      <c r="BE40" s="1015">
        <v>12981.575999999999</v>
      </c>
      <c r="BF40" s="1015">
        <v>20304.708879000002</v>
      </c>
      <c r="BG40" s="1015">
        <v>11189.700999999999</v>
      </c>
      <c r="BH40" s="1015">
        <v>17073.333932000001</v>
      </c>
      <c r="BI40" s="1015">
        <v>10223.331</v>
      </c>
      <c r="BJ40" s="1015">
        <v>15047.064122</v>
      </c>
      <c r="BK40" s="1015">
        <v>10656.195</v>
      </c>
      <c r="BL40" s="1015">
        <v>15804.025088</v>
      </c>
      <c r="BM40" s="1015">
        <v>7988.6529999999993</v>
      </c>
      <c r="BN40" s="1015">
        <v>12008.501767</v>
      </c>
      <c r="BO40" s="1015">
        <v>8718.4509999999991</v>
      </c>
      <c r="BP40" s="1015">
        <v>13400.261179000001</v>
      </c>
      <c r="BQ40" s="1015">
        <v>10749.148999999999</v>
      </c>
      <c r="BR40" s="1015">
        <v>16387.054923</v>
      </c>
      <c r="BS40" s="1015">
        <v>7396.5029999999997</v>
      </c>
      <c r="BT40" s="1015">
        <v>11270.919357999999</v>
      </c>
      <c r="BU40" s="1015">
        <v>9877.9079999999994</v>
      </c>
      <c r="BV40" s="1015">
        <v>15006.94159</v>
      </c>
      <c r="BW40" s="1015">
        <v>11866.518</v>
      </c>
      <c r="BX40" s="1015">
        <v>18034.309033000001</v>
      </c>
      <c r="BY40" s="1015">
        <v>10345.562</v>
      </c>
      <c r="BZ40" s="1015">
        <v>16327.538028000001</v>
      </c>
      <c r="CA40" s="1015">
        <v>8986.6299999999992</v>
      </c>
      <c r="CB40" s="1015">
        <v>14040.916205000001</v>
      </c>
      <c r="CC40" s="1015">
        <v>9642.6010000000006</v>
      </c>
      <c r="CD40" s="1015">
        <v>16157.582390000001</v>
      </c>
      <c r="CE40" s="1015">
        <v>10636.223</v>
      </c>
      <c r="CF40" s="1015">
        <v>19258.114949000003</v>
      </c>
      <c r="CG40" s="1015">
        <v>11409.468000000001</v>
      </c>
      <c r="CH40" s="1015">
        <v>19120.010074999998</v>
      </c>
      <c r="CI40" s="1015">
        <v>11425.866</v>
      </c>
      <c r="CJ40" s="1015">
        <v>20231.205396000001</v>
      </c>
      <c r="CK40" s="1015">
        <v>9550.3130000000001</v>
      </c>
      <c r="CL40" s="1015">
        <v>16666.619207</v>
      </c>
      <c r="CM40" s="1015">
        <v>10576</v>
      </c>
      <c r="CN40" s="1015">
        <v>18682</v>
      </c>
    </row>
    <row r="41" spans="1:92">
      <c r="A41" s="1015" t="s">
        <v>51</v>
      </c>
      <c r="B41" s="1016" t="s">
        <v>518</v>
      </c>
      <c r="C41" s="1023">
        <v>2667.6849999999999</v>
      </c>
      <c r="D41" s="1023">
        <v>3178.362376</v>
      </c>
      <c r="E41" s="1023"/>
      <c r="F41" s="1023"/>
      <c r="G41" s="1023">
        <v>1616.221</v>
      </c>
      <c r="H41" s="1023">
        <v>2110.082586</v>
      </c>
      <c r="I41" s="1023">
        <v>2971.1669999999999</v>
      </c>
      <c r="J41" s="1023">
        <v>3654.933865</v>
      </c>
      <c r="K41" s="1023">
        <v>1524.0530000000001</v>
      </c>
      <c r="L41" s="1023">
        <v>1723.175714</v>
      </c>
      <c r="M41" s="1023">
        <v>2068.6979999999999</v>
      </c>
      <c r="N41" s="1023">
        <v>2609.3507760000002</v>
      </c>
      <c r="O41" s="1023">
        <v>2116.683</v>
      </c>
      <c r="P41" s="1023">
        <v>2081.2820320000001</v>
      </c>
      <c r="Q41" s="1023">
        <v>1785.9110000000001</v>
      </c>
      <c r="R41" s="1023">
        <v>2199.9552189999999</v>
      </c>
      <c r="S41" s="1023">
        <v>3725.665</v>
      </c>
      <c r="T41" s="1023">
        <v>5178.2135109999999</v>
      </c>
      <c r="U41" s="1023">
        <v>1913.5119999999999</v>
      </c>
      <c r="V41" s="1023">
        <v>2269.5597790000002</v>
      </c>
      <c r="W41" s="1032">
        <v>2692</v>
      </c>
      <c r="X41" s="1032">
        <v>3905</v>
      </c>
      <c r="Y41" s="1037">
        <v>2898.2339999999999</v>
      </c>
      <c r="Z41" s="1037">
        <v>4113.9834289999999</v>
      </c>
      <c r="AA41" s="1025">
        <v>2914.48</v>
      </c>
      <c r="AB41" s="1025">
        <v>3795.174806</v>
      </c>
      <c r="AC41" s="1023">
        <v>1869.915</v>
      </c>
      <c r="AD41" s="1023">
        <v>2662.8659849999999</v>
      </c>
      <c r="AE41" s="1038">
        <v>2675.9490000000001</v>
      </c>
      <c r="AF41" s="1038">
        <v>3466.5118950000001</v>
      </c>
      <c r="AG41" s="1038">
        <v>2919.0880000000002</v>
      </c>
      <c r="AH41" s="1038">
        <v>4157.205285</v>
      </c>
      <c r="AI41" s="1047">
        <v>2174.0149999999999</v>
      </c>
      <c r="AJ41" s="1047">
        <v>2898.6454829999998</v>
      </c>
      <c r="AK41" s="1015">
        <v>2842.3560000000002</v>
      </c>
      <c r="AL41" s="1015">
        <v>3677.4065179999998</v>
      </c>
      <c r="AM41" s="1015">
        <v>3582.12</v>
      </c>
      <c r="AN41" s="1015">
        <v>5622.0854650000001</v>
      </c>
      <c r="AO41" s="1015">
        <v>3464.5250000000001</v>
      </c>
      <c r="AP41" s="1015">
        <v>4909.3858899999996</v>
      </c>
      <c r="AQ41" s="1052">
        <v>3578.482</v>
      </c>
      <c r="AR41" s="1052">
        <v>5354.8809890000002</v>
      </c>
      <c r="AS41" s="1052">
        <v>3394.4</v>
      </c>
      <c r="AT41" s="1052">
        <v>4998.1391009999998</v>
      </c>
      <c r="AU41" s="1015">
        <v>3050.7910000000002</v>
      </c>
      <c r="AV41" s="1015">
        <v>4682.0190510000002</v>
      </c>
      <c r="AW41" s="1068">
        <v>2372.5819999999999</v>
      </c>
      <c r="AX41" s="1068">
        <v>3232.1251069999998</v>
      </c>
      <c r="AY41" s="1052">
        <v>3349.1410000000001</v>
      </c>
      <c r="AZ41" s="1052">
        <v>4529.1746839999996</v>
      </c>
      <c r="BA41" s="1015">
        <v>5253.7560000000003</v>
      </c>
      <c r="BB41" s="1015">
        <v>7658.1191090000002</v>
      </c>
      <c r="BC41" s="1052">
        <v>3031.866</v>
      </c>
      <c r="BD41" s="1052">
        <v>4054.789374</v>
      </c>
      <c r="BE41" s="1015">
        <v>12981.575999999999</v>
      </c>
      <c r="BF41" s="1015">
        <v>20304.708879000002</v>
      </c>
      <c r="BG41" s="1015">
        <v>11189.700999999999</v>
      </c>
      <c r="BH41" s="1015">
        <v>17073.333932000001</v>
      </c>
      <c r="BI41" s="1015">
        <v>10223.331</v>
      </c>
      <c r="BJ41" s="1015">
        <v>15047.064122</v>
      </c>
      <c r="BK41" s="1015">
        <v>10656.195</v>
      </c>
      <c r="BL41" s="1015">
        <v>15804.025088</v>
      </c>
      <c r="BM41" s="1015">
        <v>7988.6529999999993</v>
      </c>
      <c r="BN41" s="1015">
        <v>12008.501767</v>
      </c>
      <c r="BO41" s="1015">
        <v>8718.4509999999991</v>
      </c>
      <c r="BP41" s="1015">
        <v>13400.261179000001</v>
      </c>
      <c r="BQ41" s="1015">
        <v>10753.744000000001</v>
      </c>
      <c r="BR41" s="1015">
        <v>16396.123174</v>
      </c>
      <c r="BS41" s="1015">
        <v>7396.5029999999997</v>
      </c>
      <c r="BT41" s="1015">
        <v>11270.919357999999</v>
      </c>
      <c r="BU41" s="1015">
        <v>9877.9079999999994</v>
      </c>
      <c r="BV41" s="1015">
        <v>15006.94159</v>
      </c>
      <c r="BW41" s="1015">
        <v>11866.518</v>
      </c>
      <c r="BX41" s="1015">
        <v>18034.309033000001</v>
      </c>
      <c r="BY41" s="1015">
        <v>10345.562</v>
      </c>
      <c r="BZ41" s="1015">
        <v>16327.538028000001</v>
      </c>
      <c r="CA41" s="1015">
        <v>8986.6299999999992</v>
      </c>
      <c r="CB41" s="1015">
        <v>14040.916205000001</v>
      </c>
      <c r="CC41" s="1015">
        <v>9642.6010000000006</v>
      </c>
      <c r="CD41" s="1015">
        <v>16157.582390000001</v>
      </c>
      <c r="CE41" s="1015">
        <v>10636.223</v>
      </c>
      <c r="CF41" s="1015">
        <v>19258.114949000003</v>
      </c>
      <c r="CG41" s="1015">
        <v>11389.508</v>
      </c>
      <c r="CH41" s="1015">
        <v>19088.762401</v>
      </c>
      <c r="CI41" s="1015">
        <v>11425.866</v>
      </c>
      <c r="CJ41" s="1015">
        <v>20231.205396000001</v>
      </c>
      <c r="CK41" s="1015">
        <v>9550.3130000000001</v>
      </c>
      <c r="CL41" s="1015">
        <v>16666.619207</v>
      </c>
      <c r="CM41" s="1015">
        <v>10576</v>
      </c>
      <c r="CN41" s="1015">
        <v>18682</v>
      </c>
    </row>
    <row r="42" spans="1:92" ht="15">
      <c r="A42" s="1015" t="s">
        <v>51</v>
      </c>
      <c r="B42" s="1016" t="s">
        <v>529</v>
      </c>
      <c r="C42" s="1023">
        <v>0</v>
      </c>
      <c r="D42" s="1023">
        <v>0</v>
      </c>
      <c r="E42" s="1023"/>
      <c r="F42" s="1023"/>
      <c r="G42" s="1023"/>
      <c r="H42" s="1023"/>
      <c r="I42" s="1023">
        <v>13.33</v>
      </c>
      <c r="J42" s="1023">
        <v>69.840081999999995</v>
      </c>
      <c r="K42" s="1023">
        <v>-6.46</v>
      </c>
      <c r="L42" s="1023">
        <v>-33.845981999999999</v>
      </c>
      <c r="M42" s="1023">
        <v>0</v>
      </c>
      <c r="N42" s="1023">
        <v>0</v>
      </c>
      <c r="O42" s="1023"/>
      <c r="P42" s="1023"/>
      <c r="Q42" s="1023">
        <v>0</v>
      </c>
      <c r="R42" s="1023">
        <v>0</v>
      </c>
      <c r="S42" s="1023"/>
      <c r="T42" s="1023"/>
      <c r="U42" s="1023">
        <v>0</v>
      </c>
      <c r="V42" s="1023">
        <v>0</v>
      </c>
      <c r="W42" s="1032">
        <v>0</v>
      </c>
      <c r="X42" s="1032">
        <v>0</v>
      </c>
      <c r="Y42" s="1037">
        <v>25.77</v>
      </c>
      <c r="Z42" s="1037">
        <v>148.34112200000001</v>
      </c>
      <c r="AA42" s="1025">
        <v>0</v>
      </c>
      <c r="AB42" s="1025">
        <v>0</v>
      </c>
      <c r="AC42" s="1023">
        <v>6.33</v>
      </c>
      <c r="AD42" s="1023">
        <v>37.598047999999999</v>
      </c>
      <c r="AE42" s="1038">
        <v>0</v>
      </c>
      <c r="AF42" s="1038">
        <v>0</v>
      </c>
      <c r="AG42" s="1038">
        <v>0</v>
      </c>
      <c r="AH42" s="1038">
        <v>0</v>
      </c>
      <c r="AI42" s="1047">
        <v>0</v>
      </c>
      <c r="AJ42" s="1047">
        <v>0</v>
      </c>
      <c r="AK42" s="1015">
        <v>9.3650000000000002</v>
      </c>
      <c r="AL42" s="1015">
        <v>55.624915999999999</v>
      </c>
      <c r="AM42" s="1015">
        <v>0</v>
      </c>
      <c r="AN42" s="1015">
        <v>0</v>
      </c>
      <c r="AO42" s="1015">
        <v>0</v>
      </c>
      <c r="AP42" s="1015">
        <v>0</v>
      </c>
      <c r="AQ42" s="1052">
        <v>0</v>
      </c>
      <c r="AR42" s="1052">
        <v>0</v>
      </c>
      <c r="AS42" s="1052">
        <v>0</v>
      </c>
      <c r="AT42" s="1052">
        <v>0</v>
      </c>
      <c r="AW42" s="1068">
        <v>0</v>
      </c>
      <c r="AX42" s="1068">
        <v>0</v>
      </c>
      <c r="AY42" s="1052">
        <v>-6.7450000000000001</v>
      </c>
      <c r="AZ42" s="1052">
        <v>-35.339185999999998</v>
      </c>
      <c r="BA42" s="1015">
        <v>4.915</v>
      </c>
      <c r="BB42" s="1015">
        <v>29.968451000000002</v>
      </c>
      <c r="BC42" s="1066">
        <v>0</v>
      </c>
      <c r="BD42" s="1066">
        <v>0</v>
      </c>
      <c r="BE42" s="1015">
        <v>12.03</v>
      </c>
      <c r="BF42" s="1015">
        <v>73.351060000000004</v>
      </c>
      <c r="BG42" s="1015">
        <v>0</v>
      </c>
      <c r="BH42" s="1015">
        <v>0</v>
      </c>
      <c r="BI42" s="1015">
        <v>0</v>
      </c>
      <c r="BJ42" s="1015">
        <v>0</v>
      </c>
      <c r="BK42" s="1015">
        <v>10.91</v>
      </c>
      <c r="BL42" s="1015">
        <v>67.121256000000002</v>
      </c>
      <c r="BM42" s="1015">
        <v>0</v>
      </c>
      <c r="BN42" s="1015">
        <v>0</v>
      </c>
      <c r="BO42" s="1015">
        <v>0</v>
      </c>
      <c r="BP42" s="1015">
        <v>0</v>
      </c>
      <c r="BQ42" s="1015">
        <v>0</v>
      </c>
      <c r="BR42" s="1015">
        <v>0</v>
      </c>
      <c r="BS42" s="1015">
        <v>0</v>
      </c>
      <c r="BT42" s="1015">
        <v>0</v>
      </c>
      <c r="BU42" s="1015">
        <v>26.99</v>
      </c>
      <c r="BV42" s="1015">
        <v>164.567342</v>
      </c>
      <c r="BW42" s="1015">
        <v>0</v>
      </c>
      <c r="BX42" s="1015">
        <v>0</v>
      </c>
      <c r="BY42" s="1015">
        <v>0</v>
      </c>
      <c r="BZ42" s="1015">
        <v>0</v>
      </c>
      <c r="CA42" s="1015">
        <v>0</v>
      </c>
      <c r="CB42" s="1015">
        <v>0</v>
      </c>
      <c r="CC42" s="1015">
        <v>0</v>
      </c>
      <c r="CD42" s="1015">
        <v>0</v>
      </c>
      <c r="CE42" s="1015">
        <v>0</v>
      </c>
      <c r="CF42" s="1015">
        <v>0</v>
      </c>
      <c r="CG42" s="1015">
        <v>0</v>
      </c>
      <c r="CH42" s="1015">
        <v>0</v>
      </c>
      <c r="CI42" s="1015">
        <v>0</v>
      </c>
      <c r="CJ42" s="1015">
        <v>0</v>
      </c>
      <c r="CK42" s="1015">
        <v>19.87</v>
      </c>
      <c r="CL42" s="1015">
        <v>121.15424499999999</v>
      </c>
    </row>
    <row r="43" spans="1:92" ht="15">
      <c r="A43" s="1015" t="s">
        <v>51</v>
      </c>
      <c r="B43" s="1016" t="s">
        <v>519</v>
      </c>
      <c r="C43" s="1023">
        <v>0</v>
      </c>
      <c r="D43" s="1023">
        <v>0</v>
      </c>
      <c r="E43" s="1023"/>
      <c r="F43" s="1023"/>
      <c r="G43" s="1023"/>
      <c r="H43" s="1023"/>
      <c r="I43" s="1023">
        <v>13.33</v>
      </c>
      <c r="J43" s="1023">
        <v>69.840081999999995</v>
      </c>
      <c r="K43" s="1023">
        <v>-6.46</v>
      </c>
      <c r="L43" s="1023">
        <v>-33.845981999999999</v>
      </c>
      <c r="M43" s="1023">
        <v>0</v>
      </c>
      <c r="N43" s="1023">
        <v>0</v>
      </c>
      <c r="O43" s="1023"/>
      <c r="P43" s="1023"/>
      <c r="Q43" s="1023">
        <v>0</v>
      </c>
      <c r="R43" s="1023">
        <v>0</v>
      </c>
      <c r="S43" s="1023"/>
      <c r="T43" s="1023"/>
      <c r="U43" s="1023">
        <v>0</v>
      </c>
      <c r="V43" s="1023">
        <v>0</v>
      </c>
      <c r="W43" s="1032">
        <v>0</v>
      </c>
      <c r="X43" s="1032">
        <v>0</v>
      </c>
      <c r="Y43" s="1037">
        <v>25.77</v>
      </c>
      <c r="Z43" s="1037">
        <v>148.34112200000001</v>
      </c>
      <c r="AA43" s="1025">
        <v>0</v>
      </c>
      <c r="AB43" s="1025">
        <v>0</v>
      </c>
      <c r="AC43" s="1023">
        <v>6.33</v>
      </c>
      <c r="AD43" s="1023">
        <v>37.598047999999999</v>
      </c>
      <c r="AE43" s="1038">
        <v>0</v>
      </c>
      <c r="AF43" s="1038">
        <v>0</v>
      </c>
      <c r="AG43" s="1038">
        <v>0</v>
      </c>
      <c r="AH43" s="1038">
        <v>0</v>
      </c>
      <c r="AI43" s="1047">
        <v>0</v>
      </c>
      <c r="AJ43" s="1047">
        <v>0</v>
      </c>
      <c r="AK43" s="1015">
        <v>9.3650000000000002</v>
      </c>
      <c r="AL43" s="1015">
        <v>55.624915999999999</v>
      </c>
      <c r="AM43" s="1015">
        <v>0</v>
      </c>
      <c r="AN43" s="1015">
        <v>0</v>
      </c>
      <c r="AO43" s="1015">
        <v>0</v>
      </c>
      <c r="AP43" s="1015">
        <v>0</v>
      </c>
      <c r="AQ43" s="1052">
        <v>0</v>
      </c>
      <c r="AR43" s="1052">
        <v>0</v>
      </c>
      <c r="AS43" s="1052">
        <v>0</v>
      </c>
      <c r="AT43" s="1052">
        <v>0</v>
      </c>
      <c r="AW43" s="1068">
        <v>0</v>
      </c>
      <c r="AX43" s="1068">
        <v>0</v>
      </c>
      <c r="AY43" s="1052">
        <v>-6.7450000000000001</v>
      </c>
      <c r="AZ43" s="1052">
        <v>-35.339185999999998</v>
      </c>
      <c r="BA43" s="1015">
        <v>4.915</v>
      </c>
      <c r="BB43" s="1015">
        <v>29.968451000000002</v>
      </c>
      <c r="BC43" s="1066">
        <v>0</v>
      </c>
      <c r="BD43" s="1066">
        <v>0</v>
      </c>
      <c r="BE43" s="1015">
        <v>12.03</v>
      </c>
      <c r="BF43" s="1015">
        <v>73.351060000000004</v>
      </c>
      <c r="BG43" s="1015">
        <v>0</v>
      </c>
      <c r="BH43" s="1015">
        <v>0</v>
      </c>
      <c r="BI43" s="1015">
        <v>0</v>
      </c>
      <c r="BJ43" s="1015">
        <v>0</v>
      </c>
      <c r="BK43" s="1015">
        <v>10.91</v>
      </c>
      <c r="BL43" s="1015">
        <v>67.121256000000002</v>
      </c>
      <c r="BM43" s="1015">
        <v>0</v>
      </c>
      <c r="BN43" s="1015">
        <v>0</v>
      </c>
      <c r="BO43" s="1015">
        <v>0</v>
      </c>
      <c r="BP43" s="1015">
        <v>0</v>
      </c>
      <c r="BQ43" s="1015">
        <v>0</v>
      </c>
      <c r="BR43" s="1015">
        <v>0</v>
      </c>
      <c r="BS43" s="1015">
        <v>0</v>
      </c>
      <c r="BT43" s="1015">
        <v>0</v>
      </c>
      <c r="BU43" s="1015">
        <v>26.99</v>
      </c>
      <c r="BV43" s="1015">
        <v>164.567342</v>
      </c>
      <c r="BW43" s="1015">
        <v>0</v>
      </c>
      <c r="BX43" s="1015">
        <v>0</v>
      </c>
      <c r="BY43" s="1015">
        <v>0</v>
      </c>
      <c r="BZ43" s="1015">
        <v>0</v>
      </c>
      <c r="CA43" s="1015">
        <v>0</v>
      </c>
      <c r="CB43" s="1015">
        <v>0</v>
      </c>
      <c r="CC43" s="1015">
        <v>0</v>
      </c>
      <c r="CD43" s="1015">
        <v>0</v>
      </c>
      <c r="CE43" s="1015">
        <v>0</v>
      </c>
      <c r="CF43" s="1015">
        <v>0</v>
      </c>
      <c r="CG43" s="1015">
        <v>0</v>
      </c>
      <c r="CH43" s="1015">
        <v>0</v>
      </c>
      <c r="CI43" s="1015">
        <v>0</v>
      </c>
      <c r="CJ43" s="1015">
        <v>0</v>
      </c>
      <c r="CK43" s="1015">
        <v>19.87</v>
      </c>
      <c r="CL43" s="1015">
        <v>121.15424499999999</v>
      </c>
    </row>
    <row r="44" spans="1:92" ht="15">
      <c r="A44" s="1015" t="s">
        <v>51</v>
      </c>
      <c r="B44" s="1016" t="s">
        <v>520</v>
      </c>
      <c r="C44" s="1023">
        <v>0</v>
      </c>
      <c r="D44" s="1023">
        <v>0</v>
      </c>
      <c r="E44" s="1023"/>
      <c r="F44" s="1023"/>
      <c r="G44" s="1023"/>
      <c r="H44" s="1023"/>
      <c r="I44" s="1023">
        <v>0</v>
      </c>
      <c r="J44" s="1023">
        <v>0</v>
      </c>
      <c r="K44" s="1023">
        <v>0</v>
      </c>
      <c r="L44" s="1023">
        <v>0</v>
      </c>
      <c r="M44" s="1023">
        <v>0</v>
      </c>
      <c r="N44" s="1023">
        <v>0</v>
      </c>
      <c r="O44" s="1023"/>
      <c r="P44" s="1023"/>
      <c r="Q44" s="1023">
        <v>0</v>
      </c>
      <c r="R44" s="1023">
        <v>0</v>
      </c>
      <c r="S44" s="1023"/>
      <c r="T44" s="1023"/>
      <c r="U44" s="1023">
        <v>0</v>
      </c>
      <c r="V44" s="1023">
        <v>0</v>
      </c>
      <c r="W44" s="1032">
        <v>0</v>
      </c>
      <c r="X44" s="1032">
        <v>0</v>
      </c>
      <c r="Y44" s="1037">
        <v>0</v>
      </c>
      <c r="Z44" s="1037">
        <v>0</v>
      </c>
      <c r="AA44" s="1025">
        <v>0</v>
      </c>
      <c r="AB44" s="1025">
        <v>0</v>
      </c>
      <c r="AC44" s="1023">
        <v>0</v>
      </c>
      <c r="AD44" s="1023">
        <v>0</v>
      </c>
      <c r="AE44" s="1038">
        <v>0</v>
      </c>
      <c r="AF44" s="1038">
        <v>0</v>
      </c>
      <c r="AG44" s="1038">
        <v>0</v>
      </c>
      <c r="AH44" s="1038">
        <v>0</v>
      </c>
      <c r="AI44" s="1047">
        <v>0</v>
      </c>
      <c r="AJ44" s="1047">
        <v>0</v>
      </c>
      <c r="AK44" s="1015">
        <v>0</v>
      </c>
      <c r="AL44" s="1015">
        <v>0</v>
      </c>
      <c r="AM44" s="1015">
        <v>0</v>
      </c>
      <c r="AN44" s="1015">
        <v>0</v>
      </c>
      <c r="AO44" s="1015">
        <v>0</v>
      </c>
      <c r="AP44" s="1015">
        <v>0</v>
      </c>
      <c r="AQ44" s="1052">
        <v>0</v>
      </c>
      <c r="AR44" s="1052">
        <v>0</v>
      </c>
      <c r="AS44" s="1052">
        <v>0</v>
      </c>
      <c r="AT44" s="1052">
        <v>0</v>
      </c>
      <c r="AW44" s="1068">
        <v>0</v>
      </c>
      <c r="AX44" s="1068">
        <v>0</v>
      </c>
      <c r="AY44" s="1052"/>
      <c r="AZ44" s="1052"/>
      <c r="BA44" s="1015">
        <v>0</v>
      </c>
      <c r="BB44" s="1015">
        <v>0</v>
      </c>
      <c r="BC44" s="1066">
        <v>0</v>
      </c>
      <c r="BD44" s="1066">
        <v>0</v>
      </c>
      <c r="BG44" s="1015">
        <v>0</v>
      </c>
      <c r="BH44" s="1015">
        <v>0</v>
      </c>
      <c r="BI44" s="1015">
        <v>0</v>
      </c>
      <c r="BJ44" s="1015">
        <v>0</v>
      </c>
      <c r="BK44" s="1015">
        <v>0</v>
      </c>
      <c r="BL44" s="1015">
        <v>0</v>
      </c>
      <c r="BM44" s="1015">
        <v>0</v>
      </c>
      <c r="BN44" s="1015">
        <v>0</v>
      </c>
      <c r="BO44" s="1015">
        <v>0</v>
      </c>
      <c r="BP44" s="1015">
        <v>0</v>
      </c>
      <c r="BQ44" s="1015">
        <v>0</v>
      </c>
      <c r="BR44" s="1015">
        <v>0</v>
      </c>
      <c r="BS44" s="1015">
        <v>0</v>
      </c>
      <c r="BT44" s="1015">
        <v>0</v>
      </c>
      <c r="BU44" s="1015">
        <v>0</v>
      </c>
      <c r="BV44" s="1015">
        <v>0</v>
      </c>
      <c r="BW44" s="1015">
        <v>0</v>
      </c>
      <c r="BX44" s="1015">
        <v>0</v>
      </c>
      <c r="BY44" s="1015">
        <v>0</v>
      </c>
      <c r="BZ44" s="1015">
        <v>0</v>
      </c>
      <c r="CA44" s="1015">
        <v>0</v>
      </c>
      <c r="CB44" s="1015">
        <v>0</v>
      </c>
      <c r="CC44" s="1015">
        <v>0</v>
      </c>
      <c r="CD44" s="1015">
        <v>0</v>
      </c>
      <c r="CE44" s="1015">
        <v>0</v>
      </c>
      <c r="CF44" s="1015">
        <v>0</v>
      </c>
      <c r="CG44" s="1015">
        <v>0</v>
      </c>
      <c r="CH44" s="1015">
        <v>0</v>
      </c>
      <c r="CI44" s="1015">
        <v>0</v>
      </c>
      <c r="CJ44" s="1015">
        <v>0</v>
      </c>
      <c r="CK44" s="1015">
        <v>0</v>
      </c>
      <c r="CL44" s="1015">
        <v>0</v>
      </c>
    </row>
    <row r="45" spans="1:92">
      <c r="A45" s="1015" t="s">
        <v>51</v>
      </c>
      <c r="B45" s="1016" t="s">
        <v>312</v>
      </c>
      <c r="C45" s="1028">
        <v>61561.08</v>
      </c>
      <c r="D45" s="1028">
        <v>47408.106505000003</v>
      </c>
      <c r="E45" s="1028">
        <v>34297.07</v>
      </c>
      <c r="F45" s="1028">
        <v>32567.512802000001</v>
      </c>
      <c r="G45" s="1025">
        <v>25494.799999999999</v>
      </c>
      <c r="H45" s="1025">
        <v>26837.345380999999</v>
      </c>
      <c r="I45" s="1025">
        <v>25640.639999999999</v>
      </c>
      <c r="J45" s="1025">
        <v>28647.233888999999</v>
      </c>
      <c r="K45" s="1028">
        <v>28841.55</v>
      </c>
      <c r="L45" s="1028">
        <v>33460.484385999996</v>
      </c>
      <c r="M45" s="1028">
        <v>24985.18</v>
      </c>
      <c r="N45" s="1028">
        <v>29453.830973</v>
      </c>
      <c r="O45" s="1025">
        <v>28487.15</v>
      </c>
      <c r="P45" s="1025">
        <v>32179.385144</v>
      </c>
      <c r="Q45" s="1025">
        <v>15839.63</v>
      </c>
      <c r="R45" s="1025">
        <v>15444.267690999999</v>
      </c>
      <c r="S45" s="1025">
        <v>23740.93</v>
      </c>
      <c r="T45" s="1025">
        <v>27001.36952</v>
      </c>
      <c r="U45" s="1023">
        <v>32482.74</v>
      </c>
      <c r="V45" s="1023">
        <v>34307.612158000004</v>
      </c>
      <c r="W45" s="1028">
        <v>19683</v>
      </c>
      <c r="X45" s="1028">
        <v>20599</v>
      </c>
      <c r="Y45" s="1037">
        <v>10242.82</v>
      </c>
      <c r="Z45" s="1037">
        <v>11729.90825</v>
      </c>
      <c r="AA45" s="1025">
        <v>26347.3</v>
      </c>
      <c r="AB45" s="1025">
        <v>24010.903839999999</v>
      </c>
      <c r="AC45" s="1023">
        <v>15457.03</v>
      </c>
      <c r="AD45" s="1023">
        <v>16778.741076999999</v>
      </c>
      <c r="AE45" s="1038">
        <v>15948.66</v>
      </c>
      <c r="AF45" s="1038">
        <v>15705.533265</v>
      </c>
      <c r="AG45" s="1038">
        <v>28877.42</v>
      </c>
      <c r="AH45" s="1038">
        <v>24924.397710000001</v>
      </c>
      <c r="AI45" s="1047">
        <v>17790.63</v>
      </c>
      <c r="AJ45" s="1047">
        <v>18362.848271999999</v>
      </c>
      <c r="AK45" s="1015">
        <v>5428.4100000000099</v>
      </c>
      <c r="AL45" s="1015">
        <v>6588.4104310000002</v>
      </c>
      <c r="AM45" s="1015">
        <v>12334.94</v>
      </c>
      <c r="AN45" s="1015">
        <v>9961.0407749999904</v>
      </c>
      <c r="AO45" s="1015">
        <v>8954.0499999999993</v>
      </c>
      <c r="AP45" s="1015">
        <v>10232.586934999999</v>
      </c>
      <c r="AQ45" s="1052">
        <v>28460.85</v>
      </c>
      <c r="AR45" s="1053">
        <v>34416.822737000002</v>
      </c>
      <c r="AS45" s="1052">
        <v>19385</v>
      </c>
      <c r="AT45" s="1053">
        <v>14973.321351000001</v>
      </c>
      <c r="AU45" s="1015">
        <v>16195.24</v>
      </c>
      <c r="AV45" s="1015">
        <v>10976.885906</v>
      </c>
      <c r="AW45" s="1068">
        <v>17234.400000000001</v>
      </c>
      <c r="AX45" s="1070">
        <v>8869.2537699999993</v>
      </c>
      <c r="AY45" s="1052">
        <v>42808.9</v>
      </c>
      <c r="AZ45" s="1053">
        <v>22656.258515000001</v>
      </c>
      <c r="BA45" s="1015">
        <v>17240.560000000001</v>
      </c>
      <c r="BB45" s="1015">
        <v>13576.10182</v>
      </c>
      <c r="BC45" s="1052">
        <v>19898.400000000001</v>
      </c>
      <c r="BD45" s="1053">
        <v>20801.721813</v>
      </c>
      <c r="BE45" s="1015">
        <v>12745.6</v>
      </c>
      <c r="BF45" s="1015">
        <v>13943.048489999999</v>
      </c>
      <c r="BG45" s="1015">
        <v>19400.014999999999</v>
      </c>
      <c r="BH45" s="1015">
        <v>21432.220711999998</v>
      </c>
      <c r="BI45" s="1015">
        <v>11482.58</v>
      </c>
      <c r="BJ45" s="1015">
        <v>11184.973263</v>
      </c>
      <c r="BK45" s="1015">
        <v>16414.87</v>
      </c>
      <c r="BL45" s="1015">
        <v>16604.450094</v>
      </c>
      <c r="BM45" s="1015">
        <v>5276.9299999999967</v>
      </c>
      <c r="BN45" s="1015">
        <v>5482.2991709999988</v>
      </c>
      <c r="BO45" s="1015">
        <v>1185.1199999999999</v>
      </c>
      <c r="BP45" s="1015">
        <v>642.59985999999992</v>
      </c>
      <c r="BQ45" s="1015">
        <v>26305</v>
      </c>
      <c r="BR45" s="1015">
        <v>20632.772712999998</v>
      </c>
      <c r="BS45" s="1015">
        <v>38245.37000000001</v>
      </c>
      <c r="BT45" s="1015">
        <v>29449.528203000009</v>
      </c>
      <c r="BU45" s="1015">
        <v>49119.62</v>
      </c>
      <c r="BV45" s="1015">
        <v>39718.732526</v>
      </c>
      <c r="BW45" s="1015">
        <v>57584.57</v>
      </c>
      <c r="BX45" s="1015">
        <v>38270.530946999999</v>
      </c>
      <c r="BY45" s="1015">
        <v>49831.61</v>
      </c>
      <c r="BZ45" s="1015">
        <v>40912.859880999997</v>
      </c>
      <c r="CA45" s="1015">
        <v>32937.65</v>
      </c>
      <c r="CB45" s="1015">
        <v>31736.636914999999</v>
      </c>
      <c r="CC45" s="1015">
        <v>16428.64</v>
      </c>
      <c r="CD45" s="1015">
        <v>17942.415011000001</v>
      </c>
      <c r="CE45" s="1015">
        <v>14819.58</v>
      </c>
      <c r="CF45" s="1015">
        <v>14071.003881999999</v>
      </c>
      <c r="CG45" s="1015">
        <v>18109.759999999998</v>
      </c>
      <c r="CH45" s="1015">
        <v>16758.785102999998</v>
      </c>
      <c r="CI45" s="1015">
        <v>22101.77</v>
      </c>
      <c r="CJ45" s="1015">
        <v>23025.683241999999</v>
      </c>
      <c r="CK45" s="1015">
        <v>19064.34</v>
      </c>
      <c r="CL45" s="1015">
        <v>19832.380198999999</v>
      </c>
      <c r="CM45" s="1015">
        <v>15906</v>
      </c>
      <c r="CN45" s="1015">
        <v>14473</v>
      </c>
    </row>
    <row r="46" spans="1:92">
      <c r="A46" s="1015" t="s">
        <v>51</v>
      </c>
      <c r="B46" s="1016" t="s">
        <v>521</v>
      </c>
      <c r="C46" s="1023">
        <v>11698.89</v>
      </c>
      <c r="D46" s="1023">
        <v>14093.591779</v>
      </c>
      <c r="E46" s="1023">
        <v>8259.64</v>
      </c>
      <c r="F46" s="1023">
        <v>9422.0351150000006</v>
      </c>
      <c r="G46" s="1023">
        <v>9725.76</v>
      </c>
      <c r="H46" s="1023">
        <v>10787.109125000001</v>
      </c>
      <c r="I46" s="1023">
        <v>5684.33</v>
      </c>
      <c r="J46" s="1023">
        <v>6482.3770500000001</v>
      </c>
      <c r="K46" s="1023">
        <v>9893.27</v>
      </c>
      <c r="L46" s="1023">
        <v>11766.090244999999</v>
      </c>
      <c r="M46" s="1023">
        <v>6190.37</v>
      </c>
      <c r="N46" s="1023">
        <v>7365.0671050000001</v>
      </c>
      <c r="O46" s="1023">
        <v>3381.26</v>
      </c>
      <c r="P46" s="1023">
        <v>4022.5323389999999</v>
      </c>
      <c r="Q46" s="1023">
        <v>2059.83</v>
      </c>
      <c r="R46" s="1023">
        <v>2528.974968</v>
      </c>
      <c r="S46" s="1023">
        <v>3247.04</v>
      </c>
      <c r="T46" s="1023">
        <v>4161.937645</v>
      </c>
      <c r="U46" s="1023">
        <v>4343.28</v>
      </c>
      <c r="V46" s="1023">
        <v>5470.4473269999999</v>
      </c>
      <c r="W46" s="1032">
        <v>5710</v>
      </c>
      <c r="X46" s="1032">
        <v>7631</v>
      </c>
      <c r="Y46" s="1037">
        <v>6543.32</v>
      </c>
      <c r="Z46" s="1037">
        <v>8183.2610670000004</v>
      </c>
      <c r="AA46" s="1025">
        <v>3735.21</v>
      </c>
      <c r="AB46" s="1025">
        <v>4333.2626440000004</v>
      </c>
      <c r="AC46" s="1023">
        <v>298.29000000000099</v>
      </c>
      <c r="AD46" s="1023">
        <v>318.66893299999703</v>
      </c>
      <c r="AE46" s="1038">
        <v>53.860000000000603</v>
      </c>
      <c r="AF46" s="1038">
        <v>56.362528999996698</v>
      </c>
      <c r="AG46" s="1038">
        <v>2110.88</v>
      </c>
      <c r="AH46" s="1038">
        <v>2211.792054</v>
      </c>
      <c r="AI46" s="1047">
        <v>2740.09</v>
      </c>
      <c r="AJ46" s="1047">
        <v>3055.4304010000001</v>
      </c>
      <c r="AK46" s="1015">
        <v>426.85999999999899</v>
      </c>
      <c r="AL46" s="1015">
        <v>494.193710000002</v>
      </c>
      <c r="AM46" s="1015">
        <v>1774.61</v>
      </c>
      <c r="AN46" s="1015">
        <v>1980.6691960000001</v>
      </c>
      <c r="AO46" s="1015">
        <v>1958.51</v>
      </c>
      <c r="AP46" s="1015">
        <v>2164.0242699999999</v>
      </c>
      <c r="AQ46" s="1052">
        <v>2756.26</v>
      </c>
      <c r="AR46" s="1052">
        <v>3151.5993960000001</v>
      </c>
      <c r="AS46" s="1052">
        <v>954.32</v>
      </c>
      <c r="AT46" s="1052">
        <v>1177.024126</v>
      </c>
      <c r="AU46" s="1015">
        <v>0</v>
      </c>
      <c r="AV46" s="1015">
        <v>0</v>
      </c>
      <c r="AW46" s="1068">
        <v>0</v>
      </c>
      <c r="AX46" s="1068">
        <v>0</v>
      </c>
      <c r="AY46" s="1052">
        <v>0</v>
      </c>
      <c r="AZ46" s="1052">
        <v>0</v>
      </c>
      <c r="BA46" s="1015">
        <v>947.82</v>
      </c>
      <c r="BB46" s="1015">
        <v>1042.5083549999999</v>
      </c>
      <c r="BC46" s="1052">
        <v>357.54000000000099</v>
      </c>
      <c r="BD46" s="1052">
        <v>391.19674199999901</v>
      </c>
      <c r="BE46" s="1015">
        <v>169.370000000001</v>
      </c>
      <c r="BF46" s="1015">
        <v>186.81744699999899</v>
      </c>
      <c r="BG46" s="1015">
        <v>0</v>
      </c>
      <c r="BH46" s="1015">
        <v>0</v>
      </c>
      <c r="BI46" s="1015">
        <v>161.47999999999999</v>
      </c>
      <c r="BJ46" s="1015">
        <v>152.961285</v>
      </c>
      <c r="BK46" s="1015">
        <v>0</v>
      </c>
      <c r="BL46" s="1015">
        <v>0</v>
      </c>
      <c r="BM46" s="1015">
        <v>42.75</v>
      </c>
      <c r="BN46" s="1015">
        <v>40.506224000000834</v>
      </c>
      <c r="BO46" s="1015">
        <v>0</v>
      </c>
      <c r="BP46" s="1015">
        <v>0</v>
      </c>
      <c r="BQ46" s="1015">
        <v>0</v>
      </c>
      <c r="BR46" s="1015">
        <v>0</v>
      </c>
      <c r="BS46" s="1015">
        <v>1182.1100000000006</v>
      </c>
      <c r="BT46" s="1015">
        <v>1338.3769039999945</v>
      </c>
      <c r="BU46" s="1015">
        <v>619.55999999999995</v>
      </c>
      <c r="BV46" s="1015">
        <v>693.74301700000001</v>
      </c>
      <c r="BW46" s="1015">
        <v>777.81</v>
      </c>
      <c r="BX46" s="1015">
        <v>442.59489200000002</v>
      </c>
      <c r="BY46" s="1015">
        <v>2344.94</v>
      </c>
      <c r="BZ46" s="1015">
        <v>1797.2152219999998</v>
      </c>
      <c r="CA46" s="1015">
        <v>13261.03</v>
      </c>
      <c r="CB46" s="1015">
        <v>11159.368605</v>
      </c>
      <c r="CC46" s="1015">
        <v>11036.84</v>
      </c>
      <c r="CD46" s="1015">
        <v>10625.049964</v>
      </c>
      <c r="CE46" s="1015">
        <v>8010.51</v>
      </c>
      <c r="CF46" s="1015">
        <v>7506.0297480000008</v>
      </c>
      <c r="CG46" s="1015">
        <v>13572.3</v>
      </c>
      <c r="CH46" s="1015">
        <v>12207.615765999999</v>
      </c>
      <c r="CI46" s="1015">
        <v>19086.78</v>
      </c>
      <c r="CJ46" s="1015">
        <v>20006.489822</v>
      </c>
      <c r="CK46" s="1015">
        <v>11705.96</v>
      </c>
      <c r="CL46" s="1015">
        <v>11016.644356000001</v>
      </c>
      <c r="CM46" s="1015">
        <v>8057</v>
      </c>
      <c r="CN46" s="1015">
        <v>6832</v>
      </c>
    </row>
    <row r="47" spans="1:92" ht="15">
      <c r="A47" s="1015" t="s">
        <v>51</v>
      </c>
      <c r="B47" s="1016" t="s">
        <v>518</v>
      </c>
      <c r="C47" s="1023">
        <v>0</v>
      </c>
      <c r="D47" s="1023">
        <v>0</v>
      </c>
      <c r="E47" s="1023">
        <v>0</v>
      </c>
      <c r="F47" s="1023">
        <v>0</v>
      </c>
      <c r="G47" s="1023"/>
      <c r="H47" s="1023"/>
      <c r="I47" s="1023">
        <v>0</v>
      </c>
      <c r="J47" s="1023">
        <v>0</v>
      </c>
      <c r="K47" s="1023">
        <v>0</v>
      </c>
      <c r="L47" s="1023">
        <v>0</v>
      </c>
      <c r="M47" s="1023">
        <v>0</v>
      </c>
      <c r="N47" s="1023">
        <v>0</v>
      </c>
      <c r="O47" s="1023">
        <v>0</v>
      </c>
      <c r="P47" s="1023">
        <v>0</v>
      </c>
      <c r="Q47" s="1023">
        <v>0</v>
      </c>
      <c r="R47" s="1023">
        <v>0</v>
      </c>
      <c r="S47" s="1023">
        <v>0</v>
      </c>
      <c r="T47" s="1023">
        <v>0</v>
      </c>
      <c r="U47" s="1023">
        <v>0</v>
      </c>
      <c r="V47" s="1023">
        <v>0</v>
      </c>
      <c r="W47" s="1032">
        <v>0</v>
      </c>
      <c r="X47" s="1032">
        <v>0</v>
      </c>
      <c r="Y47" s="1037">
        <v>0</v>
      </c>
      <c r="Z47" s="1037">
        <v>0</v>
      </c>
      <c r="AA47" s="1025">
        <v>0</v>
      </c>
      <c r="AB47" s="1025">
        <v>0</v>
      </c>
      <c r="AC47" s="1023">
        <v>0</v>
      </c>
      <c r="AD47" s="1023">
        <v>0</v>
      </c>
      <c r="AE47" s="1038">
        <v>0</v>
      </c>
      <c r="AF47" s="1038">
        <v>0</v>
      </c>
      <c r="AG47" s="1038">
        <v>0</v>
      </c>
      <c r="AH47" s="1038">
        <v>0</v>
      </c>
      <c r="AI47" s="1047">
        <v>0</v>
      </c>
      <c r="AJ47" s="1047">
        <v>0</v>
      </c>
      <c r="AK47" s="1015">
        <v>0</v>
      </c>
      <c r="AL47" s="1015">
        <v>0</v>
      </c>
      <c r="AM47" s="1015">
        <v>0</v>
      </c>
      <c r="AN47" s="1015">
        <v>0</v>
      </c>
      <c r="AO47" s="1015">
        <v>0</v>
      </c>
      <c r="AP47" s="1015">
        <v>0</v>
      </c>
      <c r="AQ47" s="1052">
        <v>0</v>
      </c>
      <c r="AR47" s="1052">
        <v>0</v>
      </c>
      <c r="AS47" s="1052">
        <v>0</v>
      </c>
      <c r="AT47" s="1052">
        <v>0</v>
      </c>
      <c r="AU47" s="1015">
        <v>0</v>
      </c>
      <c r="AV47" s="1015">
        <v>0</v>
      </c>
      <c r="AW47" s="1068">
        <v>0</v>
      </c>
      <c r="AX47" s="1068">
        <v>0</v>
      </c>
      <c r="AY47" s="1052">
        <v>0</v>
      </c>
      <c r="AZ47" s="1052">
        <v>0</v>
      </c>
      <c r="BA47" s="1015">
        <v>0</v>
      </c>
      <c r="BB47" s="1015">
        <v>0</v>
      </c>
      <c r="BC47" s="1066">
        <v>0</v>
      </c>
      <c r="BD47" s="1066">
        <v>0</v>
      </c>
      <c r="BE47" s="1015">
        <v>0</v>
      </c>
      <c r="BF47" s="1015">
        <v>0</v>
      </c>
      <c r="BG47" s="1015">
        <v>0</v>
      </c>
      <c r="BH47" s="1015">
        <v>0</v>
      </c>
      <c r="BI47" s="1015">
        <v>0</v>
      </c>
      <c r="BJ47" s="1015">
        <v>0</v>
      </c>
      <c r="BK47" s="1015">
        <v>0</v>
      </c>
      <c r="BL47" s="1015">
        <v>0</v>
      </c>
      <c r="BM47" s="1015">
        <v>0</v>
      </c>
      <c r="BN47" s="1015">
        <v>0</v>
      </c>
      <c r="BO47" s="1015">
        <v>0</v>
      </c>
      <c r="BP47" s="1015">
        <v>0</v>
      </c>
      <c r="BQ47" s="1015">
        <v>0</v>
      </c>
      <c r="BR47" s="1015">
        <v>0</v>
      </c>
      <c r="BS47" s="1015">
        <v>0</v>
      </c>
      <c r="BT47" s="1015">
        <v>0</v>
      </c>
      <c r="BU47" s="1015">
        <v>0</v>
      </c>
      <c r="BV47" s="1015">
        <v>0</v>
      </c>
      <c r="BW47" s="1015">
        <v>0</v>
      </c>
      <c r="BX47" s="1015">
        <v>0</v>
      </c>
      <c r="BY47" s="1015">
        <v>0</v>
      </c>
      <c r="BZ47" s="1015">
        <v>0</v>
      </c>
      <c r="CA47" s="1015">
        <v>0</v>
      </c>
      <c r="CB47" s="1015">
        <v>0</v>
      </c>
      <c r="CC47" s="1015">
        <v>0</v>
      </c>
      <c r="CD47" s="1015">
        <v>0</v>
      </c>
      <c r="CE47" s="1015">
        <v>0</v>
      </c>
      <c r="CF47" s="1015">
        <v>0</v>
      </c>
      <c r="CG47" s="1015">
        <v>0</v>
      </c>
      <c r="CH47" s="1015">
        <v>0</v>
      </c>
      <c r="CI47" s="1015">
        <v>0</v>
      </c>
      <c r="CJ47" s="1015">
        <v>0</v>
      </c>
      <c r="CK47" s="1015">
        <v>0</v>
      </c>
      <c r="CL47" s="1015">
        <v>0</v>
      </c>
    </row>
    <row r="48" spans="1:92">
      <c r="A48" s="1015" t="s">
        <v>51</v>
      </c>
      <c r="B48" s="1016" t="s">
        <v>522</v>
      </c>
      <c r="C48" s="1023">
        <v>49862.19</v>
      </c>
      <c r="D48" s="1023">
        <v>33314.514726000001</v>
      </c>
      <c r="E48" s="1023">
        <v>26037.43</v>
      </c>
      <c r="F48" s="1023">
        <v>23145.477686999999</v>
      </c>
      <c r="G48" s="1023">
        <v>15769.04</v>
      </c>
      <c r="H48" s="1023">
        <v>16050.236256</v>
      </c>
      <c r="I48" s="1023">
        <v>19956.310000000001</v>
      </c>
      <c r="J48" s="1023">
        <v>22164.856839</v>
      </c>
      <c r="K48" s="1023">
        <v>18948.28</v>
      </c>
      <c r="L48" s="1023">
        <v>21694.394141000001</v>
      </c>
      <c r="M48" s="1023">
        <v>18794.810000000001</v>
      </c>
      <c r="N48" s="1023">
        <v>22088.763867999998</v>
      </c>
      <c r="O48" s="1023">
        <v>25105.89</v>
      </c>
      <c r="P48" s="1023">
        <v>28156.852804999999</v>
      </c>
      <c r="Q48" s="1023">
        <v>13779.8</v>
      </c>
      <c r="R48" s="1023">
        <v>12915.292723</v>
      </c>
      <c r="S48" s="1023">
        <v>20493.89</v>
      </c>
      <c r="T48" s="1023">
        <v>22839.431874999998</v>
      </c>
      <c r="U48" s="1023">
        <v>28139.46</v>
      </c>
      <c r="V48" s="1023">
        <v>28837.164830999998</v>
      </c>
      <c r="W48" s="1032">
        <v>13974</v>
      </c>
      <c r="X48" s="1032">
        <v>12968</v>
      </c>
      <c r="Y48" s="1037">
        <v>3699.5</v>
      </c>
      <c r="Z48" s="1037">
        <v>3546.647183</v>
      </c>
      <c r="AA48" s="1025">
        <v>22612.09</v>
      </c>
      <c r="AB48" s="1025">
        <v>19677.641196</v>
      </c>
      <c r="AC48" s="1023">
        <v>15158.74</v>
      </c>
      <c r="AD48" s="1023">
        <v>16460.072144000002</v>
      </c>
      <c r="AE48" s="1038">
        <v>15894.8</v>
      </c>
      <c r="AF48" s="1038">
        <v>15649.170736</v>
      </c>
      <c r="AG48" s="1038">
        <v>26766.54</v>
      </c>
      <c r="AH48" s="1038">
        <v>22712.605656</v>
      </c>
      <c r="AI48" s="1047">
        <v>15050.54</v>
      </c>
      <c r="AJ48" s="1047">
        <v>15307.417871</v>
      </c>
      <c r="AK48" s="1015">
        <v>5001.55</v>
      </c>
      <c r="AL48" s="1015">
        <v>6094.2167209999998</v>
      </c>
      <c r="AM48" s="1015">
        <v>10560.33</v>
      </c>
      <c r="AN48" s="1015">
        <v>7980.3715789999997</v>
      </c>
      <c r="AO48" s="1015">
        <v>6995.54</v>
      </c>
      <c r="AP48" s="1015">
        <v>8068.5626650000004</v>
      </c>
      <c r="AQ48" s="1052">
        <v>25704.59</v>
      </c>
      <c r="AR48" s="1052">
        <v>31265.223341000001</v>
      </c>
      <c r="AS48" s="1052">
        <v>18430.68</v>
      </c>
      <c r="AT48" s="1052">
        <v>13796.297225</v>
      </c>
      <c r="AU48" s="1015">
        <v>16195.24</v>
      </c>
      <c r="AV48" s="1015">
        <v>10976.885906</v>
      </c>
      <c r="AW48" s="1068">
        <v>17234.400000000001</v>
      </c>
      <c r="AX48" s="1068">
        <v>8869.2537699999993</v>
      </c>
      <c r="AY48" s="1052">
        <v>42808.9</v>
      </c>
      <c r="AZ48" s="1052">
        <v>22656.258515000001</v>
      </c>
      <c r="BA48" s="1015">
        <v>16292.74</v>
      </c>
      <c r="BB48" s="1015">
        <v>12533.593465</v>
      </c>
      <c r="BC48" s="1052">
        <v>19540.86</v>
      </c>
      <c r="BD48" s="1052">
        <v>20410.525071</v>
      </c>
      <c r="BE48" s="1015">
        <v>12576.23</v>
      </c>
      <c r="BF48" s="1015">
        <v>13756.231043</v>
      </c>
      <c r="BG48" s="1015">
        <v>19400.014999999999</v>
      </c>
      <c r="BH48" s="1015">
        <v>21432.220711999998</v>
      </c>
      <c r="BI48" s="1015">
        <v>11321.1</v>
      </c>
      <c r="BJ48" s="1015">
        <v>11032.011978</v>
      </c>
      <c r="BK48" s="1015">
        <v>16414.87</v>
      </c>
      <c r="BL48" s="1015">
        <v>16604.450094</v>
      </c>
      <c r="BM48" s="1015">
        <v>5234.179999999993</v>
      </c>
      <c r="BN48" s="1015">
        <v>5441.7929470000008</v>
      </c>
      <c r="BO48" s="1015">
        <v>1185.1199999999999</v>
      </c>
      <c r="BP48" s="1015">
        <v>642.59985999999992</v>
      </c>
      <c r="BQ48" s="1015">
        <v>26305</v>
      </c>
      <c r="BR48" s="1015">
        <v>20632.772712999998</v>
      </c>
      <c r="BS48" s="1015">
        <v>37063.260000000009</v>
      </c>
      <c r="BT48" s="1015">
        <v>28111.151299000001</v>
      </c>
      <c r="BU48" s="1015">
        <v>48500.06</v>
      </c>
      <c r="BV48" s="1015">
        <v>39024.989508999999</v>
      </c>
      <c r="BW48" s="1015">
        <v>56806.76</v>
      </c>
      <c r="BX48" s="1015">
        <v>37827.936054999998</v>
      </c>
      <c r="BY48" s="1015">
        <v>47486.67</v>
      </c>
      <c r="BZ48" s="1015">
        <v>39115.644658999998</v>
      </c>
      <c r="CA48" s="1015">
        <v>19676.62</v>
      </c>
      <c r="CB48" s="1015">
        <v>20577.268309999999</v>
      </c>
      <c r="CC48" s="1015">
        <v>5391.8</v>
      </c>
      <c r="CD48" s="1015">
        <v>7317.3650470000002</v>
      </c>
      <c r="CE48" s="1015">
        <v>6809.07</v>
      </c>
      <c r="CF48" s="1015">
        <v>6564.974134</v>
      </c>
      <c r="CG48" s="1015">
        <v>4537.46</v>
      </c>
      <c r="CH48" s="1015">
        <v>4551.1693369999994</v>
      </c>
      <c r="CI48" s="1015">
        <v>3014.99</v>
      </c>
      <c r="CJ48" s="1015">
        <v>3019.1934200000001</v>
      </c>
      <c r="CK48" s="1015">
        <v>7358.38</v>
      </c>
      <c r="CL48" s="1015">
        <v>8815.7358430000004</v>
      </c>
      <c r="CM48" s="1015">
        <v>7849</v>
      </c>
      <c r="CN48" s="1015">
        <v>7641</v>
      </c>
    </row>
    <row r="49" spans="1:92" ht="15">
      <c r="A49" s="1015" t="s">
        <v>51</v>
      </c>
      <c r="B49" s="1016" t="s">
        <v>518</v>
      </c>
      <c r="C49" s="1023">
        <v>0</v>
      </c>
      <c r="D49" s="1023">
        <v>0</v>
      </c>
      <c r="E49" s="1023">
        <v>0</v>
      </c>
      <c r="F49" s="1023">
        <v>0</v>
      </c>
      <c r="G49" s="1023"/>
      <c r="H49" s="1023"/>
      <c r="I49" s="1023">
        <v>0</v>
      </c>
      <c r="J49" s="1023">
        <v>0</v>
      </c>
      <c r="K49" s="1023">
        <v>0</v>
      </c>
      <c r="L49" s="1023">
        <v>0</v>
      </c>
      <c r="M49" s="1023">
        <v>0</v>
      </c>
      <c r="N49" s="1023">
        <v>0</v>
      </c>
      <c r="O49" s="1023">
        <v>0</v>
      </c>
      <c r="P49" s="1023">
        <v>0</v>
      </c>
      <c r="Q49" s="1023">
        <v>0</v>
      </c>
      <c r="R49" s="1023">
        <v>0</v>
      </c>
      <c r="S49" s="1023">
        <v>0</v>
      </c>
      <c r="T49" s="1023">
        <v>0</v>
      </c>
      <c r="U49" s="1023">
        <v>0</v>
      </c>
      <c r="V49" s="1023">
        <v>0</v>
      </c>
      <c r="W49" s="1032">
        <v>0</v>
      </c>
      <c r="X49" s="1032">
        <v>0</v>
      </c>
      <c r="Y49" s="1037">
        <v>0</v>
      </c>
      <c r="Z49" s="1037">
        <v>0</v>
      </c>
      <c r="AA49" s="1025">
        <v>0</v>
      </c>
      <c r="AB49" s="1025">
        <v>0</v>
      </c>
      <c r="AC49" s="1023">
        <v>0</v>
      </c>
      <c r="AD49" s="1023">
        <v>0</v>
      </c>
      <c r="AE49" s="1038">
        <v>0</v>
      </c>
      <c r="AF49" s="1038">
        <v>0</v>
      </c>
      <c r="AG49" s="1038">
        <v>0</v>
      </c>
      <c r="AH49" s="1038">
        <v>0</v>
      </c>
      <c r="AI49" s="1047">
        <v>0</v>
      </c>
      <c r="AJ49" s="1047">
        <v>0</v>
      </c>
      <c r="AK49" s="1015">
        <v>0</v>
      </c>
      <c r="AL49" s="1015">
        <v>0</v>
      </c>
      <c r="AM49" s="1015">
        <v>0</v>
      </c>
      <c r="AN49" s="1015">
        <v>0</v>
      </c>
      <c r="AO49" s="1015">
        <v>0</v>
      </c>
      <c r="AP49" s="1015">
        <v>0</v>
      </c>
      <c r="AQ49" s="1052">
        <v>0</v>
      </c>
      <c r="AR49" s="1052">
        <v>0</v>
      </c>
      <c r="AS49" s="1052">
        <v>0</v>
      </c>
      <c r="AT49" s="1052">
        <v>0</v>
      </c>
      <c r="AU49" s="1015">
        <v>0</v>
      </c>
      <c r="AV49" s="1015">
        <v>0</v>
      </c>
      <c r="AW49" s="1068">
        <v>0</v>
      </c>
      <c r="AX49" s="1068">
        <v>0</v>
      </c>
      <c r="AY49" s="1052">
        <v>0</v>
      </c>
      <c r="AZ49" s="1052">
        <v>0</v>
      </c>
      <c r="BA49" s="1015">
        <v>0</v>
      </c>
      <c r="BB49" s="1015">
        <v>0</v>
      </c>
      <c r="BC49" s="1066">
        <v>0</v>
      </c>
      <c r="BD49" s="1066">
        <v>0</v>
      </c>
      <c r="BE49" s="1015">
        <v>0</v>
      </c>
      <c r="BF49" s="1015">
        <v>0</v>
      </c>
      <c r="BG49" s="1015">
        <v>31</v>
      </c>
      <c r="BH49" s="1015">
        <v>44.602007</v>
      </c>
      <c r="BI49" s="1015">
        <v>0</v>
      </c>
      <c r="BJ49" s="1015">
        <v>0</v>
      </c>
      <c r="BK49" s="1015">
        <v>0</v>
      </c>
      <c r="BL49" s="1015">
        <v>0</v>
      </c>
      <c r="BM49" s="1015">
        <v>0</v>
      </c>
      <c r="BN49" s="1015">
        <v>0</v>
      </c>
      <c r="BO49" s="1015">
        <v>0</v>
      </c>
      <c r="BP49" s="1015">
        <v>0</v>
      </c>
      <c r="BQ49" s="1015">
        <v>0</v>
      </c>
      <c r="BR49" s="1015">
        <v>0</v>
      </c>
      <c r="BS49" s="1015">
        <v>0</v>
      </c>
      <c r="BT49" s="1015">
        <v>0</v>
      </c>
      <c r="BU49" s="1015">
        <v>0</v>
      </c>
      <c r="BV49" s="1015">
        <v>0</v>
      </c>
      <c r="BW49" s="1015">
        <v>0</v>
      </c>
      <c r="BX49" s="1015">
        <v>0</v>
      </c>
      <c r="BY49" s="1015">
        <v>0</v>
      </c>
      <c r="BZ49" s="1015">
        <v>0</v>
      </c>
      <c r="CA49" s="1015">
        <v>0</v>
      </c>
      <c r="CB49" s="1015">
        <v>0</v>
      </c>
      <c r="CC49" s="1015">
        <v>0</v>
      </c>
      <c r="CD49" s="1015">
        <v>0</v>
      </c>
      <c r="CE49" s="1015">
        <v>0</v>
      </c>
      <c r="CF49" s="1015">
        <v>0</v>
      </c>
      <c r="CG49" s="1015">
        <v>0</v>
      </c>
      <c r="CH49" s="1015">
        <v>0</v>
      </c>
      <c r="CI49" s="1015">
        <v>0</v>
      </c>
      <c r="CJ49" s="1015">
        <v>0</v>
      </c>
      <c r="CK49" s="1015">
        <v>0</v>
      </c>
      <c r="CL49" s="1015">
        <v>-0.663717</v>
      </c>
    </row>
    <row r="50" spans="1:92">
      <c r="A50" s="1015" t="s">
        <v>51</v>
      </c>
      <c r="B50" s="1016" t="s">
        <v>523</v>
      </c>
      <c r="C50" s="1028">
        <v>5774.5749999999998</v>
      </c>
      <c r="D50" s="1028">
        <v>10692.419706999999</v>
      </c>
      <c r="E50" s="1028">
        <v>7166.2860000000001</v>
      </c>
      <c r="F50" s="1028">
        <v>13133.452431</v>
      </c>
      <c r="G50" s="1025">
        <v>6208.9470000000001</v>
      </c>
      <c r="H50" s="1025">
        <v>11333.545098000001</v>
      </c>
      <c r="I50" s="1025">
        <v>8678.6869999999999</v>
      </c>
      <c r="J50" s="1025">
        <v>15361.688448999999</v>
      </c>
      <c r="K50" s="1028">
        <v>9137.4470000000001</v>
      </c>
      <c r="L50" s="1028">
        <v>16270.589343</v>
      </c>
      <c r="M50" s="1028">
        <v>6410.9489999999996</v>
      </c>
      <c r="N50" s="1028">
        <v>12011.67671</v>
      </c>
      <c r="O50" s="1025">
        <v>7502.5959999999995</v>
      </c>
      <c r="P50" s="1025">
        <v>13630.157020000001</v>
      </c>
      <c r="Q50" s="1025">
        <v>8620.9750000000004</v>
      </c>
      <c r="R50" s="1025">
        <v>15427.786722000001</v>
      </c>
      <c r="S50" s="1025">
        <v>7854.8580000000002</v>
      </c>
      <c r="T50" s="1025">
        <v>14552.294042</v>
      </c>
      <c r="U50" s="1028">
        <v>7614.1719999999996</v>
      </c>
      <c r="V50" s="1028">
        <v>14329.754998</v>
      </c>
      <c r="W50" s="1028">
        <v>7282</v>
      </c>
      <c r="X50" s="1028">
        <v>14283</v>
      </c>
      <c r="Y50" s="1037">
        <v>9299.8960000000006</v>
      </c>
      <c r="Z50" s="1037">
        <v>18944.620911000002</v>
      </c>
      <c r="AA50" s="1025">
        <v>9327.0020000000004</v>
      </c>
      <c r="AB50" s="1025">
        <v>18053.775345999999</v>
      </c>
      <c r="AC50" s="1023">
        <v>7818.5290000000005</v>
      </c>
      <c r="AD50" s="1023">
        <v>15028.627184000001</v>
      </c>
      <c r="AE50" s="1038">
        <v>6506.2359999999999</v>
      </c>
      <c r="AF50" s="1038">
        <v>12371.554756</v>
      </c>
      <c r="AG50" s="1038">
        <v>11853.325999999999</v>
      </c>
      <c r="AH50" s="1038">
        <v>23051.264287000002</v>
      </c>
      <c r="AI50" s="1047">
        <v>10659.433000000001</v>
      </c>
      <c r="AJ50" s="1047">
        <v>20241.131525000001</v>
      </c>
      <c r="AK50" s="1015">
        <v>12125.909</v>
      </c>
      <c r="AL50" s="1015">
        <v>24137.002284999999</v>
      </c>
      <c r="AM50" s="1015">
        <v>10221.465</v>
      </c>
      <c r="AN50" s="1015">
        <v>19509.808163000002</v>
      </c>
      <c r="AO50" s="1015">
        <v>10178.332</v>
      </c>
      <c r="AP50" s="1015">
        <v>20783.535304000001</v>
      </c>
      <c r="AQ50" s="1052">
        <v>10631.415999999999</v>
      </c>
      <c r="AR50" s="1052">
        <v>21565.712370000001</v>
      </c>
      <c r="AS50" s="1052">
        <v>10655.748</v>
      </c>
      <c r="AT50" s="1052">
        <v>21257.360955</v>
      </c>
      <c r="AU50" s="1015">
        <v>8511.39</v>
      </c>
      <c r="AV50" s="1015">
        <v>17013.206009000001</v>
      </c>
      <c r="AW50" s="1068">
        <v>8956.9480000000003</v>
      </c>
      <c r="AX50" s="1068">
        <v>18518.367410999999</v>
      </c>
      <c r="AY50" s="1052">
        <v>10855.502</v>
      </c>
      <c r="AZ50" s="1052">
        <v>23043.199091999999</v>
      </c>
      <c r="BA50" s="1015">
        <v>7340.8119999999999</v>
      </c>
      <c r="BB50" s="1015">
        <v>14546.548659</v>
      </c>
      <c r="BC50" s="1052">
        <v>10318.848</v>
      </c>
      <c r="BD50" s="1052">
        <v>21081.278264</v>
      </c>
      <c r="BE50" s="1015">
        <v>11757.15</v>
      </c>
      <c r="BF50" s="1015">
        <v>25945.497928000001</v>
      </c>
      <c r="BG50" s="1015">
        <v>11594.215</v>
      </c>
      <c r="BH50" s="1015">
        <v>24280.907776</v>
      </c>
      <c r="BI50" s="1015">
        <v>10008.637000000001</v>
      </c>
      <c r="BJ50" s="1015">
        <v>18434.013643999999</v>
      </c>
      <c r="BK50" s="1015">
        <v>8783.6080000000002</v>
      </c>
      <c r="BL50" s="1015">
        <v>15652.491214</v>
      </c>
      <c r="BM50" s="1015">
        <v>12086.875</v>
      </c>
      <c r="BN50" s="1015">
        <v>21528.371948000004</v>
      </c>
      <c r="BO50" s="1015">
        <v>9667.3539999999994</v>
      </c>
      <c r="BP50" s="1015">
        <v>17801.311372</v>
      </c>
      <c r="BQ50" s="1015">
        <v>11434.117</v>
      </c>
      <c r="BR50" s="1015">
        <v>20556.204148000001</v>
      </c>
      <c r="BS50" s="1015">
        <v>9220.0630000000001</v>
      </c>
      <c r="BT50" s="1015">
        <v>17152.809370999999</v>
      </c>
      <c r="BU50" s="1015">
        <v>10218.252</v>
      </c>
      <c r="BV50" s="1015">
        <v>18630.737051</v>
      </c>
      <c r="BW50" s="1015">
        <v>12442.561</v>
      </c>
      <c r="BX50" s="1015">
        <v>24662.409172</v>
      </c>
      <c r="BY50" s="1015">
        <v>12581.245000000001</v>
      </c>
      <c r="BZ50" s="1015">
        <v>23854.424803999998</v>
      </c>
      <c r="CA50" s="1015">
        <v>10602.555</v>
      </c>
      <c r="CB50" s="1015">
        <v>19471.494768</v>
      </c>
      <c r="CC50" s="1015">
        <v>14000.594999999999</v>
      </c>
      <c r="CD50" s="1015">
        <v>26619.433293000002</v>
      </c>
      <c r="CE50" s="1015">
        <v>9434.9950000000008</v>
      </c>
      <c r="CF50" s="1015">
        <v>19675.304991000001</v>
      </c>
      <c r="CG50" s="1015">
        <v>12707.868</v>
      </c>
      <c r="CH50" s="1015">
        <v>27219.572936</v>
      </c>
      <c r="CI50" s="1015">
        <v>12553.454</v>
      </c>
      <c r="CJ50" s="1015">
        <v>28926.501637999998</v>
      </c>
      <c r="CK50" s="1015">
        <v>13412.45</v>
      </c>
      <c r="CL50" s="1015">
        <v>27983.470576</v>
      </c>
      <c r="CM50" s="1015">
        <v>13324</v>
      </c>
      <c r="CN50" s="1015">
        <v>28350</v>
      </c>
    </row>
    <row r="51" spans="1:92">
      <c r="A51" s="1015" t="s">
        <v>51</v>
      </c>
      <c r="B51" s="1016" t="s">
        <v>315</v>
      </c>
      <c r="C51" s="1028">
        <v>220486.62599999999</v>
      </c>
      <c r="D51" s="1028">
        <v>248466.20647800001</v>
      </c>
      <c r="E51" s="1028">
        <v>227531.212</v>
      </c>
      <c r="F51" s="1028">
        <v>261186.38468399999</v>
      </c>
      <c r="G51" s="1025">
        <v>172283.875</v>
      </c>
      <c r="H51" s="1025">
        <v>190323.84771599999</v>
      </c>
      <c r="I51" s="1025">
        <v>281936.83899999998</v>
      </c>
      <c r="J51" s="1025">
        <v>312320.14478600002</v>
      </c>
      <c r="K51" s="1028">
        <v>223252.90900000001</v>
      </c>
      <c r="L51" s="1028">
        <v>251428.60107500001</v>
      </c>
      <c r="M51" s="1028">
        <v>230077.68400000001</v>
      </c>
      <c r="N51" s="1028">
        <v>260766.51247799999</v>
      </c>
      <c r="O51" s="1025">
        <v>218924.45300000001</v>
      </c>
      <c r="P51" s="1025">
        <v>237706.19263899999</v>
      </c>
      <c r="Q51" s="1025">
        <v>220816.83499999999</v>
      </c>
      <c r="R51" s="1025">
        <v>246402.48896300001</v>
      </c>
      <c r="S51" s="1025">
        <v>220671.07</v>
      </c>
      <c r="T51" s="1025">
        <v>246781.566612</v>
      </c>
      <c r="U51" s="1028">
        <v>202629.98199999999</v>
      </c>
      <c r="V51" s="1028">
        <v>222077.88274199999</v>
      </c>
      <c r="W51" s="1028">
        <v>219876</v>
      </c>
      <c r="X51" s="1028">
        <v>239087</v>
      </c>
      <c r="Y51" s="1037">
        <v>211380.06700000001</v>
      </c>
      <c r="Z51" s="1037">
        <v>231163.25125900001</v>
      </c>
      <c r="AA51" s="1025">
        <v>212275.68900000001</v>
      </c>
      <c r="AB51" s="1025">
        <v>222818.60638799999</v>
      </c>
      <c r="AC51" s="1023">
        <v>220896.636</v>
      </c>
      <c r="AD51" s="1023">
        <v>233242.56521500001</v>
      </c>
      <c r="AE51" s="1038">
        <v>197619.929</v>
      </c>
      <c r="AF51" s="1038">
        <v>192410.82954499999</v>
      </c>
      <c r="AG51" s="1038">
        <v>261745.00099999999</v>
      </c>
      <c r="AH51" s="1038">
        <v>271488.50029599998</v>
      </c>
      <c r="AI51" s="1047">
        <v>199822.071</v>
      </c>
      <c r="AJ51" s="1047">
        <v>219120.67569800001</v>
      </c>
      <c r="AK51" s="1015">
        <v>214094.69699999999</v>
      </c>
      <c r="AL51" s="1015">
        <v>237685.28649500001</v>
      </c>
      <c r="AM51" s="1015">
        <v>214093.34700000001</v>
      </c>
      <c r="AN51" s="1015">
        <v>233323.995497</v>
      </c>
      <c r="AO51" s="1015">
        <v>215740.16399999999</v>
      </c>
      <c r="AP51" s="1015">
        <v>230828.04237400001</v>
      </c>
      <c r="AQ51" s="1052">
        <v>223995.28899999999</v>
      </c>
      <c r="AR51" s="1052">
        <v>248621.496686</v>
      </c>
      <c r="AS51" s="1052">
        <v>247744.35</v>
      </c>
      <c r="AT51" s="1052">
        <v>272053.30596799997</v>
      </c>
      <c r="AU51" s="1015">
        <v>223250.962</v>
      </c>
      <c r="AV51" s="1015">
        <v>230002.95274800001</v>
      </c>
      <c r="AW51" s="1068">
        <v>206638.8</v>
      </c>
      <c r="AX51" s="1068">
        <v>212960.849357</v>
      </c>
      <c r="AY51" s="1052">
        <v>225237.77799999999</v>
      </c>
      <c r="AZ51" s="1052">
        <v>229483.108182</v>
      </c>
      <c r="BA51" s="1015">
        <v>161937.14300000001</v>
      </c>
      <c r="BB51" s="1015">
        <v>162950.30485799999</v>
      </c>
      <c r="BC51" s="1052">
        <v>198562.48699999999</v>
      </c>
      <c r="BD51" s="1052">
        <v>189397.226677</v>
      </c>
      <c r="BE51" s="1015">
        <v>224542.47</v>
      </c>
      <c r="BF51" s="1015">
        <v>233717.860976</v>
      </c>
      <c r="BG51" s="1015">
        <v>249269.06400000001</v>
      </c>
      <c r="BH51" s="1015">
        <v>244660.98933099999</v>
      </c>
      <c r="BI51" s="1015">
        <v>264346.92099999997</v>
      </c>
      <c r="BJ51" s="1015">
        <v>240358.35667000001</v>
      </c>
      <c r="BK51" s="1015">
        <v>224988.58799999999</v>
      </c>
      <c r="BL51" s="1015">
        <v>206070.48029100001</v>
      </c>
      <c r="BM51" s="1015">
        <v>212191.96400000001</v>
      </c>
      <c r="BN51" s="1015">
        <v>212524.45741199999</v>
      </c>
      <c r="BO51" s="1015">
        <v>201399.43100000001</v>
      </c>
      <c r="BP51" s="1015">
        <v>211453.359249</v>
      </c>
      <c r="BQ51" s="1015">
        <v>196765.25599999999</v>
      </c>
      <c r="BR51" s="1015">
        <v>189752.34002199999</v>
      </c>
      <c r="BS51" s="1015">
        <v>223030.285</v>
      </c>
      <c r="BT51" s="1015">
        <v>240301.91636099995</v>
      </c>
      <c r="BU51" s="1015">
        <v>224930.31700000001</v>
      </c>
      <c r="BV51" s="1015">
        <v>229836.05873600001</v>
      </c>
      <c r="BW51" s="1015">
        <v>243780.07199999999</v>
      </c>
      <c r="BX51" s="1015">
        <v>250817.38115100001</v>
      </c>
      <c r="BY51" s="1015">
        <v>231186.47700000001</v>
      </c>
      <c r="BZ51" s="1015">
        <v>241453.52430700001</v>
      </c>
      <c r="CA51" s="1015">
        <v>201323.31299999999</v>
      </c>
      <c r="CB51" s="1015">
        <v>235329.04814299999</v>
      </c>
      <c r="CC51" s="1015">
        <v>242088.71400000001</v>
      </c>
      <c r="CD51" s="1015">
        <v>296161.913077</v>
      </c>
      <c r="CE51" s="1015">
        <v>239063.31400000001</v>
      </c>
      <c r="CF51" s="1015">
        <v>293492.16584799998</v>
      </c>
      <c r="CG51" s="1015">
        <v>273585.158</v>
      </c>
      <c r="CH51" s="1015">
        <v>346286.70407600002</v>
      </c>
      <c r="CI51" s="1015">
        <v>237303.571</v>
      </c>
      <c r="CJ51" s="1015">
        <v>311280.86859199998</v>
      </c>
      <c r="CK51" s="1015">
        <v>281581.17800000001</v>
      </c>
      <c r="CL51" s="1015">
        <v>380893.19505599997</v>
      </c>
      <c r="CM51" s="1015">
        <v>255665</v>
      </c>
      <c r="CN51" s="1015">
        <v>373603</v>
      </c>
    </row>
    <row r="52" spans="1:92">
      <c r="A52" s="1015" t="s">
        <v>51</v>
      </c>
      <c r="B52" s="1016" t="s">
        <v>530</v>
      </c>
      <c r="C52" s="1028"/>
      <c r="D52" s="1028"/>
      <c r="E52" s="1028"/>
      <c r="F52" s="1028"/>
      <c r="G52" s="1025"/>
      <c r="H52" s="1025"/>
      <c r="I52" s="1025"/>
      <c r="J52" s="1025"/>
      <c r="K52" s="1028"/>
      <c r="L52" s="1028"/>
      <c r="M52" s="1028"/>
      <c r="N52" s="1028"/>
      <c r="O52" s="1025"/>
      <c r="P52" s="1025"/>
      <c r="Q52" s="1025"/>
      <c r="R52" s="1025"/>
      <c r="S52" s="1025"/>
      <c r="T52" s="1025"/>
      <c r="U52" s="1028"/>
      <c r="V52" s="1028"/>
      <c r="W52" s="1028"/>
      <c r="X52" s="1028"/>
      <c r="Y52" s="1037"/>
      <c r="Z52" s="1037"/>
      <c r="AA52" s="1025"/>
      <c r="AB52" s="1025"/>
      <c r="AC52" s="1023">
        <v>3353.4580000000001</v>
      </c>
      <c r="AD52" s="1023">
        <v>7057.2965009999998</v>
      </c>
      <c r="AE52" s="1038">
        <v>4393.7520000000004</v>
      </c>
      <c r="AF52" s="1038">
        <v>9023.8420989999995</v>
      </c>
      <c r="AG52" s="1038">
        <v>5353.625</v>
      </c>
      <c r="AH52" s="1038">
        <v>10755.469963</v>
      </c>
      <c r="AI52" s="1047">
        <v>7117.2740000000003</v>
      </c>
      <c r="AJ52" s="1047">
        <v>14293.893024999999</v>
      </c>
      <c r="AK52" s="1015">
        <v>7119.3590000000004</v>
      </c>
      <c r="AL52" s="1015">
        <v>14444.629826</v>
      </c>
      <c r="AM52" s="1015">
        <v>4937.1369999999997</v>
      </c>
      <c r="AN52" s="1015">
        <v>9542.0759990000006</v>
      </c>
      <c r="AO52" s="1015">
        <v>4731.3509999999997</v>
      </c>
      <c r="AP52" s="1015">
        <v>9552.2138200000009</v>
      </c>
      <c r="AQ52" s="1052">
        <v>3776.8850000000002</v>
      </c>
      <c r="AR52" s="1052">
        <v>6098.9914070000004</v>
      </c>
      <c r="AS52" s="1052">
        <v>2836.98</v>
      </c>
      <c r="AT52" s="1052">
        <v>4253.2734030000001</v>
      </c>
      <c r="AU52" s="1015">
        <v>2111.0909999999999</v>
      </c>
      <c r="AV52" s="1015">
        <v>3430.631007</v>
      </c>
      <c r="AW52" s="1068">
        <v>3968.3310000000001</v>
      </c>
      <c r="AX52" s="1068">
        <v>6986.7235799999999</v>
      </c>
      <c r="AY52" s="1052">
        <v>3872.1149999999998</v>
      </c>
      <c r="AZ52" s="1052">
        <v>6511.2755850000003</v>
      </c>
      <c r="BA52" s="1015">
        <v>2975.52</v>
      </c>
      <c r="BB52" s="1015">
        <v>5517.759755</v>
      </c>
      <c r="BC52" s="1052">
        <v>4420.7790000000005</v>
      </c>
      <c r="BD52" s="1052">
        <v>8933.3767019999996</v>
      </c>
      <c r="BE52" s="1015">
        <v>7754.817</v>
      </c>
      <c r="BF52" s="1015">
        <v>15235.039902</v>
      </c>
      <c r="BG52" s="1015">
        <v>4831.2690000000002</v>
      </c>
      <c r="BH52" s="1015">
        <v>9434.7004880000004</v>
      </c>
      <c r="BI52" s="1015">
        <v>3264.14</v>
      </c>
      <c r="BJ52" s="1015">
        <v>5706.40056</v>
      </c>
      <c r="BK52" s="1015">
        <v>1598.3019999999999</v>
      </c>
      <c r="BL52" s="1015">
        <v>2690.6891220000002</v>
      </c>
      <c r="BM52" s="1015">
        <v>2735.1819999999998</v>
      </c>
      <c r="BN52" s="1015">
        <v>4597.7677999999996</v>
      </c>
      <c r="BO52" s="1015">
        <v>1974.1410000000001</v>
      </c>
      <c r="BP52" s="1015">
        <v>3692.2361149999997</v>
      </c>
      <c r="BQ52" s="1015">
        <v>1318.9829999999999</v>
      </c>
      <c r="BR52" s="1015">
        <v>2525.9465829999999</v>
      </c>
      <c r="BS52" s="1015">
        <v>1742.5940000000001</v>
      </c>
      <c r="BT52" s="1015">
        <v>3780.9734920000001</v>
      </c>
      <c r="BU52" s="1015">
        <v>2593.2860000000001</v>
      </c>
      <c r="BV52" s="1015">
        <v>5531.4348060000002</v>
      </c>
      <c r="BW52" s="1015">
        <v>3514.5740000000001</v>
      </c>
      <c r="BX52" s="1015">
        <v>6946.9336670000002</v>
      </c>
      <c r="BY52" s="1015">
        <v>4660.67</v>
      </c>
      <c r="BZ52" s="1015">
        <v>9652.5735489999988</v>
      </c>
      <c r="CA52" s="1015">
        <v>5403.6210000000001</v>
      </c>
      <c r="CB52" s="1015">
        <v>11402.427909999999</v>
      </c>
      <c r="CC52" s="1015">
        <v>9119.4709999999995</v>
      </c>
      <c r="CD52" s="1015">
        <v>20511.481405999999</v>
      </c>
      <c r="CE52" s="1015">
        <v>4488.5519999999997</v>
      </c>
      <c r="CF52" s="1015">
        <v>9475.790579999999</v>
      </c>
      <c r="CG52" s="1015">
        <v>3426.8380000000002</v>
      </c>
      <c r="CH52" s="1015">
        <v>8275.2322409999997</v>
      </c>
      <c r="CI52" s="1015">
        <v>2289.8939999999998</v>
      </c>
      <c r="CJ52" s="1015">
        <v>5059.2104989999998</v>
      </c>
      <c r="CK52" s="1015">
        <v>6772.4979999999996</v>
      </c>
      <c r="CL52" s="1015">
        <v>16688.463488000001</v>
      </c>
      <c r="CM52" s="1015">
        <v>13663</v>
      </c>
      <c r="CN52" s="1015">
        <v>31968</v>
      </c>
    </row>
    <row r="53" spans="1:92">
      <c r="A53" s="1015" t="s">
        <v>51</v>
      </c>
      <c r="B53" s="1016" t="s">
        <v>531</v>
      </c>
      <c r="C53" s="1028"/>
      <c r="D53" s="1028"/>
      <c r="E53" s="1028"/>
      <c r="F53" s="1028"/>
      <c r="G53" s="1025"/>
      <c r="H53" s="1025"/>
      <c r="I53" s="1025"/>
      <c r="J53" s="1025"/>
      <c r="K53" s="1028"/>
      <c r="L53" s="1028"/>
      <c r="M53" s="1028"/>
      <c r="N53" s="1028"/>
      <c r="O53" s="1025"/>
      <c r="P53" s="1025"/>
      <c r="Q53" s="1025"/>
      <c r="R53" s="1025"/>
      <c r="S53" s="1025"/>
      <c r="T53" s="1025"/>
      <c r="U53" s="1028"/>
      <c r="V53" s="1028"/>
      <c r="W53" s="1028"/>
      <c r="X53" s="1028"/>
      <c r="Y53" s="1037"/>
      <c r="Z53" s="1037"/>
      <c r="AA53" s="1025"/>
      <c r="AB53" s="1025"/>
      <c r="AC53" s="1023">
        <v>110783.702</v>
      </c>
      <c r="AD53" s="1023">
        <v>118629.391753</v>
      </c>
      <c r="AE53" s="1038">
        <v>87283.346000000005</v>
      </c>
      <c r="AF53" s="1038">
        <v>89443.252407000007</v>
      </c>
      <c r="AG53" s="1038">
        <v>135712.193</v>
      </c>
      <c r="AH53" s="1038">
        <v>144729.853565</v>
      </c>
      <c r="AI53" s="1047">
        <v>98578.474000000002</v>
      </c>
      <c r="AJ53" s="1047">
        <v>105993.668873</v>
      </c>
      <c r="AK53" s="1015">
        <v>110430.45699999999</v>
      </c>
      <c r="AL53" s="1015">
        <v>121264.00662499999</v>
      </c>
      <c r="AM53" s="1015">
        <v>102735.73699999999</v>
      </c>
      <c r="AN53" s="1015">
        <v>111665.034688</v>
      </c>
      <c r="AO53" s="1015">
        <v>108423.159</v>
      </c>
      <c r="AP53" s="1015">
        <v>119453.720749</v>
      </c>
      <c r="AQ53" s="1052">
        <v>119417.40700000001</v>
      </c>
      <c r="AR53" s="1052">
        <v>136752.94813800001</v>
      </c>
      <c r="AS53" s="1052">
        <v>129523.53599999999</v>
      </c>
      <c r="AT53" s="1052">
        <v>144995.04577699999</v>
      </c>
      <c r="AU53" s="1015">
        <v>110519.568</v>
      </c>
      <c r="AV53" s="1015">
        <v>121081.39204799999</v>
      </c>
      <c r="AW53" s="1068">
        <v>103555.22</v>
      </c>
      <c r="AX53" s="1068">
        <v>109725.30381300001</v>
      </c>
      <c r="AY53" s="1052">
        <v>116938.04700000001</v>
      </c>
      <c r="AZ53" s="1052">
        <v>122138.891168</v>
      </c>
      <c r="BA53" s="1015">
        <v>78015.835000000006</v>
      </c>
      <c r="BB53" s="1015">
        <v>83165.360543999996</v>
      </c>
      <c r="BC53" s="1052">
        <v>102656.738</v>
      </c>
      <c r="BD53" s="1052">
        <v>100933.45851</v>
      </c>
      <c r="BE53" s="1015">
        <v>114222.95600000001</v>
      </c>
      <c r="BF53" s="1015">
        <v>115673.436099</v>
      </c>
      <c r="BG53" s="1015">
        <v>132718.09099999999</v>
      </c>
      <c r="BH53" s="1015">
        <v>133753.32420900001</v>
      </c>
      <c r="BI53" s="1015">
        <v>128159.792</v>
      </c>
      <c r="BJ53" s="1015">
        <v>123822.098298</v>
      </c>
      <c r="BK53" s="1015">
        <v>115357.85</v>
      </c>
      <c r="BL53" s="1015">
        <v>113212.58257100001</v>
      </c>
      <c r="BM53" s="1015">
        <v>110112.058</v>
      </c>
      <c r="BN53" s="1015">
        <v>112771.921923</v>
      </c>
      <c r="BO53" s="1015">
        <v>111850.768</v>
      </c>
      <c r="BP53" s="1015">
        <v>120409.70207300001</v>
      </c>
      <c r="BQ53" s="1015">
        <v>110535.681</v>
      </c>
      <c r="BR53" s="1015">
        <v>110902.88816900001</v>
      </c>
      <c r="BS53" s="1015">
        <v>119824.159</v>
      </c>
      <c r="BT53" s="1015">
        <v>130007.34182099998</v>
      </c>
      <c r="BU53" s="1015">
        <v>115759.576</v>
      </c>
      <c r="BV53" s="1015">
        <v>124553.45872899999</v>
      </c>
      <c r="BW53" s="1015">
        <v>146043.10800000001</v>
      </c>
      <c r="BX53" s="1015">
        <v>151775.25583099999</v>
      </c>
      <c r="BY53" s="1015">
        <v>126418.632</v>
      </c>
      <c r="BZ53" s="1015">
        <v>139047.551443</v>
      </c>
      <c r="CA53" s="1015">
        <v>109018.8</v>
      </c>
      <c r="CB53" s="1015">
        <v>124809.19454700001</v>
      </c>
      <c r="CC53" s="1015">
        <v>125352.41499999999</v>
      </c>
      <c r="CD53" s="1015">
        <v>147414.948439</v>
      </c>
      <c r="CE53" s="1015">
        <v>121797.82799999999</v>
      </c>
      <c r="CF53" s="1015">
        <v>147268.14278599998</v>
      </c>
      <c r="CG53" s="1015">
        <v>134186.56</v>
      </c>
      <c r="CH53" s="1015">
        <v>169831.18427599999</v>
      </c>
      <c r="CI53" s="1015">
        <v>123256.307</v>
      </c>
      <c r="CJ53" s="1015">
        <v>162649.25971400001</v>
      </c>
      <c r="CK53" s="1015">
        <v>158088.33100000001</v>
      </c>
      <c r="CL53" s="1015">
        <v>213027.37747800001</v>
      </c>
      <c r="CM53" s="1015">
        <v>123143</v>
      </c>
      <c r="CN53" s="1015">
        <v>186871</v>
      </c>
    </row>
    <row r="54" spans="1:92">
      <c r="A54" s="1015" t="s">
        <v>51</v>
      </c>
      <c r="B54" s="1016" t="s">
        <v>532</v>
      </c>
      <c r="C54" s="1028"/>
      <c r="D54" s="1028"/>
      <c r="E54" s="1028"/>
      <c r="F54" s="1028"/>
      <c r="G54" s="1025"/>
      <c r="H54" s="1025"/>
      <c r="I54" s="1025"/>
      <c r="J54" s="1025"/>
      <c r="K54" s="1028"/>
      <c r="L54" s="1028"/>
      <c r="M54" s="1028"/>
      <c r="N54" s="1028"/>
      <c r="O54" s="1025"/>
      <c r="P54" s="1025"/>
      <c r="Q54" s="1025"/>
      <c r="R54" s="1025"/>
      <c r="S54" s="1025"/>
      <c r="T54" s="1025"/>
      <c r="U54" s="1028"/>
      <c r="V54" s="1028"/>
      <c r="W54" s="1028"/>
      <c r="X54" s="1028"/>
      <c r="Y54" s="1037"/>
      <c r="Z54" s="1037"/>
      <c r="AA54" s="1025"/>
      <c r="AB54" s="1025"/>
      <c r="AC54" s="1023">
        <v>4087.971</v>
      </c>
      <c r="AD54" s="1023">
        <v>5765.6275900000001</v>
      </c>
      <c r="AE54" s="1038">
        <v>1938.915</v>
      </c>
      <c r="AF54" s="1038">
        <v>2718.052983</v>
      </c>
      <c r="AG54" s="1038">
        <v>4485.2139999999999</v>
      </c>
      <c r="AH54" s="1038">
        <v>5615.0208469999998</v>
      </c>
      <c r="AI54" s="1047">
        <v>4008.1640000000002</v>
      </c>
      <c r="AJ54" s="1047">
        <v>5486.0441460000002</v>
      </c>
      <c r="AK54" s="1015">
        <v>3498.694</v>
      </c>
      <c r="AL54" s="1015">
        <v>4716.9611430000004</v>
      </c>
      <c r="AM54" s="1015">
        <v>3023.9110000000001</v>
      </c>
      <c r="AN54" s="1015">
        <v>4135.3239970000004</v>
      </c>
      <c r="AO54" s="1015">
        <v>2564.31</v>
      </c>
      <c r="AP54" s="1015">
        <v>3435.4604920000002</v>
      </c>
      <c r="AQ54" s="1052">
        <v>2858.752</v>
      </c>
      <c r="AR54" s="1052">
        <v>3796.4046720000001</v>
      </c>
      <c r="AS54" s="1052">
        <v>3290.866</v>
      </c>
      <c r="AT54" s="1052">
        <v>4842.6799129999999</v>
      </c>
      <c r="AU54" s="1015">
        <v>2737.8090000000002</v>
      </c>
      <c r="AV54" s="1015">
        <v>4381.2795450000003</v>
      </c>
      <c r="AW54" s="1068">
        <v>3533.45</v>
      </c>
      <c r="AX54" s="1068">
        <v>5298.6780779999999</v>
      </c>
      <c r="AY54" s="1052">
        <v>2833.3229999999999</v>
      </c>
      <c r="AZ54" s="1052">
        <v>3753.3317419999998</v>
      </c>
      <c r="BA54" s="1015">
        <v>1417.1759999999999</v>
      </c>
      <c r="BB54" s="1015">
        <v>1767.789696</v>
      </c>
      <c r="BC54" s="1052">
        <v>2243.3130000000001</v>
      </c>
      <c r="BD54" s="1052">
        <v>2214.5532130000001</v>
      </c>
      <c r="BE54" s="1015">
        <v>4229.0479999999998</v>
      </c>
      <c r="BF54" s="1015">
        <v>4678.4986650000001</v>
      </c>
      <c r="BG54" s="1015">
        <v>4080.6860000000001</v>
      </c>
      <c r="BH54" s="1015">
        <v>4344.6773130000001</v>
      </c>
      <c r="BI54" s="1015">
        <v>1441.7909999999999</v>
      </c>
      <c r="BJ54" s="1015">
        <v>1734.485238</v>
      </c>
      <c r="BK54" s="1015">
        <v>1823.473</v>
      </c>
      <c r="BL54" s="1015">
        <v>2176.4290780000001</v>
      </c>
      <c r="BM54" s="1015">
        <v>2812.9</v>
      </c>
      <c r="BN54" s="1015">
        <v>3495.4674489999993</v>
      </c>
      <c r="BO54" s="1015">
        <v>2864.76</v>
      </c>
      <c r="BP54" s="1015">
        <v>3719.9632310000002</v>
      </c>
      <c r="BQ54" s="1015">
        <v>2557.86</v>
      </c>
      <c r="BR54" s="1015">
        <v>3210.8284149999999</v>
      </c>
      <c r="BS54" s="1015">
        <v>1936.9830000000002</v>
      </c>
      <c r="BT54" s="1015">
        <v>2623.1680380000003</v>
      </c>
      <c r="BU54" s="1015">
        <v>1632.8679999999999</v>
      </c>
      <c r="BV54" s="1015">
        <v>2075.3207320000001</v>
      </c>
      <c r="BW54" s="1015">
        <v>2897.134</v>
      </c>
      <c r="BX54" s="1015">
        <v>3699.3230009999997</v>
      </c>
      <c r="BY54" s="1015">
        <v>1895.424</v>
      </c>
      <c r="BZ54" s="1015">
        <v>2463.2200109999999</v>
      </c>
      <c r="CA54" s="1015">
        <v>2313.0650000000001</v>
      </c>
      <c r="CB54" s="1015">
        <v>2883.5093550000001</v>
      </c>
      <c r="CC54" s="1015">
        <v>2224.1909999999998</v>
      </c>
      <c r="CD54" s="1015">
        <v>2818.349318</v>
      </c>
      <c r="CE54" s="1015">
        <v>1433.0940000000001</v>
      </c>
      <c r="CF54" s="1015">
        <v>1662.250123</v>
      </c>
      <c r="CG54" s="1015">
        <v>2770.6410000000001</v>
      </c>
      <c r="CH54" s="1015">
        <v>4124.0378499999997</v>
      </c>
      <c r="CI54" s="1015">
        <v>1946.6420000000001</v>
      </c>
      <c r="CJ54" s="1015">
        <v>2837.0321559999998</v>
      </c>
      <c r="CK54" s="1015">
        <v>2254.3249999999998</v>
      </c>
      <c r="CL54" s="1015">
        <v>3503.9164430000001</v>
      </c>
      <c r="CM54" s="1015">
        <v>3342</v>
      </c>
      <c r="CN54" s="1015">
        <v>4978</v>
      </c>
    </row>
    <row r="55" spans="1:92">
      <c r="A55" s="1015" t="s">
        <v>51</v>
      </c>
      <c r="B55" s="1016" t="s">
        <v>533</v>
      </c>
      <c r="C55" s="1028"/>
      <c r="D55" s="1028"/>
      <c r="E55" s="1028"/>
      <c r="F55" s="1028"/>
      <c r="G55" s="1025"/>
      <c r="H55" s="1025"/>
      <c r="I55" s="1025"/>
      <c r="J55" s="1025"/>
      <c r="K55" s="1028"/>
      <c r="L55" s="1028"/>
      <c r="M55" s="1028"/>
      <c r="N55" s="1028"/>
      <c r="O55" s="1025"/>
      <c r="P55" s="1025"/>
      <c r="Q55" s="1025"/>
      <c r="R55" s="1025"/>
      <c r="S55" s="1025"/>
      <c r="T55" s="1025"/>
      <c r="U55" s="1028"/>
      <c r="V55" s="1028"/>
      <c r="W55" s="1028"/>
      <c r="X55" s="1028"/>
      <c r="Y55" s="1037"/>
      <c r="Z55" s="1037"/>
      <c r="AA55" s="1025"/>
      <c r="AB55" s="1025"/>
      <c r="AC55" s="1023">
        <v>102671.505</v>
      </c>
      <c r="AD55" s="1023">
        <v>101790.249371</v>
      </c>
      <c r="AE55" s="1038">
        <v>104003.916</v>
      </c>
      <c r="AF55" s="1038">
        <v>91225.682056000005</v>
      </c>
      <c r="AG55" s="1038">
        <v>116193.969</v>
      </c>
      <c r="AH55" s="1038">
        <v>110388.155921</v>
      </c>
      <c r="AI55" s="1047">
        <v>90118.159</v>
      </c>
      <c r="AJ55" s="1047">
        <v>93347.069654000006</v>
      </c>
      <c r="AK55" s="1015">
        <v>93046.187000000005</v>
      </c>
      <c r="AL55" s="1015">
        <v>97259.688901000001</v>
      </c>
      <c r="AM55" s="1015">
        <v>103396.56200000001</v>
      </c>
      <c r="AN55" s="1015">
        <v>107981.560813</v>
      </c>
      <c r="AO55" s="1015">
        <v>97156.991999999998</v>
      </c>
      <c r="AP55" s="1015">
        <v>98386.647312999994</v>
      </c>
      <c r="AQ55" s="1052">
        <v>97942.244999999995</v>
      </c>
      <c r="AR55" s="1052">
        <v>101973.15246899999</v>
      </c>
      <c r="AS55" s="1052">
        <v>112092.96799999999</v>
      </c>
      <c r="AT55" s="1052">
        <v>117962.30687499999</v>
      </c>
      <c r="AU55" s="1015">
        <v>107882.49400000001</v>
      </c>
      <c r="AV55" s="1015">
        <v>101109.650148</v>
      </c>
      <c r="AW55" s="1068">
        <v>95581.798999999999</v>
      </c>
      <c r="AX55" s="1068">
        <v>90950.143886000005</v>
      </c>
      <c r="AY55" s="1052">
        <v>101594.29300000001</v>
      </c>
      <c r="AZ55" s="1052">
        <v>97079.609687000004</v>
      </c>
      <c r="BA55" s="1015">
        <v>79528.611999999994</v>
      </c>
      <c r="BB55" s="1015">
        <v>72499.394862999994</v>
      </c>
      <c r="BC55" s="1052">
        <v>89241.657000000007</v>
      </c>
      <c r="BD55" s="1052">
        <v>77315.838252000001</v>
      </c>
      <c r="BE55" s="1015">
        <v>98335.649000000005</v>
      </c>
      <c r="BF55" s="1015">
        <v>98130.886310000002</v>
      </c>
      <c r="BG55" s="1015">
        <v>107639.018</v>
      </c>
      <c r="BH55" s="1015">
        <v>97128.287320999996</v>
      </c>
      <c r="BI55" s="1015">
        <v>131481.198</v>
      </c>
      <c r="BJ55" s="1015">
        <v>109095.37257399999</v>
      </c>
      <c r="BK55" s="1015">
        <v>106208.963</v>
      </c>
      <c r="BL55" s="1015">
        <v>87990.779519999996</v>
      </c>
      <c r="BM55" s="1015">
        <v>96531.824000000008</v>
      </c>
      <c r="BN55" s="1015">
        <v>91659.300239999997</v>
      </c>
      <c r="BO55" s="1015">
        <v>84709.762000000002</v>
      </c>
      <c r="BP55" s="1015">
        <v>83631.457829999999</v>
      </c>
      <c r="BQ55" s="1015">
        <v>82352.732000000004</v>
      </c>
      <c r="BR55" s="1015">
        <v>73112.676854999998</v>
      </c>
      <c r="BS55" s="1015">
        <v>99526.548999999999</v>
      </c>
      <c r="BT55" s="1015">
        <v>103890.43300999999</v>
      </c>
      <c r="BU55" s="1015">
        <v>104944.587</v>
      </c>
      <c r="BV55" s="1015">
        <v>97675.844469000003</v>
      </c>
      <c r="BW55" s="1015">
        <v>91325.255999999994</v>
      </c>
      <c r="BX55" s="1015">
        <v>88395.868652000005</v>
      </c>
      <c r="BY55" s="1015">
        <v>98211.751000000004</v>
      </c>
      <c r="BZ55" s="1015">
        <v>90290.17930399999</v>
      </c>
      <c r="CA55" s="1015">
        <v>84587.827000000005</v>
      </c>
      <c r="CB55" s="1015">
        <v>96233.916331</v>
      </c>
      <c r="CC55" s="1015">
        <v>105392.637</v>
      </c>
      <c r="CD55" s="1015">
        <v>125417.13391400001</v>
      </c>
      <c r="CE55" s="1015">
        <v>111343.84</v>
      </c>
      <c r="CF55" s="1015">
        <v>135085.98235899999</v>
      </c>
      <c r="CG55" s="1015">
        <v>133201.11900000001</v>
      </c>
      <c r="CH55" s="1015">
        <v>164056.249709</v>
      </c>
      <c r="CI55" s="1015">
        <v>109810.728</v>
      </c>
      <c r="CJ55" s="1015">
        <v>140735.36622299999</v>
      </c>
      <c r="CK55" s="1015">
        <v>114466.024</v>
      </c>
      <c r="CL55" s="1015">
        <v>147673.43764700001</v>
      </c>
      <c r="CM55" s="1015">
        <v>115516</v>
      </c>
      <c r="CN55" s="1015">
        <v>149787</v>
      </c>
    </row>
    <row r="56" spans="1:92" s="1009" customFormat="1">
      <c r="A56" s="1009" t="s">
        <v>51</v>
      </c>
      <c r="B56" s="1029" t="s">
        <v>525</v>
      </c>
      <c r="C56" s="1027">
        <v>-1187.9110000000001</v>
      </c>
      <c r="D56" s="1027">
        <v>-2123.024797</v>
      </c>
      <c r="E56" s="1027">
        <v>-1960.4929999999999</v>
      </c>
      <c r="F56" s="1027">
        <v>-3457.6000575109001</v>
      </c>
      <c r="G56" s="1027">
        <v>-2310.085</v>
      </c>
      <c r="H56" s="1027">
        <v>-3430.6582877788801</v>
      </c>
      <c r="I56" s="1027">
        <v>-2317.8209999999999</v>
      </c>
      <c r="J56" s="1027">
        <v>-3100.2672756699999</v>
      </c>
      <c r="K56" s="1027">
        <v>-2607.4630000000002</v>
      </c>
      <c r="L56" s="1027">
        <v>-4882.7832424345097</v>
      </c>
      <c r="M56" s="1027">
        <v>-3167.9879999999998</v>
      </c>
      <c r="N56" s="1027">
        <f>-3865.5372</f>
        <v>-3865.5372000000002</v>
      </c>
      <c r="O56" s="1027">
        <v>-1916.8820000000001</v>
      </c>
      <c r="P56" s="1027">
        <v>-3108.9799938265</v>
      </c>
      <c r="Q56" s="1027">
        <v>-183.917</v>
      </c>
      <c r="R56" s="1027">
        <v>-225.24719999999999</v>
      </c>
      <c r="S56" s="1027">
        <v>-2812.97</v>
      </c>
      <c r="T56" s="1027">
        <v>-3984.3472832759699</v>
      </c>
      <c r="U56" s="1027">
        <v>215.64400000000001</v>
      </c>
      <c r="V56" s="1027">
        <v>-751.18035539055995</v>
      </c>
      <c r="W56" s="1035">
        <v>-539</v>
      </c>
      <c r="X56" s="1035">
        <v>-1191</v>
      </c>
      <c r="Y56" s="1041">
        <v>-1950.2049999999999</v>
      </c>
      <c r="Z56" s="1041">
        <v>-3282.4586509999999</v>
      </c>
      <c r="AA56" s="1033">
        <v>-359.78800000000001</v>
      </c>
      <c r="AB56" s="1033">
        <v>-1079.9833812871</v>
      </c>
      <c r="AC56" s="1027">
        <v>-3063.7489999999998</v>
      </c>
      <c r="AD56" s="1027">
        <v>-5882.2370177233997</v>
      </c>
      <c r="AE56" s="1040">
        <v>-2048.0430000000001</v>
      </c>
      <c r="AF56" s="1040">
        <v>-3701.663197675</v>
      </c>
      <c r="AG56" s="1038">
        <v>-1059.011</v>
      </c>
      <c r="AH56" s="1038">
        <v>-2233.9759115361499</v>
      </c>
      <c r="AI56" s="1048">
        <v>-976.17100000000005</v>
      </c>
      <c r="AJ56" s="1048">
        <v>-2325.6951666199998</v>
      </c>
      <c r="AK56" s="1009">
        <v>-997.68100000000004</v>
      </c>
      <c r="AL56" s="1009">
        <v>-2127.6505683885998</v>
      </c>
      <c r="AM56" s="1009">
        <v>-1332.8050000000001</v>
      </c>
      <c r="AN56" s="1009">
        <v>-2859.4938956067999</v>
      </c>
      <c r="AO56" s="1009">
        <v>-1496.78</v>
      </c>
      <c r="AP56" s="1009">
        <v>-2733.2448435413999</v>
      </c>
      <c r="AQ56" s="1052">
        <v>-1762.4380000000001</v>
      </c>
      <c r="AR56" s="1052">
        <v>-3499.517615791</v>
      </c>
      <c r="AS56" s="1052">
        <v>-1613.021</v>
      </c>
      <c r="AT56" s="1052">
        <v>-3565.838305192</v>
      </c>
      <c r="AU56" s="1009">
        <v>-1667.6310000000001</v>
      </c>
      <c r="AV56" s="1009">
        <v>-3846.5024212108001</v>
      </c>
      <c r="AW56" s="1068">
        <v>-2267.0189999999998</v>
      </c>
      <c r="AX56" s="1068">
        <v>-4599.3084989554</v>
      </c>
      <c r="AY56" s="1052">
        <v>-888.41099999999994</v>
      </c>
      <c r="AZ56" s="1052">
        <v>-2363.4147487052001</v>
      </c>
      <c r="BA56" s="1009">
        <v>-1854.107</v>
      </c>
      <c r="BB56" s="1009">
        <v>-3422.9579132874001</v>
      </c>
      <c r="BC56" s="1052">
        <v>-785</v>
      </c>
      <c r="BD56" s="1052">
        <v>-1819</v>
      </c>
      <c r="BE56" s="1009">
        <v>-1048.6020000000001</v>
      </c>
      <c r="BF56" s="1009">
        <v>-1635.0164306564</v>
      </c>
      <c r="BG56" s="1009">
        <v>-1094.319</v>
      </c>
      <c r="BH56" s="1009">
        <v>-2401.7965473243999</v>
      </c>
      <c r="BI56" s="1009">
        <v>-1789.6569999999999</v>
      </c>
      <c r="BJ56" s="1009">
        <v>-3375.5964746381001</v>
      </c>
      <c r="BK56" s="1009">
        <v>-587.76900000000001</v>
      </c>
      <c r="BL56" s="1009">
        <v>-1257.646175478</v>
      </c>
      <c r="BM56" s="1009">
        <v>-333.33100000000002</v>
      </c>
      <c r="BN56" s="1009">
        <v>-913.55916404900017</v>
      </c>
      <c r="BO56" s="1009">
        <v>-208.23599999999999</v>
      </c>
      <c r="BP56" s="1009">
        <v>-1009.0724823324</v>
      </c>
      <c r="BQ56" s="1009">
        <v>-116.50200000000004</v>
      </c>
      <c r="BR56" s="1009">
        <v>-409.31417201869999</v>
      </c>
      <c r="BS56" s="1009">
        <v>61.140000000000015</v>
      </c>
      <c r="BT56" s="1009">
        <v>-357.73186189430004</v>
      </c>
      <c r="BU56" s="1009">
        <v>-373.673</v>
      </c>
      <c r="BV56" s="1009">
        <v>-719.6561679724</v>
      </c>
      <c r="BW56" s="1009">
        <v>-50.897000000000006</v>
      </c>
      <c r="BX56" s="1009">
        <v>-176.23291898660003</v>
      </c>
      <c r="BY56" s="1009">
        <v>-638.25</v>
      </c>
      <c r="BZ56" s="1009">
        <v>-1811.7339663967996</v>
      </c>
      <c r="CA56" s="1009">
        <v>26.385000000000002</v>
      </c>
      <c r="CC56" s="1009">
        <v>-976.55799999999999</v>
      </c>
      <c r="CD56" s="1009">
        <v>-1806.4597723407999</v>
      </c>
      <c r="CE56" s="1009">
        <v>-462.12199999999996</v>
      </c>
      <c r="CF56" s="1009">
        <v>-2247.6120327160002</v>
      </c>
      <c r="CG56" s="1009">
        <v>-1992.9110000000001</v>
      </c>
      <c r="CH56" s="1009">
        <v>-14087.3621168396</v>
      </c>
      <c r="CI56" s="1009">
        <v>-669.95100000000002</v>
      </c>
      <c r="CJ56" s="1009">
        <v>-36338.501108017103</v>
      </c>
      <c r="CK56" s="1009">
        <v>-2318.8639999999996</v>
      </c>
      <c r="CL56" s="1009">
        <v>19349.462266179798</v>
      </c>
      <c r="CM56" s="1009">
        <v>-3217</v>
      </c>
      <c r="CN56" s="1009">
        <v>-22124</v>
      </c>
    </row>
    <row r="57" spans="1:92" ht="15">
      <c r="B57" s="1030" t="s">
        <v>534</v>
      </c>
      <c r="C57" s="1031">
        <v>0</v>
      </c>
      <c r="D57" s="1031">
        <v>0</v>
      </c>
      <c r="E57" s="1031">
        <v>0</v>
      </c>
      <c r="F57" s="1031">
        <v>0</v>
      </c>
      <c r="G57" s="1031"/>
      <c r="H57" s="1031"/>
      <c r="I57" s="1023">
        <v>0</v>
      </c>
      <c r="J57" s="1023">
        <v>0</v>
      </c>
      <c r="K57" s="1031"/>
      <c r="L57" s="1031"/>
      <c r="M57" s="1031">
        <v>0</v>
      </c>
      <c r="N57" s="1031">
        <v>0</v>
      </c>
      <c r="O57" s="1031"/>
      <c r="P57" s="1031"/>
      <c r="Q57" s="1023">
        <v>0</v>
      </c>
      <c r="R57" s="1023">
        <v>0</v>
      </c>
      <c r="S57" s="1023">
        <v>0</v>
      </c>
      <c r="T57" s="1023">
        <v>0</v>
      </c>
      <c r="U57" s="1031">
        <v>0</v>
      </c>
      <c r="V57" s="1031">
        <v>0</v>
      </c>
      <c r="W57" s="1032">
        <v>0</v>
      </c>
      <c r="X57" s="1032">
        <v>0</v>
      </c>
      <c r="Y57" s="1037"/>
      <c r="Z57" s="1037"/>
      <c r="AA57" s="1025">
        <v>0</v>
      </c>
      <c r="AB57" s="1025">
        <v>0</v>
      </c>
      <c r="AC57" s="1031">
        <v>0</v>
      </c>
      <c r="AD57" s="1031">
        <v>0</v>
      </c>
      <c r="AE57" s="1042">
        <v>0</v>
      </c>
      <c r="AF57" s="1042">
        <v>0</v>
      </c>
      <c r="AG57" s="1050">
        <v>0</v>
      </c>
      <c r="AH57" s="1050">
        <v>0</v>
      </c>
      <c r="AI57" s="1051">
        <v>0</v>
      </c>
      <c r="AJ57" s="1051">
        <v>0</v>
      </c>
      <c r="AK57" s="1015">
        <v>0</v>
      </c>
      <c r="AL57" s="1015">
        <v>0</v>
      </c>
      <c r="AM57" s="1015">
        <v>0</v>
      </c>
      <c r="AN57" s="1015">
        <v>0</v>
      </c>
      <c r="AQ57" s="1052">
        <v>0</v>
      </c>
      <c r="AR57" s="1052">
        <v>0</v>
      </c>
      <c r="AS57" s="1052">
        <v>0</v>
      </c>
      <c r="AT57" s="1052">
        <v>0</v>
      </c>
      <c r="AU57" s="1015">
        <v>0</v>
      </c>
      <c r="AV57" s="1015">
        <v>0</v>
      </c>
      <c r="AW57" s="1069">
        <v>0</v>
      </c>
      <c r="AX57" s="1069">
        <v>0</v>
      </c>
      <c r="AY57" s="1052">
        <v>0</v>
      </c>
      <c r="AZ57" s="1052">
        <v>0</v>
      </c>
      <c r="BA57" s="1015">
        <v>0</v>
      </c>
      <c r="BB57" s="1015">
        <v>0</v>
      </c>
      <c r="BC57" s="1066"/>
      <c r="BD57" s="1066"/>
      <c r="BE57" s="1015">
        <v>0</v>
      </c>
      <c r="BF57" s="1015">
        <v>0</v>
      </c>
      <c r="BG57" s="1015">
        <v>0</v>
      </c>
      <c r="BH57" s="1015">
        <v>0</v>
      </c>
      <c r="BI57" s="1015">
        <v>0</v>
      </c>
      <c r="BJ57" s="1015">
        <v>0</v>
      </c>
      <c r="BK57" s="1015">
        <v>0</v>
      </c>
      <c r="BL57" s="1015">
        <v>0</v>
      </c>
      <c r="BM57" s="1015">
        <v>0</v>
      </c>
      <c r="BN57" s="1015">
        <v>0</v>
      </c>
      <c r="BO57" s="1015">
        <v>0</v>
      </c>
      <c r="BP57" s="1015">
        <v>0</v>
      </c>
      <c r="BQ57" s="1015">
        <v>0</v>
      </c>
      <c r="BR57" s="1015">
        <v>0</v>
      </c>
      <c r="BS57" s="1015">
        <v>0</v>
      </c>
      <c r="BT57" s="1015">
        <v>0</v>
      </c>
      <c r="BU57" s="1015">
        <v>0</v>
      </c>
      <c r="BV57" s="1015">
        <v>0</v>
      </c>
      <c r="BW57" s="1015">
        <v>0</v>
      </c>
      <c r="BX57" s="1015">
        <v>0</v>
      </c>
      <c r="BY57" s="1015">
        <v>0</v>
      </c>
      <c r="BZ57" s="1015">
        <v>0</v>
      </c>
      <c r="CA57" s="1015">
        <v>0</v>
      </c>
      <c r="CB57" s="1015">
        <v>0</v>
      </c>
      <c r="CC57" s="1015">
        <v>0</v>
      </c>
      <c r="CD57" s="1015">
        <v>0</v>
      </c>
      <c r="CE57" s="1015">
        <v>0</v>
      </c>
      <c r="CF57" s="1015">
        <v>0</v>
      </c>
      <c r="CG57" s="1015">
        <v>0</v>
      </c>
      <c r="CH57" s="1015">
        <v>0</v>
      </c>
      <c r="CI57" s="1015">
        <v>0</v>
      </c>
      <c r="CJ57" s="1015">
        <v>0</v>
      </c>
      <c r="CK57" s="1015">
        <v>0</v>
      </c>
      <c r="CL57" s="1015">
        <v>0</v>
      </c>
    </row>
    <row r="58" spans="1:92" ht="15">
      <c r="B58" s="1030" t="s">
        <v>535</v>
      </c>
      <c r="C58" s="1031">
        <v>754.90599999999995</v>
      </c>
      <c r="D58" s="1031">
        <v>1309.488276</v>
      </c>
      <c r="E58" s="1031">
        <v>225.83500000000001</v>
      </c>
      <c r="F58" s="1031">
        <v>431.10194899999999</v>
      </c>
      <c r="G58" s="1031"/>
      <c r="H58" s="1031"/>
      <c r="I58" s="1023">
        <v>371.93</v>
      </c>
      <c r="J58" s="1023">
        <v>773.07892600000002</v>
      </c>
      <c r="K58" s="1031"/>
      <c r="L58" s="1031"/>
      <c r="M58" s="1031">
        <v>444.17</v>
      </c>
      <c r="N58" s="1031">
        <v>864.02276400000005</v>
      </c>
      <c r="O58" s="1023">
        <v>343.334</v>
      </c>
      <c r="P58" s="1023">
        <v>692.88222099999996</v>
      </c>
      <c r="Q58" s="1023">
        <v>221.60499999999999</v>
      </c>
      <c r="R58" s="1023">
        <v>457.880943</v>
      </c>
      <c r="S58" s="1023">
        <v>289.70800000000003</v>
      </c>
      <c r="T58" s="1023">
        <v>666.76349000000005</v>
      </c>
      <c r="U58" s="1031">
        <v>0</v>
      </c>
      <c r="V58" s="1031">
        <v>0</v>
      </c>
      <c r="W58" s="1032">
        <v>197</v>
      </c>
      <c r="X58" s="1032">
        <v>429</v>
      </c>
      <c r="Y58" s="1037">
        <v>88.156000000000006</v>
      </c>
      <c r="Z58" s="1037">
        <v>186.33798999999999</v>
      </c>
      <c r="AA58" s="1025">
        <v>223.97200000000001</v>
      </c>
      <c r="AB58" s="1025">
        <v>504.04869000000002</v>
      </c>
      <c r="AC58" s="1031">
        <v>160.48599999999999</v>
      </c>
      <c r="AD58" s="1031">
        <v>330.678945</v>
      </c>
      <c r="AE58" s="1042">
        <v>123.536</v>
      </c>
      <c r="AF58" s="1042">
        <v>254.51823400000001</v>
      </c>
      <c r="AG58" s="1042">
        <v>0</v>
      </c>
      <c r="AH58" s="1042">
        <v>0</v>
      </c>
      <c r="AI58" s="1051">
        <v>198.52</v>
      </c>
      <c r="AJ58" s="1051">
        <v>391.15543600000001</v>
      </c>
      <c r="AK58" s="1015">
        <v>229.54900000000001</v>
      </c>
      <c r="AL58" s="1015">
        <v>439.23146100000002</v>
      </c>
      <c r="AM58" s="1015">
        <v>225.92</v>
      </c>
      <c r="AN58" s="1015">
        <v>517.74690299999997</v>
      </c>
      <c r="AQ58" s="1052">
        <v>261.55700000000002</v>
      </c>
      <c r="AR58" s="1052">
        <v>548.74434199999996</v>
      </c>
      <c r="AS58" s="1052">
        <v>306.81400000000002</v>
      </c>
      <c r="AT58" s="1052">
        <v>613.52254700000003</v>
      </c>
      <c r="AU58" s="1015">
        <v>100.822</v>
      </c>
      <c r="AV58" s="1015">
        <v>192.5137</v>
      </c>
      <c r="AW58" s="1068">
        <v>38.186</v>
      </c>
      <c r="AX58" s="1068">
        <v>75.767813000000004</v>
      </c>
      <c r="AY58" s="1052">
        <v>487.68299999999999</v>
      </c>
      <c r="AZ58" s="1052">
        <v>982.92315199999996</v>
      </c>
      <c r="BC58" s="1066"/>
      <c r="BD58" s="1066"/>
      <c r="BE58" s="1015">
        <v>330.452</v>
      </c>
      <c r="BF58" s="1015">
        <v>649.51450791100001</v>
      </c>
      <c r="BG58" s="1015">
        <v>525.53499999999997</v>
      </c>
      <c r="BH58" s="1015">
        <v>1091.320858</v>
      </c>
      <c r="BI58" s="1015">
        <v>183.661</v>
      </c>
      <c r="BJ58" s="1015">
        <v>361.26631300000003</v>
      </c>
      <c r="BK58" s="1015">
        <v>328.69299999999998</v>
      </c>
      <c r="BL58" s="1015">
        <v>573.52482276249998</v>
      </c>
      <c r="BM58" s="1015">
        <v>245.13799999999992</v>
      </c>
      <c r="BN58" s="1015">
        <v>485.08046404499999</v>
      </c>
      <c r="BO58" s="1015">
        <v>302.762</v>
      </c>
      <c r="BP58" s="1015">
        <v>527.89384000000007</v>
      </c>
      <c r="BQ58" s="1015">
        <v>183.483</v>
      </c>
      <c r="BR58" s="1015">
        <v>359.18879700000002</v>
      </c>
      <c r="BS58" s="1015">
        <v>106.35199999999999</v>
      </c>
      <c r="BT58" s="1015">
        <v>183.99877111479995</v>
      </c>
      <c r="BU58" s="1015">
        <v>321.70800000000003</v>
      </c>
      <c r="BV58" s="1015">
        <v>580.36997099999996</v>
      </c>
      <c r="BW58" s="1015">
        <v>161.36999999999998</v>
      </c>
      <c r="BX58" s="1015">
        <v>313.46245009879999</v>
      </c>
      <c r="BY58" s="1015">
        <v>0</v>
      </c>
      <c r="BZ58" s="1015">
        <v>0</v>
      </c>
      <c r="CA58" s="1015">
        <v>61.404000000000003</v>
      </c>
      <c r="CB58" s="1015">
        <v>105.70291200000001</v>
      </c>
      <c r="CC58" s="1015">
        <v>18.54</v>
      </c>
      <c r="CD58" s="1015">
        <v>36.616444000000001</v>
      </c>
      <c r="CE58" s="1015">
        <v>733.75900000000001</v>
      </c>
      <c r="CF58" s="1015">
        <v>1337.3964989999999</v>
      </c>
      <c r="CG58" s="1015">
        <v>675.71799999999996</v>
      </c>
      <c r="CH58" s="1015">
        <v>1334.079833</v>
      </c>
      <c r="CK58" s="1015">
        <v>751.995</v>
      </c>
      <c r="CL58" s="1015">
        <v>1529.9033949999998</v>
      </c>
      <c r="CM58" s="1015">
        <v>651</v>
      </c>
      <c r="CN58" s="1015">
        <v>1405</v>
      </c>
    </row>
    <row r="59" spans="1:92" ht="15">
      <c r="B59" s="1030" t="s">
        <v>536</v>
      </c>
      <c r="C59" s="1031">
        <v>0</v>
      </c>
      <c r="D59" s="1031">
        <v>0</v>
      </c>
      <c r="E59" s="1031">
        <v>0</v>
      </c>
      <c r="F59" s="1031">
        <v>0</v>
      </c>
      <c r="G59" s="1031"/>
      <c r="H59" s="1031"/>
      <c r="I59" s="1023">
        <v>0</v>
      </c>
      <c r="J59" s="1023">
        <v>0</v>
      </c>
      <c r="K59" s="1031"/>
      <c r="L59" s="1031"/>
      <c r="M59" s="1031">
        <v>0</v>
      </c>
      <c r="N59" s="1031">
        <v>0</v>
      </c>
      <c r="O59" s="1031"/>
      <c r="P59" s="1031"/>
      <c r="Q59" s="1023"/>
      <c r="R59" s="1023"/>
      <c r="S59" s="1023">
        <v>0</v>
      </c>
      <c r="T59" s="1023">
        <v>0</v>
      </c>
      <c r="U59" s="1031">
        <v>0</v>
      </c>
      <c r="V59" s="1031">
        <v>0</v>
      </c>
      <c r="W59" s="1032">
        <v>0</v>
      </c>
      <c r="X59" s="1032">
        <v>0</v>
      </c>
      <c r="Y59" s="1037"/>
      <c r="Z59" s="1037"/>
      <c r="AA59" s="1025">
        <v>0</v>
      </c>
      <c r="AB59" s="1025">
        <v>0</v>
      </c>
      <c r="AC59" s="1031">
        <v>0</v>
      </c>
      <c r="AD59" s="1031">
        <v>0</v>
      </c>
      <c r="AE59" s="1042">
        <v>0</v>
      </c>
      <c r="AF59" s="1042">
        <v>0</v>
      </c>
      <c r="AG59" s="1042">
        <v>0</v>
      </c>
      <c r="AH59" s="1042">
        <v>0</v>
      </c>
      <c r="AI59" s="1051">
        <v>0</v>
      </c>
      <c r="AJ59" s="1051">
        <v>0</v>
      </c>
      <c r="AK59" s="1015">
        <v>0</v>
      </c>
      <c r="AL59" s="1015">
        <v>0</v>
      </c>
      <c r="AM59" s="1015">
        <v>0</v>
      </c>
      <c r="AN59" s="1015">
        <v>0</v>
      </c>
      <c r="AQ59" s="1052">
        <v>0</v>
      </c>
      <c r="AR59" s="1052">
        <v>0</v>
      </c>
      <c r="AS59" s="1052">
        <v>0</v>
      </c>
      <c r="AT59" s="1052">
        <v>0</v>
      </c>
      <c r="AU59" s="1052">
        <v>0</v>
      </c>
      <c r="AV59" s="1052">
        <v>0</v>
      </c>
      <c r="AW59" s="1052">
        <v>0</v>
      </c>
      <c r="AX59" s="1052">
        <v>0</v>
      </c>
      <c r="AY59" s="1052"/>
      <c r="AZ59" s="1052"/>
      <c r="BA59" s="1015">
        <v>0</v>
      </c>
      <c r="BB59" s="1015">
        <v>0</v>
      </c>
      <c r="BC59" s="1066"/>
      <c r="BD59" s="1066"/>
      <c r="BU59" s="1015">
        <v>0</v>
      </c>
      <c r="BV59" s="1015">
        <v>0</v>
      </c>
      <c r="BW59" s="1015">
        <v>0</v>
      </c>
      <c r="BX59" s="1015">
        <v>0</v>
      </c>
      <c r="BY59" s="1015">
        <v>0</v>
      </c>
      <c r="BZ59" s="1015">
        <v>0</v>
      </c>
      <c r="CA59" s="1015">
        <v>0</v>
      </c>
      <c r="CB59" s="1015">
        <v>0</v>
      </c>
      <c r="CC59" s="1015">
        <v>0</v>
      </c>
      <c r="CD59" s="1015">
        <v>0</v>
      </c>
      <c r="CE59" s="1015">
        <v>0</v>
      </c>
      <c r="CF59" s="1015">
        <v>0</v>
      </c>
      <c r="CG59" s="1015">
        <v>0</v>
      </c>
      <c r="CH59" s="1015">
        <v>0</v>
      </c>
      <c r="CK59" s="1015">
        <v>0</v>
      </c>
      <c r="CL59" s="1015">
        <v>0</v>
      </c>
    </row>
    <row r="60" spans="1:92">
      <c r="B60" s="1030" t="s">
        <v>537</v>
      </c>
      <c r="C60" s="1031">
        <v>1449.9</v>
      </c>
      <c r="D60" s="1031">
        <v>3715.2174669999999</v>
      </c>
      <c r="E60" s="1031">
        <v>998.92499999999995</v>
      </c>
      <c r="F60" s="1031">
        <v>2876.9223860000002</v>
      </c>
      <c r="G60" s="1031">
        <v>925</v>
      </c>
      <c r="H60" s="1031">
        <v>2567</v>
      </c>
      <c r="I60" s="1031">
        <f t="shared" ref="I60:V60" si="14">I61+I62</f>
        <v>1219.492</v>
      </c>
      <c r="J60" s="1031">
        <f t="shared" si="14"/>
        <v>3312.4145850000004</v>
      </c>
      <c r="K60" s="1031">
        <f t="shared" si="14"/>
        <v>1304.144</v>
      </c>
      <c r="L60" s="1031">
        <f t="shared" si="14"/>
        <v>4278.063529</v>
      </c>
      <c r="M60" s="1031">
        <f t="shared" si="14"/>
        <v>1306.451</v>
      </c>
      <c r="N60" s="1031">
        <f t="shared" si="14"/>
        <v>4298.6793829999997</v>
      </c>
      <c r="O60" s="1031">
        <f t="shared" si="14"/>
        <v>1470.85</v>
      </c>
      <c r="P60" s="1031">
        <f t="shared" si="14"/>
        <v>4665.3284229999999</v>
      </c>
      <c r="Q60" s="1031">
        <f t="shared" si="14"/>
        <v>1592.1770000000001</v>
      </c>
      <c r="R60" s="1031">
        <f t="shared" si="14"/>
        <v>4800.2011400000001</v>
      </c>
      <c r="S60" s="1031">
        <f t="shared" si="14"/>
        <v>1705.433</v>
      </c>
      <c r="T60" s="1031">
        <f t="shared" si="14"/>
        <v>5417.3390550000004</v>
      </c>
      <c r="U60" s="1031">
        <f t="shared" si="14"/>
        <v>2013.998</v>
      </c>
      <c r="V60" s="1031">
        <f t="shared" si="14"/>
        <v>6699.9766020000006</v>
      </c>
      <c r="W60" s="1036">
        <v>2289</v>
      </c>
      <c r="X60" s="1036">
        <v>8097</v>
      </c>
      <c r="Y60" s="1043">
        <v>1402.308</v>
      </c>
      <c r="Z60" s="1043">
        <v>4630.6004990000001</v>
      </c>
      <c r="AA60" s="1044">
        <f>AA61+AA62</f>
        <v>1833.4740000000002</v>
      </c>
      <c r="AB60" s="1044">
        <f>AB61+AB62</f>
        <v>6198.4106880000008</v>
      </c>
      <c r="AC60" s="1031">
        <v>1427.6189999999999</v>
      </c>
      <c r="AD60" s="1031">
        <v>3928.0172050000001</v>
      </c>
      <c r="AE60" s="1042">
        <v>1233.7460000000001</v>
      </c>
      <c r="AF60" s="1042">
        <v>4095.4631629999999</v>
      </c>
      <c r="AG60" s="1038">
        <v>2902.64</v>
      </c>
      <c r="AH60" s="1038">
        <v>9100.4889309999999</v>
      </c>
      <c r="AI60" s="1047">
        <v>2016.0119999999999</v>
      </c>
      <c r="AJ60" s="1047">
        <v>6751.5618450000002</v>
      </c>
      <c r="AK60" s="1015">
        <v>1483.806</v>
      </c>
      <c r="AL60" s="1015">
        <v>3704.4820920000002</v>
      </c>
      <c r="AM60" s="1015">
        <v>2092.9119999999998</v>
      </c>
      <c r="AN60" s="1015">
        <v>6156.6104290000003</v>
      </c>
      <c r="AO60" s="1015">
        <v>1969.259</v>
      </c>
      <c r="AP60" s="1015">
        <v>5372.0404680000001</v>
      </c>
      <c r="AQ60" s="1054">
        <f>AQ61+AQ62</f>
        <v>1375.039</v>
      </c>
      <c r="AR60" s="1054">
        <f>AR61+AR62</f>
        <v>4246.2792499999996</v>
      </c>
      <c r="AS60" s="1054">
        <v>1059.761</v>
      </c>
      <c r="AT60" s="1055">
        <v>3004.4330070000001</v>
      </c>
      <c r="AU60" s="1015">
        <v>1234.0940000000001</v>
      </c>
      <c r="AV60" s="1015">
        <v>3794.9888449999999</v>
      </c>
      <c r="AW60" s="1071">
        <v>1269.682</v>
      </c>
      <c r="AX60" s="1072">
        <v>3865.9923650000001</v>
      </c>
      <c r="AY60" s="1054">
        <f>AY61+AY62</f>
        <v>1810.808</v>
      </c>
      <c r="AZ60" s="1054">
        <f>AZ61+AZ62</f>
        <v>5743.0866649999998</v>
      </c>
      <c r="BA60" s="1054">
        <f>BA61+BA62</f>
        <v>1356.5050000000001</v>
      </c>
      <c r="BB60" s="1054">
        <f>BB61+BB62</f>
        <v>4198.5024600000006</v>
      </c>
      <c r="BC60" s="1015">
        <v>1291.606</v>
      </c>
      <c r="BD60" s="1015">
        <v>3735.5488</v>
      </c>
      <c r="BE60" s="1015">
        <v>1557.69</v>
      </c>
      <c r="BF60" s="1015">
        <v>4635.3276079999996</v>
      </c>
      <c r="BG60" s="1015">
        <v>1513.829</v>
      </c>
      <c r="BH60" s="1015">
        <v>4603.1960300000001</v>
      </c>
      <c r="BI60" s="1015">
        <v>1524.6020000000001</v>
      </c>
      <c r="BJ60" s="1015">
        <v>4426.8905949999998</v>
      </c>
      <c r="BK60" s="1015">
        <v>2192.1930000000002</v>
      </c>
      <c r="BL60" s="1015">
        <v>6358.5979850000003</v>
      </c>
      <c r="BM60" s="1015">
        <v>2160.654</v>
      </c>
      <c r="BN60" s="1015">
        <v>5734.2707559999999</v>
      </c>
      <c r="BO60" s="1015">
        <v>2545.6750000000002</v>
      </c>
      <c r="BP60" s="1015">
        <v>6177.4017039999999</v>
      </c>
      <c r="BQ60" s="1015">
        <v>2834.0239999999999</v>
      </c>
      <c r="BR60" s="1015">
        <v>6323.5394409999999</v>
      </c>
      <c r="BS60" s="1015">
        <v>2299.9249999999997</v>
      </c>
      <c r="BT60" s="1015">
        <v>5555.9050370000004</v>
      </c>
      <c r="BU60" s="1015">
        <v>2232.8850000000002</v>
      </c>
      <c r="BV60" s="1015">
        <v>5736.9579610000001</v>
      </c>
      <c r="BW60" s="1015">
        <v>2338.645</v>
      </c>
      <c r="BX60" s="1015">
        <v>5942.9135129999995</v>
      </c>
      <c r="BY60" s="1015">
        <v>1798.9929999999999</v>
      </c>
      <c r="BZ60" s="1015">
        <v>4817.1653209999995</v>
      </c>
      <c r="CA60" s="1015">
        <v>960.95899999999995</v>
      </c>
      <c r="CB60" s="1015">
        <v>2900.0344970000001</v>
      </c>
      <c r="CC60" s="1015">
        <v>1636.1489999999999</v>
      </c>
      <c r="CD60" s="1015">
        <v>5398.5049800000006</v>
      </c>
      <c r="CE60" s="1015">
        <v>1822.721</v>
      </c>
      <c r="CF60" s="1015">
        <v>4774.7965709999999</v>
      </c>
      <c r="CG60" s="1015">
        <v>2757.7260000000001</v>
      </c>
      <c r="CH60" s="1015">
        <v>7739.2952240000004</v>
      </c>
      <c r="CI60" s="1015">
        <v>2793.395</v>
      </c>
      <c r="CJ60" s="1015">
        <v>7957.763887000001</v>
      </c>
      <c r="CK60" s="1015">
        <v>2529.44</v>
      </c>
      <c r="CL60" s="1015">
        <v>8321.2097639999993</v>
      </c>
      <c r="CM60" s="1015">
        <v>2695</v>
      </c>
      <c r="CN60" s="1015">
        <v>7796</v>
      </c>
    </row>
    <row r="61" spans="1:92">
      <c r="B61" s="1016" t="s">
        <v>538</v>
      </c>
      <c r="C61" s="1023">
        <v>437.07799999999997</v>
      </c>
      <c r="D61" s="1023">
        <v>883.40826900000002</v>
      </c>
      <c r="E61" s="1023">
        <v>168.28399999999999</v>
      </c>
      <c r="F61" s="1023">
        <v>319.469224</v>
      </c>
      <c r="G61" s="1023">
        <v>204.71100000000001</v>
      </c>
      <c r="H61" s="1023">
        <v>398.882769</v>
      </c>
      <c r="I61" s="1023">
        <v>386.18799999999999</v>
      </c>
      <c r="J61" s="1023">
        <v>748.82815800000003</v>
      </c>
      <c r="K61" s="1023">
        <v>460.58800000000002</v>
      </c>
      <c r="L61" s="1023">
        <v>1058.0998959999999</v>
      </c>
      <c r="M61" s="1023">
        <v>460.58800000000002</v>
      </c>
      <c r="N61" s="1023">
        <v>1058.0998959999999</v>
      </c>
      <c r="O61" s="1023">
        <v>328.52800000000002</v>
      </c>
      <c r="P61" s="1023">
        <v>838.64596200000005</v>
      </c>
      <c r="Q61" s="1023">
        <v>305.88099999999997</v>
      </c>
      <c r="R61" s="1023">
        <v>678.938492</v>
      </c>
      <c r="S61" s="1023">
        <v>418.36599999999999</v>
      </c>
      <c r="T61" s="1023">
        <v>1245.0580279999999</v>
      </c>
      <c r="U61" s="1023">
        <v>921.274</v>
      </c>
      <c r="V61" s="1023">
        <v>3143.5675460000002</v>
      </c>
      <c r="W61" s="1032">
        <v>1257</v>
      </c>
      <c r="X61" s="1032">
        <v>4443</v>
      </c>
      <c r="Y61" s="1037">
        <v>331.63</v>
      </c>
      <c r="Z61" s="1037">
        <v>1084.158844</v>
      </c>
      <c r="AA61" s="1025">
        <v>190.102</v>
      </c>
      <c r="AB61" s="1025">
        <v>490.56486000000001</v>
      </c>
      <c r="AC61" s="1023">
        <v>380.65800000000002</v>
      </c>
      <c r="AD61" s="1023">
        <v>1243.240595</v>
      </c>
      <c r="AE61" s="1038">
        <v>443.20299999999997</v>
      </c>
      <c r="AF61" s="1038">
        <v>1484.0835159999999</v>
      </c>
      <c r="AG61" s="1038">
        <v>1657.9059999999999</v>
      </c>
      <c r="AH61" s="1038">
        <v>5393.1649399999997</v>
      </c>
      <c r="AI61" s="1047">
        <v>1109.4010000000001</v>
      </c>
      <c r="AJ61" s="1047">
        <v>3799.6960920000001</v>
      </c>
      <c r="AK61" s="1052">
        <v>735.46900000000005</v>
      </c>
      <c r="AL61" s="1052">
        <v>1558.495549</v>
      </c>
      <c r="AM61" s="1015">
        <v>843.10400000000004</v>
      </c>
      <c r="AN61" s="1015">
        <v>1781.240078</v>
      </c>
      <c r="AO61" s="1015">
        <v>1044.0070000000001</v>
      </c>
      <c r="AP61" s="1015">
        <v>2396.876749</v>
      </c>
      <c r="AQ61" s="1052">
        <v>374.35899999999998</v>
      </c>
      <c r="AR61" s="1052">
        <v>919.16152</v>
      </c>
      <c r="AS61" s="1052">
        <v>229.99700000000001</v>
      </c>
      <c r="AT61" s="1052">
        <v>724.87456399999996</v>
      </c>
      <c r="AU61" s="1015">
        <v>322.334</v>
      </c>
      <c r="AV61" s="1015">
        <v>800.95947799999999</v>
      </c>
      <c r="AW61" s="1068">
        <v>304.34300000000002</v>
      </c>
      <c r="AX61" s="1068">
        <v>797.06610999999998</v>
      </c>
      <c r="AY61" s="1052">
        <v>718.98699999999997</v>
      </c>
      <c r="AZ61" s="1052">
        <v>1859.273097</v>
      </c>
      <c r="BA61" s="1073">
        <v>404.11</v>
      </c>
      <c r="BB61" s="1073">
        <v>965.18869800000004</v>
      </c>
      <c r="BC61" s="1015">
        <v>222.62100000000001</v>
      </c>
      <c r="BD61" s="1015">
        <v>500.89173399999999</v>
      </c>
      <c r="BE61" s="1015">
        <v>406.16899999999998</v>
      </c>
      <c r="BF61" s="1015">
        <v>1032.6856270000001</v>
      </c>
      <c r="BG61" s="1015">
        <v>270.16399999999999</v>
      </c>
      <c r="BH61" s="1015">
        <v>601.03045199999997</v>
      </c>
      <c r="BI61" s="1015">
        <v>278.565</v>
      </c>
      <c r="BJ61" s="1015">
        <v>559.389771</v>
      </c>
      <c r="BK61" s="1015">
        <v>682.51700000000005</v>
      </c>
      <c r="BL61" s="1015">
        <v>1355.0359530000001</v>
      </c>
      <c r="BM61" s="1015">
        <v>849.26199999999994</v>
      </c>
      <c r="BN61" s="1015">
        <v>1583.430458</v>
      </c>
      <c r="BO61" s="1015">
        <v>1127.7570000000001</v>
      </c>
      <c r="BP61" s="1015">
        <v>1882.3380339999999</v>
      </c>
      <c r="BQ61" s="1015">
        <v>1537.3219999999999</v>
      </c>
      <c r="BR61" s="1015">
        <v>2430.695334</v>
      </c>
      <c r="BS61" s="1015">
        <v>822.08699999999999</v>
      </c>
      <c r="BT61" s="1015">
        <v>1414.5012369999999</v>
      </c>
      <c r="BU61" s="1015">
        <v>761.66300000000001</v>
      </c>
      <c r="BV61" s="1015">
        <v>1540.2445339999999</v>
      </c>
      <c r="BW61" s="1015">
        <v>928.79300000000001</v>
      </c>
      <c r="BX61" s="1015">
        <v>1679.8940149999999</v>
      </c>
      <c r="BY61" s="1015">
        <v>555.21299999999997</v>
      </c>
      <c r="BZ61" s="1015">
        <v>1112.3189199999999</v>
      </c>
      <c r="CA61" s="1015">
        <v>160.63999999999999</v>
      </c>
      <c r="CB61" s="1015">
        <v>334.64587599999999</v>
      </c>
      <c r="CC61" s="1015">
        <v>89.962000000000003</v>
      </c>
      <c r="CD61" s="1015">
        <v>199.98293799999999</v>
      </c>
      <c r="CE61" s="1015">
        <v>517.89</v>
      </c>
      <c r="CF61" s="1015">
        <v>1050.0374589999999</v>
      </c>
      <c r="CG61" s="1015">
        <v>848.05499999999995</v>
      </c>
      <c r="CH61" s="1015">
        <v>1728.1544469999999</v>
      </c>
      <c r="CI61" s="1015">
        <v>673.16899999999998</v>
      </c>
      <c r="CJ61" s="1015">
        <v>1289.4202289999998</v>
      </c>
      <c r="CK61" s="1015">
        <v>508.41800000000001</v>
      </c>
      <c r="CL61" s="1015">
        <v>1003.610767</v>
      </c>
      <c r="CM61" s="1015">
        <v>941</v>
      </c>
      <c r="CN61" s="1015">
        <v>1876</v>
      </c>
    </row>
    <row r="62" spans="1:92">
      <c r="B62" s="1016" t="s">
        <v>539</v>
      </c>
      <c r="C62" s="1023">
        <v>1012.822</v>
      </c>
      <c r="D62" s="1023">
        <v>2831.8091979999999</v>
      </c>
      <c r="E62" s="1023">
        <v>830.64099999999996</v>
      </c>
      <c r="F62" s="1023">
        <v>2557.4531619999998</v>
      </c>
      <c r="G62" s="1023">
        <v>720.28899999999999</v>
      </c>
      <c r="H62" s="1023">
        <v>2167.870559</v>
      </c>
      <c r="I62" s="1023">
        <v>833.30399999999997</v>
      </c>
      <c r="J62" s="1023">
        <v>2563.5864270000002</v>
      </c>
      <c r="K62" s="1023">
        <v>843.55600000000004</v>
      </c>
      <c r="L62" s="1023">
        <v>3219.9636329999998</v>
      </c>
      <c r="M62" s="1023">
        <v>845.86300000000006</v>
      </c>
      <c r="N62" s="1023">
        <v>3240.579487</v>
      </c>
      <c r="O62" s="1023">
        <v>1142.3219999999999</v>
      </c>
      <c r="P62" s="1023">
        <v>3826.6824609999999</v>
      </c>
      <c r="Q62" s="1023">
        <v>1286.296</v>
      </c>
      <c r="R62" s="1023">
        <v>4121.2626479999999</v>
      </c>
      <c r="S62" s="1023">
        <v>1287.067</v>
      </c>
      <c r="T62" s="1023">
        <v>4172.281027</v>
      </c>
      <c r="U62" s="1023">
        <v>1092.7239999999999</v>
      </c>
      <c r="V62" s="1023">
        <v>3556.409056</v>
      </c>
      <c r="W62" s="1032">
        <v>1032</v>
      </c>
      <c r="X62" s="1032">
        <v>3654</v>
      </c>
      <c r="Y62" s="1037">
        <v>1070.6780000000001</v>
      </c>
      <c r="Z62" s="1037">
        <v>3546.4416550000001</v>
      </c>
      <c r="AA62" s="1025">
        <v>1643.3720000000001</v>
      </c>
      <c r="AB62" s="1025">
        <v>5707.8458280000004</v>
      </c>
      <c r="AC62" s="1023">
        <v>1046.961</v>
      </c>
      <c r="AD62" s="1023">
        <v>2684.7766099999999</v>
      </c>
      <c r="AE62" s="1038">
        <v>790.54300000000001</v>
      </c>
      <c r="AF62" s="1038">
        <v>2611.3796470000002</v>
      </c>
      <c r="AG62" s="1038">
        <v>1244.7339999999999</v>
      </c>
      <c r="AH62" s="1038">
        <v>3707.3239910000002</v>
      </c>
      <c r="AI62" s="1047">
        <v>906.61099999999999</v>
      </c>
      <c r="AJ62" s="1047">
        <v>2951.865753</v>
      </c>
      <c r="AK62" s="1052">
        <v>748.33699999999999</v>
      </c>
      <c r="AL62" s="1052">
        <v>2145.986543</v>
      </c>
      <c r="AM62" s="1015">
        <v>1249.808</v>
      </c>
      <c r="AN62" s="1015">
        <v>4375.3703509999996</v>
      </c>
      <c r="AO62" s="1015">
        <v>925.25199999999995</v>
      </c>
      <c r="AP62" s="1015">
        <v>2975.1637190000001</v>
      </c>
      <c r="AQ62" s="1052">
        <v>1000.68</v>
      </c>
      <c r="AR62" s="1052">
        <v>3327.1177299999999</v>
      </c>
      <c r="AS62" s="1052">
        <f>AS60-AS61</f>
        <v>829.7639999999999</v>
      </c>
      <c r="AT62" s="1056">
        <f>AT60-AT61</f>
        <v>2279.5584429999999</v>
      </c>
      <c r="AU62" s="1015">
        <v>911.76</v>
      </c>
      <c r="AV62" s="1015">
        <v>2994.0293670000001</v>
      </c>
      <c r="AW62" s="1068">
        <v>965.33900000000006</v>
      </c>
      <c r="AX62" s="1068">
        <v>3068.9262549999999</v>
      </c>
      <c r="AY62" s="1052">
        <v>1091.8209999999999</v>
      </c>
      <c r="AZ62" s="1052">
        <v>3883.813568</v>
      </c>
      <c r="BA62" s="1073">
        <v>952.39499999999998</v>
      </c>
      <c r="BB62" s="1073">
        <v>3233.3137620000002</v>
      </c>
      <c r="BC62" s="1015">
        <v>1068.9849999999999</v>
      </c>
      <c r="BD62" s="1015">
        <v>3234.6570660000002</v>
      </c>
      <c r="BE62" s="1015">
        <v>1151.521</v>
      </c>
      <c r="BF62" s="1015">
        <v>3602.6419810000002</v>
      </c>
      <c r="BG62" s="1015">
        <v>1243.665</v>
      </c>
      <c r="BH62" s="1015">
        <v>4002.1655780000001</v>
      </c>
      <c r="BI62" s="1015">
        <v>1246.037</v>
      </c>
      <c r="BJ62" s="1015">
        <v>3867.5008240000002</v>
      </c>
      <c r="BK62" s="1015">
        <v>1509.6759999999999</v>
      </c>
      <c r="BL62" s="1015">
        <v>5003.5620319999998</v>
      </c>
      <c r="BM62" s="1015">
        <v>1311.3920000000001</v>
      </c>
      <c r="BN62" s="1015">
        <v>4150.8402980000001</v>
      </c>
      <c r="BO62" s="1015">
        <v>1417.9180000000001</v>
      </c>
      <c r="BP62" s="1015">
        <v>4295.0636700000005</v>
      </c>
      <c r="BQ62" s="1015">
        <v>1296.702</v>
      </c>
      <c r="BR62" s="1015">
        <v>3892.8441069999999</v>
      </c>
      <c r="BS62" s="1015">
        <v>1477.8380000000002</v>
      </c>
      <c r="BT62" s="1015">
        <v>4141.403800000001</v>
      </c>
      <c r="BU62" s="1015">
        <v>1471.222</v>
      </c>
      <c r="BV62" s="1015">
        <v>4196.7134270000006</v>
      </c>
      <c r="BW62" s="1015">
        <v>1409.8520000000001</v>
      </c>
      <c r="BX62" s="1015">
        <v>4263.0194979999997</v>
      </c>
      <c r="BY62" s="1015">
        <v>1243.78</v>
      </c>
      <c r="BZ62" s="1015">
        <v>3704.8464009999998</v>
      </c>
      <c r="CA62" s="1015">
        <v>800.31899999999996</v>
      </c>
      <c r="CB62" s="1015">
        <v>2565.3886210000001</v>
      </c>
      <c r="CC62" s="1015">
        <v>1546.1869999999999</v>
      </c>
      <c r="CD62" s="1015">
        <v>5198.5220420000005</v>
      </c>
      <c r="CE62" s="1015">
        <v>1304.8310000000001</v>
      </c>
      <c r="CF62" s="1015">
        <v>3724.7591119999997</v>
      </c>
      <c r="CG62" s="1015">
        <v>1909.671</v>
      </c>
      <c r="CH62" s="1015">
        <v>6011.1407770000005</v>
      </c>
      <c r="CI62" s="1015">
        <v>2120.2260000000001</v>
      </c>
      <c r="CJ62" s="1015">
        <v>6668.3436580000007</v>
      </c>
      <c r="CK62" s="1015">
        <v>2021.0220000000002</v>
      </c>
      <c r="CL62" s="1015">
        <v>7317.5989970000001</v>
      </c>
      <c r="CM62" s="1015">
        <v>1754</v>
      </c>
      <c r="CN62" s="1015">
        <v>5920</v>
      </c>
    </row>
    <row r="63" spans="1:92">
      <c r="B63" s="1030" t="s">
        <v>540</v>
      </c>
      <c r="C63" s="1031">
        <v>1980.2439999999999</v>
      </c>
      <c r="D63" s="1031">
        <v>4373.6088609999997</v>
      </c>
      <c r="E63" s="1031">
        <v>1991.9829999999999</v>
      </c>
      <c r="F63" s="1031">
        <v>4399.3842999999997</v>
      </c>
      <c r="G63" s="1031">
        <v>1498.751</v>
      </c>
      <c r="H63" s="1031">
        <v>3351.4255290000001</v>
      </c>
      <c r="I63" s="1031">
        <v>1828.1880000000001</v>
      </c>
      <c r="J63" s="1031">
        <v>4112.9064950000002</v>
      </c>
      <c r="K63" s="1031">
        <v>1695.5219999999999</v>
      </c>
      <c r="L63" s="1031">
        <v>4053.994447</v>
      </c>
      <c r="M63" s="1031">
        <v>1718.002</v>
      </c>
      <c r="N63" s="1031">
        <v>3848.2783340000001</v>
      </c>
      <c r="O63" s="1031">
        <v>1825.251</v>
      </c>
      <c r="P63" s="1031">
        <v>4015.6745139999998</v>
      </c>
      <c r="Q63" s="1031">
        <v>1896.231</v>
      </c>
      <c r="R63" s="1031">
        <v>4370.2161100000003</v>
      </c>
      <c r="S63" s="1031">
        <v>1769.2940000000001</v>
      </c>
      <c r="T63" s="1031">
        <v>4027.871095</v>
      </c>
      <c r="U63" s="1031">
        <v>1926.992614</v>
      </c>
      <c r="V63" s="1031">
        <v>4374.5915839999998</v>
      </c>
      <c r="W63" s="1036">
        <v>1921</v>
      </c>
      <c r="X63" s="1036">
        <v>4457</v>
      </c>
      <c r="Y63" s="1043">
        <v>1728.8621639999999</v>
      </c>
      <c r="Z63" s="1043">
        <v>4107.3117620000003</v>
      </c>
      <c r="AA63" s="1044">
        <v>1698.9625000000001</v>
      </c>
      <c r="AB63" s="1044">
        <v>3793.0902390000001</v>
      </c>
      <c r="AC63" s="1031">
        <v>1626.0631800000001</v>
      </c>
      <c r="AD63" s="1031">
        <v>3800.8595580000001</v>
      </c>
      <c r="AE63" s="1042">
        <v>1626.7262800000001</v>
      </c>
      <c r="AF63" s="1042">
        <v>3818.257654</v>
      </c>
      <c r="AG63" s="1038">
        <v>1915.1414500000001</v>
      </c>
      <c r="AH63" s="1038">
        <v>4389.745167</v>
      </c>
      <c r="AI63" s="1047">
        <v>1772.68815</v>
      </c>
      <c r="AJ63" s="1047">
        <v>4278.8917019999999</v>
      </c>
      <c r="AK63" s="1015">
        <v>1715.5064500000001</v>
      </c>
      <c r="AL63" s="1015">
        <v>3999.0097059999998</v>
      </c>
      <c r="AM63" s="1015">
        <v>1624.8474000000001</v>
      </c>
      <c r="AN63" s="1015">
        <v>3797.4844269999999</v>
      </c>
      <c r="AO63" s="1015">
        <v>1633.7091</v>
      </c>
      <c r="AP63" s="1015">
        <v>3826.016858</v>
      </c>
      <c r="AQ63" s="1057">
        <v>1659.3429000000001</v>
      </c>
      <c r="AR63" s="1054">
        <v>3851.495934</v>
      </c>
      <c r="AS63" s="1057">
        <v>1771.2302999999999</v>
      </c>
      <c r="AT63" s="1054">
        <v>4179.0289480000001</v>
      </c>
      <c r="AU63" s="1015">
        <v>1716.1085</v>
      </c>
      <c r="AV63" s="1015">
        <v>4102.5732559999997</v>
      </c>
      <c r="AW63" s="1071">
        <v>1749.9754</v>
      </c>
      <c r="AX63" s="1072">
        <v>4203.2662110000001</v>
      </c>
      <c r="AY63" s="1057">
        <v>1744.8704230000001</v>
      </c>
      <c r="AZ63" s="1054">
        <v>4075.6004640000001</v>
      </c>
      <c r="BA63" s="1074">
        <v>1245.0119999999999</v>
      </c>
      <c r="BB63" s="1074">
        <v>3033.689887</v>
      </c>
      <c r="BC63" s="1015">
        <v>1039.6774</v>
      </c>
      <c r="BD63" s="1015">
        <v>2656.5173530000002</v>
      </c>
      <c r="BE63" s="1015">
        <v>1730.143</v>
      </c>
      <c r="BF63" s="1015">
        <v>3883.1692910000002</v>
      </c>
      <c r="BG63" s="1015">
        <v>1798.635</v>
      </c>
      <c r="BH63" s="1015">
        <v>4131.1293859999996</v>
      </c>
      <c r="BI63" s="1015">
        <v>1652.8510000000001</v>
      </c>
      <c r="BJ63" s="1015">
        <v>3668.9689269999999</v>
      </c>
      <c r="BK63" s="1015">
        <v>1820.634</v>
      </c>
      <c r="BL63" s="1015">
        <v>3994.153476</v>
      </c>
      <c r="BM63" s="1015">
        <v>1884.6679999999999</v>
      </c>
      <c r="BN63" s="1015">
        <v>4344.6082759999999</v>
      </c>
      <c r="BO63" s="1015">
        <v>1971.3590000000002</v>
      </c>
      <c r="BP63" s="1015">
        <v>4255.4284420000004</v>
      </c>
      <c r="BQ63" s="1015">
        <v>1958.8160000000003</v>
      </c>
      <c r="BR63" s="1015">
        <v>4485.1938970000001</v>
      </c>
      <c r="BS63" s="1015">
        <v>1905.2869999999998</v>
      </c>
      <c r="BT63" s="1015">
        <v>4201.833732000001</v>
      </c>
      <c r="BU63" s="1015">
        <v>1727.317</v>
      </c>
      <c r="BV63" s="1015">
        <v>3899.1616460000005</v>
      </c>
      <c r="BW63" s="1015">
        <v>1890.336</v>
      </c>
      <c r="BX63" s="1015">
        <v>4297.9317659999997</v>
      </c>
      <c r="BY63" s="1015">
        <v>1947.194</v>
      </c>
      <c r="BZ63" s="1015">
        <v>4518.0434079999995</v>
      </c>
      <c r="CA63" s="1015">
        <v>1691.521</v>
      </c>
      <c r="CB63" s="1015">
        <v>4299.2595099999999</v>
      </c>
      <c r="CC63" s="1015">
        <v>2487.6940000000004</v>
      </c>
      <c r="CD63" s="1015">
        <v>5852.6959829999996</v>
      </c>
      <c r="CE63" s="1015">
        <v>1640.8349999999998</v>
      </c>
      <c r="CF63" s="1015">
        <v>4373.588252999999</v>
      </c>
      <c r="CG63" s="1015">
        <v>2078.2280000000001</v>
      </c>
      <c r="CH63" s="1015">
        <v>5096.6578989999998</v>
      </c>
      <c r="CI63" s="1015">
        <v>2285.3179999999998</v>
      </c>
      <c r="CJ63" s="1015">
        <v>5749.5923579999999</v>
      </c>
      <c r="CK63" s="1015">
        <v>1921.3920000000001</v>
      </c>
      <c r="CL63" s="1015">
        <v>5070.6117450000002</v>
      </c>
      <c r="CM63" s="1015">
        <v>2314</v>
      </c>
      <c r="CN63" s="1015">
        <v>5881</v>
      </c>
    </row>
    <row r="64" spans="1:92">
      <c r="B64" s="1030" t="s">
        <v>541</v>
      </c>
      <c r="C64" s="1031">
        <v>16415.743999999999</v>
      </c>
      <c r="D64" s="1031">
        <v>10769.189372000001</v>
      </c>
      <c r="E64" s="1031">
        <v>10258.976000000001</v>
      </c>
      <c r="F64" s="1031">
        <v>8609.3354490000002</v>
      </c>
      <c r="G64" s="1031">
        <v>3636.5610000000001</v>
      </c>
      <c r="H64" s="1031">
        <v>3145.677275</v>
      </c>
      <c r="I64" s="1031">
        <v>8323.5669999999991</v>
      </c>
      <c r="J64" s="1031">
        <v>7383.1003199999996</v>
      </c>
      <c r="K64" s="1031">
        <v>12310.571</v>
      </c>
      <c r="L64" s="1031">
        <v>8960.6123229999994</v>
      </c>
      <c r="M64" s="1031">
        <v>8237.0910000000003</v>
      </c>
      <c r="N64" s="1031">
        <v>6145.0519979999999</v>
      </c>
      <c r="O64" s="1031">
        <v>10329.34</v>
      </c>
      <c r="P64" s="1031">
        <v>8095.4756349999998</v>
      </c>
      <c r="Q64" s="1031">
        <v>11014.424000000001</v>
      </c>
      <c r="R64" s="1031">
        <v>8561.8641210000005</v>
      </c>
      <c r="S64" s="1031">
        <v>11787.54</v>
      </c>
      <c r="T64" s="1031">
        <v>8402.8910599999999</v>
      </c>
      <c r="U64" s="1031">
        <v>10110.387000000001</v>
      </c>
      <c r="V64" s="1031">
        <v>7253.5879649999997</v>
      </c>
      <c r="W64" s="1036">
        <v>11078</v>
      </c>
      <c r="X64" s="1036">
        <v>7877</v>
      </c>
      <c r="Y64" s="1043">
        <v>11558.703</v>
      </c>
      <c r="Z64" s="1043">
        <v>8359.4636379999993</v>
      </c>
      <c r="AA64" s="1044">
        <v>13655.932000000001</v>
      </c>
      <c r="AB64" s="1044">
        <v>8841.0131799999999</v>
      </c>
      <c r="AC64" s="1031">
        <v>10157.398999999999</v>
      </c>
      <c r="AD64" s="1031">
        <v>6845.6182710000003</v>
      </c>
      <c r="AE64" s="1042">
        <v>5271.1840000000002</v>
      </c>
      <c r="AF64" s="1042">
        <v>3589.9865329999998</v>
      </c>
      <c r="AG64" s="1038">
        <v>9458.2549999999992</v>
      </c>
      <c r="AH64" s="1038">
        <v>5893.68073</v>
      </c>
      <c r="AI64" s="1047">
        <v>10817.727000000001</v>
      </c>
      <c r="AJ64" s="1047">
        <v>7239.2281700000003</v>
      </c>
      <c r="AK64" s="1015">
        <v>13980.513999999999</v>
      </c>
      <c r="AL64" s="1015">
        <v>8992.9735849999997</v>
      </c>
      <c r="AM64" s="1015">
        <v>7809.2160000000003</v>
      </c>
      <c r="AN64" s="1015">
        <v>5628.4616180000003</v>
      </c>
      <c r="AO64" s="1015">
        <v>11219.697</v>
      </c>
      <c r="AP64" s="1015">
        <v>7767.9961300000004</v>
      </c>
      <c r="AQ64" s="1057">
        <v>13048.489</v>
      </c>
      <c r="AR64" s="1054">
        <v>8721.768043</v>
      </c>
      <c r="AS64" s="1057">
        <v>10327.531000000001</v>
      </c>
      <c r="AT64" s="1054">
        <v>7215.6558290000003</v>
      </c>
      <c r="AU64" s="1015">
        <v>11355.573</v>
      </c>
      <c r="AV64" s="1015">
        <v>7587.0414010000004</v>
      </c>
      <c r="AW64" s="1071">
        <v>11626.206</v>
      </c>
      <c r="AX64" s="1072">
        <v>7220.1535000000003</v>
      </c>
      <c r="AY64" s="1057">
        <v>11779.43</v>
      </c>
      <c r="AZ64" s="1054">
        <v>6820.3827160000001</v>
      </c>
      <c r="BA64" s="1075">
        <v>6848.87</v>
      </c>
      <c r="BB64" s="1075">
        <v>4078.0061380000002</v>
      </c>
      <c r="BC64" s="1015">
        <v>8086.5870000000004</v>
      </c>
      <c r="BD64" s="1015">
        <v>4945.8934529999997</v>
      </c>
      <c r="BE64" s="1015">
        <v>11225.029</v>
      </c>
      <c r="BF64" s="1015">
        <v>6706.8987029999998</v>
      </c>
      <c r="BG64" s="1015">
        <v>11461.788</v>
      </c>
      <c r="BH64" s="1015">
        <v>6864.4083970000002</v>
      </c>
      <c r="BI64" s="1015">
        <v>9678.8019999999997</v>
      </c>
      <c r="BJ64" s="1015">
        <v>5659.3963030000004</v>
      </c>
      <c r="BK64" s="1015">
        <v>9481.8520000000008</v>
      </c>
      <c r="BL64" s="1015">
        <v>4889.9153569999999</v>
      </c>
      <c r="BM64" s="1015">
        <v>9418.5329999999994</v>
      </c>
      <c r="BN64" s="1015">
        <v>4875.3098049999999</v>
      </c>
      <c r="BO64" s="1015">
        <v>6882.29</v>
      </c>
      <c r="BP64" s="1015">
        <v>3796.8557579999997</v>
      </c>
      <c r="BQ64" s="1015">
        <v>9081.6929999999993</v>
      </c>
      <c r="BR64" s="1015">
        <v>4269.8600689999994</v>
      </c>
      <c r="BS64" s="1015">
        <v>7966.0540000000001</v>
      </c>
      <c r="BT64" s="1015">
        <v>3702.1903009999996</v>
      </c>
      <c r="BU64" s="1015">
        <v>5372.6629999999996</v>
      </c>
      <c r="BV64" s="1015">
        <v>2740.903354</v>
      </c>
      <c r="BW64" s="1015">
        <v>9535.7080000000005</v>
      </c>
      <c r="BX64" s="1015">
        <v>4862.9523340000005</v>
      </c>
      <c r="BY64" s="1015">
        <v>708.16700000000003</v>
      </c>
      <c r="BZ64" s="1015">
        <v>612.28126699999996</v>
      </c>
      <c r="CA64" s="1015">
        <v>0</v>
      </c>
      <c r="CB64" s="1015">
        <v>0</v>
      </c>
    </row>
    <row r="65" spans="2:100">
      <c r="B65" s="1030" t="s">
        <v>542</v>
      </c>
      <c r="C65" s="1031">
        <v>11779.75</v>
      </c>
      <c r="D65" s="1031">
        <v>5683.3573239999996</v>
      </c>
      <c r="E65" s="1031">
        <v>5401.36</v>
      </c>
      <c r="F65" s="1031">
        <v>2742.9204060000002</v>
      </c>
      <c r="G65" s="1031">
        <v>1251.4100000000001</v>
      </c>
      <c r="H65" s="1031">
        <v>656.43311300000005</v>
      </c>
      <c r="I65" s="1031">
        <v>3217.1</v>
      </c>
      <c r="J65" s="1031">
        <v>1574.0689279999999</v>
      </c>
      <c r="K65" s="1031">
        <v>7508.8</v>
      </c>
      <c r="L65" s="1031">
        <v>3653.0867560000002</v>
      </c>
      <c r="M65" s="1031">
        <v>4326.4799999999996</v>
      </c>
      <c r="N65" s="1031">
        <v>2125.5743830000001</v>
      </c>
      <c r="O65" s="1023">
        <v>5513.4629999999997</v>
      </c>
      <c r="P65" s="1023">
        <v>2754.8405480000001</v>
      </c>
      <c r="Q65" s="1023">
        <v>5501.8159999999998</v>
      </c>
      <c r="R65" s="1023">
        <v>2502.9428200000002</v>
      </c>
      <c r="S65" s="1023">
        <v>6692.9070000000002</v>
      </c>
      <c r="T65" s="1023">
        <v>3243.3478270000001</v>
      </c>
      <c r="U65" s="1031">
        <v>5541.6310000000003</v>
      </c>
      <c r="V65" s="1031">
        <v>2730.4673819999998</v>
      </c>
      <c r="W65" s="1032">
        <v>6991</v>
      </c>
      <c r="X65" s="1032">
        <v>3422</v>
      </c>
      <c r="Y65" s="1037">
        <v>6507.2879999999996</v>
      </c>
      <c r="Z65" s="1037">
        <v>3150.023596</v>
      </c>
      <c r="AA65" s="1025">
        <v>8153.6940000000004</v>
      </c>
      <c r="AB65" s="1025">
        <v>3684.812946</v>
      </c>
      <c r="AC65" s="1031">
        <v>5548.9</v>
      </c>
      <c r="AD65" s="1031">
        <v>2374.6420750000002</v>
      </c>
      <c r="AE65" s="1042">
        <v>3146.7</v>
      </c>
      <c r="AF65" s="1042">
        <v>1411.197013</v>
      </c>
      <c r="AG65" s="1038">
        <v>6426.4369999999999</v>
      </c>
      <c r="AH65" s="1038">
        <v>2791.6602109999999</v>
      </c>
      <c r="AI65" s="1047">
        <v>7295.7830000000004</v>
      </c>
      <c r="AJ65" s="1047">
        <v>3187.6692979999998</v>
      </c>
      <c r="AK65" s="1015">
        <v>10392.92</v>
      </c>
      <c r="AL65" s="1015">
        <v>4984.3654839999999</v>
      </c>
      <c r="AM65" s="1015">
        <v>5184.8029999999999</v>
      </c>
      <c r="AN65" s="1015">
        <v>2947.8826180000001</v>
      </c>
      <c r="AO65" s="1015">
        <v>8006.875</v>
      </c>
      <c r="AP65" s="1015">
        <v>4259.3186880000003</v>
      </c>
      <c r="AQ65" s="1052">
        <v>9168.4889999999996</v>
      </c>
      <c r="AR65" s="1052">
        <v>4570.2090749999998</v>
      </c>
      <c r="AS65" s="1052">
        <v>6480.7120000000004</v>
      </c>
      <c r="AT65" s="1052">
        <f>32374803.08/10000</f>
        <v>3237.4803079999997</v>
      </c>
      <c r="AU65" s="1015">
        <v>7819.77</v>
      </c>
      <c r="AV65" s="1015">
        <v>3818.244197</v>
      </c>
      <c r="AW65" s="1068">
        <v>9054.8160000000007</v>
      </c>
      <c r="AX65" s="1068">
        <v>4365.8946370000003</v>
      </c>
      <c r="AY65" s="1052">
        <v>9850</v>
      </c>
      <c r="AZ65" s="1052">
        <v>4862.7960789999997</v>
      </c>
      <c r="BA65" s="1109">
        <v>5518.98</v>
      </c>
      <c r="BB65" s="1109">
        <v>2781.181779</v>
      </c>
      <c r="BC65" s="1015">
        <v>6557.6750000000002</v>
      </c>
      <c r="BD65" s="1015">
        <v>3244.7186000000002</v>
      </c>
      <c r="BE65" s="1015">
        <v>9214.2800000000007</v>
      </c>
      <c r="BF65" s="1015">
        <v>4647.8464979999999</v>
      </c>
      <c r="BG65" s="1015">
        <v>9263.0149999999994</v>
      </c>
      <c r="BH65" s="1015">
        <v>4664.2273519999999</v>
      </c>
      <c r="BI65" s="1015">
        <v>8402.2350000000006</v>
      </c>
      <c r="BJ65" s="1015">
        <v>4431.053962</v>
      </c>
      <c r="BK65" s="1015">
        <v>8485.11</v>
      </c>
      <c r="BL65" s="1015">
        <v>4155.0839020000003</v>
      </c>
      <c r="BM65" s="1015">
        <v>8733.9950000000008</v>
      </c>
      <c r="BN65" s="1015">
        <v>4333.8446569999996</v>
      </c>
      <c r="BO65" s="1015">
        <v>5565.37</v>
      </c>
      <c r="BP65" s="1015">
        <v>2716.3554489999997</v>
      </c>
      <c r="BQ65" s="1015">
        <v>8233.0139999999992</v>
      </c>
      <c r="BR65" s="1015">
        <v>3592.5142689999998</v>
      </c>
      <c r="BS65" s="1015">
        <v>7932.3760000000002</v>
      </c>
      <c r="BT65" s="1015">
        <v>3674.5634409999998</v>
      </c>
      <c r="BU65" s="1015">
        <v>4988.875</v>
      </c>
      <c r="BV65" s="1015">
        <v>2465.209292</v>
      </c>
      <c r="BW65" s="1015">
        <v>9535.7080000000005</v>
      </c>
      <c r="BX65" s="1015">
        <v>4861.9983409999995</v>
      </c>
      <c r="BY65" s="1015">
        <v>750.24199999999996</v>
      </c>
      <c r="BZ65" s="1015">
        <v>659.54369199999996</v>
      </c>
    </row>
    <row r="66" spans="2:100">
      <c r="B66" s="1030" t="s">
        <v>543</v>
      </c>
      <c r="C66" s="1031">
        <v>32954.326000000001</v>
      </c>
      <c r="D66" s="1031">
        <v>40216.132430999998</v>
      </c>
      <c r="E66" s="1031">
        <v>32872.800000000003</v>
      </c>
      <c r="F66" s="1031">
        <v>43677.459556000002</v>
      </c>
      <c r="G66" s="1031">
        <v>28437.007000000001</v>
      </c>
      <c r="H66" s="1031">
        <v>37512.754629000003</v>
      </c>
      <c r="I66" s="1031">
        <v>33277.375999999997</v>
      </c>
      <c r="J66" s="1031">
        <v>42434.462043</v>
      </c>
      <c r="K66" s="1031">
        <v>32480.975999999999</v>
      </c>
      <c r="L66" s="1031">
        <v>41308.845873999999</v>
      </c>
      <c r="M66" s="1031">
        <v>43612.137999999999</v>
      </c>
      <c r="N66" s="1031">
        <v>55187.866430000002</v>
      </c>
      <c r="O66" s="1031">
        <v>39730.15</v>
      </c>
      <c r="P66" s="1031">
        <v>53597.052553000001</v>
      </c>
      <c r="Q66" s="1031">
        <v>36922.114999999998</v>
      </c>
      <c r="R66" s="1031">
        <v>49386.191810999997</v>
      </c>
      <c r="S66" s="1031">
        <v>38496.449000000001</v>
      </c>
      <c r="T66" s="1031">
        <v>50924.999812000002</v>
      </c>
      <c r="U66" s="1031">
        <v>37184.841999999997</v>
      </c>
      <c r="V66" s="1031">
        <v>52184.979809999997</v>
      </c>
      <c r="W66" s="1036">
        <v>29973</v>
      </c>
      <c r="X66" s="1036">
        <v>41559</v>
      </c>
      <c r="Y66" s="1043">
        <v>34153.487000000001</v>
      </c>
      <c r="Z66" s="1043">
        <v>46800.892193</v>
      </c>
      <c r="AA66" s="1044">
        <v>39693.034</v>
      </c>
      <c r="AB66" s="1044">
        <v>49643.014524999999</v>
      </c>
      <c r="AC66" s="1031">
        <v>35192.273999999998</v>
      </c>
      <c r="AD66" s="1031">
        <v>45173.803251999998</v>
      </c>
      <c r="AE66" s="1042">
        <v>36373.642</v>
      </c>
      <c r="AF66" s="1042">
        <v>46157.890897999998</v>
      </c>
      <c r="AG66" s="1038">
        <v>39035.411999999997</v>
      </c>
      <c r="AH66" s="1038">
        <v>51148.716182999997</v>
      </c>
      <c r="AI66" s="1047">
        <v>35440.923000000003</v>
      </c>
      <c r="AJ66" s="1047">
        <v>44971.784502000002</v>
      </c>
      <c r="AK66" s="1015">
        <v>36047.091</v>
      </c>
      <c r="AL66" s="1015">
        <v>47330.113448999997</v>
      </c>
      <c r="AM66" s="1015">
        <v>43176.771000000001</v>
      </c>
      <c r="AN66" s="1015">
        <v>54359.595118999998</v>
      </c>
      <c r="AO66" s="1015">
        <v>39777.495000000003</v>
      </c>
      <c r="AP66" s="1015">
        <v>54461.920967999999</v>
      </c>
      <c r="AQ66" s="1057">
        <v>37519.809000000001</v>
      </c>
      <c r="AR66" s="1054">
        <v>52136.551734000001</v>
      </c>
      <c r="AS66" s="1057">
        <v>34043.027999999998</v>
      </c>
      <c r="AT66" s="1054">
        <v>48894.570350000002</v>
      </c>
      <c r="AU66" s="1015">
        <v>28595.993999999999</v>
      </c>
      <c r="AV66" s="1015">
        <v>41517.179354</v>
      </c>
      <c r="AW66" s="1071">
        <v>33975.288999999997</v>
      </c>
      <c r="AX66" s="1072">
        <v>47551.900967000001</v>
      </c>
      <c r="AY66" s="1057">
        <v>39512.985999999997</v>
      </c>
      <c r="AZ66" s="1054">
        <v>53216.572573999998</v>
      </c>
      <c r="BA66" s="1074">
        <v>26838.375</v>
      </c>
      <c r="BB66" s="1074">
        <v>35451.44601</v>
      </c>
      <c r="BC66" s="1015">
        <v>18661.12</v>
      </c>
      <c r="BD66" s="1015">
        <v>22412.338446000002</v>
      </c>
      <c r="BE66" s="1015">
        <v>43389.199000000001</v>
      </c>
      <c r="BF66" s="1015">
        <v>51892.799272999997</v>
      </c>
      <c r="BG66" s="1015">
        <v>40120.875</v>
      </c>
      <c r="BH66" s="1015">
        <v>47526.693154000001</v>
      </c>
      <c r="BI66" s="1015">
        <v>38822.281999999999</v>
      </c>
      <c r="BJ66" s="1015">
        <v>46117.727263000001</v>
      </c>
      <c r="BK66" s="1015">
        <v>37634.502999999997</v>
      </c>
      <c r="BL66" s="1015">
        <v>47072.085631000002</v>
      </c>
      <c r="BM66" s="1015">
        <v>41311.737000000001</v>
      </c>
      <c r="BN66" s="1015">
        <v>51997.775801999996</v>
      </c>
      <c r="BO66" s="1015">
        <v>40037.017</v>
      </c>
      <c r="BP66" s="1015">
        <v>53788.544821000003</v>
      </c>
      <c r="BQ66" s="1015">
        <v>39358.559000000001</v>
      </c>
      <c r="BR66" s="1015">
        <v>53532.443850999996</v>
      </c>
      <c r="BS66" s="1015">
        <v>33170.843999999997</v>
      </c>
      <c r="BT66" s="1015">
        <v>44858.209543999998</v>
      </c>
      <c r="BU66" s="1015">
        <v>37478.769999999997</v>
      </c>
      <c r="BV66" s="1015">
        <v>48120.463883999997</v>
      </c>
      <c r="BW66" s="1015">
        <v>43254.387999999999</v>
      </c>
      <c r="BX66" s="1015">
        <v>56687.147924000004</v>
      </c>
      <c r="BY66" s="1015">
        <v>38507.453999999998</v>
      </c>
      <c r="BZ66" s="1015">
        <v>54280.001057000009</v>
      </c>
      <c r="CA66" s="1015">
        <v>37616.707999999999</v>
      </c>
      <c r="CB66" s="1015">
        <v>55672.046539999996</v>
      </c>
      <c r="CC66" s="1015">
        <v>37560.824000000001</v>
      </c>
      <c r="CD66" s="1015">
        <v>56561.659800000001</v>
      </c>
      <c r="CE66" s="1015">
        <v>38914.180999999997</v>
      </c>
      <c r="CF66" s="1015">
        <v>57892.728579999995</v>
      </c>
      <c r="CG66" s="1015">
        <v>41284.417999999998</v>
      </c>
      <c r="CH66" s="1015">
        <v>64588.330158000004</v>
      </c>
      <c r="CI66" s="1015">
        <v>40314.756000000001</v>
      </c>
      <c r="CJ66" s="1015">
        <v>63246.924427999998</v>
      </c>
      <c r="CK66" s="1015">
        <v>40047.267999999996</v>
      </c>
      <c r="CL66" s="1015">
        <v>70040.339703999998</v>
      </c>
      <c r="CM66" s="1015">
        <v>38441</v>
      </c>
      <c r="CN66" s="1015">
        <v>70003</v>
      </c>
    </row>
    <row r="67" spans="2:100">
      <c r="B67" s="1030" t="s">
        <v>544</v>
      </c>
      <c r="C67" s="1031">
        <v>6991.7340000000004</v>
      </c>
      <c r="D67" s="1031">
        <v>6546.8971750000001</v>
      </c>
      <c r="E67" s="1031">
        <v>4416.7079999999996</v>
      </c>
      <c r="F67" s="1031">
        <v>5236.5253190000003</v>
      </c>
      <c r="G67" s="1031">
        <v>2346.0500000000002</v>
      </c>
      <c r="H67" s="1031">
        <v>2784.0214350000001</v>
      </c>
      <c r="I67" s="1031">
        <v>7079.4359999999997</v>
      </c>
      <c r="J67" s="1031">
        <v>7470.0680899999998</v>
      </c>
      <c r="K67" s="1031">
        <v>1811.86</v>
      </c>
      <c r="L67" s="1031">
        <v>1926.276374</v>
      </c>
      <c r="M67" s="1031">
        <v>1831.9770000000001</v>
      </c>
      <c r="N67" s="1031">
        <v>2389.7844319999999</v>
      </c>
      <c r="O67" s="1031">
        <v>1024.894</v>
      </c>
      <c r="P67" s="1031">
        <v>1209.7391029999999</v>
      </c>
      <c r="Q67" s="1031">
        <v>1058.953</v>
      </c>
      <c r="R67" s="1031">
        <v>265.47517800000003</v>
      </c>
      <c r="S67" s="1031">
        <v>2333.1750000000002</v>
      </c>
      <c r="T67" s="1031">
        <v>3635.929052</v>
      </c>
      <c r="U67" s="1031">
        <v>733.553</v>
      </c>
      <c r="V67" s="1031">
        <v>818.60781499999996</v>
      </c>
      <c r="W67" s="1036">
        <v>1396</v>
      </c>
      <c r="X67" s="1036">
        <v>2473</v>
      </c>
      <c r="Y67" s="1043">
        <v>2214.9870000000001</v>
      </c>
      <c r="Z67" s="1043">
        <v>2920.901703</v>
      </c>
      <c r="AA67" s="1044">
        <v>3394.9859999999999</v>
      </c>
      <c r="AB67" s="1044">
        <v>3935.7100780000001</v>
      </c>
      <c r="AC67" s="1031">
        <v>3330.41</v>
      </c>
      <c r="AD67" s="1031">
        <v>3284.7202189999998</v>
      </c>
      <c r="AE67" s="1042">
        <v>2800.75</v>
      </c>
      <c r="AF67" s="1042">
        <v>2347.6554219999998</v>
      </c>
      <c r="AG67" s="1038">
        <v>3785.634</v>
      </c>
      <c r="AH67" s="1038">
        <v>3633.005631</v>
      </c>
      <c r="AI67" s="1047">
        <v>1711.06</v>
      </c>
      <c r="AJ67" s="1047">
        <v>1308.4915370000001</v>
      </c>
      <c r="AK67" s="1015">
        <v>1564.93</v>
      </c>
      <c r="AL67" s="1015">
        <v>1410.5284839999999</v>
      </c>
      <c r="AM67" s="1015">
        <v>637.28899999999999</v>
      </c>
      <c r="AN67" s="1015">
        <v>989.35191999999995</v>
      </c>
      <c r="AO67" s="1015">
        <v>1443.09</v>
      </c>
      <c r="AP67" s="1015">
        <v>2376.9951489999999</v>
      </c>
      <c r="AQ67" s="1057">
        <v>4008.7860000000001</v>
      </c>
      <c r="AR67" s="1054">
        <v>4892.2854470000002</v>
      </c>
      <c r="AS67" s="1057">
        <v>3382.1030000000001</v>
      </c>
      <c r="AT67" s="1054">
        <v>3915.9479240000001</v>
      </c>
      <c r="AU67" s="1015">
        <v>2167.3240000000001</v>
      </c>
      <c r="AV67" s="1015">
        <v>2744.2134679999999</v>
      </c>
      <c r="AW67" s="1071">
        <v>4221.2209999999995</v>
      </c>
      <c r="AX67" s="1072">
        <v>4208.4461590000001</v>
      </c>
      <c r="AY67" s="1057">
        <v>3720.0970000000002</v>
      </c>
      <c r="AZ67" s="1054">
        <v>5569.6569</v>
      </c>
      <c r="BA67" s="1110">
        <v>2917.42</v>
      </c>
      <c r="BB67" s="1110">
        <v>3313.4036460000002</v>
      </c>
      <c r="BC67" s="1015">
        <v>1114.5060000000001</v>
      </c>
      <c r="BD67" s="1015">
        <v>949.22745399999997</v>
      </c>
      <c r="BE67" s="1015">
        <v>5416.2219999999998</v>
      </c>
      <c r="BF67" s="1015">
        <v>5247.6063729999996</v>
      </c>
      <c r="BG67" s="1015">
        <v>3174.549</v>
      </c>
      <c r="BH67" s="1015">
        <v>3984.8869709999999</v>
      </c>
      <c r="BI67" s="1015">
        <v>2714.808</v>
      </c>
      <c r="BJ67" s="1015">
        <v>4046.1389359999998</v>
      </c>
      <c r="BK67" s="1015">
        <v>3124.7460000000001</v>
      </c>
      <c r="BL67" s="1015">
        <v>3817.4428210000001</v>
      </c>
      <c r="BM67" s="1015">
        <v>5307.2330000000002</v>
      </c>
      <c r="BN67" s="1015">
        <v>4118.9131700000007</v>
      </c>
      <c r="BO67" s="1015">
        <v>3893.5329999999999</v>
      </c>
      <c r="BP67" s="1015">
        <v>2761.1319570000001</v>
      </c>
      <c r="BQ67" s="1015">
        <v>3825.2739999999999</v>
      </c>
      <c r="BR67" s="1015">
        <v>3128.8442460000001</v>
      </c>
      <c r="BS67" s="1015">
        <v>3052.6089999999999</v>
      </c>
      <c r="BT67" s="1015">
        <v>3039.5575120000003</v>
      </c>
      <c r="BU67" s="1015">
        <v>3142.9670000000001</v>
      </c>
      <c r="BV67" s="1015">
        <v>3773.2533479999997</v>
      </c>
      <c r="BW67" s="1015">
        <v>4059.9279999999999</v>
      </c>
      <c r="BX67" s="1015">
        <v>4042.8668600000001</v>
      </c>
      <c r="BY67" s="1015">
        <v>2508.8429999999998</v>
      </c>
      <c r="BZ67" s="1015">
        <v>2355.0259300000002</v>
      </c>
      <c r="CA67" s="1015">
        <v>2002.5129999999999</v>
      </c>
      <c r="CB67" s="1015">
        <v>2186.1448949999999</v>
      </c>
      <c r="CC67" s="1015">
        <v>1234.242</v>
      </c>
      <c r="CD67" s="1015">
        <v>1247.7730589999999</v>
      </c>
      <c r="CE67" s="1015">
        <v>571.07299999999998</v>
      </c>
      <c r="CF67" s="1015">
        <v>682.02433299999996</v>
      </c>
      <c r="CG67" s="1015">
        <v>985.10699999999997</v>
      </c>
      <c r="CH67" s="1015">
        <v>1129.2664569999999</v>
      </c>
      <c r="CI67" s="1015">
        <v>155.35900000000001</v>
      </c>
      <c r="CJ67" s="1015">
        <v>-99.328565999999995</v>
      </c>
      <c r="CK67" s="1015">
        <v>838.06100000000015</v>
      </c>
      <c r="CL67" s="1015">
        <v>941.50390100000004</v>
      </c>
      <c r="CM67" s="1015">
        <v>1403</v>
      </c>
      <c r="CN67" s="1015">
        <v>1292</v>
      </c>
    </row>
    <row r="68" spans="2:100">
      <c r="B68" s="1030" t="s">
        <v>545</v>
      </c>
      <c r="C68" s="1031">
        <v>180.3</v>
      </c>
      <c r="D68" s="1031">
        <v>257.14923399999998</v>
      </c>
      <c r="E68" s="1031">
        <v>493.31</v>
      </c>
      <c r="F68" s="1031">
        <v>645.02947298519996</v>
      </c>
      <c r="G68" s="1031">
        <v>128.12</v>
      </c>
      <c r="H68" s="1031">
        <v>191.92825400000001</v>
      </c>
      <c r="I68" s="1031">
        <v>183.67</v>
      </c>
      <c r="J68" s="1031">
        <v>267.84837800000003</v>
      </c>
      <c r="K68" s="1031">
        <v>940.3</v>
      </c>
      <c r="L68" s="1031">
        <v>1450.721307</v>
      </c>
      <c r="M68" s="1031">
        <v>284.35000000000002</v>
      </c>
      <c r="N68" s="1031">
        <v>436.690136</v>
      </c>
      <c r="O68" s="1031">
        <v>3.2000000000000202</v>
      </c>
      <c r="P68" s="1031">
        <v>267.50479701479998</v>
      </c>
      <c r="Q68" s="1031">
        <v>514.33030852994602</v>
      </c>
      <c r="R68" s="1031">
        <v>885.61620300000004</v>
      </c>
      <c r="S68" s="1031">
        <v>514.33030852994602</v>
      </c>
      <c r="T68" s="1031">
        <v>885.61620300000004</v>
      </c>
      <c r="U68" s="1031">
        <v>419.32</v>
      </c>
      <c r="V68" s="1031">
        <v>789.49169600000005</v>
      </c>
      <c r="W68" s="1036">
        <v>419</v>
      </c>
      <c r="X68" s="1036">
        <v>789</v>
      </c>
      <c r="Y68" s="1043">
        <v>882.88</v>
      </c>
      <c r="Z68" s="1043">
        <v>1551.815141</v>
      </c>
      <c r="AA68" s="1044">
        <v>714.08892921960103</v>
      </c>
      <c r="AB68" s="1044">
        <v>1283.3037071753999</v>
      </c>
      <c r="AC68" s="1031">
        <v>182.44778047776799</v>
      </c>
      <c r="AD68" s="1031">
        <v>320.49430042</v>
      </c>
      <c r="AE68" s="1042">
        <v>16.66</v>
      </c>
      <c r="AF68" s="1042">
        <v>36.838031999999998</v>
      </c>
      <c r="AG68" s="1038">
        <v>677.57</v>
      </c>
      <c r="AH68" s="1038">
        <v>1149.9612770000001</v>
      </c>
      <c r="AI68" s="1047">
        <v>509</v>
      </c>
      <c r="AJ68" s="1047">
        <v>764.88462600000003</v>
      </c>
      <c r="AK68" s="1015">
        <v>101.06</v>
      </c>
      <c r="AL68" s="1015">
        <v>196.74331353599999</v>
      </c>
      <c r="AM68" s="1015">
        <v>375</v>
      </c>
      <c r="AN68" s="1015">
        <v>564</v>
      </c>
      <c r="AO68" s="1015">
        <v>72.5</v>
      </c>
      <c r="AP68" s="1015">
        <v>209.96504999999999</v>
      </c>
      <c r="AQ68" s="1057">
        <v>266</v>
      </c>
      <c r="AR68" s="1057">
        <v>428.74104599999998</v>
      </c>
      <c r="AS68" s="1057">
        <v>450</v>
      </c>
      <c r="AT68" s="1054">
        <v>728.50869999999998</v>
      </c>
      <c r="AU68" s="1015">
        <v>99.89</v>
      </c>
      <c r="AV68" s="1015">
        <v>177.31084913640001</v>
      </c>
      <c r="AW68" s="1072">
        <v>350</v>
      </c>
      <c r="AX68" s="1072">
        <v>506.1456</v>
      </c>
      <c r="AY68" s="1054">
        <v>482</v>
      </c>
      <c r="AZ68" s="1054">
        <v>802.26300000000003</v>
      </c>
      <c r="BA68" s="1110">
        <v>409</v>
      </c>
      <c r="BB68" s="1110">
        <v>701.60793100000001</v>
      </c>
      <c r="BC68" s="1015">
        <v>280</v>
      </c>
      <c r="BD68" s="1015">
        <v>485.57580000000002</v>
      </c>
      <c r="BE68" s="1015">
        <v>253.36</v>
      </c>
      <c r="BF68" s="1015">
        <v>429.57146499999999</v>
      </c>
      <c r="BG68" s="1015">
        <v>799.21869328493699</v>
      </c>
      <c r="BH68" s="1015">
        <v>895.19880699999999</v>
      </c>
      <c r="BI68" s="1015">
        <v>828.02565063520899</v>
      </c>
      <c r="BJ68" s="1015">
        <v>1087.1015694427999</v>
      </c>
      <c r="BK68" s="1015">
        <v>211.54809437386569</v>
      </c>
      <c r="BL68" s="1015">
        <v>326.49876856799995</v>
      </c>
      <c r="BM68" s="1015">
        <v>856.74160798548087</v>
      </c>
      <c r="BN68" s="1015">
        <v>1168.305636</v>
      </c>
      <c r="BO68" s="1015">
        <v>143.30807622504537</v>
      </c>
      <c r="BP68" s="1015">
        <v>223.26895099999999</v>
      </c>
      <c r="BQ68" s="1015">
        <v>170.62477313974591</v>
      </c>
      <c r="BR68" s="1015">
        <v>274.23286000000002</v>
      </c>
      <c r="BS68" s="1015">
        <v>661.28983166969147</v>
      </c>
      <c r="BT68" s="1015">
        <v>756.490588</v>
      </c>
      <c r="BU68" s="1015">
        <v>130.7087114337568</v>
      </c>
      <c r="BV68" s="1015">
        <v>232.22698399999999</v>
      </c>
      <c r="BW68" s="1015">
        <v>500</v>
      </c>
      <c r="BX68" s="1015">
        <v>659.21</v>
      </c>
      <c r="CA68" s="1015">
        <v>559.41</v>
      </c>
      <c r="CB68" s="1015">
        <v>873.90400437760002</v>
      </c>
      <c r="CC68" s="1015">
        <v>239.89421960072593</v>
      </c>
      <c r="CD68" s="1015">
        <v>365.38181500000002</v>
      </c>
      <c r="CE68" s="1015">
        <v>641</v>
      </c>
      <c r="CF68" s="1015">
        <v>1072.3052</v>
      </c>
      <c r="CG68" s="1015">
        <v>518.00198275862067</v>
      </c>
      <c r="CH68" s="1015">
        <v>509.80206100000004</v>
      </c>
      <c r="CI68" s="1015">
        <v>886</v>
      </c>
      <c r="CJ68" s="1015">
        <v>1392</v>
      </c>
      <c r="CM68" s="1015">
        <v>1271</v>
      </c>
      <c r="CN68" s="1015">
        <v>1742</v>
      </c>
    </row>
    <row r="69" spans="2:100" s="1009" customFormat="1">
      <c r="B69" s="1076" t="s">
        <v>546</v>
      </c>
      <c r="C69" s="1077">
        <v>1301.998</v>
      </c>
      <c r="D69" s="1077">
        <v>2223.7718169999998</v>
      </c>
      <c r="E69" s="1077">
        <v>1453.2850000000001</v>
      </c>
      <c r="F69" s="1077">
        <v>2401.6894425127998</v>
      </c>
      <c r="G69" s="1077">
        <v>234.2</v>
      </c>
      <c r="H69" s="1077">
        <v>706.72515899999996</v>
      </c>
      <c r="I69" s="1077">
        <v>1851.797</v>
      </c>
      <c r="J69" s="1077">
        <v>3446.9717839999998</v>
      </c>
      <c r="K69" s="1077">
        <v>1103.826</v>
      </c>
      <c r="L69" s="1077">
        <v>2089.1623970000001</v>
      </c>
      <c r="M69" s="1077">
        <v>976.24099999999999</v>
      </c>
      <c r="N69" s="1077">
        <v>1645.580162</v>
      </c>
      <c r="O69" s="1077">
        <v>3778.47</v>
      </c>
      <c r="P69" s="1077">
        <v>7634.7292804872004</v>
      </c>
      <c r="Q69" s="1077">
        <v>1153.9359999999999</v>
      </c>
      <c r="R69" s="1077">
        <v>1991.4577549999999</v>
      </c>
      <c r="S69" s="1077">
        <v>1153.9359999999999</v>
      </c>
      <c r="T69" s="1077">
        <v>1991.4577549999999</v>
      </c>
      <c r="U69" s="1077">
        <v>1498.7650000000001</v>
      </c>
      <c r="V69" s="1077">
        <v>2268.1261089999998</v>
      </c>
      <c r="W69" s="1091">
        <v>1499</v>
      </c>
      <c r="X69" s="1091">
        <v>2268</v>
      </c>
      <c r="Y69" s="1092">
        <v>1102.52</v>
      </c>
      <c r="Z69" s="1092">
        <v>2197.0071699999999</v>
      </c>
      <c r="AA69" s="1093">
        <v>107.688</v>
      </c>
      <c r="AB69" s="1093">
        <v>407.668522</v>
      </c>
      <c r="AC69" s="1077">
        <v>1202.40597520349</v>
      </c>
      <c r="AD69" s="1077">
        <v>2267.0082649999999</v>
      </c>
      <c r="AE69" s="1094">
        <v>208.316</v>
      </c>
      <c r="AF69" s="1094">
        <v>926.61140499999999</v>
      </c>
      <c r="AG69" s="1038">
        <v>2855.6790000000001</v>
      </c>
      <c r="AH69" s="1038">
        <v>4563.9248740000003</v>
      </c>
      <c r="AI69" s="1048">
        <v>1329.8589999999999</v>
      </c>
      <c r="AJ69" s="1048">
        <v>1940.2228889999999</v>
      </c>
      <c r="AK69" s="1009">
        <v>935.77700000000004</v>
      </c>
      <c r="AL69" s="1009">
        <v>2133.1056589999998</v>
      </c>
      <c r="AM69" s="1009">
        <v>64</v>
      </c>
      <c r="AN69" s="1009">
        <v>38</v>
      </c>
      <c r="AO69" s="1009">
        <v>1500</v>
      </c>
      <c r="AP69" s="1009">
        <v>1891</v>
      </c>
      <c r="AQ69" s="1057"/>
      <c r="AR69" s="1057"/>
      <c r="AS69" s="1057">
        <v>2518</v>
      </c>
      <c r="AT69" s="1054">
        <v>4912.199071</v>
      </c>
      <c r="AU69" s="1009">
        <v>1902.7270000000001</v>
      </c>
      <c r="AV69" s="1009">
        <v>4200.9200549999996</v>
      </c>
      <c r="AW69" s="1072">
        <v>1800</v>
      </c>
      <c r="AX69" s="1072">
        <v>3994.9236599999999</v>
      </c>
      <c r="AY69" s="1054">
        <v>1500</v>
      </c>
      <c r="AZ69" s="1054">
        <v>3327.8398999999999</v>
      </c>
      <c r="BA69" s="1110">
        <v>877</v>
      </c>
      <c r="BB69" s="1110">
        <v>2053.857293</v>
      </c>
      <c r="BC69" s="1009">
        <v>600</v>
      </c>
      <c r="BD69" s="1009">
        <v>1448.5440000000001</v>
      </c>
      <c r="BE69" s="1009">
        <v>915.53200000000004</v>
      </c>
      <c r="BF69" s="1009">
        <v>1799.912466</v>
      </c>
      <c r="BG69" s="1009">
        <v>581.495</v>
      </c>
      <c r="BH69" s="1009">
        <v>1793.104243</v>
      </c>
      <c r="BI69" s="1009">
        <v>248.18100000000001</v>
      </c>
      <c r="BJ69" s="1009">
        <v>726.09248163200004</v>
      </c>
      <c r="BK69" s="1009">
        <v>934.01599999999996</v>
      </c>
      <c r="BL69" s="1009">
        <v>2227.7225440000002</v>
      </c>
      <c r="BM69" s="1009">
        <v>731.101</v>
      </c>
      <c r="BN69" s="1009">
        <v>1688.7236359999999</v>
      </c>
      <c r="BO69" s="1009">
        <v>382.56799999999998</v>
      </c>
      <c r="BP69" s="1009">
        <v>1281.3159029999999</v>
      </c>
      <c r="BQ69" s="1009">
        <v>271.18</v>
      </c>
      <c r="BR69" s="1009">
        <v>1431.1083080000001</v>
      </c>
      <c r="BS69" s="1009">
        <v>252.94</v>
      </c>
      <c r="BT69" s="1009">
        <v>890.49959799999999</v>
      </c>
      <c r="BV69" s="1009">
        <v>618.16191200000003</v>
      </c>
      <c r="BX69" s="1009">
        <v>629.41600000000005</v>
      </c>
      <c r="CA69" s="1009">
        <v>8.65</v>
      </c>
      <c r="CB69" s="1009">
        <v>561.27379400000007</v>
      </c>
      <c r="CC69" s="1009">
        <v>0</v>
      </c>
      <c r="CD69" s="1009">
        <v>158.08399299999999</v>
      </c>
      <c r="CE69" s="1009">
        <v>0</v>
      </c>
      <c r="CF69" s="1009">
        <v>555.14940000000001</v>
      </c>
      <c r="CG69" s="1009">
        <v>219.56700000000001</v>
      </c>
      <c r="CH69" s="1009">
        <v>879.49415500000009</v>
      </c>
      <c r="CI69" s="1009">
        <v>514</v>
      </c>
      <c r="CJ69" s="1009">
        <v>1873</v>
      </c>
      <c r="CM69" s="1009">
        <v>610</v>
      </c>
      <c r="CN69" s="1009">
        <v>1075</v>
      </c>
    </row>
    <row r="70" spans="2:100" s="1009" customFormat="1">
      <c r="B70" s="1076" t="s">
        <v>547</v>
      </c>
      <c r="C70" s="1077"/>
      <c r="D70" s="1077"/>
      <c r="E70" s="1077"/>
      <c r="F70" s="1077"/>
      <c r="G70" s="1077"/>
      <c r="H70" s="1077"/>
      <c r="I70" s="1077"/>
      <c r="J70" s="1077"/>
      <c r="K70" s="1077"/>
      <c r="L70" s="1077"/>
      <c r="M70" s="1077"/>
      <c r="N70" s="1077"/>
      <c r="O70" s="1077"/>
      <c r="P70" s="1077"/>
      <c r="Q70" s="1077"/>
      <c r="R70" s="1077"/>
      <c r="S70" s="1077"/>
      <c r="T70" s="1077"/>
      <c r="U70" s="1077"/>
      <c r="V70" s="1077"/>
      <c r="W70" s="1091"/>
      <c r="X70" s="1091"/>
      <c r="Y70" s="1092"/>
      <c r="Z70" s="1092"/>
      <c r="AA70" s="1093"/>
      <c r="AB70" s="1093"/>
      <c r="AC70" s="1077"/>
      <c r="AD70" s="1077"/>
      <c r="AE70" s="1094"/>
      <c r="AF70" s="1094"/>
      <c r="AG70" s="1038"/>
      <c r="AH70" s="1038"/>
      <c r="AI70" s="1048"/>
      <c r="AJ70" s="1048"/>
      <c r="AQ70" s="1057"/>
      <c r="AR70" s="1057"/>
      <c r="AS70" s="1057"/>
      <c r="AT70" s="1054"/>
      <c r="AW70" s="1111"/>
      <c r="AX70" s="1111"/>
      <c r="AY70" s="1054"/>
      <c r="AZ70" s="1054"/>
      <c r="BA70" s="1074">
        <v>3217.1410000000001</v>
      </c>
      <c r="BB70" s="1074">
        <v>2373.5397670000002</v>
      </c>
      <c r="BC70" s="1009">
        <v>3549.7339999999999</v>
      </c>
      <c r="BD70" s="1009">
        <v>3056.8394629999998</v>
      </c>
      <c r="BE70" s="1009">
        <v>3921.78</v>
      </c>
      <c r="BF70" s="1009">
        <v>2959.2045400890001</v>
      </c>
      <c r="BG70" s="1009">
        <v>3372.0479999999998</v>
      </c>
      <c r="BH70" s="1009">
        <v>3596.4760670000001</v>
      </c>
      <c r="BI70" s="1009">
        <v>3191.89</v>
      </c>
      <c r="BJ70" s="1009">
        <v>1618.5861130000001</v>
      </c>
      <c r="BK70" s="1009">
        <v>21806.661</v>
      </c>
      <c r="BL70" s="1009">
        <v>9542.8478402194996</v>
      </c>
      <c r="BQ70" s="1009">
        <v>2817.0950000000003</v>
      </c>
      <c r="BR70" s="1009">
        <v>2794.2508009999997</v>
      </c>
      <c r="BS70" s="1009">
        <v>24397.774000000001</v>
      </c>
      <c r="BT70" s="1009">
        <v>12929.004894227999</v>
      </c>
      <c r="BU70" s="1009">
        <v>5075.1489999999994</v>
      </c>
      <c r="BV70" s="1009">
        <v>7326.7057600000007</v>
      </c>
      <c r="BW70" s="1009">
        <v>966.38000000000011</v>
      </c>
      <c r="BX70" s="1009">
        <v>1206.7261618124201</v>
      </c>
      <c r="BY70" s="1009">
        <v>512.92499999999995</v>
      </c>
      <c r="BZ70" s="1009">
        <v>760.63489200000004</v>
      </c>
      <c r="CA70" s="1009">
        <v>2201.9960000000001</v>
      </c>
      <c r="CB70" s="1009">
        <v>1570.3932810000001</v>
      </c>
      <c r="CC70" s="1009">
        <v>13900.652</v>
      </c>
      <c r="CD70" s="1009">
        <v>8426.1834299999991</v>
      </c>
      <c r="CE70" s="1009">
        <v>2830.3269999999998</v>
      </c>
      <c r="CF70" s="1009">
        <v>3324.6572259999998</v>
      </c>
      <c r="CG70" s="1009">
        <v>2241.6400000000003</v>
      </c>
      <c r="CH70" s="1009">
        <v>4313.9278279999999</v>
      </c>
      <c r="CI70" s="1009">
        <v>762.31000000000006</v>
      </c>
      <c r="CJ70" s="1009">
        <v>1642.913515</v>
      </c>
      <c r="CK70" s="1009">
        <v>189.88</v>
      </c>
      <c r="CL70" s="1009">
        <v>285.92405500000001</v>
      </c>
      <c r="CM70" s="1009">
        <v>3031</v>
      </c>
      <c r="CN70" s="1009">
        <v>1879</v>
      </c>
    </row>
    <row r="71" spans="2:100" s="1009" customFormat="1">
      <c r="B71" s="1076" t="s">
        <v>548</v>
      </c>
      <c r="C71" s="1077"/>
      <c r="D71" s="1077"/>
      <c r="E71" s="1077"/>
      <c r="F71" s="1077"/>
      <c r="G71" s="1077"/>
      <c r="H71" s="1077"/>
      <c r="I71" s="1077"/>
      <c r="J71" s="1077"/>
      <c r="K71" s="1077"/>
      <c r="L71" s="1077"/>
      <c r="M71" s="1077"/>
      <c r="N71" s="1077"/>
      <c r="O71" s="1077"/>
      <c r="P71" s="1077"/>
      <c r="Q71" s="1077"/>
      <c r="R71" s="1077"/>
      <c r="S71" s="1077"/>
      <c r="T71" s="1077"/>
      <c r="U71" s="1077"/>
      <c r="V71" s="1077"/>
      <c r="W71" s="1091"/>
      <c r="X71" s="1091"/>
      <c r="Y71" s="1092"/>
      <c r="Z71" s="1092"/>
      <c r="AA71" s="1093"/>
      <c r="AB71" s="1093"/>
      <c r="AC71" s="1077"/>
      <c r="AD71" s="1077"/>
      <c r="AE71" s="1094"/>
      <c r="AF71" s="1094"/>
      <c r="AG71" s="1038"/>
      <c r="AH71" s="1038"/>
      <c r="AI71" s="1048"/>
      <c r="AJ71" s="1048"/>
      <c r="AQ71" s="1057"/>
      <c r="AR71" s="1057"/>
      <c r="AS71" s="1057"/>
      <c r="AT71" s="1054"/>
      <c r="AW71" s="1111"/>
      <c r="AX71" s="1111"/>
      <c r="AY71" s="1054"/>
      <c r="AZ71" s="1054"/>
      <c r="BA71" s="1074">
        <v>2978.6959999999999</v>
      </c>
      <c r="BB71" s="1074">
        <v>1221.890942</v>
      </c>
      <c r="BC71" s="1009">
        <v>3200.674</v>
      </c>
      <c r="BD71" s="1009">
        <v>1597.0468430000001</v>
      </c>
      <c r="BE71" s="1009">
        <v>3569.9679999999998</v>
      </c>
      <c r="BF71" s="1009">
        <v>1533.1123200889999</v>
      </c>
      <c r="BG71" s="1009">
        <v>2056.973</v>
      </c>
      <c r="BH71" s="1009">
        <v>1072.8454039999999</v>
      </c>
      <c r="BI71" s="1009">
        <v>730.72199999999998</v>
      </c>
      <c r="BJ71" s="1009">
        <v>315.09390300000001</v>
      </c>
      <c r="BK71" s="1009">
        <v>21401.58</v>
      </c>
      <c r="BL71" s="1009">
        <v>8499.1109134569997</v>
      </c>
      <c r="BM71" s="1009">
        <v>961.44</v>
      </c>
      <c r="BN71" s="1009">
        <v>534.85762782400013</v>
      </c>
      <c r="BO71" s="1009">
        <v>9124.4860000000008</v>
      </c>
      <c r="BP71" s="1009">
        <v>4118.6448369999998</v>
      </c>
      <c r="BQ71" s="1009">
        <v>2062.154</v>
      </c>
      <c r="BR71" s="1009">
        <v>870.32400999999993</v>
      </c>
      <c r="BS71" s="1009">
        <v>23031.314000000002</v>
      </c>
      <c r="BT71" s="1009">
        <v>9676.0516629999984</v>
      </c>
      <c r="BU71" s="1009">
        <v>2713.6309999999999</v>
      </c>
      <c r="BV71" s="1009">
        <v>1372.70993</v>
      </c>
      <c r="CA71" s="1009">
        <v>1975.29</v>
      </c>
      <c r="CB71" s="1009">
        <v>794.644182</v>
      </c>
      <c r="CC71" s="1009">
        <v>13516.816999999999</v>
      </c>
      <c r="CD71" s="1009">
        <v>7463.6882999999998</v>
      </c>
      <c r="CE71" s="1009">
        <v>1889.0519999999999</v>
      </c>
      <c r="CF71" s="1009">
        <v>947.77063599999997</v>
      </c>
      <c r="CG71" s="1009">
        <v>1041.6110000000001</v>
      </c>
      <c r="CH71" s="1009">
        <v>1240.3198199999999</v>
      </c>
      <c r="CM71" s="1009">
        <v>2902</v>
      </c>
      <c r="CN71" s="1009">
        <v>1741</v>
      </c>
    </row>
    <row r="72" spans="2:100" s="1009" customFormat="1">
      <c r="B72" s="1076" t="s">
        <v>549</v>
      </c>
      <c r="C72" s="1077"/>
      <c r="D72" s="1077"/>
      <c r="E72" s="1077"/>
      <c r="F72" s="1077"/>
      <c r="G72" s="1077"/>
      <c r="H72" s="1077"/>
      <c r="I72" s="1077"/>
      <c r="J72" s="1077"/>
      <c r="K72" s="1077"/>
      <c r="L72" s="1077"/>
      <c r="M72" s="1077"/>
      <c r="N72" s="1077"/>
      <c r="O72" s="1077"/>
      <c r="P72" s="1077"/>
      <c r="Q72" s="1077"/>
      <c r="R72" s="1077"/>
      <c r="S72" s="1077"/>
      <c r="T72" s="1077"/>
      <c r="U72" s="1077"/>
      <c r="V72" s="1077"/>
      <c r="W72" s="1091"/>
      <c r="X72" s="1091"/>
      <c r="Y72" s="1092"/>
      <c r="Z72" s="1092"/>
      <c r="AA72" s="1093"/>
      <c r="AB72" s="1093"/>
      <c r="AC72" s="1077"/>
      <c r="AD72" s="1077"/>
      <c r="AE72" s="1094"/>
      <c r="AF72" s="1094"/>
      <c r="AG72" s="1038"/>
      <c r="AH72" s="1038"/>
      <c r="AI72" s="1048"/>
      <c r="AJ72" s="1048"/>
      <c r="AQ72" s="1057"/>
      <c r="AR72" s="1057"/>
      <c r="AS72" s="1057"/>
      <c r="AT72" s="1054"/>
      <c r="AW72" s="1111"/>
      <c r="AX72" s="1111"/>
      <c r="AY72" s="1054"/>
      <c r="AZ72" s="1054"/>
      <c r="BA72" s="1074">
        <v>2978.6959999999999</v>
      </c>
      <c r="BB72" s="1074">
        <v>1221.890942</v>
      </c>
      <c r="BC72" s="1009">
        <v>3200.674</v>
      </c>
      <c r="BD72" s="1009">
        <v>1597.0468430000001</v>
      </c>
      <c r="BE72" s="1009">
        <v>3569.9679999999998</v>
      </c>
      <c r="BF72" s="1009">
        <v>1533.1123200889999</v>
      </c>
      <c r="BG72" s="1009">
        <v>2056.973</v>
      </c>
      <c r="BH72" s="1009">
        <v>1072.8454039999999</v>
      </c>
      <c r="BI72" s="1009">
        <v>730.72199999999998</v>
      </c>
      <c r="BJ72" s="1009">
        <v>315.09390300000001</v>
      </c>
    </row>
    <row r="73" spans="2:100" s="1009" customFormat="1">
      <c r="B73" s="1076" t="s">
        <v>550</v>
      </c>
      <c r="C73" s="1077"/>
      <c r="D73" s="1077"/>
      <c r="E73" s="1077"/>
      <c r="F73" s="1077"/>
      <c r="G73" s="1077"/>
      <c r="H73" s="1077"/>
      <c r="I73" s="1077"/>
      <c r="J73" s="1077"/>
      <c r="K73" s="1077"/>
      <c r="L73" s="1077"/>
      <c r="M73" s="1077"/>
      <c r="N73" s="1077"/>
      <c r="O73" s="1077"/>
      <c r="P73" s="1077"/>
      <c r="Q73" s="1077"/>
      <c r="R73" s="1077"/>
      <c r="S73" s="1077"/>
      <c r="T73" s="1077"/>
      <c r="U73" s="1077"/>
      <c r="V73" s="1077"/>
      <c r="W73" s="1091"/>
      <c r="X73" s="1091"/>
      <c r="Y73" s="1092"/>
      <c r="Z73" s="1092"/>
      <c r="AA73" s="1093"/>
      <c r="AB73" s="1093"/>
      <c r="AC73" s="1077"/>
      <c r="AD73" s="1077"/>
      <c r="AE73" s="1094"/>
      <c r="AF73" s="1094"/>
      <c r="AG73" s="1038"/>
      <c r="AH73" s="1038"/>
      <c r="AI73" s="1048"/>
      <c r="AJ73" s="1048"/>
      <c r="AQ73" s="1057"/>
      <c r="AR73" s="1057"/>
      <c r="AS73" s="1057"/>
      <c r="AT73" s="1054"/>
      <c r="AW73" s="1111"/>
      <c r="AX73" s="1111"/>
      <c r="AY73" s="1054"/>
      <c r="AZ73" s="1054"/>
      <c r="BA73" s="1074">
        <v>146.32</v>
      </c>
      <c r="BB73" s="1074">
        <v>400.18520000000001</v>
      </c>
      <c r="BC73" s="1009">
        <v>255.9</v>
      </c>
      <c r="BD73" s="1009">
        <v>699.88649999999996</v>
      </c>
      <c r="BE73" s="1009">
        <v>258.63200000000001</v>
      </c>
      <c r="BF73" s="1009">
        <v>610.22680000000003</v>
      </c>
      <c r="BG73" s="1009">
        <v>492.79</v>
      </c>
      <c r="BH73" s="1009">
        <v>1566.360858</v>
      </c>
      <c r="BI73" s="1009">
        <f>BI74+BI75</f>
        <v>2072.067</v>
      </c>
      <c r="BJ73" s="1009">
        <f>BJ74+BJ75</f>
        <v>656.0764999999999</v>
      </c>
      <c r="BK73" s="1009">
        <v>395.68</v>
      </c>
      <c r="BL73" s="1009">
        <v>973.33283776250005</v>
      </c>
      <c r="BM73" s="1009">
        <v>967.94700000000012</v>
      </c>
      <c r="BN73" s="1009">
        <v>1651.29816555</v>
      </c>
      <c r="BO73" s="1009">
        <v>342.95</v>
      </c>
      <c r="BP73" s="1009">
        <v>856.55667900000003</v>
      </c>
      <c r="BQ73" s="1009">
        <v>728.976</v>
      </c>
      <c r="BR73" s="1009">
        <v>1661.9659059999999</v>
      </c>
      <c r="BS73" s="1009">
        <v>1315.83</v>
      </c>
      <c r="BT73" s="1009">
        <v>2742.1471612280002</v>
      </c>
      <c r="BU73" s="1009">
        <v>2305.8629999999998</v>
      </c>
      <c r="BV73" s="1009">
        <v>5392.4925350000003</v>
      </c>
      <c r="BW73" s="1009">
        <v>966.38000000000011</v>
      </c>
      <c r="BX73" s="1009">
        <v>1206.7261618124201</v>
      </c>
      <c r="BY73" s="1009">
        <v>486.94</v>
      </c>
      <c r="BZ73" s="1009">
        <v>498.47222699999998</v>
      </c>
      <c r="CA73" s="1009">
        <v>199.101</v>
      </c>
      <c r="CB73" s="1009">
        <v>497.242254</v>
      </c>
      <c r="CC73" s="1009">
        <v>359.315</v>
      </c>
      <c r="CD73" s="1009">
        <v>715.11284999999998</v>
      </c>
      <c r="CE73" s="1009">
        <v>852.61500000000001</v>
      </c>
      <c r="CF73" s="1009">
        <v>2014.2418499999999</v>
      </c>
      <c r="CG73" s="1009">
        <v>1163.2090000000001</v>
      </c>
      <c r="CH73" s="1009">
        <v>3070.9469680000002</v>
      </c>
      <c r="CI73" s="1009">
        <v>738.17000000000007</v>
      </c>
      <c r="CJ73" s="1009">
        <v>1638.7614349999999</v>
      </c>
      <c r="CK73" s="1009">
        <v>125.08</v>
      </c>
      <c r="CL73" s="1009">
        <v>274.77845500000001</v>
      </c>
      <c r="CM73" s="1009">
        <v>62</v>
      </c>
      <c r="CN73" s="1009">
        <v>126</v>
      </c>
    </row>
    <row r="74" spans="2:100" s="1009" customFormat="1">
      <c r="B74" s="1076" t="s">
        <v>551</v>
      </c>
      <c r="C74" s="1077"/>
      <c r="D74" s="1077"/>
      <c r="E74" s="1077"/>
      <c r="F74" s="1077"/>
      <c r="G74" s="1077"/>
      <c r="H74" s="1077"/>
      <c r="I74" s="1077"/>
      <c r="J74" s="1077"/>
      <c r="K74" s="1077"/>
      <c r="L74" s="1077"/>
      <c r="M74" s="1077"/>
      <c r="N74" s="1077"/>
      <c r="O74" s="1077"/>
      <c r="P74" s="1077"/>
      <c r="Q74" s="1077"/>
      <c r="R74" s="1077"/>
      <c r="S74" s="1077"/>
      <c r="T74" s="1077"/>
      <c r="U74" s="1077"/>
      <c r="V74" s="1077"/>
      <c r="W74" s="1091"/>
      <c r="X74" s="1091"/>
      <c r="Y74" s="1092"/>
      <c r="Z74" s="1092"/>
      <c r="AA74" s="1093"/>
      <c r="AB74" s="1093"/>
      <c r="AC74" s="1077"/>
      <c r="AD74" s="1077"/>
      <c r="AE74" s="1094"/>
      <c r="AF74" s="1094"/>
      <c r="AG74" s="1038"/>
      <c r="AH74" s="1038"/>
      <c r="AI74" s="1048"/>
      <c r="AJ74" s="1048"/>
      <c r="AQ74" s="1057"/>
      <c r="AR74" s="1057"/>
      <c r="AS74" s="1057"/>
      <c r="AT74" s="1054"/>
      <c r="AW74" s="1111"/>
      <c r="AX74" s="1111"/>
      <c r="AY74" s="1054"/>
      <c r="AZ74" s="1054"/>
      <c r="BA74" s="1074">
        <v>146.32</v>
      </c>
      <c r="BB74" s="1074">
        <v>400.18520000000001</v>
      </c>
      <c r="BC74" s="1009">
        <v>255.9</v>
      </c>
      <c r="BD74" s="1009">
        <v>699.88649999999996</v>
      </c>
      <c r="BE74" s="1009">
        <v>239.852</v>
      </c>
      <c r="BF74" s="1009">
        <v>460.92579999999998</v>
      </c>
      <c r="BG74" s="1009">
        <v>456.11</v>
      </c>
      <c r="BH74" s="1009">
        <v>1128.4267580000001</v>
      </c>
      <c r="BI74" s="1009">
        <v>2066.8670000000002</v>
      </c>
      <c r="BJ74" s="1009">
        <v>575.37249999999995</v>
      </c>
      <c r="BK74" s="1009">
        <v>228.28</v>
      </c>
      <c r="BL74" s="1009">
        <v>344.45042799999999</v>
      </c>
      <c r="BM74" s="1009">
        <v>659.42200000000003</v>
      </c>
      <c r="BN74" s="1009">
        <v>1305.5903430000001</v>
      </c>
      <c r="BO74" s="1009">
        <v>342.95</v>
      </c>
      <c r="BP74" s="1009">
        <v>856.55667900000003</v>
      </c>
      <c r="BQ74" s="1009">
        <v>583.23</v>
      </c>
      <c r="BR74" s="1009">
        <v>1355.7268859999999</v>
      </c>
      <c r="BS74" s="1009">
        <v>1086.752</v>
      </c>
      <c r="BT74" s="1009">
        <v>2208.1386620000003</v>
      </c>
      <c r="BU74" s="1009">
        <v>2163.8040000000001</v>
      </c>
      <c r="BV74" s="1009">
        <v>5067.6793950000001</v>
      </c>
      <c r="BW74" s="1009">
        <v>798.26700000000005</v>
      </c>
      <c r="BX74" s="1009">
        <v>718.70110499999998</v>
      </c>
      <c r="BY74" s="1009">
        <v>486.94</v>
      </c>
      <c r="BZ74" s="1009">
        <v>498.47222699999998</v>
      </c>
      <c r="CA74" s="1009">
        <v>199.101</v>
      </c>
      <c r="CB74" s="1009">
        <v>497.242254</v>
      </c>
      <c r="CC74" s="1009">
        <v>170.94</v>
      </c>
      <c r="CD74" s="1009">
        <v>477.60235</v>
      </c>
      <c r="CE74" s="1009">
        <v>579.36500000000001</v>
      </c>
      <c r="CF74" s="1009">
        <v>1469.011354</v>
      </c>
      <c r="CG74" s="1009">
        <v>1163.2090000000001</v>
      </c>
      <c r="CH74" s="1009">
        <v>3070.9469680000002</v>
      </c>
      <c r="CI74" s="1009">
        <v>554.21</v>
      </c>
      <c r="CJ74" s="1009">
        <v>1331.983371</v>
      </c>
      <c r="CK74" s="1009">
        <v>125.08</v>
      </c>
      <c r="CL74" s="1009">
        <v>274.77845500000001</v>
      </c>
      <c r="CM74" s="1009">
        <v>62</v>
      </c>
      <c r="CN74" s="1009">
        <v>126</v>
      </c>
    </row>
    <row r="75" spans="2:100" s="1009" customFormat="1">
      <c r="B75" s="1076" t="s">
        <v>552</v>
      </c>
      <c r="C75" s="1077"/>
      <c r="D75" s="1077"/>
      <c r="E75" s="1077"/>
      <c r="F75" s="1077"/>
      <c r="G75" s="1077"/>
      <c r="H75" s="1077"/>
      <c r="I75" s="1077"/>
      <c r="J75" s="1077"/>
      <c r="K75" s="1077"/>
      <c r="L75" s="1077"/>
      <c r="M75" s="1077"/>
      <c r="N75" s="1077"/>
      <c r="O75" s="1077"/>
      <c r="P75" s="1077"/>
      <c r="Q75" s="1077"/>
      <c r="R75" s="1077"/>
      <c r="S75" s="1077"/>
      <c r="T75" s="1077"/>
      <c r="U75" s="1077"/>
      <c r="V75" s="1077"/>
      <c r="W75" s="1091"/>
      <c r="X75" s="1091"/>
      <c r="Y75" s="1092"/>
      <c r="Z75" s="1092"/>
      <c r="AA75" s="1093"/>
      <c r="AB75" s="1093"/>
      <c r="AC75" s="1077"/>
      <c r="AD75" s="1077"/>
      <c r="AE75" s="1094"/>
      <c r="AF75" s="1094"/>
      <c r="AG75" s="1038"/>
      <c r="AH75" s="1038"/>
      <c r="AI75" s="1048"/>
      <c r="AJ75" s="1048"/>
      <c r="AQ75" s="1057"/>
      <c r="AR75" s="1057"/>
      <c r="AS75" s="1057"/>
      <c r="AT75" s="1054"/>
      <c r="AW75" s="1111"/>
      <c r="AX75" s="1111"/>
      <c r="AY75" s="1054"/>
      <c r="AZ75" s="1054"/>
      <c r="BA75" s="1074"/>
      <c r="BB75" s="1074"/>
      <c r="BE75" s="1009">
        <v>18.78</v>
      </c>
      <c r="BF75" s="1009">
        <v>149.30099999999999</v>
      </c>
      <c r="BG75" s="1009">
        <v>36.68</v>
      </c>
      <c r="BH75" s="1009">
        <v>437.9341</v>
      </c>
      <c r="BI75" s="1009">
        <v>5.2</v>
      </c>
      <c r="BJ75" s="1009">
        <v>80.703999999999994</v>
      </c>
      <c r="BK75" s="1009">
        <v>57.46</v>
      </c>
      <c r="BL75" s="1009">
        <v>516.31399999999996</v>
      </c>
      <c r="BS75" s="1009">
        <v>30.9</v>
      </c>
      <c r="BT75" s="1009">
        <v>285.44849899999997</v>
      </c>
      <c r="BU75" s="1009">
        <v>10.58</v>
      </c>
      <c r="BV75" s="1009">
        <v>118.71080000000001</v>
      </c>
      <c r="BW75" s="1009">
        <v>31.21</v>
      </c>
      <c r="BX75" s="1009">
        <v>341.96618699999999</v>
      </c>
    </row>
    <row r="76" spans="2:100" s="1009" customFormat="1">
      <c r="B76" s="1076" t="s">
        <v>1100</v>
      </c>
      <c r="C76" s="1077"/>
      <c r="D76" s="1077"/>
      <c r="E76" s="1077"/>
      <c r="F76" s="1077"/>
      <c r="G76" s="1077"/>
      <c r="H76" s="1077"/>
      <c r="I76" s="1077"/>
      <c r="J76" s="1077"/>
      <c r="K76" s="1077"/>
      <c r="L76" s="1077"/>
      <c r="M76" s="1077"/>
      <c r="N76" s="1077"/>
      <c r="O76" s="1077"/>
      <c r="P76" s="1077"/>
      <c r="Q76" s="1077"/>
      <c r="R76" s="1077"/>
      <c r="S76" s="1077"/>
      <c r="T76" s="1077"/>
      <c r="U76" s="1077"/>
      <c r="V76" s="1077"/>
      <c r="W76" s="1091"/>
      <c r="X76" s="1091"/>
      <c r="Y76" s="1092"/>
      <c r="Z76" s="1092"/>
      <c r="AA76" s="1093"/>
      <c r="AB76" s="1093"/>
      <c r="AC76" s="1077"/>
      <c r="AD76" s="1077"/>
      <c r="AE76" s="1094"/>
      <c r="AF76" s="1094"/>
      <c r="AG76" s="1038"/>
      <c r="AH76" s="1038"/>
      <c r="AI76" s="1048"/>
      <c r="AJ76" s="1048"/>
      <c r="AQ76" s="1057"/>
      <c r="AR76" s="1057"/>
      <c r="AS76" s="1057"/>
      <c r="AT76" s="1054"/>
      <c r="AW76" s="1111"/>
      <c r="AX76" s="1111"/>
      <c r="AY76" s="1054"/>
      <c r="AZ76" s="1054"/>
      <c r="BA76" s="1074"/>
      <c r="BB76" s="1074"/>
      <c r="BK76" s="1009">
        <v>109.94</v>
      </c>
      <c r="BL76" s="1009">
        <v>112.5684097625</v>
      </c>
      <c r="BM76" s="1009">
        <v>308.52500000000003</v>
      </c>
      <c r="BN76" s="1009">
        <v>345.70782255</v>
      </c>
      <c r="BQ76" s="1009">
        <v>145.74600000000001</v>
      </c>
      <c r="BR76" s="1009">
        <v>306.23901999999998</v>
      </c>
      <c r="BS76" s="1009">
        <v>198.178</v>
      </c>
      <c r="BT76" s="1009">
        <v>248.56000022800001</v>
      </c>
      <c r="BU76" s="1009">
        <v>131.47899999999998</v>
      </c>
      <c r="BV76" s="1009">
        <v>206.10234000000003</v>
      </c>
      <c r="BW76" s="1009">
        <v>136.90299999999999</v>
      </c>
      <c r="BX76" s="1009">
        <v>146.05886981242</v>
      </c>
      <c r="CC76" s="1009">
        <v>188.375</v>
      </c>
      <c r="CD76" s="1009">
        <v>237.51050000000001</v>
      </c>
      <c r="CE76" s="1009">
        <v>273.25</v>
      </c>
      <c r="CF76" s="1009">
        <v>545.23049600000002</v>
      </c>
      <c r="CI76" s="1009">
        <v>183.96</v>
      </c>
      <c r="CJ76" s="1009">
        <v>306.77806399999997</v>
      </c>
    </row>
    <row r="77" spans="2:100" s="1009" customFormat="1">
      <c r="B77" s="1076" t="s">
        <v>553</v>
      </c>
      <c r="C77" s="1077"/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77"/>
      <c r="V77" s="1077"/>
      <c r="W77" s="1091"/>
      <c r="X77" s="1091"/>
      <c r="Y77" s="1092"/>
      <c r="Z77" s="1092"/>
      <c r="AA77" s="1093"/>
      <c r="AB77" s="1093"/>
      <c r="AC77" s="1077"/>
      <c r="AD77" s="1077"/>
      <c r="AE77" s="1094"/>
      <c r="AF77" s="1094"/>
      <c r="AG77" s="1038"/>
      <c r="AH77" s="1038"/>
      <c r="AI77" s="1048"/>
      <c r="AJ77" s="1048"/>
      <c r="AQ77" s="1057"/>
      <c r="AR77" s="1057"/>
      <c r="AS77" s="1057"/>
      <c r="AT77" s="1054"/>
      <c r="AW77" s="1111"/>
      <c r="AX77" s="1111"/>
      <c r="AY77" s="1054"/>
      <c r="AZ77" s="1054"/>
      <c r="BA77" s="1074">
        <v>92.125</v>
      </c>
      <c r="BB77" s="1074">
        <v>751.46362499999998</v>
      </c>
      <c r="BC77" s="1009">
        <v>93.16</v>
      </c>
      <c r="BD77" s="1009">
        <v>759.90611999999999</v>
      </c>
      <c r="BE77" s="1009">
        <v>116.11999999999999</v>
      </c>
      <c r="BF77" s="1009">
        <v>1002.987</v>
      </c>
      <c r="BG77" s="1009">
        <v>822.28499999999997</v>
      </c>
      <c r="BH77" s="1009">
        <v>957.26980500000002</v>
      </c>
      <c r="BI77" s="1009">
        <v>394.30099999999999</v>
      </c>
      <c r="BJ77" s="1009">
        <v>728.11971000000005</v>
      </c>
      <c r="BK77" s="1009">
        <v>9.4009999999999998</v>
      </c>
      <c r="BL77" s="1009">
        <v>70.404088999999999</v>
      </c>
      <c r="BO77" s="1009">
        <v>80.448999999999998</v>
      </c>
      <c r="BP77" s="1009">
        <v>618.80201999999997</v>
      </c>
      <c r="BQ77" s="1009">
        <v>25.965</v>
      </c>
      <c r="BR77" s="1009">
        <v>261.96088500000002</v>
      </c>
      <c r="BS77" s="1009">
        <v>50.63</v>
      </c>
      <c r="BT77" s="1009">
        <v>510.80607000000003</v>
      </c>
      <c r="BU77" s="1009">
        <v>55.655000000000001</v>
      </c>
      <c r="BV77" s="1009">
        <v>561.50329499999998</v>
      </c>
      <c r="BY77" s="1009">
        <v>25.984999999999999</v>
      </c>
      <c r="BZ77" s="1009">
        <v>262.162665</v>
      </c>
      <c r="CA77" s="1009">
        <v>27.605</v>
      </c>
      <c r="CB77" s="1009">
        <v>278.506845</v>
      </c>
      <c r="CC77" s="1009">
        <v>24.52</v>
      </c>
      <c r="CD77" s="1009">
        <v>247.38227999999998</v>
      </c>
      <c r="CE77" s="1009">
        <v>88.66</v>
      </c>
      <c r="CF77" s="1009">
        <v>362.64474000000001</v>
      </c>
      <c r="CG77" s="1009">
        <v>36.82</v>
      </c>
      <c r="CH77" s="1009">
        <v>2.6610400000000003</v>
      </c>
      <c r="CI77" s="1009">
        <v>24.14</v>
      </c>
      <c r="CJ77" s="1009">
        <v>4.1520800000000007</v>
      </c>
      <c r="CK77" s="1009">
        <v>64.8</v>
      </c>
      <c r="CL77" s="1009">
        <v>11.1456</v>
      </c>
      <c r="CM77" s="1009">
        <v>67</v>
      </c>
      <c r="CN77" s="1009">
        <v>12</v>
      </c>
    </row>
    <row r="78" spans="2:100" s="1009" customFormat="1">
      <c r="B78" s="1076" t="s">
        <v>554</v>
      </c>
      <c r="C78" s="1077"/>
      <c r="D78" s="1077"/>
      <c r="E78" s="1077"/>
      <c r="F78" s="1077"/>
      <c r="G78" s="1077"/>
      <c r="H78" s="1077"/>
      <c r="I78" s="1077"/>
      <c r="J78" s="1077"/>
      <c r="K78" s="1077"/>
      <c r="L78" s="1077"/>
      <c r="M78" s="1077"/>
      <c r="N78" s="1077"/>
      <c r="O78" s="1077"/>
      <c r="P78" s="1077"/>
      <c r="Q78" s="1077"/>
      <c r="R78" s="1077"/>
      <c r="S78" s="1077"/>
      <c r="T78" s="1077"/>
      <c r="U78" s="1077"/>
      <c r="V78" s="1077"/>
      <c r="W78" s="1091"/>
      <c r="X78" s="1091"/>
      <c r="Y78" s="1092"/>
      <c r="Z78" s="1092"/>
      <c r="AA78" s="1093"/>
      <c r="AB78" s="1093"/>
      <c r="AC78" s="1077"/>
      <c r="AD78" s="1077"/>
      <c r="AE78" s="1094"/>
      <c r="AF78" s="1094"/>
      <c r="AG78" s="1038"/>
      <c r="AH78" s="1038"/>
      <c r="AI78" s="1048"/>
      <c r="AJ78" s="1048"/>
      <c r="AQ78" s="1057"/>
      <c r="AR78" s="1057"/>
      <c r="AS78" s="1057"/>
      <c r="AT78" s="1054"/>
      <c r="AW78" s="1111"/>
      <c r="AX78" s="1111"/>
      <c r="AY78" s="1054"/>
      <c r="AZ78" s="1054"/>
      <c r="BA78" s="1074">
        <v>374.55500000000001</v>
      </c>
      <c r="BB78" s="1074">
        <v>432.36804999999998</v>
      </c>
      <c r="BC78" s="1009">
        <v>630.14499999999998</v>
      </c>
      <c r="BD78" s="1009">
        <v>688.72179000000006</v>
      </c>
      <c r="BE78" s="1009">
        <v>1167.4280000000001</v>
      </c>
      <c r="BF78" s="1009">
        <v>1156.2300150000001</v>
      </c>
      <c r="BG78" s="1009">
        <v>2019.433</v>
      </c>
      <c r="BH78" s="1009">
        <v>2012.247554</v>
      </c>
      <c r="BI78" s="1009">
        <v>1790.817</v>
      </c>
      <c r="BJ78" s="1009">
        <v>1911.2998749999999</v>
      </c>
      <c r="BK78" s="1009">
        <v>1442.9639999999999</v>
      </c>
      <c r="BL78" s="1009">
        <v>1514.5659310000001</v>
      </c>
      <c r="BM78" s="1009">
        <v>1353.6479999999999</v>
      </c>
      <c r="BN78" s="1009">
        <v>1440.7605369999999</v>
      </c>
      <c r="BO78" s="1009">
        <v>1365.2739999999999</v>
      </c>
      <c r="BP78" s="1009">
        <v>1555.972538</v>
      </c>
      <c r="BQ78" s="1009">
        <v>932.08100000000002</v>
      </c>
      <c r="BR78" s="1009">
        <v>1097.9433119999999</v>
      </c>
      <c r="BS78" s="1009">
        <v>2050.607</v>
      </c>
      <c r="BT78" s="1009">
        <v>2416.8858230000001</v>
      </c>
      <c r="BU78" s="1009">
        <v>2249.424</v>
      </c>
      <c r="BV78" s="1009">
        <v>2616.434452</v>
      </c>
      <c r="BW78" s="1009">
        <v>1741.366</v>
      </c>
      <c r="BX78" s="1009">
        <v>1959.0513169999999</v>
      </c>
      <c r="BY78" s="1009">
        <v>999.45100000000002</v>
      </c>
      <c r="BZ78" s="1009">
        <v>1228.2878800000001</v>
      </c>
      <c r="CA78" s="1009">
        <v>2607.0929999999998</v>
      </c>
      <c r="CB78" s="1009">
        <v>3302.2840699999997</v>
      </c>
      <c r="CC78" s="1009">
        <v>1668.0640000000001</v>
      </c>
      <c r="CD78" s="1009">
        <v>2133.1733730000001</v>
      </c>
      <c r="CE78" s="1009">
        <v>1967.6780000000001</v>
      </c>
      <c r="CF78" s="1009">
        <v>2472.7853380000001</v>
      </c>
      <c r="CG78" s="1009">
        <v>1804.6369999999999</v>
      </c>
      <c r="CH78" s="1009">
        <v>2377.5717489999997</v>
      </c>
      <c r="CI78" s="1009">
        <v>2054.1320000000001</v>
      </c>
      <c r="CJ78" s="1009">
        <v>2815.3113290000001</v>
      </c>
      <c r="CK78" s="1009">
        <v>2094.7020000000002</v>
      </c>
      <c r="CL78" s="1009">
        <v>3221.6581500000002</v>
      </c>
      <c r="CM78" s="1009">
        <v>2267</v>
      </c>
      <c r="CN78" s="1009">
        <v>3644</v>
      </c>
    </row>
    <row r="79" spans="2:100" s="1007" customFormat="1" ht="14.25">
      <c r="B79" s="1019" t="s">
        <v>412</v>
      </c>
      <c r="C79" s="1020">
        <f t="shared" ref="C79:AF79" si="15">C4+C60+C63+C64+C66+C67+C68+C69</f>
        <v>943520.13399999996</v>
      </c>
      <c r="D79" s="1020">
        <f t="shared" si="15"/>
        <v>627335.11644300015</v>
      </c>
      <c r="E79" s="1020">
        <f t="shared" si="15"/>
        <v>836561.37600000016</v>
      </c>
      <c r="F79" s="1020">
        <f t="shared" si="15"/>
        <v>598552.42075598729</v>
      </c>
      <c r="G79" s="1020">
        <f t="shared" si="15"/>
        <v>678790.18299999996</v>
      </c>
      <c r="H79" s="1020">
        <f t="shared" si="15"/>
        <v>468250.59748322121</v>
      </c>
      <c r="I79" s="1020">
        <f t="shared" si="15"/>
        <v>950214.87900000031</v>
      </c>
      <c r="J79" s="1020">
        <f t="shared" si="15"/>
        <v>680822.83407433005</v>
      </c>
      <c r="K79" s="1020">
        <f t="shared" si="15"/>
        <v>826392.3330000001</v>
      </c>
      <c r="L79" s="1020">
        <f t="shared" si="15"/>
        <v>582543.6275475655</v>
      </c>
      <c r="M79" s="1020">
        <f t="shared" si="15"/>
        <v>882536.69</v>
      </c>
      <c r="N79" s="1020">
        <f t="shared" si="15"/>
        <v>618539.03290500015</v>
      </c>
      <c r="O79" s="1020">
        <f t="shared" si="15"/>
        <v>857635.43099999998</v>
      </c>
      <c r="P79" s="1020">
        <f t="shared" si="15"/>
        <v>600370.02388167544</v>
      </c>
      <c r="Q79" s="1020">
        <f t="shared" si="15"/>
        <v>811180.91030852986</v>
      </c>
      <c r="R79" s="1020">
        <f t="shared" si="15"/>
        <v>583603.68051400001</v>
      </c>
      <c r="S79" s="1020">
        <f t="shared" si="15"/>
        <v>870693.51530852984</v>
      </c>
      <c r="T79" s="1020">
        <f t="shared" si="15"/>
        <v>610496.23911672423</v>
      </c>
      <c r="U79" s="1020">
        <f t="shared" si="15"/>
        <v>787566.13161399984</v>
      </c>
      <c r="V79" s="1020">
        <f t="shared" si="15"/>
        <v>574872.96915960929</v>
      </c>
      <c r="W79" s="1020">
        <f t="shared" si="15"/>
        <v>827086</v>
      </c>
      <c r="X79" s="1020">
        <f t="shared" si="15"/>
        <v>580813</v>
      </c>
      <c r="Y79" s="1020">
        <f t="shared" si="15"/>
        <v>781114.88316399988</v>
      </c>
      <c r="Z79" s="1020">
        <f t="shared" si="15"/>
        <v>551608.301202</v>
      </c>
      <c r="AA79" s="1020">
        <f t="shared" si="15"/>
        <v>943148.39142921974</v>
      </c>
      <c r="AB79" s="1020">
        <f t="shared" si="15"/>
        <v>596306.96034188825</v>
      </c>
      <c r="AC79" s="1020">
        <f t="shared" si="15"/>
        <v>795383.43393568136</v>
      </c>
      <c r="AD79" s="1020">
        <f t="shared" si="15"/>
        <v>520029.90321669658</v>
      </c>
      <c r="AE79" s="1020">
        <f t="shared" si="15"/>
        <v>756608.65927999991</v>
      </c>
      <c r="AF79" s="1020">
        <f t="shared" si="15"/>
        <v>475067.17839032505</v>
      </c>
      <c r="AG79" s="1102">
        <f t="shared" ref="AG79:AZ79" si="16">AG4+AG63+AG60+AG64+AG66+AG67+AG68+AG69</f>
        <v>931661.0684499999</v>
      </c>
      <c r="AH79" s="1102">
        <f t="shared" si="16"/>
        <v>642112.45121546392</v>
      </c>
      <c r="AI79" s="1102">
        <f t="shared" si="16"/>
        <v>839159.28214999998</v>
      </c>
      <c r="AJ79" s="1102">
        <f t="shared" si="16"/>
        <v>567909.05678437999</v>
      </c>
      <c r="AK79" s="1103">
        <f t="shared" si="16"/>
        <v>831626.88745000015</v>
      </c>
      <c r="AL79" s="1103">
        <f t="shared" si="16"/>
        <v>574385.98476014752</v>
      </c>
      <c r="AM79" s="1103">
        <f t="shared" si="16"/>
        <v>787392.32539999997</v>
      </c>
      <c r="AN79" s="1103">
        <f t="shared" si="16"/>
        <v>555865.20728239301</v>
      </c>
      <c r="AO79" s="1103">
        <f t="shared" si="16"/>
        <v>876211.03709999984</v>
      </c>
      <c r="AP79" s="1103">
        <f t="shared" si="16"/>
        <v>582271.37760845863</v>
      </c>
      <c r="AQ79" s="1103">
        <f t="shared" si="16"/>
        <v>883551.47589999996</v>
      </c>
      <c r="AR79" s="1103">
        <f t="shared" si="16"/>
        <v>617373.47389920894</v>
      </c>
      <c r="AS79" s="1103">
        <f t="shared" si="16"/>
        <v>840174.07030000014</v>
      </c>
      <c r="AT79" s="1103">
        <f t="shared" si="16"/>
        <v>595710.66748980805</v>
      </c>
      <c r="AU79" s="1103">
        <f t="shared" si="16"/>
        <v>789494.81749999989</v>
      </c>
      <c r="AV79" s="1103">
        <f t="shared" si="16"/>
        <v>521265.17564392556</v>
      </c>
      <c r="AW79" s="1103">
        <f t="shared" si="16"/>
        <v>833116.86240000022</v>
      </c>
      <c r="AX79" s="1103">
        <f t="shared" si="16"/>
        <v>530664.69422604458</v>
      </c>
      <c r="AY79" s="1103">
        <f t="shared" si="16"/>
        <v>949470.56642299995</v>
      </c>
      <c r="AZ79" s="1103">
        <f t="shared" si="16"/>
        <v>595823.93855029473</v>
      </c>
      <c r="BA79" s="1103">
        <f>BA4+BA63+BA60+BA64+BA66+BA67+BA68+BA69-BA71-BA73-BA77+BA78</f>
        <v>748836.28000000014</v>
      </c>
      <c r="BB79" s="1103">
        <f>BB4+BB63+BB60+BB64+BB66+BB67+BB68+BB69+BB78-BB73-BB71-BB77</f>
        <v>444008.27087671257</v>
      </c>
      <c r="BC79" s="1103">
        <f>BC4+BC63+BC60+BC64+BC66+BC67+BC68+BC69-BC71-BC73-BC77+BC78</f>
        <v>777822.37940000021</v>
      </c>
      <c r="BD79" s="1103">
        <f>BD4+BD63+BD60+BD64+BD66+BD67+BD68+BD69+BD78-BD73-BD71-BD77</f>
        <v>470245.35998099996</v>
      </c>
      <c r="BE79" s="1103">
        <f>BE4+BE63+BE60+BE64+BE66+BE67+BE68+BE69-BE71-BE73-BE77+BE78</f>
        <v>885591.53800000006</v>
      </c>
      <c r="BF79" s="1103">
        <f>BF4+BF63+BF60+BF64+BF66+BF67+BF68+BF69+BF78-BF73-BF71-BF77</f>
        <v>573626.80068725452</v>
      </c>
      <c r="BG79" s="1103">
        <f>BG4+BG63+BG60+BG64+BG66+BG67+BG68+BG69-BG71-BG73-BG77+BG78</f>
        <v>967773.22269328474</v>
      </c>
      <c r="BH79" s="1103">
        <f>BH4+BH63+BH60+BH64+BH66+BH67+BH68+BH69+BH78-BH73-BH71-BH77</f>
        <v>603739.42884667544</v>
      </c>
      <c r="BI79" s="1103">
        <f>BI4+BI63+BI60+BI64+BI66+BI67+BI68+BI69-BI71-BI73-BI77+BI78</f>
        <v>899164.79765063513</v>
      </c>
      <c r="BJ79" s="1103">
        <f>BJ4+BJ63+BJ60+BJ64+BJ66+BJ67+BJ68+BJ69+BJ78-BJ73-BJ71-BJ77</f>
        <v>548773.22087543667</v>
      </c>
      <c r="BK79" s="1103">
        <f>BK4+BK63+BK60+BK64+BK66+BK67+BK68+BK69-BK71-BK73-BK77+BK78</f>
        <v>732513.39209437382</v>
      </c>
      <c r="BL79" s="1103">
        <f>BL4+BL63+BL60+BL64+BL66+BL67+BL68+BL69+BL78-BL73-BL71-BL77</f>
        <v>488095.18676009012</v>
      </c>
      <c r="BM79" s="1103">
        <f>BM4+BM63+BM60+BM64+BM66+BM67+BM68+BM69-BM71-BM73-BM77+BM78</f>
        <v>681164.38660798559</v>
      </c>
      <c r="BN79" s="1103">
        <f>BN4+BN63+BN60+BN64+BN66+BN67+BN68+BN69+BN78-BN73-BN71-BN77</f>
        <v>481680.41070844611</v>
      </c>
      <c r="BO79" s="1103">
        <f>BO4+BO63+BO60+BO64+BO66+BO67+BO68+BO69-BO71-BO73-BO77+BO78</f>
        <v>717051.10007622512</v>
      </c>
      <c r="BP79" s="1103">
        <f>BP4+BP63+BP60+BP64+BP66+BP67+BP68+BP69+BP78-BP73-BP71-BP77</f>
        <v>492886.77784366766</v>
      </c>
      <c r="BQ79" s="1103">
        <f>BQ4+BQ63+BQ60+BQ64+BQ66+BQ67+BQ68+BQ69-BQ71-BQ73-BQ77+BQ78</f>
        <v>674621.52777313965</v>
      </c>
      <c r="BR79" s="1103">
        <f>BR4+BR63+BR60+BR64+BR66+BR67+BR68+BR69+BR78-BR73-BR71-BR77</f>
        <v>477847.10358398122</v>
      </c>
      <c r="BS79" s="1103">
        <f>BS4+BS63+BS60+BS64+BS66+BS67+BS68+BS69-BS71-BS73-BS77+BS78</f>
        <v>833047.29083166982</v>
      </c>
      <c r="BT79" s="1103">
        <f>BT4+BT63+BT60+BT64+BT66+BT67+BT68+BT69+BT78-BT73-BT71-BT77</f>
        <v>567948.93053199234</v>
      </c>
      <c r="BU79" s="1103">
        <f>BU4+BU63+BU60+BU64+BU66+BU67+BU68+BU69-BU71-BU73-BU77+BU78</f>
        <v>956005.24471143377</v>
      </c>
      <c r="BV79" s="1103">
        <f>BV4+BV63+BV60+BV64+BV66+BV67+BV68+BV69+BV78-BV73-BV71-BV77</f>
        <v>609522.18969502754</v>
      </c>
      <c r="BW79" s="1767">
        <f>BW4+BW63+BW60+BW64+BW66+BW67+BW68+BW69-BW71-BW73-BW77+BW78</f>
        <v>994496.54300000006</v>
      </c>
      <c r="BX79" s="1767">
        <f>BX4+BX63+BX60+BX64+BX66+BX67+BX68+BX69+BX78-BX73-BX71-BX77</f>
        <v>660344.51272029977</v>
      </c>
      <c r="BY79" s="1767">
        <f>BY4+BY63+BY60+BY64+BY66+BY67+BY68+BY69-BY71-BY73-BY77+BY78</f>
        <v>933645.35800000012</v>
      </c>
      <c r="BZ79" s="1767">
        <f>BZ4+BZ63+BZ60+BZ64+BZ66+BZ67+BZ68+BZ69+BZ78-BZ73-BZ71-BZ77</f>
        <v>646898.71076960326</v>
      </c>
      <c r="CA79" s="1767">
        <f>CA4+CA63+CA60+CA64+CA66+CA67+CA68+CA69-CA71-CA73-CA77+CA78</f>
        <v>857690.74700000009</v>
      </c>
      <c r="CB79" s="1767">
        <f>CB4+CB63+CB60+CB64+CB66+CB67+CB68+CB69+CB78-CB73-CB71-CB77</f>
        <v>633794.50536737777</v>
      </c>
      <c r="CC79" s="1767">
        <f>CC4+CC63+CC60+CC64+CC66+CC67+CC68+CC69-CC71-CC73-CC77+CC78</f>
        <v>1005210.7822196007</v>
      </c>
      <c r="CD79" s="1767">
        <f>CD4+CD63+CD60+CD64+CD66+CD67+CD68+CD69+CD78-CD73-CD71-CD77</f>
        <v>770251.17505565914</v>
      </c>
      <c r="CE79" s="1767">
        <f>CE4+CE63+CE60+CE64+CE66+CE67+CE68+CE69-CE71-CE73-CE77+CE78</f>
        <v>1027376.0149999998</v>
      </c>
      <c r="CF79" s="1767">
        <f>CF4+CF63+CF60+CF64+CF66+CF67+CF68+CF69+CF78-CF73-CF71-CF77-1800</f>
        <v>801087.16199528403</v>
      </c>
      <c r="CG79" s="1767">
        <f>CG4+CG63+CG60+CG64+CG66+CG67+CG68+CG69-CG71-CG73-CG77+CG78</f>
        <v>1081723.5219827588</v>
      </c>
      <c r="CH79" s="1767">
        <f>CH4+CH63+CH60+CH64+CH66+CH67+CH68+CH69+CH78-CH73-CH71-CH77-2256</f>
        <v>887194.96611416037</v>
      </c>
      <c r="CI79" s="1767">
        <f>CI4+CI63+CI60+CI64+CI66+CI67+CI68+CI69-CI71-CI73-CI77+CI78</f>
        <v>1034011.9530000001</v>
      </c>
      <c r="CJ79" s="1767">
        <f>CJ4+CJ63+CJ60+CJ64+CJ66+CJ67+CJ68+CJ69+CJ78-CJ73-CJ71-CJ77</f>
        <v>832706.98151998303</v>
      </c>
      <c r="CK79" s="1767">
        <f>CK4+CK63+CK60+CK64+CK66+CK67+CK68+CK69-CK71-CK73-CK77+CK78</f>
        <v>1043411.4420000002</v>
      </c>
      <c r="CL79" s="1767">
        <f>CL4+CL63+CL60+CL64+CL66+CL67+CL68+CL69+CL78-CL73-CL71-CL77</f>
        <v>905761.86468417977</v>
      </c>
      <c r="CM79" s="1767">
        <f>CM4+CM63+CM60+CM64+CM66+CM67+CM68+CM69-CM71-CM73-CM77+CM78</f>
        <v>1047493</v>
      </c>
      <c r="CN79" s="1767">
        <f>CN4+CN63+CN60+CN64+CN66+CN67+CN68+CN69+CN78-CN73-CN71-CN77</f>
        <v>917761</v>
      </c>
      <c r="CO79" s="1767">
        <f>CO4+CO63+CO60+CO64+CO66+CO67+CO68+CO69-CO71-CO73-CO77+CO78</f>
        <v>0</v>
      </c>
      <c r="CP79" s="1767">
        <f>CP4+CP63+CP60+CP64+CP66+CP67+CP68+CP69+CP78-CP73-CP71-CP77</f>
        <v>0</v>
      </c>
      <c r="CQ79" s="1767">
        <f>CQ4+CQ63+CQ60+CQ64+CQ66+CQ67+CQ68+CQ69-CQ71-CQ73-CQ77+CQ78</f>
        <v>0</v>
      </c>
      <c r="CR79" s="1767">
        <f>CR4+CR63+CR60+CR64+CR66+CR67+CR68+CR69+CR78-CR73-CR71-CR77</f>
        <v>0</v>
      </c>
      <c r="CS79" s="1767">
        <f>CS4+CS63+CS60+CS64+CS66+CS67+CS68+CS69-CS71-CS73-CS77+CS78</f>
        <v>0</v>
      </c>
      <c r="CT79" s="1767">
        <f>CT4+CT63+CT60+CT64+CT66+CT67+CT68+CT69+CT78-CT73-CT71-CT77</f>
        <v>0</v>
      </c>
      <c r="CU79" s="1767">
        <f>CU4+CU63+CU60+CU64+CU66+CU67+CU68+CU69-CU71-CU73-CU77+CU78</f>
        <v>0</v>
      </c>
      <c r="CV79" s="1767">
        <f>CV4+CV63+CV60+CV64+CV66+CV67+CV68+CV69+CV78-CV73-CV71-CV77</f>
        <v>0</v>
      </c>
    </row>
    <row r="80" spans="2:100">
      <c r="B80" s="1030" t="s">
        <v>555</v>
      </c>
      <c r="C80" s="1031">
        <v>413.60500000000002</v>
      </c>
      <c r="D80" s="1031">
        <v>278.29199999999997</v>
      </c>
      <c r="E80" s="1031">
        <v>682.23</v>
      </c>
      <c r="F80" s="1031">
        <v>471.42048599999998</v>
      </c>
      <c r="G80" s="1023">
        <v>1578.77</v>
      </c>
      <c r="H80" s="1023">
        <v>1286.6300000000001</v>
      </c>
      <c r="I80" s="1023">
        <v>1290</v>
      </c>
      <c r="J80" s="1023">
        <v>995</v>
      </c>
      <c r="K80" s="1031">
        <v>1649.125</v>
      </c>
      <c r="L80" s="1090">
        <v>1393</v>
      </c>
      <c r="M80" s="1031">
        <v>705.04</v>
      </c>
      <c r="N80" s="1090">
        <v>499.93</v>
      </c>
      <c r="O80" s="1023">
        <v>1163.75</v>
      </c>
      <c r="P80" s="1023">
        <v>916.72</v>
      </c>
      <c r="Q80" s="1023">
        <v>1282.8599999999999</v>
      </c>
      <c r="R80" s="1023">
        <v>1257</v>
      </c>
      <c r="S80" s="1023">
        <v>1508</v>
      </c>
      <c r="T80" s="1023">
        <v>1283</v>
      </c>
      <c r="U80" s="1031">
        <v>2135.9569999999999</v>
      </c>
      <c r="V80" s="1031">
        <v>1747.9095620000001</v>
      </c>
      <c r="W80" s="1023">
        <v>962</v>
      </c>
      <c r="X80" s="1023">
        <v>978</v>
      </c>
      <c r="Y80" s="1090">
        <v>802.28</v>
      </c>
      <c r="Z80" s="1090">
        <v>686</v>
      </c>
      <c r="AA80" s="1090">
        <v>1209</v>
      </c>
      <c r="AB80" s="1090">
        <v>1047</v>
      </c>
      <c r="AC80" s="1031">
        <v>2306</v>
      </c>
      <c r="AD80" s="1031">
        <v>2076</v>
      </c>
      <c r="AE80" s="1095">
        <v>1807.93</v>
      </c>
      <c r="AF80" s="1095">
        <v>1605.71</v>
      </c>
      <c r="AG80" s="1095">
        <v>1691.8520000000001</v>
      </c>
      <c r="AH80" s="1095">
        <v>1752</v>
      </c>
      <c r="AI80" s="1047">
        <v>1229.749</v>
      </c>
      <c r="AJ80" s="1047">
        <v>1088.4517000000001</v>
      </c>
      <c r="AK80" s="1015">
        <v>1665.26</v>
      </c>
      <c r="AL80" s="1015">
        <v>1604.22</v>
      </c>
      <c r="AM80" s="1015">
        <v>1236.94</v>
      </c>
      <c r="AN80" s="1015">
        <v>1049.45</v>
      </c>
      <c r="AO80" s="1015">
        <v>2200</v>
      </c>
      <c r="AP80" s="1015">
        <v>1956</v>
      </c>
      <c r="AQ80" s="1015">
        <v>1000.89</v>
      </c>
      <c r="AR80" s="1015">
        <v>675.58</v>
      </c>
      <c r="AS80" s="1015">
        <v>796.91099999999994</v>
      </c>
      <c r="AT80" s="1015">
        <v>725.52887799999996</v>
      </c>
      <c r="AU80" s="1015">
        <v>760.53599999999994</v>
      </c>
      <c r="AV80" s="1015">
        <v>657.44093099999998</v>
      </c>
      <c r="AW80" s="1015">
        <v>1598.61</v>
      </c>
      <c r="AX80" s="1015">
        <v>1099.47992421609</v>
      </c>
      <c r="AY80" s="1015">
        <v>2136.4810000000002</v>
      </c>
      <c r="AZ80" s="1015">
        <v>1744.193235</v>
      </c>
      <c r="BA80" s="1015">
        <v>1657.6679999999999</v>
      </c>
      <c r="BB80" s="1015">
        <v>1402.322163</v>
      </c>
      <c r="BC80" s="1015">
        <v>815.42600000000004</v>
      </c>
      <c r="BD80" s="1015">
        <v>687.11790347399995</v>
      </c>
      <c r="BE80" s="1015">
        <v>341.048</v>
      </c>
      <c r="BF80" s="1015">
        <v>329.110187</v>
      </c>
      <c r="BG80" s="1015">
        <v>932.61500000000001</v>
      </c>
      <c r="BH80" s="1015">
        <v>790.878604</v>
      </c>
      <c r="BI80" s="1015">
        <v>1259.3589999999999</v>
      </c>
      <c r="BJ80" s="1015">
        <v>957.24541699999997</v>
      </c>
      <c r="BK80" s="1015">
        <v>1994.961</v>
      </c>
      <c r="BL80" s="1015">
        <v>1670.6481269999999</v>
      </c>
      <c r="BM80" s="1015">
        <v>1053.6120000000001</v>
      </c>
      <c r="BN80" s="1015">
        <v>825.887428</v>
      </c>
      <c r="BO80" s="1015">
        <v>1438.664</v>
      </c>
      <c r="BP80" s="1015">
        <v>1066.8429960000001</v>
      </c>
      <c r="BQ80" s="1015">
        <v>1607.04</v>
      </c>
      <c r="BR80" s="1015">
        <v>1494.1742650000001</v>
      </c>
      <c r="BS80" s="1015">
        <v>2046.133</v>
      </c>
      <c r="BT80" s="1015">
        <v>1518.1626120000001</v>
      </c>
      <c r="BU80" s="1015">
        <v>1718.0509999999999</v>
      </c>
      <c r="BV80" s="1015">
        <v>1278.352819</v>
      </c>
      <c r="BW80" s="1015">
        <v>2924.3049999999998</v>
      </c>
      <c r="BX80" s="1015">
        <v>2143.8389649999999</v>
      </c>
      <c r="BY80" s="1015">
        <v>1572.614</v>
      </c>
      <c r="BZ80" s="1015">
        <v>1372.45542</v>
      </c>
      <c r="CA80" s="1015">
        <v>724.89300000000003</v>
      </c>
      <c r="CB80" s="1015">
        <v>665.88190299999997</v>
      </c>
      <c r="CC80" s="1015">
        <v>2614.8890000000001</v>
      </c>
      <c r="CD80" s="1015">
        <v>2460.3156439999998</v>
      </c>
      <c r="CE80" s="1015">
        <v>1672.9379999999999</v>
      </c>
      <c r="CF80" s="1015">
        <v>1399.3795720000001</v>
      </c>
      <c r="CG80" s="1015">
        <v>2730.8249999999998</v>
      </c>
      <c r="CH80" s="1015">
        <v>2397.8914599999998</v>
      </c>
      <c r="CI80" s="1015">
        <v>2133.9870000000001</v>
      </c>
      <c r="CJ80" s="1015">
        <v>2132.1275030000002</v>
      </c>
      <c r="CK80" s="1015">
        <v>1234.3799999999999</v>
      </c>
      <c r="CL80" s="1015">
        <v>1349.5763999999999</v>
      </c>
      <c r="CM80" s="1015">
        <v>1874.8869999999999</v>
      </c>
      <c r="CN80" s="1015">
        <v>2036.25441</v>
      </c>
    </row>
    <row r="81" spans="1:100" s="1009" customFormat="1">
      <c r="B81" s="1076" t="s">
        <v>556</v>
      </c>
      <c r="C81" s="1077">
        <v>278.76799999999997</v>
      </c>
      <c r="D81" s="1077">
        <v>191.62139999999999</v>
      </c>
      <c r="E81" s="1077">
        <v>816.12199999999996</v>
      </c>
      <c r="F81" s="1077">
        <v>421.75689999999997</v>
      </c>
      <c r="G81" s="1078">
        <v>946.43</v>
      </c>
      <c r="H81" s="1078">
        <v>507.57</v>
      </c>
      <c r="I81" s="1027">
        <v>1008.94</v>
      </c>
      <c r="J81" s="1027">
        <v>510.53</v>
      </c>
      <c r="K81" s="1077">
        <v>1764.809</v>
      </c>
      <c r="L81" s="1077">
        <v>843</v>
      </c>
      <c r="M81" s="1077">
        <v>906.55</v>
      </c>
      <c r="N81" s="1077">
        <v>363.69</v>
      </c>
      <c r="O81" s="1027">
        <v>892.13</v>
      </c>
      <c r="P81" s="1027">
        <v>452.13</v>
      </c>
      <c r="Q81" s="1027">
        <v>940</v>
      </c>
      <c r="R81" s="1027">
        <v>360</v>
      </c>
      <c r="S81" s="1027">
        <v>363.77600000000001</v>
      </c>
      <c r="T81" s="1027">
        <v>109</v>
      </c>
      <c r="U81" s="1077">
        <v>1060.98</v>
      </c>
      <c r="V81" s="1077">
        <v>477.16258900000003</v>
      </c>
      <c r="W81" s="1027">
        <v>809</v>
      </c>
      <c r="X81" s="1027">
        <v>297</v>
      </c>
      <c r="Y81" s="1096">
        <v>1632.9090000000001</v>
      </c>
      <c r="Z81" s="1097">
        <v>839.53150200000005</v>
      </c>
      <c r="AA81" s="1096">
        <v>1773.32</v>
      </c>
      <c r="AB81" s="1096">
        <v>779.93</v>
      </c>
      <c r="AC81" s="1077">
        <v>1806.7190000000001</v>
      </c>
      <c r="AD81" s="1077">
        <v>736.15032499999995</v>
      </c>
      <c r="AE81" s="1098">
        <v>544.245</v>
      </c>
      <c r="AF81" s="1098">
        <v>401.7</v>
      </c>
      <c r="AG81" s="1098">
        <v>710.35799999999995</v>
      </c>
      <c r="AH81" s="1098">
        <v>418.35599999999999</v>
      </c>
      <c r="AI81" s="1048">
        <v>1414.72</v>
      </c>
      <c r="AJ81" s="1048">
        <v>633.17139999999995</v>
      </c>
      <c r="AK81" s="1009">
        <v>1607.82</v>
      </c>
      <c r="AL81" s="1009">
        <v>515.23</v>
      </c>
      <c r="AM81" s="1009">
        <v>1283.76</v>
      </c>
      <c r="AN81" s="1009">
        <v>422.74</v>
      </c>
      <c r="AO81" s="1009">
        <v>1085</v>
      </c>
      <c r="AP81" s="1009">
        <v>363</v>
      </c>
      <c r="AQ81" s="1009">
        <v>534.68299999999999</v>
      </c>
      <c r="AR81" s="1108">
        <v>178.97489999999999</v>
      </c>
      <c r="AS81" s="1009">
        <v>528.79399999999998</v>
      </c>
      <c r="AT81" s="1009">
        <v>371.06340699999998</v>
      </c>
      <c r="AU81" s="1009">
        <v>832.60500000000002</v>
      </c>
      <c r="AV81" s="1009">
        <v>414.46389900000003</v>
      </c>
      <c r="AW81" s="1009">
        <v>2653.3580000000002</v>
      </c>
      <c r="AX81" s="1009">
        <v>1209.3787</v>
      </c>
      <c r="AY81" s="1009">
        <v>1643.7739999999999</v>
      </c>
      <c r="AZ81" s="1009">
        <v>771.573216</v>
      </c>
      <c r="BA81" s="1009">
        <v>938.11800000000005</v>
      </c>
      <c r="BB81" s="1009">
        <v>433.51897100000002</v>
      </c>
      <c r="BC81" s="1009">
        <v>1549.4380000000001</v>
      </c>
      <c r="BD81" s="1009">
        <v>702.06514800000002</v>
      </c>
      <c r="BE81" s="1009">
        <v>234.13300000000001</v>
      </c>
      <c r="BF81" s="1009">
        <v>148.60091800000001</v>
      </c>
      <c r="BG81" s="1009">
        <v>875.15800000000002</v>
      </c>
      <c r="BH81" s="1009">
        <v>411.54200300000002</v>
      </c>
      <c r="BI81" s="1009">
        <v>1557.9349999999999</v>
      </c>
      <c r="BJ81" s="1009">
        <v>646.15346199999999</v>
      </c>
      <c r="BK81" s="1009">
        <v>924.11</v>
      </c>
      <c r="BL81" s="1009">
        <v>284.522988</v>
      </c>
      <c r="BM81" s="1009">
        <v>2275.0419999999999</v>
      </c>
      <c r="BN81" s="1009">
        <v>928.21995800000002</v>
      </c>
      <c r="BO81" s="1009">
        <v>3358.81</v>
      </c>
      <c r="BP81" s="1009">
        <v>1458.6049760000001</v>
      </c>
      <c r="BQ81" s="1009">
        <v>237.4</v>
      </c>
      <c r="BR81" s="1009">
        <v>141.46</v>
      </c>
      <c r="BS81" s="1009">
        <v>1754.9059999999999</v>
      </c>
      <c r="BT81" s="1009">
        <v>668.34204799999998</v>
      </c>
      <c r="BU81" s="1009">
        <v>1005.103</v>
      </c>
      <c r="BV81" s="1009">
        <v>390.32523099999997</v>
      </c>
      <c r="BW81" s="1009">
        <v>1723.6189999999999</v>
      </c>
      <c r="BX81" s="1009">
        <v>738.424352</v>
      </c>
      <c r="BY81" s="1009">
        <v>894.05100000000004</v>
      </c>
      <c r="BZ81" s="1009">
        <v>766.01037299999996</v>
      </c>
      <c r="CA81" s="1009">
        <v>2153.8580000000002</v>
      </c>
      <c r="CB81" s="1009">
        <v>1012.91943</v>
      </c>
      <c r="CC81" s="1009">
        <v>400.53499999999997</v>
      </c>
      <c r="CD81" s="1009">
        <v>222.85484500000001</v>
      </c>
      <c r="CE81" s="1009">
        <v>4345.8400000000029</v>
      </c>
      <c r="CF81" s="1009">
        <v>2268.6187850000001</v>
      </c>
      <c r="CG81" s="1009">
        <v>1874.636</v>
      </c>
      <c r="CH81" s="1009">
        <v>825.22168399999998</v>
      </c>
      <c r="CI81" s="1009">
        <v>1761.625</v>
      </c>
      <c r="CJ81" s="1009">
        <v>952.40929900000003</v>
      </c>
      <c r="CK81" s="1009">
        <v>1647.7719999999999</v>
      </c>
      <c r="CL81" s="1009">
        <v>1182.7566549999999</v>
      </c>
      <c r="CM81" s="1009">
        <v>2893.4270000000006</v>
      </c>
      <c r="CN81" s="1009">
        <v>2032.5598259999999</v>
      </c>
    </row>
    <row r="82" spans="1:100" s="1010" customFormat="1">
      <c r="B82" s="1079" t="s">
        <v>187</v>
      </c>
      <c r="C82" s="1080">
        <f>C79+C80-C81</f>
        <v>943654.9709999999</v>
      </c>
      <c r="D82" s="1080">
        <f t="shared" ref="D82:BL82" si="17">D79+D80-D81</f>
        <v>627421.78704300022</v>
      </c>
      <c r="E82" s="1080">
        <f t="shared" si="17"/>
        <v>836427.48400000017</v>
      </c>
      <c r="F82" s="1080">
        <f t="shared" si="17"/>
        <v>598602.08434198727</v>
      </c>
      <c r="G82" s="1080">
        <f t="shared" si="17"/>
        <v>679422.52299999993</v>
      </c>
      <c r="H82" s="1080">
        <f t="shared" si="17"/>
        <v>469029.65748322121</v>
      </c>
      <c r="I82" s="1080">
        <f t="shared" si="17"/>
        <v>950495.93900000036</v>
      </c>
      <c r="J82" s="1080">
        <f t="shared" si="17"/>
        <v>681307.30407433002</v>
      </c>
      <c r="K82" s="1080">
        <f t="shared" si="17"/>
        <v>826276.64900000009</v>
      </c>
      <c r="L82" s="1080">
        <f t="shared" si="17"/>
        <v>583093.6275475655</v>
      </c>
      <c r="M82" s="1080">
        <f t="shared" si="17"/>
        <v>882335.17999999993</v>
      </c>
      <c r="N82" s="1080">
        <f t="shared" si="17"/>
        <v>618675.27290500025</v>
      </c>
      <c r="O82" s="1080">
        <f t="shared" si="17"/>
        <v>857907.05099999998</v>
      </c>
      <c r="P82" s="1080">
        <f t="shared" si="17"/>
        <v>600834.61388167541</v>
      </c>
      <c r="Q82" s="1080">
        <f t="shared" si="17"/>
        <v>811523.77030852984</v>
      </c>
      <c r="R82" s="1080">
        <f t="shared" si="17"/>
        <v>584500.68051400001</v>
      </c>
      <c r="S82" s="1080">
        <f t="shared" si="17"/>
        <v>871837.73930852988</v>
      </c>
      <c r="T82" s="1080">
        <f t="shared" si="17"/>
        <v>611670.23911672423</v>
      </c>
      <c r="U82" s="1080">
        <f t="shared" si="17"/>
        <v>788641.10861399991</v>
      </c>
      <c r="V82" s="1080">
        <f t="shared" si="17"/>
        <v>576143.71613260929</v>
      </c>
      <c r="W82" s="1080">
        <f t="shared" si="17"/>
        <v>827239</v>
      </c>
      <c r="X82" s="1080">
        <f t="shared" si="17"/>
        <v>581494</v>
      </c>
      <c r="Y82" s="1080">
        <f t="shared" si="17"/>
        <v>780284.25416399993</v>
      </c>
      <c r="Z82" s="1080">
        <f t="shared" si="17"/>
        <v>551454.76969999995</v>
      </c>
      <c r="AA82" s="1080">
        <f t="shared" si="17"/>
        <v>942584.0714292198</v>
      </c>
      <c r="AB82" s="1080">
        <f t="shared" si="17"/>
        <v>596574.0303418882</v>
      </c>
      <c r="AC82" s="1080">
        <f t="shared" si="17"/>
        <v>795882.71493568132</v>
      </c>
      <c r="AD82" s="1080">
        <f t="shared" si="17"/>
        <v>521369.75289169658</v>
      </c>
      <c r="AE82" s="1080">
        <f t="shared" si="17"/>
        <v>757872.34427999996</v>
      </c>
      <c r="AF82" s="1080">
        <f t="shared" si="17"/>
        <v>476271.18839032506</v>
      </c>
      <c r="AG82" s="1104">
        <f t="shared" si="17"/>
        <v>932642.56244999985</v>
      </c>
      <c r="AH82" s="1104">
        <f t="shared" si="17"/>
        <v>643446.09521546389</v>
      </c>
      <c r="AI82" s="1104">
        <f t="shared" si="17"/>
        <v>838974.31114999996</v>
      </c>
      <c r="AJ82" s="1104">
        <f t="shared" si="17"/>
        <v>568364.33708437998</v>
      </c>
      <c r="AK82" s="1104">
        <f t="shared" si="17"/>
        <v>831684.32745000022</v>
      </c>
      <c r="AL82" s="1104">
        <f t="shared" si="17"/>
        <v>575474.97476014751</v>
      </c>
      <c r="AM82" s="1104">
        <f t="shared" si="17"/>
        <v>787345.50539999991</v>
      </c>
      <c r="AN82" s="1104">
        <f t="shared" si="17"/>
        <v>556491.91728239297</v>
      </c>
      <c r="AO82" s="1104">
        <f t="shared" si="17"/>
        <v>877326.03709999984</v>
      </c>
      <c r="AP82" s="1104">
        <f t="shared" si="17"/>
        <v>583864.37760845863</v>
      </c>
      <c r="AQ82" s="1104">
        <f t="shared" si="17"/>
        <v>884017.68290000001</v>
      </c>
      <c r="AR82" s="1104">
        <f t="shared" si="17"/>
        <v>617870.07899920887</v>
      </c>
      <c r="AS82" s="1104">
        <f t="shared" si="17"/>
        <v>840442.18730000011</v>
      </c>
      <c r="AT82" s="1104">
        <f t="shared" si="17"/>
        <v>596065.132960808</v>
      </c>
      <c r="AU82" s="1104">
        <f t="shared" si="17"/>
        <v>789422.74849999987</v>
      </c>
      <c r="AV82" s="1104">
        <f t="shared" si="17"/>
        <v>521508.15267592552</v>
      </c>
      <c r="AW82" s="1104">
        <f t="shared" si="17"/>
        <v>832062.1144000002</v>
      </c>
      <c r="AX82" s="1104">
        <f t="shared" si="17"/>
        <v>530554.79545026063</v>
      </c>
      <c r="AY82" s="1104">
        <f t="shared" si="17"/>
        <v>949963.27342300001</v>
      </c>
      <c r="AZ82" s="1104">
        <f t="shared" si="17"/>
        <v>596796.55856929475</v>
      </c>
      <c r="BA82" s="1104">
        <f t="shared" si="17"/>
        <v>749555.83000000007</v>
      </c>
      <c r="BB82" s="1104">
        <f t="shared" si="17"/>
        <v>444977.07406871259</v>
      </c>
      <c r="BC82" s="1104">
        <f t="shared" si="17"/>
        <v>777088.36740000022</v>
      </c>
      <c r="BD82" s="1104">
        <f t="shared" si="17"/>
        <v>470230.41273647395</v>
      </c>
      <c r="BE82" s="1104">
        <f t="shared" si="17"/>
        <v>885698.45299999998</v>
      </c>
      <c r="BF82" s="1104">
        <f t="shared" si="17"/>
        <v>573807.30995625455</v>
      </c>
      <c r="BG82" s="1080">
        <f t="shared" si="17"/>
        <v>967830.67969328468</v>
      </c>
      <c r="BH82" s="1080">
        <f t="shared" si="17"/>
        <v>604118.76544767537</v>
      </c>
      <c r="BI82" s="1080">
        <f t="shared" si="17"/>
        <v>898866.22165063513</v>
      </c>
      <c r="BJ82" s="1080">
        <f t="shared" si="17"/>
        <v>549084.31283043674</v>
      </c>
      <c r="BK82" s="1080">
        <f t="shared" si="17"/>
        <v>733584.24309437384</v>
      </c>
      <c r="BL82" s="1080">
        <f t="shared" si="17"/>
        <v>489481.31189909013</v>
      </c>
      <c r="BM82" s="1080">
        <f>BM79+BM80-BM81</f>
        <v>679942.95660798554</v>
      </c>
      <c r="BN82" s="1080">
        <f>BN79+BN80-BN81</f>
        <v>481578.0781784461</v>
      </c>
      <c r="BO82" s="1080">
        <f>BO79+BO80-BO81</f>
        <v>715130.95407622505</v>
      </c>
      <c r="BP82" s="1080">
        <f>BP79+BP80-BP81</f>
        <v>492495.01586366771</v>
      </c>
      <c r="BQ82" s="1080">
        <f t="shared" ref="BQ82:BV82" si="18">BQ79+BQ80-BQ81</f>
        <v>675991.16777313966</v>
      </c>
      <c r="BR82" s="1080">
        <f t="shared" si="18"/>
        <v>479199.81784898118</v>
      </c>
      <c r="BS82" s="1080">
        <f t="shared" si="18"/>
        <v>833338.51783166989</v>
      </c>
      <c r="BT82" s="1080">
        <f t="shared" si="18"/>
        <v>568798.7510959924</v>
      </c>
      <c r="BU82" s="1080">
        <f t="shared" si="18"/>
        <v>956718.19271143374</v>
      </c>
      <c r="BV82" s="1080">
        <f t="shared" si="18"/>
        <v>610410.2172830276</v>
      </c>
      <c r="BW82" s="1080">
        <f>BW79+BW80-BW81</f>
        <v>995697.22900000017</v>
      </c>
      <c r="BX82" s="1080">
        <f>BX79+BX80-BX81</f>
        <v>661749.92733329977</v>
      </c>
      <c r="BY82" s="1080">
        <f t="shared" ref="BY82:CV82" si="19">BY79+BY80-BY81</f>
        <v>934323.92100000009</v>
      </c>
      <c r="BZ82" s="1080">
        <f>BZ79+BZ80-BZ81+4400</f>
        <v>651905.15581660322</v>
      </c>
      <c r="CA82" s="1080">
        <f t="shared" si="19"/>
        <v>856261.78200000012</v>
      </c>
      <c r="CB82" s="1080">
        <f>CB79+CB80-CB81-4300</f>
        <v>629147.46784037771</v>
      </c>
      <c r="CC82" s="1080">
        <f t="shared" si="19"/>
        <v>1007425.1362196007</v>
      </c>
      <c r="CD82" s="1080">
        <f>CD79+CD80-CD81</f>
        <v>772488.63585465914</v>
      </c>
      <c r="CE82" s="1080">
        <f>CE79+CE80-CE81+2700</f>
        <v>1027403.1129999998</v>
      </c>
      <c r="CF82" s="1080">
        <f t="shared" si="19"/>
        <v>800217.92278228397</v>
      </c>
      <c r="CG82" s="1080">
        <f>CG79+CG80-CG81-900</f>
        <v>1081679.7109827588</v>
      </c>
      <c r="CH82" s="1080">
        <f t="shared" si="19"/>
        <v>888767.63589016034</v>
      </c>
      <c r="CI82" s="1080">
        <f t="shared" si="19"/>
        <v>1034384.3150000001</v>
      </c>
      <c r="CJ82" s="1080">
        <f t="shared" si="19"/>
        <v>833886.69972398295</v>
      </c>
      <c r="CK82" s="1080">
        <f t="shared" si="19"/>
        <v>1042998.0500000002</v>
      </c>
      <c r="CL82" s="1080">
        <f>CL79+CL80-CL81-5700</f>
        <v>900228.68442917976</v>
      </c>
      <c r="CM82" s="1080">
        <f t="shared" si="19"/>
        <v>1046474.4600000001</v>
      </c>
      <c r="CN82" s="1080">
        <f>CN79+CN80-CN81-1565</f>
        <v>916199.69458400004</v>
      </c>
      <c r="CO82" s="1080">
        <f t="shared" si="19"/>
        <v>0</v>
      </c>
      <c r="CP82" s="1080">
        <f t="shared" si="19"/>
        <v>0</v>
      </c>
      <c r="CQ82" s="1080">
        <f t="shared" si="19"/>
        <v>0</v>
      </c>
      <c r="CR82" s="1080">
        <f t="shared" si="19"/>
        <v>0</v>
      </c>
      <c r="CS82" s="1080">
        <f t="shared" si="19"/>
        <v>0</v>
      </c>
      <c r="CT82" s="1080">
        <f t="shared" si="19"/>
        <v>0</v>
      </c>
      <c r="CU82" s="1080">
        <f t="shared" si="19"/>
        <v>0</v>
      </c>
      <c r="CV82" s="1080">
        <f t="shared" si="19"/>
        <v>0</v>
      </c>
    </row>
    <row r="83" spans="1:100" s="1010" customFormat="1">
      <c r="B83" s="1081" t="s">
        <v>51</v>
      </c>
      <c r="C83" s="1082">
        <f>C82-C5-C65</f>
        <v>355563.8949999999</v>
      </c>
      <c r="D83" s="1082">
        <f t="shared" ref="D83:AV83" si="20">D82-D5-D65</f>
        <v>394122.86393800023</v>
      </c>
      <c r="E83" s="1082">
        <f t="shared" si="20"/>
        <v>332352.47000000015</v>
      </c>
      <c r="F83" s="1082">
        <f t="shared" si="20"/>
        <v>394081.77825898724</v>
      </c>
      <c r="G83" s="1082">
        <f t="shared" si="20"/>
        <v>255751.08399999994</v>
      </c>
      <c r="H83" s="1082">
        <f t="shared" si="20"/>
        <v>300161.3400212212</v>
      </c>
      <c r="I83" s="1082">
        <f t="shared" si="20"/>
        <v>386736.73600000027</v>
      </c>
      <c r="J83" s="1082">
        <f t="shared" si="20"/>
        <v>450986.63163133006</v>
      </c>
      <c r="K83" s="1082">
        <f t="shared" si="20"/>
        <v>320731.13600000012</v>
      </c>
      <c r="L83" s="1082">
        <f t="shared" si="20"/>
        <v>382219.88758656546</v>
      </c>
      <c r="M83" s="1082">
        <f t="shared" si="20"/>
        <v>330770.21400000004</v>
      </c>
      <c r="N83" s="1082">
        <f t="shared" si="20"/>
        <v>398239.87271600025</v>
      </c>
      <c r="O83" s="1082">
        <f t="shared" si="20"/>
        <v>323210.72600000002</v>
      </c>
      <c r="P83" s="1082">
        <f t="shared" si="20"/>
        <v>381514.81412767543</v>
      </c>
      <c r="Q83" s="1082">
        <f t="shared" si="20"/>
        <v>311865.24530852982</v>
      </c>
      <c r="R83" s="1082">
        <f t="shared" si="20"/>
        <v>372026.72956200002</v>
      </c>
      <c r="S83" s="1082">
        <f t="shared" si="20"/>
        <v>319877.00530852994</v>
      </c>
      <c r="T83" s="1082">
        <f t="shared" si="20"/>
        <v>385300.96768372407</v>
      </c>
      <c r="U83" s="1082">
        <f t="shared" si="20"/>
        <v>314815.15461399988</v>
      </c>
      <c r="V83" s="1082">
        <f t="shared" si="20"/>
        <v>375441.9712916094</v>
      </c>
      <c r="W83" s="1082">
        <f t="shared" si="20"/>
        <v>310735</v>
      </c>
      <c r="X83" s="1082">
        <f t="shared" si="20"/>
        <v>370731</v>
      </c>
      <c r="Y83" s="1082">
        <f t="shared" si="20"/>
        <v>292344.4571639999</v>
      </c>
      <c r="Z83" s="1082">
        <f t="shared" si="20"/>
        <v>351259.45984900004</v>
      </c>
      <c r="AA83" s="1082">
        <f t="shared" si="20"/>
        <v>319392.04542921972</v>
      </c>
      <c r="AB83" s="1082">
        <f t="shared" si="20"/>
        <v>364031.65102288825</v>
      </c>
      <c r="AC83" s="1082">
        <f t="shared" si="20"/>
        <v>306202.17893568124</v>
      </c>
      <c r="AD83" s="1082">
        <f t="shared" si="20"/>
        <v>351237.13025869662</v>
      </c>
      <c r="AE83" s="1082">
        <f t="shared" si="20"/>
        <v>281932.47527999996</v>
      </c>
      <c r="AF83" s="1082">
        <f t="shared" si="20"/>
        <v>304125.66218032502</v>
      </c>
      <c r="AG83" s="1105">
        <f t="shared" si="20"/>
        <v>380724.53944999987</v>
      </c>
      <c r="AH83" s="1105">
        <f t="shared" si="20"/>
        <v>433355.10420946387</v>
      </c>
      <c r="AI83" s="1105">
        <f t="shared" si="20"/>
        <v>291414.8011499999</v>
      </c>
      <c r="AJ83" s="1105">
        <f t="shared" si="20"/>
        <v>347370.84635337995</v>
      </c>
      <c r="AK83" s="1105">
        <f t="shared" si="20"/>
        <v>293985.27045000013</v>
      </c>
      <c r="AL83" s="1105">
        <f t="shared" si="20"/>
        <v>357921.95527614752</v>
      </c>
      <c r="AM83" s="1105">
        <f t="shared" si="20"/>
        <v>299973.52039999992</v>
      </c>
      <c r="AN83" s="1105">
        <f t="shared" si="20"/>
        <v>354631.250563393</v>
      </c>
      <c r="AO83" s="1105">
        <f t="shared" si="20"/>
        <v>300597.98109999998</v>
      </c>
      <c r="AP83" s="1105">
        <f t="shared" si="20"/>
        <v>359928.74022945861</v>
      </c>
      <c r="AQ83" s="1105">
        <f t="shared" si="20"/>
        <v>328384.95389999991</v>
      </c>
      <c r="AR83" s="1105">
        <f t="shared" si="20"/>
        <v>398772.88776420883</v>
      </c>
      <c r="AS83" s="1105">
        <f t="shared" si="20"/>
        <v>340993.77730000007</v>
      </c>
      <c r="AT83" s="1105">
        <f t="shared" si="20"/>
        <v>402270.24000780802</v>
      </c>
      <c r="AU83" s="1105">
        <f t="shared" si="20"/>
        <v>303503.01549999986</v>
      </c>
      <c r="AV83" s="1105">
        <f t="shared" si="20"/>
        <v>343086.61147992552</v>
      </c>
      <c r="AW83" s="1105">
        <f>AW82-AW5-AW65</f>
        <v>289646.73640000005</v>
      </c>
      <c r="AX83" s="1105">
        <f>AX82-AX5-AX65</f>
        <v>327333.17277326068</v>
      </c>
      <c r="AY83" s="1105">
        <f>AY82-AY5-AY65</f>
        <v>344873.06042300002</v>
      </c>
      <c r="AZ83" s="1105">
        <f>AZ82-AZ5-AZ65</f>
        <v>375929.88943729474</v>
      </c>
      <c r="BA83" s="1105">
        <f t="shared" ref="BA83:BP83" si="21">BA82-BA84</f>
        <v>229524.16700000007</v>
      </c>
      <c r="BB83" s="1105">
        <f t="shared" si="21"/>
        <v>253464.26376971259</v>
      </c>
      <c r="BC83" s="1105">
        <f t="shared" si="21"/>
        <v>265532.82240000018</v>
      </c>
      <c r="BD83" s="1105">
        <f t="shared" si="21"/>
        <v>279928.58652447397</v>
      </c>
      <c r="BE83" s="1105">
        <f t="shared" si="21"/>
        <v>323897.46799999988</v>
      </c>
      <c r="BF83" s="1105">
        <f t="shared" si="21"/>
        <v>373163.30822825455</v>
      </c>
      <c r="BG83" s="1082">
        <f t="shared" si="21"/>
        <v>350144.27769328468</v>
      </c>
      <c r="BH83" s="1082">
        <f t="shared" si="21"/>
        <v>382739.70350567542</v>
      </c>
      <c r="BI83" s="1082">
        <f t="shared" si="21"/>
        <v>348730.12865063513</v>
      </c>
      <c r="BJ83" s="1082">
        <f t="shared" si="21"/>
        <v>353887.99679443671</v>
      </c>
      <c r="BK83" s="1082">
        <f t="shared" si="21"/>
        <v>318703.06109437387</v>
      </c>
      <c r="BL83" s="1082">
        <f t="shared" si="21"/>
        <v>328930.63675109006</v>
      </c>
      <c r="BM83" s="1082">
        <f t="shared" si="21"/>
        <v>302230.56560798554</v>
      </c>
      <c r="BN83" s="1082">
        <f t="shared" si="21"/>
        <v>333921.87513244612</v>
      </c>
      <c r="BO83" s="1082">
        <f t="shared" si="21"/>
        <v>278918.6730762251</v>
      </c>
      <c r="BP83" s="1082">
        <f t="shared" si="21"/>
        <v>321952.71778066771</v>
      </c>
      <c r="BQ83" s="1082">
        <f>BQ82-BQ84</f>
        <v>302688.49877313967</v>
      </c>
      <c r="BR83" s="1082">
        <f t="shared" ref="BR83:BX83" si="22">BR82-BR84</f>
        <v>326213.45314198121</v>
      </c>
      <c r="BS83" s="1082">
        <f t="shared" si="22"/>
        <v>328150.24583166989</v>
      </c>
      <c r="BT83" s="1082">
        <f t="shared" si="22"/>
        <v>367423.13442299236</v>
      </c>
      <c r="BU83" s="1082">
        <f t="shared" si="22"/>
        <v>348749.29571143375</v>
      </c>
      <c r="BV83" s="1082">
        <f t="shared" si="22"/>
        <v>377734.01903702761</v>
      </c>
      <c r="BW83" s="1082">
        <f t="shared" si="22"/>
        <v>386555.02300000016</v>
      </c>
      <c r="BX83" s="1082">
        <f t="shared" si="22"/>
        <v>415038.8192312998</v>
      </c>
      <c r="BY83" s="1082">
        <f t="shared" ref="BY83:CV83" si="23">BY82-BY84</f>
        <v>355249.32400000014</v>
      </c>
      <c r="BZ83" s="1082">
        <f t="shared" si="23"/>
        <v>400718.21357760322</v>
      </c>
      <c r="CA83" s="1082">
        <f t="shared" si="23"/>
        <v>302986.64600000007</v>
      </c>
      <c r="CB83" s="1082">
        <f t="shared" si="23"/>
        <v>372639.16033337766</v>
      </c>
      <c r="CC83" s="1082">
        <f t="shared" si="23"/>
        <v>333784.09621960076</v>
      </c>
      <c r="CD83" s="1082">
        <f t="shared" si="23"/>
        <v>437470.41056865914</v>
      </c>
      <c r="CE83" s="1082">
        <f t="shared" si="23"/>
        <v>324330.57999999984</v>
      </c>
      <c r="CF83" s="1082">
        <f>CF82-CF84</f>
        <v>424722.91763928399</v>
      </c>
      <c r="CG83" s="1082">
        <f t="shared" si="23"/>
        <v>372827.37798275868</v>
      </c>
      <c r="CH83" s="1082">
        <f t="shared" si="23"/>
        <v>496147.72826616029</v>
      </c>
      <c r="CI83" s="1082">
        <f t="shared" si="23"/>
        <v>339898.25300000003</v>
      </c>
      <c r="CJ83" s="1082">
        <f t="shared" si="23"/>
        <v>471012.83494398295</v>
      </c>
      <c r="CK83" s="1082">
        <f t="shared" si="23"/>
        <v>376800.16000000015</v>
      </c>
      <c r="CL83" s="1082">
        <f t="shared" si="23"/>
        <v>538728.27244217973</v>
      </c>
      <c r="CM83" s="1082">
        <f t="shared" si="23"/>
        <v>348362.46000000008</v>
      </c>
      <c r="CN83" s="1082">
        <f t="shared" si="23"/>
        <v>532099.69458400004</v>
      </c>
      <c r="CO83" s="1082">
        <f t="shared" si="23"/>
        <v>0</v>
      </c>
      <c r="CP83" s="1082">
        <f t="shared" si="23"/>
        <v>0</v>
      </c>
      <c r="CQ83" s="1082">
        <f t="shared" si="23"/>
        <v>0</v>
      </c>
      <c r="CR83" s="1082">
        <f t="shared" si="23"/>
        <v>0</v>
      </c>
      <c r="CS83" s="1082">
        <f t="shared" si="23"/>
        <v>0</v>
      </c>
      <c r="CT83" s="1082">
        <f t="shared" si="23"/>
        <v>0</v>
      </c>
      <c r="CU83" s="1082">
        <f t="shared" si="23"/>
        <v>0</v>
      </c>
      <c r="CV83" s="1082">
        <f t="shared" si="23"/>
        <v>0</v>
      </c>
    </row>
    <row r="84" spans="1:100" s="1011" customFormat="1">
      <c r="B84" s="1083" t="s">
        <v>52</v>
      </c>
      <c r="C84" s="1084">
        <f t="shared" ref="C84:AV84" si="24">C82-C83</f>
        <v>588091.076</v>
      </c>
      <c r="D84" s="1084">
        <f t="shared" si="24"/>
        <v>233298.92310499999</v>
      </c>
      <c r="E84" s="1084">
        <f t="shared" si="24"/>
        <v>504075.01400000002</v>
      </c>
      <c r="F84" s="1084">
        <f t="shared" si="24"/>
        <v>204520.30608300003</v>
      </c>
      <c r="G84" s="1084">
        <f t="shared" si="24"/>
        <v>423671.43900000001</v>
      </c>
      <c r="H84" s="1084">
        <f t="shared" si="24"/>
        <v>168868.31746200001</v>
      </c>
      <c r="I84" s="1084">
        <f t="shared" si="24"/>
        <v>563759.2030000001</v>
      </c>
      <c r="J84" s="1084">
        <f t="shared" si="24"/>
        <v>230320.67244299996</v>
      </c>
      <c r="K84" s="1084">
        <f t="shared" si="24"/>
        <v>505545.51299999998</v>
      </c>
      <c r="L84" s="1084">
        <f t="shared" si="24"/>
        <v>200873.73996100004</v>
      </c>
      <c r="M84" s="1084">
        <f t="shared" si="24"/>
        <v>551564.9659999999</v>
      </c>
      <c r="N84" s="1084">
        <f t="shared" si="24"/>
        <v>220435.40018900001</v>
      </c>
      <c r="O84" s="1084">
        <f t="shared" si="24"/>
        <v>534696.32499999995</v>
      </c>
      <c r="P84" s="1084">
        <f t="shared" si="24"/>
        <v>219319.79975399998</v>
      </c>
      <c r="Q84" s="1084">
        <f t="shared" si="24"/>
        <v>499658.52500000002</v>
      </c>
      <c r="R84" s="1084">
        <f t="shared" si="24"/>
        <v>212473.95095199998</v>
      </c>
      <c r="S84" s="1084">
        <f t="shared" si="24"/>
        <v>551960.73399999994</v>
      </c>
      <c r="T84" s="1084">
        <f t="shared" si="24"/>
        <v>226369.27143300016</v>
      </c>
      <c r="U84" s="1084">
        <f t="shared" si="24"/>
        <v>473825.95400000003</v>
      </c>
      <c r="V84" s="1084">
        <f t="shared" si="24"/>
        <v>200701.74484099989</v>
      </c>
      <c r="W84" s="1084">
        <f t="shared" si="24"/>
        <v>516504</v>
      </c>
      <c r="X84" s="1084">
        <f t="shared" si="24"/>
        <v>210763</v>
      </c>
      <c r="Y84" s="1084">
        <f t="shared" si="24"/>
        <v>487939.79700000002</v>
      </c>
      <c r="Z84" s="1084">
        <f t="shared" si="24"/>
        <v>200195.30985099991</v>
      </c>
      <c r="AA84" s="1084">
        <f t="shared" si="24"/>
        <v>623192.02600000007</v>
      </c>
      <c r="AB84" s="1084">
        <f t="shared" si="24"/>
        <v>232542.37931899994</v>
      </c>
      <c r="AC84" s="1084">
        <f t="shared" si="24"/>
        <v>489680.53600000008</v>
      </c>
      <c r="AD84" s="1084">
        <f t="shared" si="24"/>
        <v>170132.62263299996</v>
      </c>
      <c r="AE84" s="1084">
        <f t="shared" si="24"/>
        <v>475939.86900000001</v>
      </c>
      <c r="AF84" s="1084">
        <f t="shared" si="24"/>
        <v>172145.52621000004</v>
      </c>
      <c r="AG84" s="1106">
        <f t="shared" si="24"/>
        <v>551918.02300000004</v>
      </c>
      <c r="AH84" s="1106">
        <f t="shared" si="24"/>
        <v>210090.99100600003</v>
      </c>
      <c r="AI84" s="1106">
        <f t="shared" si="24"/>
        <v>547559.51</v>
      </c>
      <c r="AJ84" s="1106">
        <f t="shared" si="24"/>
        <v>220993.49073100003</v>
      </c>
      <c r="AK84" s="1106">
        <f t="shared" si="24"/>
        <v>537699.05700000003</v>
      </c>
      <c r="AL84" s="1106">
        <f t="shared" si="24"/>
        <v>217553.01948399999</v>
      </c>
      <c r="AM84" s="1106">
        <f t="shared" si="24"/>
        <v>487371.98499999999</v>
      </c>
      <c r="AN84" s="1106">
        <f t="shared" si="24"/>
        <v>201860.66671899997</v>
      </c>
      <c r="AO84" s="1106">
        <f t="shared" si="24"/>
        <v>576728.05599999987</v>
      </c>
      <c r="AP84" s="1106">
        <f t="shared" si="24"/>
        <v>223935.63737900002</v>
      </c>
      <c r="AQ84" s="1106">
        <f t="shared" si="24"/>
        <v>555632.72900000005</v>
      </c>
      <c r="AR84" s="1106">
        <f t="shared" si="24"/>
        <v>219097.19123500003</v>
      </c>
      <c r="AS84" s="1106">
        <f t="shared" si="24"/>
        <v>499448.41000000003</v>
      </c>
      <c r="AT84" s="1106">
        <f t="shared" si="24"/>
        <v>193794.89295299997</v>
      </c>
      <c r="AU84" s="1106">
        <f t="shared" si="24"/>
        <v>485919.73300000001</v>
      </c>
      <c r="AV84" s="1106">
        <f t="shared" si="24"/>
        <v>178421.54119600001</v>
      </c>
      <c r="AW84" s="1106">
        <f>AW82-AW83</f>
        <v>542415.37800000014</v>
      </c>
      <c r="AX84" s="1106">
        <f>AX82-AX83</f>
        <v>203221.62267699995</v>
      </c>
      <c r="AY84" s="1106">
        <f>AY82-AY83</f>
        <v>605090.21299999999</v>
      </c>
      <c r="AZ84" s="1106">
        <f>AZ82-AZ83</f>
        <v>220866.66913200001</v>
      </c>
      <c r="BA84" s="1106">
        <f t="shared" ref="BA84:CE84" si="25">BA5+BA65-BA71-BA77</f>
        <v>520031.663</v>
      </c>
      <c r="BB84" s="1106">
        <f t="shared" si="25"/>
        <v>191512.810299</v>
      </c>
      <c r="BC84" s="1106">
        <f t="shared" si="25"/>
        <v>511555.54500000004</v>
      </c>
      <c r="BD84" s="1106">
        <f t="shared" si="25"/>
        <v>190301.82621200001</v>
      </c>
      <c r="BE84" s="1106">
        <f t="shared" si="25"/>
        <v>561800.9850000001</v>
      </c>
      <c r="BF84" s="1106">
        <f t="shared" si="25"/>
        <v>200644.00172799997</v>
      </c>
      <c r="BG84" s="1084">
        <f t="shared" si="25"/>
        <v>617686.402</v>
      </c>
      <c r="BH84" s="1084">
        <f t="shared" si="25"/>
        <v>221379.06194199997</v>
      </c>
      <c r="BI84" s="1084">
        <f t="shared" si="25"/>
        <v>550136.09299999999</v>
      </c>
      <c r="BJ84" s="1084">
        <f t="shared" si="25"/>
        <v>195196.316036</v>
      </c>
      <c r="BK84" s="1084">
        <f t="shared" si="25"/>
        <v>414881.18199999997</v>
      </c>
      <c r="BL84" s="1084">
        <f t="shared" si="25"/>
        <v>160550.67514800004</v>
      </c>
      <c r="BM84" s="1084">
        <f t="shared" si="25"/>
        <v>377712.391</v>
      </c>
      <c r="BN84" s="1084">
        <f t="shared" si="25"/>
        <v>147656.20304599998</v>
      </c>
      <c r="BO84" s="1084">
        <f t="shared" si="25"/>
        <v>436212.28099999996</v>
      </c>
      <c r="BP84" s="1084">
        <f t="shared" si="25"/>
        <v>170542.298083</v>
      </c>
      <c r="BQ84" s="1084">
        <f t="shared" si="25"/>
        <v>373302.66899999999</v>
      </c>
      <c r="BR84" s="1084">
        <f t="shared" si="25"/>
        <v>152986.36470699997</v>
      </c>
      <c r="BS84" s="1084">
        <f t="shared" si="25"/>
        <v>505188.272</v>
      </c>
      <c r="BT84" s="1084">
        <f t="shared" si="25"/>
        <v>201375.61667300004</v>
      </c>
      <c r="BU84" s="1084">
        <f t="shared" si="25"/>
        <v>607968.897</v>
      </c>
      <c r="BV84" s="1084">
        <f t="shared" si="25"/>
        <v>232676.19824600001</v>
      </c>
      <c r="BW84" s="1084">
        <f t="shared" si="25"/>
        <v>609142.20600000001</v>
      </c>
      <c r="BX84" s="1084">
        <f t="shared" si="25"/>
        <v>246711.108102</v>
      </c>
      <c r="BY84" s="1084">
        <f t="shared" si="25"/>
        <v>579074.59699999995</v>
      </c>
      <c r="BZ84" s="1084">
        <f t="shared" si="25"/>
        <v>251186.942239</v>
      </c>
      <c r="CA84" s="1084">
        <f t="shared" si="25"/>
        <v>553275.13600000006</v>
      </c>
      <c r="CB84" s="1084">
        <f t="shared" si="25"/>
        <v>256508.30750700002</v>
      </c>
      <c r="CC84" s="1084">
        <f t="shared" si="25"/>
        <v>673641.03999999992</v>
      </c>
      <c r="CD84" s="1084">
        <f t="shared" si="25"/>
        <v>335018.225286</v>
      </c>
      <c r="CE84" s="1084">
        <f t="shared" si="25"/>
        <v>703072.53299999994</v>
      </c>
      <c r="CF84" s="1084">
        <f>CF5+CF65-CF71-CF77-2200</f>
        <v>375495.00514299999</v>
      </c>
      <c r="CG84" s="1084">
        <f t="shared" ref="CG84:CV84" si="26">CG5+CG65-CG71-CG77</f>
        <v>708852.3330000001</v>
      </c>
      <c r="CH84" s="1084">
        <f>CH5+CH65-CH71-CH77-6100</f>
        <v>392619.90762400004</v>
      </c>
      <c r="CI84" s="1084">
        <f t="shared" si="26"/>
        <v>694486.06200000003</v>
      </c>
      <c r="CJ84" s="1084">
        <f>CJ5+CJ65-CJ71-CJ77-28200</f>
        <v>362873.86478</v>
      </c>
      <c r="CK84" s="1084">
        <f t="shared" si="26"/>
        <v>666197.89</v>
      </c>
      <c r="CL84" s="1084">
        <f>CL5+CL65-CL71-CL77+22585</f>
        <v>361500.41198699997</v>
      </c>
      <c r="CM84" s="1084">
        <f t="shared" si="26"/>
        <v>698112</v>
      </c>
      <c r="CN84" s="1084">
        <f>CN5+CN65-CN71-CN77-12749</f>
        <v>384100</v>
      </c>
      <c r="CO84" s="1084">
        <f t="shared" si="26"/>
        <v>0</v>
      </c>
      <c r="CP84" s="1084">
        <f t="shared" si="26"/>
        <v>0</v>
      </c>
      <c r="CQ84" s="1084">
        <f t="shared" si="26"/>
        <v>0</v>
      </c>
      <c r="CR84" s="1084">
        <f t="shared" si="26"/>
        <v>0</v>
      </c>
      <c r="CS84" s="1084">
        <f t="shared" si="26"/>
        <v>0</v>
      </c>
      <c r="CT84" s="1084">
        <f t="shared" si="26"/>
        <v>0</v>
      </c>
      <c r="CU84" s="1084">
        <f t="shared" si="26"/>
        <v>0</v>
      </c>
      <c r="CV84" s="1084">
        <f t="shared" si="26"/>
        <v>0</v>
      </c>
    </row>
    <row r="85" spans="1:100" s="2785" customFormat="1">
      <c r="A85" s="2785" t="s">
        <v>34</v>
      </c>
      <c r="B85" s="2786" t="s">
        <v>1299</v>
      </c>
      <c r="C85" s="2787">
        <v>87807.584000000003</v>
      </c>
      <c r="D85" s="2787">
        <v>102792.892733</v>
      </c>
      <c r="E85" s="2787">
        <v>90251.38</v>
      </c>
      <c r="F85" s="2787">
        <v>110349.84</v>
      </c>
      <c r="G85" s="2787">
        <v>100098.295</v>
      </c>
      <c r="H85" s="2787">
        <v>114222.05</v>
      </c>
      <c r="I85" s="2787">
        <v>137601</v>
      </c>
      <c r="J85" s="2787">
        <v>148231</v>
      </c>
      <c r="K85" s="2787">
        <v>105128.41899999999</v>
      </c>
      <c r="L85" s="2787">
        <v>112362.6</v>
      </c>
      <c r="M85" s="2787">
        <v>116770</v>
      </c>
      <c r="N85" s="2787">
        <v>117139</v>
      </c>
      <c r="O85" s="2787">
        <v>99888.661999999997</v>
      </c>
      <c r="P85" s="2787">
        <v>108798.64</v>
      </c>
      <c r="Q85" s="2787">
        <v>70934.974000000002</v>
      </c>
      <c r="R85" s="2787">
        <v>76666.740000000005</v>
      </c>
      <c r="S85" s="2787">
        <v>72896</v>
      </c>
      <c r="T85" s="2787">
        <v>87409</v>
      </c>
      <c r="U85" s="2787">
        <v>77419.69</v>
      </c>
      <c r="V85" s="2787">
        <v>84639.56</v>
      </c>
      <c r="W85" s="2787">
        <v>75347.766000000003</v>
      </c>
      <c r="X85" s="2787">
        <v>77468.710000000006</v>
      </c>
      <c r="Y85" s="2787">
        <v>65848.085000000006</v>
      </c>
      <c r="Z85" s="2787">
        <v>69044.649999999994</v>
      </c>
      <c r="AA85" s="2787">
        <v>83747</v>
      </c>
      <c r="AB85" s="2787">
        <v>75429</v>
      </c>
      <c r="AC85" s="2787">
        <v>69240.3</v>
      </c>
      <c r="AD85" s="2787">
        <v>76826.12</v>
      </c>
      <c r="AE85" s="2787">
        <v>97798.561000000002</v>
      </c>
      <c r="AF85" s="2788">
        <v>87074.49</v>
      </c>
      <c r="AG85" s="2788">
        <v>91364.436000000002</v>
      </c>
      <c r="AH85" s="2788">
        <v>88980.69</v>
      </c>
      <c r="AI85" s="2785">
        <v>99519.743000000002</v>
      </c>
      <c r="AJ85" s="2785">
        <v>94185.18</v>
      </c>
      <c r="AK85" s="2789">
        <v>62415.726000000002</v>
      </c>
      <c r="AL85" s="2789">
        <v>66780.460000000006</v>
      </c>
      <c r="AM85" s="2785">
        <v>66560.099000000002</v>
      </c>
      <c r="AN85" s="2785">
        <v>66414.52</v>
      </c>
      <c r="AO85" s="2785">
        <v>63598.82</v>
      </c>
      <c r="AP85" s="2785">
        <v>62413.8</v>
      </c>
      <c r="AQ85" s="2785">
        <v>95557.876999999993</v>
      </c>
      <c r="AR85" s="2785">
        <v>98152.8</v>
      </c>
      <c r="AS85" s="2785">
        <v>95122.785000000003</v>
      </c>
      <c r="AT85" s="2785">
        <v>85368.39</v>
      </c>
      <c r="AU85" s="2785">
        <v>78996.657000000007</v>
      </c>
      <c r="AV85" s="2785">
        <v>75461.88</v>
      </c>
      <c r="AW85" s="2785">
        <v>80550.351999999999</v>
      </c>
      <c r="AX85" s="2785">
        <v>66630.100000000006</v>
      </c>
      <c r="AY85" s="2026">
        <v>38946.284</v>
      </c>
      <c r="AZ85" s="2026">
        <v>47821.84</v>
      </c>
      <c r="BA85" s="2785">
        <v>54714</v>
      </c>
      <c r="BB85" s="2785">
        <v>58878</v>
      </c>
      <c r="BC85" s="2785">
        <v>89938</v>
      </c>
      <c r="BD85" s="2785">
        <v>77992</v>
      </c>
      <c r="BE85" s="2785">
        <v>100172</v>
      </c>
      <c r="BF85" s="2785">
        <v>83240</v>
      </c>
      <c r="BG85" s="2785">
        <v>95702</v>
      </c>
      <c r="BH85" s="2785">
        <v>76906</v>
      </c>
      <c r="BI85" s="2785">
        <v>51896</v>
      </c>
      <c r="BJ85" s="2785">
        <v>45700</v>
      </c>
      <c r="BK85" s="2785">
        <v>62758</v>
      </c>
      <c r="BL85" s="2785">
        <v>54375</v>
      </c>
      <c r="BM85" s="2785">
        <v>30532</v>
      </c>
      <c r="BN85" s="2785">
        <v>31024</v>
      </c>
      <c r="BO85" s="2785">
        <v>20539</v>
      </c>
      <c r="BP85" s="2785">
        <v>18338</v>
      </c>
      <c r="BQ85" s="2785">
        <v>35848</v>
      </c>
      <c r="BR85" s="2785">
        <v>32538</v>
      </c>
      <c r="BS85" s="2785">
        <v>51841</v>
      </c>
      <c r="BT85" s="2785">
        <v>44770</v>
      </c>
      <c r="BU85" s="2785">
        <v>64263</v>
      </c>
      <c r="BV85" s="2785">
        <v>55075</v>
      </c>
      <c r="BW85" s="2785">
        <v>37343</v>
      </c>
      <c r="BX85" s="2785">
        <v>29599</v>
      </c>
      <c r="BY85" s="2785">
        <v>45845</v>
      </c>
      <c r="BZ85" s="2785">
        <v>40532</v>
      </c>
      <c r="CA85" s="2785">
        <v>51755</v>
      </c>
      <c r="CB85" s="2785">
        <v>46173</v>
      </c>
      <c r="CC85" s="2785">
        <v>80000</v>
      </c>
      <c r="CD85" s="2785">
        <v>61177</v>
      </c>
      <c r="CE85" s="2785">
        <v>51025</v>
      </c>
      <c r="CF85" s="2785">
        <v>47064</v>
      </c>
      <c r="CG85" s="2785">
        <v>46647</v>
      </c>
      <c r="CH85" s="2785">
        <v>58153</v>
      </c>
      <c r="CI85" s="2785">
        <v>55302</v>
      </c>
      <c r="CJ85" s="2785">
        <v>61874</v>
      </c>
      <c r="CK85" s="2785">
        <v>42517</v>
      </c>
      <c r="CL85" s="2785">
        <v>54466</v>
      </c>
      <c r="CM85" s="2785">
        <v>59029</v>
      </c>
      <c r="CN85" s="2785">
        <v>76558</v>
      </c>
    </row>
    <row r="86" spans="1:100">
      <c r="B86" s="1030" t="s">
        <v>1298</v>
      </c>
      <c r="C86" s="1031"/>
      <c r="D86" s="1031"/>
      <c r="E86" s="1031"/>
      <c r="F86" s="1031"/>
      <c r="G86" s="1031"/>
      <c r="H86" s="1031"/>
      <c r="I86" s="1031"/>
      <c r="J86" s="1031"/>
      <c r="K86" s="1031"/>
      <c r="L86" s="1031"/>
      <c r="M86" s="1031"/>
      <c r="N86" s="1031"/>
      <c r="O86" s="1031"/>
      <c r="P86" s="1031"/>
      <c r="Q86" s="1031"/>
      <c r="R86" s="1031"/>
      <c r="S86" s="1031"/>
      <c r="T86" s="1031"/>
      <c r="U86" s="1031"/>
      <c r="V86" s="1031"/>
      <c r="W86" s="1031"/>
      <c r="X86" s="1031"/>
      <c r="Y86" s="1031"/>
      <c r="Z86" s="1031"/>
      <c r="AA86" s="1031"/>
      <c r="AB86" s="1031"/>
      <c r="AC86" s="1031"/>
      <c r="AD86" s="1031"/>
      <c r="AE86" s="1031"/>
      <c r="AF86" s="1023"/>
      <c r="AG86" s="1023"/>
      <c r="AH86" s="1023"/>
      <c r="AK86" s="1107"/>
      <c r="AL86" s="1107"/>
      <c r="AY86" s="1065"/>
      <c r="AZ86" s="1065">
        <v>10000</v>
      </c>
      <c r="BA86" s="1015">
        <v>200</v>
      </c>
      <c r="BC86" s="1065">
        <v>1186.086</v>
      </c>
      <c r="BD86" s="1065"/>
      <c r="BE86" s="1065">
        <v>887.00200000000007</v>
      </c>
      <c r="BF86" s="1065"/>
      <c r="BG86" s="1065">
        <v>929.27800000000002</v>
      </c>
      <c r="BH86" s="1065"/>
      <c r="BI86" s="1065">
        <v>0</v>
      </c>
      <c r="BJ86" s="1065"/>
      <c r="BK86" s="1065">
        <v>582.20600000000002</v>
      </c>
      <c r="BL86" s="1065"/>
      <c r="BM86" s="1065">
        <v>690.03700000000003</v>
      </c>
      <c r="BN86" s="1065"/>
      <c r="BO86" s="1065">
        <v>1282.8880000000001</v>
      </c>
      <c r="BP86" s="1065"/>
      <c r="BQ86" s="1065">
        <v>1190.55</v>
      </c>
      <c r="BR86" s="1065"/>
      <c r="BS86" s="1065">
        <v>2877.7560000000003</v>
      </c>
      <c r="BT86" s="1065"/>
      <c r="BU86" s="1065">
        <v>641.702</v>
      </c>
      <c r="BW86" s="1015">
        <v>2100</v>
      </c>
      <c r="BX86" s="1015">
        <v>1394.51</v>
      </c>
      <c r="BY86" s="1015">
        <v>1700</v>
      </c>
      <c r="BZ86" s="1015">
        <v>1206.3699999999999</v>
      </c>
      <c r="CA86" s="1015">
        <v>2200</v>
      </c>
      <c r="CB86" s="1015">
        <v>1519.59</v>
      </c>
      <c r="CC86" s="1015">
        <v>3766.1990000000001</v>
      </c>
      <c r="CD86" s="1015">
        <v>2792</v>
      </c>
      <c r="CE86" s="1015">
        <v>6263.2049999999999</v>
      </c>
      <c r="CF86" s="1015">
        <v>5083.3840802544</v>
      </c>
      <c r="CG86" s="1015">
        <v>219.61600000000001</v>
      </c>
      <c r="CH86" s="1015">
        <v>184.14610500000001</v>
      </c>
      <c r="CI86" s="1015">
        <v>1735.6659999999999</v>
      </c>
      <c r="CJ86" s="1015">
        <v>1185.883356</v>
      </c>
      <c r="CK86" s="1015">
        <v>709.09799999999996</v>
      </c>
      <c r="CL86" s="1015">
        <v>591.03987599999994</v>
      </c>
      <c r="CM86" s="1015">
        <v>2207</v>
      </c>
      <c r="CN86" s="1015">
        <v>1922</v>
      </c>
    </row>
    <row r="87" spans="1:100">
      <c r="B87" s="1030" t="s">
        <v>1297</v>
      </c>
      <c r="C87" s="1031"/>
      <c r="D87" s="1031"/>
      <c r="E87" s="1031"/>
      <c r="F87" s="1031"/>
      <c r="G87" s="1031"/>
      <c r="H87" s="1031"/>
      <c r="I87" s="1031"/>
      <c r="J87" s="1031"/>
      <c r="K87" s="1031"/>
      <c r="L87" s="1031"/>
      <c r="M87" s="1031"/>
      <c r="N87" s="1031"/>
      <c r="O87" s="1031"/>
      <c r="P87" s="1031"/>
      <c r="Q87" s="1031"/>
      <c r="R87" s="1031"/>
      <c r="S87" s="1031"/>
      <c r="T87" s="1031"/>
      <c r="U87" s="1031"/>
      <c r="V87" s="1031"/>
      <c r="W87" s="1031"/>
      <c r="X87" s="1031"/>
      <c r="Y87" s="1031"/>
      <c r="Z87" s="1031"/>
      <c r="AA87" s="1031"/>
      <c r="AB87" s="1031"/>
      <c r="AC87" s="1031"/>
      <c r="AD87" s="1031"/>
      <c r="AE87" s="1031"/>
      <c r="AF87" s="1023"/>
      <c r="AG87" s="1023"/>
      <c r="AH87" s="1023"/>
      <c r="AK87" s="1107"/>
      <c r="AL87" s="1107"/>
      <c r="AY87" s="1065"/>
      <c r="AZ87" s="1065"/>
      <c r="BA87" s="1015">
        <v>4064</v>
      </c>
      <c r="BC87" s="1065">
        <v>5196.2920000000004</v>
      </c>
      <c r="BD87" s="1065"/>
      <c r="BE87" s="1065">
        <v>5581.6840000000002</v>
      </c>
      <c r="BF87" s="1065"/>
      <c r="BG87" s="1065">
        <v>5918.2310000000007</v>
      </c>
      <c r="BH87" s="1065"/>
      <c r="BI87" s="1065">
        <v>4233.1770000000006</v>
      </c>
      <c r="BJ87" s="1065"/>
      <c r="BK87" s="1065">
        <v>7913.8319999999994</v>
      </c>
      <c r="BL87" s="1065"/>
      <c r="BM87" s="1065">
        <v>3846.87</v>
      </c>
      <c r="BN87" s="1065"/>
      <c r="BO87" s="1065">
        <v>5052.0119999999997</v>
      </c>
      <c r="BP87" s="1065"/>
      <c r="BQ87" s="1065">
        <v>7214.5689999999995</v>
      </c>
      <c r="BR87" s="1065"/>
      <c r="BS87" s="1065">
        <v>6281.5079999999998</v>
      </c>
      <c r="BT87" s="1065"/>
      <c r="BU87" s="1065">
        <v>5599.5439999999999</v>
      </c>
      <c r="BW87" s="1015">
        <v>5200</v>
      </c>
      <c r="BX87" s="1015">
        <v>5273.82</v>
      </c>
      <c r="BY87" s="1015">
        <v>3900</v>
      </c>
      <c r="BZ87" s="1015">
        <v>3339.5</v>
      </c>
      <c r="CA87" s="1015">
        <v>4029</v>
      </c>
      <c r="CB87" s="1015">
        <v>4074.12</v>
      </c>
      <c r="CC87" s="1015">
        <v>6638.8149999999996</v>
      </c>
      <c r="CD87" s="1015">
        <v>6875</v>
      </c>
      <c r="CE87" s="1015">
        <v>5100</v>
      </c>
      <c r="CF87" s="1015">
        <v>5281.4157686876279</v>
      </c>
      <c r="CG87" s="1015">
        <v>7114.9340000000002</v>
      </c>
      <c r="CH87" s="1015">
        <v>7368.0244354454398</v>
      </c>
      <c r="CI87" s="1015">
        <v>9205.84</v>
      </c>
      <c r="CJ87" s="1015">
        <v>9533.3075568657478</v>
      </c>
      <c r="CK87" s="1015">
        <v>4735.0569999999998</v>
      </c>
      <c r="CL87" s="1015">
        <v>4903.4911187126927</v>
      </c>
      <c r="CM87" s="1015">
        <v>6231</v>
      </c>
      <c r="CN87" s="1015">
        <v>6452</v>
      </c>
    </row>
    <row r="88" spans="1:100" s="2790" customFormat="1">
      <c r="A88" s="2790" t="s">
        <v>34</v>
      </c>
      <c r="B88" s="2791" t="s">
        <v>1300</v>
      </c>
      <c r="C88" s="2792">
        <v>79716.78</v>
      </c>
      <c r="D88" s="2792">
        <v>99052.179149000003</v>
      </c>
      <c r="E88" s="2792">
        <v>89229.785000000003</v>
      </c>
      <c r="F88" s="2792">
        <v>109556.09</v>
      </c>
      <c r="G88" s="2792">
        <v>97125.64</v>
      </c>
      <c r="H88" s="2792">
        <v>112397.95</v>
      </c>
      <c r="I88" s="2792">
        <v>117427</v>
      </c>
      <c r="J88" s="2792">
        <v>140389</v>
      </c>
      <c r="K88" s="2792">
        <v>83814.487999999998</v>
      </c>
      <c r="L88" s="2792">
        <v>103815.41</v>
      </c>
      <c r="M88" s="2792">
        <v>92167</v>
      </c>
      <c r="N88" s="2792">
        <v>107075</v>
      </c>
      <c r="O88" s="2792">
        <v>85133.122000000003</v>
      </c>
      <c r="P88" s="2792">
        <v>102567.61</v>
      </c>
      <c r="Q88" s="2792">
        <v>56151.321000000004</v>
      </c>
      <c r="R88" s="2792">
        <v>69890.320000000007</v>
      </c>
      <c r="S88" s="2792">
        <v>61994</v>
      </c>
      <c r="T88" s="2792">
        <v>81591</v>
      </c>
      <c r="U88" s="2792">
        <v>54376.86</v>
      </c>
      <c r="V88" s="2792">
        <v>73834.009999999995</v>
      </c>
      <c r="W88" s="2792">
        <v>51782.069000000003</v>
      </c>
      <c r="X88" s="2792">
        <v>66160.039999999994</v>
      </c>
      <c r="Y88" s="2792">
        <v>45988.1</v>
      </c>
      <c r="Z88" s="2792">
        <v>60273.57</v>
      </c>
      <c r="AA88" s="2792">
        <v>45829</v>
      </c>
      <c r="AB88" s="2792">
        <v>58727</v>
      </c>
      <c r="AC88" s="2792">
        <v>63282.62</v>
      </c>
      <c r="AD88" s="2792">
        <v>73699.642000000007</v>
      </c>
      <c r="AE88" s="2792">
        <v>67813.009999999995</v>
      </c>
      <c r="AF88" s="2792">
        <v>75309.009999999995</v>
      </c>
      <c r="AG88" s="2792">
        <v>71413.820000000007</v>
      </c>
      <c r="AH88" s="2792">
        <v>81303.490000000005</v>
      </c>
      <c r="AI88" s="2790">
        <v>70874.398000000001</v>
      </c>
      <c r="AJ88" s="2790">
        <v>82588.97</v>
      </c>
      <c r="AK88" s="2793">
        <v>48127.247000000003</v>
      </c>
      <c r="AL88" s="2793">
        <v>60710.86</v>
      </c>
      <c r="AM88" s="2790">
        <v>48906.09</v>
      </c>
      <c r="AN88" s="2790">
        <v>58919.23</v>
      </c>
      <c r="AO88" s="2790">
        <v>49766.292000000001</v>
      </c>
      <c r="AP88" s="2790">
        <v>56580.05</v>
      </c>
      <c r="AQ88" s="2790">
        <v>79170.012000000002</v>
      </c>
      <c r="AR88" s="2790">
        <v>91474.68</v>
      </c>
      <c r="AS88" s="2790">
        <v>60211.79</v>
      </c>
      <c r="AT88" s="2790">
        <v>71234.490000000005</v>
      </c>
      <c r="AU88" s="2790">
        <v>56682.260999999999</v>
      </c>
      <c r="AV88" s="2790">
        <v>66908.66</v>
      </c>
      <c r="AW88" s="2790">
        <v>46701.27</v>
      </c>
      <c r="AX88" s="2790">
        <v>53066.9</v>
      </c>
      <c r="AY88" s="2794">
        <v>34817.75</v>
      </c>
      <c r="AZ88" s="2794">
        <v>45189.46</v>
      </c>
      <c r="BA88" s="2790">
        <v>46236</v>
      </c>
      <c r="BB88" s="2790">
        <v>55749</v>
      </c>
      <c r="BC88" s="2790">
        <v>60704</v>
      </c>
      <c r="BD88" s="2790">
        <v>67514</v>
      </c>
      <c r="BE88" s="2790">
        <v>64775</v>
      </c>
      <c r="BF88" s="2790">
        <v>70353</v>
      </c>
      <c r="BG88" s="2790">
        <v>54211</v>
      </c>
      <c r="BH88" s="2790">
        <v>62099</v>
      </c>
      <c r="BI88" s="2790">
        <v>38080</v>
      </c>
      <c r="BJ88" s="2790">
        <v>40478</v>
      </c>
      <c r="BK88" s="2790">
        <v>40812</v>
      </c>
      <c r="BL88" s="2790">
        <v>46165</v>
      </c>
      <c r="BM88" s="2790">
        <v>29633</v>
      </c>
      <c r="BN88" s="2790">
        <v>30585</v>
      </c>
      <c r="BO88" s="2790">
        <v>16595</v>
      </c>
      <c r="BP88" s="2790">
        <v>16555</v>
      </c>
      <c r="BQ88" s="2790">
        <v>30129</v>
      </c>
      <c r="BR88" s="2790">
        <v>30185</v>
      </c>
      <c r="BS88" s="2790">
        <v>33664</v>
      </c>
      <c r="BT88" s="2790">
        <v>36837</v>
      </c>
      <c r="BU88" s="2790">
        <v>44414</v>
      </c>
      <c r="BV88" s="2790">
        <v>46605</v>
      </c>
      <c r="BW88" s="2790">
        <v>23351</v>
      </c>
      <c r="BX88" s="2790">
        <v>24743</v>
      </c>
      <c r="BY88" s="2790">
        <v>33360</v>
      </c>
      <c r="BZ88" s="2790">
        <v>35681</v>
      </c>
      <c r="CA88" s="2790">
        <v>35163</v>
      </c>
      <c r="CB88" s="2790">
        <v>39108</v>
      </c>
      <c r="CC88" s="2790">
        <v>37321</v>
      </c>
      <c r="CD88" s="2790">
        <v>40881</v>
      </c>
      <c r="CE88" s="2790">
        <v>26070</v>
      </c>
      <c r="CF88" s="2790">
        <v>34606</v>
      </c>
      <c r="CG88" s="2790">
        <v>39319</v>
      </c>
      <c r="CH88" s="2790">
        <v>51827</v>
      </c>
      <c r="CI88" s="2790">
        <v>36377</v>
      </c>
      <c r="CJ88" s="2790">
        <v>50150</v>
      </c>
      <c r="CK88" s="2790">
        <v>31336</v>
      </c>
      <c r="CL88" s="2790">
        <v>47036</v>
      </c>
      <c r="CM88" s="2790">
        <v>40419</v>
      </c>
      <c r="CN88" s="2790">
        <v>62326</v>
      </c>
    </row>
    <row r="89" spans="1:100" s="2033" customFormat="1">
      <c r="B89" s="1030" t="s">
        <v>1298</v>
      </c>
      <c r="C89" s="2032"/>
      <c r="D89" s="2032"/>
      <c r="E89" s="2032"/>
      <c r="F89" s="2032"/>
      <c r="G89" s="2032"/>
      <c r="H89" s="2032"/>
      <c r="I89" s="2032"/>
      <c r="J89" s="2032"/>
      <c r="K89" s="2032"/>
      <c r="L89" s="2032"/>
      <c r="M89" s="2032"/>
      <c r="N89" s="2032"/>
      <c r="O89" s="2032"/>
      <c r="P89" s="2032"/>
      <c r="Q89" s="2032"/>
      <c r="R89" s="2032"/>
      <c r="S89" s="2032"/>
      <c r="T89" s="2032"/>
      <c r="U89" s="2032"/>
      <c r="V89" s="2032"/>
      <c r="W89" s="2032"/>
      <c r="X89" s="2032"/>
      <c r="Y89" s="2032"/>
      <c r="Z89" s="2032"/>
      <c r="AA89" s="2032"/>
      <c r="AB89" s="2032"/>
      <c r="AC89" s="2032"/>
      <c r="AD89" s="2032"/>
      <c r="AE89" s="2032"/>
      <c r="AF89" s="2032"/>
      <c r="AG89" s="2032"/>
      <c r="AH89" s="2032"/>
      <c r="AK89" s="1107"/>
      <c r="AL89" s="1107"/>
      <c r="AY89" s="2031"/>
      <c r="AZ89" s="2031"/>
      <c r="BW89" s="2033">
        <v>2100</v>
      </c>
      <c r="BX89" s="1015">
        <v>1394.51</v>
      </c>
      <c r="BY89" s="2033">
        <v>1700</v>
      </c>
      <c r="BZ89" s="1015">
        <v>1206.3699999999999</v>
      </c>
      <c r="CA89" s="2033">
        <v>2200</v>
      </c>
      <c r="CB89" s="2033">
        <v>1519.59</v>
      </c>
      <c r="CC89" s="2033">
        <v>3766.1990000000001</v>
      </c>
      <c r="CD89" s="2033">
        <v>2792</v>
      </c>
      <c r="CE89" s="2033">
        <v>6263.2049999999999</v>
      </c>
      <c r="CF89" s="2033">
        <v>5083.3840802544</v>
      </c>
      <c r="CG89" s="2033">
        <v>219.61600000000001</v>
      </c>
      <c r="CH89" s="2033">
        <v>184.14610500000001</v>
      </c>
      <c r="CI89" s="2033">
        <v>1735.6659999999999</v>
      </c>
      <c r="CJ89" s="2033">
        <v>1185.883356</v>
      </c>
      <c r="CK89" s="2033">
        <v>709.09799999999996</v>
      </c>
      <c r="CL89" s="2033">
        <v>591.03987600000005</v>
      </c>
      <c r="CM89" s="2033">
        <f>CM86</f>
        <v>2207</v>
      </c>
      <c r="CN89" s="2033">
        <f>CN86</f>
        <v>1922</v>
      </c>
      <c r="CO89" s="2033">
        <f t="shared" ref="CO89:CV89" si="27">CO86</f>
        <v>0</v>
      </c>
      <c r="CP89" s="2033">
        <f t="shared" si="27"/>
        <v>0</v>
      </c>
      <c r="CQ89" s="2033">
        <f t="shared" si="27"/>
        <v>0</v>
      </c>
      <c r="CR89" s="2033">
        <f t="shared" si="27"/>
        <v>0</v>
      </c>
      <c r="CS89" s="2033">
        <f t="shared" si="27"/>
        <v>0</v>
      </c>
      <c r="CT89" s="2033">
        <f t="shared" si="27"/>
        <v>0</v>
      </c>
      <c r="CU89" s="2033">
        <f t="shared" si="27"/>
        <v>0</v>
      </c>
      <c r="CV89" s="2033">
        <f t="shared" si="27"/>
        <v>0</v>
      </c>
    </row>
    <row r="90" spans="1:100">
      <c r="B90" s="1030" t="s">
        <v>1297</v>
      </c>
      <c r="BW90" s="1015">
        <v>5200</v>
      </c>
      <c r="BX90" s="1015">
        <v>5273.82</v>
      </c>
      <c r="BY90" s="1015">
        <v>3900</v>
      </c>
      <c r="BZ90" s="1015">
        <v>3339.5</v>
      </c>
      <c r="CA90" s="1015">
        <v>4029</v>
      </c>
      <c r="CB90" s="1015">
        <v>4074.12</v>
      </c>
      <c r="CC90" s="1015">
        <v>6638.8149999999996</v>
      </c>
      <c r="CD90" s="1015">
        <v>6875</v>
      </c>
      <c r="CE90" s="1015">
        <v>5100</v>
      </c>
      <c r="CF90" s="1015">
        <v>5281.4157686876279</v>
      </c>
      <c r="CG90" s="1015">
        <v>7114.9340000000002</v>
      </c>
      <c r="CH90" s="1015">
        <v>7368.0244354454398</v>
      </c>
      <c r="CI90" s="1015">
        <v>9205.84</v>
      </c>
      <c r="CJ90" s="1015">
        <v>9533.3075568657478</v>
      </c>
      <c r="CK90" s="1015">
        <v>4735.0569999999998</v>
      </c>
      <c r="CL90" s="1015">
        <v>4903.4911187126927</v>
      </c>
      <c r="CM90" s="1015">
        <f>CM87</f>
        <v>6231</v>
      </c>
      <c r="CN90" s="1015">
        <f t="shared" ref="CN90:CV90" si="28">CN87</f>
        <v>6452</v>
      </c>
      <c r="CO90" s="1015">
        <f t="shared" si="28"/>
        <v>0</v>
      </c>
      <c r="CP90" s="1015">
        <f t="shared" si="28"/>
        <v>0</v>
      </c>
      <c r="CQ90" s="1015">
        <f t="shared" si="28"/>
        <v>0</v>
      </c>
      <c r="CR90" s="1015">
        <f t="shared" si="28"/>
        <v>0</v>
      </c>
      <c r="CS90" s="1015">
        <f t="shared" si="28"/>
        <v>0</v>
      </c>
      <c r="CT90" s="1015">
        <f t="shared" si="28"/>
        <v>0</v>
      </c>
      <c r="CU90" s="1015">
        <f t="shared" si="28"/>
        <v>0</v>
      </c>
      <c r="CV90" s="1015">
        <f t="shared" si="28"/>
        <v>0</v>
      </c>
    </row>
    <row r="91" spans="1:100" s="1012" customFormat="1">
      <c r="B91" s="168" t="s">
        <v>542</v>
      </c>
      <c r="E91" s="163">
        <v>50.407501400000001</v>
      </c>
      <c r="F91" s="163">
        <v>20.452030608299999</v>
      </c>
      <c r="G91" s="163">
        <v>42.367143900000002</v>
      </c>
      <c r="H91" s="163">
        <v>16.886831746199999</v>
      </c>
      <c r="I91" s="163">
        <v>56.375920299999997</v>
      </c>
      <c r="J91" s="163">
        <v>23.032067244299999</v>
      </c>
      <c r="K91" s="163">
        <v>50.5545513</v>
      </c>
      <c r="L91" s="163">
        <v>20.087373996099998</v>
      </c>
      <c r="M91" s="163">
        <v>55.156496599999997</v>
      </c>
      <c r="N91" s="163">
        <v>22.0435400189</v>
      </c>
      <c r="O91" s="163">
        <v>53.469632500000003</v>
      </c>
      <c r="P91" s="163">
        <v>21.931979975400001</v>
      </c>
      <c r="Q91" s="163">
        <v>49.965852499999997</v>
      </c>
      <c r="R91" s="163">
        <v>21.247395095200002</v>
      </c>
      <c r="S91" s="163">
        <v>55.196073400000003</v>
      </c>
      <c r="T91" s="163">
        <v>22.636927143299999</v>
      </c>
      <c r="U91" s="163">
        <v>47.3825954</v>
      </c>
      <c r="V91" s="163">
        <v>20.070174484100001</v>
      </c>
      <c r="W91" s="163">
        <v>51.6505607</v>
      </c>
      <c r="X91" s="163">
        <v>21.076193787600001</v>
      </c>
      <c r="Y91" s="163">
        <v>48.793979700000001</v>
      </c>
      <c r="Z91" s="163">
        <v>20.019556635299999</v>
      </c>
      <c r="AA91" s="163">
        <v>62.319202599999997</v>
      </c>
      <c r="AB91" s="163">
        <v>23.254237931900001</v>
      </c>
      <c r="AC91" s="1099">
        <v>48.968053599999998</v>
      </c>
      <c r="AD91" s="1099">
        <v>17.0132622633</v>
      </c>
      <c r="AE91" s="1099">
        <v>47.593986899999997</v>
      </c>
      <c r="AF91" s="1099">
        <v>17.214552620999999</v>
      </c>
      <c r="AG91" s="1099">
        <v>55.191802299999999</v>
      </c>
      <c r="AH91" s="1099">
        <v>21.0090991006</v>
      </c>
      <c r="AI91" s="1012">
        <v>54.755951000000003</v>
      </c>
      <c r="AJ91" s="1012">
        <v>22.099349073100001</v>
      </c>
      <c r="AK91" s="1012">
        <v>53.769905700000002</v>
      </c>
      <c r="AL91" s="1012">
        <v>21.7553019484</v>
      </c>
      <c r="AM91" s="1012">
        <v>48.737198499999998</v>
      </c>
      <c r="AN91" s="1012">
        <v>20.186066671900001</v>
      </c>
      <c r="AO91" s="1012">
        <v>57.672805599999997</v>
      </c>
      <c r="AP91" s="1012">
        <v>22.393563737899999</v>
      </c>
      <c r="AQ91" s="1012">
        <v>55.563272900000001</v>
      </c>
      <c r="AR91" s="1012">
        <v>21.9097191235</v>
      </c>
      <c r="AS91" s="1012">
        <v>49.944840999999997</v>
      </c>
      <c r="AT91" s="1012">
        <v>19.379489295300001</v>
      </c>
      <c r="AU91" s="1012">
        <v>48.591973299999999</v>
      </c>
      <c r="AV91" s="1012">
        <v>17.8421541196</v>
      </c>
      <c r="AW91" s="1012">
        <v>54.241537800000003</v>
      </c>
      <c r="AX91" s="1012">
        <v>20.322162267700001</v>
      </c>
      <c r="AY91" s="1012">
        <v>60.509021300000001</v>
      </c>
      <c r="AZ91" s="1012">
        <v>22.086666913199998</v>
      </c>
      <c r="BA91" s="1112">
        <v>52.003166299999997</v>
      </c>
      <c r="BB91" s="1112">
        <v>19.348616486600001</v>
      </c>
      <c r="BC91" s="1112">
        <v>51.155554500000001</v>
      </c>
      <c r="BD91" s="1112">
        <v>19.265877917499999</v>
      </c>
      <c r="BE91" s="1112">
        <v>56.1800985</v>
      </c>
      <c r="BF91" s="1112">
        <v>20.318010104808899</v>
      </c>
      <c r="BG91" s="1112">
        <v>61.7686402</v>
      </c>
      <c r="BH91" s="1112">
        <v>22.340917715100002</v>
      </c>
      <c r="BI91" s="1112">
        <v>55.013609299999999</v>
      </c>
      <c r="BJ91" s="1112">
        <v>19.623952964899999</v>
      </c>
      <c r="BK91" s="1112">
        <v>41.488118200000002</v>
      </c>
      <c r="BL91" s="1112">
        <v>16.912019015045701</v>
      </c>
      <c r="BM91" s="1112">
        <v>37.771239099999995</v>
      </c>
      <c r="BN91" s="1112">
        <v>14.819106067382398</v>
      </c>
      <c r="BO91" s="1112">
        <v>43.621228099999996</v>
      </c>
      <c r="BP91" s="1112">
        <v>17.527974494000002</v>
      </c>
      <c r="BQ91" s="1112">
        <v>37.330266899999998</v>
      </c>
      <c r="BR91" s="1112">
        <v>15.411864960199999</v>
      </c>
      <c r="BS91" s="1112">
        <v>50.518827200000004</v>
      </c>
      <c r="BT91" s="1112">
        <v>21.156247440600001</v>
      </c>
      <c r="BU91" s="1112">
        <v>60.796889700000008</v>
      </c>
      <c r="BV91" s="1112">
        <v>23.461041147100001</v>
      </c>
      <c r="BW91" s="1012">
        <v>60.9142206</v>
      </c>
      <c r="BX91" s="1012">
        <v>24.671110810199998</v>
      </c>
      <c r="BY91" s="1012">
        <v>57.907459699999997</v>
      </c>
      <c r="BZ91" s="1012">
        <v>25.1186942239</v>
      </c>
      <c r="CA91" s="1012">
        <v>55.32751360000001</v>
      </c>
      <c r="CB91" s="1012">
        <v>25.650830750700003</v>
      </c>
      <c r="CC91" s="1012">
        <v>66.864103999999998</v>
      </c>
      <c r="CD91" s="1012">
        <v>33.501822528600002</v>
      </c>
      <c r="CE91" s="1012">
        <v>70.307253299999999</v>
      </c>
      <c r="CF91" s="1012">
        <v>37.769500514299999</v>
      </c>
      <c r="CG91" s="1012">
        <v>70.88523330000001</v>
      </c>
      <c r="CH91" s="1012">
        <v>39.880788733199999</v>
      </c>
      <c r="CI91" s="1012">
        <v>69.4486062</v>
      </c>
      <c r="CJ91" s="1012">
        <f>39.107386478-2.82</f>
        <v>36.287386478000002</v>
      </c>
      <c r="CK91" s="1012">
        <v>66.619789000000011</v>
      </c>
      <c r="CL91" s="1012">
        <v>33.891541198699997</v>
      </c>
      <c r="CM91" s="2582">
        <v>69.81</v>
      </c>
      <c r="CN91" s="2582">
        <v>39.68</v>
      </c>
    </row>
    <row r="92" spans="1:100" s="1013" customFormat="1">
      <c r="B92" s="1085" t="s">
        <v>51</v>
      </c>
      <c r="E92" s="1086">
        <v>33.2486362</v>
      </c>
      <c r="F92" s="1086">
        <v>39.403211467298703</v>
      </c>
      <c r="G92" s="1086">
        <v>25.5118744</v>
      </c>
      <c r="H92" s="1086">
        <v>29.9382033349221</v>
      </c>
      <c r="I92" s="1086">
        <v>38.6455676</v>
      </c>
      <c r="J92" s="1086">
        <v>45.050216163133001</v>
      </c>
      <c r="K92" s="1086">
        <v>32.084682000000001</v>
      </c>
      <c r="L92" s="1086">
        <v>38.166988758656501</v>
      </c>
      <c r="M92" s="1086">
        <v>33.097172399999998</v>
      </c>
      <c r="N92" s="1086">
        <v>39.810363271600004</v>
      </c>
      <c r="O92" s="1086">
        <v>32.293910599999997</v>
      </c>
      <c r="P92" s="1086">
        <v>38.105022412767497</v>
      </c>
      <c r="Q92" s="1086">
        <v>31.152238530853001</v>
      </c>
      <c r="R92" s="1086">
        <v>37.112972956199997</v>
      </c>
      <c r="S92" s="1086">
        <v>31.873278130852999</v>
      </c>
      <c r="T92" s="1086">
        <v>38.412696768372399</v>
      </c>
      <c r="U92" s="1086">
        <v>31.374017761400001</v>
      </c>
      <c r="V92" s="1086">
        <v>37.417122431860903</v>
      </c>
      <c r="W92" s="1086">
        <v>30.901141500000001</v>
      </c>
      <c r="X92" s="1086">
        <v>36.783898610774003</v>
      </c>
      <c r="Y92" s="1086">
        <v>29.317508616400001</v>
      </c>
      <c r="Z92" s="1086">
        <v>35.141299135099999</v>
      </c>
      <c r="AA92" s="1086">
        <v>31.995636542922</v>
      </c>
      <c r="AB92" s="1086">
        <v>36.376458102288801</v>
      </c>
      <c r="AC92" s="1100">
        <v>30.570289793568101</v>
      </c>
      <c r="AD92" s="1100">
        <v>34.989697846469703</v>
      </c>
      <c r="AE92" s="1100">
        <v>28.066879027999999</v>
      </c>
      <c r="AF92" s="1100">
        <v>30.292165218032501</v>
      </c>
      <c r="AG92" s="1100">
        <v>37.974304545000003</v>
      </c>
      <c r="AH92" s="1100">
        <v>43.202146020946401</v>
      </c>
      <c r="AI92" s="1013">
        <v>29.159977215000001</v>
      </c>
      <c r="AJ92" s="1013">
        <v>34.691556605338</v>
      </c>
      <c r="AK92" s="1013">
        <v>29.392783045000002</v>
      </c>
      <c r="AL92" s="1013">
        <v>35.683296527614701</v>
      </c>
      <c r="AM92" s="1013">
        <v>30.002089363593502</v>
      </c>
      <c r="AN92" s="1013">
        <v>35.400492032125698</v>
      </c>
      <c r="AO92" s="1013">
        <v>29.94829811</v>
      </c>
      <c r="AP92" s="1013">
        <v>35.8335737237459</v>
      </c>
      <c r="AQ92" s="1013">
        <v>32.79187469</v>
      </c>
      <c r="AR92" s="1013">
        <v>39.827628266420902</v>
      </c>
      <c r="AS92" s="1013">
        <v>34.072566029999997</v>
      </c>
      <c r="AT92" s="1013">
        <v>40.1915774536808</v>
      </c>
      <c r="AU92" s="1013">
        <v>30.357508450000001</v>
      </c>
      <c r="AV92" s="1013">
        <v>34.284363444792596</v>
      </c>
      <c r="AW92" s="1013">
        <v>29.070148440000001</v>
      </c>
      <c r="AX92" s="1013">
        <v>32.744307154904497</v>
      </c>
      <c r="AY92" s="1013">
        <v>34.438035342299997</v>
      </c>
      <c r="AZ92" s="1013">
        <v>37.495726941829503</v>
      </c>
      <c r="BA92" s="1113">
        <v>22.8805240127042</v>
      </c>
      <c r="BB92" s="1113">
        <v>25.289564577771301</v>
      </c>
      <c r="BC92" s="1113">
        <v>26.626710540000001</v>
      </c>
      <c r="BD92" s="1113">
        <v>28.064316117248701</v>
      </c>
      <c r="BE92" s="1113">
        <v>32.379055299999997</v>
      </c>
      <c r="BF92" s="1113">
        <v>37.359302575925497</v>
      </c>
      <c r="BG92" s="1113">
        <v>35.008682069328501</v>
      </c>
      <c r="BH92" s="1113">
        <v>38.392672776267602</v>
      </c>
      <c r="BI92" s="1113">
        <v>34.902870465063501</v>
      </c>
      <c r="BJ92" s="1113">
        <v>35.423298133943703</v>
      </c>
      <c r="BK92" s="1113">
        <v>31.748664600000001</v>
      </c>
      <c r="BL92" s="1113">
        <v>32.848385963728497</v>
      </c>
      <c r="BM92" s="1113">
        <v>30.2230565607986</v>
      </c>
      <c r="BN92" s="1113">
        <v>33.557317329799602</v>
      </c>
      <c r="BO92" s="1113">
        <v>27.9042797</v>
      </c>
      <c r="BP92" s="1113">
        <v>32.279741620566803</v>
      </c>
      <c r="BQ92" s="1113">
        <v>30.145705399999994</v>
      </c>
      <c r="BR92" s="1113">
        <v>32.65142058149813</v>
      </c>
      <c r="BS92" s="1113">
        <v>32.736478900000002</v>
      </c>
      <c r="BT92" s="1113">
        <v>36.883014958422059</v>
      </c>
      <c r="BU92" s="1113">
        <v>34.820563900000003</v>
      </c>
      <c r="BV92" s="1113">
        <v>38.221767458802766</v>
      </c>
      <c r="BW92" s="1013">
        <v>38.535433699999999</v>
      </c>
      <c r="BX92" s="1013">
        <v>41.363340461829985</v>
      </c>
      <c r="BY92" s="1013">
        <v>35.457076100000009</v>
      </c>
      <c r="BZ92" s="1013">
        <v>39.571176853060329</v>
      </c>
      <c r="CA92" s="1013">
        <v>30.441561099999998</v>
      </c>
      <c r="CB92" s="1013">
        <v>37.728619786037761</v>
      </c>
      <c r="CC92" s="1013">
        <v>33.15697422196007</v>
      </c>
      <c r="CD92" s="1013">
        <v>43.523294976965921</v>
      </c>
      <c r="CE92" s="1013">
        <v>32.430348200000005</v>
      </c>
      <c r="CF92" s="1013">
        <v>42.519215685228403</v>
      </c>
      <c r="CG92" s="1013">
        <v>37.287118898275864</v>
      </c>
      <c r="CH92" s="1013">
        <v>50.126958738416036</v>
      </c>
      <c r="CI92" s="1013">
        <v>33.886345998275871</v>
      </c>
      <c r="CJ92" s="1013">
        <f>CJ79/10000-CJ91</f>
        <v>46.983311673998301</v>
      </c>
      <c r="CK92" s="1013">
        <v>37.785883200000001</v>
      </c>
      <c r="CL92" s="1013">
        <v>56.875259458317984</v>
      </c>
      <c r="CM92" s="2583">
        <v>34.94</v>
      </c>
      <c r="CN92" s="2583">
        <v>52.09</v>
      </c>
    </row>
    <row r="93" spans="1:100" s="1013" customFormat="1">
      <c r="B93" s="1085" t="s">
        <v>559</v>
      </c>
      <c r="E93" s="1086">
        <v>12.0682615</v>
      </c>
      <c r="F93" s="1086">
        <v>9.0671145936999995</v>
      </c>
      <c r="G93" s="1086">
        <v>9.1157074999999992</v>
      </c>
      <c r="H93" s="1086">
        <v>7.0289109295000003</v>
      </c>
      <c r="I93" s="1086">
        <v>15.963989700000001</v>
      </c>
      <c r="J93" s="1086">
        <v>13.0997272242</v>
      </c>
      <c r="K93" s="1086">
        <v>12.4193967</v>
      </c>
      <c r="L93" s="1086">
        <v>9.9624496417999993</v>
      </c>
      <c r="M93" s="1086">
        <v>12.671845100000001</v>
      </c>
      <c r="N93" s="1086">
        <v>9.5581314279999994</v>
      </c>
      <c r="O93" s="1086">
        <v>13.584283900000001</v>
      </c>
      <c r="P93" s="1086">
        <v>9.9927147123999998</v>
      </c>
      <c r="Q93" s="1086">
        <v>13.2590553</v>
      </c>
      <c r="R93" s="1086">
        <v>9.6658787089999993</v>
      </c>
      <c r="S93" s="1086">
        <v>14.5381468</v>
      </c>
      <c r="T93" s="1086">
        <v>10.7105683428</v>
      </c>
      <c r="U93" s="1086">
        <v>14.3574032</v>
      </c>
      <c r="V93" s="1086">
        <v>10.642038254799999</v>
      </c>
      <c r="W93" s="1086">
        <v>15.3981029</v>
      </c>
      <c r="X93" s="1086">
        <v>11.7225898652</v>
      </c>
      <c r="Y93" s="1086">
        <v>13.9021022</v>
      </c>
      <c r="Z93" s="1086">
        <v>10.2091702987</v>
      </c>
      <c r="AA93" s="1086">
        <v>13.4608094</v>
      </c>
      <c r="AB93" s="1086">
        <v>9.9040510364000003</v>
      </c>
      <c r="AC93" s="1100">
        <v>11.7491795</v>
      </c>
      <c r="AD93" s="1100">
        <v>8.1328911465000004</v>
      </c>
      <c r="AE93" s="1100">
        <v>13.134061900000001</v>
      </c>
      <c r="AF93" s="1100">
        <v>8.6441461637000003</v>
      </c>
      <c r="AG93" s="1100">
        <v>17.061460400000001</v>
      </c>
      <c r="AH93" s="1100">
        <v>11.872520701599999</v>
      </c>
      <c r="AI93" s="1013">
        <v>11.028962</v>
      </c>
      <c r="AJ93" s="1013">
        <v>7.8707089424000003</v>
      </c>
      <c r="AK93" s="1013">
        <v>11.5050787</v>
      </c>
      <c r="AL93" s="1013">
        <v>8.422865475</v>
      </c>
      <c r="AM93" s="1013">
        <v>12.811556100000001</v>
      </c>
      <c r="AN93" s="1013">
        <v>9.2316652617999999</v>
      </c>
      <c r="AO93" s="1013">
        <v>12.3980345</v>
      </c>
      <c r="AP93" s="1013">
        <v>9.1151502788999998</v>
      </c>
      <c r="AQ93" s="1013">
        <v>12.3628427</v>
      </c>
      <c r="AR93" s="1013">
        <v>8.7889704662000003</v>
      </c>
      <c r="AS93" s="1013">
        <v>14.931665199999999</v>
      </c>
      <c r="AT93" s="1013">
        <v>10.4015853554</v>
      </c>
      <c r="AU93" s="1013">
        <v>16.4411326</v>
      </c>
      <c r="AV93" s="1013">
        <v>11.420234112099999</v>
      </c>
      <c r="AW93" s="1013">
        <v>15.0249918</v>
      </c>
      <c r="AX93" s="1013">
        <v>10.437379269499999</v>
      </c>
      <c r="AY93" s="1013">
        <v>18.4412521</v>
      </c>
      <c r="AZ93" s="1013">
        <v>12.4209584651</v>
      </c>
      <c r="BA93" s="1113">
        <v>11.6861202</v>
      </c>
      <c r="BB93" s="1113">
        <v>7.9633330319000004</v>
      </c>
      <c r="BC93" s="1113">
        <v>14.235922499999999</v>
      </c>
      <c r="BD93" s="1113">
        <v>9.6119579738999992</v>
      </c>
      <c r="BE93" s="1113">
        <v>12.6359177</v>
      </c>
      <c r="BF93" s="1113">
        <v>8.6178186668999999</v>
      </c>
      <c r="BG93" s="1113">
        <v>12.8711868</v>
      </c>
      <c r="BH93" s="1113">
        <v>8.1730556871999998</v>
      </c>
      <c r="BI93" s="1113">
        <v>16.4605061</v>
      </c>
      <c r="BJ93" s="1113">
        <v>10.3677015757</v>
      </c>
      <c r="BK93" s="1113">
        <v>14.6100621</v>
      </c>
      <c r="BL93" s="1113">
        <v>9.2452397835000006</v>
      </c>
      <c r="BM93" s="1113">
        <v>12.874038100000002</v>
      </c>
      <c r="BN93" s="1113">
        <v>8.5922555881000022</v>
      </c>
      <c r="BO93" s="1113">
        <v>11.396274100000001</v>
      </c>
      <c r="BP93" s="1113">
        <v>7.6945596028000001</v>
      </c>
      <c r="BQ93" s="1113">
        <v>15.272334300000001</v>
      </c>
      <c r="BR93" s="1113">
        <v>10.429563621</v>
      </c>
      <c r="BS93" s="1113">
        <v>15.102857700000001</v>
      </c>
      <c r="BT93" s="1113">
        <v>10.423766938100002</v>
      </c>
      <c r="BU93" s="1113">
        <v>16.7260621</v>
      </c>
      <c r="BV93" s="1113">
        <v>11.531506900400002</v>
      </c>
      <c r="BW93" s="1013">
        <v>19.8271877</v>
      </c>
      <c r="BX93" s="1013">
        <v>13.95805114</v>
      </c>
      <c r="BY93" s="1013">
        <v>18.404179200000002</v>
      </c>
      <c r="BZ93" s="1013">
        <v>13.562787889999999</v>
      </c>
      <c r="CA93" s="1013">
        <v>14.0730948</v>
      </c>
      <c r="CB93" s="1013">
        <v>11.7972403</v>
      </c>
      <c r="CC93" s="1013">
        <v>14.7448795</v>
      </c>
      <c r="CD93" s="1013">
        <v>12.955952187299999</v>
      </c>
      <c r="CE93" s="1013">
        <v>14.676609499999998</v>
      </c>
      <c r="CF93" s="1013">
        <v>12.808662255400002</v>
      </c>
      <c r="CG93" s="1013">
        <v>15.9458286</v>
      </c>
      <c r="CH93" s="1013">
        <v>13.379233879999999</v>
      </c>
      <c r="CI93" s="1013">
        <v>13.5008645</v>
      </c>
      <c r="CJ93" s="1013">
        <v>11.531743949999999</v>
      </c>
      <c r="CK93" s="1013">
        <v>17.4553078</v>
      </c>
      <c r="CL93" s="1013">
        <v>15.73477574</v>
      </c>
      <c r="CM93" s="2583">
        <v>14.86</v>
      </c>
      <c r="CN93" s="2583">
        <v>13.74</v>
      </c>
    </row>
    <row r="94" spans="1:100" s="1014" customFormat="1">
      <c r="B94" s="1087" t="s">
        <v>560</v>
      </c>
      <c r="E94" s="1088">
        <v>36.297012086167904</v>
      </c>
      <c r="F94" s="1088"/>
      <c r="G94" s="1088">
        <v>35.731233844581801</v>
      </c>
      <c r="H94" s="1088"/>
      <c r="I94" s="1088">
        <v>41.308721003233501</v>
      </c>
      <c r="J94" s="1088"/>
      <c r="K94" s="1088">
        <v>38.708180744942403</v>
      </c>
      <c r="L94" s="1088"/>
      <c r="M94" s="1088">
        <v>38.286790626259098</v>
      </c>
      <c r="N94" s="1088"/>
      <c r="O94" s="1088">
        <v>42.064536773691302</v>
      </c>
      <c r="P94" s="1088"/>
      <c r="Q94" s="1088">
        <v>42.562126913827697</v>
      </c>
      <c r="R94" s="1088"/>
      <c r="S94" s="1088">
        <v>45.612336265867903</v>
      </c>
      <c r="T94" s="1088"/>
      <c r="U94" s="1088">
        <v>45.762080295830501</v>
      </c>
      <c r="V94" s="1088"/>
      <c r="W94" s="1088">
        <v>49.8302074051212</v>
      </c>
      <c r="X94" s="1088"/>
      <c r="Y94" s="1088">
        <v>47.419111841663302</v>
      </c>
      <c r="Z94" s="1088"/>
      <c r="AA94" s="1088">
        <v>42.070766061935998</v>
      </c>
      <c r="AB94" s="1088"/>
      <c r="AC94" s="1101">
        <v>38.433327192311999</v>
      </c>
      <c r="AD94" s="1101"/>
      <c r="AE94" s="1101">
        <v>46.795590941540901</v>
      </c>
      <c r="AF94" s="1101"/>
      <c r="AG94" s="1101">
        <v>44.928960791847999</v>
      </c>
      <c r="AH94" s="1101"/>
      <c r="AI94" s="1014">
        <v>37.822258634436302</v>
      </c>
      <c r="AK94" s="1014">
        <v>39.142529247352499</v>
      </c>
      <c r="AM94" s="1014">
        <v>42.7022129850276</v>
      </c>
      <c r="AO94" s="1014">
        <v>41.398127047026399</v>
      </c>
      <c r="AQ94" s="1014">
        <v>37.700932980724303</v>
      </c>
      <c r="AS94" s="1014">
        <v>43.823130863854097</v>
      </c>
      <c r="AU94" s="1014">
        <v>54.158372802824701</v>
      </c>
      <c r="AW94" s="1014">
        <v>51.685294387165499</v>
      </c>
      <c r="AY94" s="1014">
        <v>53.549082915739803</v>
      </c>
      <c r="BA94" s="1114">
        <v>51.074530432569603</v>
      </c>
      <c r="BB94" s="1114"/>
      <c r="BC94" s="1114">
        <v>53.464818639967099</v>
      </c>
      <c r="BD94" s="1114"/>
      <c r="BE94" s="1114">
        <v>39.024973344419998</v>
      </c>
      <c r="BF94" s="1114"/>
      <c r="BG94" s="1014">
        <v>36.765699361406703</v>
      </c>
      <c r="BI94" s="1114">
        <v>47.160895022878897</v>
      </c>
      <c r="BJ94" s="1114"/>
      <c r="BK94" s="1114">
        <v>46.017879126796402</v>
      </c>
      <c r="BL94" s="1114"/>
      <c r="BM94" s="1114">
        <v>42.425287315069518</v>
      </c>
      <c r="BN94" s="1114"/>
      <c r="BO94" s="1114">
        <v>40.561484651020336</v>
      </c>
      <c r="BP94" s="1114"/>
      <c r="BQ94" s="1114">
        <v>50.661724770918795</v>
      </c>
      <c r="BR94" s="1114"/>
      <c r="BS94" s="1114">
        <v>46.134643087714608</v>
      </c>
      <c r="BT94" s="1114"/>
      <c r="BU94" s="1114">
        <v>48.035012149817589</v>
      </c>
      <c r="BV94" s="1114"/>
      <c r="BW94" s="1014">
        <v>51.451834834286558</v>
      </c>
      <c r="BY94" s="1014">
        <v>51.905518515103942</v>
      </c>
      <c r="CA94" s="1014">
        <v>46.229872225573878</v>
      </c>
      <c r="CC94" s="1014">
        <v>44.469918760664157</v>
      </c>
      <c r="CE94" s="1014">
        <v>45.255787602058483</v>
      </c>
      <c r="CG94" s="1014">
        <v>42.76497908970201</v>
      </c>
      <c r="CI94" s="1014">
        <v>39.841606116773171</v>
      </c>
      <c r="CK94" s="1014">
        <v>46.195315079997918</v>
      </c>
      <c r="CM94" s="1014">
        <v>42.52</v>
      </c>
      <c r="CN94" s="2584"/>
    </row>
    <row r="95" spans="1:100">
      <c r="AC95" s="1017"/>
      <c r="AD95" s="1017"/>
      <c r="AE95" s="1017"/>
      <c r="AF95" s="1017"/>
      <c r="AG95" s="1017"/>
      <c r="AH95" s="1017"/>
      <c r="CM95" s="2563"/>
      <c r="CN95" s="2563"/>
    </row>
    <row r="96" spans="1:100">
      <c r="E96" s="1089">
        <f t="shared" ref="E96:AB96" si="29">E92-E93</f>
        <v>21.180374700000002</v>
      </c>
      <c r="F96" s="1089">
        <f t="shared" si="29"/>
        <v>30.336096873598706</v>
      </c>
      <c r="G96" s="1089">
        <f t="shared" si="29"/>
        <v>16.396166900000001</v>
      </c>
      <c r="H96" s="1089">
        <f t="shared" si="29"/>
        <v>22.9092924054221</v>
      </c>
      <c r="I96" s="1089">
        <f t="shared" si="29"/>
        <v>22.681577900000001</v>
      </c>
      <c r="J96" s="1089">
        <f t="shared" si="29"/>
        <v>31.950488938932999</v>
      </c>
      <c r="K96" s="1089">
        <f t="shared" si="29"/>
        <v>19.665285300000001</v>
      </c>
      <c r="L96" s="1089">
        <f t="shared" si="29"/>
        <v>28.204539116856502</v>
      </c>
      <c r="M96" s="1089">
        <f t="shared" si="29"/>
        <v>20.425327299999999</v>
      </c>
      <c r="N96" s="1089">
        <f t="shared" si="29"/>
        <v>30.252231843600004</v>
      </c>
      <c r="O96" s="1089">
        <f t="shared" si="29"/>
        <v>18.709626699999994</v>
      </c>
      <c r="P96" s="1089">
        <f t="shared" si="29"/>
        <v>28.112307700367495</v>
      </c>
      <c r="Q96" s="1089">
        <f t="shared" si="29"/>
        <v>17.893183230853001</v>
      </c>
      <c r="R96" s="1089">
        <f t="shared" si="29"/>
        <v>27.447094247199999</v>
      </c>
      <c r="S96" s="1089">
        <f t="shared" si="29"/>
        <v>17.335131330852999</v>
      </c>
      <c r="T96" s="1089">
        <f t="shared" si="29"/>
        <v>27.702128425572397</v>
      </c>
      <c r="U96" s="1089">
        <f t="shared" si="29"/>
        <v>17.016614561400001</v>
      </c>
      <c r="V96" s="1089">
        <f t="shared" si="29"/>
        <v>26.775084177060904</v>
      </c>
      <c r="W96" s="1089">
        <f t="shared" si="29"/>
        <v>15.503038600000002</v>
      </c>
      <c r="X96" s="1089">
        <f t="shared" si="29"/>
        <v>25.061308745574003</v>
      </c>
      <c r="Y96" s="1089">
        <f t="shared" si="29"/>
        <v>15.415406416400002</v>
      </c>
      <c r="Z96" s="1089">
        <f t="shared" si="29"/>
        <v>24.932128836399997</v>
      </c>
      <c r="AA96" s="1089">
        <f t="shared" si="29"/>
        <v>18.534827142921998</v>
      </c>
      <c r="AB96" s="1089">
        <f t="shared" si="29"/>
        <v>26.472407065888802</v>
      </c>
      <c r="AC96" s="1089">
        <f t="shared" ref="AC96:AH96" si="30">AC92-AC93</f>
        <v>18.821110293568101</v>
      </c>
      <c r="AD96" s="1089">
        <f t="shared" si="30"/>
        <v>26.856806699969702</v>
      </c>
      <c r="AE96" s="1089">
        <f t="shared" si="30"/>
        <v>14.932817127999998</v>
      </c>
      <c r="AF96" s="1089">
        <f t="shared" si="30"/>
        <v>21.648019054332501</v>
      </c>
      <c r="AG96" s="1089">
        <f t="shared" si="30"/>
        <v>20.912844145000001</v>
      </c>
      <c r="AH96" s="1089">
        <f t="shared" si="30"/>
        <v>31.329625319346402</v>
      </c>
    </row>
    <row r="97" spans="1:101">
      <c r="AC97" s="1017"/>
      <c r="AD97" s="1017"/>
      <c r="AE97" s="1017"/>
      <c r="AF97" s="1017"/>
      <c r="AG97" s="1017"/>
      <c r="AH97" s="1017"/>
    </row>
    <row r="98" spans="1:101">
      <c r="A98" s="1015" t="s">
        <v>1331</v>
      </c>
      <c r="B98" s="1016" t="s">
        <v>1233</v>
      </c>
      <c r="AC98" s="1017"/>
      <c r="AD98" s="1017"/>
      <c r="AE98" s="1017"/>
      <c r="AF98" s="1017"/>
      <c r="AG98" s="1017"/>
      <c r="AH98" s="1017"/>
      <c r="BA98" s="2026">
        <v>63500</v>
      </c>
      <c r="BB98" s="2026"/>
      <c r="BC98" s="1065">
        <v>49600</v>
      </c>
      <c r="BD98" s="1065"/>
      <c r="BE98" s="1065">
        <v>113700</v>
      </c>
      <c r="BF98" s="1065"/>
      <c r="BG98" s="1015">
        <v>174100</v>
      </c>
      <c r="BH98" s="1015">
        <v>0</v>
      </c>
      <c r="BI98" s="1015">
        <v>191300</v>
      </c>
      <c r="BJ98" s="1015">
        <v>0</v>
      </c>
      <c r="BK98" s="1015">
        <v>156100</v>
      </c>
      <c r="BL98" s="1015">
        <v>0</v>
      </c>
      <c r="BM98" s="1015">
        <v>168299.99999999997</v>
      </c>
      <c r="BN98" s="1015">
        <v>0</v>
      </c>
      <c r="BO98" s="1015">
        <v>157300</v>
      </c>
      <c r="BP98" s="1015">
        <v>0</v>
      </c>
      <c r="BQ98" s="1015">
        <v>197100</v>
      </c>
      <c r="BR98" s="1015">
        <v>0</v>
      </c>
      <c r="BS98" s="1015">
        <v>159100</v>
      </c>
      <c r="BT98" s="1015">
        <v>0</v>
      </c>
      <c r="BU98" s="1015">
        <v>163400</v>
      </c>
      <c r="BV98" s="1065"/>
      <c r="BW98" s="1065">
        <v>207100</v>
      </c>
      <c r="BX98" s="1065">
        <v>131930</v>
      </c>
      <c r="BY98" s="1065">
        <v>154500</v>
      </c>
      <c r="BZ98" s="1065">
        <v>99809</v>
      </c>
      <c r="CA98" s="1065">
        <v>93546</v>
      </c>
      <c r="CB98" s="1015">
        <v>68800</v>
      </c>
      <c r="CC98" s="1065">
        <v>172447.00000000003</v>
      </c>
      <c r="CD98" s="1065">
        <v>127279</v>
      </c>
      <c r="CE98" s="1015">
        <v>175200</v>
      </c>
      <c r="CF98" s="1015">
        <v>130327</v>
      </c>
      <c r="CG98" s="1015">
        <v>168100</v>
      </c>
      <c r="CH98" s="1015">
        <v>119900</v>
      </c>
      <c r="CI98" s="1015">
        <v>186500</v>
      </c>
      <c r="CJ98" s="1015">
        <v>119437</v>
      </c>
      <c r="CK98" s="1015">
        <v>173800</v>
      </c>
      <c r="CL98" s="1015">
        <v>114571</v>
      </c>
      <c r="CM98" s="2563">
        <v>140700</v>
      </c>
      <c r="CN98" s="1107">
        <v>129573.54</v>
      </c>
    </row>
    <row r="99" spans="1:101">
      <c r="A99" s="1015" t="s">
        <v>1331</v>
      </c>
      <c r="B99" s="1016" t="s">
        <v>1234</v>
      </c>
      <c r="AC99" s="1017"/>
      <c r="AD99" s="1017"/>
      <c r="AE99" s="1017"/>
      <c r="AF99" s="1017"/>
      <c r="AG99" s="1089">
        <f>AG96+AE96+AC96</f>
        <v>54.666771566568102</v>
      </c>
      <c r="AH99" s="1089">
        <f>AH96+AF96+AD96</f>
        <v>79.834451073648609</v>
      </c>
      <c r="BA99" s="2026">
        <v>53183.391000000003</v>
      </c>
      <c r="BB99" s="2026"/>
      <c r="BC99" s="1015">
        <v>48884</v>
      </c>
      <c r="BE99" s="1015">
        <v>52023</v>
      </c>
      <c r="BG99" s="1015">
        <v>46777.837</v>
      </c>
      <c r="BH99" s="1015">
        <v>0</v>
      </c>
      <c r="BI99" s="1015">
        <v>46533.816999999995</v>
      </c>
      <c r="BJ99" s="1015">
        <v>0</v>
      </c>
      <c r="BK99" s="1015">
        <v>58239.838000000105</v>
      </c>
      <c r="BL99" s="1015">
        <v>0</v>
      </c>
      <c r="BM99" s="1015">
        <v>60425.579000000005</v>
      </c>
      <c r="BN99" s="1015">
        <v>0</v>
      </c>
      <c r="BO99" s="1015">
        <v>62604.54</v>
      </c>
      <c r="BP99" s="1015">
        <v>0</v>
      </c>
      <c r="BQ99" s="1015">
        <v>63781.734000000106</v>
      </c>
      <c r="BR99" s="1015">
        <v>0</v>
      </c>
      <c r="BS99" s="1015">
        <v>63042.813999999904</v>
      </c>
      <c r="BT99" s="1015">
        <v>0</v>
      </c>
      <c r="BU99" s="1015">
        <v>61191.354999999996</v>
      </c>
      <c r="BW99" s="1015">
        <v>63300</v>
      </c>
      <c r="BX99" s="1065">
        <v>73023</v>
      </c>
      <c r="BY99" s="1015">
        <v>48000</v>
      </c>
      <c r="BZ99" s="1015">
        <v>53792</v>
      </c>
      <c r="CA99" s="1015">
        <v>53860</v>
      </c>
      <c r="CB99" s="1015">
        <v>60600</v>
      </c>
      <c r="CC99" s="1065">
        <v>62380.000000000007</v>
      </c>
      <c r="CD99" s="1065">
        <v>75211</v>
      </c>
      <c r="CE99" s="1015">
        <v>60800</v>
      </c>
      <c r="CF99" s="1015">
        <v>77823</v>
      </c>
      <c r="CG99" s="1015">
        <v>66400</v>
      </c>
      <c r="CH99" s="1015">
        <v>85300</v>
      </c>
      <c r="CI99" s="1015">
        <v>61719</v>
      </c>
      <c r="CJ99" s="1065">
        <f>8.33382*10000</f>
        <v>83338.2</v>
      </c>
      <c r="CK99" s="1015">
        <v>59000</v>
      </c>
      <c r="CL99" s="1015">
        <v>78900</v>
      </c>
      <c r="CM99" s="2563">
        <v>59500</v>
      </c>
      <c r="CN99" s="1107">
        <v>77842</v>
      </c>
    </row>
    <row r="100" spans="1:101">
      <c r="AC100" s="1017"/>
      <c r="AD100" s="1017"/>
      <c r="AE100" s="1017"/>
      <c r="AF100" s="1017"/>
      <c r="AG100" s="1017"/>
      <c r="AH100" s="1023">
        <f>AH99/AG99*10000</f>
        <v>14603.834977968956</v>
      </c>
      <c r="CC100" s="1065"/>
      <c r="CD100" s="1065"/>
    </row>
    <row r="101" spans="1:101">
      <c r="A101" s="1015" t="s">
        <v>1230</v>
      </c>
      <c r="B101" s="1016" t="s">
        <v>1233</v>
      </c>
      <c r="AC101" s="1017"/>
      <c r="AD101" s="1017"/>
      <c r="AE101" s="1017"/>
      <c r="AF101" s="1017"/>
      <c r="AG101" s="1017"/>
      <c r="AH101" s="1023"/>
      <c r="BA101" s="1015">
        <v>63500</v>
      </c>
      <c r="BC101" s="1015">
        <v>49600</v>
      </c>
      <c r="BE101" s="1015">
        <v>113700</v>
      </c>
      <c r="BG101" s="1015">
        <v>174100</v>
      </c>
      <c r="BH101" s="1015">
        <v>0</v>
      </c>
      <c r="BI101" s="1015">
        <v>191300</v>
      </c>
      <c r="BJ101" s="1015">
        <v>0</v>
      </c>
      <c r="BK101" s="1015">
        <v>156100</v>
      </c>
      <c r="BL101" s="1015">
        <v>0</v>
      </c>
      <c r="BM101" s="1015">
        <v>168299.99999999997</v>
      </c>
      <c r="BN101" s="1015">
        <v>0</v>
      </c>
      <c r="BO101" s="1015">
        <v>157300</v>
      </c>
      <c r="BP101" s="1015">
        <v>0</v>
      </c>
      <c r="BQ101" s="1015">
        <v>197100</v>
      </c>
      <c r="BR101" s="1015">
        <v>0</v>
      </c>
      <c r="BS101" s="1015">
        <v>159100</v>
      </c>
      <c r="BT101" s="1015">
        <v>0</v>
      </c>
      <c r="BU101" s="1015">
        <v>158500</v>
      </c>
      <c r="BW101" s="1065">
        <v>207100</v>
      </c>
      <c r="BX101" s="1065">
        <v>131930</v>
      </c>
      <c r="BY101" s="1065">
        <v>151600</v>
      </c>
      <c r="BZ101" s="1015">
        <v>99809</v>
      </c>
      <c r="CA101" s="1015">
        <v>93546</v>
      </c>
      <c r="CB101" s="1015">
        <v>68800</v>
      </c>
      <c r="CC101" s="1065">
        <v>172447.00000000003</v>
      </c>
      <c r="CD101" s="1065">
        <v>127279</v>
      </c>
      <c r="CE101" s="1015">
        <v>175200</v>
      </c>
      <c r="CF101" s="1015">
        <v>130342</v>
      </c>
      <c r="CG101" s="1015">
        <v>136000</v>
      </c>
      <c r="CH101" s="1065">
        <f>CG101/CG98*CH98</f>
        <v>97004.164187983333</v>
      </c>
      <c r="CI101" s="1015">
        <v>95900</v>
      </c>
      <c r="CJ101" s="1065">
        <f>CH101/CG101*CI101</f>
        <v>68402.201070791198</v>
      </c>
      <c r="CK101" s="1015">
        <v>88000</v>
      </c>
      <c r="CL101" s="2563">
        <v>72993</v>
      </c>
      <c r="CM101" s="2585">
        <v>137400</v>
      </c>
      <c r="CN101" s="2586">
        <v>127979.01</v>
      </c>
    </row>
    <row r="102" spans="1:101">
      <c r="A102" s="1015" t="s">
        <v>1230</v>
      </c>
      <c r="B102" s="1016" t="s">
        <v>1234</v>
      </c>
      <c r="AC102" s="1017"/>
      <c r="AD102" s="1017"/>
      <c r="AE102" s="1017"/>
      <c r="AF102" s="1017"/>
      <c r="AG102" s="1017"/>
      <c r="AH102" s="1023"/>
      <c r="BA102" s="2026">
        <v>53183.391000000003</v>
      </c>
      <c r="BC102" s="1015">
        <v>48884</v>
      </c>
      <c r="BE102" s="1015">
        <v>52023</v>
      </c>
      <c r="BG102" s="1015">
        <v>46777.837</v>
      </c>
      <c r="BH102" s="1015">
        <v>0</v>
      </c>
      <c r="BI102" s="1015">
        <v>46533.816999999995</v>
      </c>
      <c r="BJ102" s="1015">
        <v>0</v>
      </c>
      <c r="BK102" s="1015">
        <v>58239.838000000105</v>
      </c>
      <c r="BL102" s="1015">
        <v>0</v>
      </c>
      <c r="BM102" s="1015">
        <v>60425.579000000005</v>
      </c>
      <c r="BN102" s="1015">
        <v>0</v>
      </c>
      <c r="BO102" s="1015">
        <v>62604.54</v>
      </c>
      <c r="BP102" s="1015">
        <v>0</v>
      </c>
      <c r="BQ102" s="1015">
        <v>63781.734000000106</v>
      </c>
      <c r="BR102" s="1015">
        <v>0</v>
      </c>
      <c r="BS102" s="1015">
        <v>63042.813999999904</v>
      </c>
      <c r="BT102" s="1015">
        <v>0</v>
      </c>
      <c r="BU102" s="1015">
        <v>61191.354999999996</v>
      </c>
      <c r="BW102" s="1015">
        <v>63300</v>
      </c>
      <c r="BX102" s="1065">
        <v>73023</v>
      </c>
      <c r="BY102" s="1015">
        <v>48000</v>
      </c>
      <c r="BZ102" s="1015">
        <v>53800</v>
      </c>
      <c r="CA102" s="1015">
        <v>53860</v>
      </c>
      <c r="CB102" s="1015">
        <v>60600</v>
      </c>
      <c r="CC102" s="1065">
        <v>62380.000000000007</v>
      </c>
      <c r="CD102" s="1065">
        <v>75211</v>
      </c>
      <c r="CE102" s="1015">
        <v>60800</v>
      </c>
      <c r="CF102" s="1015">
        <v>74305</v>
      </c>
      <c r="CG102" s="1015">
        <v>66400</v>
      </c>
      <c r="CH102" s="1015">
        <v>85300</v>
      </c>
      <c r="CI102" s="1015">
        <v>61719</v>
      </c>
      <c r="CJ102" s="1065">
        <v>83338.2</v>
      </c>
      <c r="CK102" s="1015">
        <v>59000</v>
      </c>
      <c r="CL102" s="1015">
        <v>78900</v>
      </c>
      <c r="CM102" s="1015">
        <v>59500</v>
      </c>
      <c r="CN102" s="1015">
        <v>77842</v>
      </c>
    </row>
    <row r="103" spans="1:101">
      <c r="A103" s="1015" t="s">
        <v>1489</v>
      </c>
      <c r="AC103" s="1017"/>
      <c r="AD103" s="1017"/>
      <c r="AE103" s="1017"/>
      <c r="AF103" s="1017"/>
      <c r="AG103" s="1017"/>
      <c r="AH103" s="1023"/>
      <c r="BY103" s="1065">
        <v>13976.05</v>
      </c>
      <c r="BZ103" s="1015">
        <f>'收入（关联）'!AN10</f>
        <v>15536</v>
      </c>
      <c r="CA103" s="1015">
        <v>15085.12</v>
      </c>
      <c r="CB103" s="1015">
        <f>'收入（关联）'!AO10</f>
        <v>13063</v>
      </c>
      <c r="CC103" s="1015">
        <v>9769.0169999999998</v>
      </c>
      <c r="CD103" s="1015">
        <f>'收入（关联）'!AP10</f>
        <v>2683</v>
      </c>
      <c r="CE103" s="1015">
        <v>22429</v>
      </c>
      <c r="CF103" s="1015">
        <f>'收入（关联）'!AQ10</f>
        <v>14266</v>
      </c>
      <c r="CG103" s="1065">
        <v>24934.240000000002</v>
      </c>
      <c r="CH103" s="1015">
        <f>'收入（关联）'!AR10</f>
        <v>26700</v>
      </c>
      <c r="CI103" s="1015">
        <f>-'#产量数据'!AR199</f>
        <v>22561.45</v>
      </c>
      <c r="CJ103" s="1015">
        <f>'收入（关联）'!AS10</f>
        <v>34147</v>
      </c>
      <c r="CK103" s="1015">
        <f>-'#产量数据'!AS199</f>
        <v>22115.120000000003</v>
      </c>
      <c r="CL103" s="1015">
        <f>'收入（关联）'!AT10</f>
        <v>34971</v>
      </c>
      <c r="CM103" s="1015">
        <f>-'#产量数据'!AT199</f>
        <v>20739.66</v>
      </c>
      <c r="CN103" s="1015">
        <f>'收入（关联）'!AU10</f>
        <v>20195</v>
      </c>
      <c r="CO103" s="1015">
        <f>-'#产量数据'!AU199</f>
        <v>0</v>
      </c>
      <c r="CP103" s="1015">
        <f>'收入（关联）'!AV10</f>
        <v>0</v>
      </c>
      <c r="CQ103" s="1015">
        <f>-'#产量数据'!AV199</f>
        <v>0</v>
      </c>
      <c r="CR103" s="1015">
        <f>'收入（关联）'!AW10</f>
        <v>0</v>
      </c>
      <c r="CS103" s="1015">
        <f>-'#产量数据'!AW199</f>
        <v>0</v>
      </c>
      <c r="CT103" s="1015">
        <f>'收入（关联）'!AX10</f>
        <v>0</v>
      </c>
      <c r="CU103" s="1015">
        <f>-'#产量数据'!AX199</f>
        <v>0</v>
      </c>
      <c r="CV103" s="1015">
        <f>'收入（关联）'!AY10</f>
        <v>0</v>
      </c>
    </row>
    <row r="104" spans="1:101">
      <c r="B104" s="1030" t="s">
        <v>1329</v>
      </c>
      <c r="AC104" s="1017"/>
      <c r="AD104" s="1017"/>
      <c r="AE104" s="1017"/>
      <c r="AF104" s="1017"/>
      <c r="AG104" s="1017"/>
      <c r="AH104" s="1017"/>
      <c r="BA104" s="1065">
        <f t="shared" ref="BA104:CH104" si="31">BA83+BA101+BA102</f>
        <v>346207.55800000008</v>
      </c>
      <c r="BB104" s="1065">
        <f t="shared" si="31"/>
        <v>253464.26376971259</v>
      </c>
      <c r="BC104" s="1065">
        <f t="shared" si="31"/>
        <v>364016.82240000018</v>
      </c>
      <c r="BD104" s="1065">
        <f t="shared" si="31"/>
        <v>279928.58652447397</v>
      </c>
      <c r="BE104" s="1065">
        <f t="shared" si="31"/>
        <v>489620.46799999988</v>
      </c>
      <c r="BF104" s="1065">
        <f t="shared" si="31"/>
        <v>373163.30822825455</v>
      </c>
      <c r="BG104" s="1065">
        <f t="shared" si="31"/>
        <v>571022.11469328473</v>
      </c>
      <c r="BH104" s="1065">
        <f t="shared" si="31"/>
        <v>382739.70350567542</v>
      </c>
      <c r="BI104" s="1065">
        <f t="shared" si="31"/>
        <v>586563.94565063517</v>
      </c>
      <c r="BJ104" s="1065">
        <f t="shared" si="31"/>
        <v>353887.99679443671</v>
      </c>
      <c r="BK104" s="1065">
        <f t="shared" si="31"/>
        <v>533042.89909437392</v>
      </c>
      <c r="BL104" s="1065">
        <f t="shared" si="31"/>
        <v>328930.63675109006</v>
      </c>
      <c r="BM104" s="1065">
        <f t="shared" si="31"/>
        <v>530956.14460798551</v>
      </c>
      <c r="BN104" s="1065">
        <f t="shared" si="31"/>
        <v>333921.87513244612</v>
      </c>
      <c r="BO104" s="1065">
        <f t="shared" si="31"/>
        <v>498823.21307622507</v>
      </c>
      <c r="BP104" s="1065">
        <f t="shared" si="31"/>
        <v>321952.71778066771</v>
      </c>
      <c r="BQ104" s="1065">
        <f t="shared" si="31"/>
        <v>563570.23277313972</v>
      </c>
      <c r="BR104" s="1065">
        <f t="shared" si="31"/>
        <v>326213.45314198121</v>
      </c>
      <c r="BS104" s="1065">
        <f t="shared" si="31"/>
        <v>550293.05983166979</v>
      </c>
      <c r="BT104" s="1065">
        <f t="shared" si="31"/>
        <v>367423.13442299236</v>
      </c>
      <c r="BU104" s="1065">
        <f t="shared" si="31"/>
        <v>568440.65071143373</v>
      </c>
      <c r="BV104" s="1065">
        <f t="shared" si="31"/>
        <v>377734.01903702761</v>
      </c>
      <c r="BW104" s="1065">
        <f t="shared" si="31"/>
        <v>656955.02300000016</v>
      </c>
      <c r="BX104" s="1065">
        <f t="shared" si="31"/>
        <v>619991.8192312998</v>
      </c>
      <c r="BY104" s="1065">
        <f t="shared" si="31"/>
        <v>554849.32400000014</v>
      </c>
      <c r="BZ104" s="1065">
        <f t="shared" si="31"/>
        <v>554327.21357760322</v>
      </c>
      <c r="CA104" s="1065">
        <f t="shared" si="31"/>
        <v>450392.64600000007</v>
      </c>
      <c r="CB104" s="1065">
        <f t="shared" si="31"/>
        <v>502039.16033337766</v>
      </c>
      <c r="CC104" s="1065">
        <f t="shared" si="31"/>
        <v>568611.09621960076</v>
      </c>
      <c r="CD104" s="1065">
        <f t="shared" si="31"/>
        <v>639960.41056865919</v>
      </c>
      <c r="CE104" s="1065">
        <f t="shared" si="31"/>
        <v>560330.57999999984</v>
      </c>
      <c r="CF104" s="1065">
        <f t="shared" si="31"/>
        <v>629369.91763928393</v>
      </c>
      <c r="CG104" s="1065">
        <f t="shared" si="31"/>
        <v>575227.37798275868</v>
      </c>
      <c r="CH104" s="1065">
        <f t="shared" si="31"/>
        <v>678451.89245414361</v>
      </c>
      <c r="CI104" s="1065">
        <f t="shared" ref="CI104:CV104" si="32">CI83+CI101+CI102</f>
        <v>497517.25300000003</v>
      </c>
      <c r="CJ104" s="1065">
        <f t="shared" si="32"/>
        <v>622753.23601477407</v>
      </c>
      <c r="CK104" s="1065">
        <f t="shared" si="32"/>
        <v>523800.16000000015</v>
      </c>
      <c r="CL104" s="1065">
        <f t="shared" si="32"/>
        <v>690621.27244217973</v>
      </c>
      <c r="CM104" s="1065">
        <f t="shared" si="32"/>
        <v>545262.46000000008</v>
      </c>
      <c r="CN104" s="1065">
        <f t="shared" si="32"/>
        <v>737920.70458400005</v>
      </c>
      <c r="CO104" s="1065">
        <f t="shared" si="32"/>
        <v>0</v>
      </c>
      <c r="CP104" s="1065">
        <f t="shared" si="32"/>
        <v>0</v>
      </c>
      <c r="CQ104" s="1065">
        <f t="shared" si="32"/>
        <v>0</v>
      </c>
      <c r="CR104" s="1065">
        <f t="shared" si="32"/>
        <v>0</v>
      </c>
      <c r="CS104" s="1065">
        <f t="shared" si="32"/>
        <v>0</v>
      </c>
      <c r="CT104" s="1065">
        <f t="shared" si="32"/>
        <v>0</v>
      </c>
      <c r="CU104" s="1065">
        <f t="shared" si="32"/>
        <v>0</v>
      </c>
      <c r="CV104" s="1065">
        <f t="shared" si="32"/>
        <v>0</v>
      </c>
    </row>
    <row r="105" spans="1:101">
      <c r="B105" s="1030" t="s">
        <v>1328</v>
      </c>
      <c r="BA105" s="1065">
        <f>BA82+BA98+BA99</f>
        <v>866239.22100000014</v>
      </c>
      <c r="BB105" s="1065">
        <f t="shared" ref="BB105:CV105" si="33">BB82+BB98+BB99</f>
        <v>444977.07406871259</v>
      </c>
      <c r="BC105" s="1065">
        <f>BC82+BC98+BC99</f>
        <v>875572.36740000022</v>
      </c>
      <c r="BD105" s="1065">
        <f t="shared" si="33"/>
        <v>470230.41273647395</v>
      </c>
      <c r="BE105" s="1065">
        <f>BE82+BE98+BE99</f>
        <v>1051421.453</v>
      </c>
      <c r="BF105" s="1065">
        <f t="shared" si="33"/>
        <v>573807.30995625455</v>
      </c>
      <c r="BG105" s="1065">
        <f t="shared" si="33"/>
        <v>1188708.5166932847</v>
      </c>
      <c r="BH105" s="1065">
        <f t="shared" si="33"/>
        <v>604118.76544767537</v>
      </c>
      <c r="BI105" s="1065">
        <f t="shared" si="33"/>
        <v>1136700.0386506352</v>
      </c>
      <c r="BJ105" s="1065">
        <f t="shared" si="33"/>
        <v>549084.31283043674</v>
      </c>
      <c r="BK105" s="1065">
        <f t="shared" si="33"/>
        <v>947924.08109437395</v>
      </c>
      <c r="BL105" s="1065">
        <f t="shared" si="33"/>
        <v>489481.31189909013</v>
      </c>
      <c r="BM105" s="1065">
        <f t="shared" si="33"/>
        <v>908668.53560798557</v>
      </c>
      <c r="BN105" s="1065">
        <f t="shared" si="33"/>
        <v>481578.0781784461</v>
      </c>
      <c r="BO105" s="1065">
        <f t="shared" si="33"/>
        <v>935035.49407622509</v>
      </c>
      <c r="BP105" s="1065">
        <f t="shared" si="33"/>
        <v>492495.01586366771</v>
      </c>
      <c r="BQ105" s="1065">
        <f t="shared" si="33"/>
        <v>936872.90177313972</v>
      </c>
      <c r="BR105" s="1065">
        <f t="shared" si="33"/>
        <v>479199.81784898118</v>
      </c>
      <c r="BS105" s="1065">
        <f t="shared" si="33"/>
        <v>1055481.3318316699</v>
      </c>
      <c r="BT105" s="1065">
        <f t="shared" si="33"/>
        <v>568798.7510959924</v>
      </c>
      <c r="BU105" s="1065">
        <f t="shared" si="33"/>
        <v>1181309.5477114338</v>
      </c>
      <c r="BV105" s="1065">
        <f t="shared" si="33"/>
        <v>610410.2172830276</v>
      </c>
      <c r="BW105" s="1065">
        <f t="shared" si="33"/>
        <v>1266097.2290000003</v>
      </c>
      <c r="BX105" s="1065">
        <f t="shared" si="33"/>
        <v>866702.92733329977</v>
      </c>
      <c r="BY105" s="1065">
        <f t="shared" si="33"/>
        <v>1136823.9210000001</v>
      </c>
      <c r="BZ105" s="1065">
        <f t="shared" si="33"/>
        <v>805506.15581660322</v>
      </c>
      <c r="CA105" s="1065">
        <f t="shared" si="33"/>
        <v>1003667.7820000001</v>
      </c>
      <c r="CB105" s="1065">
        <f t="shared" si="33"/>
        <v>758547.46784037771</v>
      </c>
      <c r="CC105" s="1065">
        <f t="shared" si="33"/>
        <v>1242252.1362196007</v>
      </c>
      <c r="CD105" s="1065">
        <f t="shared" si="33"/>
        <v>974978.63585465914</v>
      </c>
      <c r="CE105" s="1065">
        <f>CE82+CE98+CE99</f>
        <v>1263403.1129999999</v>
      </c>
      <c r="CF105" s="1065">
        <f t="shared" si="33"/>
        <v>1008367.922782284</v>
      </c>
      <c r="CG105" s="1065">
        <f t="shared" si="33"/>
        <v>1316179.7109827588</v>
      </c>
      <c r="CH105" s="1065">
        <f t="shared" si="33"/>
        <v>1093967.6358901602</v>
      </c>
      <c r="CI105" s="1065">
        <f t="shared" si="33"/>
        <v>1282603.3149999999</v>
      </c>
      <c r="CJ105" s="1065">
        <f t="shared" si="33"/>
        <v>1036661.8997239829</v>
      </c>
      <c r="CK105" s="1065">
        <f t="shared" si="33"/>
        <v>1275798.0500000003</v>
      </c>
      <c r="CL105" s="1065">
        <f t="shared" si="33"/>
        <v>1093699.6844291799</v>
      </c>
      <c r="CM105" s="1065">
        <f t="shared" si="33"/>
        <v>1246674.46</v>
      </c>
      <c r="CN105" s="1065">
        <f t="shared" si="33"/>
        <v>1123615.234584</v>
      </c>
      <c r="CO105" s="1065">
        <f t="shared" si="33"/>
        <v>0</v>
      </c>
      <c r="CP105" s="1065">
        <f t="shared" si="33"/>
        <v>0</v>
      </c>
      <c r="CQ105" s="1065">
        <f t="shared" si="33"/>
        <v>0</v>
      </c>
      <c r="CR105" s="1065">
        <f t="shared" si="33"/>
        <v>0</v>
      </c>
      <c r="CS105" s="1065">
        <f t="shared" si="33"/>
        <v>0</v>
      </c>
      <c r="CT105" s="1065">
        <f t="shared" si="33"/>
        <v>0</v>
      </c>
      <c r="CU105" s="1065">
        <f t="shared" si="33"/>
        <v>0</v>
      </c>
      <c r="CV105" s="1065">
        <f t="shared" si="33"/>
        <v>0</v>
      </c>
    </row>
    <row r="106" spans="1:101">
      <c r="B106" s="1030" t="s">
        <v>1681</v>
      </c>
      <c r="BA106" s="1065"/>
      <c r="BB106" s="1065"/>
      <c r="BC106" s="1065"/>
      <c r="BD106" s="1065"/>
      <c r="BE106" s="1065"/>
      <c r="BF106" s="1065"/>
      <c r="BG106" s="1065"/>
      <c r="BH106" s="1065"/>
      <c r="BI106" s="1065"/>
      <c r="BJ106" s="1065"/>
      <c r="BK106" s="1065"/>
      <c r="BL106" s="1065"/>
      <c r="BM106" s="1065"/>
      <c r="BN106" s="1065"/>
      <c r="BO106" s="1065"/>
      <c r="BP106" s="1065"/>
      <c r="BQ106" s="1065"/>
      <c r="BR106" s="1065"/>
      <c r="BS106" s="1065"/>
      <c r="BT106" s="1065"/>
      <c r="BU106" s="1065"/>
      <c r="BV106" s="1065"/>
      <c r="BW106" s="1065"/>
      <c r="BX106" s="1065"/>
      <c r="BY106" s="1065">
        <f>BY104-BY103</f>
        <v>540873.27400000009</v>
      </c>
      <c r="BZ106" s="1065">
        <f t="shared" ref="BZ106:CV106" si="34">BZ104-BZ103</f>
        <v>538791.21357760322</v>
      </c>
      <c r="CA106" s="1065">
        <f t="shared" si="34"/>
        <v>435307.52600000007</v>
      </c>
      <c r="CB106" s="1065">
        <f t="shared" si="34"/>
        <v>488976.16033337766</v>
      </c>
      <c r="CC106" s="1065">
        <f t="shared" si="34"/>
        <v>558842.07921960077</v>
      </c>
      <c r="CD106" s="1065">
        <f t="shared" si="34"/>
        <v>637277.41056865919</v>
      </c>
      <c r="CE106" s="1065">
        <f t="shared" si="34"/>
        <v>537901.57999999984</v>
      </c>
      <c r="CF106" s="1065">
        <f t="shared" si="34"/>
        <v>615103.91763928393</v>
      </c>
      <c r="CG106" s="1065">
        <f t="shared" si="34"/>
        <v>550293.13798275869</v>
      </c>
      <c r="CH106" s="1065">
        <f t="shared" si="34"/>
        <v>651751.89245414361</v>
      </c>
      <c r="CI106" s="1065">
        <f t="shared" si="34"/>
        <v>474955.80300000001</v>
      </c>
      <c r="CJ106" s="1065">
        <f t="shared" si="34"/>
        <v>588606.23601477407</v>
      </c>
      <c r="CK106" s="1065">
        <f t="shared" si="34"/>
        <v>501685.04000000015</v>
      </c>
      <c r="CL106" s="1065">
        <f t="shared" si="34"/>
        <v>655650.27244217973</v>
      </c>
      <c r="CM106" s="1065">
        <f t="shared" si="34"/>
        <v>524522.80000000005</v>
      </c>
      <c r="CN106" s="1065">
        <f t="shared" si="34"/>
        <v>717725.70458400005</v>
      </c>
      <c r="CO106" s="1065">
        <f t="shared" si="34"/>
        <v>0</v>
      </c>
      <c r="CP106" s="1065">
        <f t="shared" si="34"/>
        <v>0</v>
      </c>
      <c r="CQ106" s="1065">
        <f t="shared" si="34"/>
        <v>0</v>
      </c>
      <c r="CR106" s="1065">
        <f t="shared" si="34"/>
        <v>0</v>
      </c>
      <c r="CS106" s="1065">
        <f t="shared" si="34"/>
        <v>0</v>
      </c>
      <c r="CT106" s="1065">
        <f t="shared" si="34"/>
        <v>0</v>
      </c>
      <c r="CU106" s="1065">
        <f t="shared" si="34"/>
        <v>0</v>
      </c>
      <c r="CV106" s="1065">
        <f t="shared" si="34"/>
        <v>0</v>
      </c>
      <c r="CW106" s="1065"/>
    </row>
    <row r="107" spans="1:101">
      <c r="B107" s="1030" t="s">
        <v>1682</v>
      </c>
      <c r="BA107" s="1065"/>
      <c r="BB107" s="1065"/>
      <c r="BC107" s="1065"/>
      <c r="BD107" s="1065"/>
      <c r="BE107" s="1065"/>
      <c r="BF107" s="1065"/>
      <c r="BG107" s="1065"/>
      <c r="BH107" s="1065"/>
      <c r="BI107" s="1065"/>
      <c r="BJ107" s="1065"/>
      <c r="BK107" s="1065"/>
      <c r="BL107" s="1065"/>
      <c r="BM107" s="1065"/>
      <c r="BN107" s="1065"/>
      <c r="BO107" s="1065"/>
      <c r="BP107" s="1065"/>
      <c r="BQ107" s="1065"/>
      <c r="BR107" s="1065"/>
      <c r="BS107" s="1065"/>
      <c r="BT107" s="1065"/>
      <c r="BU107" s="1065"/>
      <c r="BV107" s="1065"/>
      <c r="BW107" s="1065"/>
      <c r="BX107" s="1065"/>
      <c r="BY107" s="1065">
        <f>BY105-BY103</f>
        <v>1122847.871</v>
      </c>
      <c r="BZ107" s="1065">
        <f t="shared" ref="BZ107:CV107" si="35">BZ105-BZ103</f>
        <v>789970.15581660322</v>
      </c>
      <c r="CA107" s="1065">
        <f t="shared" si="35"/>
        <v>988582.66200000013</v>
      </c>
      <c r="CB107" s="1065">
        <f t="shared" si="35"/>
        <v>745484.46784037771</v>
      </c>
      <c r="CC107" s="1065">
        <f t="shared" si="35"/>
        <v>1232483.1192196007</v>
      </c>
      <c r="CD107" s="1065">
        <f t="shared" si="35"/>
        <v>972295.63585465914</v>
      </c>
      <c r="CE107" s="1065">
        <f t="shared" si="35"/>
        <v>1240974.1129999999</v>
      </c>
      <c r="CF107" s="1065">
        <f t="shared" si="35"/>
        <v>994101.92278228397</v>
      </c>
      <c r="CG107" s="1065">
        <f t="shared" si="35"/>
        <v>1291245.4709827588</v>
      </c>
      <c r="CH107" s="1065">
        <f t="shared" si="35"/>
        <v>1067267.6358901602</v>
      </c>
      <c r="CI107" s="1065">
        <f t="shared" si="35"/>
        <v>1260041.865</v>
      </c>
      <c r="CJ107" s="1065">
        <f t="shared" si="35"/>
        <v>1002514.8997239829</v>
      </c>
      <c r="CK107" s="1065">
        <f t="shared" si="35"/>
        <v>1253682.9300000002</v>
      </c>
      <c r="CL107" s="1065">
        <f t="shared" si="35"/>
        <v>1058728.6844291799</v>
      </c>
      <c r="CM107" s="1065">
        <f t="shared" si="35"/>
        <v>1225934.8</v>
      </c>
      <c r="CN107" s="1065">
        <f t="shared" si="35"/>
        <v>1103420.234584</v>
      </c>
      <c r="CO107" s="1065">
        <f t="shared" si="35"/>
        <v>0</v>
      </c>
      <c r="CP107" s="1065">
        <f t="shared" si="35"/>
        <v>0</v>
      </c>
      <c r="CQ107" s="1065">
        <f t="shared" si="35"/>
        <v>0</v>
      </c>
      <c r="CR107" s="1065">
        <f t="shared" si="35"/>
        <v>0</v>
      </c>
      <c r="CS107" s="1065">
        <f t="shared" si="35"/>
        <v>0</v>
      </c>
      <c r="CT107" s="1065">
        <f t="shared" si="35"/>
        <v>0</v>
      </c>
      <c r="CU107" s="1065">
        <f t="shared" si="35"/>
        <v>0</v>
      </c>
      <c r="CV107" s="1065">
        <f t="shared" si="35"/>
        <v>0</v>
      </c>
      <c r="CW107" s="1065"/>
    </row>
    <row r="108" spans="1:101">
      <c r="BY108" s="1065"/>
    </row>
    <row r="109" spans="1:101">
      <c r="BY109" s="1065">
        <f>BY105-BA105</f>
        <v>270584.69999999995</v>
      </c>
    </row>
    <row r="110" spans="1:101">
      <c r="BY110" s="2078">
        <f>BY109/BA105</f>
        <v>0.31236717691867233</v>
      </c>
    </row>
    <row r="111" spans="1:101">
      <c r="D111" s="1015">
        <f>SUMIFS('#销量数据'!4:4,'#销量数据'!1:1,1,'#销量数据'!2:2,1)</f>
        <v>0</v>
      </c>
      <c r="BY111" s="1065"/>
    </row>
  </sheetData>
  <customSheetViews>
    <customSheetView guid="{1683F931-F47D-47C0-A395-D48080DC7EE6}" scale="115" showPageBreaks="1" topLeftCell="A25">
      <selection activeCell="B71" sqref="B71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 scale="115">
      <pane xSplit="2" ySplit="4" topLeftCell="BY81" activePane="bottomRight" state="frozen"/>
      <selection pane="bottomRight" activeCell="CM98" sqref="CM98:CN99"/>
      <pageMargins left="0.69930555555555596" right="0.69930555555555596" top="0.75" bottom="0.75" header="0.3" footer="0.3"/>
      <pageSetup paperSize="9" orientation="portrait" r:id="rId2"/>
    </customSheetView>
    <customSheetView guid="{849C46E5-4ED4-41B9-BDA9-A6465B9DA9C2}" scale="115">
      <pane xSplit="2" ySplit="4" topLeftCell="BU95" activePane="bottomRight" state="frozen"/>
      <selection pane="bottomRight" activeCell="CF102" sqref="CF102"/>
      <pageMargins left="0.69930555555555596" right="0.69930555555555596" top="0.75" bottom="0.75" header="0.3" footer="0.3"/>
      <pageSetup paperSize="9" orientation="portrait" r:id="rId3"/>
    </customSheetView>
    <customSheetView guid="{8C09BCDE-4B8A-4469-B3F2-7F4528A2E78D}" scale="115">
      <pane xSplit="2" ySplit="4" topLeftCell="BU95" activePane="bottomRight" state="frozen"/>
      <selection pane="bottomRight" activeCell="CF102" sqref="CF102"/>
      <pageMargins left="0.69930555555555596" right="0.69930555555555596" top="0.75" bottom="0.75" header="0.3" footer="0.3"/>
      <pageSetup paperSize="9" orientation="portrait" r:id="rId4"/>
    </customSheetView>
    <customSheetView guid="{F4EB51F4-FD23-4D5B-8072-1AF5D59D6686}" showPageBreaks="1">
      <pane xSplit="2" ySplit="4" topLeftCell="BT77" activePane="bottomRight" state="frozen"/>
      <selection pane="bottomRight" activeCell="BY102" sqref="BY102"/>
      <pageMargins left="0.69930555555555596" right="0.69930555555555596" top="0.75" bottom="0.75" header="0.3" footer="0.3"/>
      <pageSetup paperSize="9" orientation="portrait" r:id="rId5"/>
    </customSheetView>
    <customSheetView guid="{D7BCFB76-2797-401D-A6F1-E020B5162DD4}" scale="115">
      <pane xSplit="2" ySplit="4" topLeftCell="CA89" activePane="bottomRight" state="frozen"/>
      <selection pane="bottomRight" activeCell="CJ103" sqref="CJ103"/>
      <pageMargins left="0.69930555555555596" right="0.69930555555555596" top="0.75" bottom="0.75" header="0.3" footer="0.3"/>
      <pageSetup paperSize="9" orientation="portrait" r:id="rId6"/>
    </customSheetView>
    <customSheetView guid="{C9A88430-3808-49F4-8D86-BF8C70C55441}" scale="115">
      <pane xSplit="2" ySplit="5" topLeftCell="C6" activePane="bottomRight" state="frozen"/>
      <selection pane="bottomRight" activeCell="C6" sqref="C6"/>
      <pageMargins left="0.69930555555555596" right="0.69930555555555596" top="0.75" bottom="0.75" header="0.3" footer="0.3"/>
      <pageSetup paperSize="9" orientation="portrait" r:id="rId7"/>
    </customSheetView>
    <customSheetView guid="{E61FFED3-723E-484A-93A0-94E1A801AF06}" scale="115">
      <pane xSplit="1" ySplit="3" topLeftCell="Z49" activePane="bottomRight" state="frozen"/>
      <selection pane="bottomRight" activeCell="AG80" sqref="AG80"/>
      <pageMargins left="0.69930555555555596" right="0.69930555555555596" top="0.75" bottom="0.75" header="0.3" footer="0.3"/>
      <pageSetup paperSize="9" orientation="portrait"/>
    </customSheetView>
    <customSheetView guid="{6B5CCA07-2BDD-4B8E-9E3C-2111BBA97430}" scale="85" hiddenColumns="1">
      <pane xSplit="2" ySplit="4" topLeftCell="BG5" activePane="bottomRight" state="frozen"/>
      <selection pane="bottomRight" activeCell="BL61" sqref="BL61"/>
      <pageMargins left="0.69930555555555596" right="0.69930555555555596" top="0.75" bottom="0.75" header="0.3" footer="0.3"/>
      <pageSetup paperSize="9" orientation="portrait" r:id="rId8"/>
    </customSheetView>
    <customSheetView guid="{2F47A827-9643-4D8A-AC5D-6B09D79AACF9}" scale="115">
      <pane xSplit="2" ySplit="4" topLeftCell="AB56" activePane="bottomRight" state="frozen"/>
      <selection pane="bottomRight" activeCell="AD77" sqref="AD77"/>
      <pageMargins left="0.69930555555555596" right="0.69930555555555596" top="0.75" bottom="0.75" header="0.3" footer="0.3"/>
      <pageSetup paperSize="9" orientation="portrait" r:id="rId9"/>
    </customSheetView>
    <customSheetView guid="{B37168A1-DBAB-4BDE-9F92-6261DCDF3D92}" scale="115" showPageBreaks="1">
      <pane xSplit="2" ySplit="4" topLeftCell="AZ14" activePane="bottomRight" state="frozen"/>
      <selection pane="bottomRight" activeCell="BD28" sqref="BD28"/>
      <pageMargins left="0.69930555555555596" right="0.69930555555555596" top="0.75" bottom="0.75" header="0.3" footer="0.3"/>
      <pageSetup paperSize="9" orientation="portrait" r:id="rId10"/>
    </customSheetView>
    <customSheetView guid="{AE0DD889-C13C-4059-8024-0F5B234827E9}" scale="115" showPageBreaks="1">
      <pane xSplit="2" ySplit="5" topLeftCell="AA42" activePane="bottomRight" state="frozen"/>
      <selection pane="bottomRight" activeCell="AM73" sqref="AM73"/>
      <pageMargins left="0.69930555555555596" right="0.69930555555555596" top="0.75" bottom="0.75" header="0.3" footer="0.3"/>
      <pageSetup paperSize="9" orientation="portrait" r:id="rId11"/>
    </customSheetView>
    <customSheetView guid="{CCBBD9B0-4191-4D7A-9F7B-BAC044A49153}" scale="115">
      <pane xSplit="2" ySplit="4" topLeftCell="AS5" state="frozen"/>
      <selection activeCell="BH20" sqref="BH20"/>
      <pageMargins left="0.69930555555555596" right="0.69930555555555596" top="0.75" bottom="0.75" header="0.3" footer="0.3"/>
      <pageSetup paperSize="9" orientation="portrait"/>
    </customSheetView>
    <customSheetView guid="{F5F9735B-EE22-4AC6-B5AB-C856ED6C133D}" scale="115">
      <pane xSplit="2" ySplit="4" topLeftCell="AG21" state="frozen"/>
      <selection activeCell="AH70" sqref="AH70"/>
      <pageMargins left="0.69930555555555596" right="0.69930555555555596" top="0.75" bottom="0.75" header="0.3" footer="0.3"/>
      <pageSetup paperSize="9" orientation="portrait"/>
    </customSheetView>
    <customSheetView guid="{45B4C0D1-53B6-4553-BFF9-393760B8E0CE}" scale="115">
      <pane xSplit="1" ySplit="3" topLeftCell="AD58" state="frozen"/>
      <selection activeCell="AO3" sqref="AO3:AP3"/>
      <pageMargins left="0.69930555555555596" right="0.69930555555555596" top="0.75" bottom="0.75" header="0.3" footer="0.3"/>
      <pageSetup paperSize="9" orientation="portrait"/>
    </customSheetView>
    <customSheetView guid="{1BBD1596-143E-4714-99EF-E3545231CCD1}" scale="115">
      <pane xSplit="1" ySplit="3" topLeftCell="B58" state="frozen"/>
      <selection activeCell="A78" sqref="A78"/>
      <pageMargins left="0.69930555555555596" right="0.69930555555555596" top="0.75" bottom="0.75" header="0.3" footer="0.3"/>
      <pageSetup paperSize="9" orientation="portrait"/>
    </customSheetView>
    <customSheetView guid="{A8456D60-99BA-4794-8966-0CBA0A37EA6F}" scale="115">
      <pane xSplit="1" ySplit="3" topLeftCell="B58" state="frozen"/>
      <selection activeCell="A78" sqref="A78"/>
      <pageMargins left="0.69930555555555596" right="0.69930555555555596" top="0.75" bottom="0.75" header="0.3" footer="0.3"/>
      <pageSetup paperSize="9" orientation="portrait"/>
    </customSheetView>
    <customSheetView guid="{500C3980-ED13-4C97-96B1-955D50509B66}" scale="115">
      <pane ySplit="4" topLeftCell="AO54" state="frozen"/>
      <selection activeCell="BB73" sqref="BB73"/>
      <pageMargins left="0.69930555555555596" right="0.69930555555555596" top="0.75" bottom="0.75" header="0.3" footer="0.3"/>
      <pageSetup paperSize="9" orientation="portrait"/>
    </customSheetView>
    <customSheetView guid="{3B943BAF-34C7-494A-A071-85DE0891E5A1}" scale="115">
      <pane xSplit="2" ySplit="4" topLeftCell="AS38" state="frozen"/>
      <selection activeCell="BG84" sqref="BG84"/>
      <pageMargins left="0.69930555555555596" right="0.69930555555555596" top="0.75" bottom="0.75" header="0.3" footer="0.3"/>
      <pageSetup paperSize="9" orientation="portrait"/>
    </customSheetView>
    <customSheetView guid="{EEE4B3DA-ADF6-49CC-9873-068FE5927B92}" scale="115" showPageBreaks="1">
      <pane xSplit="2" ySplit="4" topLeftCell="AB56" state="frozen"/>
      <selection activeCell="AD77" sqref="AD77"/>
      <pageMargins left="0.69930555555555596" right="0.69930555555555596" top="0.75" bottom="0.75" header="0.3" footer="0.3"/>
      <pageSetup paperSize="9" orientation="portrait"/>
    </customSheetView>
    <customSheetView guid="{C52D0F53-4D1D-4D01-B833-260359FD02A5}" scale="115" showPageBreaks="1">
      <pane xSplit="2" ySplit="4" topLeftCell="AS38" activePane="bottomRight" state="frozen"/>
      <selection pane="bottomRight" activeCell="BA71" sqref="BG71 BE71 BC71 BA71"/>
      <pageMargins left="0.69930555555555596" right="0.69930555555555596" top="0.75" bottom="0.75" header="0.3" footer="0.3"/>
      <pageSetup paperSize="9" orientation="portrait" r:id="rId12"/>
    </customSheetView>
    <customSheetView guid="{6A1E79C9-91E3-4EEA-8ABB-4446083299EC}" scale="115" showPageBreaks="1">
      <pane xSplit="1" ySplit="3" topLeftCell="L58" activePane="bottomRight" state="frozen"/>
      <selection pane="bottomRight" activeCell="N71" sqref="N71"/>
      <pageMargins left="0.69930555555555596" right="0.69930555555555596" top="0.75" bottom="0.75" header="0.3" footer="0.3"/>
      <pageSetup paperSize="9" orientation="portrait" r:id="rId13"/>
    </customSheetView>
    <customSheetView guid="{8B80B510-C931-46B1-8591-DEA916D76593}">
      <pane xSplit="2" ySplit="4" topLeftCell="BY5" activePane="bottomRight" state="frozen"/>
      <selection pane="bottomRight" activeCell="BH78" sqref="BH78 BE71 BC71 BA71"/>
      <pageMargins left="0.69930555555555596" right="0.69930555555555596" top="0.75" bottom="0.75" header="0.3" footer="0.3"/>
      <pageSetup paperSize="9" orientation="portrait" r:id="rId14"/>
    </customSheetView>
    <customSheetView guid="{303A9D89-611D-4504-BCAA-071C53B021F7}" scale="115">
      <pane xSplit="1" ySplit="3" topLeftCell="B58" activePane="bottomRight" state="frozen"/>
      <selection pane="bottomRight" activeCell="A78" sqref="A78 BE71 BC71 BA71"/>
      <pageMargins left="0.69930555555555596" right="0.69930555555555596" top="0.75" bottom="0.75" header="0.3" footer="0.3"/>
      <pageSetup paperSize="9" orientation="portrait"/>
    </customSheetView>
    <customSheetView guid="{4583A87D-5DFF-47BD-849A-FA4AAF2B9CE3}" showPageBreaks="1">
      <pane xSplit="2" ySplit="4" topLeftCell="BF62" activePane="bottomRight" state="frozen"/>
      <selection pane="bottomRight" activeCell="BH78" sqref="BH78 BE71 BC71 BA71"/>
      <pageMargins left="0.69930555555555596" right="0.69930555555555596" top="0.75" bottom="0.75" header="0.3" footer="0.3"/>
      <pageSetup paperSize="9" orientation="portrait" r:id="rId15"/>
    </customSheetView>
    <customSheetView guid="{EA856AC2-CDFF-46B6-B0C4-30449DF132F4}" scale="115" showPageBreaks="1">
      <pane xSplit="2" ySplit="4" topLeftCell="AB14" activePane="bottomRight" state="frozen"/>
      <selection pane="bottomRight" activeCell="AD77" sqref="AD77"/>
      <pageMargins left="0.69930555555555596" right="0.69930555555555596" top="0.75" bottom="0.75" header="0.3" footer="0.3"/>
      <pageSetup paperSize="9" orientation="portrait" r:id="rId16"/>
    </customSheetView>
    <customSheetView guid="{322A45A6-8B26-49B8-A4D9-EFB3C94A758D}" scale="115" topLeftCell="BX61">
      <selection activeCell="CM83" sqref="CM83"/>
      <pageMargins left="0.69930555555555596" right="0.69930555555555596" top="0.75" bottom="0.75" header="0.3" footer="0.3"/>
      <pageSetup paperSize="9" orientation="portrait" r:id="rId17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18"/>
  <legacyDrawing r:id="rId19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 tint="-0.249977111117893"/>
  </sheetPr>
  <dimension ref="A1:BA163"/>
  <sheetViews>
    <sheetView zoomScale="85" zoomScaleNormal="85" workbookViewId="0">
      <pane xSplit="1" ySplit="2" topLeftCell="AE99" activePane="bottomRight" state="frozen"/>
      <selection pane="topRight" activeCell="B1" sqref="B1"/>
      <selection pane="bottomLeft" activeCell="A3" sqref="A3"/>
      <selection pane="bottomRight" activeCell="AI108" sqref="AI108"/>
    </sheetView>
  </sheetViews>
  <sheetFormatPr defaultColWidth="9" defaultRowHeight="14.25"/>
  <cols>
    <col min="1" max="1" width="39.375" style="206" customWidth="1"/>
    <col min="2" max="3" width="13.25" style="206" customWidth="1"/>
    <col min="4" max="4" width="13" style="206" hidden="1" customWidth="1"/>
    <col min="5" max="5" width="13.5" style="206" hidden="1" customWidth="1"/>
    <col min="6" max="7" width="16.625" style="206" hidden="1" customWidth="1"/>
    <col min="8" max="14" width="18.125" style="206" hidden="1" customWidth="1"/>
    <col min="15" max="15" width="15.625" style="206" customWidth="1"/>
    <col min="16" max="16" width="18.125" style="206" customWidth="1"/>
    <col min="17" max="17" width="15.375" style="206"/>
    <col min="18" max="19" width="15" style="206" customWidth="1"/>
    <col min="20" max="21" width="15.125" style="206"/>
    <col min="22" max="22" width="15" style="206" bestFit="1" customWidth="1"/>
    <col min="23" max="25" width="13.75" style="206"/>
    <col min="26" max="26" width="14.75" style="206" customWidth="1"/>
    <col min="27" max="27" width="20" style="206" customWidth="1"/>
    <col min="28" max="28" width="21.625" style="206" customWidth="1"/>
    <col min="29" max="29" width="22" style="206" customWidth="1"/>
    <col min="30" max="30" width="25.625" style="206" bestFit="1" customWidth="1"/>
    <col min="31" max="31" width="18.125" style="206" customWidth="1"/>
    <col min="32" max="32" width="21" style="206" customWidth="1"/>
    <col min="33" max="33" width="20" style="206" customWidth="1"/>
    <col min="34" max="34" width="20.125" style="206" customWidth="1"/>
    <col min="35" max="39" width="20" style="206" customWidth="1"/>
    <col min="40" max="40" width="11.25" style="206" bestFit="1" customWidth="1"/>
    <col min="41" max="41" width="14.75" style="206" customWidth="1"/>
    <col min="42" max="42" width="20.625" customWidth="1"/>
    <col min="44" max="44" width="14.875" bestFit="1" customWidth="1"/>
    <col min="46" max="46" width="20.375" bestFit="1" customWidth="1"/>
    <col min="47" max="47" width="14" bestFit="1" customWidth="1"/>
    <col min="48" max="48" width="13.125" bestFit="1" customWidth="1"/>
  </cols>
  <sheetData>
    <row r="1" spans="1:48">
      <c r="A1" s="200" t="s">
        <v>0</v>
      </c>
      <c r="B1" s="200">
        <v>2018</v>
      </c>
      <c r="C1" s="200">
        <v>2018</v>
      </c>
      <c r="D1" s="200">
        <v>2019</v>
      </c>
      <c r="E1" s="200">
        <v>2019</v>
      </c>
      <c r="F1" s="200">
        <v>2019</v>
      </c>
      <c r="G1" s="200">
        <v>2019</v>
      </c>
      <c r="H1" s="200">
        <v>2019</v>
      </c>
      <c r="I1" s="200">
        <v>2019</v>
      </c>
      <c r="J1" s="200">
        <v>2019</v>
      </c>
      <c r="K1" s="200">
        <v>2019</v>
      </c>
      <c r="L1" s="200">
        <v>2019</v>
      </c>
      <c r="M1" s="200">
        <v>2019</v>
      </c>
      <c r="N1" s="200">
        <v>2019</v>
      </c>
      <c r="O1" s="200">
        <v>2019</v>
      </c>
      <c r="P1" s="200">
        <v>2020</v>
      </c>
      <c r="Q1" s="200">
        <v>2020</v>
      </c>
      <c r="R1" s="200">
        <v>2020</v>
      </c>
      <c r="S1" s="200">
        <v>2020</v>
      </c>
      <c r="T1" s="200">
        <v>2020</v>
      </c>
      <c r="U1" s="200">
        <v>2020</v>
      </c>
      <c r="V1" s="200">
        <v>2020</v>
      </c>
      <c r="W1" s="200">
        <v>2020</v>
      </c>
      <c r="X1" s="200">
        <v>2020</v>
      </c>
      <c r="Y1" s="200">
        <v>2020</v>
      </c>
      <c r="Z1" s="200">
        <v>2020</v>
      </c>
      <c r="AA1" s="200">
        <v>2020</v>
      </c>
      <c r="AB1" s="200">
        <v>2021</v>
      </c>
      <c r="AC1" s="200">
        <v>2021</v>
      </c>
      <c r="AD1" s="200">
        <v>2021</v>
      </c>
      <c r="AE1" s="200">
        <v>2021</v>
      </c>
      <c r="AF1" s="200">
        <v>2021</v>
      </c>
      <c r="AG1" s="200">
        <v>2021</v>
      </c>
      <c r="AH1" s="200">
        <v>2021</v>
      </c>
      <c r="AI1" s="200">
        <v>2021</v>
      </c>
      <c r="AJ1" s="200">
        <v>2021</v>
      </c>
      <c r="AK1" s="200">
        <v>2021</v>
      </c>
      <c r="AL1" s="200">
        <v>2021</v>
      </c>
      <c r="AM1" s="200">
        <v>2021</v>
      </c>
      <c r="AN1" s="200"/>
      <c r="AO1" s="200"/>
    </row>
    <row r="2" spans="1:48" ht="17.100000000000001" customHeight="1" thickBot="1">
      <c r="A2" s="655" t="s">
        <v>1</v>
      </c>
      <c r="B2" s="655" t="s">
        <v>5</v>
      </c>
      <c r="C2" s="655">
        <v>12</v>
      </c>
      <c r="D2" s="640">
        <v>1</v>
      </c>
      <c r="E2" s="640">
        <v>2</v>
      </c>
      <c r="F2" s="640">
        <v>3</v>
      </c>
      <c r="G2" s="640">
        <v>4</v>
      </c>
      <c r="H2" s="640">
        <v>5</v>
      </c>
      <c r="I2" s="640">
        <v>6</v>
      </c>
      <c r="J2" s="640">
        <v>7</v>
      </c>
      <c r="K2" s="640">
        <v>8</v>
      </c>
      <c r="L2" s="640">
        <v>9</v>
      </c>
      <c r="M2" s="640">
        <v>10</v>
      </c>
      <c r="N2" s="640">
        <v>11</v>
      </c>
      <c r="O2" s="640">
        <v>12</v>
      </c>
      <c r="P2" s="640">
        <v>1</v>
      </c>
      <c r="Q2" s="640">
        <v>2</v>
      </c>
      <c r="R2" s="640">
        <v>3</v>
      </c>
      <c r="S2" s="640">
        <v>4</v>
      </c>
      <c r="T2" s="640">
        <v>5</v>
      </c>
      <c r="U2" s="640">
        <v>6</v>
      </c>
      <c r="V2" s="640">
        <v>7</v>
      </c>
      <c r="W2" s="640">
        <v>8</v>
      </c>
      <c r="X2" s="640">
        <v>9</v>
      </c>
      <c r="Y2" s="640">
        <v>10</v>
      </c>
      <c r="Z2" s="640">
        <v>11</v>
      </c>
      <c r="AA2" s="640">
        <v>12</v>
      </c>
      <c r="AB2" s="1888">
        <v>1</v>
      </c>
      <c r="AC2" s="1888">
        <v>2</v>
      </c>
      <c r="AD2" s="1888">
        <v>3</v>
      </c>
      <c r="AE2" s="1888">
        <v>4</v>
      </c>
      <c r="AF2" s="1888">
        <v>5</v>
      </c>
      <c r="AG2" s="1888">
        <v>6</v>
      </c>
      <c r="AH2" s="1888">
        <v>7</v>
      </c>
      <c r="AI2" s="1888">
        <v>8</v>
      </c>
      <c r="AJ2" s="1888">
        <v>9</v>
      </c>
      <c r="AK2" s="1888">
        <v>10</v>
      </c>
      <c r="AL2" s="1888">
        <v>11</v>
      </c>
      <c r="AM2" s="1888">
        <v>12</v>
      </c>
      <c r="AN2" s="640"/>
      <c r="AO2" s="200" t="s">
        <v>1140</v>
      </c>
    </row>
    <row r="3" spans="1:48" ht="17.100000000000001" customHeight="1">
      <c r="A3" s="656" t="s">
        <v>731</v>
      </c>
      <c r="B3" s="461">
        <f t="shared" ref="B3:H3" si="0">B81/10000</f>
        <v>-15488.065331</v>
      </c>
      <c r="C3" s="461">
        <f t="shared" si="0"/>
        <v>-4256.9837619999998</v>
      </c>
      <c r="D3" s="461">
        <f t="shared" si="0"/>
        <v>1488.8270580000001</v>
      </c>
      <c r="E3" s="461">
        <f t="shared" si="0"/>
        <v>3444.3659290000001</v>
      </c>
      <c r="F3" s="461">
        <f t="shared" si="0"/>
        <v>2269.4720190000003</v>
      </c>
      <c r="G3" s="657">
        <f t="shared" si="0"/>
        <v>3656.7630659999995</v>
      </c>
      <c r="H3" s="658">
        <f t="shared" si="0"/>
        <v>4625.0583029999998</v>
      </c>
      <c r="I3" s="305">
        <f t="shared" ref="I3:Q3" si="1">I81/10000</f>
        <v>3637.5044350000003</v>
      </c>
      <c r="J3" s="305">
        <f t="shared" si="1"/>
        <v>3502.0171110000001</v>
      </c>
      <c r="K3" s="305">
        <f t="shared" si="1"/>
        <v>6093.8618079999997</v>
      </c>
      <c r="L3" s="305">
        <f t="shared" si="1"/>
        <v>2089.0562519999999</v>
      </c>
      <c r="M3" s="305">
        <f t="shared" si="1"/>
        <v>3865.0336390000002</v>
      </c>
      <c r="N3" s="305">
        <f t="shared" si="1"/>
        <v>504.4499170000002</v>
      </c>
      <c r="O3" s="305">
        <f t="shared" si="1"/>
        <v>16591.317586000001</v>
      </c>
      <c r="P3" s="305">
        <f t="shared" si="1"/>
        <v>3567.5491060000004</v>
      </c>
      <c r="Q3" s="675">
        <f t="shared" si="1"/>
        <v>2854.4169959999999</v>
      </c>
      <c r="R3" s="675">
        <f t="shared" ref="R3:Y3" si="2">R81/10000</f>
        <v>2530.808638</v>
      </c>
      <c r="S3" s="675">
        <f t="shared" si="2"/>
        <v>1321.811459</v>
      </c>
      <c r="T3" s="675">
        <f t="shared" si="2"/>
        <v>1243.2506579999999</v>
      </c>
      <c r="U3" s="675">
        <f>U81/10000</f>
        <v>-3731.3442920000002</v>
      </c>
      <c r="V3" s="675">
        <f t="shared" si="2"/>
        <v>-2165.9753639999999</v>
      </c>
      <c r="W3" s="675">
        <f t="shared" ref="W3:W9" si="3">W81/10000</f>
        <v>-1484.594069</v>
      </c>
      <c r="X3" s="675">
        <f t="shared" si="2"/>
        <v>1855.948406</v>
      </c>
      <c r="Y3" s="675">
        <f t="shared" si="2"/>
        <v>3973.3295549999998</v>
      </c>
      <c r="Z3" s="675">
        <f>Z81/10000</f>
        <v>-3882.0128930000001</v>
      </c>
      <c r="AA3" s="675">
        <f>AA81/10000</f>
        <v>-36908.716827999997</v>
      </c>
      <c r="AB3" s="675">
        <f>AB81/10000</f>
        <v>6166.7200499999999</v>
      </c>
      <c r="AC3" s="675">
        <f t="shared" ref="AC3:AM3" si="4">AC81/10000</f>
        <v>6230.5830990000004</v>
      </c>
      <c r="AD3" s="675">
        <f t="shared" si="4"/>
        <v>34320.757698000001</v>
      </c>
      <c r="AE3" s="675">
        <f t="shared" si="4"/>
        <v>22521.599643999998</v>
      </c>
      <c r="AF3" s="675">
        <f t="shared" si="4"/>
        <v>27364.874050999999</v>
      </c>
      <c r="AG3" s="675">
        <f t="shared" si="4"/>
        <v>30749.385863</v>
      </c>
      <c r="AH3" s="675">
        <f t="shared" si="4"/>
        <v>31633.947352999996</v>
      </c>
      <c r="AI3" s="675">
        <f t="shared" si="4"/>
        <v>26236.898705</v>
      </c>
      <c r="AJ3" s="675">
        <f t="shared" si="4"/>
        <v>0</v>
      </c>
      <c r="AK3" s="675">
        <f t="shared" si="4"/>
        <v>0</v>
      </c>
      <c r="AL3" s="675">
        <f t="shared" si="4"/>
        <v>0</v>
      </c>
      <c r="AM3" s="675">
        <f t="shared" si="4"/>
        <v>0</v>
      </c>
      <c r="AN3" s="641"/>
      <c r="AO3" s="1675">
        <f>SUMIFS(C3:AA3,$C$1:$AA$1,'#经营概况'!$B$1,$C$2:$AA$2,'#经营概况'!$B$2)-SUMIFS(C3:AA3,$C$1:$AA$1,'#经营概况'!$B$1,$C$2:$AA$2,'#经营概况'!$B$2-1)</f>
        <v>0</v>
      </c>
    </row>
    <row r="4" spans="1:48" ht="17.100000000000001" customHeight="1">
      <c r="A4" s="656" t="s">
        <v>732</v>
      </c>
      <c r="B4" s="461">
        <f t="shared" ref="B4:C6" si="5">B82/10000</f>
        <v>144.44192699999999</v>
      </c>
      <c r="C4" s="461">
        <f t="shared" si="5"/>
        <v>-136.53337999999999</v>
      </c>
      <c r="D4" s="461">
        <f t="shared" ref="D4:H9" si="6">D82/10000</f>
        <v>70.765056000000001</v>
      </c>
      <c r="E4" s="461">
        <f t="shared" si="6"/>
        <v>34.471084999999995</v>
      </c>
      <c r="F4" s="461">
        <f t="shared" si="6"/>
        <v>-8.1194919999999904</v>
      </c>
      <c r="G4" s="657">
        <f t="shared" si="6"/>
        <v>-4.9716819999999897</v>
      </c>
      <c r="H4" s="658">
        <f t="shared" si="6"/>
        <v>60.132383999999995</v>
      </c>
      <c r="I4" s="305">
        <f t="shared" ref="I4:O4" si="7">I82/10000</f>
        <v>11.517977999999999</v>
      </c>
      <c r="J4" s="305">
        <f t="shared" si="7"/>
        <v>-46.978496999999997</v>
      </c>
      <c r="K4" s="305">
        <f t="shared" si="7"/>
        <v>-47.913755000000002</v>
      </c>
      <c r="L4" s="305">
        <f t="shared" si="7"/>
        <v>7.2412859999999997</v>
      </c>
      <c r="M4" s="305">
        <f t="shared" si="7"/>
        <v>-64.534921999999995</v>
      </c>
      <c r="N4" s="305">
        <f t="shared" si="7"/>
        <v>-92.880868000000007</v>
      </c>
      <c r="O4" s="305">
        <f t="shared" si="7"/>
        <v>20.291876999999999</v>
      </c>
      <c r="P4" s="305">
        <f t="shared" ref="P4:P9" si="8">P82/10000</f>
        <v>-12.042536</v>
      </c>
      <c r="Q4" s="675">
        <f t="shared" ref="Q4:Q9" si="9">Q82/10000</f>
        <v>-28.899620000000002</v>
      </c>
      <c r="R4" s="675">
        <f t="shared" ref="R4:AA4" si="10">R82/10000</f>
        <v>9.4652829999999994</v>
      </c>
      <c r="S4" s="675">
        <f t="shared" si="10"/>
        <v>30.539108000000002</v>
      </c>
      <c r="T4" s="675">
        <f t="shared" si="10"/>
        <v>0.75329599999999997</v>
      </c>
      <c r="U4" s="675">
        <f t="shared" si="10"/>
        <v>44.988865000000004</v>
      </c>
      <c r="V4" s="675">
        <f t="shared" si="10"/>
        <v>3.0296430000000001</v>
      </c>
      <c r="W4" s="675">
        <f t="shared" si="3"/>
        <v>7.7849449999999996</v>
      </c>
      <c r="X4" s="675">
        <f t="shared" si="10"/>
        <v>-39.523695000000004</v>
      </c>
      <c r="Y4" s="675">
        <f t="shared" si="10"/>
        <v>54.326106000000003</v>
      </c>
      <c r="Z4" s="675">
        <f t="shared" si="10"/>
        <v>-3.1430569999999998</v>
      </c>
      <c r="AA4" s="675">
        <f t="shared" si="10"/>
        <v>-119.29563999999999</v>
      </c>
      <c r="AB4" s="675">
        <f t="shared" ref="AB4:AC9" si="11">AB82/10000</f>
        <v>39.496051999999999</v>
      </c>
      <c r="AC4" s="675">
        <f t="shared" si="11"/>
        <v>-21.842447</v>
      </c>
      <c r="AD4" s="675">
        <f t="shared" ref="AD4:AM4" si="12">AD82/10000</f>
        <v>-25.13372</v>
      </c>
      <c r="AE4" s="675">
        <f t="shared" si="12"/>
        <v>-1.3185750000000001</v>
      </c>
      <c r="AF4" s="675">
        <f t="shared" si="12"/>
        <v>-12.054342</v>
      </c>
      <c r="AG4" s="675">
        <f t="shared" si="12"/>
        <v>1.9239130000000002</v>
      </c>
      <c r="AH4" s="675">
        <f t="shared" si="12"/>
        <v>-23.274050999999989</v>
      </c>
      <c r="AI4" s="675">
        <f t="shared" si="12"/>
        <v>4.8204900000000226</v>
      </c>
      <c r="AJ4" s="675">
        <f t="shared" si="12"/>
        <v>0</v>
      </c>
      <c r="AK4" s="675">
        <f t="shared" si="12"/>
        <v>0</v>
      </c>
      <c r="AL4" s="675">
        <f t="shared" si="12"/>
        <v>0</v>
      </c>
      <c r="AM4" s="675">
        <f t="shared" si="12"/>
        <v>0</v>
      </c>
      <c r="AN4" s="641"/>
      <c r="AO4" s="1675">
        <f>SUMIFS(C4:AA4,$C$1:$AA$1,'#经营概况'!$B$1,$C$2:$AA$2,'#经营概况'!$B$2)-SUMIFS(C4:AA4,$C$1:$AA$1,'#经营概况'!$B$1,$C$2:$AA$2,'#经营概况'!$B$2-1)</f>
        <v>0</v>
      </c>
    </row>
    <row r="5" spans="1:48" ht="17.100000000000001" customHeight="1">
      <c r="A5" s="656" t="s">
        <v>733</v>
      </c>
      <c r="B5" s="461">
        <f t="shared" si="5"/>
        <v>69.604897999999991</v>
      </c>
      <c r="C5" s="461">
        <f t="shared" si="5"/>
        <v>18.083164</v>
      </c>
      <c r="D5" s="461">
        <f t="shared" si="6"/>
        <v>4.4875739999999995</v>
      </c>
      <c r="E5" s="461">
        <f t="shared" si="6"/>
        <v>4.8963619999999999</v>
      </c>
      <c r="F5" s="461">
        <f t="shared" si="6"/>
        <v>4.3627260000000003</v>
      </c>
      <c r="G5" s="657">
        <f t="shared" si="6"/>
        <v>6.4060009999999998</v>
      </c>
      <c r="H5" s="658">
        <f t="shared" si="6"/>
        <v>6.692062</v>
      </c>
      <c r="I5" s="305">
        <f t="shared" ref="I5:O5" si="13">I83/10000</f>
        <v>7.026688</v>
      </c>
      <c r="J5" s="305">
        <f t="shared" si="13"/>
        <v>7.8368100000000007</v>
      </c>
      <c r="K5" s="305">
        <f t="shared" si="13"/>
        <v>6.2273459999999998</v>
      </c>
      <c r="L5" s="305">
        <f t="shared" si="13"/>
        <v>5.9510999999999896</v>
      </c>
      <c r="M5" s="305">
        <f t="shared" si="13"/>
        <v>7.2597310000000101</v>
      </c>
      <c r="N5" s="305">
        <f t="shared" si="13"/>
        <v>7.037903</v>
      </c>
      <c r="O5" s="305">
        <f t="shared" si="13"/>
        <v>7.0393299999999899</v>
      </c>
      <c r="P5" s="305">
        <f t="shared" si="8"/>
        <v>7.220262</v>
      </c>
      <c r="Q5" s="675">
        <f t="shared" si="9"/>
        <v>7.7087710000000005</v>
      </c>
      <c r="R5" s="675">
        <f t="shared" ref="R5:AA5" si="14">R83/10000</f>
        <v>8.6404529999999991</v>
      </c>
      <c r="S5" s="675">
        <f t="shared" si="14"/>
        <v>-9.2486809999999995</v>
      </c>
      <c r="T5" s="675">
        <f t="shared" si="14"/>
        <v>-11.111196000000001</v>
      </c>
      <c r="U5" s="675">
        <f t="shared" si="14"/>
        <v>-9.8396439999999998</v>
      </c>
      <c r="V5" s="675">
        <f t="shared" si="14"/>
        <v>7.7445270000000006</v>
      </c>
      <c r="W5" s="675">
        <f t="shared" si="3"/>
        <v>7.3903600000000003</v>
      </c>
      <c r="X5" s="675">
        <f t="shared" si="14"/>
        <v>9.3802050000000001</v>
      </c>
      <c r="Y5" s="675">
        <f t="shared" si="14"/>
        <v>7.2241910000000003</v>
      </c>
      <c r="Z5" s="675">
        <f t="shared" si="14"/>
        <v>7.6263479999999992</v>
      </c>
      <c r="AA5" s="675">
        <f t="shared" si="14"/>
        <v>6.5458050000000005</v>
      </c>
      <c r="AB5" s="675">
        <f t="shared" si="11"/>
        <v>7.38232</v>
      </c>
      <c r="AC5" s="675">
        <f t="shared" si="11"/>
        <v>7.3981250000000003</v>
      </c>
      <c r="AD5" s="675">
        <f t="shared" ref="AD5:AM5" si="15">AD83/10000</f>
        <v>7.5286130000000009</v>
      </c>
      <c r="AE5" s="675">
        <f t="shared" si="15"/>
        <v>4.5832860000000002</v>
      </c>
      <c r="AF5" s="675">
        <f t="shared" si="15"/>
        <v>8.8301369999999988</v>
      </c>
      <c r="AG5" s="675">
        <f t="shared" si="15"/>
        <v>8.8254570000000001</v>
      </c>
      <c r="AH5" s="675">
        <f t="shared" si="15"/>
        <v>8.8818229999999989</v>
      </c>
      <c r="AI5" s="675">
        <f t="shared" si="15"/>
        <v>6.2655369999999992</v>
      </c>
      <c r="AJ5" s="675">
        <f t="shared" si="15"/>
        <v>0</v>
      </c>
      <c r="AK5" s="675">
        <f t="shared" si="15"/>
        <v>0</v>
      </c>
      <c r="AL5" s="675">
        <f t="shared" si="15"/>
        <v>0</v>
      </c>
      <c r="AM5" s="675">
        <f t="shared" si="15"/>
        <v>0</v>
      </c>
      <c r="AN5" s="641"/>
      <c r="AO5" s="1675">
        <f>SUMIFS(C5:AA5,$C$1:$AA$1,'#经营概况'!$B$1,$C$2:$AA$2,'#经营概况'!$B$2)-SUMIFS(C5:AA5,$C$1:$AA$1,'#经营概况'!$B$1,$C$2:$AA$2,'#经营概况'!$B$2-1)</f>
        <v>0</v>
      </c>
    </row>
    <row r="6" spans="1:48" ht="17.100000000000001" customHeight="1" thickBot="1">
      <c r="A6" s="659" t="s">
        <v>734</v>
      </c>
      <c r="B6" s="660">
        <f t="shared" si="5"/>
        <v>2.5222999999999999E-2</v>
      </c>
      <c r="C6" s="660">
        <f t="shared" si="5"/>
        <v>8.9750000000000003E-3</v>
      </c>
      <c r="D6" s="660">
        <f t="shared" si="6"/>
        <v>0</v>
      </c>
      <c r="E6" s="660">
        <f t="shared" si="6"/>
        <v>0</v>
      </c>
      <c r="F6" s="660">
        <f t="shared" si="6"/>
        <v>8.7790000000000003E-3</v>
      </c>
      <c r="G6" s="661">
        <f t="shared" si="6"/>
        <v>-0.13800000000000001</v>
      </c>
      <c r="H6" s="661">
        <f t="shared" si="6"/>
        <v>0</v>
      </c>
      <c r="I6" s="674">
        <f t="shared" ref="I6:O6" si="16">I84/10000</f>
        <v>-9.1099999999998994E-4</v>
      </c>
      <c r="J6" s="674">
        <f t="shared" si="16"/>
        <v>0</v>
      </c>
      <c r="K6" s="674">
        <f t="shared" si="16"/>
        <v>0</v>
      </c>
      <c r="L6" s="674">
        <f t="shared" si="16"/>
        <v>1.9071999999999999E-2</v>
      </c>
      <c r="M6" s="674">
        <f t="shared" si="16"/>
        <v>-33.184903999999996</v>
      </c>
      <c r="N6" s="674">
        <f t="shared" si="16"/>
        <v>1.4859999999986E-3</v>
      </c>
      <c r="O6" s="674">
        <f t="shared" si="16"/>
        <v>0</v>
      </c>
      <c r="P6" s="674">
        <f t="shared" si="8"/>
        <v>0</v>
      </c>
      <c r="Q6" s="676">
        <f t="shared" si="9"/>
        <v>0</v>
      </c>
      <c r="R6" s="676">
        <f t="shared" ref="R6:AA6" si="17">R84/10000</f>
        <v>0</v>
      </c>
      <c r="S6" s="676">
        <f t="shared" si="17"/>
        <v>0</v>
      </c>
      <c r="T6" s="676">
        <f t="shared" si="17"/>
        <v>0</v>
      </c>
      <c r="U6" s="676">
        <f t="shared" si="17"/>
        <v>0</v>
      </c>
      <c r="V6" s="676">
        <f t="shared" si="17"/>
        <v>0</v>
      </c>
      <c r="W6" s="676">
        <f t="shared" si="3"/>
        <v>0</v>
      </c>
      <c r="X6" s="676">
        <f t="shared" si="17"/>
        <v>0</v>
      </c>
      <c r="Y6" s="676">
        <f t="shared" si="17"/>
        <v>0</v>
      </c>
      <c r="Z6" s="676">
        <f t="shared" si="17"/>
        <v>0</v>
      </c>
      <c r="AA6" s="676">
        <f t="shared" si="17"/>
        <v>0</v>
      </c>
      <c r="AB6" s="676">
        <f t="shared" si="11"/>
        <v>0</v>
      </c>
      <c r="AC6" s="676">
        <f t="shared" si="11"/>
        <v>0</v>
      </c>
      <c r="AD6" s="676">
        <f t="shared" ref="AD6:AM6" si="18">AD84/10000</f>
        <v>0</v>
      </c>
      <c r="AE6" s="676">
        <f t="shared" si="18"/>
        <v>0</v>
      </c>
      <c r="AF6" s="676">
        <f t="shared" si="18"/>
        <v>0</v>
      </c>
      <c r="AG6" s="676">
        <f t="shared" si="18"/>
        <v>0</v>
      </c>
      <c r="AH6" s="676">
        <f t="shared" si="18"/>
        <v>0</v>
      </c>
      <c r="AI6" s="676">
        <f t="shared" si="18"/>
        <v>0</v>
      </c>
      <c r="AJ6" s="676">
        <f t="shared" si="18"/>
        <v>0</v>
      </c>
      <c r="AK6" s="676">
        <f t="shared" si="18"/>
        <v>0</v>
      </c>
      <c r="AL6" s="676">
        <f t="shared" si="18"/>
        <v>0</v>
      </c>
      <c r="AM6" s="676">
        <f t="shared" si="18"/>
        <v>0</v>
      </c>
      <c r="AN6" s="642"/>
      <c r="AO6" s="1675">
        <f>SUMIFS(C6:AA6,$C$1:$AA$1,'#经营概况'!$B$1,$C$2:$AA$2,'#经营概况'!$B$2)-SUMIFS(C6:AA6,$C$1:$AA$1,'#经营概况'!$B$1,$C$2:$AA$2,'#经营概况'!$B$2-1)</f>
        <v>0</v>
      </c>
    </row>
    <row r="7" spans="1:48" ht="17.100000000000001" customHeight="1">
      <c r="A7" s="656" t="s">
        <v>735</v>
      </c>
      <c r="B7" s="461">
        <f t="shared" ref="B7:C11" si="19">B85/10000</f>
        <v>-3255.6471420000003</v>
      </c>
      <c r="C7" s="461">
        <f t="shared" si="19"/>
        <v>-1587.235588</v>
      </c>
      <c r="D7" s="461">
        <f t="shared" si="6"/>
        <v>-436.70456399999995</v>
      </c>
      <c r="E7" s="461">
        <f t="shared" si="6"/>
        <v>-247.18555000000001</v>
      </c>
      <c r="F7" s="461">
        <f t="shared" si="6"/>
        <v>-287.53189300000003</v>
      </c>
      <c r="G7" s="657">
        <f t="shared" si="6"/>
        <v>-342.074927</v>
      </c>
      <c r="H7" s="658">
        <f t="shared" si="6"/>
        <v>-469.226967</v>
      </c>
      <c r="I7" s="305">
        <f t="shared" ref="I7:O7" si="20">I85/10000</f>
        <v>-4.2325739999998397</v>
      </c>
      <c r="J7" s="305">
        <f t="shared" si="20"/>
        <v>-407.91031200000003</v>
      </c>
      <c r="K7" s="305">
        <f t="shared" si="20"/>
        <v>580.56867799999998</v>
      </c>
      <c r="L7" s="305">
        <f t="shared" si="20"/>
        <v>-324.905215</v>
      </c>
      <c r="M7" s="305">
        <f t="shared" si="20"/>
        <v>-543.87509800000009</v>
      </c>
      <c r="N7" s="305">
        <f t="shared" si="20"/>
        <v>-128.674364</v>
      </c>
      <c r="O7" s="305">
        <f t="shared" si="20"/>
        <v>-1071.0372500000001</v>
      </c>
      <c r="P7" s="305">
        <f t="shared" si="8"/>
        <v>-134.07603999999998</v>
      </c>
      <c r="Q7" s="675">
        <f t="shared" si="9"/>
        <v>-207.94525200000001</v>
      </c>
      <c r="R7" s="675">
        <f t="shared" ref="R7:AA7" si="21">R85/10000</f>
        <v>-693.721541</v>
      </c>
      <c r="S7" s="675">
        <f t="shared" si="21"/>
        <v>-183.39536699999999</v>
      </c>
      <c r="T7" s="675">
        <f t="shared" si="21"/>
        <v>366.88820600000003</v>
      </c>
      <c r="U7" s="675">
        <f t="shared" si="21"/>
        <v>58.587167000000001</v>
      </c>
      <c r="V7" s="675">
        <f t="shared" si="21"/>
        <v>10747.141727</v>
      </c>
      <c r="W7" s="675">
        <f t="shared" si="3"/>
        <v>-348.72691700000001</v>
      </c>
      <c r="X7" s="675">
        <f t="shared" si="21"/>
        <v>-304.05014900000003</v>
      </c>
      <c r="Y7" s="675">
        <f t="shared" si="21"/>
        <v>-321.49695499999996</v>
      </c>
      <c r="Z7" s="675">
        <f t="shared" si="21"/>
        <v>-408.62388500000003</v>
      </c>
      <c r="AA7" s="675">
        <f t="shared" si="21"/>
        <v>-2888.2894679999999</v>
      </c>
      <c r="AB7" s="675">
        <f t="shared" si="11"/>
        <v>-444.80775899999998</v>
      </c>
      <c r="AC7" s="675">
        <f t="shared" si="11"/>
        <v>-415.32342</v>
      </c>
      <c r="AD7" s="675">
        <f t="shared" ref="AD7:AM7" si="22">AD85/10000</f>
        <v>-519.36328800000001</v>
      </c>
      <c r="AE7" s="675">
        <f t="shared" si="22"/>
        <v>-434.09610999999995</v>
      </c>
      <c r="AF7" s="675">
        <f t="shared" si="22"/>
        <v>-434.76638300000002</v>
      </c>
      <c r="AG7" s="675">
        <f t="shared" si="22"/>
        <v>207.834205</v>
      </c>
      <c r="AH7" s="675">
        <f t="shared" si="22"/>
        <v>-936.83819299999993</v>
      </c>
      <c r="AI7" s="675">
        <f t="shared" si="22"/>
        <v>-108.63106500000004</v>
      </c>
      <c r="AJ7" s="675">
        <f t="shared" si="22"/>
        <v>0</v>
      </c>
      <c r="AK7" s="675">
        <f t="shared" si="22"/>
        <v>0</v>
      </c>
      <c r="AL7" s="675">
        <f t="shared" si="22"/>
        <v>0</v>
      </c>
      <c r="AM7" s="675">
        <f t="shared" si="22"/>
        <v>0</v>
      </c>
      <c r="AN7" s="641"/>
      <c r="AO7" s="1675">
        <f>SUMIFS(C7:AA7,$C$1:$AA$1,'#经营概况'!$B$1,$C$2:$AA$2,'#经营概况'!$B$2)-SUMIFS(C7:AA7,$C$1:$AA$1,'#经营概况'!$B$1,$C$2:$AA$2,'#经营概况'!$B$2-1)</f>
        <v>0</v>
      </c>
      <c r="AU7" s="542" t="s">
        <v>1208</v>
      </c>
      <c r="AV7" s="542" t="s">
        <v>1209</v>
      </c>
    </row>
    <row r="8" spans="1:48" ht="17.100000000000001" customHeight="1">
      <c r="A8" s="662" t="s">
        <v>39</v>
      </c>
      <c r="B8" s="468">
        <f t="shared" si="19"/>
        <v>1510.43091</v>
      </c>
      <c r="C8" s="468">
        <f t="shared" si="19"/>
        <v>168.490253</v>
      </c>
      <c r="D8" s="468">
        <f t="shared" si="6"/>
        <v>33.874425000000002</v>
      </c>
      <c r="E8" s="468">
        <f t="shared" si="6"/>
        <v>25.988948000000001</v>
      </c>
      <c r="F8" s="468">
        <f t="shared" si="6"/>
        <v>43.794885000000001</v>
      </c>
      <c r="G8" s="663">
        <f t="shared" si="6"/>
        <v>41.226034999999996</v>
      </c>
      <c r="H8" s="664">
        <f t="shared" si="6"/>
        <v>40.291098999999996</v>
      </c>
      <c r="I8" s="295">
        <f t="shared" ref="I8:O8" si="23">I86/10000</f>
        <v>162.431746</v>
      </c>
      <c r="J8" s="295">
        <f t="shared" si="23"/>
        <v>34.808715999999997</v>
      </c>
      <c r="K8" s="295">
        <f t="shared" si="23"/>
        <v>72.027672999999993</v>
      </c>
      <c r="L8" s="295">
        <f t="shared" si="23"/>
        <v>81.461903000000007</v>
      </c>
      <c r="M8" s="295">
        <f t="shared" si="23"/>
        <v>34.758131000000098</v>
      </c>
      <c r="N8" s="295">
        <f t="shared" si="23"/>
        <v>69.953651000000008</v>
      </c>
      <c r="O8" s="295">
        <f t="shared" si="23"/>
        <v>19704.355832000001</v>
      </c>
      <c r="P8" s="295">
        <f t="shared" si="8"/>
        <v>52.566235999999996</v>
      </c>
      <c r="Q8" s="238">
        <f t="shared" si="9"/>
        <v>61.690768999999996</v>
      </c>
      <c r="R8" s="238">
        <f t="shared" ref="R8:AA8" si="24">R86/10000</f>
        <v>50.783968000000002</v>
      </c>
      <c r="S8" s="238">
        <f t="shared" si="24"/>
        <v>57.187792000000002</v>
      </c>
      <c r="T8" s="238">
        <f t="shared" si="24"/>
        <v>142.08706100000001</v>
      </c>
      <c r="U8" s="238">
        <f t="shared" si="24"/>
        <v>87.806804</v>
      </c>
      <c r="V8" s="238">
        <f t="shared" si="24"/>
        <v>11025.150702999999</v>
      </c>
      <c r="W8" s="238">
        <f t="shared" si="3"/>
        <v>90.730011000000005</v>
      </c>
      <c r="X8" s="238">
        <f t="shared" si="24"/>
        <v>68.753104000000008</v>
      </c>
      <c r="Y8" s="238">
        <f t="shared" si="24"/>
        <v>64.741267000000008</v>
      </c>
      <c r="Z8" s="238">
        <f t="shared" si="24"/>
        <v>62.309738000000003</v>
      </c>
      <c r="AA8" s="238">
        <f t="shared" si="24"/>
        <v>7.3464710000000011</v>
      </c>
      <c r="AB8" s="238">
        <f t="shared" si="11"/>
        <v>74.446682999999993</v>
      </c>
      <c r="AC8" s="238">
        <f t="shared" si="11"/>
        <v>64.702955000000003</v>
      </c>
      <c r="AD8" s="238">
        <f t="shared" ref="AD8:AM8" si="25">AD86/10000</f>
        <v>73.519812999999999</v>
      </c>
      <c r="AE8" s="238">
        <f t="shared" si="25"/>
        <v>102.287796</v>
      </c>
      <c r="AF8" s="238">
        <f t="shared" si="25"/>
        <v>77.869666000000009</v>
      </c>
      <c r="AG8" s="238">
        <f t="shared" si="25"/>
        <v>109.61926200000001</v>
      </c>
      <c r="AH8" s="238">
        <f t="shared" si="25"/>
        <v>108.09796299999999</v>
      </c>
      <c r="AI8" s="238">
        <f t="shared" si="25"/>
        <v>685.10835499999996</v>
      </c>
      <c r="AJ8" s="238">
        <f t="shared" si="25"/>
        <v>0</v>
      </c>
      <c r="AK8" s="238">
        <f t="shared" si="25"/>
        <v>0</v>
      </c>
      <c r="AL8" s="238">
        <f t="shared" si="25"/>
        <v>0</v>
      </c>
      <c r="AM8" s="238">
        <f t="shared" si="25"/>
        <v>0</v>
      </c>
      <c r="AO8" s="1675">
        <f>SUMIFS(C8:AA8,$C$1:$AA$1,'#经营概况'!$B$1,$C$2:$AA$2,'#经营概况'!$B$2)-SUMIFS(C8:AA8,$C$1:$AA$1,'#经营概况'!$B$1,$C$2:$AA$2,'#经营概况'!$B$2-1)</f>
        <v>0</v>
      </c>
      <c r="AT8" s="188" t="s">
        <v>1210</v>
      </c>
      <c r="AU8" s="331">
        <v>-3882.0128930000001</v>
      </c>
      <c r="AV8" s="331">
        <v>-31591.716827999997</v>
      </c>
    </row>
    <row r="9" spans="1:48" ht="17.100000000000001" customHeight="1">
      <c r="A9" s="662" t="s">
        <v>736</v>
      </c>
      <c r="B9" s="468">
        <f t="shared" si="19"/>
        <v>59.495987999999997</v>
      </c>
      <c r="C9" s="468">
        <f t="shared" si="19"/>
        <v>12.853563000000001</v>
      </c>
      <c r="D9" s="468">
        <f t="shared" si="6"/>
        <v>1.5281530000000001</v>
      </c>
      <c r="E9" s="468">
        <f t="shared" si="6"/>
        <v>1.5281530000000001</v>
      </c>
      <c r="F9" s="468">
        <f t="shared" si="6"/>
        <v>1.5281530000000001</v>
      </c>
      <c r="G9" s="663">
        <f t="shared" si="6"/>
        <v>1.5281530000000001</v>
      </c>
      <c r="H9" s="664">
        <f t="shared" si="6"/>
        <v>1.5281530000000001</v>
      </c>
      <c r="I9" s="295">
        <f t="shared" ref="I9:O9" si="26">I87/10000</f>
        <v>11.672614999999999</v>
      </c>
      <c r="J9" s="295">
        <f t="shared" si="26"/>
        <v>1.5281530000000001</v>
      </c>
      <c r="K9" s="295">
        <f t="shared" si="26"/>
        <v>14.881824999999999</v>
      </c>
      <c r="L9" s="295">
        <f t="shared" si="26"/>
        <v>1.92045</v>
      </c>
      <c r="M9" s="295">
        <f t="shared" si="26"/>
        <v>1.5281530000000001</v>
      </c>
      <c r="N9" s="295">
        <f t="shared" si="26"/>
        <v>6.8846949999999998</v>
      </c>
      <c r="O9" s="295">
        <f t="shared" si="26"/>
        <v>27.335622999999998</v>
      </c>
      <c r="P9" s="295">
        <f t="shared" si="8"/>
        <v>1.5535639999999999</v>
      </c>
      <c r="Q9" s="238">
        <f t="shared" si="9"/>
        <v>1.5535639999999999</v>
      </c>
      <c r="R9" s="238">
        <f t="shared" ref="R9:AA9" si="27">R87/10000</f>
        <v>1.5535639999999999</v>
      </c>
      <c r="S9" s="238">
        <f t="shared" si="27"/>
        <v>1.5535639999999999</v>
      </c>
      <c r="T9" s="238">
        <f t="shared" si="27"/>
        <v>1.5535639999999999</v>
      </c>
      <c r="U9" s="238">
        <f t="shared" si="27"/>
        <v>1.5535639999999999</v>
      </c>
      <c r="V9" s="238">
        <f t="shared" si="27"/>
        <v>1.5535639999999999</v>
      </c>
      <c r="W9" s="238">
        <f t="shared" si="3"/>
        <v>1.5535639999999999</v>
      </c>
      <c r="X9" s="238">
        <f t="shared" si="27"/>
        <v>6.0726430000000002</v>
      </c>
      <c r="Y9" s="238">
        <f t="shared" si="27"/>
        <v>1.5535639999999999</v>
      </c>
      <c r="Z9" s="238">
        <f t="shared" si="27"/>
        <v>1.5535639999999999</v>
      </c>
      <c r="AA9" s="238">
        <f t="shared" si="27"/>
        <v>41.857384000000003</v>
      </c>
      <c r="AB9" s="238">
        <f t="shared" si="11"/>
        <v>1.5535639999999999</v>
      </c>
      <c r="AC9" s="238">
        <f t="shared" si="11"/>
        <v>1.5535639999999999</v>
      </c>
      <c r="AD9" s="238">
        <f t="shared" ref="AD9:AM9" si="28">AD87/10000</f>
        <v>1.5535639999999999</v>
      </c>
      <c r="AE9" s="238">
        <f t="shared" si="28"/>
        <v>15.380642000000002</v>
      </c>
      <c r="AF9" s="238">
        <f t="shared" si="28"/>
        <v>10.177099</v>
      </c>
      <c r="AG9" s="238">
        <f t="shared" si="28"/>
        <v>5.4401019999999995</v>
      </c>
      <c r="AH9" s="238">
        <f t="shared" si="28"/>
        <v>6.8821289999999991</v>
      </c>
      <c r="AI9" s="238">
        <f t="shared" si="28"/>
        <v>12.274980000000001</v>
      </c>
      <c r="AJ9" s="238">
        <f t="shared" si="28"/>
        <v>0</v>
      </c>
      <c r="AK9" s="238">
        <f t="shared" si="28"/>
        <v>0</v>
      </c>
      <c r="AL9" s="238">
        <f t="shared" si="28"/>
        <v>0</v>
      </c>
      <c r="AM9" s="238">
        <f t="shared" si="28"/>
        <v>0</v>
      </c>
      <c r="AO9" s="1675">
        <f>SUMIFS(C9:AA9,$C$1:$AA$1,'#经营概况'!$B$1,$C$2:$AA$2,'#经营概况'!$B$2)-SUMIFS(C9:AA9,$C$1:$AA$1,'#经营概况'!$B$1,$C$2:$AA$2,'#经营概况'!$B$2-1)</f>
        <v>0</v>
      </c>
      <c r="AT9" s="188" t="s">
        <v>1211</v>
      </c>
      <c r="AU9" s="331">
        <v>3550.6904970000005</v>
      </c>
      <c r="AV9" s="331">
        <v>-6842.2833989999999</v>
      </c>
    </row>
    <row r="10" spans="1:48" ht="17.100000000000001" customHeight="1">
      <c r="A10" s="662" t="s">
        <v>737</v>
      </c>
      <c r="B10" s="468">
        <f t="shared" ref="B10:H10" si="29">-B88/10000</f>
        <v>-4790.0168170000006</v>
      </c>
      <c r="C10" s="468">
        <f t="shared" si="29"/>
        <v>-1725.3869129999998</v>
      </c>
      <c r="D10" s="468">
        <f t="shared" si="29"/>
        <v>-465.06912</v>
      </c>
      <c r="E10" s="468">
        <f t="shared" si="29"/>
        <v>-267.66463099999999</v>
      </c>
      <c r="F10" s="468">
        <f t="shared" si="29"/>
        <v>-326.61270999999999</v>
      </c>
      <c r="G10" s="663">
        <f t="shared" si="29"/>
        <v>-377.79109500000004</v>
      </c>
      <c r="H10" s="664">
        <f t="shared" si="29"/>
        <v>-504.008197</v>
      </c>
      <c r="I10" s="295">
        <f t="shared" ref="I10:O10" si="30">-I88/10000</f>
        <v>-151.70463999999998</v>
      </c>
      <c r="J10" s="295">
        <f t="shared" si="30"/>
        <v>-437.209159</v>
      </c>
      <c r="K10" s="295">
        <f t="shared" si="30"/>
        <v>527.40454499999998</v>
      </c>
      <c r="L10" s="295">
        <f t="shared" si="30"/>
        <v>-401.10241500000001</v>
      </c>
      <c r="M10" s="295">
        <f t="shared" si="30"/>
        <v>-573.12336100000005</v>
      </c>
      <c r="N10" s="295">
        <f t="shared" si="30"/>
        <v>-187.76160400000001</v>
      </c>
      <c r="O10" s="295">
        <f t="shared" si="30"/>
        <v>-20959.899458</v>
      </c>
      <c r="P10" s="295">
        <f t="shared" ref="P10:AA10" si="31">-P88/10000</f>
        <v>-134.38701799999998</v>
      </c>
      <c r="Q10" s="238">
        <f t="shared" si="31"/>
        <v>-264.10074300000002</v>
      </c>
      <c r="R10" s="238">
        <f t="shared" si="31"/>
        <v>-740.26684899999998</v>
      </c>
      <c r="S10" s="238">
        <f t="shared" si="31"/>
        <v>-235.04788100000002</v>
      </c>
      <c r="T10" s="238">
        <f t="shared" si="31"/>
        <v>270.30759399999999</v>
      </c>
      <c r="U10" s="238">
        <f t="shared" si="31"/>
        <v>-5.1608540000000005</v>
      </c>
      <c r="V10" s="238">
        <f t="shared" si="31"/>
        <v>-261.84379000000001</v>
      </c>
      <c r="W10" s="238">
        <f>-W88/10000</f>
        <v>-426.65343499999994</v>
      </c>
      <c r="X10" s="238">
        <f t="shared" si="31"/>
        <v>-354.579859</v>
      </c>
      <c r="Y10" s="238">
        <f t="shared" si="31"/>
        <v>-370.17256600000002</v>
      </c>
      <c r="Z10" s="238">
        <f t="shared" si="31"/>
        <v>-455.19872099999998</v>
      </c>
      <c r="AA10" s="238">
        <f t="shared" si="31"/>
        <v>-2791.2502800000002</v>
      </c>
      <c r="AB10" s="238">
        <f>-AB88/10000</f>
        <v>-510.70552999999995</v>
      </c>
      <c r="AC10" s="238">
        <f>-AC88/10000</f>
        <v>-471.47746699999999</v>
      </c>
      <c r="AD10" s="238">
        <f t="shared" ref="AD10:AM10" si="32">-AD88/10000</f>
        <v>-584.89097300000003</v>
      </c>
      <c r="AE10" s="238">
        <f t="shared" si="32"/>
        <v>-514.00791800000002</v>
      </c>
      <c r="AF10" s="238">
        <f t="shared" si="32"/>
        <v>-495.46360400000003</v>
      </c>
      <c r="AG10" s="238">
        <f>-AG88/10000</f>
        <v>109.334171</v>
      </c>
      <c r="AH10" s="238">
        <f t="shared" si="32"/>
        <v>-1031.058679</v>
      </c>
      <c r="AI10" s="238">
        <f t="shared" si="32"/>
        <v>-774.46909200000005</v>
      </c>
      <c r="AJ10" s="238">
        <f t="shared" si="32"/>
        <v>0</v>
      </c>
      <c r="AK10" s="238">
        <f t="shared" si="32"/>
        <v>0</v>
      </c>
      <c r="AL10" s="238">
        <f t="shared" si="32"/>
        <v>0</v>
      </c>
      <c r="AM10" s="238">
        <f t="shared" si="32"/>
        <v>0</v>
      </c>
      <c r="AO10" s="1675">
        <f>SUMIFS(C10:AA10,$C$1:$AA$1,'#经营概况'!$B$1,$C$2:$AA$2,'#经营概况'!$B$2)-SUMIFS(C10:AA10,$C$1:$AA$1,'#经营概况'!$B$1,$C$2:$AA$2,'#经营概况'!$B$2-1)</f>
        <v>0</v>
      </c>
      <c r="AT10" t="s">
        <v>795</v>
      </c>
      <c r="AU10" s="331">
        <v>14930.857499999998</v>
      </c>
      <c r="AV10" s="331">
        <v>10119.479281999993</v>
      </c>
    </row>
    <row r="11" spans="1:48" ht="17.100000000000001" customHeight="1">
      <c r="A11" s="662" t="s">
        <v>738</v>
      </c>
      <c r="B11" s="468">
        <f t="shared" si="19"/>
        <v>-1.065485</v>
      </c>
      <c r="C11" s="468">
        <f t="shared" si="19"/>
        <v>-0.66316799999999998</v>
      </c>
      <c r="D11" s="468">
        <f>D89/10000</f>
        <v>0</v>
      </c>
      <c r="E11" s="468">
        <f>E89/10000</f>
        <v>0</v>
      </c>
      <c r="F11" s="468">
        <f>F89/10000</f>
        <v>-0.79580099999999998</v>
      </c>
      <c r="G11" s="663">
        <f>G89/10000</f>
        <v>0</v>
      </c>
      <c r="H11" s="664">
        <f>H89/10000</f>
        <v>0</v>
      </c>
      <c r="I11" s="295">
        <f t="shared" ref="I11:O11" si="33">I89/10000</f>
        <v>-0.69464899999999996</v>
      </c>
      <c r="J11" s="295">
        <f t="shared" si="33"/>
        <v>0</v>
      </c>
      <c r="K11" s="295">
        <f t="shared" si="33"/>
        <v>0</v>
      </c>
      <c r="L11" s="295">
        <f t="shared" si="33"/>
        <v>-0.63746199999999997</v>
      </c>
      <c r="M11" s="295">
        <f t="shared" si="33"/>
        <v>0</v>
      </c>
      <c r="N11" s="295">
        <f t="shared" si="33"/>
        <v>0</v>
      </c>
      <c r="O11" s="295">
        <f t="shared" si="33"/>
        <v>-2.984416</v>
      </c>
      <c r="P11" s="295">
        <f t="shared" ref="P11:AA11" si="34">P89/10000</f>
        <v>0</v>
      </c>
      <c r="Q11" s="238">
        <f t="shared" si="34"/>
        <v>0</v>
      </c>
      <c r="R11" s="238">
        <f t="shared" si="34"/>
        <v>-1.2966200000000001</v>
      </c>
      <c r="S11" s="238">
        <f t="shared" si="34"/>
        <v>0</v>
      </c>
      <c r="T11" s="238">
        <f t="shared" si="34"/>
        <v>0</v>
      </c>
      <c r="U11" s="238">
        <f t="shared" si="34"/>
        <v>-0.8274379999999999</v>
      </c>
      <c r="V11" s="238">
        <f t="shared" si="34"/>
        <v>0</v>
      </c>
      <c r="W11" s="238">
        <f>W89/10000</f>
        <v>0</v>
      </c>
      <c r="X11" s="238">
        <f t="shared" si="34"/>
        <v>-1.3099259999999999</v>
      </c>
      <c r="Y11" s="238">
        <f t="shared" si="34"/>
        <v>0.01</v>
      </c>
      <c r="Z11" s="238">
        <f t="shared" si="34"/>
        <v>0</v>
      </c>
      <c r="AA11" s="238">
        <f t="shared" si="34"/>
        <v>-5.3356620000000001</v>
      </c>
      <c r="AB11" s="238">
        <f>AB89/10000</f>
        <v>0</v>
      </c>
      <c r="AC11" s="238">
        <f>AC89/10000</f>
        <v>0</v>
      </c>
      <c r="AD11" s="238">
        <f t="shared" ref="AD11:AM11" si="35">AD89/10000</f>
        <v>-0.55678400000000006</v>
      </c>
      <c r="AE11" s="238">
        <f t="shared" si="35"/>
        <v>0</v>
      </c>
      <c r="AF11" s="238">
        <f t="shared" si="35"/>
        <v>0</v>
      </c>
      <c r="AG11" s="238">
        <f t="shared" si="35"/>
        <v>-0.62614999999999998</v>
      </c>
      <c r="AH11" s="238">
        <f t="shared" si="35"/>
        <v>0</v>
      </c>
      <c r="AI11" s="238">
        <f t="shared" si="35"/>
        <v>0</v>
      </c>
      <c r="AJ11" s="238">
        <f t="shared" si="35"/>
        <v>0</v>
      </c>
      <c r="AK11" s="238">
        <f t="shared" si="35"/>
        <v>0</v>
      </c>
      <c r="AL11" s="238">
        <f t="shared" si="35"/>
        <v>0</v>
      </c>
      <c r="AM11" s="238">
        <f t="shared" si="35"/>
        <v>0</v>
      </c>
      <c r="AO11" s="1675">
        <f>SUMIFS(C11:AA11,$C$1:$AA$1,'#经营概况'!$B$1,$C$2:$AA$2,'#经营概况'!$B$2)-SUMIFS(C11:AA11,$C$1:$AA$1,'#经营概况'!$B$1,$C$2:$AA$2,'#经营概况'!$B$2-1)</f>
        <v>0</v>
      </c>
      <c r="AT11" t="s">
        <v>796</v>
      </c>
      <c r="AU11" s="331">
        <v>-199.92267399999946</v>
      </c>
      <c r="AV11" s="331">
        <v>131.56454999999914</v>
      </c>
    </row>
    <row r="12" spans="1:48" ht="17.100000000000001" customHeight="1" thickBot="1">
      <c r="A12" s="665" t="s">
        <v>160</v>
      </c>
      <c r="B12" s="666">
        <f t="shared" ref="B12:N12" si="36">B7-(B8+B9+B10+B11)</f>
        <v>-34.491737999999259</v>
      </c>
      <c r="C12" s="666">
        <f t="shared" si="36"/>
        <v>-42.529323000000204</v>
      </c>
      <c r="D12" s="666">
        <f t="shared" si="36"/>
        <v>-7.0380219999999554</v>
      </c>
      <c r="E12" s="666">
        <f t="shared" si="36"/>
        <v>-7.0380200000000173</v>
      </c>
      <c r="F12" s="666">
        <f t="shared" si="36"/>
        <v>-5.446420000000046</v>
      </c>
      <c r="G12" s="667">
        <f t="shared" si="36"/>
        <v>-7.0380199999999604</v>
      </c>
      <c r="H12" s="667">
        <f t="shared" si="36"/>
        <v>-7.0380220000000122</v>
      </c>
      <c r="I12" s="667">
        <f t="shared" si="36"/>
        <v>-25.937645999999869</v>
      </c>
      <c r="J12" s="667">
        <f t="shared" si="36"/>
        <v>-7.0380220000000122</v>
      </c>
      <c r="K12" s="667">
        <f t="shared" si="36"/>
        <v>-33.745364999999993</v>
      </c>
      <c r="L12" s="667">
        <f t="shared" si="36"/>
        <v>-6.5476909999999862</v>
      </c>
      <c r="M12" s="667">
        <f t="shared" si="36"/>
        <v>-7.0380210000001853</v>
      </c>
      <c r="N12" s="667">
        <f t="shared" si="36"/>
        <v>-17.751105999999993</v>
      </c>
      <c r="O12" s="667">
        <f t="shared" ref="O12:AA12" si="37">O7-(O8+O9+O10+O11)</f>
        <v>160.15516899999966</v>
      </c>
      <c r="P12" s="667">
        <f t="shared" si="37"/>
        <v>-53.808821999999992</v>
      </c>
      <c r="Q12" s="677">
        <f t="shared" si="37"/>
        <v>-7.0888419999999712</v>
      </c>
      <c r="R12" s="677">
        <f t="shared" si="37"/>
        <v>-4.4956040000000712</v>
      </c>
      <c r="S12" s="677">
        <f t="shared" si="37"/>
        <v>-7.0888419999999712</v>
      </c>
      <c r="T12" s="677">
        <f t="shared" si="37"/>
        <v>-47.060012999999969</v>
      </c>
      <c r="U12" s="677">
        <f t="shared" si="37"/>
        <v>-24.784908999999992</v>
      </c>
      <c r="V12" s="677">
        <f t="shared" si="37"/>
        <v>-17.718749999998181</v>
      </c>
      <c r="W12" s="677">
        <f>W7-(W8+W9+W10+W11)</f>
        <v>-14.357057000000054</v>
      </c>
      <c r="X12" s="677">
        <f t="shared" si="37"/>
        <v>-22.986111000000051</v>
      </c>
      <c r="Y12" s="677">
        <f t="shared" si="37"/>
        <v>-17.629219999999918</v>
      </c>
      <c r="Z12" s="677">
        <f t="shared" si="37"/>
        <v>-17.288466000000028</v>
      </c>
      <c r="AA12" s="677">
        <f t="shared" si="37"/>
        <v>-140.90738099999999</v>
      </c>
      <c r="AB12" s="677">
        <f>AB7-(AB8+AB9+AB10+AB11)</f>
        <v>-10.102476000000024</v>
      </c>
      <c r="AC12" s="677">
        <f>AC7-(AC8+AC9+AC10+AC11)</f>
        <v>-10.102471999999977</v>
      </c>
      <c r="AD12" s="677">
        <f t="shared" ref="AD12:AM12" si="38">AD7-(AD8+AD9+AD10+AD11)</f>
        <v>-8.9889079999999808</v>
      </c>
      <c r="AE12" s="677">
        <f t="shared" si="38"/>
        <v>-37.756629999999973</v>
      </c>
      <c r="AF12" s="677">
        <f t="shared" si="38"/>
        <v>-27.34954399999998</v>
      </c>
      <c r="AG12" s="677">
        <f t="shared" si="38"/>
        <v>-15.933179999999993</v>
      </c>
      <c r="AH12" s="677">
        <f t="shared" si="38"/>
        <v>-20.759605999999962</v>
      </c>
      <c r="AI12" s="677">
        <f t="shared" si="38"/>
        <v>-31.545307999999977</v>
      </c>
      <c r="AJ12" s="677">
        <f t="shared" si="38"/>
        <v>0</v>
      </c>
      <c r="AK12" s="677">
        <f t="shared" si="38"/>
        <v>0</v>
      </c>
      <c r="AL12" s="677">
        <f t="shared" si="38"/>
        <v>0</v>
      </c>
      <c r="AM12" s="677">
        <f t="shared" si="38"/>
        <v>0</v>
      </c>
      <c r="AN12" s="643"/>
      <c r="AO12" s="1675">
        <f>SUMIFS(C12:AA12,$C$1:$AA$1,'#经营概况'!$B$1,$C$2:$AA$2,'#经营概况'!$B$2)-SUMIFS(C12:AA12,$C$1:$AA$1,'#经营概况'!$B$1,$C$2:$AA$2,'#经营概况'!$B$2-1)</f>
        <v>0</v>
      </c>
      <c r="AT12" t="s">
        <v>797</v>
      </c>
      <c r="AU12" s="331">
        <v>1056.352652</v>
      </c>
      <c r="AV12" s="331">
        <v>859.54366400000004</v>
      </c>
    </row>
    <row r="13" spans="1:48" ht="17.100000000000001" customHeight="1">
      <c r="A13" s="656" t="s">
        <v>739</v>
      </c>
      <c r="B13" s="461">
        <f>B90/10000</f>
        <v>23521.170665000001</v>
      </c>
      <c r="C13" s="461">
        <f>C90/10000</f>
        <v>-12512.679737</v>
      </c>
      <c r="D13" s="461">
        <f t="shared" ref="D13:I13" si="39">D90/10000+D107-D70</f>
        <v>-4641.9957539999996</v>
      </c>
      <c r="E13" s="461">
        <f t="shared" si="39"/>
        <v>-2565.420517</v>
      </c>
      <c r="F13" s="461">
        <f t="shared" si="39"/>
        <v>-4653.2616199999993</v>
      </c>
      <c r="G13" s="461">
        <f t="shared" si="39"/>
        <v>392.83979799999997</v>
      </c>
      <c r="H13" s="305">
        <f t="shared" si="39"/>
        <v>40964.238863999999</v>
      </c>
      <c r="I13" s="305">
        <f t="shared" si="39"/>
        <v>3546.7630589999999</v>
      </c>
      <c r="J13" s="305">
        <f t="shared" ref="J13:P13" si="40">J90/10000+J107-J70-J71</f>
        <v>5816.0728230000004</v>
      </c>
      <c r="K13" s="305">
        <f t="shared" si="40"/>
        <v>11261.923944999999</v>
      </c>
      <c r="L13" s="305">
        <f t="shared" si="40"/>
        <v>14415.275605999999</v>
      </c>
      <c r="M13" s="305">
        <f t="shared" si="40"/>
        <v>11477.798876999999</v>
      </c>
      <c r="N13" s="305">
        <f t="shared" si="40"/>
        <v>16431.399041999997</v>
      </c>
      <c r="O13" s="305">
        <f t="shared" si="40"/>
        <v>6493.9976389999993</v>
      </c>
      <c r="P13" s="305">
        <f t="shared" si="40"/>
        <v>8073.6603450000002</v>
      </c>
      <c r="Q13" s="675">
        <f t="shared" ref="Q13:AA13" si="41">Q90/10000+Q107-Q70-Q71+Q74</f>
        <v>-1080.7410900000004</v>
      </c>
      <c r="R13" s="675">
        <f t="shared" si="41"/>
        <v>11586.262081000001</v>
      </c>
      <c r="S13" s="675">
        <f t="shared" si="41"/>
        <v>8909.8216990000001</v>
      </c>
      <c r="T13" s="675">
        <f t="shared" si="41"/>
        <v>45079.563248000006</v>
      </c>
      <c r="U13" s="675">
        <f t="shared" si="41"/>
        <v>6733.7264030000006</v>
      </c>
      <c r="V13" s="675">
        <f t="shared" si="41"/>
        <v>4637.0934539999998</v>
      </c>
      <c r="W13" s="675">
        <f>W90/10000+W107-W70-W71+W74</f>
        <v>7303.8823480000001</v>
      </c>
      <c r="X13" s="675">
        <f t="shared" si="41"/>
        <v>12561.128975</v>
      </c>
      <c r="Y13" s="675">
        <f t="shared" si="41"/>
        <v>18677.032952000001</v>
      </c>
      <c r="Z13" s="675">
        <f t="shared" si="41"/>
        <v>10182.164495000001</v>
      </c>
      <c r="AA13" s="675">
        <f t="shared" si="41"/>
        <v>89836.573247799999</v>
      </c>
      <c r="AB13" s="675">
        <f>AB90/10000+AB107-AB70-AB71+AB74</f>
        <v>8059.6640510000007</v>
      </c>
      <c r="AC13" s="675">
        <f>AC90/10000+AC107-AC70-AC71+AC74</f>
        <v>10343.413648</v>
      </c>
      <c r="AD13" s="2316">
        <f>AD90/10000+AD107-AD70-AD71+AD74</f>
        <v>-33069.078688000001</v>
      </c>
      <c r="AE13" s="675">
        <f t="shared" ref="AE13:AM13" si="42">AE90/10000+AE107-AE70-AE71+AE74</f>
        <v>4729.468202</v>
      </c>
      <c r="AF13" s="675">
        <f>AF90/10000+AF107-AF70-AF71+AF74</f>
        <v>62917.870300000002</v>
      </c>
      <c r="AG13" s="675">
        <f>AG90/10000+AG107-AG70-AG71+AG74</f>
        <v>39132.615081000004</v>
      </c>
      <c r="AH13" s="675">
        <f>AH90/10000+AH107-AH70-AH71+AH74</f>
        <v>6354.6467100000218</v>
      </c>
      <c r="AI13" s="675">
        <f>AI90/10000+AI107-AI70-AI71+AI74</f>
        <v>11168.637707000029</v>
      </c>
      <c r="AJ13" s="675">
        <f t="shared" si="42"/>
        <v>0</v>
      </c>
      <c r="AK13" s="675">
        <f t="shared" si="42"/>
        <v>0</v>
      </c>
      <c r="AL13" s="675">
        <f t="shared" si="42"/>
        <v>0</v>
      </c>
      <c r="AM13" s="675">
        <f t="shared" si="42"/>
        <v>0</v>
      </c>
      <c r="AN13" s="641"/>
      <c r="AO13" s="1675">
        <f>SUMIFS(C13:AA13,$C$1:$AA$1,'#经营概况'!$B$1,$C$2:$AA$2,'#经营概况'!$B$2)-SUMIFS(C13:AA13,$C$1:$AA$1,'#经营概况'!$B$1,$C$2:$AA$2,'#经营概况'!$B$2-1)</f>
        <v>0</v>
      </c>
      <c r="AT13" t="s">
        <v>798</v>
      </c>
      <c r="AU13" s="331">
        <v>124.70171999999999</v>
      </c>
      <c r="AV13" s="331">
        <v>162.99063999999998</v>
      </c>
    </row>
    <row r="14" spans="1:48" ht="17.100000000000001" customHeight="1">
      <c r="A14" s="668" t="s">
        <v>740</v>
      </c>
      <c r="B14" s="461">
        <f>B91/10000</f>
        <v>361570.41606199997</v>
      </c>
      <c r="C14" s="461">
        <f>C91/10000</f>
        <v>26925.857062999999</v>
      </c>
      <c r="D14" s="461">
        <f>D91/10000</f>
        <v>29833.011767</v>
      </c>
      <c r="E14" s="461">
        <f t="shared" ref="E14:O14" si="43">E91/10000</f>
        <v>33898.728364999995</v>
      </c>
      <c r="F14" s="461">
        <f t="shared" si="43"/>
        <v>25453.717313000001</v>
      </c>
      <c r="G14" s="461">
        <f t="shared" si="43"/>
        <v>34074.175876000001</v>
      </c>
      <c r="H14" s="461">
        <f t="shared" si="43"/>
        <v>32935.634533999997</v>
      </c>
      <c r="I14" s="461">
        <f t="shared" si="43"/>
        <v>32296.106680000001</v>
      </c>
      <c r="J14" s="461">
        <f t="shared" si="43"/>
        <v>40092.393660000002</v>
      </c>
      <c r="K14" s="461">
        <f t="shared" si="43"/>
        <v>39935.517069000001</v>
      </c>
      <c r="L14" s="461">
        <f t="shared" si="43"/>
        <v>51284.696173000004</v>
      </c>
      <c r="M14" s="461">
        <f t="shared" si="43"/>
        <v>50224.853817000003</v>
      </c>
      <c r="N14" s="461">
        <f t="shared" si="43"/>
        <v>53609.207053999999</v>
      </c>
      <c r="O14" s="461">
        <f t="shared" si="43"/>
        <v>54472.254535</v>
      </c>
      <c r="P14" s="461">
        <f t="shared" ref="P14:AA14" si="44">P91/10000</f>
        <v>60443.551991</v>
      </c>
      <c r="Q14" s="675">
        <f t="shared" si="44"/>
        <v>69015.249794000003</v>
      </c>
      <c r="R14" s="675">
        <f t="shared" si="44"/>
        <v>62124.925348000004</v>
      </c>
      <c r="S14" s="675">
        <f t="shared" si="44"/>
        <v>62294.768679999994</v>
      </c>
      <c r="T14" s="675">
        <f t="shared" si="44"/>
        <v>56549.322560000001</v>
      </c>
      <c r="U14" s="675">
        <f t="shared" si="44"/>
        <v>61430.647188999996</v>
      </c>
      <c r="V14" s="675">
        <f t="shared" si="44"/>
        <v>60850.140798</v>
      </c>
      <c r="W14" s="675">
        <f>W91/10000</f>
        <v>68121.122831000001</v>
      </c>
      <c r="X14" s="675">
        <f t="shared" si="44"/>
        <v>60766.206578999998</v>
      </c>
      <c r="Y14" s="675">
        <f t="shared" si="44"/>
        <v>67526.341476999994</v>
      </c>
      <c r="Z14" s="675">
        <f t="shared" si="44"/>
        <v>78249.042305999988</v>
      </c>
      <c r="AA14" s="675">
        <f t="shared" si="44"/>
        <v>63030.264861000003</v>
      </c>
      <c r="AB14" s="675">
        <f>AB91/10000</f>
        <v>72116.968615999998</v>
      </c>
      <c r="AC14" s="675">
        <f>AC91/10000</f>
        <v>99635.093294999999</v>
      </c>
      <c r="AD14" s="675">
        <f t="shared" ref="AD14:AM14" si="45">AD91/10000</f>
        <v>99059.371362999998</v>
      </c>
      <c r="AE14" s="675">
        <f t="shared" si="45"/>
        <v>140889.02962399999</v>
      </c>
      <c r="AF14" s="675">
        <f t="shared" si="45"/>
        <v>122882.748628</v>
      </c>
      <c r="AG14" s="675">
        <f t="shared" si="45"/>
        <v>133608.22075799998</v>
      </c>
      <c r="AH14" s="675">
        <f t="shared" si="45"/>
        <v>129558.27604900001</v>
      </c>
      <c r="AI14" s="675">
        <f t="shared" si="45"/>
        <v>132580.76624900001</v>
      </c>
      <c r="AJ14" s="675">
        <f t="shared" si="45"/>
        <v>0</v>
      </c>
      <c r="AK14" s="675">
        <f t="shared" si="45"/>
        <v>0</v>
      </c>
      <c r="AL14" s="675">
        <f t="shared" si="45"/>
        <v>0</v>
      </c>
      <c r="AM14" s="675">
        <f t="shared" si="45"/>
        <v>0</v>
      </c>
      <c r="AN14" s="1831">
        <f>SUM(P14:AA14)</f>
        <v>770401.58441400004</v>
      </c>
      <c r="AO14" s="1675">
        <f>SUMIFS(C14:AA14,$C$1:$AA$1,'#经营概况'!$B$1,$C$2:$AA$2,'#经营概况'!$B$2)-SUMIFS(C14:AA14,$C$1:$AA$1,'#经营概况'!$B$1,$C$2:$AA$2,'#经营概况'!$B$2-1)</f>
        <v>0</v>
      </c>
      <c r="AU14" s="322"/>
      <c r="AV14" s="322"/>
    </row>
    <row r="15" spans="1:48" ht="17.100000000000001" customHeight="1">
      <c r="A15" s="669" t="s">
        <v>741</v>
      </c>
      <c r="B15" s="468">
        <v>361376.03856346098</v>
      </c>
      <c r="C15" s="468">
        <v>26925.857063333999</v>
      </c>
      <c r="D15" s="468">
        <f>'#需填写'!C4/10000</f>
        <v>29833.011767435997</v>
      </c>
      <c r="E15" s="468">
        <f>'#需填写'!D4/10000</f>
        <v>33898.728364999995</v>
      </c>
      <c r="F15" s="468">
        <f>'#需填写'!E4/10000</f>
        <v>25453.717313049998</v>
      </c>
      <c r="G15" s="468">
        <f>'#需填写'!F4/10000</f>
        <v>34074.175876000001</v>
      </c>
      <c r="H15" s="468">
        <f>'#需填写'!G4/10000</f>
        <v>32935.634533999997</v>
      </c>
      <c r="I15" s="468">
        <f>'#需填写'!H4/10000</f>
        <v>32296.106680000001</v>
      </c>
      <c r="J15" s="468">
        <f>'#需填写'!I4/10000</f>
        <v>40092.393660561</v>
      </c>
      <c r="K15" s="468">
        <f>'#需填写'!J4/10000</f>
        <v>39935.517069000001</v>
      </c>
      <c r="L15" s="468">
        <f>'#需填写'!K4/10000</f>
        <v>51284.696173000004</v>
      </c>
      <c r="M15" s="468">
        <f>'#需填写'!L4/10000</f>
        <v>50224.853817000003</v>
      </c>
      <c r="N15" s="468">
        <f>'#需填写'!M4/10000</f>
        <v>53609.207053999999</v>
      </c>
      <c r="O15" s="468">
        <f>'#需填写'!N4/10000</f>
        <v>54472.254535</v>
      </c>
      <c r="P15" s="468">
        <f>'#需填写'!O4/10000</f>
        <v>50655.532961411998</v>
      </c>
      <c r="Q15" s="238">
        <f>'#需填写'!P4/10000</f>
        <v>49558.563817743001</v>
      </c>
      <c r="R15" s="238">
        <f>'#需填写'!Q4/10000</f>
        <v>49155.14587</v>
      </c>
      <c r="S15" s="238">
        <f>'#需填写'!R4/10000</f>
        <v>48940.855176999998</v>
      </c>
      <c r="T15" s="238">
        <f>'#需填写'!S4/10000</f>
        <v>43735.254430000001</v>
      </c>
      <c r="U15" s="238">
        <f>'#需填写'!T4/10000</f>
        <v>51295.740706999997</v>
      </c>
      <c r="V15" s="238">
        <f>'#需填写'!U4/10000</f>
        <v>49927.050561000004</v>
      </c>
      <c r="W15" s="238">
        <f>'#需填写'!V4/10000</f>
        <v>54398.138829999996</v>
      </c>
      <c r="X15" s="238">
        <f>'#需填写'!W4/10000</f>
        <v>54421.451442999998</v>
      </c>
      <c r="Y15" s="238">
        <f>'#需填写'!X4/10000</f>
        <v>54832.355396000006</v>
      </c>
      <c r="Z15" s="238">
        <f>'#需填写'!Y4/10000</f>
        <v>66583.298999999999</v>
      </c>
      <c r="AA15" s="238">
        <f>'#需填写'!Z4/10000</f>
        <v>47378.053786999997</v>
      </c>
      <c r="AB15" s="238">
        <f>'#需填写'!AA4/10000</f>
        <v>56962.488289000001</v>
      </c>
      <c r="AC15" s="238">
        <f>'#需填写'!AB4/10000</f>
        <v>82038.012021000002</v>
      </c>
      <c r="AD15" s="238">
        <f>'#需填写'!AC4/10000</f>
        <v>78673.562204999995</v>
      </c>
      <c r="AE15" s="238">
        <f>'#需填写'!AD4/10000</f>
        <v>116998.228902</v>
      </c>
      <c r="AF15" s="238">
        <f>'#需填写'!AE4/10000</f>
        <v>103293.05646000001</v>
      </c>
      <c r="AG15" s="238">
        <f>'#需填写'!AF4/10000</f>
        <v>108849.6799</v>
      </c>
      <c r="AH15" s="238">
        <f>'#需填写'!AG4/10000</f>
        <v>117955.078494</v>
      </c>
      <c r="AI15" s="238">
        <f>'#需填写'!AH4/10000</f>
        <v>109081.7142</v>
      </c>
      <c r="AJ15" s="238">
        <f>'#需填写'!AI4/10000</f>
        <v>0</v>
      </c>
      <c r="AK15" s="238">
        <f>'#需填写'!AJ4/10000</f>
        <v>0</v>
      </c>
      <c r="AL15" s="238">
        <f>'#需填写'!AK4/10000</f>
        <v>0</v>
      </c>
      <c r="AM15" s="238">
        <f>'#需填写'!AL4/10000</f>
        <v>0</v>
      </c>
      <c r="AO15" s="1675">
        <f>SUMIFS(C15:AA15,$C$1:$AA$1,'#经营概况'!$B$1,$C$2:$AA$2,'#经营概况'!$B$2)-SUMIFS(C15:AA15,$C$1:$AA$1,'#经营概况'!$B$1,$C$2:$AA$2,'#经营概况'!$B$2-1)</f>
        <v>0</v>
      </c>
      <c r="AU15" s="322"/>
      <c r="AV15" s="322"/>
    </row>
    <row r="16" spans="1:48" ht="17.100000000000001" customHeight="1">
      <c r="A16" s="669" t="s">
        <v>742</v>
      </c>
      <c r="B16" s="468"/>
      <c r="C16" s="468"/>
      <c r="D16" s="468"/>
      <c r="E16" s="468"/>
      <c r="F16" s="468"/>
      <c r="G16" s="468"/>
      <c r="H16" s="468"/>
      <c r="I16" s="468"/>
      <c r="J16" s="468"/>
      <c r="K16" s="468"/>
      <c r="L16" s="468"/>
      <c r="M16" s="468"/>
      <c r="N16" s="468"/>
      <c r="O16" s="468"/>
      <c r="P16" s="468">
        <f>'#需填写'!O6/10000</f>
        <v>9788.0190304000007</v>
      </c>
      <c r="Q16" s="468">
        <f>'#需填写'!P6/10000</f>
        <v>19456.685975508</v>
      </c>
      <c r="R16" s="670">
        <f>'#需填写'!Q6/10000</f>
        <v>12969.779506839999</v>
      </c>
      <c r="S16" s="670">
        <f>'#需填写'!R6/10000</f>
        <v>13353.913502568001</v>
      </c>
      <c r="T16" s="670">
        <f>'#需填写'!S6/10000</f>
        <v>12814.068129984</v>
      </c>
      <c r="U16" s="670">
        <f>'#需填写'!T6/10000</f>
        <v>10134.906482294</v>
      </c>
      <c r="V16" s="670">
        <f>'#需填写'!U6/10000</f>
        <v>10923.090237</v>
      </c>
      <c r="W16" s="670">
        <f>'#需填写'!V6/10000</f>
        <v>13722.984003</v>
      </c>
      <c r="X16" s="670">
        <f>'#需填写'!W6/10000</f>
        <v>6344.7551359999998</v>
      </c>
      <c r="Y16" s="670">
        <f>'#需填写'!X6/10000</f>
        <v>12693.986081000001</v>
      </c>
      <c r="Z16" s="670">
        <f>'#需填写'!Y6/10000</f>
        <v>11665.743286000001</v>
      </c>
      <c r="AA16" s="670">
        <f>'#需填写'!Z6/10000</f>
        <v>15652.211074000001</v>
      </c>
      <c r="AB16" s="670">
        <f>'#需填写'!AA6/10000</f>
        <v>15154.480327000001</v>
      </c>
      <c r="AC16" s="670">
        <f>'#需填写'!AB6/10000</f>
        <v>17597.081274</v>
      </c>
      <c r="AD16" s="670">
        <f>'#需填写'!AC6/10000</f>
        <v>20385.809158</v>
      </c>
      <c r="AE16" s="670">
        <f>'#需填写'!AD6/10000</f>
        <v>23890.800722</v>
      </c>
      <c r="AF16" s="670">
        <f>'#需填写'!AE6/10000</f>
        <v>19589.692168000001</v>
      </c>
      <c r="AG16" s="670">
        <f>'#需填写'!AF6/10000</f>
        <v>24758.540843999999</v>
      </c>
      <c r="AH16" s="670">
        <f>'#需填写'!AG6/10000</f>
        <v>11604.197554999999</v>
      </c>
      <c r="AI16" s="670">
        <f>'#需填写'!AH6/10000</f>
        <v>23499.052028999999</v>
      </c>
      <c r="AJ16" s="670">
        <f>'#需填写'!AI6/10000</f>
        <v>0</v>
      </c>
      <c r="AK16" s="670">
        <f>'#需填写'!AJ6/10000</f>
        <v>0</v>
      </c>
      <c r="AL16" s="670">
        <f>'#需填写'!AK6/10000</f>
        <v>0</v>
      </c>
      <c r="AM16" s="670">
        <f>'#需填写'!AL6/10000</f>
        <v>0</v>
      </c>
      <c r="AO16" s="1675">
        <f>SUMIFS(C16:AA16,$C$1:$AA$1,'#经营概况'!$B$1,$C$2:$AA$2,'#经营概况'!$B$2)-SUMIFS(C16:AA16,$C$1:$AA$1,'#经营概况'!$B$1,$C$2:$AA$2,'#经营概况'!$B$2-1)</f>
        <v>0</v>
      </c>
      <c r="AU16" s="322"/>
      <c r="AV16" s="322"/>
    </row>
    <row r="17" spans="1:48" ht="17.100000000000001" customHeight="1">
      <c r="A17" s="669" t="s">
        <v>160</v>
      </c>
      <c r="B17" s="468">
        <f t="shared" ref="B17:G17" si="46">B14-B15</f>
        <v>194.37749853899004</v>
      </c>
      <c r="C17" s="468">
        <f t="shared" si="46"/>
        <v>-3.3399919630028307E-7</v>
      </c>
      <c r="D17" s="468">
        <f t="shared" si="46"/>
        <v>-4.3599720811471343E-7</v>
      </c>
      <c r="E17" s="468">
        <f t="shared" si="46"/>
        <v>0</v>
      </c>
      <c r="F17" s="468">
        <f t="shared" si="46"/>
        <v>-4.9996742745861411E-8</v>
      </c>
      <c r="G17" s="468">
        <f t="shared" si="46"/>
        <v>0</v>
      </c>
      <c r="H17" s="670">
        <f>H14-H15-H16</f>
        <v>0</v>
      </c>
      <c r="I17" s="670">
        <f t="shared" ref="I17:T17" si="47">I14-I15-I16</f>
        <v>0</v>
      </c>
      <c r="J17" s="670">
        <f t="shared" si="47"/>
        <v>-5.6099815992638469E-7</v>
      </c>
      <c r="K17" s="670">
        <f t="shared" si="47"/>
        <v>0</v>
      </c>
      <c r="L17" s="670">
        <f t="shared" si="47"/>
        <v>0</v>
      </c>
      <c r="M17" s="670">
        <f t="shared" si="47"/>
        <v>0</v>
      </c>
      <c r="N17" s="670">
        <f t="shared" si="47"/>
        <v>0</v>
      </c>
      <c r="O17" s="670">
        <f t="shared" si="47"/>
        <v>0</v>
      </c>
      <c r="P17" s="670">
        <f t="shared" si="47"/>
        <v>-8.1199868873227388E-7</v>
      </c>
      <c r="Q17" s="670">
        <f t="shared" si="47"/>
        <v>7.4900162871927023E-7</v>
      </c>
      <c r="R17" s="670">
        <f t="shared" si="47"/>
        <v>-2.8839995138696395E-5</v>
      </c>
      <c r="S17" s="670">
        <f t="shared" si="47"/>
        <v>4.3199543142691255E-7</v>
      </c>
      <c r="T17" s="670">
        <f t="shared" si="47"/>
        <v>1.5999830793589354E-8</v>
      </c>
      <c r="U17" s="670">
        <f t="shared" ref="U17:AB17" si="48">U14-U15-U16</f>
        <v>-2.9400143830571324E-7</v>
      </c>
      <c r="V17" s="670">
        <f t="shared" si="48"/>
        <v>0</v>
      </c>
      <c r="W17" s="670">
        <f t="shared" si="48"/>
        <v>-1.9999952201033011E-6</v>
      </c>
      <c r="X17" s="670">
        <f t="shared" si="48"/>
        <v>0</v>
      </c>
      <c r="Y17" s="670">
        <f t="shared" si="48"/>
        <v>0</v>
      </c>
      <c r="Z17" s="670">
        <f t="shared" si="48"/>
        <v>1.9999988580821082E-5</v>
      </c>
      <c r="AA17" s="670">
        <f t="shared" si="48"/>
        <v>0</v>
      </c>
      <c r="AB17" s="670">
        <f t="shared" si="48"/>
        <v>0</v>
      </c>
      <c r="AC17" s="670">
        <f t="shared" ref="AC17:AM17" si="49">AC14-AC15-AC16</f>
        <v>0</v>
      </c>
      <c r="AD17" s="670">
        <f t="shared" si="49"/>
        <v>0</v>
      </c>
      <c r="AE17" s="670">
        <f t="shared" si="49"/>
        <v>0</v>
      </c>
      <c r="AF17" s="670">
        <f t="shared" si="49"/>
        <v>0</v>
      </c>
      <c r="AG17" s="670">
        <f t="shared" si="49"/>
        <v>1.3999979273648933E-5</v>
      </c>
      <c r="AH17" s="670">
        <f t="shared" si="49"/>
        <v>-0.99999999999272404</v>
      </c>
      <c r="AI17" s="670">
        <f t="shared" si="49"/>
        <v>2.0000006770715117E-5</v>
      </c>
      <c r="AJ17" s="670">
        <f t="shared" si="49"/>
        <v>0</v>
      </c>
      <c r="AK17" s="670">
        <f t="shared" si="49"/>
        <v>0</v>
      </c>
      <c r="AL17" s="670">
        <f t="shared" si="49"/>
        <v>0</v>
      </c>
      <c r="AM17" s="670">
        <f t="shared" si="49"/>
        <v>0</v>
      </c>
      <c r="AO17" s="1675">
        <f>SUMIFS(C17:AA17,$C$1:$AA$1,'#经营概况'!$B$1,$C$2:$AA$2,'#经营概况'!$B$2)-SUMIFS(C17:AA17,$C$1:$AA$1,'#经营概况'!$B$1,$C$2:$AA$2,'#经营概况'!$B$2-1)</f>
        <v>0</v>
      </c>
      <c r="AU17" s="322"/>
      <c r="AV17" s="322"/>
    </row>
    <row r="18" spans="1:48" ht="17.100000000000001" customHeight="1">
      <c r="A18" s="671" t="s">
        <v>743</v>
      </c>
      <c r="B18" s="461">
        <f>-B92/10000</f>
        <v>-242926.83981900002</v>
      </c>
      <c r="C18" s="461">
        <f>-C92/10000</f>
        <v>-12218.057009</v>
      </c>
      <c r="D18" s="461">
        <f>-D92/10000-D70</f>
        <v>-21033.648398999998</v>
      </c>
      <c r="E18" s="461">
        <f>-E92/10000-E70</f>
        <v>-23624.519094000003</v>
      </c>
      <c r="F18" s="461">
        <f>-F92/10000-F70</f>
        <v>-16773.892345</v>
      </c>
      <c r="G18" s="461">
        <f>-G92/10000-G70</f>
        <v>-21367.486849000001</v>
      </c>
      <c r="H18" s="461">
        <f>-H92/10000-H70</f>
        <v>-19108.674362999998</v>
      </c>
      <c r="I18" s="461">
        <f>-I92/10000-I70-I72</f>
        <v>-18266.161007999999</v>
      </c>
      <c r="J18" s="461">
        <f>-J92/10000-J70</f>
        <v>-23467.501390999998</v>
      </c>
      <c r="K18" s="461">
        <f>-K92/10000+K72</f>
        <v>-21897.373025999997</v>
      </c>
      <c r="L18" s="461">
        <f>-L92/10000+L72</f>
        <v>-26899.767593</v>
      </c>
      <c r="M18" s="461">
        <f>-M92/10000+M72</f>
        <v>-26535.498905</v>
      </c>
      <c r="N18" s="461">
        <f>-N92/10000-N70</f>
        <v>-28587.834334999996</v>
      </c>
      <c r="O18" s="461">
        <f>-O92/10000+O72</f>
        <v>-43420.942741000006</v>
      </c>
      <c r="P18" s="461">
        <f t="shared" ref="P18:W18" si="50">-P92/10000-P70-P71</f>
        <v>-38875.966629000002</v>
      </c>
      <c r="Q18" s="678">
        <f t="shared" si="50"/>
        <v>-51112.375992000001</v>
      </c>
      <c r="R18" s="678">
        <f t="shared" si="50"/>
        <v>-44271.509045000006</v>
      </c>
      <c r="S18" s="678">
        <f t="shared" si="50"/>
        <v>-44247.662942000003</v>
      </c>
      <c r="T18" s="678">
        <f t="shared" si="50"/>
        <v>-40873.998011999996</v>
      </c>
      <c r="U18" s="678">
        <f t="shared" si="50"/>
        <v>-44805.237148000007</v>
      </c>
      <c r="V18" s="678">
        <f t="shared" si="50"/>
        <v>-47142.472037</v>
      </c>
      <c r="W18" s="678">
        <f t="shared" si="50"/>
        <v>-50329.993661</v>
      </c>
      <c r="X18" s="678">
        <f t="shared" ref="X18:AC18" si="51">-X92/10000-X70-X71-X72</f>
        <v>-36469.283063999996</v>
      </c>
      <c r="Y18" s="678">
        <f t="shared" si="51"/>
        <v>-53305.412805999993</v>
      </c>
      <c r="Z18" s="678">
        <f t="shared" si="51"/>
        <v>-60809.239055999999</v>
      </c>
      <c r="AA18" s="678">
        <f t="shared" si="51"/>
        <v>-60442.006577</v>
      </c>
      <c r="AB18" s="678">
        <f t="shared" si="51"/>
        <v>-59030.367979999995</v>
      </c>
      <c r="AC18" s="678">
        <f t="shared" si="51"/>
        <v>-76625.583544000008</v>
      </c>
      <c r="AD18" s="678">
        <f>-AD92/10000-AD70-AD71-AD72</f>
        <v>-132920.754881</v>
      </c>
      <c r="AE18" s="678">
        <f t="shared" ref="AE18:AM18" si="52">-AE92/10000-AE70-AE71-AE72</f>
        <v>-131632.45850499999</v>
      </c>
      <c r="AF18" s="678">
        <f>-AF92/10000-AF70-AF71-AF72</f>
        <v>-113534.02894600001</v>
      </c>
      <c r="AG18" s="678">
        <f t="shared" si="52"/>
        <v>-123385.686246</v>
      </c>
      <c r="AH18" s="678">
        <f t="shared" si="52"/>
        <v>-125181.35435199999</v>
      </c>
      <c r="AI18" s="678">
        <f t="shared" si="52"/>
        <v>-126846.74689000001</v>
      </c>
      <c r="AJ18" s="678">
        <f t="shared" si="52"/>
        <v>0</v>
      </c>
      <c r="AK18" s="678">
        <f t="shared" si="52"/>
        <v>0</v>
      </c>
      <c r="AL18" s="678">
        <f t="shared" si="52"/>
        <v>0</v>
      </c>
      <c r="AM18" s="678">
        <f t="shared" si="52"/>
        <v>0</v>
      </c>
      <c r="AN18" s="641"/>
      <c r="AO18" s="1675">
        <f>SUMIFS(C18:AA18,$C$1:$AA$1,'#经营概况'!$B$1,$C$2:$AA$2,'#经营概况'!$B$2)-SUMIFS(C18:AA18,$C$1:$AA$1,'#经营概况'!$B$1,$C$2:$AA$2,'#经营概况'!$B$2-1)</f>
        <v>0</v>
      </c>
      <c r="AU18" s="322"/>
      <c r="AV18" s="322"/>
    </row>
    <row r="19" spans="1:48" ht="17.100000000000001" customHeight="1">
      <c r="A19" s="669" t="s">
        <v>744</v>
      </c>
      <c r="B19" s="468">
        <v>-311780.5939186</v>
      </c>
      <c r="C19" s="468">
        <v>-23825.654010099999</v>
      </c>
      <c r="D19" s="468">
        <f>-'#需填写'!C5/10000</f>
        <v>-25842.333110600001</v>
      </c>
      <c r="E19" s="468">
        <f>-'#需填写'!D5/10000</f>
        <v>-28610.417683</v>
      </c>
      <c r="F19" s="468">
        <f>-'#需填写'!E5/10000</f>
        <v>-20880.636750000001</v>
      </c>
      <c r="G19" s="468">
        <f>-'#需填写'!F5/10000</f>
        <v>-27197.331655999998</v>
      </c>
      <c r="H19" s="468">
        <f>-'#需填写'!G5/10000</f>
        <v>-25446.258685000001</v>
      </c>
      <c r="I19" s="468">
        <f>-'#需填写'!H5/10000</f>
        <v>-25447.575277</v>
      </c>
      <c r="J19" s="468">
        <f>-'#需填写'!I5/10000</f>
        <v>-30006.777307</v>
      </c>
      <c r="K19" s="468">
        <f>-'#需填写'!J5/10000</f>
        <v>-27999.822373000003</v>
      </c>
      <c r="L19" s="468">
        <f>-'#需填写'!K5/10000</f>
        <v>-34604.204776499995</v>
      </c>
      <c r="M19" s="468">
        <f>-'#需填写'!L5/10000</f>
        <v>-33019.798242999997</v>
      </c>
      <c r="N19" s="468">
        <f>-'#需填写'!M5/10000</f>
        <v>-35861.041349400002</v>
      </c>
      <c r="O19" s="468">
        <f>-'#需填写'!N5/10000</f>
        <v>-36130.426894199998</v>
      </c>
      <c r="P19" s="468">
        <f>-'#需填写'!O5/10000</f>
        <v>-34351.274927099999</v>
      </c>
      <c r="Q19" s="238">
        <f>-'#需填写'!P5/10000</f>
        <v>-35489.0288621</v>
      </c>
      <c r="R19" s="238">
        <f>-'#需填写'!Q5/10000</f>
        <v>-35896.920944700003</v>
      </c>
      <c r="S19" s="238">
        <f>-'#需填写'!R5/10000</f>
        <v>-36623.088222300001</v>
      </c>
      <c r="T19" s="238">
        <f>-'#需填写'!S5/10000</f>
        <v>-33656.248453799999</v>
      </c>
      <c r="U19" s="238">
        <f>-'#需填写'!T5/10000</f>
        <v>-38830.040619300002</v>
      </c>
      <c r="V19" s="238">
        <f>-'#需填写'!U5/10000</f>
        <v>-37030.324212</v>
      </c>
      <c r="W19" s="1548">
        <f>-'#需填写'!V5/10000</f>
        <v>-39232.187194999999</v>
      </c>
      <c r="X19" s="238">
        <f>-'#需填写'!W5/10000</f>
        <v>-35891.795016999997</v>
      </c>
      <c r="Y19" s="238">
        <f>-'#需填写'!X5/10000</f>
        <v>-41126.283162</v>
      </c>
      <c r="Z19" s="238">
        <f>-'#需填写'!Y5/10000</f>
        <v>-51652.441500000001</v>
      </c>
      <c r="AA19" s="238">
        <f>-'#需填写'!Z5/10000</f>
        <v>-37258.574505000004</v>
      </c>
      <c r="AB19" s="238">
        <f>-'#需填写'!AA5/10000</f>
        <v>-49232.660560000004</v>
      </c>
      <c r="AC19" s="238">
        <f>-'#需填写'!AB5/10000</f>
        <v>-67627.464009999996</v>
      </c>
      <c r="AD19" s="238">
        <f>-'#需填写'!AC5/10000</f>
        <v>-97061.328550999999</v>
      </c>
      <c r="AE19" s="238">
        <f>-'#需填写'!AD5/10000</f>
        <v>-107284.92799200001</v>
      </c>
      <c r="AF19" s="238">
        <f>-'#需填写'!AE5/10000</f>
        <v>-93880.604181999995</v>
      </c>
      <c r="AG19" s="238">
        <f>-'#需填写'!AF5/10000</f>
        <v>-98490.044309999997</v>
      </c>
      <c r="AH19" s="238">
        <f>-'#需填写'!AG5/10000</f>
        <v>-112921.404255</v>
      </c>
      <c r="AI19" s="238">
        <f>-'#需填写'!AH5/10000</f>
        <v>-103014.195269</v>
      </c>
      <c r="AJ19" s="238">
        <f>-'#需填写'!AI5/10000</f>
        <v>0</v>
      </c>
      <c r="AK19" s="238">
        <f>-'#需填写'!AJ5/10000</f>
        <v>0</v>
      </c>
      <c r="AL19" s="238">
        <f>-'#需填写'!AK5/10000</f>
        <v>0</v>
      </c>
      <c r="AM19" s="238">
        <f>-'#需填写'!AL5/10000</f>
        <v>0</v>
      </c>
      <c r="AO19" s="1675">
        <f>SUMIFS(C19:AA19,$C$1:$AA$1,'#经营概况'!$B$1,$C$2:$AA$2,'#经营概况'!$B$2)-SUMIFS(C19:AA19,$C$1:$AA$1,'#经营概况'!$B$1,$C$2:$AA$2,'#经营概况'!$B$2-1)</f>
        <v>0</v>
      </c>
      <c r="AU19" s="322"/>
      <c r="AV19" s="322"/>
    </row>
    <row r="20" spans="1:48" ht="17.100000000000001" customHeight="1">
      <c r="A20" s="669" t="s">
        <v>745</v>
      </c>
      <c r="B20" s="468"/>
      <c r="C20" s="468"/>
      <c r="D20" s="468"/>
      <c r="E20" s="468"/>
      <c r="F20" s="468"/>
      <c r="G20" s="468"/>
      <c r="H20" s="468"/>
      <c r="I20" s="468"/>
      <c r="J20" s="468"/>
      <c r="K20" s="468"/>
      <c r="L20" s="468"/>
      <c r="M20" s="468"/>
      <c r="N20" s="468"/>
      <c r="O20" s="468"/>
      <c r="P20" s="468">
        <f>-'#需填写'!O7/10000</f>
        <v>-8403.5536325000012</v>
      </c>
      <c r="Q20" s="468">
        <f>-'#需填写'!P7/10000</f>
        <v>-18086.7331457</v>
      </c>
      <c r="R20" s="670">
        <f>-'#需填写'!Q7/10000</f>
        <v>-12580.619025</v>
      </c>
      <c r="S20" s="670">
        <f>-'#需填写'!R7/10000</f>
        <v>-13157.9478</v>
      </c>
      <c r="T20" s="670">
        <f>-'#需填写'!S7/10000</f>
        <v>-12720.44565</v>
      </c>
      <c r="U20" s="670">
        <f>-'#需填写'!T7/10000</f>
        <v>-12379.368525</v>
      </c>
      <c r="V20" s="670">
        <f>-'#需填写'!U7/10000</f>
        <v>-10578.239625</v>
      </c>
      <c r="W20" s="1547">
        <f>-'#需填写'!V7/10000</f>
        <v>-13694.135025</v>
      </c>
      <c r="X20" s="670">
        <f>-'#需填写'!W7/10000</f>
        <v>-5796.908625</v>
      </c>
      <c r="Y20" s="670">
        <f>-'#需填写'!X7/10000</f>
        <v>-13365.362426</v>
      </c>
      <c r="Z20" s="670">
        <f>-'#需填写'!Y7/10000</f>
        <v>-11865.66596</v>
      </c>
      <c r="AA20" s="670">
        <f>-'#需填写'!Z7/10000</f>
        <v>-15520.646524000002</v>
      </c>
      <c r="AB20" s="670">
        <f>-'#需填写'!AA7/10000</f>
        <v>-14573.571008000001</v>
      </c>
      <c r="AC20" s="670">
        <f>-'#需填写'!AB7/10000</f>
        <v>-16876.147426</v>
      </c>
      <c r="AD20" s="670">
        <f>-'#需填写'!AC7/10000</f>
        <v>-21544.479577000002</v>
      </c>
      <c r="AE20" s="670">
        <f>-'#需填写'!AD7/10000</f>
        <v>-23843.926390000001</v>
      </c>
      <c r="AF20" s="670">
        <f>-'#需填写'!AE7/10000</f>
        <v>-19653.424763999999</v>
      </c>
      <c r="AG20" s="670">
        <f>-'#需填写'!AF7/10000</f>
        <v>-24895.641936</v>
      </c>
      <c r="AH20" s="670">
        <f>-'#需填写'!AG7/10000</f>
        <v>-11739.083409999999</v>
      </c>
      <c r="AI20" s="670">
        <f>-'#需填写'!AH7/10000</f>
        <v>-23699.332938</v>
      </c>
      <c r="AJ20" s="670">
        <f>-'#需填写'!AI7/10000</f>
        <v>0</v>
      </c>
      <c r="AK20" s="670">
        <f>-'#需填写'!AJ7/10000</f>
        <v>0</v>
      </c>
      <c r="AL20" s="670">
        <f>-'#需填写'!AK7/10000</f>
        <v>0</v>
      </c>
      <c r="AM20" s="670">
        <f>-'#需填写'!AL7/10000</f>
        <v>0</v>
      </c>
      <c r="AO20" s="1675">
        <f>SUMIFS(C20:AA20,$C$1:$AA$1,'#经营概况'!$B$1,$C$2:$AA$2,'#经营概况'!$B$2)-SUMIFS(C20:AA20,$C$1:$AA$1,'#经营概况'!$B$1,$C$2:$AA$2,'#经营概况'!$B$2-1)</f>
        <v>0</v>
      </c>
      <c r="AU20" s="322"/>
      <c r="AV20" s="322"/>
    </row>
    <row r="21" spans="1:48" ht="17.100000000000001" customHeight="1">
      <c r="A21" s="669" t="s">
        <v>746</v>
      </c>
      <c r="B21" s="468">
        <v>87612.502494999993</v>
      </c>
      <c r="C21" s="468">
        <v>5216.1582070000004</v>
      </c>
      <c r="D21" s="468">
        <f>'#需填写'!C8/10000</f>
        <v>6160.1260940000002</v>
      </c>
      <c r="E21" s="468">
        <f>'#需填写'!D8/10000</f>
        <v>6253.3065280000001</v>
      </c>
      <c r="F21" s="468">
        <f>'#需填写'!E8/10000</f>
        <v>5430.7701059999999</v>
      </c>
      <c r="G21" s="468">
        <f>'#需填写'!F8/10000</f>
        <v>7103.0647510000008</v>
      </c>
      <c r="H21" s="468">
        <f>'#需填写'!G8/10000</f>
        <v>7594.9827480000004</v>
      </c>
      <c r="I21" s="468">
        <f>'#需填写'!H8/10000</f>
        <v>8422.013406</v>
      </c>
      <c r="J21" s="468">
        <f>'#需填写'!I8/10000</f>
        <v>7716.0668560000004</v>
      </c>
      <c r="K21" s="468">
        <f>'#需填写'!J8/10000</f>
        <v>7601.3523999999998</v>
      </c>
      <c r="L21" s="468">
        <f>'#需填写'!K8/10000</f>
        <v>8891.8196930000013</v>
      </c>
      <c r="M21" s="468">
        <f>'#需填写'!L8/10000</f>
        <v>7647.083220999999</v>
      </c>
      <c r="N21" s="468">
        <f>'#需填写'!M8/10000</f>
        <v>8506.0708439999999</v>
      </c>
      <c r="O21" s="468">
        <f>'#需填写'!N8/10000</f>
        <v>-6168.0991109999995</v>
      </c>
      <c r="P21" s="468">
        <f>'#需填写'!O8/10000</f>
        <v>4984.0902150000002</v>
      </c>
      <c r="Q21" s="238">
        <f>'#需填写'!P8/10000</f>
        <v>6408.5589490000002</v>
      </c>
      <c r="R21" s="238">
        <f>'#需填写'!Q8/10000</f>
        <v>5113.534541</v>
      </c>
      <c r="S21" s="238">
        <f>'#需填写'!R8/10000</f>
        <v>6434.6874330000001</v>
      </c>
      <c r="T21" s="238">
        <f>'#需填写'!S8/10000</f>
        <v>6399.2239250000002</v>
      </c>
      <c r="U21" s="238">
        <f>'#需填写'!T8/10000+U74</f>
        <v>7282.4856959999997</v>
      </c>
      <c r="V21" s="238">
        <f>'#需填写'!U8/10000</f>
        <v>1336.630363</v>
      </c>
      <c r="W21" s="1548">
        <f>'#需填写'!V8/10000</f>
        <v>6085.5082560000001</v>
      </c>
      <c r="X21" s="238">
        <f>'#需填写'!W8/10000</f>
        <v>6382.3859409999995</v>
      </c>
      <c r="Y21" s="238">
        <f>'#需填写'!X8/10000</f>
        <v>2038.585186</v>
      </c>
      <c r="Z21" s="238">
        <f>'#需填写'!Y8/10000</f>
        <v>3550.6904970000005</v>
      </c>
      <c r="AA21" s="238">
        <f>'#需填写'!Z8/10000</f>
        <v>-6842.2833989999999</v>
      </c>
      <c r="AB21" s="238">
        <f>'#需填写'!AA8/10000</f>
        <v>5390.6310109999995</v>
      </c>
      <c r="AC21" s="238">
        <f>'#需填写'!AB8/10000</f>
        <v>8401.1718149999997</v>
      </c>
      <c r="AD21" s="238">
        <f>'#需填写'!AC8/10000</f>
        <v>-13791.802825999999</v>
      </c>
      <c r="AE21" s="238">
        <f>'#需填写'!AD8/10000</f>
        <v>0</v>
      </c>
      <c r="AF21" s="238">
        <f>'#需填写'!AE8/10000</f>
        <v>0</v>
      </c>
      <c r="AG21" s="238">
        <f>'#需填写'!AF8/10000</f>
        <v>0</v>
      </c>
      <c r="AH21" s="238">
        <f>'#需填写'!AG8/10000</f>
        <v>0</v>
      </c>
      <c r="AI21" s="238">
        <f>'#需填写'!AH8/10000</f>
        <v>0</v>
      </c>
      <c r="AJ21" s="238">
        <f>'#需填写'!AI8/10000</f>
        <v>0</v>
      </c>
      <c r="AK21" s="238">
        <f>'#需填写'!AJ8/10000</f>
        <v>0</v>
      </c>
      <c r="AL21" s="238">
        <f>'#需填写'!AK8/10000</f>
        <v>0</v>
      </c>
      <c r="AM21" s="238">
        <f>'#需填写'!AL8/10000</f>
        <v>0</v>
      </c>
      <c r="AO21" s="1675">
        <f>SUMIFS(C21:AA21,$C$1:$AA$1,'#经营概况'!$B$1,$C$2:$AA$2,'#经营概况'!$B$2)-SUMIFS(C21:AA21,$C$1:$AA$1,'#经营概况'!$B$1,$C$2:$AA$2,'#经营概况'!$B$2-1)</f>
        <v>0</v>
      </c>
    </row>
    <row r="22" spans="1:48" ht="17.100000000000001" customHeight="1">
      <c r="A22" s="669" t="s">
        <v>747</v>
      </c>
      <c r="B22" s="468">
        <f>B23+B24+B25+B26</f>
        <v>-18564.370894999996</v>
      </c>
      <c r="C22" s="468">
        <f>C23+C24+C25+C26</f>
        <v>-1262.398467</v>
      </c>
      <c r="D22" s="468">
        <f t="shared" ref="D22:O22" si="53">D23+D24+D25+D26</f>
        <v>-1351.7921059999999</v>
      </c>
      <c r="E22" s="468">
        <f t="shared" si="53"/>
        <v>-1267.6237749999998</v>
      </c>
      <c r="F22" s="468">
        <f t="shared" si="53"/>
        <v>-1323.9768210000002</v>
      </c>
      <c r="G22" s="468">
        <f t="shared" si="53"/>
        <v>-1273.2199439999999</v>
      </c>
      <c r="H22" s="468">
        <f t="shared" si="53"/>
        <v>-1257.3984260000004</v>
      </c>
      <c r="I22" s="468">
        <f t="shared" si="53"/>
        <v>-1240.5991369999999</v>
      </c>
      <c r="J22" s="468">
        <f t="shared" si="53"/>
        <v>-1176.7909399999999</v>
      </c>
      <c r="K22" s="468">
        <f t="shared" si="53"/>
        <v>-1499.000929</v>
      </c>
      <c r="L22" s="468">
        <f t="shared" si="53"/>
        <v>-1187.382509</v>
      </c>
      <c r="M22" s="468">
        <f t="shared" si="53"/>
        <v>-1162.7838830000001</v>
      </c>
      <c r="N22" s="468">
        <f t="shared" si="53"/>
        <v>-1233.6821029999999</v>
      </c>
      <c r="O22" s="468">
        <f t="shared" si="53"/>
        <v>-1122.4167359999999</v>
      </c>
      <c r="P22" s="468">
        <f t="shared" ref="P22:AA22" si="54">P23+P24+P25+P26</f>
        <v>-1105.2282830000001</v>
      </c>
      <c r="Q22" s="238">
        <f t="shared" si="54"/>
        <v>-926.17293300000006</v>
      </c>
      <c r="R22" s="238">
        <f t="shared" ref="R22:W22" si="55">R23+R24+R25+R26</f>
        <v>-907.50361600000008</v>
      </c>
      <c r="S22" s="238">
        <f t="shared" si="55"/>
        <v>-900.81435299999998</v>
      </c>
      <c r="T22" s="238">
        <f t="shared" si="55"/>
        <v>-896.5278330000001</v>
      </c>
      <c r="U22" s="238">
        <f t="shared" si="55"/>
        <v>-878.31370000000015</v>
      </c>
      <c r="V22" s="238">
        <f t="shared" si="55"/>
        <v>-870.53856300000007</v>
      </c>
      <c r="W22" s="1548">
        <f t="shared" si="55"/>
        <v>-1052.5657930000002</v>
      </c>
      <c r="X22" s="238">
        <f t="shared" si="54"/>
        <v>-1162.9653630000003</v>
      </c>
      <c r="Y22" s="238">
        <f t="shared" si="54"/>
        <v>-852.35240299999987</v>
      </c>
      <c r="Z22" s="238">
        <f t="shared" si="54"/>
        <v>-841.822093</v>
      </c>
      <c r="AA22" s="238">
        <f t="shared" si="54"/>
        <v>-820.50215000000003</v>
      </c>
      <c r="AB22" s="238">
        <f>AB23+AB24+AB25+AB26</f>
        <v>-614.76742262666698</v>
      </c>
      <c r="AC22" s="238">
        <f>AC23+AC24+AC25+AC26</f>
        <v>-523.14392300000009</v>
      </c>
      <c r="AD22" s="238">
        <f t="shared" ref="AD22:AM22" si="56">AD23+AD24+AD25+AD26</f>
        <v>-523.14392300000009</v>
      </c>
      <c r="AE22" s="238">
        <f t="shared" si="56"/>
        <v>-503.60412300000007</v>
      </c>
      <c r="AF22" s="238">
        <f t="shared" si="56"/>
        <v>0</v>
      </c>
      <c r="AG22" s="238">
        <f t="shared" si="56"/>
        <v>0</v>
      </c>
      <c r="AH22" s="238">
        <f t="shared" si="56"/>
        <v>-294.56435099999999</v>
      </c>
      <c r="AI22" s="238">
        <f t="shared" si="56"/>
        <v>0</v>
      </c>
      <c r="AJ22" s="238">
        <f t="shared" si="56"/>
        <v>0</v>
      </c>
      <c r="AK22" s="238">
        <f t="shared" si="56"/>
        <v>0</v>
      </c>
      <c r="AL22" s="238">
        <f t="shared" si="56"/>
        <v>0</v>
      </c>
      <c r="AM22" s="238">
        <f t="shared" si="56"/>
        <v>0</v>
      </c>
      <c r="AO22" s="1675">
        <f>SUMIFS(C22:AA22,$C$1:$AA$1,'#经营概况'!$B$1,$C$2:$AA$2,'#经营概况'!$B$2)-SUMIFS(C22:AA22,$C$1:$AA$1,'#经营概况'!$B$1,$C$2:$AA$2,'#经营概况'!$B$2-1)</f>
        <v>0</v>
      </c>
    </row>
    <row r="23" spans="1:48" ht="17.100000000000001" customHeight="1">
      <c r="A23" s="672" t="s">
        <v>748</v>
      </c>
      <c r="B23" s="468">
        <v>-8531.8633449999998</v>
      </c>
      <c r="C23" s="468">
        <v>-614.41931699999998</v>
      </c>
      <c r="D23" s="468">
        <f>-'#需填写'!C9/10000</f>
        <v>-559.85028</v>
      </c>
      <c r="E23" s="468">
        <f>-'#需填写'!D9/10000</f>
        <v>-538.36300999999992</v>
      </c>
      <c r="F23" s="468">
        <f>-'#需填写'!E9/10000</f>
        <v>-552.67980699999998</v>
      </c>
      <c r="G23" s="468">
        <f>-'#需填写'!F9/10000</f>
        <v>-506.46754000000004</v>
      </c>
      <c r="H23" s="468">
        <f>-'#需填写'!G9/10000</f>
        <v>-494.76732000000004</v>
      </c>
      <c r="I23" s="468">
        <f>-'#需填写'!H9/10000</f>
        <v>-512.64240700000005</v>
      </c>
      <c r="J23" s="468">
        <f>-'#需填写'!I9/10000</f>
        <v>-464.60374999999999</v>
      </c>
      <c r="K23" s="468">
        <f>-'#需填写'!J9/10000</f>
        <v>-672.27704000000006</v>
      </c>
      <c r="L23" s="468">
        <f>-'#需填写'!K9/10000</f>
        <v>-491.52043600000002</v>
      </c>
      <c r="M23" s="468">
        <f>-'#需填写'!L9/10000</f>
        <v>-443.72295000000003</v>
      </c>
      <c r="N23" s="468">
        <f>-'#需填写'!M9/10000</f>
        <v>-428.97804000000002</v>
      </c>
      <c r="O23" s="468">
        <f>-'#需填写'!N9/10000</f>
        <v>-442.69216299999999</v>
      </c>
      <c r="P23" s="468">
        <f>-'#需填写'!O9/10000</f>
        <v>-414.51718</v>
      </c>
      <c r="Q23" s="238">
        <f>-'#需填写'!P9/10000</f>
        <v>-403.02901000000003</v>
      </c>
      <c r="R23" s="238">
        <f>-'#需填写'!Q9/10000</f>
        <v>-384.35969299999999</v>
      </c>
      <c r="S23" s="238">
        <f>-'#需填写'!R9/10000</f>
        <v>-381.00522999999998</v>
      </c>
      <c r="T23" s="238">
        <f>-'#需填写'!S9/10000</f>
        <v>-373.38391000000001</v>
      </c>
      <c r="U23" s="238">
        <f>-'#需填写'!T9/10000</f>
        <v>-355.16977700000001</v>
      </c>
      <c r="V23" s="238">
        <f>-'#需填写'!U9/10000</f>
        <v>-351.06304</v>
      </c>
      <c r="W23" s="238">
        <f>-'#需填写'!V9/10000</f>
        <v>-529.42187000000001</v>
      </c>
      <c r="X23" s="238">
        <f>-'#需填写'!W9/10000</f>
        <v>-340.69423999999998</v>
      </c>
      <c r="Y23" s="238">
        <f>-'#需填写'!X9/10000</f>
        <v>-329.93247999999988</v>
      </c>
      <c r="Z23" s="238">
        <f>-'#需填写'!Y9/10000</f>
        <v>-318.67816999999991</v>
      </c>
      <c r="AA23" s="238">
        <f>-'#需填写'!Z9/10000</f>
        <v>-297.35822699999994</v>
      </c>
      <c r="AB23" s="238">
        <f>-'#需填写'!AA9/10000</f>
        <v>0</v>
      </c>
      <c r="AC23" s="238">
        <f>-'#需填写'!AB9/10000</f>
        <v>0</v>
      </c>
      <c r="AD23" s="238">
        <f>-'#需填写'!AC9/10000</f>
        <v>0</v>
      </c>
      <c r="AE23" s="238">
        <f>-'#需填写'!AD9/10000</f>
        <v>0</v>
      </c>
      <c r="AF23" s="238">
        <f>-'#需填写'!AE9/10000</f>
        <v>0</v>
      </c>
      <c r="AG23" s="238">
        <f>-'#需填写'!AF9/10000</f>
        <v>0</v>
      </c>
      <c r="AH23" s="238">
        <f>-'#需填写'!AG9/10000</f>
        <v>0</v>
      </c>
      <c r="AI23" s="238">
        <f>-'#需填写'!AH9/10000</f>
        <v>0</v>
      </c>
      <c r="AJ23" s="238">
        <f>-'#需填写'!AI9/10000</f>
        <v>0</v>
      </c>
      <c r="AK23" s="238">
        <f>-'#需填写'!AJ9/10000</f>
        <v>0</v>
      </c>
      <c r="AL23" s="238">
        <f>-'#需填写'!AK9/10000</f>
        <v>0</v>
      </c>
      <c r="AM23" s="238">
        <f>-'#需填写'!AL9/10000</f>
        <v>0</v>
      </c>
      <c r="AO23" s="1675">
        <f>SUMIFS(C23:AA23,$C$1:$AA$1,'#经营概况'!$B$1,$C$2:$AA$2,'#经营概况'!$B$2)-SUMIFS(C23:AA23,$C$1:$AA$1,'#经营概况'!$B$1,$C$2:$AA$2,'#经营概况'!$B$2-1)</f>
        <v>0</v>
      </c>
    </row>
    <row r="24" spans="1:48" ht="17.100000000000001" customHeight="1">
      <c r="A24" s="672" t="s">
        <v>749</v>
      </c>
      <c r="B24" s="468">
        <v>-6465.6478479999996</v>
      </c>
      <c r="C24" s="468">
        <v>-547.89815399999998</v>
      </c>
      <c r="D24" s="468">
        <f>-'#需填写'!C10/10000</f>
        <v>-538.05355399999996</v>
      </c>
      <c r="E24" s="468">
        <f>-'#需填写'!D10/10000</f>
        <v>-484.84204699999998</v>
      </c>
      <c r="F24" s="468">
        <f>-'#需填写'!E10/10000</f>
        <v>-533.99610400000006</v>
      </c>
      <c r="G24" s="468">
        <f>-'#需填写'!F10/10000</f>
        <v>-533.66410399999995</v>
      </c>
      <c r="H24" s="468">
        <f>-'#需填写'!G10/10000</f>
        <v>-533.99610400000006</v>
      </c>
      <c r="I24" s="468">
        <f>-'#需填写'!H10/10000</f>
        <v>-500</v>
      </c>
      <c r="J24" s="468">
        <f>-'#需填写'!I10/10000</f>
        <v>-500</v>
      </c>
      <c r="K24" s="468">
        <f>-'#需填写'!J10/10000</f>
        <v>-595.78959900000007</v>
      </c>
      <c r="L24" s="468">
        <f>-'#需填写'!K10/10000</f>
        <v>-532.08173299999999</v>
      </c>
      <c r="M24" s="468">
        <f>-'#需填写'!L10/10000</f>
        <v>-530.79113300000006</v>
      </c>
      <c r="N24" s="468">
        <f>-'#需填写'!M10/10000</f>
        <v>-500.25186300000001</v>
      </c>
      <c r="O24" s="468">
        <f>-'#需填写'!N10/10000</f>
        <v>-508.05416300000002</v>
      </c>
      <c r="P24" s="468">
        <f>-'#需填写'!O10/10000</f>
        <v>-522.3617230000001</v>
      </c>
      <c r="Q24" s="238">
        <f>-'#需填写'!P10/10000</f>
        <v>-523.14392300000009</v>
      </c>
      <c r="R24" s="238">
        <f>-'#需填写'!Q10/10000</f>
        <v>-523.14392300000009</v>
      </c>
      <c r="S24" s="238">
        <f>-'#需填写'!R10/10000</f>
        <v>-519.809123</v>
      </c>
      <c r="T24" s="238">
        <f>-'#需填写'!S10/10000</f>
        <v>-523.14392300000009</v>
      </c>
      <c r="U24" s="238">
        <f>-'#需填写'!T10/10000</f>
        <v>-523.14392300000009</v>
      </c>
      <c r="V24" s="238">
        <f>-'#需填写'!U10/10000</f>
        <v>-519.47552300000007</v>
      </c>
      <c r="W24" s="238">
        <f>-'#需填写'!V10/10000</f>
        <v>-523.14392300000009</v>
      </c>
      <c r="X24" s="238">
        <f>-'#需填写'!W10/10000</f>
        <v>-523.14392300000009</v>
      </c>
      <c r="Y24" s="238">
        <f>-'#需填写'!X10/10000</f>
        <v>-522.41992300000004</v>
      </c>
      <c r="Z24" s="238">
        <f>-'#需填写'!Y10/10000</f>
        <v>-523.14392300000009</v>
      </c>
      <c r="AA24" s="238">
        <f>-'#需填写'!Z10/10000</f>
        <v>-523.14392300000009</v>
      </c>
      <c r="AB24" s="238">
        <f>-'#需填写'!AA10/10000</f>
        <v>-522.58292262666703</v>
      </c>
      <c r="AC24" s="238">
        <f>-'#需填写'!AB10/10000</f>
        <v>-523.14392300000009</v>
      </c>
      <c r="AD24" s="238">
        <f>-'#需填写'!AC10/10000</f>
        <v>-523.14392300000009</v>
      </c>
      <c r="AE24" s="238">
        <f>-'#需填写'!AD10/10000</f>
        <v>-503.60412300000007</v>
      </c>
      <c r="AF24" s="2510"/>
      <c r="AG24" s="2510"/>
      <c r="AH24" s="2510"/>
      <c r="AI24" s="2510"/>
      <c r="AJ24" s="2510"/>
      <c r="AK24" s="2510"/>
      <c r="AL24" s="2510"/>
      <c r="AM24" s="2510"/>
      <c r="AN24" s="2511"/>
      <c r="AO24" s="1675">
        <f>SUMIFS(C24:AA24,$C$1:$AA$1,'#经营概况'!$B$1,$C$2:$AA$2,'#经营概况'!$B$2)-SUMIFS(C24:AA24,$C$1:$AA$1,'#经营概况'!$B$1,$C$2:$AA$2,'#经营概况'!$B$2-1)</f>
        <v>0</v>
      </c>
    </row>
    <row r="25" spans="1:48" ht="17.100000000000001" customHeight="1">
      <c r="A25" s="672" t="s">
        <v>750</v>
      </c>
      <c r="B25" s="468">
        <v>-3607.5418399999999</v>
      </c>
      <c r="C25" s="468">
        <v>-249.30967000000001</v>
      </c>
      <c r="D25" s="468">
        <f>-'#需填写'!C11/10000</f>
        <v>-253.71291000000002</v>
      </c>
      <c r="E25" s="468">
        <f>-'#需填写'!D11/10000</f>
        <v>-244.3108</v>
      </c>
      <c r="F25" s="468">
        <f>-'#需填写'!E11/10000</f>
        <v>-237.32534999999999</v>
      </c>
      <c r="G25" s="468">
        <f>-'#需填写'!F11/10000</f>
        <v>-233.27489</v>
      </c>
      <c r="H25" s="468">
        <f>-'#需填写'!G11/10000</f>
        <v>-228.74292000000003</v>
      </c>
      <c r="I25" s="468">
        <f>-'#需填写'!H11/10000</f>
        <v>-228.07297999999997</v>
      </c>
      <c r="J25" s="468">
        <f>-'#需填写'!I11/10000</f>
        <v>-212.30343999999999</v>
      </c>
      <c r="K25" s="468">
        <f>-'#需填写'!J11/10000</f>
        <v>-231.12087999999997</v>
      </c>
      <c r="L25" s="468">
        <f>-'#需填写'!K11/10000</f>
        <v>-163.96692999999999</v>
      </c>
      <c r="M25" s="468">
        <f>-'#需填写'!L11/10000</f>
        <v>-188.38605000000001</v>
      </c>
      <c r="N25" s="468">
        <f>-'#需填写'!M11/10000</f>
        <v>-304.42776000000003</v>
      </c>
      <c r="O25" s="468">
        <f>-'#需填写'!N11/10000</f>
        <v>-171.857</v>
      </c>
      <c r="P25" s="468">
        <f>-'#需填写'!O11/10000</f>
        <v>-168.53437</v>
      </c>
      <c r="Q25" s="238">
        <f>-'#需填写'!P11/10000</f>
        <v>0</v>
      </c>
      <c r="R25" s="238">
        <f>-'#需填写'!Q11/10000</f>
        <v>0</v>
      </c>
      <c r="S25" s="238">
        <f>-'#需填写'!R11/10000</f>
        <v>0</v>
      </c>
      <c r="T25" s="238">
        <f>-'#需填写'!S11/10000</f>
        <v>0</v>
      </c>
      <c r="U25" s="238">
        <f>-'#需填写'!T11/10000</f>
        <v>0</v>
      </c>
      <c r="V25" s="238">
        <f>-'#需填写'!U11/10000</f>
        <v>0</v>
      </c>
      <c r="W25" s="238">
        <f>-'#需填写'!V11/10000</f>
        <v>0</v>
      </c>
      <c r="X25" s="238">
        <f>-'#需填写'!W11/10000</f>
        <v>-299.12720000000002</v>
      </c>
      <c r="Y25" s="238">
        <f>-'#需填写'!X11/10000</f>
        <v>0</v>
      </c>
      <c r="Z25" s="238">
        <f>-'#需填写'!Y11/10000</f>
        <v>0</v>
      </c>
      <c r="AA25" s="238">
        <f>-'#需填写'!Z11/10000</f>
        <v>0</v>
      </c>
      <c r="AB25" s="238">
        <f>-'#需填写'!AA11/10000</f>
        <v>-92.1845</v>
      </c>
      <c r="AC25" s="238">
        <f>-'#需填写'!AB11/10000</f>
        <v>0</v>
      </c>
      <c r="AD25" s="238">
        <f>-'#需填写'!AC11/10000</f>
        <v>0</v>
      </c>
      <c r="AE25" s="238">
        <f>-'#需填写'!AD11/10000</f>
        <v>0</v>
      </c>
      <c r="AF25" s="238">
        <f>-'#需填写'!AE11/10000</f>
        <v>0</v>
      </c>
      <c r="AG25" s="238">
        <f>-'#需填写'!AF11/10000</f>
        <v>0</v>
      </c>
      <c r="AH25" s="238">
        <f>-'#需填写'!AG11/10000</f>
        <v>-294.56435099999999</v>
      </c>
      <c r="AI25" s="238">
        <f>-'#需填写'!AH11/10000</f>
        <v>0</v>
      </c>
      <c r="AJ25" s="238">
        <f>-'#需填写'!AI11/10000</f>
        <v>0</v>
      </c>
      <c r="AK25" s="238">
        <f>-'#需填写'!AJ11/10000</f>
        <v>0</v>
      </c>
      <c r="AL25" s="238">
        <f>-'#需填写'!AK11/10000</f>
        <v>0</v>
      </c>
      <c r="AM25" s="238">
        <f>-'#需填写'!AL11/10000</f>
        <v>0</v>
      </c>
      <c r="AO25" s="1675">
        <f>SUMIFS(C25:AA25,$C$1:$AA$1,'#经营概况'!$B$1,$C$2:$AA$2,'#经营概况'!$B$2)-SUMIFS(C25:AA25,$C$1:$AA$1,'#经营概况'!$B$1,$C$2:$AA$2,'#经营概况'!$B$2-1)</f>
        <v>0</v>
      </c>
    </row>
    <row r="26" spans="1:48" ht="17.100000000000001" customHeight="1">
      <c r="A26" s="672" t="s">
        <v>751</v>
      </c>
      <c r="B26" s="468">
        <v>40.682138000000002</v>
      </c>
      <c r="C26" s="468">
        <v>149.22867400000001</v>
      </c>
      <c r="D26" s="468">
        <f>-'#需填写'!C12/10000</f>
        <v>-0.17536199999999999</v>
      </c>
      <c r="E26" s="468">
        <f>-'#需填写'!D12/10000</f>
        <v>-0.107918</v>
      </c>
      <c r="F26" s="468">
        <f>-'#需填写'!E12/10000</f>
        <v>2.444E-2</v>
      </c>
      <c r="G26" s="468">
        <f>-'#需填写'!F12/10000</f>
        <v>0.18659000000000001</v>
      </c>
      <c r="H26" s="468">
        <f>-'#需填写'!G12/10000</f>
        <v>0.107918</v>
      </c>
      <c r="I26" s="468">
        <f>-'#需填写'!H12/10000</f>
        <v>0.11625000000000001</v>
      </c>
      <c r="J26" s="468">
        <f>-'#需填写'!I12/10000</f>
        <v>0.11625000000000001</v>
      </c>
      <c r="K26" s="468">
        <f>-'#需填写'!J12/10000</f>
        <v>0.18659000000000001</v>
      </c>
      <c r="L26" s="468">
        <f>-'#需填写'!K12/10000</f>
        <v>0.18659000000000001</v>
      </c>
      <c r="M26" s="468">
        <f>-'#需填写'!L12/10000</f>
        <v>0.11625000000000001</v>
      </c>
      <c r="N26" s="468">
        <f>-'#需填写'!M12/10000</f>
        <v>-2.444E-2</v>
      </c>
      <c r="O26" s="468">
        <f>-'#需填写'!N12/10000</f>
        <v>0.18659000000000001</v>
      </c>
      <c r="P26" s="468">
        <f>-'#需填写'!O12/10000</f>
        <v>0.18499000000000002</v>
      </c>
      <c r="Q26" s="238">
        <f>-'#需填写'!P12/10000</f>
        <v>0</v>
      </c>
      <c r="R26" s="238">
        <f>-'#需填写'!Q12/10000</f>
        <v>0</v>
      </c>
      <c r="S26" s="238">
        <f>-'#需填写'!R12/10000</f>
        <v>0</v>
      </c>
      <c r="T26" s="238">
        <f>-'#需填写'!S12/10000</f>
        <v>0</v>
      </c>
      <c r="U26" s="238">
        <f>-'#需填写'!T12/10000</f>
        <v>0</v>
      </c>
      <c r="V26" s="238">
        <f>-'#需填写'!U12/10000</f>
        <v>0</v>
      </c>
      <c r="W26" s="238">
        <f>-'#需填写'!V12/10000</f>
        <v>0</v>
      </c>
      <c r="X26" s="238">
        <f>-'#需填写'!W12/10000</f>
        <v>0</v>
      </c>
      <c r="Y26" s="238">
        <f>-'#需填写'!X12/10000</f>
        <v>0</v>
      </c>
      <c r="Z26" s="238">
        <f>-'#需填写'!Y12/10000</f>
        <v>0</v>
      </c>
      <c r="AA26" s="238">
        <f>-'#需填写'!Z12/10000</f>
        <v>0</v>
      </c>
      <c r="AB26" s="238">
        <f>-'#需填写'!AA12/10000</f>
        <v>0</v>
      </c>
      <c r="AC26" s="238">
        <f>-'#需填写'!AB12/10000</f>
        <v>0</v>
      </c>
      <c r="AD26" s="238">
        <f>-'#需填写'!AC12/10000</f>
        <v>0</v>
      </c>
      <c r="AE26" s="238">
        <f>-'#需填写'!AD12/10000</f>
        <v>0</v>
      </c>
      <c r="AF26" s="238">
        <f>-'#需填写'!AE12/10000</f>
        <v>0</v>
      </c>
      <c r="AG26" s="238">
        <f>-'#需填写'!AF12/10000</f>
        <v>0</v>
      </c>
      <c r="AH26" s="238">
        <f>-'#需填写'!AG12/10000</f>
        <v>0</v>
      </c>
      <c r="AI26" s="238">
        <f>-'#需填写'!AH12/10000</f>
        <v>0</v>
      </c>
      <c r="AJ26" s="238">
        <f>-'#需填写'!AI12/10000</f>
        <v>0</v>
      </c>
      <c r="AK26" s="238">
        <f>-'#需填写'!AJ12/10000</f>
        <v>0</v>
      </c>
      <c r="AL26" s="238">
        <f>-'#需填写'!AK12/10000</f>
        <v>0</v>
      </c>
      <c r="AM26" s="238">
        <f>-'#需填写'!AL12/10000</f>
        <v>0</v>
      </c>
      <c r="AO26" s="1675">
        <f>SUMIFS(C26:AA26,$C$1:$AA$1,'#经营概况'!$B$1,$C$2:$AA$2,'#经营概况'!$B$2)-SUMIFS(C26:AA26,$C$1:$AA$1,'#经营概况'!$B$1,$C$2:$AA$2,'#经营概况'!$B$2-1)</f>
        <v>0</v>
      </c>
    </row>
    <row r="27" spans="1:48" ht="17.100000000000001" customHeight="1">
      <c r="A27" s="669" t="s">
        <v>752</v>
      </c>
      <c r="B27" s="468">
        <f>B18-B19-B21-B22-B70</f>
        <v>-194.37750040000901</v>
      </c>
      <c r="C27" s="468">
        <f>C18-C19-C21-C22-C70</f>
        <v>9.999894245993346E-8</v>
      </c>
      <c r="D27" s="468">
        <f>D18-D19-D21-D22</f>
        <v>0.35072360000231129</v>
      </c>
      <c r="E27" s="468">
        <f>E18-E19-E21-E22</f>
        <v>0.21583599999644321</v>
      </c>
      <c r="F27" s="468">
        <f t="shared" ref="F27:O27" si="57">F18-F19-F21-F22</f>
        <v>-4.8879999998462154E-2</v>
      </c>
      <c r="G27" s="468">
        <f t="shared" si="57"/>
        <v>-3.1832314562052488E-12</v>
      </c>
      <c r="H27" s="468">
        <f t="shared" si="57"/>
        <v>2.5011104298755527E-12</v>
      </c>
      <c r="I27" s="468">
        <f t="shared" si="57"/>
        <v>0</v>
      </c>
      <c r="J27" s="468">
        <f t="shared" si="57"/>
        <v>1.8189894035458565E-12</v>
      </c>
      <c r="K27" s="468">
        <f t="shared" si="57"/>
        <v>9.7876000005499009E-2</v>
      </c>
      <c r="L27" s="468">
        <f t="shared" si="57"/>
        <v>-5.0000653573079035E-7</v>
      </c>
      <c r="M27" s="468">
        <f t="shared" si="57"/>
        <v>-1.8189894035458565E-12</v>
      </c>
      <c r="N27" s="468">
        <f t="shared" si="57"/>
        <v>0.81827340000631921</v>
      </c>
      <c r="O27" s="468">
        <f t="shared" si="57"/>
        <v>1.9999129108327907E-7</v>
      </c>
      <c r="P27" s="468">
        <f t="shared" ref="P27:Z27" si="58">P18-P19-P21-P22-P20</f>
        <v>-1.4000015653437003E-6</v>
      </c>
      <c r="Q27" s="468">
        <f t="shared" si="58"/>
        <v>-3019.0000001999979</v>
      </c>
      <c r="R27" s="468">
        <f t="shared" si="58"/>
        <v>-3.0000410333741456E-7</v>
      </c>
      <c r="S27" s="468">
        <f t="shared" si="58"/>
        <v>-0.49999970000135363</v>
      </c>
      <c r="T27" s="468">
        <f t="shared" si="58"/>
        <v>-1.9999788491986692E-7</v>
      </c>
      <c r="U27" s="468">
        <f t="shared" si="58"/>
        <v>2.9999500839039683E-7</v>
      </c>
      <c r="V27" s="468">
        <f t="shared" si="58"/>
        <v>0</v>
      </c>
      <c r="W27" s="468">
        <f>W18-W19-W21-W22-W20</f>
        <v>-2436.6139040000035</v>
      </c>
      <c r="X27" s="468">
        <f t="shared" si="58"/>
        <v>0</v>
      </c>
      <c r="Y27" s="468">
        <f>Y18-Y19-Y21-Y22-Y20</f>
        <v>-9.9999306257814169E-7</v>
      </c>
      <c r="Z27" s="468">
        <f t="shared" si="58"/>
        <v>0</v>
      </c>
      <c r="AA27" s="468">
        <f>AA18-AA19-AA21-AA22-AA20</f>
        <v>1.0000057955039665E-6</v>
      </c>
      <c r="AB27" s="468">
        <f>AB18-AB19-AB21-AB22-AB20</f>
        <v>-3.7332392821554095E-7</v>
      </c>
      <c r="AC27" s="468">
        <f t="shared" ref="AC27:AM27" si="59">AC18-AC19-AC21-AC22-AC20</f>
        <v>0</v>
      </c>
      <c r="AD27" s="468">
        <f>AD18-AD19-AD21-AD22-AD20</f>
        <v>-4.0000013541430235E-6</v>
      </c>
      <c r="AE27" s="468">
        <f t="shared" si="59"/>
        <v>0</v>
      </c>
      <c r="AF27" s="468">
        <f>AF18-AF19-AF21-AF22-AF20</f>
        <v>0</v>
      </c>
      <c r="AG27" s="468">
        <f t="shared" si="59"/>
        <v>0</v>
      </c>
      <c r="AH27" s="468">
        <f t="shared" si="59"/>
        <v>-226.30233599999337</v>
      </c>
      <c r="AI27" s="468">
        <f t="shared" si="59"/>
        <v>-133.21868300000642</v>
      </c>
      <c r="AJ27" s="468">
        <f t="shared" si="59"/>
        <v>0</v>
      </c>
      <c r="AK27" s="468">
        <f t="shared" si="59"/>
        <v>0</v>
      </c>
      <c r="AL27" s="468">
        <f t="shared" si="59"/>
        <v>0</v>
      </c>
      <c r="AM27" s="468">
        <f t="shared" si="59"/>
        <v>0</v>
      </c>
      <c r="AO27" s="1675">
        <f>SUMIFS(C27:AA27,$C$1:$AA$1,'#经营概况'!$B$1,$C$2:$AA$2,'#经营概况'!$B$2)-SUMIFS(C27:AA27,$C$1:$AA$1,'#经营概况'!$B$1,$C$2:$AA$2,'#经营概况'!$B$2-1)</f>
        <v>0</v>
      </c>
    </row>
    <row r="28" spans="1:48" ht="17.100000000000001" customHeight="1">
      <c r="A28" s="671" t="s">
        <v>753</v>
      </c>
      <c r="B28" s="461">
        <f>B93/10000</f>
        <v>74083.818450999999</v>
      </c>
      <c r="C28" s="461">
        <f>C93/10000</f>
        <v>5031.6486159999995</v>
      </c>
      <c r="D28" s="461">
        <f t="shared" ref="D28:O28" si="60">D93/10000</f>
        <v>5021.5570689999995</v>
      </c>
      <c r="E28" s="461">
        <f t="shared" si="60"/>
        <v>5162.4095180000004</v>
      </c>
      <c r="F28" s="461">
        <f t="shared" si="60"/>
        <v>5655.633898</v>
      </c>
      <c r="G28" s="461">
        <f t="shared" si="60"/>
        <v>5638.8014359999997</v>
      </c>
      <c r="H28" s="461">
        <f t="shared" si="60"/>
        <v>4766.7825600000006</v>
      </c>
      <c r="I28" s="461">
        <f t="shared" si="60"/>
        <v>6334.3999690000001</v>
      </c>
      <c r="J28" s="461">
        <f t="shared" si="60"/>
        <v>5305.6264810000002</v>
      </c>
      <c r="K28" s="461">
        <f t="shared" si="60"/>
        <v>5125.8360439999997</v>
      </c>
      <c r="L28" s="461">
        <f t="shared" si="60"/>
        <v>6276.7963409999993</v>
      </c>
      <c r="M28" s="461">
        <f t="shared" si="60"/>
        <v>4685.8287789999995</v>
      </c>
      <c r="N28" s="461">
        <f t="shared" si="60"/>
        <v>5366.5493990000004</v>
      </c>
      <c r="O28" s="461">
        <f t="shared" si="60"/>
        <v>7919.9738689999895</v>
      </c>
      <c r="P28" s="461">
        <f t="shared" ref="P28:AA28" si="61">P93/10000</f>
        <v>4940.6928470000003</v>
      </c>
      <c r="Q28" s="238">
        <f t="shared" si="61"/>
        <v>4678.09477099999</v>
      </c>
      <c r="R28" s="238">
        <f t="shared" si="61"/>
        <v>7560.02783</v>
      </c>
      <c r="S28" s="238">
        <f t="shared" si="61"/>
        <v>5765.5821249999999</v>
      </c>
      <c r="T28" s="238">
        <f t="shared" si="61"/>
        <v>5305.6144469999999</v>
      </c>
      <c r="U28" s="238">
        <f t="shared" si="61"/>
        <v>6625.7271269999983</v>
      </c>
      <c r="V28" s="238">
        <f t="shared" si="61"/>
        <v>6712.3701319999936</v>
      </c>
      <c r="W28" s="238">
        <f>W93/10000</f>
        <v>6318.717848000002</v>
      </c>
      <c r="X28" s="238">
        <f t="shared" si="61"/>
        <v>6339.5740710000036</v>
      </c>
      <c r="Y28" s="238">
        <f t="shared" si="61"/>
        <v>6803.9044870000007</v>
      </c>
      <c r="Z28" s="238">
        <f t="shared" si="61"/>
        <v>6518.8214749999997</v>
      </c>
      <c r="AA28" s="238">
        <f t="shared" si="61"/>
        <v>8059.6334449999931</v>
      </c>
      <c r="AB28" s="238">
        <f>AB93/10000</f>
        <v>7382.0479680000062</v>
      </c>
      <c r="AC28" s="238">
        <f>AC93/10000</f>
        <v>7789.5678319999934</v>
      </c>
      <c r="AD28" s="238">
        <f t="shared" ref="AD28:AM28" si="62">AD93/10000</f>
        <v>11295.439932000005</v>
      </c>
      <c r="AE28" s="238">
        <f t="shared" si="62"/>
        <v>10873.687537999987</v>
      </c>
      <c r="AF28" s="238">
        <f t="shared" si="62"/>
        <v>11419.066931999992</v>
      </c>
      <c r="AG28" s="238">
        <f t="shared" si="62"/>
        <v>11325.008757000018</v>
      </c>
      <c r="AH28" s="238">
        <f t="shared" si="62"/>
        <v>12719.760117000007</v>
      </c>
      <c r="AI28" s="238">
        <f t="shared" si="62"/>
        <v>11772.568126999999</v>
      </c>
      <c r="AJ28" s="238">
        <f t="shared" si="62"/>
        <v>0</v>
      </c>
      <c r="AK28" s="238">
        <f t="shared" si="62"/>
        <v>0</v>
      </c>
      <c r="AL28" s="238">
        <f t="shared" si="62"/>
        <v>0</v>
      </c>
      <c r="AM28" s="238">
        <f t="shared" si="62"/>
        <v>0</v>
      </c>
      <c r="AN28" s="1831">
        <f>SUM(P28:AA28)</f>
        <v>75628.760604999989</v>
      </c>
      <c r="AO28" s="1675">
        <f>SUMIFS(C28:AA28,$C$1:$AA$1,'#经营概况'!$B$1,$C$2:$AA$2,'#经营概况'!$B$2)-SUMIFS(C28:AA28,$C$1:$AA$1,'#经营概况'!$B$1,$C$2:$AA$2,'#经营概况'!$B$2-1)</f>
        <v>0</v>
      </c>
    </row>
    <row r="29" spans="1:48" ht="16.5" customHeight="1">
      <c r="A29" s="669" t="s">
        <v>234</v>
      </c>
      <c r="B29" s="468">
        <v>18261.191611999999</v>
      </c>
      <c r="C29" s="468">
        <v>1480</v>
      </c>
      <c r="D29" s="468">
        <f>'#需填写'!C15/10000</f>
        <v>423.36446100000001</v>
      </c>
      <c r="E29" s="673">
        <f>'#需填写'!D15/10000</f>
        <v>398.98486800000001</v>
      </c>
      <c r="F29" s="673">
        <v>1383.848782</v>
      </c>
      <c r="G29" s="673">
        <f>'#需填写'!F15/10000</f>
        <v>398.98486800000001</v>
      </c>
      <c r="H29" s="673">
        <f>'#需填写'!G15/10000</f>
        <v>386.11438599999997</v>
      </c>
      <c r="I29" s="673">
        <f>'#需填写'!H15/10000</f>
        <v>1613.1825919999999</v>
      </c>
      <c r="J29" s="673">
        <f>'#需填写'!I15/10000</f>
        <v>386.11438599999997</v>
      </c>
      <c r="K29" s="673">
        <f>'#需填写'!J15/10000</f>
        <v>398.98486800000001</v>
      </c>
      <c r="L29" s="673">
        <f>'#需填写'!K15/10000</f>
        <v>1765.8871750000001</v>
      </c>
      <c r="M29" s="673">
        <f>'#需填写'!L15/10000</f>
        <v>386.11438599999997</v>
      </c>
      <c r="N29" s="673">
        <f>'#需填写'!M15/10000</f>
        <v>603.32665300000008</v>
      </c>
      <c r="O29" s="673">
        <f>'#需填写'!N15/10000</f>
        <v>1337.0704369999999</v>
      </c>
      <c r="P29" s="673">
        <f>'#需填写'!O15/10000</f>
        <v>295.00164000000001</v>
      </c>
      <c r="Q29" s="238">
        <f>'#需填写'!P15/10000</f>
        <v>297.17663999999996</v>
      </c>
      <c r="R29" s="238">
        <f>'#需填写'!Q15/10000</f>
        <v>1211.289358</v>
      </c>
      <c r="S29" s="238">
        <f>'#需填写'!R15/10000</f>
        <v>358.07664</v>
      </c>
      <c r="T29" s="238">
        <f>'#需填写'!S15/10000</f>
        <v>354.98392000000001</v>
      </c>
      <c r="U29" s="238">
        <f>'#需填写'!T15/10000</f>
        <v>1312.5587909999999</v>
      </c>
      <c r="V29" s="238">
        <f>'#需填写'!U15/10000</f>
        <v>587.83389399999999</v>
      </c>
      <c r="W29" s="238">
        <f>'#需填写'!V15/10000</f>
        <v>731.79284000000007</v>
      </c>
      <c r="X29" s="238">
        <f>'#需填写'!W15/10000</f>
        <v>785.34909000000005</v>
      </c>
      <c r="Y29" s="238">
        <f>'#需填写'!X15/10000</f>
        <v>760.01524299999994</v>
      </c>
      <c r="Z29" s="238">
        <f>'#需填写'!Y15/10000</f>
        <v>785.34909000000005</v>
      </c>
      <c r="AA29" s="238">
        <f>'#需填写'!Z15/10000</f>
        <v>725.80831799999999</v>
      </c>
      <c r="AB29" s="238">
        <f>'#需填写'!AA15/10000</f>
        <v>630.42017099999998</v>
      </c>
      <c r="AC29" s="238">
        <f>'#需填写'!AB15/10000</f>
        <v>671.484061</v>
      </c>
      <c r="AD29" s="238">
        <f>'#需填写'!AC15/10000</f>
        <v>564.579295</v>
      </c>
      <c r="AE29" s="238">
        <f>'#需填写'!AD15/10000</f>
        <v>589.06705599999998</v>
      </c>
      <c r="AF29" s="238">
        <f>'#需填写'!AE15/10000</f>
        <v>558.38648699999999</v>
      </c>
      <c r="AG29" s="238">
        <f>'#需填写'!AF15/10000</f>
        <v>589.5562480000001</v>
      </c>
      <c r="AH29" s="238">
        <f>'#需填写'!AG15/10000</f>
        <v>560.34839999999997</v>
      </c>
      <c r="AI29" s="238">
        <f>'#需填写'!AH15/10000</f>
        <v>550.19743000000005</v>
      </c>
      <c r="AJ29" s="238">
        <f>'#需填写'!AI15/10000</f>
        <v>0</v>
      </c>
      <c r="AK29" s="238">
        <f>'#需填写'!AJ15/10000</f>
        <v>0</v>
      </c>
      <c r="AL29" s="238">
        <f>'#需填写'!AK15/10000</f>
        <v>0</v>
      </c>
      <c r="AM29" s="238">
        <f>'#需填写'!AL15/10000</f>
        <v>0</v>
      </c>
      <c r="AO29" s="1675">
        <f>SUMIFS(C29:AA29,$C$1:$AA$1,'#经营概况'!$B$1,$C$2:$AA$2,'#经营概况'!$B$2)-SUMIFS(C29:AA29,$C$1:$AA$1,'#经营概况'!$B$1,$C$2:$AA$2,'#经营概况'!$B$2-1)</f>
        <v>0</v>
      </c>
    </row>
    <row r="30" spans="1:48" ht="17.100000000000001" customHeight="1">
      <c r="A30" s="669" t="s">
        <v>236</v>
      </c>
      <c r="B30" s="468">
        <v>31790.028416000001</v>
      </c>
      <c r="C30" s="468">
        <v>661.42314999999996</v>
      </c>
      <c r="D30" s="468">
        <f>'#需填写'!C17/10000</f>
        <v>2673.1653059999999</v>
      </c>
      <c r="E30" s="673">
        <f>'#需填写'!D17/10000</f>
        <v>2902.0583040000001</v>
      </c>
      <c r="F30" s="673">
        <f>'#需填写'!E17/10000</f>
        <v>2465.0981070000003</v>
      </c>
      <c r="G30" s="673">
        <f>'#需填写'!F17/10000</f>
        <v>2926.8093690000001</v>
      </c>
      <c r="H30" s="673">
        <f>'#需填写'!G17/10000</f>
        <v>2542.6494720000001</v>
      </c>
      <c r="I30" s="673">
        <f>'#需填写'!H17/10000</f>
        <v>2780.3780160000001</v>
      </c>
      <c r="J30" s="673">
        <f>'#需填写'!I17/10000</f>
        <v>2905.9096199999999</v>
      </c>
      <c r="K30" s="673">
        <f>'#需填写'!J17/10000</f>
        <v>2901.1797780000002</v>
      </c>
      <c r="L30" s="673">
        <f>'#需填写'!K17/10000</f>
        <v>2682.718167</v>
      </c>
      <c r="M30" s="673">
        <f>'#需填写'!L17/10000</f>
        <v>2483.0309820000002</v>
      </c>
      <c r="N30" s="673">
        <f>'#需填写'!M17/10000</f>
        <v>2799.988077</v>
      </c>
      <c r="O30" s="673">
        <f>'#需填写'!N17/10000</f>
        <v>2637.30843</v>
      </c>
      <c r="P30" s="673">
        <f>'#需填写'!O17/10000</f>
        <v>2768.5741170000001</v>
      </c>
      <c r="Q30" s="238">
        <f>'#需填写'!P17/10000</f>
        <v>2713.9073189999999</v>
      </c>
      <c r="R30" s="238">
        <f>'#需填写'!Q17/10000</f>
        <v>2831.4730289999998</v>
      </c>
      <c r="S30" s="238">
        <f>'#需填写'!R17/10000</f>
        <v>2901.587982</v>
      </c>
      <c r="T30" s="238">
        <f>'#需填写'!S17/10000</f>
        <v>2590.814586</v>
      </c>
      <c r="U30" s="238">
        <f>'#需填写'!T17/10000</f>
        <v>2995.9496610000001</v>
      </c>
      <c r="V30" s="238">
        <f>'#需填写'!U17/10000</f>
        <v>3320.6359199999997</v>
      </c>
      <c r="W30" s="238">
        <f>'#需填写'!V17/10000</f>
        <v>3258.06504</v>
      </c>
      <c r="X30" s="238">
        <f>'#需填写'!W17/10000</f>
        <v>3271.2795599999999</v>
      </c>
      <c r="Y30" s="238">
        <f>'#需填写'!X17/10000</f>
        <v>3528.8980379999994</v>
      </c>
      <c r="Z30" s="238">
        <f>'#需填写'!Y17/10000</f>
        <v>3344.6122919999998</v>
      </c>
      <c r="AA30" s="238">
        <f>'#需填写'!Z17/10000</f>
        <v>3363.8679360000001</v>
      </c>
      <c r="AB30" s="238">
        <f>'#需填写'!AA17/10000</f>
        <v>4203.4448400000001</v>
      </c>
      <c r="AC30" s="238">
        <f>'#需填写'!AB17/10000</f>
        <v>4563.311616</v>
      </c>
      <c r="AD30" s="238">
        <f>'#需填写'!AC17/10000</f>
        <v>7584.1354199999987</v>
      </c>
      <c r="AE30" s="238">
        <f>'#需填写'!AD17/10000</f>
        <v>7129.0405890000002</v>
      </c>
      <c r="AF30" s="238">
        <f>'#需填写'!AE17/10000</f>
        <v>7347.7940879999996</v>
      </c>
      <c r="AG30" s="238">
        <f>'#需填写'!AF17/10000</f>
        <v>7552.6378799999993</v>
      </c>
      <c r="AH30" s="238">
        <f>'#需填写'!AG17/10000</f>
        <v>8798.5383299999994</v>
      </c>
      <c r="AI30" s="238">
        <f>'#需填写'!AH17/10000</f>
        <v>7997.4550950000003</v>
      </c>
      <c r="AJ30" s="238">
        <f>'#需填写'!AI17/10000</f>
        <v>0</v>
      </c>
      <c r="AK30" s="238">
        <f>'#需填写'!AJ17/10000</f>
        <v>0</v>
      </c>
      <c r="AL30" s="238">
        <f>'#需填写'!AK17/10000</f>
        <v>0</v>
      </c>
      <c r="AM30" s="238">
        <f>'#需填写'!AL17/10000</f>
        <v>0</v>
      </c>
      <c r="AO30" s="1675">
        <f>SUMIFS(C30:AA30,$C$1:$AA$1,'#经营概况'!$B$1,$C$2:$AA$2,'#经营概况'!$B$2)-SUMIFS(C30:AA30,$C$1:$AA$1,'#经营概况'!$B$1,$C$2:$AA$2,'#经营概况'!$B$2-1)</f>
        <v>0</v>
      </c>
    </row>
    <row r="31" spans="1:48" ht="17.100000000000001" customHeight="1">
      <c r="A31" s="669" t="s">
        <v>238</v>
      </c>
      <c r="B31" s="468">
        <v>5066.3090179999999</v>
      </c>
      <c r="C31" s="468">
        <v>405.22395599999999</v>
      </c>
      <c r="D31" s="468">
        <f>'#需填写'!C19/10000</f>
        <v>435.41623799999996</v>
      </c>
      <c r="E31" s="673">
        <f>'#需填写'!D19/10000</f>
        <v>476.12822199999999</v>
      </c>
      <c r="F31" s="673">
        <f>'#需填写'!E19/10000</f>
        <v>412.51922200000001</v>
      </c>
      <c r="G31" s="673">
        <f>'#需填写'!F19/10000</f>
        <v>475.94194199999998</v>
      </c>
      <c r="H31" s="673">
        <f>'#需填写'!G19/10000</f>
        <v>424.11914800000005</v>
      </c>
      <c r="I31" s="673">
        <f>'#需填写'!H19/10000</f>
        <v>463.29492199999999</v>
      </c>
      <c r="J31" s="673">
        <f>'#需填写'!I19/10000</f>
        <v>481.54873200000003</v>
      </c>
      <c r="K31" s="673">
        <f>'#需填写'!J19/10000</f>
        <v>490.95422100000002</v>
      </c>
      <c r="L31" s="673">
        <f>'#需填写'!K19/10000</f>
        <v>424.48638099999994</v>
      </c>
      <c r="M31" s="673">
        <f>'#需填写'!L19/10000</f>
        <v>346.94496200000003</v>
      </c>
      <c r="N31" s="673">
        <f>'#需填写'!M19/10000</f>
        <v>476.23372800000004</v>
      </c>
      <c r="O31" s="673">
        <f>'#需填写'!N19/10000</f>
        <v>419.03649799999999</v>
      </c>
      <c r="P31" s="673">
        <f>'#需填写'!O19/10000</f>
        <v>460.06771200000003</v>
      </c>
      <c r="Q31" s="238">
        <f>'#需填写'!P19/10000</f>
        <v>453.82571200000001</v>
      </c>
      <c r="R31" s="238">
        <f>'#需填写'!Q19/10000</f>
        <v>467.37721199999999</v>
      </c>
      <c r="S31" s="238">
        <f>'#需填写'!R19/10000</f>
        <v>469.35531100000003</v>
      </c>
      <c r="T31" s="238">
        <f>'#需填写'!S19/10000</f>
        <v>431.50431100000003</v>
      </c>
      <c r="U31" s="238">
        <f>'#需填写'!T19/10000</f>
        <v>465.63232900000003</v>
      </c>
      <c r="V31" s="238">
        <f>'#需填写'!U19/10000</f>
        <v>536.85676799999999</v>
      </c>
      <c r="W31" s="238">
        <f>'#需填写'!V19/10000</f>
        <v>495.03727599999996</v>
      </c>
      <c r="X31" s="238">
        <f>'#需填写'!W19/10000</f>
        <v>456.67078570799993</v>
      </c>
      <c r="Y31" s="238">
        <f>'#需填写'!X19/10000</f>
        <v>530.05717800000002</v>
      </c>
      <c r="Z31" s="238">
        <f>'#需填写'!Y19/10000</f>
        <v>528.17632600000002</v>
      </c>
      <c r="AA31" s="238">
        <f>'#需填写'!Z19/10000</f>
        <v>429.77183200000002</v>
      </c>
      <c r="AB31" s="238">
        <f>'#需填写'!AA19/10000</f>
        <v>664.68736799999999</v>
      </c>
      <c r="AC31" s="238">
        <f>'#需填写'!AB19/10000</f>
        <v>714.54822999999999</v>
      </c>
      <c r="AD31" s="238">
        <f>'#需填写'!AC19/10000</f>
        <v>1163.235496</v>
      </c>
      <c r="AE31" s="238">
        <f>'#需填写'!AD19/10000</f>
        <v>1088.3759</v>
      </c>
      <c r="AF31" s="238">
        <f>'#需填写'!AE19/10000</f>
        <v>1131.9924040000001</v>
      </c>
      <c r="AG31" s="238">
        <f>'#需填写'!AF19/10000</f>
        <v>1178.9436069999999</v>
      </c>
      <c r="AH31" s="238">
        <f>'#需填写'!AG19/10000</f>
        <v>1351.947011</v>
      </c>
      <c r="AI31" s="238">
        <f>'#需填写'!AH19/10000</f>
        <v>1207.0990750000001</v>
      </c>
      <c r="AJ31" s="238">
        <f>'#需填写'!AI19/10000</f>
        <v>0</v>
      </c>
      <c r="AK31" s="238">
        <f>'#需填写'!AJ19/10000</f>
        <v>0</v>
      </c>
      <c r="AL31" s="238">
        <f>'#需填写'!AK19/10000</f>
        <v>0</v>
      </c>
      <c r="AM31" s="238">
        <f>'#需填写'!AL19/10000</f>
        <v>0</v>
      </c>
      <c r="AO31" s="1675">
        <f>SUMIFS(C31:AA31,$C$1:$AA$1,'#经营概况'!$B$1,$C$2:$AA$2,'#经营概况'!$B$2)-SUMIFS(C31:AA31,$C$1:$AA$1,'#经营概况'!$B$1,$C$2:$AA$2,'#经营概况'!$B$2-1)</f>
        <v>0</v>
      </c>
    </row>
    <row r="32" spans="1:48" ht="17.100000000000001" customHeight="1">
      <c r="A32" s="669" t="s">
        <v>239</v>
      </c>
      <c r="B32" s="468"/>
      <c r="C32" s="468"/>
      <c r="D32" s="468"/>
      <c r="E32" s="673"/>
      <c r="F32" s="673"/>
      <c r="G32" s="673"/>
      <c r="H32" s="673"/>
      <c r="I32" s="673"/>
      <c r="J32" s="673"/>
      <c r="K32" s="673"/>
      <c r="L32" s="673"/>
      <c r="M32" s="673"/>
      <c r="N32" s="673"/>
      <c r="O32" s="673"/>
      <c r="P32" s="673"/>
      <c r="Q32" s="238"/>
      <c r="R32" s="242">
        <f>'#需填写'!Q20/10000</f>
        <v>1148.7650000000001</v>
      </c>
      <c r="S32" s="238">
        <f>'#需填写'!R20/10000</f>
        <v>382.92166666666662</v>
      </c>
      <c r="T32" s="238">
        <f>'#需填写'!S20/10000</f>
        <v>382.92166666666662</v>
      </c>
      <c r="U32" s="238">
        <f>'#需填写'!T20/10000</f>
        <v>382.92166666666662</v>
      </c>
      <c r="V32" s="238">
        <f>'#需填写'!U20/10000</f>
        <v>382.92166666666662</v>
      </c>
      <c r="W32" s="238">
        <f>'#需填写'!V20/10000</f>
        <v>382.92166666666662</v>
      </c>
      <c r="X32" s="238">
        <f>'#需填写'!W20/10000</f>
        <v>382.92166666666662</v>
      </c>
      <c r="Y32" s="238">
        <f>'#需填写'!X20/10000</f>
        <v>382.92166666666662</v>
      </c>
      <c r="Z32" s="238">
        <f>'#需填写'!Y20/10000</f>
        <v>382.92166666666662</v>
      </c>
      <c r="AA32" s="238">
        <f>'#需填写'!Z20/10000</f>
        <v>382.92166666666662</v>
      </c>
      <c r="AB32" s="238">
        <f>'#需填写'!AA20/10000</f>
        <v>382.92166666666662</v>
      </c>
      <c r="AC32" s="238">
        <f>'#需填写'!AB20/10000</f>
        <v>382.92166666666662</v>
      </c>
      <c r="AD32" s="238">
        <f>'#需填写'!AC20/10000</f>
        <v>382.92166666666662</v>
      </c>
      <c r="AE32" s="238">
        <f>'#需填写'!AD20/10000</f>
        <v>382.92166666666662</v>
      </c>
      <c r="AF32" s="238">
        <f>'#需填写'!AE20/10000</f>
        <v>382.92166666666662</v>
      </c>
      <c r="AG32" s="238">
        <f>'#需填写'!AF20/10000</f>
        <v>382.92166666666662</v>
      </c>
      <c r="AH32" s="238">
        <f>'#需填写'!AG20/10000</f>
        <v>382.92166666666662</v>
      </c>
      <c r="AI32" s="238">
        <f>'#需填写'!AH20/10000</f>
        <v>382.92166666666662</v>
      </c>
      <c r="AJ32" s="238">
        <f>'#需填写'!AI20/10000</f>
        <v>0</v>
      </c>
      <c r="AK32" s="238">
        <f>'#需填写'!AJ20/10000</f>
        <v>0</v>
      </c>
      <c r="AL32" s="238">
        <f>'#需填写'!AK20/10000</f>
        <v>0</v>
      </c>
      <c r="AM32" s="238">
        <f>'#需填写'!AL20/10000</f>
        <v>0</v>
      </c>
      <c r="AO32" s="1675">
        <f>SUMIFS(C32:AA32,$C$1:$AA$1,'#经营概况'!$B$1,$C$2:$AA$2,'#经营概况'!$B$2)-SUMIFS(C32:AA32,$C$1:$AA$1,'#经营概况'!$B$1,$C$2:$AA$2,'#经营概况'!$B$2-1)</f>
        <v>0</v>
      </c>
    </row>
    <row r="33" spans="1:41" ht="17.100000000000001" customHeight="1">
      <c r="A33" s="669" t="s">
        <v>242</v>
      </c>
      <c r="B33" s="468"/>
      <c r="C33" s="468"/>
      <c r="D33" s="468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238"/>
      <c r="R33" s="242">
        <f>'#需填写'!Q23/10000</f>
        <v>193.53975</v>
      </c>
      <c r="S33" s="238">
        <f>'#需填写'!R23/10000</f>
        <v>65.635099999999994</v>
      </c>
      <c r="T33" s="238">
        <f>'#需填写'!S23/10000</f>
        <v>65.672250000000005</v>
      </c>
      <c r="U33" s="238">
        <f>'#需填写'!T23/10000</f>
        <v>73.533375000000007</v>
      </c>
      <c r="V33" s="238">
        <f>'#需填写'!U23/10000</f>
        <v>65.635874999999999</v>
      </c>
      <c r="W33" s="238">
        <f>'#需填写'!V23/10000</f>
        <v>63.763500000000001</v>
      </c>
      <c r="X33" s="238">
        <f>'#需填写'!W23/10000</f>
        <v>11.28825</v>
      </c>
      <c r="Y33" s="238">
        <f>'#需填写'!X23/10000</f>
        <v>79.579239999999999</v>
      </c>
      <c r="Z33" s="238">
        <f>'#需填写'!Y23/10000</f>
        <v>62.350859999999997</v>
      </c>
      <c r="AA33" s="238">
        <f>'#需填写'!Z23/10000</f>
        <v>81.495319999999992</v>
      </c>
      <c r="AB33" s="238">
        <f>'#需填写'!AA23/10000</f>
        <v>74.736579999999989</v>
      </c>
      <c r="AC33" s="238">
        <f>'#需填写'!AB23/10000</f>
        <v>79.55086</v>
      </c>
      <c r="AD33" s="238">
        <f>'#需填写'!AC23/10000</f>
        <v>106.22471999999999</v>
      </c>
      <c r="AE33" s="238">
        <f>'#需填写'!AD23/10000</f>
        <v>106.62135000000001</v>
      </c>
      <c r="AF33" s="238">
        <f>'#需填写'!AE23/10000</f>
        <v>127.611</v>
      </c>
      <c r="AG33" s="238">
        <f>'#需填写'!AF23/10000</f>
        <v>129.41634299999998</v>
      </c>
      <c r="AH33" s="238">
        <f>'#需填写'!AG23/10000</f>
        <v>7.9429999999999996</v>
      </c>
      <c r="AI33" s="238">
        <f>'#需填写'!AH23/10000</f>
        <v>130.82300000000001</v>
      </c>
      <c r="AJ33" s="238">
        <f>'#需填写'!AI23/10000</f>
        <v>0</v>
      </c>
      <c r="AK33" s="238">
        <f>'#需填写'!AJ23/10000</f>
        <v>0</v>
      </c>
      <c r="AL33" s="238">
        <f>'#需填写'!AK23/10000</f>
        <v>0</v>
      </c>
      <c r="AM33" s="238">
        <f>'#需填写'!AL23/10000</f>
        <v>0</v>
      </c>
      <c r="AO33" s="1675">
        <f>SUMIFS(C33:AA33,$C$1:$AA$1,'#经营概况'!$B$1,$C$2:$AA$2,'#经营概况'!$B$2)-SUMIFS(C33:AA33,$C$1:$AA$1,'#经营概况'!$B$1,$C$2:$AA$2,'#经营概况'!$B$2-1)</f>
        <v>0</v>
      </c>
    </row>
    <row r="34" spans="1:41" ht="17.100000000000001" customHeight="1">
      <c r="A34" s="669" t="s">
        <v>243</v>
      </c>
      <c r="B34" s="468">
        <v>2898.92</v>
      </c>
      <c r="C34" s="468">
        <v>204.12</v>
      </c>
      <c r="D34" s="468">
        <f>'#需填写'!C24/10000</f>
        <v>231.182016</v>
      </c>
      <c r="E34" s="673">
        <f>'#需填写'!D24/10000</f>
        <v>230.92428799999999</v>
      </c>
      <c r="F34" s="673">
        <f>'#需填写'!E24/10000</f>
        <v>227.31609599999999</v>
      </c>
      <c r="G34" s="673">
        <f>'#需填写'!F24/10000</f>
        <v>229.635648</v>
      </c>
      <c r="H34" s="673">
        <f>'#需填写'!G24/10000</f>
        <v>224.481088</v>
      </c>
      <c r="I34" s="673">
        <f>'#需填写'!H24/10000</f>
        <v>245.357056</v>
      </c>
      <c r="J34" s="673">
        <f>'#需填写'!I24/10000</f>
        <v>233.24383999999998</v>
      </c>
      <c r="K34" s="673">
        <f>'#需填写'!J24/10000</f>
        <v>175.51276799999999</v>
      </c>
      <c r="L34" s="673">
        <f>'#需填写'!K24/10000</f>
        <v>240.97567999999998</v>
      </c>
      <c r="M34" s="673">
        <f>'#需填写'!L24/10000</f>
        <v>163.399552</v>
      </c>
      <c r="N34" s="673">
        <f>'#需填写'!M24/10000</f>
        <v>253.34662400000002</v>
      </c>
      <c r="O34" s="673">
        <f>'#需填写'!N24/10000</f>
        <v>255.92390399999999</v>
      </c>
      <c r="P34" s="673">
        <f>'#需填写'!O24/10000</f>
        <v>187.883712</v>
      </c>
      <c r="Q34" s="238">
        <f>'#需填写'!P24/10000</f>
        <v>0</v>
      </c>
      <c r="R34" s="238">
        <f>'#需填写'!Q24/10000</f>
        <v>0</v>
      </c>
      <c r="S34" s="238">
        <f>'#需填写'!R24/10000</f>
        <v>0</v>
      </c>
      <c r="T34" s="238">
        <f>'#需填写'!S24/10000</f>
        <v>0</v>
      </c>
      <c r="U34" s="238">
        <f>'#需填写'!T24/10000</f>
        <v>0</v>
      </c>
      <c r="V34" s="238">
        <f>'#需填写'!U24/10000</f>
        <v>0</v>
      </c>
      <c r="W34" s="238">
        <f>'#需填写'!V24/10000</f>
        <v>0</v>
      </c>
      <c r="X34" s="238">
        <f>'#需填写'!W24/10000</f>
        <v>0</v>
      </c>
      <c r="Y34" s="238">
        <f>'#需填写'!X24/10000</f>
        <v>0</v>
      </c>
      <c r="Z34" s="238">
        <f>'#需填写'!Y24/10000</f>
        <v>0</v>
      </c>
      <c r="AA34" s="238">
        <f>'#需填写'!Z24/10000</f>
        <v>0</v>
      </c>
      <c r="AB34" s="238">
        <f>'#需填写'!AA24/10000</f>
        <v>0</v>
      </c>
      <c r="AC34" s="238">
        <f>'#需填写'!AB24/10000</f>
        <v>0</v>
      </c>
      <c r="AD34" s="238">
        <f>'#需填写'!AC24/10000</f>
        <v>0</v>
      </c>
      <c r="AE34" s="238">
        <f>'#需填写'!AD24/10000</f>
        <v>0</v>
      </c>
      <c r="AF34" s="238">
        <f>'#需填写'!AE24/10000</f>
        <v>0</v>
      </c>
      <c r="AG34" s="238">
        <f>'#需填写'!AF24/10000</f>
        <v>0</v>
      </c>
      <c r="AH34" s="238">
        <f>'#需填写'!AG24/10000</f>
        <v>0</v>
      </c>
      <c r="AI34" s="238">
        <f>'#需填写'!AH24/10000</f>
        <v>0</v>
      </c>
      <c r="AJ34" s="238">
        <f>'#需填写'!AI24/10000</f>
        <v>0</v>
      </c>
      <c r="AK34" s="238">
        <f>'#需填写'!AJ24/10000</f>
        <v>0</v>
      </c>
      <c r="AL34" s="238">
        <f>'#需填写'!AK24/10000</f>
        <v>0</v>
      </c>
      <c r="AM34" s="238">
        <f>'#需填写'!AL24/10000</f>
        <v>0</v>
      </c>
      <c r="AO34" s="1675">
        <f>SUMIFS(C34:AA34,$C$1:$AA$1,'#经营概况'!$B$1,$C$2:$AA$2,'#经营概况'!$B$2)-SUMIFS(C34:AA34,$C$1:$AA$1,'#经营概况'!$B$1,$C$2:$AA$2,'#经营概况'!$B$2-1)</f>
        <v>0</v>
      </c>
    </row>
    <row r="35" spans="1:41" ht="17.100000000000001" customHeight="1">
      <c r="A35" s="669" t="s">
        <v>244</v>
      </c>
      <c r="B35" s="468">
        <v>5545.8</v>
      </c>
      <c r="C35" s="468">
        <v>462.15</v>
      </c>
      <c r="D35" s="468">
        <f>'#需填写'!C25/10000</f>
        <v>462.15</v>
      </c>
      <c r="E35" s="673">
        <f>'#需填写'!D25/10000</f>
        <v>462.15</v>
      </c>
      <c r="F35" s="673">
        <f>'#需填写'!E25/10000</f>
        <v>462.15</v>
      </c>
      <c r="G35" s="673">
        <f>'#需填写'!F25/10000</f>
        <v>462.15</v>
      </c>
      <c r="H35" s="673">
        <f>'#需填写'!G25/10000</f>
        <v>462.15</v>
      </c>
      <c r="I35" s="673">
        <f>'#需填写'!H25/10000</f>
        <v>462.15</v>
      </c>
      <c r="J35" s="673">
        <f>'#需填写'!I25/10000</f>
        <v>462.15</v>
      </c>
      <c r="K35" s="673">
        <f>'#需填写'!J25/10000</f>
        <v>462.15</v>
      </c>
      <c r="L35" s="673">
        <f>'#需填写'!K25/10000</f>
        <v>462.15</v>
      </c>
      <c r="M35" s="673">
        <f>'#需填写'!L25/10000</f>
        <v>462.15</v>
      </c>
      <c r="N35" s="673">
        <f>'#需填写'!M25/10000</f>
        <v>462.15</v>
      </c>
      <c r="O35" s="673">
        <f>'#需填写'!N25/10000</f>
        <v>462.15</v>
      </c>
      <c r="P35" s="673">
        <f>'#需填写'!O25/10000</f>
        <v>462.15</v>
      </c>
      <c r="Q35" s="238">
        <f>'#需填写'!P25/10000</f>
        <v>462.15</v>
      </c>
      <c r="R35" s="238">
        <f>'#需填写'!Q25/10000</f>
        <v>462.15</v>
      </c>
      <c r="S35" s="238">
        <f>'#需填写'!R25/10000</f>
        <v>462.15</v>
      </c>
      <c r="T35" s="238">
        <f>'#需填写'!S25/10000</f>
        <v>462.15</v>
      </c>
      <c r="U35" s="238">
        <f>'#需填写'!T25/10000</f>
        <v>462.15</v>
      </c>
      <c r="V35" s="238">
        <f>'#需填写'!U25/10000</f>
        <v>462.15</v>
      </c>
      <c r="W35" s="238">
        <f>'#需填写'!V25/10000</f>
        <v>462.15</v>
      </c>
      <c r="X35" s="238">
        <f>'#需填写'!W25/10000</f>
        <v>462.15</v>
      </c>
      <c r="Y35" s="238">
        <f>'#需填写'!X25/10000</f>
        <v>462.15</v>
      </c>
      <c r="Z35" s="238">
        <f>'#需填写'!Y25/10000</f>
        <v>462.15</v>
      </c>
      <c r="AA35" s="238">
        <f>'#需填写'!Z25/10000</f>
        <v>462.15</v>
      </c>
      <c r="AB35" s="238">
        <f>'#需填写'!AA25/10000</f>
        <v>462.15</v>
      </c>
      <c r="AC35" s="238">
        <f>'#需填写'!AB25/10000</f>
        <v>462.15</v>
      </c>
      <c r="AD35" s="238">
        <f>'#需填写'!AC25/10000</f>
        <v>462.15</v>
      </c>
      <c r="AE35" s="238">
        <f>'#需填写'!AD25/10000</f>
        <v>462.15</v>
      </c>
      <c r="AF35" s="238">
        <f>'#需填写'!AE25/10000</f>
        <v>462.15</v>
      </c>
      <c r="AG35" s="238">
        <f>'#需填写'!AF25/10000</f>
        <v>462.15</v>
      </c>
      <c r="AH35" s="238">
        <f>'#需填写'!AG25/10000</f>
        <v>462.15</v>
      </c>
      <c r="AI35" s="238">
        <f>'#需填写'!AH25/10000</f>
        <v>462.15</v>
      </c>
      <c r="AJ35" s="238">
        <f>'#需填写'!AI25/10000</f>
        <v>0</v>
      </c>
      <c r="AK35" s="238">
        <f>'#需填写'!AJ25/10000</f>
        <v>0</v>
      </c>
      <c r="AL35" s="238">
        <f>'#需填写'!AK25/10000</f>
        <v>0</v>
      </c>
      <c r="AM35" s="238">
        <f>'#需填写'!AL25/10000</f>
        <v>0</v>
      </c>
      <c r="AO35" s="1675">
        <f>SUMIFS(C35:AA35,$C$1:$AA$1,'#经营概况'!$B$1,$C$2:$AA$2,'#经营概况'!$B$2)-SUMIFS(C35:AA35,$C$1:$AA$1,'#经营概况'!$B$1,$C$2:$AA$2,'#经营概况'!$B$2-1)</f>
        <v>0</v>
      </c>
    </row>
    <row r="36" spans="1:41" ht="17.100000000000001" customHeight="1">
      <c r="A36" s="669" t="s">
        <v>245</v>
      </c>
      <c r="B36" s="468">
        <v>465.48</v>
      </c>
      <c r="C36" s="468">
        <v>0</v>
      </c>
      <c r="D36" s="468">
        <f>'#需填写'!C26/10000</f>
        <v>102.85725500000001</v>
      </c>
      <c r="E36" s="673">
        <f>'#需填写'!D26/10000</f>
        <v>0</v>
      </c>
      <c r="F36" s="673">
        <f>'#需填写'!E26/10000</f>
        <v>0</v>
      </c>
      <c r="G36" s="673">
        <f>'#需填写'!F26/10000</f>
        <v>107.23568899999999</v>
      </c>
      <c r="H36" s="673">
        <f>'#需填写'!G26/10000</f>
        <v>0</v>
      </c>
      <c r="I36" s="673">
        <f>'#需填写'!H26/10000</f>
        <v>0</v>
      </c>
      <c r="J36" s="673">
        <f>'#需填写'!I26/10000</f>
        <v>120.629929</v>
      </c>
      <c r="K36" s="673">
        <f>'#需填写'!J26/10000</f>
        <v>0</v>
      </c>
      <c r="L36" s="673">
        <f>'#需填写'!K26/10000</f>
        <v>0</v>
      </c>
      <c r="M36" s="673">
        <f>'#需填写'!L26/10000</f>
        <v>132.83382800000001</v>
      </c>
      <c r="N36" s="673">
        <f>'#需填写'!M26/10000</f>
        <v>0</v>
      </c>
      <c r="O36" s="673">
        <f>'#需填写'!N26/10000</f>
        <v>114.854344</v>
      </c>
      <c r="P36" s="673">
        <f>'#需填写'!O26/10000</f>
        <v>0</v>
      </c>
      <c r="Q36" s="238">
        <f>'#需填写'!P26/10000</f>
        <v>0</v>
      </c>
      <c r="R36" s="238">
        <f>'#需填写'!Q26/10000</f>
        <v>0</v>
      </c>
      <c r="S36" s="238">
        <f>'#需填写'!R26/10000</f>
        <v>104.244738</v>
      </c>
      <c r="T36" s="238">
        <f>'#需填写'!S26/10000</f>
        <v>0</v>
      </c>
      <c r="U36" s="238">
        <f>'#需填写'!T26/10000</f>
        <v>0</v>
      </c>
      <c r="V36" s="238">
        <f>'#需填写'!U26/10000</f>
        <v>103.645612</v>
      </c>
      <c r="W36" s="238">
        <f>'#需填写'!V26/10000</f>
        <v>0</v>
      </c>
      <c r="X36" s="238">
        <f>'#需填写'!W26/10000</f>
        <v>0</v>
      </c>
      <c r="Y36" s="238">
        <f>'#需填写'!X26/10000</f>
        <v>110.31031200000001</v>
      </c>
      <c r="Z36" s="238">
        <f>'#需填写'!Y26/10000</f>
        <v>0</v>
      </c>
      <c r="AA36" s="238">
        <f>'#需填写'!Z26/10000</f>
        <v>0</v>
      </c>
      <c r="AB36" s="238">
        <f>'#需填写'!AA26/10000</f>
        <v>0</v>
      </c>
      <c r="AC36" s="238">
        <f>'#需填写'!AB26/10000</f>
        <v>0</v>
      </c>
      <c r="AD36" s="238">
        <f>'#需填写'!AC26/10000</f>
        <v>0</v>
      </c>
      <c r="AE36" s="238">
        <f>'#需填写'!AD26/10000</f>
        <v>107.58683799999999</v>
      </c>
      <c r="AF36" s="238">
        <f>'#需填写'!AE26/10000</f>
        <v>0</v>
      </c>
      <c r="AG36" s="238">
        <f>'#需填写'!AF26/10000</f>
        <v>0</v>
      </c>
      <c r="AH36" s="238">
        <f>'#需填写'!AG26/10000</f>
        <v>0</v>
      </c>
      <c r="AI36" s="238">
        <f>'#需填写'!AH26/10000</f>
        <v>0</v>
      </c>
      <c r="AJ36" s="238">
        <f>'#需填写'!AI26/10000</f>
        <v>0</v>
      </c>
      <c r="AK36" s="238">
        <f>'#需填写'!AJ26/10000</f>
        <v>0</v>
      </c>
      <c r="AL36" s="238">
        <f>'#需填写'!AK26/10000</f>
        <v>0</v>
      </c>
      <c r="AM36" s="238">
        <f>'#需填写'!AL26/10000</f>
        <v>0</v>
      </c>
      <c r="AO36" s="1675">
        <f>SUMIFS(C36:AA36,$C$1:$AA$1,'#经营概况'!$B$1,$C$2:$AA$2,'#经营概况'!$B$2)-SUMIFS(C36:AA36,$C$1:$AA$1,'#经营概况'!$B$1,$C$2:$AA$2,'#经营概况'!$B$2-1)</f>
        <v>0</v>
      </c>
    </row>
    <row r="37" spans="1:41" ht="17.100000000000001" customHeight="1">
      <c r="A37" s="669" t="s">
        <v>764</v>
      </c>
      <c r="B37" s="468"/>
      <c r="C37" s="468"/>
      <c r="D37" s="468"/>
      <c r="E37" s="673"/>
      <c r="F37" s="673"/>
      <c r="G37" s="673"/>
      <c r="H37" s="673"/>
      <c r="I37" s="673"/>
      <c r="J37" s="673"/>
      <c r="K37" s="673"/>
      <c r="L37" s="673"/>
      <c r="M37" s="673"/>
      <c r="N37" s="673"/>
      <c r="O37" s="673"/>
      <c r="P37" s="673"/>
      <c r="Q37" s="238"/>
      <c r="R37" s="238"/>
      <c r="S37" s="238"/>
      <c r="T37" s="238"/>
      <c r="U37" s="238"/>
      <c r="V37" s="238"/>
      <c r="W37" s="238"/>
      <c r="X37" s="238"/>
      <c r="Y37" s="238"/>
      <c r="Z37" s="238"/>
      <c r="AA37" s="238"/>
      <c r="AB37" s="238"/>
      <c r="AC37" s="238"/>
      <c r="AD37" s="238"/>
      <c r="AE37" s="238"/>
      <c r="AF37" s="238">
        <f>-'#需填写'!AE34/10000</f>
        <v>-42.895192999999999</v>
      </c>
      <c r="AG37" s="238">
        <f>-'#需填写'!AF34/10000</f>
        <v>-26.710943</v>
      </c>
      <c r="AH37" s="238">
        <f>-'#需填写'!AG34/10000</f>
        <v>-18.249513</v>
      </c>
      <c r="AI37" s="238">
        <f>-'#需填写'!AH34/10000</f>
        <v>-67.925793999999996</v>
      </c>
      <c r="AJ37" s="238">
        <f>-'#需填写'!AI34/10000</f>
        <v>0</v>
      </c>
      <c r="AK37" s="238">
        <f>-'#需填写'!AJ34/10000</f>
        <v>0</v>
      </c>
      <c r="AL37" s="238">
        <f>-'#需填写'!AK34/10000</f>
        <v>0</v>
      </c>
      <c r="AM37" s="238">
        <f>-'#需填写'!AL34/10000</f>
        <v>0</v>
      </c>
      <c r="AO37" s="1675"/>
    </row>
    <row r="38" spans="1:41" ht="17.100000000000001" customHeight="1">
      <c r="A38" s="669" t="s">
        <v>246</v>
      </c>
      <c r="B38" s="468">
        <v>8161.993152</v>
      </c>
      <c r="C38" s="468">
        <f>B38/12</f>
        <v>680.16609600000004</v>
      </c>
      <c r="D38" s="468">
        <f>'#需填写'!C27/10000</f>
        <v>680.16609600000004</v>
      </c>
      <c r="E38" s="673">
        <f>'#需填写'!D27/10000</f>
        <v>680.16609600000004</v>
      </c>
      <c r="F38" s="673">
        <f>'#需填写'!E27/10000</f>
        <v>680.16609600000004</v>
      </c>
      <c r="G38" s="673">
        <f>'#需填写'!F27/10000</f>
        <v>680.16609600000004</v>
      </c>
      <c r="H38" s="673">
        <f>'#需填写'!G27/10000</f>
        <v>680.16609600000004</v>
      </c>
      <c r="I38" s="673">
        <f>'#需填写'!H27/10000</f>
        <v>680.16609600000004</v>
      </c>
      <c r="J38" s="673">
        <f>'#需填写'!I27/10000</f>
        <v>680.16609600000004</v>
      </c>
      <c r="K38" s="673">
        <f>'#需填写'!J27/10000</f>
        <v>680.16609600000004</v>
      </c>
      <c r="L38" s="673">
        <f>'#需填写'!K27/10000</f>
        <v>680.16609600000004</v>
      </c>
      <c r="M38" s="673">
        <f>'#需填写'!L27/10000</f>
        <v>680.16609600000004</v>
      </c>
      <c r="N38" s="673">
        <f>'#需填写'!M27/10000</f>
        <v>680.16609600000004</v>
      </c>
      <c r="O38" s="673">
        <f>'#需填写'!N27/10000</f>
        <v>680.16609600000004</v>
      </c>
      <c r="P38" s="673">
        <f>'#需填写'!O27/10000</f>
        <v>680.16609600000004</v>
      </c>
      <c r="Q38" s="238">
        <f>'#需填写'!P27/10000</f>
        <v>680.16609600000004</v>
      </c>
      <c r="R38" s="238">
        <f>'#需填写'!Q27/10000</f>
        <v>680.16609600000004</v>
      </c>
      <c r="S38" s="238">
        <f>'#需填写'!R27/10000</f>
        <v>680.16609600000004</v>
      </c>
      <c r="T38" s="238">
        <f>'#需填写'!S27/10000</f>
        <v>680.16609600000004</v>
      </c>
      <c r="U38" s="238">
        <f>'#需填写'!T27/10000</f>
        <v>680.16609600000004</v>
      </c>
      <c r="V38" s="238">
        <f>'#需填写'!U27/10000</f>
        <v>707.82749999999999</v>
      </c>
      <c r="W38" s="238">
        <f>'#需填写'!V27/10000</f>
        <v>707.82749999999999</v>
      </c>
      <c r="X38" s="238">
        <f>'#需填写'!W27/10000</f>
        <v>707.82749999999999</v>
      </c>
      <c r="Y38" s="238">
        <f>'#需填写'!X27/10000</f>
        <v>707.82749999999999</v>
      </c>
      <c r="Z38" s="238">
        <f>'#需填写'!Y27/10000</f>
        <v>707.82749999999999</v>
      </c>
      <c r="AA38" s="238">
        <f>'#需填写'!Z27/10000</f>
        <v>873.79653600000108</v>
      </c>
      <c r="AB38" s="238">
        <f>'#需填写'!AA27/10000</f>
        <v>707.82749999999999</v>
      </c>
      <c r="AC38" s="238">
        <f>'#需填写'!AB27/10000</f>
        <v>707.82749999999999</v>
      </c>
      <c r="AD38" s="238">
        <f>'#需填写'!AC27/10000</f>
        <v>707.82749999999999</v>
      </c>
      <c r="AE38" s="238">
        <f>'#需填写'!AD27/10000</f>
        <v>707.82749999999999</v>
      </c>
      <c r="AF38" s="238">
        <f>'#需填写'!AE27/10000</f>
        <v>707.82749999999999</v>
      </c>
      <c r="AG38" s="238">
        <f>'#需填写'!AF27/10000</f>
        <v>707.82749999999999</v>
      </c>
      <c r="AH38" s="238">
        <f>'#需填写'!AG27/10000</f>
        <v>707.82749999999999</v>
      </c>
      <c r="AI38" s="238">
        <f>'#需填写'!AH27/10000</f>
        <v>707.82749999999999</v>
      </c>
      <c r="AJ38" s="238">
        <f>'#需填写'!AI27/10000</f>
        <v>0</v>
      </c>
      <c r="AK38" s="238">
        <f>'#需填写'!AJ27/10000</f>
        <v>0</v>
      </c>
      <c r="AL38" s="238">
        <f>'#需填写'!AK27/10000</f>
        <v>0</v>
      </c>
      <c r="AM38" s="238">
        <f>'#需填写'!AL27/10000</f>
        <v>0</v>
      </c>
      <c r="AO38" s="1675">
        <f>SUMIFS(C38:AA38,$C$1:$AA$1,'#经营概况'!$B$1,$C$2:$AA$2,'#经营概况'!$B$2)-SUMIFS(C38:AA38,$C$1:$AA$1,'#经营概况'!$B$1,$C$2:$AA$2,'#经营概况'!$B$2-1)</f>
        <v>0</v>
      </c>
    </row>
    <row r="39" spans="1:41" ht="17.100000000000001" customHeight="1">
      <c r="A39" s="669" t="s">
        <v>754</v>
      </c>
      <c r="B39" s="468"/>
      <c r="C39" s="468"/>
      <c r="D39" s="468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>
        <f>'#需填写'!O22/10000</f>
        <v>0</v>
      </c>
      <c r="Q39" s="673">
        <f>'#需填写'!P22/10000</f>
        <v>0</v>
      </c>
      <c r="R39" s="673">
        <f>'#需填写'!Q22/10000</f>
        <v>419.84640000000002</v>
      </c>
      <c r="S39" s="673">
        <f>'#需填写'!R22/10000</f>
        <v>139.94880000000001</v>
      </c>
      <c r="T39" s="670">
        <f>'#需填写'!S22/10000</f>
        <v>139.94880000000001</v>
      </c>
      <c r="U39" s="670">
        <f>'#需填写'!T22/10000</f>
        <v>139.94880000000001</v>
      </c>
      <c r="V39" s="670">
        <f>'#需填写'!U22/10000</f>
        <v>139.94880000000001</v>
      </c>
      <c r="W39" s="670">
        <f>'#需填写'!V22/10000</f>
        <v>139.94880000000001</v>
      </c>
      <c r="X39" s="670">
        <f>'#需填写'!W22/10000</f>
        <v>139.94880000000001</v>
      </c>
      <c r="Y39" s="670">
        <f>'#需填写'!X22/10000</f>
        <v>139.94880000000001</v>
      </c>
      <c r="Z39" s="670">
        <f>'#需填写'!Y22/10000</f>
        <v>139.94880000000001</v>
      </c>
      <c r="AA39" s="670">
        <f>'#需填写'!Z22/10000</f>
        <v>139.94880000000001</v>
      </c>
      <c r="AB39" s="670">
        <f>'#需填写'!AA22/10000</f>
        <v>139.94880000000001</v>
      </c>
      <c r="AC39" s="670">
        <f>'#需填写'!AB22/10000</f>
        <v>139.94880000000001</v>
      </c>
      <c r="AD39" s="670">
        <f>'#需填写'!AC22/10000</f>
        <v>139.94880000000001</v>
      </c>
      <c r="AE39" s="670">
        <f>'#需填写'!AD22/10000</f>
        <v>139.94880000000001</v>
      </c>
      <c r="AF39" s="670">
        <f>'#需填写'!AE22/10000</f>
        <v>139.94880000000001</v>
      </c>
      <c r="AG39" s="670">
        <f>'#需填写'!AF22/10000</f>
        <v>139.94880000000001</v>
      </c>
      <c r="AH39" s="670">
        <f>'#需填写'!AG22/10000</f>
        <v>139.94880000000001</v>
      </c>
      <c r="AI39" s="670">
        <f>'#需填写'!AH22/10000</f>
        <v>139.94880000000001</v>
      </c>
      <c r="AJ39" s="670">
        <f>'#需填写'!AI22/10000</f>
        <v>0</v>
      </c>
      <c r="AK39" s="670">
        <f>'#需填写'!AJ22/10000</f>
        <v>0</v>
      </c>
      <c r="AL39" s="670">
        <f>'#需填写'!AK22/10000</f>
        <v>0</v>
      </c>
      <c r="AM39" s="670">
        <f>'#需填写'!AL22/10000</f>
        <v>0</v>
      </c>
      <c r="AO39" s="1675">
        <f>SUMIFS(C39:AA39,$C$1:$AA$1,'#经营概况'!$B$1,$C$2:$AA$2,'#经营概况'!$B$2)-SUMIFS(C39:AA39,$C$1:$AA$1,'#经营概况'!$B$1,$C$2:$AA$2,'#经营概况'!$B$2-1)</f>
        <v>0</v>
      </c>
    </row>
    <row r="40" spans="1:41" ht="17.100000000000001" customHeight="1">
      <c r="A40" s="669" t="s">
        <v>755</v>
      </c>
      <c r="B40" s="468">
        <v>578</v>
      </c>
      <c r="C40" s="468">
        <v>490</v>
      </c>
      <c r="D40" s="468">
        <f>'#需填写'!C28/10000</f>
        <v>7.4326530000000002</v>
      </c>
      <c r="E40" s="673">
        <f>'#需填写'!D28/10000</f>
        <v>7.4326530000000002</v>
      </c>
      <c r="F40" s="673">
        <f>'#需填写'!E28/10000</f>
        <v>7.4326530000000002</v>
      </c>
      <c r="G40" s="673">
        <f>'#需填写'!F28/10000</f>
        <v>7.4326530000000002</v>
      </c>
      <c r="H40" s="673">
        <f>'#需填写'!G28/10000</f>
        <v>7.4326530000000002</v>
      </c>
      <c r="I40" s="673">
        <f>'#需填写'!H28/10000</f>
        <v>7.4326530000000002</v>
      </c>
      <c r="J40" s="673">
        <f>'#需填写'!I28/10000</f>
        <v>7.4326530000000002</v>
      </c>
      <c r="K40" s="673">
        <f>'#需填写'!J28/10000</f>
        <v>7.4326530000000002</v>
      </c>
      <c r="L40" s="673">
        <f>'#需填写'!K28/10000</f>
        <v>7.4326530000000002</v>
      </c>
      <c r="M40" s="673">
        <f>'#需填写'!L28/10000</f>
        <v>7.4326530000000002</v>
      </c>
      <c r="N40" s="673">
        <f>'#需填写'!M28/10000</f>
        <v>7.4326530000000002</v>
      </c>
      <c r="O40" s="673">
        <f>'#需填写'!N28/10000</f>
        <v>7.4326530000000002</v>
      </c>
      <c r="P40" s="673">
        <f>'#需填写'!O28/10000</f>
        <v>7.4326530000000002</v>
      </c>
      <c r="Q40" s="238">
        <f>'#需填写'!P28/10000</f>
        <v>7.4326530000000002</v>
      </c>
      <c r="R40" s="238">
        <f>'#需填写'!Q28/10000</f>
        <v>7.4326530000000002</v>
      </c>
      <c r="S40" s="238">
        <f>'#需填写'!R28/10000</f>
        <v>7.4326530000000002</v>
      </c>
      <c r="T40" s="238">
        <f>'#需填写'!S28/10000</f>
        <v>7.4326530000000002</v>
      </c>
      <c r="U40" s="238">
        <f>'#需填写'!T28/10000</f>
        <v>7.4326530000000002</v>
      </c>
      <c r="V40" s="238">
        <f>'#需填写'!U28/10000</f>
        <v>7.4326530000000002</v>
      </c>
      <c r="W40" s="238">
        <f>'#需填写'!V28/10000</f>
        <v>7.4326530000000002</v>
      </c>
      <c r="X40" s="238">
        <f>'#需填写'!W28/10000</f>
        <v>7.4326530000000002</v>
      </c>
      <c r="Y40" s="238">
        <f>'#需填写'!X28/10000</f>
        <v>7.4326530000000002</v>
      </c>
      <c r="Z40" s="238">
        <f>'#需填写'!Y28/10000</f>
        <v>7.4326530000000002</v>
      </c>
      <c r="AA40" s="238">
        <f>'#需填写'!Z28/10000</f>
        <v>7.4326530000000002</v>
      </c>
      <c r="AB40" s="238">
        <f>'#需填写'!AA28/10000</f>
        <v>7.4326530000000002</v>
      </c>
      <c r="AC40" s="238">
        <f>'#需填写'!AB28/10000</f>
        <v>7.4326530000000002</v>
      </c>
      <c r="AD40" s="238">
        <f>'#需填写'!AC28/10000</f>
        <v>7.4326530000000002</v>
      </c>
      <c r="AE40" s="238">
        <f>'#需填写'!AD28/10000</f>
        <v>7.4326530000000002</v>
      </c>
      <c r="AF40" s="238">
        <f>'#需填写'!AE28/10000</f>
        <v>7.4326530000000002</v>
      </c>
      <c r="AG40" s="238">
        <f>'#需填写'!AF28/10000</f>
        <v>7.4326530000000002</v>
      </c>
      <c r="AH40" s="238">
        <f>'#需填写'!AG28/10000</f>
        <v>7.4326530000000002</v>
      </c>
      <c r="AI40" s="238">
        <f>'#需填写'!AH28/10000</f>
        <v>7.4326530000000002</v>
      </c>
      <c r="AJ40" s="238">
        <f>'#需填写'!AI28/10000</f>
        <v>0</v>
      </c>
      <c r="AK40" s="238">
        <f>'#需填写'!AJ28/10000</f>
        <v>0</v>
      </c>
      <c r="AL40" s="238">
        <f>'#需填写'!AK28/10000</f>
        <v>0</v>
      </c>
      <c r="AM40" s="238">
        <f>'#需填写'!AL28/10000</f>
        <v>0</v>
      </c>
      <c r="AO40" s="1675">
        <f>SUMIFS(C40:AA40,$C$1:$AA$1,'#经营概况'!$B$1,$C$2:$AA$2,'#经营概况'!$B$2)-SUMIFS(C40:AA40,$C$1:$AA$1,'#经营概况'!$B$1,$C$2:$AA$2,'#经营概况'!$B$2-1)</f>
        <v>0</v>
      </c>
    </row>
    <row r="41" spans="1:41" ht="16.5" customHeight="1">
      <c r="A41" s="669" t="s">
        <v>160</v>
      </c>
      <c r="B41" s="468">
        <f t="shared" ref="B41:AA41" si="63">B28-SUM(B29:B40)</f>
        <v>1316.0962529999961</v>
      </c>
      <c r="C41" s="468">
        <f t="shared" si="63"/>
        <v>648.56541399999969</v>
      </c>
      <c r="D41" s="468">
        <f t="shared" si="63"/>
        <v>5.8230439999997543</v>
      </c>
      <c r="E41" s="673">
        <f t="shared" si="63"/>
        <v>4.5650870000008581</v>
      </c>
      <c r="F41" s="673">
        <f t="shared" si="63"/>
        <v>17.102942000000439</v>
      </c>
      <c r="G41" s="673">
        <f t="shared" si="63"/>
        <v>350.4451710000003</v>
      </c>
      <c r="H41" s="673">
        <f t="shared" si="63"/>
        <v>39.669716999999764</v>
      </c>
      <c r="I41" s="673">
        <f t="shared" si="63"/>
        <v>82.438634000001002</v>
      </c>
      <c r="J41" s="673">
        <f t="shared" si="63"/>
        <v>28.431225000001177</v>
      </c>
      <c r="K41" s="673">
        <f t="shared" si="63"/>
        <v>9.4556599999996251</v>
      </c>
      <c r="L41" s="673">
        <f t="shared" si="63"/>
        <v>12.980189000000792</v>
      </c>
      <c r="M41" s="673">
        <f t="shared" si="63"/>
        <v>23.756319999999505</v>
      </c>
      <c r="N41" s="673">
        <f t="shared" si="63"/>
        <v>83.90556800000104</v>
      </c>
      <c r="O41" s="673">
        <f t="shared" si="63"/>
        <v>2006.0315069999897</v>
      </c>
      <c r="P41" s="673">
        <f t="shared" si="63"/>
        <v>79.416917000000467</v>
      </c>
      <c r="Q41" s="238">
        <f t="shared" si="63"/>
        <v>63.436350999990282</v>
      </c>
      <c r="R41" s="238">
        <f t="shared" si="63"/>
        <v>137.9883319999999</v>
      </c>
      <c r="S41" s="238">
        <f t="shared" si="63"/>
        <v>194.06313833333297</v>
      </c>
      <c r="T41" s="238">
        <f t="shared" si="63"/>
        <v>190.02016433333301</v>
      </c>
      <c r="U41" s="238">
        <f t="shared" si="63"/>
        <v>105.43375533333165</v>
      </c>
      <c r="V41" s="238">
        <f t="shared" si="63"/>
        <v>397.48144333332675</v>
      </c>
      <c r="W41" s="238">
        <f>W28-SUM(W29:W40)</f>
        <v>69.778572333336342</v>
      </c>
      <c r="X41" s="238">
        <f t="shared" si="63"/>
        <v>114.70576562533824</v>
      </c>
      <c r="Y41" s="238">
        <f t="shared" si="63"/>
        <v>94.763856333335752</v>
      </c>
      <c r="Z41" s="238">
        <f t="shared" si="63"/>
        <v>98.052287333334789</v>
      </c>
      <c r="AA41" s="238">
        <f t="shared" si="63"/>
        <v>1592.4403833333254</v>
      </c>
      <c r="AB41" s="238">
        <f>AB28-SUM(AB29:AB40)</f>
        <v>108.4783893333406</v>
      </c>
      <c r="AC41" s="238">
        <f>AC28-SUM(AC29:AC40)</f>
        <v>60.392445333325668</v>
      </c>
      <c r="AD41" s="238">
        <f t="shared" ref="AD41:AM41" si="64">AD28-SUM(AD29:AD40)</f>
        <v>176.98438133334093</v>
      </c>
      <c r="AE41" s="238">
        <f t="shared" si="64"/>
        <v>152.71518533332346</v>
      </c>
      <c r="AF41" s="238">
        <f t="shared" si="64"/>
        <v>595.89752633332682</v>
      </c>
      <c r="AG41" s="238">
        <f t="shared" si="64"/>
        <v>200.88500233335253</v>
      </c>
      <c r="AH41" s="238">
        <f t="shared" si="64"/>
        <v>318.95226933334197</v>
      </c>
      <c r="AI41" s="238">
        <f t="shared" si="64"/>
        <v>254.6387013333333</v>
      </c>
      <c r="AJ41" s="238">
        <f t="shared" si="64"/>
        <v>0</v>
      </c>
      <c r="AK41" s="238">
        <f t="shared" si="64"/>
        <v>0</v>
      </c>
      <c r="AL41" s="238">
        <f t="shared" si="64"/>
        <v>0</v>
      </c>
      <c r="AM41" s="238">
        <f t="shared" si="64"/>
        <v>0</v>
      </c>
      <c r="AO41" s="1675">
        <f>SUMIFS(C41:AA41,$C$1:$AA$1,'#经营概况'!$B$1,$C$2:$AA$2,'#经营概况'!$B$2)-SUMIFS(C41:AA41,$C$1:$AA$1,'#经营概况'!$B$1,$C$2:$AA$2,'#经营概况'!$B$2-1)</f>
        <v>0</v>
      </c>
    </row>
    <row r="42" spans="1:41" ht="17.100000000000001" customHeight="1">
      <c r="A42" s="671" t="s">
        <v>756</v>
      </c>
      <c r="B42" s="461">
        <f>-B94/10000</f>
        <v>-23736.468216000001</v>
      </c>
      <c r="C42" s="461">
        <f>-C94/10000</f>
        <v>-8450.1800649999605</v>
      </c>
      <c r="D42" s="461">
        <f t="shared" ref="D42:O42" si="65">-D94/10000</f>
        <v>-2229.5435149999998</v>
      </c>
      <c r="E42" s="461">
        <f t="shared" si="65"/>
        <v>-2216.9851779999999</v>
      </c>
      <c r="F42" s="461">
        <f t="shared" si="65"/>
        <v>-2163.4653720000101</v>
      </c>
      <c r="G42" s="461">
        <f t="shared" si="65"/>
        <v>-3034.8906319999801</v>
      </c>
      <c r="H42" s="461">
        <f t="shared" si="65"/>
        <v>-2326.3688460000199</v>
      </c>
      <c r="I42" s="461">
        <f t="shared" si="65"/>
        <v>-2232.7133329999901</v>
      </c>
      <c r="J42" s="461">
        <f t="shared" si="65"/>
        <v>-2216.9851760000001</v>
      </c>
      <c r="K42" s="461">
        <f t="shared" si="65"/>
        <v>-2216.9851719999997</v>
      </c>
      <c r="L42" s="461">
        <f t="shared" si="65"/>
        <v>-2237.9344260000003</v>
      </c>
      <c r="M42" s="461">
        <f t="shared" si="65"/>
        <v>-2217.78936200004</v>
      </c>
      <c r="N42" s="461">
        <f t="shared" si="65"/>
        <v>-2287.46131099997</v>
      </c>
      <c r="O42" s="461">
        <f t="shared" si="65"/>
        <v>-2295.4081249999999</v>
      </c>
      <c r="P42" s="461">
        <f t="shared" ref="P42:AA42" si="66">-P94/10000</f>
        <v>-2339.1815879999999</v>
      </c>
      <c r="Q42" s="238">
        <f t="shared" si="66"/>
        <v>-2336.1415899999997</v>
      </c>
      <c r="R42" s="238">
        <f t="shared" si="66"/>
        <v>-2347.5415829999902</v>
      </c>
      <c r="S42" s="238">
        <f t="shared" si="66"/>
        <v>-2352.4308940000001</v>
      </c>
      <c r="T42" s="238">
        <f t="shared" si="66"/>
        <v>-2371.889447</v>
      </c>
      <c r="U42" s="238">
        <f t="shared" si="66"/>
        <v>-10055.851630999994</v>
      </c>
      <c r="V42" s="238">
        <f t="shared" si="66"/>
        <v>-1829.5790810000003</v>
      </c>
      <c r="W42" s="238">
        <f>-W94/10000</f>
        <v>-1847.7250599999963</v>
      </c>
      <c r="X42" s="238">
        <f t="shared" si="66"/>
        <v>-1844.2143660000027</v>
      </c>
      <c r="Y42" s="238">
        <f>-Y94/10000</f>
        <v>-1846.2463690000056</v>
      </c>
      <c r="Z42" s="238">
        <f t="shared" si="66"/>
        <v>-1826.2672840000034</v>
      </c>
      <c r="AA42" s="238">
        <f t="shared" si="66"/>
        <v>-1841.6558980000018</v>
      </c>
      <c r="AB42" s="238">
        <f>-AB94/10000</f>
        <v>-2742.8260410000084</v>
      </c>
      <c r="AC42" s="238">
        <f>-AC94/10000</f>
        <v>-8428.8999219999914</v>
      </c>
      <c r="AD42" s="238">
        <f t="shared" ref="AD42:AM42" si="67">-AD94/10000</f>
        <v>-2724.5662350000143</v>
      </c>
      <c r="AE42" s="238">
        <f t="shared" si="67"/>
        <v>-5742.8949390000107</v>
      </c>
      <c r="AF42" s="238">
        <f>-AF94/10000</f>
        <v>-2344.8976599999905</v>
      </c>
      <c r="AG42" s="238">
        <f>-AG94/10000</f>
        <v>-2331.3894779999973</v>
      </c>
      <c r="AH42" s="238">
        <f>-AH94/10000</f>
        <v>-2589.9882410000087</v>
      </c>
      <c r="AI42" s="238">
        <f t="shared" si="67"/>
        <v>-2336.2272459999799</v>
      </c>
      <c r="AJ42" s="238">
        <f t="shared" si="67"/>
        <v>0</v>
      </c>
      <c r="AK42" s="238">
        <f t="shared" si="67"/>
        <v>0</v>
      </c>
      <c r="AL42" s="238">
        <f t="shared" si="67"/>
        <v>0</v>
      </c>
      <c r="AM42" s="238">
        <f t="shared" si="67"/>
        <v>0</v>
      </c>
      <c r="AO42" s="1675">
        <f>SUMIFS(C42:AA42,$C$1:$AA$1,'#经营概况'!$B$1,$C$2:$AA$2,'#经营概况'!$B$2)-SUMIFS(C42:AA42,$C$1:$AA$1,'#经营概况'!$B$1,$C$2:$AA$2,'#经营概况'!$B$2-1)</f>
        <v>0</v>
      </c>
    </row>
    <row r="43" spans="1:41" ht="17.100000000000001" customHeight="1">
      <c r="A43" s="669" t="s">
        <v>757</v>
      </c>
      <c r="B43" s="468">
        <v>-11813.323882999999</v>
      </c>
      <c r="C43" s="468">
        <v>-984.44365691666701</v>
      </c>
      <c r="D43" s="468">
        <f t="shared" ref="D43:O43" si="68">C43</f>
        <v>-984.44365691666701</v>
      </c>
      <c r="E43" s="468">
        <f t="shared" si="68"/>
        <v>-984.44365691666701</v>
      </c>
      <c r="F43" s="468">
        <f t="shared" si="68"/>
        <v>-984.44365691666701</v>
      </c>
      <c r="G43" s="468">
        <f t="shared" si="68"/>
        <v>-984.44365691666701</v>
      </c>
      <c r="H43" s="468">
        <f t="shared" si="68"/>
        <v>-984.44365691666701</v>
      </c>
      <c r="I43" s="468">
        <f t="shared" si="68"/>
        <v>-984.44365691666701</v>
      </c>
      <c r="J43" s="468">
        <f t="shared" si="68"/>
        <v>-984.44365691666701</v>
      </c>
      <c r="K43" s="468">
        <f t="shared" si="68"/>
        <v>-984.44365691666701</v>
      </c>
      <c r="L43" s="468">
        <f t="shared" si="68"/>
        <v>-984.44365691666701</v>
      </c>
      <c r="M43" s="468">
        <f t="shared" si="68"/>
        <v>-984.44365691666701</v>
      </c>
      <c r="N43" s="468">
        <f t="shared" si="68"/>
        <v>-984.44365691666701</v>
      </c>
      <c r="O43" s="468">
        <f t="shared" si="68"/>
        <v>-984.44365691666701</v>
      </c>
      <c r="P43" s="664">
        <v>-1040.638586</v>
      </c>
      <c r="Q43" s="238">
        <v>-1040.638586</v>
      </c>
      <c r="R43" s="238">
        <v>-1040.638586</v>
      </c>
      <c r="S43" s="238">
        <v>-1040.638586</v>
      </c>
      <c r="T43" s="238">
        <v>-1040.638586</v>
      </c>
      <c r="U43" s="679">
        <v>-3356.3101109999998</v>
      </c>
      <c r="V43" s="1534">
        <v>-1040.638584</v>
      </c>
      <c r="W43" s="1534">
        <v>-1039.638584</v>
      </c>
      <c r="X43" s="1534">
        <v>-1039.638584</v>
      </c>
      <c r="Y43" s="1534">
        <v>-1039.638584</v>
      </c>
      <c r="Z43" s="1534">
        <v>-1039.638584</v>
      </c>
      <c r="AA43" s="1534">
        <v>-1039.638584</v>
      </c>
      <c r="AB43" s="1534">
        <v>-1039.638584</v>
      </c>
      <c r="AC43" s="1534">
        <v>-1039.638584</v>
      </c>
      <c r="AD43" s="1534">
        <v>-1039.638584</v>
      </c>
      <c r="AE43" s="1534">
        <v>-1039.638584</v>
      </c>
      <c r="AF43" s="1534">
        <v>-1039.638584</v>
      </c>
      <c r="AG43" s="1534">
        <v>-1039.638584</v>
      </c>
      <c r="AH43" s="1534">
        <v>-1039.638584</v>
      </c>
      <c r="AI43" s="1534">
        <v>-1039.638584</v>
      </c>
      <c r="AJ43" s="1534"/>
      <c r="AK43" s="1534"/>
      <c r="AL43" s="1534"/>
      <c r="AM43" s="1534"/>
      <c r="AO43" s="1675">
        <f>SUMIFS(C43:AA43,$C$1:$AA$1,'#经营概况'!$B$1,$C$2:$AA$2,'#经营概况'!$B$2)-SUMIFS(C43:AA43,$C$1:$AA$1,'#经营概况'!$B$1,$C$2:$AA$2,'#经营概况'!$B$2-1)</f>
        <v>0</v>
      </c>
    </row>
    <row r="44" spans="1:41" ht="17.100000000000001" customHeight="1">
      <c r="A44" s="669" t="s">
        <v>758</v>
      </c>
      <c r="B44" s="468">
        <v>-4152.2606370000003</v>
      </c>
      <c r="C44" s="468">
        <v>-346.02172100000001</v>
      </c>
      <c r="D44" s="468">
        <f t="shared" ref="D44:J45" si="69">C44</f>
        <v>-346.02172100000001</v>
      </c>
      <c r="E44" s="468">
        <f t="shared" si="69"/>
        <v>-346.02172100000001</v>
      </c>
      <c r="F44" s="468">
        <f t="shared" si="69"/>
        <v>-346.02172100000001</v>
      </c>
      <c r="G44" s="468">
        <f t="shared" si="69"/>
        <v>-346.02172100000001</v>
      </c>
      <c r="H44" s="468">
        <f t="shared" si="69"/>
        <v>-346.02172100000001</v>
      </c>
      <c r="I44" s="468">
        <f t="shared" si="69"/>
        <v>-346.02172100000001</v>
      </c>
      <c r="J44" s="468">
        <f t="shared" si="69"/>
        <v>-346.02172100000001</v>
      </c>
      <c r="K44" s="468">
        <f t="shared" ref="K44:N45" si="70">J44</f>
        <v>-346.02172100000001</v>
      </c>
      <c r="L44" s="468">
        <f t="shared" si="70"/>
        <v>-346.02172100000001</v>
      </c>
      <c r="M44" s="468">
        <f t="shared" si="70"/>
        <v>-346.02172100000001</v>
      </c>
      <c r="N44" s="468">
        <f t="shared" si="70"/>
        <v>-346.02172100000001</v>
      </c>
      <c r="O44" s="468">
        <f t="shared" ref="O44:Q45" si="71">N44</f>
        <v>-346.02172100000001</v>
      </c>
      <c r="P44" s="468">
        <f t="shared" si="71"/>
        <v>-346.02172100000001</v>
      </c>
      <c r="Q44" s="238">
        <f t="shared" si="71"/>
        <v>-346.02172100000001</v>
      </c>
      <c r="R44" s="238">
        <f t="shared" ref="R44:Z44" si="72">Q44</f>
        <v>-346.02172100000001</v>
      </c>
      <c r="S44" s="238">
        <f t="shared" si="72"/>
        <v>-346.02172100000001</v>
      </c>
      <c r="T44" s="238">
        <f t="shared" si="72"/>
        <v>-346.02172100000001</v>
      </c>
      <c r="U44" s="238">
        <f t="shared" si="72"/>
        <v>-346.02172100000001</v>
      </c>
      <c r="V44" s="238">
        <v>-729</v>
      </c>
      <c r="W44" s="238">
        <f t="shared" si="72"/>
        <v>-729</v>
      </c>
      <c r="X44" s="238">
        <f t="shared" si="72"/>
        <v>-729</v>
      </c>
      <c r="Y44" s="238">
        <f t="shared" si="72"/>
        <v>-729</v>
      </c>
      <c r="Z44" s="238">
        <f t="shared" si="72"/>
        <v>-729</v>
      </c>
      <c r="AA44" s="238">
        <f>Z44</f>
        <v>-729</v>
      </c>
      <c r="AB44" s="238">
        <f t="shared" ref="AB44:AM44" si="73">AA44</f>
        <v>-729</v>
      </c>
      <c r="AC44" s="238">
        <f t="shared" si="73"/>
        <v>-729</v>
      </c>
      <c r="AD44" s="238">
        <f t="shared" si="73"/>
        <v>-729</v>
      </c>
      <c r="AE44" s="238">
        <f t="shared" si="73"/>
        <v>-729</v>
      </c>
      <c r="AF44" s="238">
        <f t="shared" si="73"/>
        <v>-729</v>
      </c>
      <c r="AG44" s="238">
        <f t="shared" si="73"/>
        <v>-729</v>
      </c>
      <c r="AH44" s="238">
        <f t="shared" si="73"/>
        <v>-729</v>
      </c>
      <c r="AI44" s="238">
        <f t="shared" si="73"/>
        <v>-729</v>
      </c>
      <c r="AJ44" s="238">
        <f t="shared" si="73"/>
        <v>-729</v>
      </c>
      <c r="AK44" s="238">
        <f t="shared" si="73"/>
        <v>-729</v>
      </c>
      <c r="AL44" s="238">
        <f t="shared" si="73"/>
        <v>-729</v>
      </c>
      <c r="AM44" s="238">
        <f t="shared" si="73"/>
        <v>-729</v>
      </c>
      <c r="AO44" s="1675">
        <f>SUMIFS(C44:AA44,$C$1:$AA$1,'#经营概况'!$B$1,$C$2:$AA$2,'#经营概况'!$B$2)-SUMIFS(C44:AA44,$C$1:$AA$1,'#经营概况'!$B$1,$C$2:$AA$2,'#经营概况'!$B$2-1)</f>
        <v>0</v>
      </c>
    </row>
    <row r="45" spans="1:41" ht="17.100000000000001" customHeight="1">
      <c r="A45" s="669" t="s">
        <v>759</v>
      </c>
      <c r="B45" s="468">
        <v>-642.23760000000004</v>
      </c>
      <c r="C45" s="468">
        <v>-53.519799999999996</v>
      </c>
      <c r="D45" s="468">
        <f t="shared" si="69"/>
        <v>-53.519799999999996</v>
      </c>
      <c r="E45" s="468">
        <f t="shared" si="69"/>
        <v>-53.519799999999996</v>
      </c>
      <c r="F45" s="468">
        <f t="shared" si="69"/>
        <v>-53.519799999999996</v>
      </c>
      <c r="G45" s="468">
        <f t="shared" si="69"/>
        <v>-53.519799999999996</v>
      </c>
      <c r="H45" s="468">
        <f t="shared" si="69"/>
        <v>-53.519799999999996</v>
      </c>
      <c r="I45" s="468">
        <f t="shared" si="69"/>
        <v>-53.519799999999996</v>
      </c>
      <c r="J45" s="468">
        <f t="shared" si="69"/>
        <v>-53.519799999999996</v>
      </c>
      <c r="K45" s="468">
        <f t="shared" si="70"/>
        <v>-53.519799999999996</v>
      </c>
      <c r="L45" s="468">
        <f t="shared" si="70"/>
        <v>-53.519799999999996</v>
      </c>
      <c r="M45" s="468">
        <f t="shared" si="70"/>
        <v>-53.519799999999996</v>
      </c>
      <c r="N45" s="468">
        <f t="shared" si="70"/>
        <v>-53.519799999999996</v>
      </c>
      <c r="O45" s="468">
        <f t="shared" si="71"/>
        <v>-53.519799999999996</v>
      </c>
      <c r="P45" s="468">
        <f t="shared" si="71"/>
        <v>-53.519799999999996</v>
      </c>
      <c r="Q45" s="238">
        <f t="shared" si="71"/>
        <v>-53.519799999999996</v>
      </c>
      <c r="R45" s="238">
        <f t="shared" ref="R45:Z45" si="74">Q45</f>
        <v>-53.519799999999996</v>
      </c>
      <c r="S45" s="238">
        <f t="shared" si="74"/>
        <v>-53.519799999999996</v>
      </c>
      <c r="T45" s="238">
        <f t="shared" si="74"/>
        <v>-53.519799999999996</v>
      </c>
      <c r="U45" s="238">
        <f t="shared" si="74"/>
        <v>-53.519799999999996</v>
      </c>
      <c r="V45" s="238">
        <f t="shared" si="74"/>
        <v>-53.519799999999996</v>
      </c>
      <c r="W45" s="238">
        <f t="shared" si="74"/>
        <v>-53.519799999999996</v>
      </c>
      <c r="X45" s="238">
        <f t="shared" si="74"/>
        <v>-53.519799999999996</v>
      </c>
      <c r="Y45" s="238">
        <f t="shared" si="74"/>
        <v>-53.519799999999996</v>
      </c>
      <c r="Z45" s="238">
        <f t="shared" si="74"/>
        <v>-53.519799999999996</v>
      </c>
      <c r="AA45" s="238">
        <f>Z45</f>
        <v>-53.519799999999996</v>
      </c>
      <c r="AB45" s="238">
        <f>AA45</f>
        <v>-53.519799999999996</v>
      </c>
      <c r="AC45" s="238">
        <f t="shared" ref="AC45:AM45" si="75">AB45</f>
        <v>-53.519799999999996</v>
      </c>
      <c r="AD45" s="238">
        <f t="shared" si="75"/>
        <v>-53.519799999999996</v>
      </c>
      <c r="AE45" s="238">
        <f t="shared" si="75"/>
        <v>-53.519799999999996</v>
      </c>
      <c r="AF45" s="238">
        <f t="shared" si="75"/>
        <v>-53.519799999999996</v>
      </c>
      <c r="AG45" s="238">
        <f t="shared" si="75"/>
        <v>-53.519799999999996</v>
      </c>
      <c r="AH45" s="238">
        <f t="shared" si="75"/>
        <v>-53.519799999999996</v>
      </c>
      <c r="AI45" s="238">
        <f t="shared" si="75"/>
        <v>-53.519799999999996</v>
      </c>
      <c r="AJ45" s="238">
        <f t="shared" si="75"/>
        <v>-53.519799999999996</v>
      </c>
      <c r="AK45" s="238">
        <f t="shared" si="75"/>
        <v>-53.519799999999996</v>
      </c>
      <c r="AL45" s="238">
        <f t="shared" si="75"/>
        <v>-53.519799999999996</v>
      </c>
      <c r="AM45" s="238">
        <f t="shared" si="75"/>
        <v>-53.519799999999996</v>
      </c>
      <c r="AO45" s="1675">
        <f>SUMIFS(C45:AA45,$C$1:$AA$1,'#经营概况'!$B$1,$C$2:$AA$2,'#经营概况'!$B$2)-SUMIFS(C45:AA45,$C$1:$AA$1,'#经营概况'!$B$1,$C$2:$AA$2,'#经营概况'!$B$2-1)</f>
        <v>0</v>
      </c>
    </row>
    <row r="46" spans="1:41" ht="17.100000000000001" customHeight="1">
      <c r="A46" s="669" t="s">
        <v>158</v>
      </c>
      <c r="B46" s="468">
        <v>-7000</v>
      </c>
      <c r="C46" s="468">
        <v>-7000</v>
      </c>
      <c r="D46" s="468">
        <v>-833</v>
      </c>
      <c r="E46" s="468">
        <v>-833</v>
      </c>
      <c r="F46" s="468">
        <v>-833</v>
      </c>
      <c r="G46" s="468">
        <f>-833-852.72</f>
        <v>-1685.72</v>
      </c>
      <c r="H46" s="468">
        <f t="shared" ref="H46:O46" si="76">-833</f>
        <v>-833</v>
      </c>
      <c r="I46" s="468">
        <f t="shared" si="76"/>
        <v>-833</v>
      </c>
      <c r="J46" s="468">
        <f t="shared" si="76"/>
        <v>-833</v>
      </c>
      <c r="K46" s="468">
        <f t="shared" si="76"/>
        <v>-833</v>
      </c>
      <c r="L46" s="468">
        <f t="shared" si="76"/>
        <v>-833</v>
      </c>
      <c r="M46" s="468">
        <f t="shared" si="76"/>
        <v>-833</v>
      </c>
      <c r="N46" s="468">
        <f t="shared" si="76"/>
        <v>-833</v>
      </c>
      <c r="O46" s="468">
        <f t="shared" si="76"/>
        <v>-833</v>
      </c>
      <c r="P46" s="468">
        <f>-900</f>
        <v>-900</v>
      </c>
      <c r="Q46" s="238">
        <f>-900</f>
        <v>-900</v>
      </c>
      <c r="R46" s="238">
        <f>-900</f>
        <v>-900</v>
      </c>
      <c r="S46" s="238">
        <f>-900</f>
        <v>-900</v>
      </c>
      <c r="T46" s="238">
        <f>-900</f>
        <v>-900</v>
      </c>
      <c r="U46" s="238">
        <f>-900-5400</f>
        <v>-6300</v>
      </c>
      <c r="V46" s="238">
        <v>0</v>
      </c>
      <c r="W46" s="238">
        <v>1</v>
      </c>
      <c r="X46" s="238">
        <v>0</v>
      </c>
      <c r="Y46" s="238">
        <v>0</v>
      </c>
      <c r="Z46" s="238">
        <v>0</v>
      </c>
      <c r="AA46" s="238">
        <v>0</v>
      </c>
      <c r="AB46" s="238">
        <v>-900</v>
      </c>
      <c r="AC46" s="2053">
        <v>-6600</v>
      </c>
      <c r="AD46" s="2053">
        <v>-900</v>
      </c>
      <c r="AE46" s="2053">
        <v>-900</v>
      </c>
      <c r="AF46" s="381">
        <v>0</v>
      </c>
      <c r="AG46" s="381"/>
      <c r="AH46" s="381"/>
      <c r="AI46" s="381"/>
      <c r="AJ46" s="381"/>
      <c r="AK46" s="381"/>
      <c r="AL46" s="381"/>
      <c r="AM46" s="381"/>
      <c r="AO46" s="1675">
        <f>SUMIFS(C46:AA46,$C$1:$AA$1,'#经营概况'!$B$1,$C$2:$AA$2,'#经营概况'!$B$2)-SUMIFS(C46:AA46,$C$1:$AA$1,'#经营概况'!$B$1,$C$2:$AA$2,'#经营概况'!$B$2-1)</f>
        <v>0</v>
      </c>
    </row>
    <row r="47" spans="1:41" ht="17.100000000000001" customHeight="1">
      <c r="A47" s="672" t="s">
        <v>1714</v>
      </c>
      <c r="B47" s="468"/>
      <c r="C47" s="468"/>
      <c r="D47" s="468"/>
      <c r="E47" s="468"/>
      <c r="F47" s="468"/>
      <c r="G47" s="468"/>
      <c r="H47" s="468"/>
      <c r="I47" s="468"/>
      <c r="J47" s="468"/>
      <c r="K47" s="468"/>
      <c r="L47" s="468"/>
      <c r="M47" s="468"/>
      <c r="N47" s="468"/>
      <c r="O47" s="468"/>
      <c r="P47" s="468"/>
      <c r="Q47" s="238"/>
      <c r="R47" s="238"/>
      <c r="S47" s="238"/>
      <c r="T47" s="238"/>
      <c r="U47" s="238"/>
      <c r="V47" s="238"/>
      <c r="W47" s="238"/>
      <c r="X47" s="238"/>
      <c r="Y47" s="238"/>
      <c r="Z47" s="238"/>
      <c r="AA47" s="238"/>
      <c r="AB47" s="238"/>
      <c r="AC47" s="2053"/>
      <c r="AD47" s="2053"/>
      <c r="AE47" s="2053"/>
      <c r="AF47" s="381">
        <f>-'#需填写'!AE10/10000</f>
        <v>-518.37392262666697</v>
      </c>
      <c r="AG47" s="381">
        <f>-'#需填写'!AF10/10000</f>
        <v>-518.37392262666697</v>
      </c>
      <c r="AH47" s="381">
        <f>-'#需填写'!AG10/10000</f>
        <v>-517.53492300000005</v>
      </c>
      <c r="AI47" s="381">
        <f>-'#需填写'!AH10/10000</f>
        <v>-518.37392262666697</v>
      </c>
      <c r="AJ47" s="381">
        <f>-'#需填写'!AI10/10000</f>
        <v>0</v>
      </c>
      <c r="AK47" s="381">
        <f>-'#需填写'!AJ10/10000</f>
        <v>0</v>
      </c>
      <c r="AL47" s="381">
        <f>-'#需填写'!AK10/10000</f>
        <v>0</v>
      </c>
      <c r="AM47" s="381">
        <f>-'#需填写'!AL10/10000</f>
        <v>0</v>
      </c>
      <c r="AO47" s="1675"/>
    </row>
    <row r="48" spans="1:41" ht="17.100000000000001" customHeight="1">
      <c r="A48" s="669" t="s">
        <v>160</v>
      </c>
      <c r="B48" s="468">
        <f t="shared" ref="B48:O48" si="77">B42-SUM(B43:B46)</f>
        <v>-128.6460960000004</v>
      </c>
      <c r="C48" s="468">
        <f t="shared" si="77"/>
        <v>-66.194887083292997</v>
      </c>
      <c r="D48" s="468">
        <f t="shared" si="77"/>
        <v>-12.558337083332844</v>
      </c>
      <c r="E48" s="468">
        <f t="shared" si="77"/>
        <v>-8.3332906797295436E-8</v>
      </c>
      <c r="F48" s="468">
        <f t="shared" si="77"/>
        <v>53.519805916656878</v>
      </c>
      <c r="G48" s="468">
        <f t="shared" si="77"/>
        <v>34.814545916686711</v>
      </c>
      <c r="H48" s="468">
        <f t="shared" si="77"/>
        <v>-109.38366808335286</v>
      </c>
      <c r="I48" s="468">
        <f t="shared" si="77"/>
        <v>-15.728155083323145</v>
      </c>
      <c r="J48" s="468">
        <f t="shared" si="77"/>
        <v>1.9166668607795145E-6</v>
      </c>
      <c r="K48" s="468">
        <f t="shared" si="77"/>
        <v>5.9166673054278363E-6</v>
      </c>
      <c r="L48" s="468">
        <f t="shared" si="77"/>
        <v>-20.949248083333259</v>
      </c>
      <c r="M48" s="468">
        <f t="shared" si="77"/>
        <v>-0.80418408337300207</v>
      </c>
      <c r="N48" s="468">
        <f t="shared" si="77"/>
        <v>-70.476133083303012</v>
      </c>
      <c r="O48" s="468">
        <f t="shared" si="77"/>
        <v>-78.422947083332929</v>
      </c>
      <c r="P48" s="468">
        <f t="shared" ref="P48:AM48" si="78">P42-SUM(P43:P46)</f>
        <v>0.99851900000021487</v>
      </c>
      <c r="Q48" s="238">
        <f t="shared" si="78"/>
        <v>4.0385170000004109</v>
      </c>
      <c r="R48" s="238">
        <f t="shared" si="78"/>
        <v>-7.3614759999900343</v>
      </c>
      <c r="S48" s="238">
        <f t="shared" si="78"/>
        <v>-12.250786999999946</v>
      </c>
      <c r="T48" s="238">
        <f t="shared" si="78"/>
        <v>-31.709339999999884</v>
      </c>
      <c r="U48" s="238">
        <f t="shared" si="78"/>
        <v>1.0000057955039665E-6</v>
      </c>
      <c r="V48" s="238">
        <f t="shared" si="78"/>
        <v>-6.4206970000002457</v>
      </c>
      <c r="W48" s="238">
        <f>W42-SUM(W43:W46)</f>
        <v>-26.566675999996278</v>
      </c>
      <c r="X48" s="238">
        <f t="shared" si="78"/>
        <v>-22.055982000002587</v>
      </c>
      <c r="Y48" s="238">
        <f t="shared" si="78"/>
        <v>-24.087985000005574</v>
      </c>
      <c r="Z48" s="238">
        <f t="shared" si="78"/>
        <v>-4.1089000000033593</v>
      </c>
      <c r="AA48" s="238">
        <f t="shared" si="78"/>
        <v>-19.497514000001729</v>
      </c>
      <c r="AB48" s="238">
        <f t="shared" si="78"/>
        <v>-20.667657000008148</v>
      </c>
      <c r="AC48" s="238">
        <f t="shared" si="78"/>
        <v>-6.7415379999911238</v>
      </c>
      <c r="AD48" s="238">
        <f t="shared" si="78"/>
        <v>-2.4078510000140341</v>
      </c>
      <c r="AE48" s="238">
        <f t="shared" si="78"/>
        <v>-3020.7365550000104</v>
      </c>
      <c r="AF48" s="238">
        <f t="shared" si="78"/>
        <v>-522.73927599999047</v>
      </c>
      <c r="AG48" s="238">
        <f>AG42-SUM(AG43:AG46)</f>
        <v>-509.23109399999726</v>
      </c>
      <c r="AH48" s="238">
        <f>AH42-SUM(AH43:AH46)</f>
        <v>-767.82985700000859</v>
      </c>
      <c r="AI48" s="238">
        <f t="shared" si="78"/>
        <v>-514.06886199997984</v>
      </c>
      <c r="AJ48" s="238">
        <f t="shared" si="78"/>
        <v>782.51980000000003</v>
      </c>
      <c r="AK48" s="238">
        <f t="shared" si="78"/>
        <v>782.51980000000003</v>
      </c>
      <c r="AL48" s="238">
        <f t="shared" si="78"/>
        <v>782.51980000000003</v>
      </c>
      <c r="AM48" s="238">
        <f t="shared" si="78"/>
        <v>782.51980000000003</v>
      </c>
      <c r="AO48" s="1675">
        <f>SUMIFS(C48:AA48,$C$1:$AA$1,'#经营概况'!$B$1,$C$2:$AA$2,'#经营概况'!$B$2)-SUMIFS(C48:AA48,$C$1:$AA$1,'#经营概况'!$B$1,$C$2:$AA$2,'#经营概况'!$B$2-1)</f>
        <v>0</v>
      </c>
    </row>
    <row r="49" spans="1:41" ht="17.100000000000001" customHeight="1">
      <c r="A49" s="671" t="s">
        <v>737</v>
      </c>
      <c r="B49" s="461">
        <f t="shared" ref="B49:I49" si="79">-B95/10000</f>
        <v>-68722.155392000001</v>
      </c>
      <c r="C49" s="461">
        <f t="shared" si="79"/>
        <v>-6932.3910629999991</v>
      </c>
      <c r="D49" s="461">
        <f t="shared" si="79"/>
        <v>-6729.7668830000002</v>
      </c>
      <c r="E49" s="461">
        <f t="shared" si="79"/>
        <v>-5019.1166560000001</v>
      </c>
      <c r="F49" s="461">
        <f t="shared" si="79"/>
        <v>-5650.1942420000005</v>
      </c>
      <c r="G49" s="461">
        <f t="shared" si="79"/>
        <v>-5866.0360310000005</v>
      </c>
      <c r="H49" s="461">
        <f t="shared" si="79"/>
        <v>-6076.2883030000003</v>
      </c>
      <c r="I49" s="461">
        <f t="shared" si="79"/>
        <v>-5155.3738720000001</v>
      </c>
      <c r="J49" s="461">
        <f t="shared" ref="J49:O49" si="80">-J95/10000</f>
        <v>-4466.1652629999999</v>
      </c>
      <c r="K49" s="461">
        <f t="shared" si="80"/>
        <v>-8162.2775750000001</v>
      </c>
      <c r="L49" s="461">
        <f t="shared" si="80"/>
        <v>-6537.8539259999998</v>
      </c>
      <c r="M49" s="461">
        <f t="shared" si="80"/>
        <v>-5673.0719770000005</v>
      </c>
      <c r="N49" s="461">
        <f t="shared" si="80"/>
        <v>-5070.3720240000002</v>
      </c>
      <c r="O49" s="461">
        <f t="shared" si="80"/>
        <v>-4238.7742479999997</v>
      </c>
      <c r="P49" s="461">
        <f t="shared" ref="P49:Y49" si="81">-P95/10000</f>
        <v>-7429.318612</v>
      </c>
      <c r="Q49" s="675">
        <f t="shared" si="81"/>
        <v>-5645.087004</v>
      </c>
      <c r="R49" s="675">
        <f t="shared" si="81"/>
        <v>-5594.6371880000006</v>
      </c>
      <c r="S49" s="675">
        <f t="shared" si="81"/>
        <v>-5920.8354380000001</v>
      </c>
      <c r="T49" s="675">
        <f t="shared" si="81"/>
        <v>-5846.0375880000001</v>
      </c>
      <c r="U49" s="675">
        <f t="shared" si="81"/>
        <v>-6519.5220440000003</v>
      </c>
      <c r="V49" s="675">
        <f t="shared" si="81"/>
        <v>-5318.463882</v>
      </c>
      <c r="W49" s="675">
        <f>-W95/10000</f>
        <v>-4900.8093749999998</v>
      </c>
      <c r="X49" s="675">
        <f t="shared" si="81"/>
        <v>-8472.6473010000009</v>
      </c>
      <c r="Y49" s="675">
        <f t="shared" si="81"/>
        <v>-4928.1290740000004</v>
      </c>
      <c r="Z49" s="675">
        <f>-Z95/10000</f>
        <v>-5554.9958960000004</v>
      </c>
      <c r="AA49" s="675">
        <f>-AA95/10000</f>
        <v>-17606.781544999998</v>
      </c>
      <c r="AB49" s="675">
        <f t="shared" ref="AB49:AM49" si="82">-AB95/10000</f>
        <v>-1770.2659429999999</v>
      </c>
      <c r="AC49" s="675">
        <f t="shared" si="82"/>
        <v>-2677.9983050000001</v>
      </c>
      <c r="AD49" s="675">
        <f t="shared" si="82"/>
        <v>-2355.4791289999998</v>
      </c>
      <c r="AE49" s="675">
        <f t="shared" si="82"/>
        <v>-2585.100766</v>
      </c>
      <c r="AF49" s="675">
        <f>-AF95/10000</f>
        <v>-3349.1858630000002</v>
      </c>
      <c r="AG49" s="675">
        <f t="shared" si="82"/>
        <v>-3313.4216879999999</v>
      </c>
      <c r="AH49" s="675">
        <f t="shared" si="82"/>
        <v>-3567.4477119999997</v>
      </c>
      <c r="AI49" s="675">
        <f t="shared" si="82"/>
        <v>-3673.4689800000006</v>
      </c>
      <c r="AJ49" s="675">
        <f t="shared" si="82"/>
        <v>0</v>
      </c>
      <c r="AK49" s="675">
        <f t="shared" si="82"/>
        <v>0</v>
      </c>
      <c r="AL49" s="675">
        <f t="shared" si="82"/>
        <v>0</v>
      </c>
      <c r="AM49" s="675">
        <f t="shared" si="82"/>
        <v>0</v>
      </c>
      <c r="AN49" s="641"/>
      <c r="AO49" s="1675">
        <f>SUMIFS(C49:AA49,$C$1:$AA$1,'#经营概况'!$B$1,$C$2:$AA$2,'#经营概况'!$B$2)-SUMIFS(C49:AA49,$C$1:$AA$1,'#经营概况'!$B$1,$C$2:$AA$2,'#经营概况'!$B$2-1)</f>
        <v>0</v>
      </c>
    </row>
    <row r="50" spans="1:41" ht="17.100000000000001" customHeight="1">
      <c r="A50" s="669" t="s">
        <v>79</v>
      </c>
      <c r="B50" s="468">
        <v>-44568.69</v>
      </c>
      <c r="C50" s="468">
        <v>-4327.41</v>
      </c>
      <c r="D50" s="468">
        <f>-'#需填写'!C29/10000</f>
        <v>-4831.2483560000001</v>
      </c>
      <c r="E50" s="468">
        <f>-'#需填写'!D29/10000</f>
        <v>-3322.4359100000001</v>
      </c>
      <c r="F50" s="468">
        <f>-'#需填写'!E29/10000</f>
        <v>-3762.9708729999998</v>
      </c>
      <c r="G50" s="468">
        <f>-'#需填写'!F29/10000</f>
        <v>-3914.4208920000001</v>
      </c>
      <c r="H50" s="468">
        <f>-'#需填写'!G29/10000</f>
        <v>-3904.8419130000002</v>
      </c>
      <c r="I50" s="468">
        <f>-'#需填写'!H29/10000</f>
        <v>-3217.3306379999999</v>
      </c>
      <c r="J50" s="468">
        <f>-'#需填写'!I29/10000</f>
        <v>-3070.5513430000001</v>
      </c>
      <c r="K50" s="468">
        <f>-'#需填写'!J29/10000</f>
        <v>-4073.1281490000001</v>
      </c>
      <c r="L50" s="468">
        <f>-'#需填写'!K29/10000</f>
        <v>-4328.6674729999995</v>
      </c>
      <c r="M50" s="468">
        <f>-'#需填写'!L29/10000</f>
        <v>-3376.7330499999998</v>
      </c>
      <c r="N50" s="468">
        <f>-'#需填写'!M29/10000</f>
        <v>-2918.8403129999997</v>
      </c>
      <c r="O50" s="468">
        <f>-'#需填写'!N29/10000</f>
        <v>-796.82819400000005</v>
      </c>
      <c r="P50" s="468">
        <f>-'#需填写'!O29/10000</f>
        <v>-4985.3335530000004</v>
      </c>
      <c r="Q50" s="238">
        <f>-'#需填写'!P29/10000</f>
        <v>-3605.5633090000006</v>
      </c>
      <c r="R50" s="238">
        <f>-'#需填写'!Q29/10000</f>
        <v>-3153.084809</v>
      </c>
      <c r="S50" s="238">
        <f>-'#需填写'!R29/10000</f>
        <v>-3530.2828490000002</v>
      </c>
      <c r="T50" s="238">
        <f>-'#需填写'!S29/10000</f>
        <v>-3323.275513</v>
      </c>
      <c r="U50" s="238">
        <f>-'#需填写'!T29/10000</f>
        <v>-3000.9139110000001</v>
      </c>
      <c r="V50" s="238">
        <f>-'#需填写'!U29/10000</f>
        <v>-2964.9946249999998</v>
      </c>
      <c r="W50" s="238">
        <f>-'#需填写'!V29/10000</f>
        <v>-2734.3060920000003</v>
      </c>
      <c r="X50" s="238">
        <f>-'#需填写'!W29/10000</f>
        <v>-5634.6631790000001</v>
      </c>
      <c r="Y50" s="238">
        <f>-'#需填写'!X29/10000</f>
        <v>-2635.9104609999999</v>
      </c>
      <c r="Z50" s="238">
        <f>-'#需填写'!Y29/10000</f>
        <v>-3107.3440300000002</v>
      </c>
      <c r="AA50" s="238">
        <f>-'#需填写'!Z29/10000</f>
        <v>-2912.1782450000001</v>
      </c>
      <c r="AB50" s="238">
        <f>-'#需填写'!AA29/10000</f>
        <v>-4929.2652229999994</v>
      </c>
      <c r="AC50" s="238">
        <f>-'#需填写'!AB29/10000</f>
        <v>-2493.1882430000001</v>
      </c>
      <c r="AD50" s="238">
        <f>-'#需填写'!AC29/10000</f>
        <v>-1882.7995780000001</v>
      </c>
      <c r="AE50" s="238">
        <f>-'#需填写'!AD29/10000</f>
        <v>-2223.2431890000003</v>
      </c>
      <c r="AF50" s="238">
        <f>-'#需填写'!AE29/10000</f>
        <v>-2825.068201</v>
      </c>
      <c r="AG50" s="238">
        <f>-'#需填写'!AF29/10000</f>
        <v>-2370.2751640000001</v>
      </c>
      <c r="AH50" s="238">
        <f>-'#需填写'!AG29/10000</f>
        <v>-3268.6277279999999</v>
      </c>
      <c r="AI50" s="238">
        <f>-'#需填写'!AH29/10000</f>
        <v>-2965.682773</v>
      </c>
      <c r="AJ50" s="238">
        <f>-'#需填写'!AI29/10000</f>
        <v>0</v>
      </c>
      <c r="AK50" s="238">
        <f>-'#需填写'!AJ29/10000</f>
        <v>0</v>
      </c>
      <c r="AL50" s="238">
        <f>-'#需填写'!AK29/10000</f>
        <v>0</v>
      </c>
      <c r="AM50" s="238">
        <f>-'#需填写'!AL29/10000</f>
        <v>0</v>
      </c>
      <c r="AO50" s="1675">
        <f>SUMIFS(C50:AA50,$C$1:$AA$1,'#经营概况'!$B$1,$C$2:$AA$2,'#经营概况'!$B$2)-SUMIFS(C50:AA50,$C$1:$AA$1,'#经营概况'!$B$1,$C$2:$AA$2,'#经营概况'!$B$2-1)</f>
        <v>0</v>
      </c>
    </row>
    <row r="51" spans="1:41" ht="17.100000000000001" customHeight="1">
      <c r="A51" s="669" t="s">
        <v>760</v>
      </c>
      <c r="B51" s="468">
        <v>-14536.373212</v>
      </c>
      <c r="C51" s="468">
        <v>-1212.94</v>
      </c>
      <c r="D51" s="468">
        <f>-'#需填写'!C30/10000</f>
        <v>-1212.935892</v>
      </c>
      <c r="E51" s="468">
        <f>-'#需填写'!D30/10000</f>
        <v>-1212.9358830000001</v>
      </c>
      <c r="F51" s="468">
        <f>-'#需填写'!E30/10000</f>
        <v>-1212.93589</v>
      </c>
      <c r="G51" s="468">
        <f>-'#需填写'!F30/10000</f>
        <v>-1212.93589</v>
      </c>
      <c r="H51" s="468">
        <f>-'#需填写'!G30/10000</f>
        <v>-1212.9358869999999</v>
      </c>
      <c r="I51" s="468">
        <f>-'#需填写'!H30/10000</f>
        <v>-1212.9358890000001</v>
      </c>
      <c r="J51" s="468">
        <f>-'#需填写'!I30/10000</f>
        <v>-1212.9358890000001</v>
      </c>
      <c r="K51" s="468">
        <f>-'#需填写'!J30/10000</f>
        <v>-1212.9358890000001</v>
      </c>
      <c r="L51" s="468">
        <f>-'#需填写'!K30/10000</f>
        <v>-1212.93589</v>
      </c>
      <c r="M51" s="468">
        <f>-'#需填写'!L30/10000</f>
        <v>-1212.93589</v>
      </c>
      <c r="N51" s="468">
        <f>-'#需填写'!M30/10000</f>
        <v>-1212.93589</v>
      </c>
      <c r="O51" s="468">
        <f>-'#需填写'!N30/10000</f>
        <v>-1212.93589</v>
      </c>
      <c r="P51" s="468">
        <f>-'#需填写'!O30/10000</f>
        <v>-1595.8578689999999</v>
      </c>
      <c r="Q51" s="238">
        <f>-'#需填写'!P30/10000</f>
        <v>-1595.857859</v>
      </c>
      <c r="R51" s="238">
        <f>-'#需填写'!Q30/10000</f>
        <v>-1595.857859</v>
      </c>
      <c r="S51" s="238">
        <f>-'#需填写'!R30/10000</f>
        <v>-1596.1895340000001</v>
      </c>
      <c r="T51" s="238">
        <f>-'#需填写'!S30/10000</f>
        <v>-1596.1895300000001</v>
      </c>
      <c r="U51" s="238">
        <f>-'#需填写'!T30/10000</f>
        <v>723.10992999999996</v>
      </c>
      <c r="V51" s="238">
        <f>-'#需填写'!U30/10000</f>
        <v>-1209.639625</v>
      </c>
      <c r="W51" s="238">
        <f>-'#需填写'!V30/10000</f>
        <v>-1209.6396159999999</v>
      </c>
      <c r="X51" s="238">
        <f>-'#需填写'!W30/10000</f>
        <v>-1209.6396239999999</v>
      </c>
      <c r="Y51" s="238">
        <f>-'#需填写'!X30/10000</f>
        <v>-1209.6396239999999</v>
      </c>
      <c r="Z51" s="238">
        <f>-'#需填写'!Y30/10000</f>
        <v>-1209.6396199999999</v>
      </c>
      <c r="AA51" s="238">
        <f>-'#需填写'!Z30/10000</f>
        <v>-1213.1419369999999</v>
      </c>
      <c r="AB51" s="238">
        <f>-'#需填写'!AA30/10000</f>
        <v>-1595.8578689999999</v>
      </c>
      <c r="AC51" s="238">
        <f>-'#需填写'!AB30/10000</f>
        <v>-1240.939083</v>
      </c>
      <c r="AD51" s="238">
        <f>-'#需填写'!AC30/10000</f>
        <v>-1240.939087</v>
      </c>
      <c r="AE51" s="238">
        <f>-'#需填写'!AD30/10000</f>
        <v>-1240.9390980000001</v>
      </c>
      <c r="AF51" s="238">
        <f>-'#需填写'!AE30/10000</f>
        <v>-1240.939085</v>
      </c>
      <c r="AG51" s="238">
        <f>-'#需填写'!AF30/10000</f>
        <v>-1240.939089</v>
      </c>
      <c r="AH51" s="238">
        <f>-'#需填写'!AG30/10000</f>
        <v>-1331.362646</v>
      </c>
      <c r="AI51" s="238">
        <f>-'#需填写'!AH30/10000</f>
        <v>-1331.127502</v>
      </c>
      <c r="AJ51" s="238">
        <f>-'#需填写'!AI30/10000</f>
        <v>0</v>
      </c>
      <c r="AK51" s="238">
        <f>-'#需填写'!AJ30/10000</f>
        <v>0</v>
      </c>
      <c r="AL51" s="238">
        <f>-'#需填写'!AK30/10000</f>
        <v>0</v>
      </c>
      <c r="AM51" s="238">
        <f>-'#需填写'!AL30/10000</f>
        <v>0</v>
      </c>
      <c r="AO51" s="1675">
        <f>SUMIFS(C51:AA51,$C$1:$AA$1,'#经营概况'!$B$1,$C$2:$AA$2,'#经营概况'!$B$2)-SUMIFS(C51:AA51,$C$1:$AA$1,'#经营概况'!$B$1,$C$2:$AA$2,'#经营概况'!$B$2-1)</f>
        <v>0</v>
      </c>
    </row>
    <row r="52" spans="1:41" ht="17.100000000000001" customHeight="1">
      <c r="A52" s="669" t="s">
        <v>1267</v>
      </c>
      <c r="B52" s="468">
        <v>-1913.6577749999999</v>
      </c>
      <c r="C52" s="468">
        <v>-213.698398</v>
      </c>
      <c r="D52" s="468">
        <f>-'#需填写'!C31/10000</f>
        <v>-169.14041799999998</v>
      </c>
      <c r="E52" s="468">
        <f>-'#需填写'!D31/10000</f>
        <v>-122.71341000000001</v>
      </c>
      <c r="F52" s="468">
        <f>-'#需填写'!E31/10000</f>
        <v>-129.58523700000001</v>
      </c>
      <c r="G52" s="468">
        <f>-'#需填写'!F31/10000</f>
        <v>-129.28977</v>
      </c>
      <c r="H52" s="468">
        <f>-'#需填写'!G31/10000</f>
        <v>-171.52669</v>
      </c>
      <c r="I52" s="468">
        <f>-'#需填写'!H31/10000</f>
        <v>-137.40283200000002</v>
      </c>
      <c r="J52" s="468">
        <f>-'#需填写'!I31/10000</f>
        <v>-126.80694</v>
      </c>
      <c r="K52" s="468">
        <f>-'#需填写'!J31/10000</f>
        <v>-134.52132</v>
      </c>
      <c r="L52" s="468">
        <f>-'#需填写'!K31/10000</f>
        <v>-156.936972</v>
      </c>
      <c r="M52" s="468">
        <f>-'#需填写'!L31/10000</f>
        <v>-289.67579999999998</v>
      </c>
      <c r="N52" s="468">
        <f>-'#需填写'!M31/10000</f>
        <v>-136.32547</v>
      </c>
      <c r="O52" s="468">
        <f>-'#需填写'!N31/10000</f>
        <v>-198.1395</v>
      </c>
      <c r="P52" s="468">
        <f>-'#需填写'!O31/10000</f>
        <v>-175.355614</v>
      </c>
      <c r="Q52" s="238">
        <f>-'#需填写'!P31/10000</f>
        <v>-128.5067</v>
      </c>
      <c r="R52" s="238">
        <f>-'#需填写'!Q31/10000</f>
        <v>-127.43194699999999</v>
      </c>
      <c r="S52" s="238">
        <f>-'#需填写'!R31/10000</f>
        <v>-127.58986000000002</v>
      </c>
      <c r="T52" s="238">
        <f>-'#需填写'!S31/10000</f>
        <v>-142.36598000000001</v>
      </c>
      <c r="U52" s="238">
        <f>-'#需填写'!T31/10000</f>
        <v>-149.539267</v>
      </c>
      <c r="V52" s="238">
        <f>-'#需填写'!U31/10000</f>
        <v>-144.75810000000001</v>
      </c>
      <c r="W52" s="238">
        <f>-'#需填写'!V31/10000</f>
        <v>-151.74413000000001</v>
      </c>
      <c r="X52" s="238">
        <f>-'#需填写'!W31/10000</f>
        <v>-171.92535900000001</v>
      </c>
      <c r="Y52" s="238">
        <f>-'#需填写'!X31/10000</f>
        <v>-282.62182000000001</v>
      </c>
      <c r="Z52" s="238">
        <f>-'#需填写'!Y31/10000</f>
        <v>-144.13828999999998</v>
      </c>
      <c r="AA52" s="238">
        <f>-'#需填写'!Z31/10000</f>
        <v>-168.54249300000001</v>
      </c>
      <c r="AB52" s="238">
        <f>-'#需填写'!AA31/10000</f>
        <v>0</v>
      </c>
      <c r="AC52" s="238">
        <f>-'#需填写'!AB31/10000</f>
        <v>0</v>
      </c>
      <c r="AD52" s="238">
        <f>-'#需填写'!AC31/10000</f>
        <v>0</v>
      </c>
      <c r="AE52" s="238">
        <f>-'#需填写'!AD31/10000</f>
        <v>0</v>
      </c>
      <c r="AF52" s="238">
        <f>-'#需填写'!AE31/10000</f>
        <v>0</v>
      </c>
      <c r="AG52" s="238">
        <f>-'#需填写'!AF31/10000</f>
        <v>0</v>
      </c>
      <c r="AH52" s="238">
        <f>-'#需填写'!AG31/10000</f>
        <v>0</v>
      </c>
      <c r="AI52" s="238">
        <f>-'#需填写'!AH31/10000</f>
        <v>0</v>
      </c>
      <c r="AJ52" s="238">
        <f>-'#需填写'!AI31/10000</f>
        <v>0</v>
      </c>
      <c r="AK52" s="238">
        <f>-'#需填写'!AJ31/10000</f>
        <v>0</v>
      </c>
      <c r="AL52" s="238">
        <f>-'#需填写'!AK31/10000</f>
        <v>0</v>
      </c>
      <c r="AM52" s="238">
        <f>-'#需填写'!AL31/10000</f>
        <v>0</v>
      </c>
      <c r="AO52" s="1675">
        <f>SUMIFS(C52:AA52,$C$1:$AA$1,'#经营概况'!$B$1,$C$2:$AA$2,'#经营概况'!$B$2)-SUMIFS(C52:AA52,$C$1:$AA$1,'#经营概况'!$B$1,$C$2:$AA$2,'#经营概况'!$B$2-1)</f>
        <v>0</v>
      </c>
    </row>
    <row r="53" spans="1:41" ht="17.100000000000001" customHeight="1">
      <c r="A53" s="669" t="s">
        <v>762</v>
      </c>
      <c r="B53" s="468">
        <v>-202.113913</v>
      </c>
      <c r="C53" s="468">
        <v>0</v>
      </c>
      <c r="D53" s="468">
        <f>-'#需填写'!C32/10000</f>
        <v>-10.9504</v>
      </c>
      <c r="E53" s="468">
        <f>-'#需填写'!D32/10000</f>
        <v>0</v>
      </c>
      <c r="F53" s="468">
        <f>-'#需填写'!E32/10000</f>
        <v>-5.7868000000000004</v>
      </c>
      <c r="G53" s="468">
        <f>-'#需填写'!F32/10000</f>
        <v>-6.7872000000000003</v>
      </c>
      <c r="H53" s="468">
        <f>-'#需填写'!G32/10000</f>
        <v>-44.059800000000003</v>
      </c>
      <c r="I53" s="468">
        <f>-'#需填写'!H32/10000</f>
        <v>-26.329599999999999</v>
      </c>
      <c r="J53" s="468">
        <f>-'#需填写'!I32/10000</f>
        <v>-40.506799999999998</v>
      </c>
      <c r="K53" s="468">
        <f>-'#需填写'!J32/10000</f>
        <v>-54.869</v>
      </c>
      <c r="L53" s="468">
        <f>-'#需填写'!K32/10000</f>
        <v>-40.0608</v>
      </c>
      <c r="M53" s="468">
        <f>-'#需填写'!L32/10000</f>
        <v>-44.594000000000001</v>
      </c>
      <c r="N53" s="468">
        <f>-'#需填写'!M32/10000</f>
        <v>-11.916399999999999</v>
      </c>
      <c r="O53" s="468">
        <f>-'#需填写'!N32/10000</f>
        <v>-29.7561</v>
      </c>
      <c r="P53" s="468">
        <f>-'#需填写'!O32/10000</f>
        <v>-23.5763</v>
      </c>
      <c r="Q53" s="238">
        <f>-'#需填写'!P32/10000</f>
        <v>-13.72</v>
      </c>
      <c r="R53" s="238">
        <f>-'#需填写'!Q32/10000</f>
        <v>-10.658200000000001</v>
      </c>
      <c r="S53" s="238">
        <f>-'#需填写'!R32/10000</f>
        <v>-18.232700000000001</v>
      </c>
      <c r="T53" s="238">
        <f>-'#需填写'!S32/10000</f>
        <v>-10.8462</v>
      </c>
      <c r="U53" s="238">
        <f>-'#需填写'!T32/10000</f>
        <v>-29.643000000000001</v>
      </c>
      <c r="V53" s="238">
        <f>-'#需填写'!U32/10000</f>
        <v>0</v>
      </c>
      <c r="W53" s="238">
        <f>-'#需填写'!V32/10000</f>
        <v>0</v>
      </c>
      <c r="X53" s="238">
        <f>-'#需填写'!W32/10000</f>
        <v>-15.433</v>
      </c>
      <c r="Y53" s="238">
        <f>-'#需填写'!X32/10000</f>
        <v>-6.78</v>
      </c>
      <c r="Z53" s="238">
        <f>-'#需填写'!Y32/10000</f>
        <v>-14.039400000000001</v>
      </c>
      <c r="AA53" s="238">
        <f>-'#需填写'!Z32/10000</f>
        <v>-10.8725</v>
      </c>
      <c r="AB53" s="238">
        <f>-'#需填写'!AA32/10000</f>
        <v>0</v>
      </c>
      <c r="AC53" s="238">
        <f>-'#需填写'!AB32/10000</f>
        <v>0</v>
      </c>
      <c r="AD53" s="238">
        <f>-'#需填写'!AC32/10000</f>
        <v>0</v>
      </c>
      <c r="AE53" s="238">
        <f>-'#需填写'!AD32/10000</f>
        <v>0</v>
      </c>
      <c r="AF53" s="238">
        <f>-'#需填写'!AE32/10000</f>
        <v>0</v>
      </c>
      <c r="AG53" s="238">
        <f>-'#需填写'!AF32/10000</f>
        <v>0</v>
      </c>
      <c r="AH53" s="238">
        <f>-'#需填写'!AG32/10000</f>
        <v>0</v>
      </c>
      <c r="AI53" s="238">
        <f>-'#需填写'!AH32/10000</f>
        <v>0</v>
      </c>
      <c r="AJ53" s="238">
        <f>-'#需填写'!AI32/10000</f>
        <v>0</v>
      </c>
      <c r="AK53" s="238">
        <f>-'#需填写'!AJ32/10000</f>
        <v>0</v>
      </c>
      <c r="AL53" s="238">
        <f>-'#需填写'!AK32/10000</f>
        <v>0</v>
      </c>
      <c r="AM53" s="238">
        <f>-'#需填写'!AL32/10000</f>
        <v>0</v>
      </c>
      <c r="AO53" s="1675">
        <f>SUMIFS(C53:AA53,$C$1:$AA$1,'#经营概况'!$B$1,$C$2:$AA$2,'#经营概况'!$B$2)-SUMIFS(C53:AA53,$C$1:$AA$1,'#经营概况'!$B$1,$C$2:$AA$2,'#经营概况'!$B$2-1)</f>
        <v>0</v>
      </c>
    </row>
    <row r="54" spans="1:41" ht="17.100000000000001" customHeight="1">
      <c r="A54" s="669" t="s">
        <v>763</v>
      </c>
      <c r="B54" s="468">
        <v>-1350</v>
      </c>
      <c r="C54" s="468">
        <v>-113.6</v>
      </c>
      <c r="D54" s="468">
        <f>-'#需填写'!C33/10000</f>
        <v>0</v>
      </c>
      <c r="E54" s="468">
        <f>-'#需填写'!D33/10000</f>
        <v>-224.8</v>
      </c>
      <c r="F54" s="468">
        <f>-'#需填写'!E33/10000</f>
        <v>-112.4</v>
      </c>
      <c r="G54" s="468">
        <f>-'#需填写'!F33/10000</f>
        <v>-112.4</v>
      </c>
      <c r="H54" s="468">
        <f>-'#需填写'!G33/10000</f>
        <v>-112.4</v>
      </c>
      <c r="I54" s="468">
        <f>-'#需填写'!H33/10000</f>
        <v>-112.4</v>
      </c>
      <c r="J54" s="468">
        <f>-'#需填写'!I33/10000</f>
        <v>-112.4</v>
      </c>
      <c r="K54" s="468">
        <f>-'#需填写'!J33/10000</f>
        <v>-112.4</v>
      </c>
      <c r="L54" s="468">
        <f>-'#需填写'!K33/10000</f>
        <v>-112.4</v>
      </c>
      <c r="M54" s="468">
        <f>-'#需填写'!L33/10000</f>
        <v>-112.4</v>
      </c>
      <c r="N54" s="468">
        <f>-'#需填写'!M33/10000</f>
        <v>-112.4</v>
      </c>
      <c r="O54" s="468">
        <f>-'#需填写'!N33/10000</f>
        <v>-113.6</v>
      </c>
      <c r="P54" s="468">
        <f>-'#需填写'!O33/10000</f>
        <v>-112.4</v>
      </c>
      <c r="Q54" s="238">
        <f>-'#需填写'!P33/10000</f>
        <v>-112.4</v>
      </c>
      <c r="R54" s="238">
        <f>-'#需填写'!Q33/10000</f>
        <v>-112.4</v>
      </c>
      <c r="S54" s="238">
        <f>-'#需填写'!R33/10000</f>
        <v>-112.4</v>
      </c>
      <c r="T54" s="238">
        <f>-'#需填写'!S33/10000</f>
        <v>-112.4</v>
      </c>
      <c r="U54" s="238">
        <f>-'#需填写'!T33/10000</f>
        <v>-112.4</v>
      </c>
      <c r="V54" s="238">
        <f>-'#需填写'!U33/10000</f>
        <v>-112.4</v>
      </c>
      <c r="W54" s="238">
        <f>-'#需填写'!V33/10000</f>
        <v>-112.4</v>
      </c>
      <c r="X54" s="238">
        <f>-'#需填写'!W33/10000</f>
        <v>-112.4</v>
      </c>
      <c r="Y54" s="238">
        <f>-'#需填写'!X33/10000</f>
        <v>-112.4</v>
      </c>
      <c r="Z54" s="238">
        <f>-'#需填写'!Y33/10000</f>
        <v>-112.4</v>
      </c>
      <c r="AA54" s="238">
        <f>-'#需填写'!Z33/10000</f>
        <v>-363.6</v>
      </c>
      <c r="AB54" s="238">
        <f>-'#需填写'!AA33/10000</f>
        <v>-112.4</v>
      </c>
      <c r="AC54" s="238">
        <f>-'#需填写'!AB33/10000</f>
        <v>-112.4</v>
      </c>
      <c r="AD54" s="238">
        <f>-'#需填写'!AC33/10000</f>
        <v>-112.4</v>
      </c>
      <c r="AE54" s="238">
        <f>-'#需填写'!AD33/10000</f>
        <v>-112.4</v>
      </c>
      <c r="AF54" s="238">
        <f>-'#需填写'!AE33/10000</f>
        <v>-112.4</v>
      </c>
      <c r="AG54" s="238">
        <f>-'#需填写'!AF33/10000</f>
        <v>-112.4</v>
      </c>
      <c r="AH54" s="238">
        <f>-'#需填写'!AG33/10000</f>
        <v>-112.4</v>
      </c>
      <c r="AI54" s="238">
        <f>-'#需填写'!AH33/10000</f>
        <v>-112.4</v>
      </c>
      <c r="AJ54" s="238">
        <f>-'#需填写'!AI33/10000</f>
        <v>0</v>
      </c>
      <c r="AK54" s="238">
        <f>-'#需填写'!AJ33/10000</f>
        <v>0</v>
      </c>
      <c r="AL54" s="238">
        <f>-'#需填写'!AK33/10000</f>
        <v>0</v>
      </c>
      <c r="AM54" s="238">
        <f>-'#需填写'!AL33/10000</f>
        <v>0</v>
      </c>
      <c r="AO54" s="1675">
        <f>SUMIFS(C54:AA54,$C$1:$AA$1,'#经营概况'!$B$1,$C$2:$AA$2,'#经营概况'!$B$2)-SUMIFS(C54:AA54,$C$1:$AA$1,'#经营概况'!$B$1,$C$2:$AA$2,'#经营概况'!$B$2-1)</f>
        <v>0</v>
      </c>
    </row>
    <row r="55" spans="1:41" ht="17.100000000000001" customHeight="1">
      <c r="A55" s="669" t="s">
        <v>764</v>
      </c>
      <c r="B55" s="468">
        <v>-426.13377700000001</v>
      </c>
      <c r="C55" s="468">
        <v>0</v>
      </c>
      <c r="D55" s="468">
        <f>-'#需填写'!C34/10000</f>
        <v>-144.34465299999999</v>
      </c>
      <c r="E55" s="468">
        <f>-'#需填写'!D34/10000</f>
        <v>-101.030512</v>
      </c>
      <c r="F55" s="468">
        <f>-'#需填写'!E34/10000</f>
        <v>-40.866546999999997</v>
      </c>
      <c r="G55" s="468">
        <f>-'#需填写'!F34/10000</f>
        <v>-91.649519999999995</v>
      </c>
      <c r="H55" s="468">
        <f>-'#需填写'!G34/10000</f>
        <v>-19.114374999999999</v>
      </c>
      <c r="I55" s="468">
        <f>-'#需填写'!H34/10000</f>
        <v>-38.099705</v>
      </c>
      <c r="J55" s="468">
        <f>-'#需填写'!I34/10000</f>
        <v>-8.6533999999999995</v>
      </c>
      <c r="K55" s="468">
        <f>-'#需填写'!J34/10000</f>
        <v>-83.514636999999993</v>
      </c>
      <c r="L55" s="468">
        <f>-'#需填写'!K34/10000</f>
        <v>-7.7014899999999997</v>
      </c>
      <c r="M55" s="468">
        <f>-'#需填写'!L34/10000</f>
        <v>-13.026541</v>
      </c>
      <c r="N55" s="468">
        <f>-'#需填写'!M34/10000</f>
        <v>-6.792808</v>
      </c>
      <c r="O55" s="468">
        <f>-'#需填写'!N34/10000</f>
        <v>-4.3843879999999995</v>
      </c>
      <c r="P55" s="468">
        <f>-'#需填写'!O34/10000</f>
        <v>-86.09065600000001</v>
      </c>
      <c r="Q55" s="238">
        <f>-'#需填写'!P34/10000</f>
        <v>-86.471753000000007</v>
      </c>
      <c r="R55" s="238">
        <f>-'#需填写'!Q34/10000</f>
        <v>-1.9614330000000002</v>
      </c>
      <c r="S55" s="238">
        <f>-'#需填写'!R34/10000</f>
        <v>-124.66397600000001</v>
      </c>
      <c r="T55" s="238">
        <f>-'#需填写'!S34/10000</f>
        <v>-17.447082000000002</v>
      </c>
      <c r="U55" s="238">
        <f>-'#需填写'!T34/10000</f>
        <v>-17.468247000000002</v>
      </c>
      <c r="V55" s="238">
        <f>-'#需填写'!U34/10000</f>
        <v>-87.657054000000002</v>
      </c>
      <c r="W55" s="238">
        <f>-'#需填写'!V34/10000</f>
        <v>-0.49986899999999995</v>
      </c>
      <c r="X55" s="238">
        <f>-'#需填写'!W34/10000</f>
        <v>-11.820342</v>
      </c>
      <c r="Y55" s="238">
        <f>-'#需填写'!X34/10000</f>
        <v>-80.543486000000001</v>
      </c>
      <c r="Z55" s="238">
        <f>-'#需填写'!Y34/10000</f>
        <v>-34.469867999999998</v>
      </c>
      <c r="AA55" s="238">
        <f>-'#需填写'!Z34/10000</f>
        <v>-28.638640000000002</v>
      </c>
      <c r="AB55" s="238">
        <f>-'#需填写'!AA34/10000</f>
        <v>-38.394399</v>
      </c>
      <c r="AC55" s="238">
        <f>-'#需填写'!AB34/10000</f>
        <v>-68.943342999999999</v>
      </c>
      <c r="AD55" s="238">
        <f>-'#需填写'!AC34/10000</f>
        <v>-32.762469000000003</v>
      </c>
      <c r="AE55" s="238">
        <f>-'#需填写'!AD34/10000</f>
        <v>-72.501218999999992</v>
      </c>
      <c r="AF55" s="2510"/>
      <c r="AG55" s="2510"/>
      <c r="AH55" s="2510"/>
      <c r="AI55" s="2510"/>
      <c r="AJ55" s="2510"/>
      <c r="AK55" s="2510"/>
      <c r="AL55" s="2510"/>
      <c r="AM55" s="2510"/>
      <c r="AO55" s="1675">
        <f>SUMIFS(C55:AA55,$C$1:$AA$1,'#经营概况'!$B$1,$C$2:$AA$2,'#经营概况'!$B$2)-SUMIFS(C55:AA55,$C$1:$AA$1,'#经营概况'!$B$1,$C$2:$AA$2,'#经营概况'!$B$2-1)</f>
        <v>0</v>
      </c>
    </row>
    <row r="56" spans="1:41" ht="17.100000000000001" customHeight="1">
      <c r="A56" s="669" t="s">
        <v>160</v>
      </c>
      <c r="B56" s="468">
        <f t="shared" ref="B56:I56" si="83">B49-B51-B50-B52-B53-B54-B55</f>
        <v>-5725.1867149999998</v>
      </c>
      <c r="C56" s="468">
        <f t="shared" si="83"/>
        <v>-1064.7426649999989</v>
      </c>
      <c r="D56" s="468">
        <f t="shared" si="83"/>
        <v>-361.14716400000071</v>
      </c>
      <c r="E56" s="468">
        <f t="shared" si="83"/>
        <v>-35.200940999999872</v>
      </c>
      <c r="F56" s="468">
        <f t="shared" si="83"/>
        <v>-385.64889500000106</v>
      </c>
      <c r="G56" s="468">
        <f t="shared" si="83"/>
        <v>-398.55275900000078</v>
      </c>
      <c r="H56" s="468">
        <f t="shared" si="83"/>
        <v>-611.40963800000043</v>
      </c>
      <c r="I56" s="468">
        <f t="shared" si="83"/>
        <v>-410.87520799999993</v>
      </c>
      <c r="J56" s="468">
        <f t="shared" ref="J56:O56" si="84">J49-J51-J50-J52-J53-J54-J55</f>
        <v>105.68910900000054</v>
      </c>
      <c r="K56" s="468">
        <f t="shared" si="84"/>
        <v>-2490.9085799999993</v>
      </c>
      <c r="L56" s="468">
        <f t="shared" si="84"/>
        <v>-679.15130100000056</v>
      </c>
      <c r="M56" s="468">
        <f t="shared" si="84"/>
        <v>-623.70669600000099</v>
      </c>
      <c r="N56" s="468">
        <f t="shared" si="84"/>
        <v>-671.16114300000083</v>
      </c>
      <c r="O56" s="468">
        <f t="shared" si="84"/>
        <v>-1883.1301759999999</v>
      </c>
      <c r="P56" s="468">
        <f t="shared" ref="P56:Z56" si="85">P49-P51-P50-P52-P53-P54-P55</f>
        <v>-450.70461999999924</v>
      </c>
      <c r="Q56" s="238">
        <f t="shared" si="85"/>
        <v>-102.56738299999961</v>
      </c>
      <c r="R56" s="238">
        <f t="shared" si="85"/>
        <v>-593.24294000000089</v>
      </c>
      <c r="S56" s="238">
        <f t="shared" si="85"/>
        <v>-411.47651899999977</v>
      </c>
      <c r="T56" s="238">
        <f t="shared" si="85"/>
        <v>-643.51328299999955</v>
      </c>
      <c r="U56" s="238">
        <f t="shared" si="85"/>
        <v>-3932.6675490000002</v>
      </c>
      <c r="V56" s="238">
        <f t="shared" si="85"/>
        <v>-799.01447800000039</v>
      </c>
      <c r="W56" s="238">
        <f>W49-W51-W50-W52-W53-W54-W55</f>
        <v>-692.21966799999961</v>
      </c>
      <c r="X56" s="238">
        <f t="shared" si="85"/>
        <v>-1316.7657970000012</v>
      </c>
      <c r="Y56" s="238">
        <f t="shared" si="85"/>
        <v>-600.2336830000005</v>
      </c>
      <c r="Z56" s="238">
        <f t="shared" si="85"/>
        <v>-932.96468800000025</v>
      </c>
      <c r="AA56" s="238">
        <f>AA49-AA51-AA50-AA52-AA53-AA54-AA55</f>
        <v>-12909.807729999999</v>
      </c>
      <c r="AB56" s="238">
        <f t="shared" ref="AB56:AM56" si="86">AB49-AB51-AB50-AB52-AB53-AB54-AB55</f>
        <v>4905.6515479999989</v>
      </c>
      <c r="AC56" s="238">
        <f t="shared" si="86"/>
        <v>1237.472364</v>
      </c>
      <c r="AD56" s="238">
        <f t="shared" si="86"/>
        <v>913.42200500000024</v>
      </c>
      <c r="AE56" s="238">
        <f t="shared" si="86"/>
        <v>1063.9827400000004</v>
      </c>
      <c r="AF56" s="238">
        <f>AF49-AF51-AF50-AF52-AF53-AF54-AF55</f>
        <v>829.22142299999985</v>
      </c>
      <c r="AG56" s="238">
        <f t="shared" si="86"/>
        <v>410.19256500000017</v>
      </c>
      <c r="AH56" s="238">
        <f t="shared" si="86"/>
        <v>1144.9426620000004</v>
      </c>
      <c r="AI56" s="238">
        <f t="shared" si="86"/>
        <v>735.7412949999997</v>
      </c>
      <c r="AJ56" s="238">
        <f t="shared" si="86"/>
        <v>0</v>
      </c>
      <c r="AK56" s="238">
        <f t="shared" si="86"/>
        <v>0</v>
      </c>
      <c r="AL56" s="238">
        <f t="shared" si="86"/>
        <v>0</v>
      </c>
      <c r="AM56" s="238">
        <f t="shared" si="86"/>
        <v>0</v>
      </c>
      <c r="AO56" s="1675">
        <f>SUMIFS(C56:AA56,$C$1:$AA$1,'#经营概况'!$B$1,$C$2:$AA$2,'#经营概况'!$B$2)-SUMIFS(C56:AA56,$C$1:$AA$1,'#经营概况'!$B$1,$C$2:$AA$2,'#经营概况'!$B$2-1)</f>
        <v>0</v>
      </c>
    </row>
    <row r="57" spans="1:41" ht="17.100000000000001" customHeight="1">
      <c r="A57" s="671" t="s">
        <v>738</v>
      </c>
      <c r="B57" s="461">
        <f t="shared" ref="B57:I57" si="87">-B96/10000</f>
        <v>-130378.66171400002</v>
      </c>
      <c r="C57" s="461">
        <f t="shared" si="87"/>
        <v>-10974.97776</v>
      </c>
      <c r="D57" s="461">
        <f t="shared" si="87"/>
        <v>-10363.745829000001</v>
      </c>
      <c r="E57" s="461">
        <f t="shared" si="87"/>
        <v>-9271.5661569999993</v>
      </c>
      <c r="F57" s="461">
        <f t="shared" si="87"/>
        <v>-11090.235817000001</v>
      </c>
      <c r="G57" s="461">
        <f t="shared" si="87"/>
        <v>-9711.4308860000001</v>
      </c>
      <c r="H57" s="461">
        <f t="shared" si="87"/>
        <v>-10021.658579999999</v>
      </c>
      <c r="I57" s="461">
        <f t="shared" si="87"/>
        <v>-10048.934608</v>
      </c>
      <c r="J57" s="461">
        <f t="shared" ref="J57:O57" si="88">-J96/10000</f>
        <v>-10055.57933</v>
      </c>
      <c r="K57" s="461">
        <f t="shared" si="88"/>
        <v>-9633.0101409999988</v>
      </c>
      <c r="L57" s="461">
        <f t="shared" si="88"/>
        <v>-8537.5329299999994</v>
      </c>
      <c r="M57" s="461">
        <f t="shared" si="88"/>
        <v>-9045.2759379999989</v>
      </c>
      <c r="N57" s="461">
        <f t="shared" si="88"/>
        <v>-9801.8020730000098</v>
      </c>
      <c r="O57" s="461">
        <f t="shared" si="88"/>
        <v>-12821.448265000001</v>
      </c>
      <c r="P57" s="461">
        <f t="shared" ref="P57:Z57" si="89">-P96/10000</f>
        <v>-7736.669989</v>
      </c>
      <c r="Q57" s="675">
        <f t="shared" si="89"/>
        <v>-14097.551434999999</v>
      </c>
      <c r="R57" s="675">
        <f t="shared" si="89"/>
        <v>-8673.0465110000005</v>
      </c>
      <c r="S57" s="675">
        <f t="shared" si="89"/>
        <v>-8481.9914760000011</v>
      </c>
      <c r="T57" s="675">
        <f t="shared" si="89"/>
        <v>-8777.9876019999992</v>
      </c>
      <c r="U57" s="675">
        <f t="shared" si="89"/>
        <v>-7471.6050819999991</v>
      </c>
      <c r="V57" s="675">
        <f t="shared" si="89"/>
        <v>-8294.1926980000007</v>
      </c>
      <c r="W57" s="675">
        <f>-W96/10000</f>
        <v>-8508.7770469999996</v>
      </c>
      <c r="X57" s="675">
        <f t="shared" si="89"/>
        <v>-8693.5960709999999</v>
      </c>
      <c r="Y57" s="675">
        <f t="shared" si="89"/>
        <v>-8959.8632670000006</v>
      </c>
      <c r="Z57" s="675">
        <f t="shared" si="89"/>
        <v>-9621.5145159999993</v>
      </c>
      <c r="AA57" s="675">
        <f>-AA96/10000</f>
        <v>-16725.893381999998</v>
      </c>
      <c r="AB57" s="675">
        <f t="shared" ref="AB57:AM57" si="90">-AB96/10000</f>
        <v>-8789.8885599999994</v>
      </c>
      <c r="AC57" s="675">
        <f t="shared" si="90"/>
        <v>-9064.1173239999989</v>
      </c>
      <c r="AD57" s="675">
        <f t="shared" si="90"/>
        <v>-7957.4098650000005</v>
      </c>
      <c r="AE57" s="675">
        <f t="shared" si="90"/>
        <v>-8170.737091</v>
      </c>
      <c r="AF57" s="675">
        <f t="shared" si="90"/>
        <v>-7266.7173840000005</v>
      </c>
      <c r="AG57" s="675">
        <f t="shared" si="90"/>
        <v>-6592.4496229999995</v>
      </c>
      <c r="AH57" s="675">
        <f t="shared" si="90"/>
        <v>-6423.438776</v>
      </c>
      <c r="AI57" s="675">
        <f t="shared" si="90"/>
        <v>-6634.2840340000002</v>
      </c>
      <c r="AJ57" s="675">
        <f t="shared" si="90"/>
        <v>0</v>
      </c>
      <c r="AK57" s="675">
        <f t="shared" si="90"/>
        <v>0</v>
      </c>
      <c r="AL57" s="675">
        <f t="shared" si="90"/>
        <v>0</v>
      </c>
      <c r="AM57" s="675">
        <f t="shared" si="90"/>
        <v>0</v>
      </c>
      <c r="AN57" s="641"/>
      <c r="AO57" s="1675">
        <f>SUMIFS(C57:AA57,$C$1:$AA$1,'#经营概况'!$B$1,$C$2:$AA$2,'#经营概况'!$B$2)-SUMIFS(C57:AA57,$C$1:$AA$1,'#经营概况'!$B$1,$C$2:$AA$2,'#经营概况'!$B$2-1)</f>
        <v>0</v>
      </c>
    </row>
    <row r="58" spans="1:41" ht="17.100000000000001" customHeight="1">
      <c r="A58" s="671" t="s">
        <v>765</v>
      </c>
      <c r="B58" s="461">
        <f t="shared" ref="B58:I58" si="91">B97/10000</f>
        <v>9637.3606129999989</v>
      </c>
      <c r="C58" s="461">
        <f t="shared" si="91"/>
        <v>-1173.2593869999998</v>
      </c>
      <c r="D58" s="461">
        <f t="shared" si="91"/>
        <v>-8828.8513370000001</v>
      </c>
      <c r="E58" s="461">
        <f t="shared" si="91"/>
        <v>-26.502920999999297</v>
      </c>
      <c r="F58" s="461">
        <f t="shared" si="91"/>
        <v>59.066989999999095</v>
      </c>
      <c r="G58" s="461">
        <f t="shared" si="91"/>
        <v>76.080030000001202</v>
      </c>
      <c r="H58" s="461">
        <f t="shared" si="91"/>
        <v>522.95862499999998</v>
      </c>
      <c r="I58" s="461">
        <f t="shared" si="91"/>
        <v>-187.392</v>
      </c>
      <c r="J58" s="461">
        <f t="shared" ref="J58:O58" si="92">J97/10000</f>
        <v>0</v>
      </c>
      <c r="K58" s="461">
        <f t="shared" si="92"/>
        <v>0</v>
      </c>
      <c r="L58" s="461">
        <f t="shared" si="92"/>
        <v>0</v>
      </c>
      <c r="M58" s="461">
        <f t="shared" si="92"/>
        <v>0</v>
      </c>
      <c r="N58" s="461">
        <f t="shared" si="92"/>
        <v>0</v>
      </c>
      <c r="O58" s="461">
        <f t="shared" si="92"/>
        <v>0</v>
      </c>
      <c r="P58" s="461">
        <f t="shared" ref="P58:AA58" si="93">P97/10000</f>
        <v>0</v>
      </c>
      <c r="Q58" s="675">
        <f t="shared" si="93"/>
        <v>0</v>
      </c>
      <c r="R58" s="675">
        <f t="shared" si="93"/>
        <v>0</v>
      </c>
      <c r="S58" s="675">
        <f t="shared" si="93"/>
        <v>0</v>
      </c>
      <c r="T58" s="675">
        <f t="shared" si="93"/>
        <v>0</v>
      </c>
      <c r="U58" s="675">
        <f t="shared" si="93"/>
        <v>0</v>
      </c>
      <c r="V58" s="675">
        <f t="shared" si="93"/>
        <v>0</v>
      </c>
      <c r="W58" s="675">
        <f>W97/10000</f>
        <v>0</v>
      </c>
      <c r="X58" s="675">
        <f t="shared" si="93"/>
        <v>0</v>
      </c>
      <c r="Y58" s="675">
        <f t="shared" si="93"/>
        <v>0</v>
      </c>
      <c r="Z58" s="675">
        <f t="shared" si="93"/>
        <v>0</v>
      </c>
      <c r="AA58" s="675">
        <f t="shared" si="93"/>
        <v>0</v>
      </c>
      <c r="AB58" s="675">
        <f t="shared" ref="AB58:AM58" si="94">AB97/10000</f>
        <v>47.188615000000006</v>
      </c>
      <c r="AC58" s="675">
        <f t="shared" si="94"/>
        <v>-112.04204299999999</v>
      </c>
      <c r="AD58" s="675">
        <f t="shared" si="94"/>
        <v>86.554455000000004</v>
      </c>
      <c r="AE58" s="675">
        <f t="shared" si="94"/>
        <v>-13.832816000000001</v>
      </c>
      <c r="AF58" s="675">
        <f t="shared" si="94"/>
        <v>22.8</v>
      </c>
      <c r="AG58" s="675">
        <f t="shared" si="94"/>
        <v>13.799999</v>
      </c>
      <c r="AH58" s="675">
        <f t="shared" si="94"/>
        <v>0</v>
      </c>
      <c r="AI58" s="675">
        <f t="shared" si="94"/>
        <v>54.485793000000008</v>
      </c>
      <c r="AJ58" s="675">
        <f t="shared" si="94"/>
        <v>0</v>
      </c>
      <c r="AK58" s="675">
        <f t="shared" si="94"/>
        <v>0</v>
      </c>
      <c r="AL58" s="675">
        <f t="shared" si="94"/>
        <v>0</v>
      </c>
      <c r="AM58" s="675">
        <f t="shared" si="94"/>
        <v>0</v>
      </c>
      <c r="AN58" s="641"/>
      <c r="AO58" s="1675">
        <f>SUMIFS(C58:AA58,$C$1:$AA$1,'#经营概况'!$B$1,$C$2:$AA$2,'#经营概况'!$B$2)-SUMIFS(C58:AA58,$C$1:$AA$1,'#经营概况'!$B$1,$C$2:$AA$2,'#经营概况'!$B$2-1)</f>
        <v>0</v>
      </c>
    </row>
    <row r="59" spans="1:41" ht="17.100000000000001" customHeight="1">
      <c r="A59" s="671" t="s">
        <v>766</v>
      </c>
      <c r="B59" s="461">
        <f t="shared" ref="B59:I59" si="95">-B98/10000</f>
        <v>-6803.9830489999995</v>
      </c>
      <c r="C59" s="461">
        <f t="shared" si="95"/>
        <v>-540.51444299999901</v>
      </c>
      <c r="D59" s="461">
        <f t="shared" si="95"/>
        <v>-438.12446900000003</v>
      </c>
      <c r="E59" s="461">
        <f t="shared" si="95"/>
        <v>-478.46274699999998</v>
      </c>
      <c r="F59" s="461">
        <f t="shared" si="95"/>
        <v>-460.07676100000003</v>
      </c>
      <c r="G59" s="461">
        <f t="shared" si="95"/>
        <v>-341.50796099999997</v>
      </c>
      <c r="H59" s="461">
        <f t="shared" si="95"/>
        <v>-479.78812800000003</v>
      </c>
      <c r="I59" s="461">
        <f t="shared" si="95"/>
        <v>-489.19732099999999</v>
      </c>
      <c r="J59" s="461">
        <f t="shared" ref="J59:O59" si="96">-J98/10000</f>
        <v>-534.04093399999999</v>
      </c>
      <c r="K59" s="461">
        <f t="shared" si="96"/>
        <v>-550.175522</v>
      </c>
      <c r="L59" s="461">
        <f t="shared" si="96"/>
        <v>-650.04187000000002</v>
      </c>
      <c r="M59" s="461">
        <f t="shared" si="96"/>
        <v>-632.31607699999995</v>
      </c>
      <c r="N59" s="461">
        <f t="shared" si="96"/>
        <v>-642.50156700000002</v>
      </c>
      <c r="O59" s="461">
        <f t="shared" si="96"/>
        <v>-885.58253300000001</v>
      </c>
      <c r="P59" s="461">
        <f t="shared" ref="P59:AA59" si="97">-P98/10000</f>
        <v>-637.54991200000006</v>
      </c>
      <c r="Q59" s="238">
        <f t="shared" si="97"/>
        <v>-546.86925099999996</v>
      </c>
      <c r="R59" s="238">
        <f t="shared" si="97"/>
        <v>-567.98496599999999</v>
      </c>
      <c r="S59" s="238">
        <f t="shared" si="97"/>
        <v>-545.93027300000006</v>
      </c>
      <c r="T59" s="238">
        <f t="shared" si="97"/>
        <v>-512.59240799999998</v>
      </c>
      <c r="U59" s="238">
        <f t="shared" si="97"/>
        <v>-501.83525999999995</v>
      </c>
      <c r="V59" s="238">
        <f t="shared" si="97"/>
        <v>-689.39530999999999</v>
      </c>
      <c r="W59" s="238">
        <f>-W98/10000</f>
        <v>-613.99684999999999</v>
      </c>
      <c r="X59" s="238">
        <f t="shared" si="97"/>
        <v>-644.61074199999996</v>
      </c>
      <c r="Y59" s="238">
        <f t="shared" si="97"/>
        <v>-564.83701699999995</v>
      </c>
      <c r="Z59" s="238">
        <f t="shared" si="97"/>
        <v>-593.09212400000001</v>
      </c>
      <c r="AA59" s="238">
        <f t="shared" si="97"/>
        <v>-616.87217199999998</v>
      </c>
      <c r="AB59" s="238">
        <f t="shared" ref="AB59:AM59" si="98">-AB98/10000</f>
        <v>-552.82758200000001</v>
      </c>
      <c r="AC59" s="238">
        <f t="shared" si="98"/>
        <v>-715.92740100000003</v>
      </c>
      <c r="AD59" s="238">
        <f t="shared" si="98"/>
        <v>-509.71891299999999</v>
      </c>
      <c r="AE59" s="238">
        <f t="shared" si="98"/>
        <v>-536.18131100000005</v>
      </c>
      <c r="AF59" s="238">
        <f t="shared" si="98"/>
        <v>-482.84094000000005</v>
      </c>
      <c r="AG59" s="238">
        <f t="shared" si="98"/>
        <v>-325.73820799999999</v>
      </c>
      <c r="AH59" s="238">
        <f t="shared" si="98"/>
        <v>-462.865658</v>
      </c>
      <c r="AI59" s="238">
        <f t="shared" si="98"/>
        <v>-501.23305499999998</v>
      </c>
      <c r="AJ59" s="238">
        <f t="shared" si="98"/>
        <v>0</v>
      </c>
      <c r="AK59" s="238">
        <f t="shared" si="98"/>
        <v>0</v>
      </c>
      <c r="AL59" s="238">
        <f t="shared" si="98"/>
        <v>0</v>
      </c>
      <c r="AM59" s="238">
        <f t="shared" si="98"/>
        <v>0</v>
      </c>
      <c r="AO59" s="1675">
        <f>SUMIFS(C59:AA59,$C$1:$AA$1,'#经营概况'!$B$1,$C$2:$AA$2,'#经营概况'!$B$2)-SUMIFS(C59:AA59,$C$1:$AA$1,'#经营概况'!$B$1,$C$2:$AA$2,'#经营概况'!$B$2-1)</f>
        <v>0</v>
      </c>
    </row>
    <row r="60" spans="1:41" ht="17.100000000000001" customHeight="1">
      <c r="A60" s="671" t="s">
        <v>767</v>
      </c>
      <c r="B60" s="461">
        <f t="shared" ref="B60:I60" si="99">B99/10000</f>
        <v>13811.957555000001</v>
      </c>
      <c r="C60" s="461">
        <f t="shared" si="99"/>
        <v>13919.154255000001</v>
      </c>
      <c r="D60" s="461">
        <f t="shared" si="99"/>
        <v>16.7</v>
      </c>
      <c r="E60" s="461">
        <f t="shared" si="99"/>
        <v>1.77</v>
      </c>
      <c r="F60" s="461">
        <f t="shared" si="99"/>
        <v>21.385000000000002</v>
      </c>
      <c r="G60" s="461">
        <f t="shared" si="99"/>
        <v>22.026700000000002</v>
      </c>
      <c r="H60" s="461">
        <f t="shared" si="99"/>
        <v>3.09</v>
      </c>
      <c r="I60" s="461">
        <f t="shared" si="99"/>
        <v>27.595597999999999</v>
      </c>
      <c r="J60" s="461">
        <f t="shared" ref="J60:O60" si="100">J99/10000</f>
        <v>7.5390080000000106</v>
      </c>
      <c r="K60" s="461">
        <f t="shared" si="100"/>
        <v>248.7</v>
      </c>
      <c r="L60" s="461">
        <f t="shared" si="100"/>
        <v>12.435</v>
      </c>
      <c r="M60" s="461">
        <f t="shared" si="100"/>
        <v>2.895</v>
      </c>
      <c r="N60" s="461">
        <f t="shared" si="100"/>
        <v>8.1850000000000005</v>
      </c>
      <c r="O60" s="461">
        <f t="shared" si="100"/>
        <v>19.66699200000167</v>
      </c>
      <c r="P60" s="461">
        <f t="shared" ref="P60:AA60" si="101">P99/10000</f>
        <v>1.73</v>
      </c>
      <c r="Q60" s="238">
        <f t="shared" si="101"/>
        <v>0</v>
      </c>
      <c r="R60" s="238">
        <f t="shared" si="101"/>
        <v>3.74</v>
      </c>
      <c r="S60" s="238">
        <f t="shared" si="101"/>
        <v>4.7450000000000001</v>
      </c>
      <c r="T60" s="238">
        <f t="shared" si="101"/>
        <v>11.574999999999999</v>
      </c>
      <c r="U60" s="238">
        <f t="shared" si="101"/>
        <v>7.45</v>
      </c>
      <c r="V60" s="238">
        <f t="shared" si="101"/>
        <v>2.3980000000000001</v>
      </c>
      <c r="W60" s="238">
        <f>W99/10000</f>
        <v>3.04</v>
      </c>
      <c r="X60" s="238">
        <f t="shared" si="101"/>
        <v>10.07</v>
      </c>
      <c r="Y60" s="238">
        <f t="shared" si="101"/>
        <v>1.87</v>
      </c>
      <c r="Z60" s="238">
        <f t="shared" si="101"/>
        <v>6.9450000000000003</v>
      </c>
      <c r="AA60" s="238">
        <f t="shared" si="101"/>
        <v>458.10197599999998</v>
      </c>
      <c r="AB60" s="238">
        <f t="shared" ref="AB60:AM60" si="102">AB99/10000</f>
        <v>2.4300000000000002</v>
      </c>
      <c r="AC60" s="238">
        <f t="shared" si="102"/>
        <v>1.7549999999999999</v>
      </c>
      <c r="AD60" s="238">
        <f t="shared" si="102"/>
        <v>4.5350000000000001</v>
      </c>
      <c r="AE60" s="238">
        <f t="shared" si="102"/>
        <v>5.4249999999999998</v>
      </c>
      <c r="AF60" s="238">
        <f t="shared" si="102"/>
        <v>1.2849999999999999</v>
      </c>
      <c r="AG60" s="238">
        <f t="shared" si="102"/>
        <v>217.86186000000001</v>
      </c>
      <c r="AH60" s="238">
        <f t="shared" si="102"/>
        <v>6.66</v>
      </c>
      <c r="AI60" s="238">
        <f t="shared" si="102"/>
        <v>9.27</v>
      </c>
      <c r="AJ60" s="238">
        <f t="shared" si="102"/>
        <v>0</v>
      </c>
      <c r="AK60" s="238">
        <f t="shared" si="102"/>
        <v>0</v>
      </c>
      <c r="AL60" s="238">
        <f t="shared" si="102"/>
        <v>0</v>
      </c>
      <c r="AM60" s="238">
        <f t="shared" si="102"/>
        <v>0</v>
      </c>
      <c r="AO60" s="1675">
        <f>SUMIFS(C60:AA60,$C$1:$AA$1,'#经营概况'!$B$1,$C$2:$AA$2,'#经营概况'!$B$2)-SUMIFS(C60:AA60,$C$1:$AA$1,'#经营概况'!$B$1,$C$2:$AA$2,'#经营概况'!$B$2-1)</f>
        <v>0</v>
      </c>
    </row>
    <row r="61" spans="1:41" ht="17.100000000000001" customHeight="1">
      <c r="A61" s="671" t="s">
        <v>768</v>
      </c>
      <c r="B61" s="461">
        <f t="shared" ref="B61:I61" si="103">-B100/10000</f>
        <v>-72023.035335000008</v>
      </c>
      <c r="C61" s="461">
        <f t="shared" si="103"/>
        <v>-3420.9922770000003</v>
      </c>
      <c r="D61" s="461">
        <f t="shared" si="103"/>
        <v>0</v>
      </c>
      <c r="E61" s="461">
        <f t="shared" si="103"/>
        <v>0</v>
      </c>
      <c r="F61" s="461">
        <f t="shared" si="103"/>
        <v>-4.3894310000000001</v>
      </c>
      <c r="G61" s="461">
        <f t="shared" si="103"/>
        <v>0</v>
      </c>
      <c r="H61" s="461">
        <f t="shared" si="103"/>
        <v>0</v>
      </c>
      <c r="I61" s="461">
        <f t="shared" si="103"/>
        <v>-1E-4</v>
      </c>
      <c r="J61" s="461">
        <f>-J100/10000-J71</f>
        <v>0</v>
      </c>
      <c r="K61" s="461">
        <f>-K100/10000-K71-K72</f>
        <v>-2412.1900000000005</v>
      </c>
      <c r="L61" s="461">
        <f>-L100/10000-L71-L72</f>
        <v>-0.87999999999919964</v>
      </c>
      <c r="M61" s="461">
        <f>-M100/10000-M71-M72</f>
        <v>-1795</v>
      </c>
      <c r="N61" s="461">
        <f>-N100/10000</f>
        <v>-5754.5126200000004</v>
      </c>
      <c r="O61" s="461">
        <f>-O100/10000</f>
        <v>-155</v>
      </c>
      <c r="P61" s="461">
        <f t="shared" ref="P61:AA61" si="104">-P100/10000</f>
        <v>0</v>
      </c>
      <c r="Q61" s="238">
        <f t="shared" si="104"/>
        <v>-8359</v>
      </c>
      <c r="R61" s="238">
        <f t="shared" si="104"/>
        <v>0</v>
      </c>
      <c r="S61" s="238">
        <f t="shared" si="104"/>
        <v>0</v>
      </c>
      <c r="T61" s="238">
        <f t="shared" si="104"/>
        <v>0</v>
      </c>
      <c r="U61" s="238">
        <f t="shared" si="104"/>
        <v>0</v>
      </c>
      <c r="V61" s="238">
        <f t="shared" si="104"/>
        <v>0</v>
      </c>
      <c r="W61" s="238">
        <f>-W100/10000</f>
        <v>0</v>
      </c>
      <c r="X61" s="238">
        <f t="shared" si="104"/>
        <v>0</v>
      </c>
      <c r="Y61" s="238">
        <f t="shared" si="104"/>
        <v>-1.233063</v>
      </c>
      <c r="Z61" s="238">
        <f t="shared" si="104"/>
        <v>-60</v>
      </c>
      <c r="AA61" s="238">
        <f t="shared" si="104"/>
        <v>-5.8673199999999994</v>
      </c>
      <c r="AB61" s="238">
        <f t="shared" ref="AB61:AM61" si="105">-AB100/10000</f>
        <v>0</v>
      </c>
      <c r="AC61" s="238">
        <f t="shared" si="105"/>
        <v>0</v>
      </c>
      <c r="AD61" s="238">
        <f t="shared" si="105"/>
        <v>0</v>
      </c>
      <c r="AE61" s="238">
        <f t="shared" si="105"/>
        <v>0</v>
      </c>
      <c r="AF61" s="238">
        <f t="shared" si="105"/>
        <v>0</v>
      </c>
      <c r="AG61" s="238">
        <f t="shared" si="105"/>
        <v>-94.593153999999998</v>
      </c>
      <c r="AH61" s="238">
        <f t="shared" si="105"/>
        <v>0</v>
      </c>
      <c r="AI61" s="238">
        <f t="shared" si="105"/>
        <v>-705.78</v>
      </c>
      <c r="AJ61" s="238">
        <f t="shared" si="105"/>
        <v>0</v>
      </c>
      <c r="AK61" s="238">
        <f t="shared" si="105"/>
        <v>0</v>
      </c>
      <c r="AL61" s="238">
        <f t="shared" si="105"/>
        <v>0</v>
      </c>
      <c r="AM61" s="238">
        <f t="shared" si="105"/>
        <v>0</v>
      </c>
      <c r="AO61" s="1675">
        <f>SUMIFS(C61:AA61,$C$1:$AA$1,'#经营概况'!$B$1,$C$2:$AA$2,'#经营概况'!$B$2)-SUMIFS(C61:AA61,$C$1:$AA$1,'#经营概况'!$B$1,$C$2:$AA$2,'#经营概况'!$B$2-1)</f>
        <v>0</v>
      </c>
    </row>
    <row r="62" spans="1:41" ht="17.100000000000001" customHeight="1">
      <c r="A62" s="671" t="s">
        <v>185</v>
      </c>
      <c r="B62" s="461">
        <f>B101/10000</f>
        <v>120934.260144</v>
      </c>
      <c r="C62" s="461">
        <f>C101/10000</f>
        <v>-2475.2936589999899</v>
      </c>
      <c r="D62" s="461">
        <f>D101/10000+D107</f>
        <v>10110.415842</v>
      </c>
      <c r="E62" s="461">
        <f t="shared" ref="E62:X62" si="106">E101/10000+E107</f>
        <v>-1011.175647</v>
      </c>
      <c r="F62" s="461">
        <f t="shared" si="106"/>
        <v>86.859262999999501</v>
      </c>
      <c r="G62" s="461">
        <f t="shared" si="106"/>
        <v>873.10811500000102</v>
      </c>
      <c r="H62" s="461">
        <f t="shared" si="106"/>
        <v>40700.801364999999</v>
      </c>
      <c r="I62" s="461">
        <f t="shared" si="106"/>
        <v>1268.4330539999999</v>
      </c>
      <c r="J62" s="461">
        <f t="shared" si="106"/>
        <v>1150.785768</v>
      </c>
      <c r="K62" s="461">
        <f t="shared" si="106"/>
        <v>10823.882268000001</v>
      </c>
      <c r="L62" s="461">
        <f t="shared" si="106"/>
        <v>1705.358837</v>
      </c>
      <c r="M62" s="461">
        <f t="shared" si="106"/>
        <v>2463.1735399999998</v>
      </c>
      <c r="N62" s="461">
        <f t="shared" si="106"/>
        <v>8068.0579190000099</v>
      </c>
      <c r="O62" s="461">
        <f t="shared" si="106"/>
        <v>7742.2011010000006</v>
      </c>
      <c r="P62" s="461">
        <f t="shared" si="106"/>
        <v>-293.62776300000002</v>
      </c>
      <c r="Q62" s="238">
        <f t="shared" si="106"/>
        <v>4303.939617</v>
      </c>
      <c r="R62" s="238">
        <f t="shared" si="106"/>
        <v>3352.288196</v>
      </c>
      <c r="S62" s="238">
        <f t="shared" si="106"/>
        <v>2381.2931239999998</v>
      </c>
      <c r="T62" s="238">
        <f t="shared" si="106"/>
        <v>41595.556298000003</v>
      </c>
      <c r="U62" s="238">
        <f t="shared" si="106"/>
        <v>8016.4532519999993</v>
      </c>
      <c r="V62" s="238">
        <f t="shared" si="106"/>
        <v>326.287532</v>
      </c>
      <c r="W62" s="238">
        <f>W101/10000+W107</f>
        <v>-937.69633800000008</v>
      </c>
      <c r="X62" s="238">
        <f t="shared" si="106"/>
        <v>1569.6298689999999</v>
      </c>
      <c r="Y62" s="238">
        <f>Y101/10000+Y107</f>
        <v>13945.731880000001</v>
      </c>
      <c r="Z62" s="238">
        <f>Z101/10000+Z107</f>
        <v>3872.46459</v>
      </c>
      <c r="AA62" s="238">
        <f>AA101/10000+AA107</f>
        <v>111365.32529579999</v>
      </c>
      <c r="AB62" s="238">
        <f t="shared" ref="AB62:AM62" si="107">AB101/10000+AB107</f>
        <v>1397.204958</v>
      </c>
      <c r="AC62" s="238">
        <f>AC101/10000+AC107</f>
        <v>291.56605999999999</v>
      </c>
      <c r="AD62" s="238">
        <f t="shared" si="107"/>
        <v>2942.2986689999998</v>
      </c>
      <c r="AE62" s="238">
        <f t="shared" si="107"/>
        <v>1640.401468</v>
      </c>
      <c r="AF62" s="238">
        <f t="shared" si="107"/>
        <v>55569.640533000005</v>
      </c>
      <c r="AG62" s="238">
        <f t="shared" si="107"/>
        <v>30011.002104000003</v>
      </c>
      <c r="AH62" s="238">
        <f>AH101/10000+AH107</f>
        <v>2270.0452829999999</v>
      </c>
      <c r="AI62" s="238">
        <f t="shared" si="107"/>
        <v>6634.2923359999995</v>
      </c>
      <c r="AJ62" s="238">
        <f t="shared" si="107"/>
        <v>0</v>
      </c>
      <c r="AK62" s="238">
        <f t="shared" si="107"/>
        <v>0</v>
      </c>
      <c r="AL62" s="238">
        <f t="shared" si="107"/>
        <v>0</v>
      </c>
      <c r="AM62" s="238">
        <f t="shared" si="107"/>
        <v>0</v>
      </c>
      <c r="AO62" s="1675">
        <f>SUMIFS(C62:AA62,$C$1:$AA$1,'#经营概况'!$B$1,$C$2:$AA$2,'#经营概况'!$B$2)-SUMIFS(C62:AA62,$C$1:$AA$1,'#经营概况'!$B$1,$C$2:$AA$2,'#经营概况'!$B$2-1)</f>
        <v>0</v>
      </c>
    </row>
    <row r="63" spans="1:41" ht="17.100000000000001" customHeight="1">
      <c r="A63" s="671" t="s">
        <v>769</v>
      </c>
      <c r="B63" s="461"/>
      <c r="C63" s="461"/>
      <c r="D63" s="247">
        <f>SUMIFS('#投资收益'!36:36,'#投资收益'!1:1,D1,'#投资收益'!2:2,D2,'#投资收益'!3:3,"投资收益")</f>
        <v>8007.5</v>
      </c>
      <c r="E63" s="247">
        <f>SUMIFS('#投资收益'!36:36,'#投资收益'!1:1,E1,'#投资收益'!2:2,E2,'#投资收益'!3:3,"投资收益")</f>
        <v>0</v>
      </c>
      <c r="F63" s="247">
        <f>SUMIFS('#投资收益'!36:36,'#投资收益'!1:1,F1,'#投资收益'!2:2,F2,'#投资收益'!3:3,"投资收益")</f>
        <v>0</v>
      </c>
      <c r="G63" s="247">
        <f>SUMIFS('#投资收益'!36:36,'#投资收益'!1:1,G1,'#投资收益'!2:2,G2,'#投资收益'!3:3,"投资收益")</f>
        <v>0</v>
      </c>
      <c r="H63" s="247">
        <f>SUMIFS('#投资收益'!36:36,'#投资收益'!1:1,H1,'#投资收益'!2:2,H2,'#投资收益'!3:3,"投资收益")</f>
        <v>0</v>
      </c>
      <c r="I63" s="247">
        <f>SUMIFS('#投资收益'!36:36,'#投资收益'!1:1,I1,'#投资收益'!2:2,I2,'#投资收益'!3:3,"投资收益")</f>
        <v>181.5</v>
      </c>
      <c r="J63" s="247">
        <f>SUMIFS('#投资收益'!36:36,'#投资收益'!1:1,J1,'#投资收益'!2:2,J2,'#投资收益'!3:3,"投资收益")</f>
        <v>0</v>
      </c>
      <c r="K63" s="247">
        <f>SUMIFS('#投资收益'!36:36,'#投资收益'!1:1,K1,'#投资收益'!2:2,K2,'#投资收益'!3:3,"投资收益")</f>
        <v>0</v>
      </c>
      <c r="L63" s="247">
        <f>SUMIFS('#投资收益'!36:36,'#投资收益'!1:1,L1,'#投资收益'!2:2,L2,'#投资收益'!3:3,"投资收益")</f>
        <v>0</v>
      </c>
      <c r="M63" s="247">
        <f>SUMIFS('#投资收益'!36:36,'#投资收益'!1:1,M1,'#投资收益'!2:2,M2,'#投资收益'!3:3,"投资收益")</f>
        <v>0</v>
      </c>
      <c r="N63" s="247">
        <f>SUMIFS('#投资收益'!36:36,'#投资收益'!1:1,N1,'#投资收益'!2:2,N2,'#投资收益'!3:3,"投资收益")</f>
        <v>0</v>
      </c>
      <c r="O63" s="247">
        <f>SUMIFS('#投资收益'!36:36,'#投资收益'!1:1,O1,'#投资收益'!2:2,O2,'#投资收益'!3:3,"投资收益")</f>
        <v>0</v>
      </c>
      <c r="P63" s="247">
        <f>SUMIFS('#投资收益'!36:36,'#投资收益'!1:1,P1,'#投资收益'!2:2,P2,'#投资收益'!3:3,"投资收益")</f>
        <v>0</v>
      </c>
      <c r="Q63" s="238">
        <f>SUMIFS('#投资收益'!36:36,'#投资收益'!1:1,Q1,'#投资收益'!2:2,Q2,'#投资收益'!3:3,"投资收益")</f>
        <v>0</v>
      </c>
      <c r="R63" s="238">
        <f>SUMIFS('#投资收益'!36:36,'#投资收益'!1:1,R1,'#投资收益'!2:2,R2,'#投资收益'!3:3,"投资收益")</f>
        <v>0</v>
      </c>
      <c r="S63" s="238">
        <f>SUMIFS('#投资收益'!36:36,'#投资收益'!1:1,S1,'#投资收益'!2:2,S2,'#投资收益'!3:3,"投资收益")</f>
        <v>0</v>
      </c>
      <c r="T63" s="238">
        <f>SUMIFS('#投资收益'!36:36,'#投资收益'!1:1,T1,'#投资收益'!2:2,T2,'#投资收益'!3:3,"投资收益")</f>
        <v>0</v>
      </c>
      <c r="U63" s="238">
        <f>SUMIFS('#投资收益'!36:36,'#投资收益'!1:1,U1,'#投资收益'!2:2,U2,'#投资收益'!3:3,"投资收益")</f>
        <v>0</v>
      </c>
      <c r="V63" s="238">
        <f>SUMIFS('#投资收益'!36:36,'#投资收益'!1:1,V1,'#投资收益'!2:2,V2,'#投资收益'!3:3,"投资收益")</f>
        <v>0</v>
      </c>
      <c r="W63" s="238">
        <f>SUMIFS('#投资收益'!36:36,'#投资收益'!1:1,W1,'#投资收益'!2:2,W2,'#投资收益'!3:3,"投资收益")</f>
        <v>0</v>
      </c>
      <c r="X63" s="238">
        <f>SUMIFS('#投资收益'!36:36,'#投资收益'!1:1,X1,'#投资收益'!2:2,X2,'#投资收益'!3:3,"投资收益")</f>
        <v>0</v>
      </c>
      <c r="Y63" s="238">
        <f>SUMIFS('#投资收益'!36:36,'#投资收益'!1:1,Y1,'#投资收益'!2:2,Y2,'#投资收益'!3:3,"投资收益")</f>
        <v>0</v>
      </c>
      <c r="Z63" s="238">
        <f>SUMIFS('#投资收益'!36:36,'#投资收益'!1:1,Z1,'#投资收益'!2:2,Z2,'#投资收益'!3:3,"投资收益")</f>
        <v>0</v>
      </c>
      <c r="AA63" s="238">
        <f>SUMIFS('#投资收益'!36:36,'#投资收益'!1:1,AA1,'#投资收益'!2:2,AA2,'#投资收益'!3:3,"投资收益")</f>
        <v>0</v>
      </c>
      <c r="AB63" s="238">
        <f>SUMIFS('#投资收益'!36:36,'#投资收益'!1:1,AB1,'#投资收益'!2:2,AB2,'#投资收益'!3:3,"投资收益")</f>
        <v>0</v>
      </c>
      <c r="AC63" s="238">
        <f>SUMIFS('#投资收益'!36:36,'#投资收益'!1:1,AC1,'#投资收益'!2:2,AC2,'#投资收益'!3:3,"投资收益")</f>
        <v>0</v>
      </c>
      <c r="AD63" s="238">
        <f>SUMIFS('#投资收益'!36:36,'#投资收益'!1:1,AD1,'#投资收益'!2:2,AD2,'#投资收益'!3:3,"投资收益")</f>
        <v>0</v>
      </c>
      <c r="AE63" s="238">
        <f>SUMIFS('#投资收益'!36:36,'#投资收益'!1:1,AE1,'#投资收益'!2:2,AE2,'#投资收益'!3:3,"投资收益")</f>
        <v>0</v>
      </c>
      <c r="AF63" s="238">
        <f>SUMIFS('#投资收益'!36:36,'#投资收益'!1:1,AF1,'#投资收益'!2:2,AF2,'#投资收益'!3:3,"投资收益")</f>
        <v>0</v>
      </c>
      <c r="AG63" s="238">
        <f>SUMIFS('#投资收益'!36:36,'#投资收益'!1:1,AG1,'#投资收益'!2:2,AG2,'#投资收益'!3:3,"投资收益")</f>
        <v>0</v>
      </c>
      <c r="AH63" s="238">
        <f>SUMIFS('#投资收益'!36:36,'#投资收益'!1:1,AH1,'#投资收益'!2:2,AH2,'#投资收益'!3:3,"投资收益")</f>
        <v>0</v>
      </c>
      <c r="AI63" s="238">
        <f>SUMIFS('#投资收益'!36:36,'#投资收益'!1:1,AI1,'#投资收益'!2:2,AI2,'#投资收益'!3:3,"投资收益")</f>
        <v>0</v>
      </c>
      <c r="AJ63" s="238">
        <f>SUMIFS('#投资收益'!36:36,'#投资收益'!1:1,AJ1,'#投资收益'!2:2,AJ2,'#投资收益'!3:3,"投资收益")</f>
        <v>0</v>
      </c>
      <c r="AK63" s="238">
        <f>SUMIFS('#投资收益'!36:36,'#投资收益'!1:1,AK1,'#投资收益'!2:2,AK2,'#投资收益'!3:3,"投资收益")</f>
        <v>0</v>
      </c>
      <c r="AL63" s="238">
        <f>SUMIFS('#投资收益'!36:36,'#投资收益'!1:1,AL1,'#投资收益'!2:2,AL2,'#投资收益'!3:3,"投资收益")</f>
        <v>0</v>
      </c>
      <c r="AM63" s="238">
        <f>SUMIFS('#投资收益'!36:36,'#投资收益'!1:1,AM1,'#投资收益'!2:2,AM2,'#投资收益'!3:3,"投资收益")</f>
        <v>0</v>
      </c>
      <c r="AO63" s="1675">
        <f>SUMIFS(C63:AA63,$C$1:$AA$1,'#经营概况'!$B$1,$C$2:$AA$2,'#经营概况'!$B$2)-SUMIFS(C63:AA63,$C$1:$AA$1,'#经营概况'!$B$1,$C$2:$AA$2,'#经营概况'!$B$2-1)</f>
        <v>0</v>
      </c>
    </row>
    <row r="64" spans="1:41" ht="17.100000000000001" customHeight="1">
      <c r="A64" s="671" t="s">
        <v>770</v>
      </c>
      <c r="B64" s="461">
        <f t="shared" ref="B64:G64" si="108">B102/10000</f>
        <v>2860.9117289999999</v>
      </c>
      <c r="C64" s="461">
        <f t="shared" si="108"/>
        <v>2617.6317289999997</v>
      </c>
      <c r="D64" s="461">
        <f t="shared" si="108"/>
        <v>0</v>
      </c>
      <c r="E64" s="461">
        <f t="shared" si="108"/>
        <v>20</v>
      </c>
      <c r="F64" s="461">
        <f t="shared" si="108"/>
        <v>200</v>
      </c>
      <c r="G64" s="461">
        <f t="shared" si="108"/>
        <v>30</v>
      </c>
      <c r="H64" s="461">
        <f t="shared" ref="H64:O64" si="109">H102/10000</f>
        <v>47.75</v>
      </c>
      <c r="I64" s="461">
        <f t="shared" si="109"/>
        <v>0</v>
      </c>
      <c r="J64" s="461">
        <f t="shared" si="109"/>
        <v>0</v>
      </c>
      <c r="K64" s="461">
        <f t="shared" si="109"/>
        <v>0</v>
      </c>
      <c r="L64" s="461">
        <f t="shared" si="109"/>
        <v>0</v>
      </c>
      <c r="M64" s="461">
        <f t="shared" si="109"/>
        <v>0</v>
      </c>
      <c r="N64" s="461">
        <f t="shared" si="109"/>
        <v>1523.8835999999999</v>
      </c>
      <c r="O64" s="461">
        <f t="shared" si="109"/>
        <v>156.923383</v>
      </c>
      <c r="P64" s="461">
        <f t="shared" ref="P64:AA64" si="110">P102/10000</f>
        <v>0</v>
      </c>
      <c r="Q64" s="238">
        <f t="shared" si="110"/>
        <v>0</v>
      </c>
      <c r="R64" s="238">
        <f t="shared" si="110"/>
        <v>0</v>
      </c>
      <c r="S64" s="238">
        <f t="shared" si="110"/>
        <v>12.283792999999999</v>
      </c>
      <c r="T64" s="238">
        <f t="shared" si="110"/>
        <v>0</v>
      </c>
      <c r="U64" s="238">
        <f t="shared" si="110"/>
        <v>7.5</v>
      </c>
      <c r="V64" s="238">
        <f t="shared" si="110"/>
        <v>20</v>
      </c>
      <c r="W64" s="238">
        <f>W102/10000</f>
        <v>0</v>
      </c>
      <c r="X64" s="238">
        <f t="shared" si="110"/>
        <v>0</v>
      </c>
      <c r="Y64" s="238">
        <f t="shared" si="110"/>
        <v>0</v>
      </c>
      <c r="Z64" s="238">
        <f t="shared" si="110"/>
        <v>0</v>
      </c>
      <c r="AA64" s="238">
        <f t="shared" si="110"/>
        <v>1283.324564</v>
      </c>
      <c r="AB64" s="238">
        <f t="shared" ref="AB64:AM64" si="111">AB102/10000</f>
        <v>0</v>
      </c>
      <c r="AC64" s="238">
        <f t="shared" si="111"/>
        <v>250</v>
      </c>
      <c r="AD64" s="238">
        <f t="shared" si="111"/>
        <v>10.650916</v>
      </c>
      <c r="AE64" s="238">
        <f t="shared" si="111"/>
        <v>2.13</v>
      </c>
      <c r="AF64" s="238">
        <f t="shared" si="111"/>
        <v>0</v>
      </c>
      <c r="AG64" s="238">
        <f t="shared" si="111"/>
        <v>0</v>
      </c>
      <c r="AH64" s="238">
        <f t="shared" si="111"/>
        <v>25</v>
      </c>
      <c r="AI64" s="238">
        <f t="shared" si="111"/>
        <v>814.995407</v>
      </c>
      <c r="AJ64" s="238">
        <f t="shared" si="111"/>
        <v>0</v>
      </c>
      <c r="AK64" s="238">
        <f t="shared" si="111"/>
        <v>0</v>
      </c>
      <c r="AL64" s="238">
        <f t="shared" si="111"/>
        <v>0</v>
      </c>
      <c r="AM64" s="238">
        <f t="shared" si="111"/>
        <v>0</v>
      </c>
      <c r="AO64" s="1675">
        <f>SUMIFS(C64:AA64,$C$1:$AA$1,'#经营概况'!$B$1,$C$2:$AA$2,'#经营概况'!$B$2)-SUMIFS(C64:AA64,$C$1:$AA$1,'#经营概况'!$B$1,$C$2:$AA$2,'#经营概况'!$B$2-1)</f>
        <v>0</v>
      </c>
    </row>
    <row r="65" spans="1:41" ht="17.100000000000001" customHeight="1">
      <c r="A65" s="671" t="s">
        <v>771</v>
      </c>
      <c r="B65" s="461">
        <f t="shared" ref="B65:G65" si="112">-B103/10000</f>
        <v>-14821.305737000001</v>
      </c>
      <c r="C65" s="461">
        <f t="shared" si="112"/>
        <v>-14821.305737000001</v>
      </c>
      <c r="D65" s="461">
        <f t="shared" si="112"/>
        <v>0</v>
      </c>
      <c r="E65" s="461">
        <f t="shared" si="112"/>
        <v>0</v>
      </c>
      <c r="F65" s="461">
        <f t="shared" si="112"/>
        <v>0</v>
      </c>
      <c r="G65" s="461">
        <f t="shared" si="112"/>
        <v>0</v>
      </c>
      <c r="H65" s="461">
        <f t="shared" ref="H65:O65" si="113">-H103/10000</f>
        <v>0</v>
      </c>
      <c r="I65" s="461">
        <f t="shared" si="113"/>
        <v>0</v>
      </c>
      <c r="J65" s="461">
        <f t="shared" si="113"/>
        <v>0</v>
      </c>
      <c r="K65" s="461">
        <f t="shared" si="113"/>
        <v>0</v>
      </c>
      <c r="L65" s="461">
        <f t="shared" si="113"/>
        <v>0</v>
      </c>
      <c r="M65" s="461">
        <f t="shared" si="113"/>
        <v>0</v>
      </c>
      <c r="N65" s="461">
        <f t="shared" si="113"/>
        <v>0</v>
      </c>
      <c r="O65" s="461">
        <f t="shared" si="113"/>
        <v>0</v>
      </c>
      <c r="P65" s="461">
        <f t="shared" ref="P65:AA65" si="114">-P103/10000</f>
        <v>0</v>
      </c>
      <c r="Q65" s="675">
        <f t="shared" si="114"/>
        <v>0</v>
      </c>
      <c r="R65" s="675">
        <f t="shared" si="114"/>
        <v>0</v>
      </c>
      <c r="S65" s="675">
        <f t="shared" si="114"/>
        <v>0</v>
      </c>
      <c r="T65" s="675">
        <f t="shared" si="114"/>
        <v>0</v>
      </c>
      <c r="U65" s="675">
        <f t="shared" si="114"/>
        <v>0</v>
      </c>
      <c r="V65" s="675">
        <f t="shared" si="114"/>
        <v>0</v>
      </c>
      <c r="W65" s="675">
        <f>-W103/10000</f>
        <v>0</v>
      </c>
      <c r="X65" s="675">
        <f t="shared" si="114"/>
        <v>0</v>
      </c>
      <c r="Y65" s="675">
        <f t="shared" si="114"/>
        <v>0</v>
      </c>
      <c r="Z65" s="675">
        <f t="shared" si="114"/>
        <v>0</v>
      </c>
      <c r="AA65" s="675">
        <f t="shared" si="114"/>
        <v>300</v>
      </c>
      <c r="AB65" s="675">
        <f t="shared" ref="AB65:AM65" si="115">-AB103/10000</f>
        <v>0</v>
      </c>
      <c r="AC65" s="675">
        <f t="shared" si="115"/>
        <v>0</v>
      </c>
      <c r="AD65" s="675">
        <f t="shared" si="115"/>
        <v>0</v>
      </c>
      <c r="AE65" s="675">
        <f t="shared" si="115"/>
        <v>0</v>
      </c>
      <c r="AF65" s="675">
        <f t="shared" si="115"/>
        <v>0</v>
      </c>
      <c r="AG65" s="675">
        <f t="shared" si="115"/>
        <v>0</v>
      </c>
      <c r="AH65" s="675">
        <f t="shared" si="115"/>
        <v>0</v>
      </c>
      <c r="AI65" s="675">
        <f t="shared" si="115"/>
        <v>0</v>
      </c>
      <c r="AJ65" s="675">
        <f t="shared" si="115"/>
        <v>0</v>
      </c>
      <c r="AK65" s="675">
        <f t="shared" si="115"/>
        <v>0</v>
      </c>
      <c r="AL65" s="675">
        <f t="shared" si="115"/>
        <v>0</v>
      </c>
      <c r="AM65" s="675">
        <f t="shared" si="115"/>
        <v>0</v>
      </c>
      <c r="AN65" s="641"/>
      <c r="AO65" s="1675">
        <f>SUMIFS(C65:AA65,$C$1:$AA$1,'#经营概况'!$B$1,$C$2:$AA$2,'#经营概况'!$B$2)-SUMIFS(C65:AA65,$C$1:$AA$1,'#经营概况'!$B$1,$C$2:$AA$2,'#经营概况'!$B$2-1)</f>
        <v>0</v>
      </c>
    </row>
    <row r="66" spans="1:41" ht="17.100000000000001" customHeight="1">
      <c r="A66" s="671" t="s">
        <v>772</v>
      </c>
      <c r="B66" s="461">
        <f t="shared" ref="B66:G66" si="116">B104/10000</f>
        <v>34.895372999999999</v>
      </c>
      <c r="C66" s="461">
        <f t="shared" si="116"/>
        <v>0</v>
      </c>
      <c r="D66" s="461">
        <f t="shared" si="116"/>
        <v>0</v>
      </c>
      <c r="E66" s="461">
        <f t="shared" si="116"/>
        <v>0</v>
      </c>
      <c r="F66" s="461">
        <f t="shared" si="116"/>
        <v>12.329884</v>
      </c>
      <c r="G66" s="461">
        <f t="shared" si="116"/>
        <v>0</v>
      </c>
      <c r="H66" s="461">
        <f t="shared" ref="H66:O66" si="117">H104/10000</f>
        <v>0</v>
      </c>
      <c r="I66" s="461">
        <f t="shared" si="117"/>
        <v>0</v>
      </c>
      <c r="J66" s="461">
        <f t="shared" si="117"/>
        <v>0</v>
      </c>
      <c r="K66" s="461">
        <f t="shared" si="117"/>
        <v>0</v>
      </c>
      <c r="L66" s="461">
        <f t="shared" si="117"/>
        <v>0</v>
      </c>
      <c r="M66" s="461">
        <f t="shared" si="117"/>
        <v>0</v>
      </c>
      <c r="N66" s="461">
        <f t="shared" si="117"/>
        <v>0</v>
      </c>
      <c r="O66" s="461">
        <f t="shared" si="117"/>
        <v>0</v>
      </c>
      <c r="P66" s="461">
        <f t="shared" ref="P66:AA66" si="118">P104/10000</f>
        <v>0</v>
      </c>
      <c r="Q66" s="675">
        <f t="shared" si="118"/>
        <v>0</v>
      </c>
      <c r="R66" s="675">
        <f t="shared" si="118"/>
        <v>0</v>
      </c>
      <c r="S66" s="675">
        <f t="shared" si="118"/>
        <v>0</v>
      </c>
      <c r="T66" s="675">
        <f t="shared" si="118"/>
        <v>0</v>
      </c>
      <c r="U66" s="675">
        <f t="shared" si="118"/>
        <v>0</v>
      </c>
      <c r="V66" s="675">
        <f t="shared" si="118"/>
        <v>0</v>
      </c>
      <c r="W66" s="675">
        <f>W104/10000</f>
        <v>0</v>
      </c>
      <c r="X66" s="675">
        <f t="shared" si="118"/>
        <v>0</v>
      </c>
      <c r="Y66" s="675">
        <f t="shared" si="118"/>
        <v>4.9067040000000004</v>
      </c>
      <c r="Z66" s="675">
        <f t="shared" si="118"/>
        <v>0</v>
      </c>
      <c r="AA66" s="675">
        <f t="shared" si="118"/>
        <v>3179</v>
      </c>
      <c r="AB66" s="675">
        <f t="shared" ref="AB66:AM66" si="119">AB104/10000</f>
        <v>0</v>
      </c>
      <c r="AC66" s="675">
        <f t="shared" si="119"/>
        <v>0</v>
      </c>
      <c r="AD66" s="675">
        <f t="shared" si="119"/>
        <v>0</v>
      </c>
      <c r="AE66" s="675">
        <f t="shared" si="119"/>
        <v>0</v>
      </c>
      <c r="AF66" s="675">
        <f t="shared" si="119"/>
        <v>0</v>
      </c>
      <c r="AG66" s="675">
        <f t="shared" si="119"/>
        <v>0</v>
      </c>
      <c r="AH66" s="675">
        <f t="shared" si="119"/>
        <v>0</v>
      </c>
      <c r="AI66" s="675">
        <f t="shared" si="119"/>
        <v>0</v>
      </c>
      <c r="AJ66" s="675">
        <f t="shared" si="119"/>
        <v>0</v>
      </c>
      <c r="AK66" s="675">
        <f t="shared" si="119"/>
        <v>0</v>
      </c>
      <c r="AL66" s="675">
        <f t="shared" si="119"/>
        <v>0</v>
      </c>
      <c r="AM66" s="675">
        <f t="shared" si="119"/>
        <v>0</v>
      </c>
      <c r="AN66" s="641"/>
      <c r="AO66" s="1675">
        <f>SUMIFS(C66:AA66,$C$1:$AA$1,'#经营概况'!$B$1,$C$2:$AA$2,'#经营概况'!$B$2)-SUMIFS(C66:AA66,$C$1:$AA$1,'#经营概况'!$B$1,$C$2:$AA$2,'#经营概况'!$B$2-1)</f>
        <v>0</v>
      </c>
    </row>
    <row r="67" spans="1:41" ht="17.100000000000001" customHeight="1" thickBot="1">
      <c r="A67" s="671" t="s">
        <v>773</v>
      </c>
      <c r="B67" s="680">
        <f t="shared" ref="B67:Z67" si="120">B13-(B14+B18+B28+B42+B49+B57+B58+B59+B60+B61+B62+B64+B65+B66)</f>
        <v>8.3673512563109398E-11</v>
      </c>
      <c r="C67" s="680">
        <f t="shared" si="120"/>
        <v>-5.0931703299283981E-11</v>
      </c>
      <c r="D67" s="680">
        <f t="shared" si="120"/>
        <v>0</v>
      </c>
      <c r="E67" s="680">
        <f t="shared" si="120"/>
        <v>5.0022208597511053E-12</v>
      </c>
      <c r="F67" s="680">
        <f t="shared" si="120"/>
        <v>1.1823431123048067E-11</v>
      </c>
      <c r="G67" s="680">
        <f t="shared" si="120"/>
        <v>-2.3874235921539366E-11</v>
      </c>
      <c r="H67" s="680">
        <f t="shared" si="120"/>
        <v>0</v>
      </c>
      <c r="I67" s="680">
        <f t="shared" si="120"/>
        <v>-1.0913936421275139E-11</v>
      </c>
      <c r="J67" s="680">
        <f t="shared" si="120"/>
        <v>0</v>
      </c>
      <c r="K67" s="680">
        <f t="shared" si="120"/>
        <v>0</v>
      </c>
      <c r="L67" s="680">
        <f t="shared" si="120"/>
        <v>0</v>
      </c>
      <c r="M67" s="680">
        <f t="shared" si="120"/>
        <v>3.4560798667371273E-11</v>
      </c>
      <c r="N67" s="680">
        <f t="shared" si="120"/>
        <v>-3.637978807091713E-11</v>
      </c>
      <c r="O67" s="680">
        <f t="shared" si="120"/>
        <v>0.13367100001141807</v>
      </c>
      <c r="P67" s="680">
        <f t="shared" si="120"/>
        <v>0</v>
      </c>
      <c r="Q67" s="676">
        <f t="shared" si="120"/>
        <v>3019.0000000000082</v>
      </c>
      <c r="R67" s="676">
        <f t="shared" ref="R67:W67" si="121">R13-(R14+R18+R28+R42+R49+R57+R58+R59+R60+R61+R62+R64+R65+R66)</f>
        <v>0</v>
      </c>
      <c r="S67" s="676">
        <f t="shared" si="121"/>
        <v>0</v>
      </c>
      <c r="T67" s="676">
        <f t="shared" si="121"/>
        <v>0</v>
      </c>
      <c r="U67" s="676">
        <f t="shared" si="121"/>
        <v>8.1854523159563541E-12</v>
      </c>
      <c r="V67" s="676">
        <f t="shared" si="121"/>
        <v>0</v>
      </c>
      <c r="W67" s="676">
        <f t="shared" si="121"/>
        <v>0</v>
      </c>
      <c r="X67" s="676">
        <f t="shared" si="120"/>
        <v>0</v>
      </c>
      <c r="Y67" s="676">
        <f t="shared" si="120"/>
        <v>0</v>
      </c>
      <c r="Z67" s="676">
        <f t="shared" si="120"/>
        <v>1.4551915228366852E-11</v>
      </c>
      <c r="AA67" s="676">
        <f>AA13-(AA14+AA18+AA28+AA42+AA49+AA57+AA58+AA59+AA60+AA61+AA62+AA64+AA65+AA66)</f>
        <v>-599.99999999998545</v>
      </c>
      <c r="AB67" s="676">
        <f t="shared" ref="AB67:AM67" si="122">AB13-(AB14+AB18+AB28+AB42+AB49+AB57+AB58+AB59+AB60+AB61+AB62+AB64+AB65+AB66)</f>
        <v>0</v>
      </c>
      <c r="AC67" s="676">
        <f>AC13-(AC14+AC18+AC28+AC42+AC49+AC57+AC58+AC59+AC60+AC61+AC62+AC64+AC65+AC66)</f>
        <v>0</v>
      </c>
      <c r="AD67" s="676">
        <f t="shared" si="122"/>
        <v>0</v>
      </c>
      <c r="AE67" s="676">
        <f t="shared" si="122"/>
        <v>2.2737367544323206E-11</v>
      </c>
      <c r="AF67" s="676">
        <f t="shared" si="122"/>
        <v>0</v>
      </c>
      <c r="AG67" s="676">
        <f t="shared" si="122"/>
        <v>0</v>
      </c>
      <c r="AH67" s="676">
        <f t="shared" si="122"/>
        <v>1.1823431123048067E-11</v>
      </c>
      <c r="AI67" s="676">
        <f t="shared" si="122"/>
        <v>1.4551915228366852E-11</v>
      </c>
      <c r="AJ67" s="676">
        <f t="shared" si="122"/>
        <v>0</v>
      </c>
      <c r="AK67" s="676">
        <f t="shared" si="122"/>
        <v>0</v>
      </c>
      <c r="AL67" s="676">
        <f t="shared" si="122"/>
        <v>0</v>
      </c>
      <c r="AM67" s="676">
        <f t="shared" si="122"/>
        <v>0</v>
      </c>
      <c r="AN67" s="642"/>
      <c r="AO67" s="1675">
        <f>SUMIFS(C67:AA67,$C$1:$AA$1,'#经营概况'!$B$1,$C$2:$AA$2,'#经营概况'!$B$2)-SUMIFS(C67:AA67,$C$1:$AA$1,'#经营概况'!$B$1,$C$2:$AA$2,'#经营概况'!$B$2-1)</f>
        <v>0</v>
      </c>
    </row>
    <row r="68" spans="1:41" ht="17.100000000000001" customHeight="1" thickBot="1">
      <c r="A68" s="681" t="s">
        <v>187</v>
      </c>
      <c r="B68" s="682">
        <f t="shared" ref="B68:Z68" si="123">B3+B4+B5+B6+B7+B13</f>
        <v>4991.53024</v>
      </c>
      <c r="C68" s="682">
        <f t="shared" si="123"/>
        <v>-18475.340327999998</v>
      </c>
      <c r="D68" s="682">
        <f t="shared" si="123"/>
        <v>-3514.6206299999994</v>
      </c>
      <c r="E68" s="682">
        <f t="shared" si="123"/>
        <v>671.12730899999997</v>
      </c>
      <c r="F68" s="682">
        <f t="shared" si="123"/>
        <v>-2675.0694809999995</v>
      </c>
      <c r="G68" s="682">
        <f t="shared" si="123"/>
        <v>3708.8242559999994</v>
      </c>
      <c r="H68" s="682">
        <f t="shared" si="123"/>
        <v>45186.894646000001</v>
      </c>
      <c r="I68" s="682">
        <f t="shared" si="123"/>
        <v>7198.5786750000007</v>
      </c>
      <c r="J68" s="682">
        <f t="shared" si="123"/>
        <v>8871.0379350000003</v>
      </c>
      <c r="K68" s="682">
        <f t="shared" si="123"/>
        <v>17894.668021999998</v>
      </c>
      <c r="L68" s="682">
        <f t="shared" si="123"/>
        <v>16192.638100999999</v>
      </c>
      <c r="M68" s="682">
        <f t="shared" si="123"/>
        <v>14708.497323</v>
      </c>
      <c r="N68" s="682">
        <f t="shared" si="123"/>
        <v>16721.333115999998</v>
      </c>
      <c r="O68" s="682">
        <f t="shared" si="123"/>
        <v>22041.609182</v>
      </c>
      <c r="P68" s="682">
        <f t="shared" si="123"/>
        <v>11502.311137000001</v>
      </c>
      <c r="Q68" s="715">
        <f t="shared" si="123"/>
        <v>1544.5398049999994</v>
      </c>
      <c r="R68" s="715">
        <f t="shared" ref="R68:W68" si="124">R3+R4+R5+R6+R7+R13</f>
        <v>13441.454914000002</v>
      </c>
      <c r="S68" s="715">
        <f t="shared" si="124"/>
        <v>10069.528217999999</v>
      </c>
      <c r="T68" s="715">
        <f t="shared" si="124"/>
        <v>46679.344212000004</v>
      </c>
      <c r="U68" s="715">
        <f t="shared" si="124"/>
        <v>3096.1184990000002</v>
      </c>
      <c r="V68" s="715">
        <f t="shared" si="124"/>
        <v>13229.033987000001</v>
      </c>
      <c r="W68" s="715">
        <f t="shared" si="124"/>
        <v>5485.7366670000001</v>
      </c>
      <c r="X68" s="715">
        <f t="shared" si="123"/>
        <v>14082.883742</v>
      </c>
      <c r="Y68" s="715">
        <f t="shared" si="123"/>
        <v>22390.415849000001</v>
      </c>
      <c r="Z68" s="715">
        <f t="shared" si="123"/>
        <v>5896.0110080000004</v>
      </c>
      <c r="AA68" s="715">
        <f>AA3+AA4+AA5+AA6+AA7+AA13</f>
        <v>49926.817116800004</v>
      </c>
      <c r="AB68" s="715">
        <f t="shared" ref="AB68:AM68" si="125">AB3+AB4+AB5+AB6+AB7+AB13</f>
        <v>13828.454714</v>
      </c>
      <c r="AC68" s="715">
        <f t="shared" si="125"/>
        <v>16144.229005000001</v>
      </c>
      <c r="AD68" s="715">
        <f>AD3+AD4+AD5+AD6+AD7+AD13</f>
        <v>714.7106150000036</v>
      </c>
      <c r="AE68" s="715">
        <f t="shared" si="125"/>
        <v>26820.236446999999</v>
      </c>
      <c r="AF68" s="715">
        <f t="shared" si="125"/>
        <v>89844.753763000001</v>
      </c>
      <c r="AG68" s="715">
        <f t="shared" si="125"/>
        <v>70100.584518999996</v>
      </c>
      <c r="AH68" s="715">
        <f t="shared" si="125"/>
        <v>37037.363642000018</v>
      </c>
      <c r="AI68" s="715">
        <f>AI3+AI4+AI5+AI6+AI7+AI13</f>
        <v>37307.991374000027</v>
      </c>
      <c r="AJ68" s="715">
        <f t="shared" si="125"/>
        <v>0</v>
      </c>
      <c r="AK68" s="715">
        <f t="shared" si="125"/>
        <v>0</v>
      </c>
      <c r="AL68" s="715">
        <f t="shared" si="125"/>
        <v>0</v>
      </c>
      <c r="AM68" s="715">
        <f t="shared" si="125"/>
        <v>0</v>
      </c>
      <c r="AN68" s="644"/>
      <c r="AO68" s="1675">
        <f>SUMIFS(C68:AA68,$C$1:$AA$1,'#经营概况'!$B$1,$C$2:$AA$2,'#经营概况'!$B$2)-SUMIFS(C68:AA68,$C$1:$AA$1,'#经营概况'!$B$1,$C$2:$AA$2,'#经营概况'!$B$2-1)</f>
        <v>0</v>
      </c>
    </row>
    <row r="69" spans="1:41" ht="17.100000000000001" customHeight="1">
      <c r="A69" s="683" t="s">
        <v>774</v>
      </c>
      <c r="B69" s="484">
        <f>B68-B62</f>
        <v>-115942.72990400001</v>
      </c>
      <c r="C69" s="484">
        <f>C68-C62</f>
        <v>-16000.046669000008</v>
      </c>
      <c r="D69" s="484">
        <f>D68-D62+D63</f>
        <v>-5617.5364719999998</v>
      </c>
      <c r="E69" s="484">
        <f t="shared" ref="E69:O69" si="126">E68-E62+E63</f>
        <v>1682.302956</v>
      </c>
      <c r="F69" s="484">
        <f t="shared" si="126"/>
        <v>-2761.9287439999989</v>
      </c>
      <c r="G69" s="484">
        <f t="shared" si="126"/>
        <v>2835.7161409999985</v>
      </c>
      <c r="H69" s="484">
        <f t="shared" si="126"/>
        <v>4486.0932810000013</v>
      </c>
      <c r="I69" s="484">
        <f t="shared" si="126"/>
        <v>6111.6456210000006</v>
      </c>
      <c r="J69" s="484">
        <f t="shared" si="126"/>
        <v>7720.2521670000006</v>
      </c>
      <c r="K69" s="484">
        <f t="shared" si="126"/>
        <v>7070.7857539999968</v>
      </c>
      <c r="L69" s="484">
        <f t="shared" si="126"/>
        <v>14487.279263999999</v>
      </c>
      <c r="M69" s="484">
        <f t="shared" si="126"/>
        <v>12245.323783</v>
      </c>
      <c r="N69" s="484">
        <f t="shared" si="126"/>
        <v>8653.2751969999881</v>
      </c>
      <c r="O69" s="484">
        <f t="shared" si="126"/>
        <v>14299.408081</v>
      </c>
      <c r="P69" s="484">
        <f t="shared" ref="P69:X69" si="127">P68-P62+P63</f>
        <v>11795.938900000001</v>
      </c>
      <c r="Q69" s="238">
        <f>Q68-Q62+Q63</f>
        <v>-2759.3998120000006</v>
      </c>
      <c r="R69" s="238">
        <f t="shared" si="127"/>
        <v>10089.166718000002</v>
      </c>
      <c r="S69" s="238">
        <f t="shared" si="127"/>
        <v>7688.2350939999997</v>
      </c>
      <c r="T69" s="238">
        <f t="shared" si="127"/>
        <v>5083.7879140000005</v>
      </c>
      <c r="U69" s="238">
        <f>U68-U62+U63</f>
        <v>-4920.3347529999992</v>
      </c>
      <c r="V69" s="238">
        <f>V68-V62+V63</f>
        <v>12902.746455</v>
      </c>
      <c r="W69" s="238">
        <f>W68-W62+W63</f>
        <v>6423.4330049999999</v>
      </c>
      <c r="X69" s="238">
        <f t="shared" si="127"/>
        <v>12513.253873</v>
      </c>
      <c r="Y69" s="238">
        <f>Y68-Y62+Y63</f>
        <v>8444.6839689999997</v>
      </c>
      <c r="Z69" s="238">
        <f>Z68-Z62+Z63</f>
        <v>2023.5464180000004</v>
      </c>
      <c r="AA69" s="238">
        <f>AA68-AA62+AA63</f>
        <v>-61438.508178999989</v>
      </c>
      <c r="AB69" s="238">
        <f t="shared" ref="AB69:AM69" si="128">AB68-AB62+AB63</f>
        <v>12431.249755999999</v>
      </c>
      <c r="AC69" s="238">
        <f t="shared" si="128"/>
        <v>15852.662945000002</v>
      </c>
      <c r="AD69" s="238">
        <f>AD68-AD62+AD63</f>
        <v>-2227.5880539999962</v>
      </c>
      <c r="AE69" s="238">
        <f t="shared" si="128"/>
        <v>25179.834978999999</v>
      </c>
      <c r="AF69" s="238">
        <f t="shared" si="128"/>
        <v>34275.113229999995</v>
      </c>
      <c r="AG69" s="238">
        <f t="shared" si="128"/>
        <v>40089.582414999997</v>
      </c>
      <c r="AH69" s="238">
        <f t="shared" si="128"/>
        <v>34767.318359000019</v>
      </c>
      <c r="AI69" s="238">
        <f>AI68-AI62+AI63</f>
        <v>30673.699038000028</v>
      </c>
      <c r="AJ69" s="238">
        <f t="shared" si="128"/>
        <v>0</v>
      </c>
      <c r="AK69" s="238">
        <f t="shared" si="128"/>
        <v>0</v>
      </c>
      <c r="AL69" s="238">
        <f t="shared" si="128"/>
        <v>0</v>
      </c>
      <c r="AM69" s="238">
        <f t="shared" si="128"/>
        <v>0</v>
      </c>
      <c r="AN69" s="238"/>
      <c r="AO69" s="1675">
        <f>SUMIFS(C69:AA69,$C$1:$AA$1,'#经营概况'!$B$1,$C$2:$AA$2,'#经营概况'!$B$2)-SUMIFS(C69:AA69,$C$1:$AA$1,'#经营概况'!$B$1,$C$2:$AA$2,'#经营概况'!$B$2-1)</f>
        <v>0</v>
      </c>
    </row>
    <row r="70" spans="1:41" ht="17.100000000000001" customHeight="1">
      <c r="A70" s="684" t="s">
        <v>775</v>
      </c>
      <c r="B70" s="685"/>
      <c r="C70" s="685">
        <v>7653.8372609999997</v>
      </c>
      <c r="D70" s="685">
        <f>'#需填写'!C13/10000</f>
        <v>3604.581111</v>
      </c>
      <c r="E70" s="685">
        <f>'#需填写'!D13/10000</f>
        <v>-634.82153600000004</v>
      </c>
      <c r="F70" s="685">
        <f>'#需填写'!E13/10000</f>
        <v>2900.0705069999999</v>
      </c>
      <c r="G70" s="685">
        <f>'#需填写'!F13/10000</f>
        <v>-3627.4505530000001</v>
      </c>
      <c r="H70" s="685">
        <f>'#需填写'!G13/10000</f>
        <v>-7441.86</v>
      </c>
      <c r="I70" s="685">
        <f>'#需填写'!H13/10000</f>
        <v>5047.382595</v>
      </c>
      <c r="J70" s="685">
        <f>'#需填写'!I13/10000</f>
        <v>0</v>
      </c>
      <c r="K70" s="685">
        <f>'#需填写'!J13/10000</f>
        <v>0</v>
      </c>
      <c r="L70" s="685">
        <f>'#需填写'!K13/10000</f>
        <v>0</v>
      </c>
      <c r="M70" s="685">
        <f>'#需填写'!L13/10000</f>
        <v>0</v>
      </c>
      <c r="N70" s="685">
        <f>'#需填写'!M13/10000</f>
        <v>-5883.7043599999997</v>
      </c>
      <c r="O70" s="685"/>
      <c r="P70" s="685">
        <f>'#需填写'!O13/10000</f>
        <v>0</v>
      </c>
      <c r="Q70" s="238">
        <f>'#需填写'!P13/10000</f>
        <v>0</v>
      </c>
      <c r="R70" s="238"/>
      <c r="AO70" s="1675">
        <f>SUMIFS(C70:AA70,$C$1:$AA$1,'#经营概况'!$B$1,$C$2:$AA$2,'#经营概况'!$B$2)-SUMIFS(C70:AA70,$C$1:$AA$1,'#经营概况'!$B$1,$C$2:$AA$2,'#经营概况'!$B$2-1)</f>
        <v>0</v>
      </c>
    </row>
    <row r="71" spans="1:41" ht="17.100000000000001" customHeight="1">
      <c r="A71" s="684" t="s">
        <v>776</v>
      </c>
      <c r="B71" s="685"/>
      <c r="C71" s="685"/>
      <c r="D71" s="685"/>
      <c r="E71" s="685"/>
      <c r="F71" s="685"/>
      <c r="G71" s="685"/>
      <c r="H71" s="685"/>
      <c r="I71" s="685"/>
      <c r="J71" s="685">
        <f>'#需填写'!I14/10000</f>
        <v>-7335</v>
      </c>
      <c r="K71" s="685">
        <f>'#需填写'!J14/10000</f>
        <v>-11896.938</v>
      </c>
      <c r="L71" s="685">
        <f>'#需填写'!K14/10000</f>
        <v>-11600.2181</v>
      </c>
      <c r="M71" s="685">
        <f>'#需填写'!L14/10000</f>
        <v>-13682.167299999999</v>
      </c>
      <c r="N71" s="685">
        <f>'#需填写'!M14/10000</f>
        <v>0</v>
      </c>
      <c r="O71" s="685"/>
      <c r="P71" s="685">
        <f>'#需填写'!O14/10000</f>
        <v>-2398.0117570000002</v>
      </c>
      <c r="Q71" s="238">
        <f>'#需填写'!P14/10000</f>
        <v>-550.58409800000004</v>
      </c>
      <c r="R71" s="238">
        <f>'#需填写'!Q14/10000</f>
        <v>-13043.620387000001</v>
      </c>
      <c r="S71" s="238">
        <f>'#需填写'!R14/10000</f>
        <v>-2565.50459</v>
      </c>
      <c r="T71" s="238">
        <f>'#需填写'!S14/10000</f>
        <v>-8546.141576</v>
      </c>
      <c r="U71" s="238">
        <f>'#需填写'!T14/10000</f>
        <v>-5723.1341350000002</v>
      </c>
      <c r="V71" s="238">
        <f>'#需填写'!U14/10000</f>
        <v>-3799.7313039999999</v>
      </c>
      <c r="W71" s="238">
        <f>'#需填写'!V14/10000</f>
        <v>0</v>
      </c>
      <c r="X71" s="238">
        <f>'#需填写'!W14/10000</f>
        <v>0</v>
      </c>
      <c r="Y71" s="238">
        <f>'#需填写'!X14/10000</f>
        <v>-14100</v>
      </c>
      <c r="Z71" s="1548">
        <f>'#需填写'!Y14/10000</f>
        <v>-3741.1</v>
      </c>
      <c r="AA71" s="1548"/>
      <c r="AB71" s="1548">
        <f>'#需填写'!AA14/10000</f>
        <v>-796</v>
      </c>
      <c r="AC71" s="1548">
        <f>'#需填写'!AB14/10000</f>
        <v>796</v>
      </c>
      <c r="AD71" s="1548">
        <f>'#需填写'!AC14/10000</f>
        <v>0</v>
      </c>
      <c r="AE71" s="1548">
        <f>'#需填写'!AD14/10000</f>
        <v>0</v>
      </c>
      <c r="AF71" s="1548">
        <f>'#需填写'!AE14/10000</f>
        <v>0</v>
      </c>
      <c r="AG71" s="1548">
        <f>'#需填写'!AF14/10000</f>
        <v>0</v>
      </c>
      <c r="AH71" s="1546"/>
      <c r="AI71" s="1546"/>
      <c r="AJ71" s="1546"/>
      <c r="AK71" s="1546"/>
      <c r="AL71" s="1546"/>
      <c r="AM71" s="1546"/>
      <c r="AO71" s="1675">
        <f>SUMIFS(C71:AA71,$C$1:$AA$1,'#经营概况'!$B$1,$C$2:$AA$2,'#经营概况'!$B$2)-SUMIFS(C71:AA71,$C$1:$AA$1,'#经营概况'!$B$1,$C$2:$AA$2,'#经营概况'!$B$2-1)</f>
        <v>0</v>
      </c>
    </row>
    <row r="72" spans="1:41" ht="17.100000000000001" customHeight="1">
      <c r="A72" s="684" t="s">
        <v>777</v>
      </c>
      <c r="B72" s="685"/>
      <c r="C72" s="685"/>
      <c r="D72" s="685"/>
      <c r="E72" s="685"/>
      <c r="F72" s="685"/>
      <c r="G72" s="685"/>
      <c r="H72" s="685"/>
      <c r="I72" s="685">
        <f>-5000</f>
        <v>-5000</v>
      </c>
      <c r="J72" s="685"/>
      <c r="K72" s="685">
        <f>-5000-152</f>
        <v>-5152</v>
      </c>
      <c r="L72" s="685"/>
      <c r="M72" s="685"/>
      <c r="N72" s="685"/>
      <c r="O72" s="685"/>
      <c r="P72" s="685"/>
      <c r="Q72" s="238">
        <f t="shared" ref="Q72:AA72" si="129">-Q74</f>
        <v>-3019</v>
      </c>
      <c r="R72" s="238">
        <f t="shared" si="129"/>
        <v>0</v>
      </c>
      <c r="S72" s="238">
        <f t="shared" si="129"/>
        <v>0</v>
      </c>
      <c r="T72" s="238">
        <f t="shared" si="129"/>
        <v>0</v>
      </c>
      <c r="U72" s="238">
        <f t="shared" si="129"/>
        <v>-6300</v>
      </c>
      <c r="V72" s="238">
        <f t="shared" si="129"/>
        <v>0</v>
      </c>
      <c r="W72" s="238">
        <f t="shared" si="129"/>
        <v>0</v>
      </c>
      <c r="X72" s="206">
        <f t="shared" si="129"/>
        <v>0</v>
      </c>
      <c r="Y72" s="206">
        <f t="shared" si="129"/>
        <v>0</v>
      </c>
      <c r="Z72" s="206">
        <f t="shared" si="129"/>
        <v>0</v>
      </c>
      <c r="AA72" s="206">
        <f t="shared" si="129"/>
        <v>0</v>
      </c>
      <c r="AB72" s="206">
        <f t="shared" ref="AB72:AM72" si="130">-AB74</f>
        <v>0</v>
      </c>
      <c r="AC72" s="206">
        <f t="shared" si="130"/>
        <v>0</v>
      </c>
      <c r="AD72" s="206">
        <f t="shared" si="130"/>
        <v>0</v>
      </c>
      <c r="AE72" s="206">
        <f t="shared" si="130"/>
        <v>0</v>
      </c>
      <c r="AF72" s="206">
        <f t="shared" si="130"/>
        <v>0</v>
      </c>
      <c r="AG72" s="206">
        <f t="shared" si="130"/>
        <v>0</v>
      </c>
      <c r="AH72" s="206">
        <f t="shared" si="130"/>
        <v>0</v>
      </c>
      <c r="AI72" s="206">
        <f t="shared" si="130"/>
        <v>0</v>
      </c>
      <c r="AJ72" s="206">
        <f t="shared" si="130"/>
        <v>0</v>
      </c>
      <c r="AK72" s="206">
        <f t="shared" si="130"/>
        <v>0</v>
      </c>
      <c r="AL72" s="206">
        <f t="shared" si="130"/>
        <v>0</v>
      </c>
      <c r="AM72" s="206">
        <f t="shared" si="130"/>
        <v>0</v>
      </c>
      <c r="AO72" s="1675">
        <f>SUMIFS(C72:AA72,$C$1:$AA$1,'#经营概况'!$B$1,$C$2:$AA$2,'#经营概况'!$B$2)-SUMIFS(C72:AA72,$C$1:$AA$1,'#经营概况'!$B$1,$C$2:$AA$2,'#经营概况'!$B$2-1)</f>
        <v>0</v>
      </c>
    </row>
    <row r="73" spans="1:41" ht="17.100000000000001" customHeight="1">
      <c r="A73" s="645" t="s">
        <v>778</v>
      </c>
      <c r="B73" s="645"/>
      <c r="C73" s="686"/>
      <c r="D73" s="686">
        <f>D68+D70</f>
        <v>89.960481000000527</v>
      </c>
      <c r="E73" s="686">
        <f>E68+E70</f>
        <v>36.305772999999931</v>
      </c>
      <c r="F73" s="686">
        <f>F68+F70</f>
        <v>225.00102600000037</v>
      </c>
      <c r="G73" s="686">
        <f>G68+G70</f>
        <v>81.373702999999296</v>
      </c>
      <c r="H73" s="686">
        <f>H68+H70</f>
        <v>37745.034646</v>
      </c>
      <c r="I73" s="686">
        <f>I68+I70+I72</f>
        <v>7245.9612699999998</v>
      </c>
      <c r="J73" s="686">
        <f>J68+J70</f>
        <v>8871.0379350000003</v>
      </c>
      <c r="K73" s="686">
        <f t="shared" ref="K73:P73" si="131">K68+K70+K71</f>
        <v>5997.7300219999979</v>
      </c>
      <c r="L73" s="686">
        <f t="shared" si="131"/>
        <v>4592.4200009999986</v>
      </c>
      <c r="M73" s="686">
        <f t="shared" si="131"/>
        <v>1026.3300230000004</v>
      </c>
      <c r="N73" s="686">
        <f t="shared" si="131"/>
        <v>10837.628755999998</v>
      </c>
      <c r="O73" s="686">
        <f t="shared" si="131"/>
        <v>22041.609182</v>
      </c>
      <c r="P73" s="686">
        <f t="shared" si="131"/>
        <v>9104.2993800000004</v>
      </c>
      <c r="Q73" s="686">
        <f t="shared" ref="Q73:W73" si="132">Q68+Q70+Q71+Q72</f>
        <v>-2025.0442930000006</v>
      </c>
      <c r="R73" s="686">
        <f t="shared" si="132"/>
        <v>397.83452700000089</v>
      </c>
      <c r="S73" s="686">
        <f t="shared" si="132"/>
        <v>7504.023627999999</v>
      </c>
      <c r="T73" s="686">
        <f t="shared" si="132"/>
        <v>38133.202636000002</v>
      </c>
      <c r="U73" s="686">
        <f t="shared" si="132"/>
        <v>-8927.0156360000001</v>
      </c>
      <c r="V73" s="686">
        <f t="shared" si="132"/>
        <v>9429.3026830000017</v>
      </c>
      <c r="W73" s="686">
        <f t="shared" si="132"/>
        <v>5485.7366670000001</v>
      </c>
      <c r="X73" s="686">
        <f>X68+X70+X71</f>
        <v>14082.883742</v>
      </c>
      <c r="Y73" s="686">
        <f>Y68+Y70+Y71</f>
        <v>8290.4158490000009</v>
      </c>
      <c r="Z73" s="686">
        <f>Z68+Z70+Z71</f>
        <v>2154.9110080000005</v>
      </c>
      <c r="AA73" s="686">
        <f>AA68+AA70+AA71</f>
        <v>49926.817116800004</v>
      </c>
      <c r="AB73" s="686">
        <f t="shared" ref="AB73:AM73" si="133">AB68+AB70+AB71</f>
        <v>13032.454714</v>
      </c>
      <c r="AC73" s="686">
        <f t="shared" si="133"/>
        <v>16940.229005000001</v>
      </c>
      <c r="AD73" s="686">
        <f t="shared" si="133"/>
        <v>714.7106150000036</v>
      </c>
      <c r="AE73" s="686">
        <f t="shared" si="133"/>
        <v>26820.236446999999</v>
      </c>
      <c r="AF73" s="686">
        <f t="shared" si="133"/>
        <v>89844.753763000001</v>
      </c>
      <c r="AG73" s="2536">
        <f t="shared" si="133"/>
        <v>70100.584518999996</v>
      </c>
      <c r="AH73" s="686">
        <f t="shared" si="133"/>
        <v>37037.363642000018</v>
      </c>
      <c r="AI73" s="686">
        <f t="shared" si="133"/>
        <v>37307.991374000027</v>
      </c>
      <c r="AJ73" s="686">
        <f t="shared" si="133"/>
        <v>0</v>
      </c>
      <c r="AK73" s="686">
        <f t="shared" si="133"/>
        <v>0</v>
      </c>
      <c r="AL73" s="686">
        <f t="shared" si="133"/>
        <v>0</v>
      </c>
      <c r="AM73" s="686">
        <f t="shared" si="133"/>
        <v>0</v>
      </c>
      <c r="AN73" s="645"/>
      <c r="AO73" s="1675">
        <f>SUMIFS(C73:AA73,$C$1:$AA$1,'#经营概况'!$B$1,$C$2:$AA$2,'#经营概况'!$B$2)-SUMIFS(C73:AA73,$C$1:$AA$1,'#经营概况'!$B$1,$C$2:$AA$2,'#经营概况'!$B$2-1)</f>
        <v>0</v>
      </c>
    </row>
    <row r="74" spans="1:41" ht="17.100000000000001" customHeight="1">
      <c r="A74" s="646" t="s">
        <v>779</v>
      </c>
      <c r="B74" s="646"/>
      <c r="C74" s="687"/>
      <c r="D74" s="687"/>
      <c r="E74" s="687"/>
      <c r="F74" s="687"/>
      <c r="G74" s="687"/>
      <c r="H74" s="687"/>
      <c r="I74" s="687"/>
      <c r="J74" s="687"/>
      <c r="K74" s="687"/>
      <c r="L74" s="687"/>
      <c r="M74" s="687"/>
      <c r="N74" s="687"/>
      <c r="O74" s="687"/>
      <c r="P74" s="687"/>
      <c r="Q74" s="687">
        <f t="shared" ref="Q74:Z74" si="134">SUM(Q75:Q77)</f>
        <v>3019</v>
      </c>
      <c r="R74" s="687">
        <f t="shared" si="134"/>
        <v>0</v>
      </c>
      <c r="S74" s="687">
        <f t="shared" si="134"/>
        <v>0</v>
      </c>
      <c r="T74" s="687">
        <f t="shared" si="134"/>
        <v>0</v>
      </c>
      <c r="U74" s="687">
        <f t="shared" si="134"/>
        <v>6300</v>
      </c>
      <c r="V74" s="687">
        <f t="shared" si="134"/>
        <v>0</v>
      </c>
      <c r="W74" s="687">
        <f t="shared" si="134"/>
        <v>0</v>
      </c>
      <c r="X74" s="687">
        <f t="shared" si="134"/>
        <v>0</v>
      </c>
      <c r="Y74" s="687">
        <f t="shared" si="134"/>
        <v>0</v>
      </c>
      <c r="Z74" s="687">
        <f t="shared" si="134"/>
        <v>0</v>
      </c>
      <c r="AA74" s="687">
        <f>SUM(AA75:AA77)</f>
        <v>0</v>
      </c>
      <c r="AB74" s="687">
        <f t="shared" ref="AB74:AM74" si="135">SUM(AB75:AB77)</f>
        <v>0</v>
      </c>
      <c r="AC74" s="687">
        <f t="shared" si="135"/>
        <v>0</v>
      </c>
      <c r="AD74" s="687">
        <f t="shared" si="135"/>
        <v>0</v>
      </c>
      <c r="AE74" s="687">
        <f t="shared" si="135"/>
        <v>0</v>
      </c>
      <c r="AF74" s="687">
        <f t="shared" si="135"/>
        <v>0</v>
      </c>
      <c r="AG74" s="687">
        <f t="shared" si="135"/>
        <v>0</v>
      </c>
      <c r="AH74" s="687">
        <f t="shared" si="135"/>
        <v>0</v>
      </c>
      <c r="AI74" s="687">
        <f t="shared" si="135"/>
        <v>0</v>
      </c>
      <c r="AJ74" s="687">
        <f t="shared" si="135"/>
        <v>0</v>
      </c>
      <c r="AK74" s="687">
        <f t="shared" si="135"/>
        <v>0</v>
      </c>
      <c r="AL74" s="687">
        <f t="shared" si="135"/>
        <v>0</v>
      </c>
      <c r="AM74" s="687">
        <f t="shared" si="135"/>
        <v>0</v>
      </c>
      <c r="AN74" s="646"/>
      <c r="AO74" s="1675">
        <f>SUMIFS(C74:AA74,$C$1:$AA$1,'#经营概况'!$B$1,$C$2:$AA$2,'#经营概况'!$B$2)-SUMIFS(C74:AA74,$C$1:$AA$1,'#经营概况'!$B$1,$C$2:$AA$2,'#经营概况'!$B$2-1)</f>
        <v>0</v>
      </c>
    </row>
    <row r="75" spans="1:41" ht="17.100000000000001" customHeight="1">
      <c r="A75" s="647" t="s">
        <v>738</v>
      </c>
      <c r="B75" s="647"/>
      <c r="C75" s="688"/>
      <c r="D75" s="688"/>
      <c r="E75" s="688"/>
      <c r="F75" s="688"/>
      <c r="G75" s="688"/>
      <c r="H75" s="688"/>
      <c r="I75" s="688"/>
      <c r="J75" s="688"/>
      <c r="K75" s="688"/>
      <c r="L75" s="688"/>
      <c r="M75" s="688"/>
      <c r="N75" s="688"/>
      <c r="O75" s="688"/>
      <c r="P75" s="688"/>
      <c r="Q75" s="688"/>
      <c r="R75" s="688"/>
      <c r="S75" s="647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647"/>
      <c r="AL75" s="647"/>
      <c r="AM75" s="647"/>
      <c r="AN75" s="647"/>
      <c r="AO75" s="1675">
        <f>SUMIFS(C75:AA75,$C$1:$AA$1,'#经营概况'!$B$1,$C$2:$AA$2,'#经营概况'!$B$2)-SUMIFS(C75:AA75,$C$1:$AA$1,'#经营概况'!$B$1,$C$2:$AA$2,'#经营概况'!$B$2-1)</f>
        <v>0</v>
      </c>
    </row>
    <row r="76" spans="1:41" ht="17.100000000000001" customHeight="1">
      <c r="A76" s="647" t="s">
        <v>768</v>
      </c>
      <c r="B76" s="647"/>
      <c r="C76" s="688"/>
      <c r="D76" s="688"/>
      <c r="E76" s="688"/>
      <c r="F76" s="688"/>
      <c r="G76" s="688"/>
      <c r="H76" s="688"/>
      <c r="I76" s="688"/>
      <c r="J76" s="688"/>
      <c r="K76" s="688"/>
      <c r="L76" s="688"/>
      <c r="M76" s="688"/>
      <c r="N76" s="688"/>
      <c r="O76" s="688"/>
      <c r="P76" s="688"/>
      <c r="Q76" s="688"/>
      <c r="R76" s="688"/>
      <c r="S76" s="647"/>
      <c r="T76" s="647"/>
      <c r="U76" s="647"/>
      <c r="V76" s="647"/>
      <c r="W76" s="647"/>
      <c r="X76" s="647"/>
      <c r="Y76" s="647"/>
      <c r="Z76" s="647"/>
      <c r="AA76" s="647"/>
      <c r="AB76" s="647"/>
      <c r="AC76" s="647"/>
      <c r="AD76" s="647"/>
      <c r="AE76" s="647"/>
      <c r="AF76" s="647"/>
      <c r="AG76" s="647"/>
      <c r="AH76" s="647"/>
      <c r="AI76" s="647"/>
      <c r="AJ76" s="647"/>
      <c r="AK76" s="647"/>
      <c r="AL76" s="647"/>
      <c r="AM76" s="647"/>
      <c r="AN76" s="647"/>
      <c r="AO76" s="1675">
        <f>SUMIFS(C76:AA76,$C$1:$AA$1,'#经营概况'!$B$1,$C$2:$AA$2,'#经营概况'!$B$2)-SUMIFS(C76:AA76,$C$1:$AA$1,'#经营概况'!$B$1,$C$2:$AA$2,'#经营概况'!$B$2-1)</f>
        <v>0</v>
      </c>
    </row>
    <row r="77" spans="1:41" ht="17.100000000000001" customHeight="1">
      <c r="A77" s="647" t="s">
        <v>780</v>
      </c>
      <c r="B77" s="647"/>
      <c r="C77" s="688"/>
      <c r="D77" s="688"/>
      <c r="E77" s="688"/>
      <c r="F77" s="688"/>
      <c r="G77" s="688"/>
      <c r="H77" s="688"/>
      <c r="I77" s="688"/>
      <c r="J77" s="688"/>
      <c r="K77" s="688"/>
      <c r="L77" s="688"/>
      <c r="M77" s="688"/>
      <c r="N77" s="688"/>
      <c r="O77" s="688"/>
      <c r="P77" s="688"/>
      <c r="Q77" s="688">
        <v>3019</v>
      </c>
      <c r="R77" s="688"/>
      <c r="S77" s="647"/>
      <c r="T77" s="647"/>
      <c r="U77" s="647">
        <v>6300</v>
      </c>
      <c r="V77" s="647"/>
      <c r="W77" s="688">
        <v>0</v>
      </c>
      <c r="X77" s="647"/>
      <c r="Y77" s="647"/>
      <c r="Z77" s="647"/>
      <c r="AA77" s="647"/>
      <c r="AB77" s="647"/>
      <c r="AC77" s="647"/>
      <c r="AD77" s="647"/>
      <c r="AE77" s="647"/>
      <c r="AF77" s="647"/>
      <c r="AG77" s="647"/>
      <c r="AH77" s="647"/>
      <c r="AI77" s="647"/>
      <c r="AJ77" s="647"/>
      <c r="AK77" s="647"/>
      <c r="AL77" s="647"/>
      <c r="AM77" s="647"/>
      <c r="AN77" s="647"/>
      <c r="AO77" s="1675">
        <f>SUMIFS(C77:AA77,$C$1:$AA$1,'#经营概况'!$B$1,$C$2:$AA$2,'#经营概况'!$B$2)-SUMIFS(C77:AA77,$C$1:$AA$1,'#经营概况'!$B$1,$C$2:$AA$2,'#经营概况'!$B$2-1)</f>
        <v>0</v>
      </c>
    </row>
    <row r="78" spans="1:41" ht="17.100000000000001" customHeight="1">
      <c r="A78" s="647"/>
      <c r="B78" s="647"/>
      <c r="C78" s="688"/>
      <c r="D78" s="688"/>
      <c r="E78" s="688"/>
      <c r="F78" s="688"/>
      <c r="G78" s="688"/>
      <c r="H78" s="688"/>
      <c r="I78" s="688"/>
      <c r="J78" s="688"/>
      <c r="K78" s="688"/>
      <c r="L78" s="688"/>
      <c r="M78" s="688"/>
      <c r="N78" s="688"/>
      <c r="O78" s="688"/>
      <c r="P78" s="688"/>
      <c r="Q78" s="688"/>
      <c r="R78" s="688"/>
      <c r="S78" s="647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  <c r="AN78" s="647"/>
      <c r="AO78" s="1675">
        <f>SUMIFS(C78:AA78,$C$1:$AA$1,'#经营概况'!$B$1,$C$2:$AA$2,'#经营概况'!$B$2)-SUMIFS(C78:AA78,$C$1:$AA$1,'#经营概况'!$B$1,$C$2:$AA$2,'#经营概况'!$B$2-1)</f>
        <v>0</v>
      </c>
    </row>
    <row r="79" spans="1:41" ht="15" thickBot="1">
      <c r="A79" s="648"/>
      <c r="B79" s="648"/>
      <c r="C79" s="648"/>
      <c r="D79" s="689"/>
      <c r="E79" s="689"/>
      <c r="F79" s="689"/>
      <c r="G79" s="689"/>
      <c r="H79" s="689"/>
      <c r="I79" s="689"/>
      <c r="J79" s="689"/>
      <c r="K79" s="689"/>
      <c r="L79" s="689"/>
      <c r="M79" s="689"/>
      <c r="N79" s="689"/>
      <c r="O79" s="689"/>
      <c r="P79" s="648"/>
      <c r="Q79" s="648"/>
      <c r="R79" s="648"/>
      <c r="S79" s="648"/>
      <c r="T79" s="648"/>
      <c r="U79" s="648"/>
      <c r="V79" s="648"/>
      <c r="W79" s="648"/>
      <c r="X79" s="648"/>
      <c r="Y79" s="648"/>
      <c r="Z79" s="648"/>
      <c r="AA79" s="689">
        <f>118187-AA73</f>
        <v>68260.182883200003</v>
      </c>
      <c r="AB79" s="648"/>
      <c r="AC79" s="648"/>
      <c r="AD79" s="648"/>
      <c r="AE79" s="648"/>
      <c r="AF79" s="648"/>
      <c r="AG79" s="648"/>
      <c r="AH79" s="648"/>
      <c r="AI79" s="648"/>
      <c r="AJ79" s="648"/>
      <c r="AK79" s="648"/>
      <c r="AL79" s="648"/>
      <c r="AM79" s="648"/>
      <c r="AN79" s="648"/>
      <c r="AO79" s="1675">
        <f>SUMIFS(C79:AA79,$C$1:$AA$1,'#经营概况'!$B$1,$C$2:$AA$2,'#经营概况'!$B$2)-SUMIFS(C79:AA79,$C$1:$AA$1,'#经营概况'!$B$1,$C$2:$AA$2,'#经营概况'!$B$2-1)</f>
        <v>0</v>
      </c>
    </row>
    <row r="80" spans="1:41" ht="15" thickTop="1">
      <c r="A80" s="649" t="s">
        <v>781</v>
      </c>
      <c r="B80" s="649"/>
      <c r="C80" s="649"/>
      <c r="D80" s="690"/>
      <c r="E80" s="649"/>
      <c r="F80" s="649"/>
      <c r="G80" s="690"/>
      <c r="H80" s="690"/>
      <c r="I80" s="690"/>
      <c r="J80" s="690"/>
      <c r="K80" s="690"/>
      <c r="L80" s="690"/>
      <c r="M80" s="690"/>
      <c r="N80" s="690"/>
      <c r="O80" s="690"/>
      <c r="P80" s="649"/>
      <c r="Q80" s="649"/>
      <c r="R80" s="649"/>
      <c r="S80" s="649"/>
      <c r="T80" s="649"/>
      <c r="U80" s="649"/>
      <c r="V80" s="649"/>
      <c r="W80" s="649"/>
      <c r="X80" s="649"/>
      <c r="Y80" s="649"/>
      <c r="Z80" s="649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1675">
        <f>SUMIFS(C80:AA80,$C$1:$AA$1,'#经营概况'!$B$1,$C$2:$AA$2,'#经营概况'!$B$2)-SUMIFS(C80:AA80,$C$1:$AA$1,'#经营概况'!$B$1,$C$2:$AA$2,'#经营概况'!$B$2-1)</f>
        <v>0</v>
      </c>
    </row>
    <row r="81" spans="1:44">
      <c r="A81" s="656" t="s">
        <v>731</v>
      </c>
      <c r="B81" s="691">
        <v>-154880653.31</v>
      </c>
      <c r="C81" s="691">
        <v>-42569837.619999997</v>
      </c>
      <c r="D81" s="675">
        <v>14888270.58</v>
      </c>
      <c r="E81" s="675">
        <v>34443659.289999999</v>
      </c>
      <c r="F81" s="675">
        <v>22694720.190000001</v>
      </c>
      <c r="G81" s="641">
        <v>36567630.659999996</v>
      </c>
      <c r="H81" s="675">
        <v>46250583.030000001</v>
      </c>
      <c r="I81" s="675">
        <v>36375044.350000001</v>
      </c>
      <c r="J81" s="675">
        <v>35020171.109999999</v>
      </c>
      <c r="K81" s="675">
        <v>60938618.079999998</v>
      </c>
      <c r="L81" s="675">
        <v>20890562.52</v>
      </c>
      <c r="M81" s="675">
        <v>38650336.390000001</v>
      </c>
      <c r="N81" s="675">
        <f>24654499.17-19610000</f>
        <v>5044499.1700000018</v>
      </c>
      <c r="O81" s="675">
        <f>-53726824.14+53190000+90000000+76450000</f>
        <v>165913175.86000001</v>
      </c>
      <c r="P81" s="675">
        <v>35675491.060000002</v>
      </c>
      <c r="Q81" s="675">
        <v>28544169.960000001</v>
      </c>
      <c r="R81" s="675">
        <v>25308086.379999999</v>
      </c>
      <c r="S81" s="675">
        <v>13218114.59</v>
      </c>
      <c r="T81" s="675">
        <v>12432506.58</v>
      </c>
      <c r="U81" s="641">
        <f>-37313442.92</f>
        <v>-37313442.920000002</v>
      </c>
      <c r="V81" s="641">
        <v>-21659753.640000001</v>
      </c>
      <c r="W81" s="641">
        <v>-14845940.689999999</v>
      </c>
      <c r="X81" s="641">
        <v>18559484.059999999</v>
      </c>
      <c r="Y81" s="1666">
        <v>39733295.549999997</v>
      </c>
      <c r="Z81" s="641">
        <v>-38820128.93</v>
      </c>
      <c r="AA81" s="641">
        <v>-369087168.27999997</v>
      </c>
      <c r="AB81" s="641">
        <v>61667200.5</v>
      </c>
      <c r="AC81" s="2111">
        <v>62305830.990000002</v>
      </c>
      <c r="AD81" s="2111">
        <v>343207576.98000002</v>
      </c>
      <c r="AE81" s="641">
        <v>225215996.44</v>
      </c>
      <c r="AF81" s="641">
        <v>273648740.50999999</v>
      </c>
      <c r="AG81" s="641">
        <v>307493858.63</v>
      </c>
      <c r="AH81" s="641">
        <v>316339473.52999997</v>
      </c>
      <c r="AI81" s="641">
        <v>262368987.05000001</v>
      </c>
      <c r="AJ81" s="641"/>
      <c r="AK81" s="641"/>
      <c r="AL81" s="641"/>
      <c r="AM81" s="641"/>
      <c r="AN81" s="641"/>
      <c r="AO81" s="1675">
        <f>SUMIFS(C81:AA81,$C$1:$AA$1,'#经营概况'!$B$1,$C$2:$AA$2,'#经营概况'!$B$2)-SUMIFS(C81:AA81,$C$1:$AA$1,'#经营概况'!$B$1,$C$2:$AA$2,'#经营概况'!$B$2-1)</f>
        <v>0</v>
      </c>
    </row>
    <row r="82" spans="1:44">
      <c r="A82" s="656" t="s">
        <v>732</v>
      </c>
      <c r="B82" s="691">
        <v>1444419.27</v>
      </c>
      <c r="C82" s="691">
        <v>-1365333.8</v>
      </c>
      <c r="D82" s="675">
        <v>707650.56000000006</v>
      </c>
      <c r="E82" s="675">
        <v>344710.85</v>
      </c>
      <c r="F82" s="675">
        <v>-81194.919999999896</v>
      </c>
      <c r="G82" s="641">
        <v>-49716.819999999898</v>
      </c>
      <c r="H82" s="675">
        <v>601323.84</v>
      </c>
      <c r="I82" s="675">
        <v>115179.78</v>
      </c>
      <c r="J82" s="675">
        <v>-469784.97</v>
      </c>
      <c r="K82" s="675">
        <v>-479137.55</v>
      </c>
      <c r="L82" s="675">
        <v>72412.86</v>
      </c>
      <c r="M82" s="675">
        <v>-645349.22</v>
      </c>
      <c r="N82" s="675">
        <v>-928808.68</v>
      </c>
      <c r="O82" s="675">
        <v>202918.77</v>
      </c>
      <c r="P82" s="675">
        <v>-120425.36</v>
      </c>
      <c r="Q82" s="675">
        <v>-288996.2</v>
      </c>
      <c r="R82" s="675">
        <v>94652.83</v>
      </c>
      <c r="S82" s="675">
        <v>305391.08</v>
      </c>
      <c r="T82" s="675">
        <v>7532.96</v>
      </c>
      <c r="U82" s="641">
        <v>449888.65</v>
      </c>
      <c r="V82" s="641">
        <v>30296.43</v>
      </c>
      <c r="W82" s="641">
        <v>77849.45</v>
      </c>
      <c r="X82" s="641">
        <v>-395236.95</v>
      </c>
      <c r="Y82" s="641">
        <v>543261.06000000006</v>
      </c>
      <c r="Z82" s="641">
        <v>-31430.57</v>
      </c>
      <c r="AA82" s="641">
        <v>-1192956.3999999999</v>
      </c>
      <c r="AB82" s="641">
        <v>394960.52</v>
      </c>
      <c r="AC82" s="641">
        <v>-218424.47</v>
      </c>
      <c r="AD82" s="641">
        <v>-251337.2</v>
      </c>
      <c r="AE82" s="641">
        <v>-13185.75</v>
      </c>
      <c r="AF82" s="641">
        <v>-120543.42</v>
      </c>
      <c r="AG82" s="641">
        <v>19239.13</v>
      </c>
      <c r="AH82" s="641">
        <v>-232740.50999999989</v>
      </c>
      <c r="AI82" s="641">
        <v>48204.900000000227</v>
      </c>
      <c r="AJ82" s="641"/>
      <c r="AK82" s="641"/>
      <c r="AL82" s="641"/>
      <c r="AM82" s="641"/>
      <c r="AN82" s="641"/>
      <c r="AO82" s="1675">
        <f>SUMIFS(C82:AA82,$C$1:$AA$1,'#经营概况'!$B$1,$C$2:$AA$2,'#经营概况'!$B$2)-SUMIFS(C82:AA82,$C$1:$AA$1,'#经营概况'!$B$1,$C$2:$AA$2,'#经营概况'!$B$2-1)</f>
        <v>0</v>
      </c>
    </row>
    <row r="83" spans="1:44">
      <c r="A83" s="656" t="s">
        <v>733</v>
      </c>
      <c r="B83" s="691">
        <v>696048.98</v>
      </c>
      <c r="C83" s="691">
        <v>180831.64</v>
      </c>
      <c r="D83" s="675">
        <v>44875.74</v>
      </c>
      <c r="E83" s="675">
        <v>48963.62</v>
      </c>
      <c r="F83" s="675">
        <v>43627.26</v>
      </c>
      <c r="G83" s="641">
        <v>64060.01</v>
      </c>
      <c r="H83" s="675">
        <v>66920.62</v>
      </c>
      <c r="I83" s="675">
        <v>70266.880000000005</v>
      </c>
      <c r="J83" s="675">
        <v>78368.100000000006</v>
      </c>
      <c r="K83" s="675">
        <v>62273.46</v>
      </c>
      <c r="L83" s="675">
        <v>59510.999999999898</v>
      </c>
      <c r="M83" s="675">
        <v>72597.3100000001</v>
      </c>
      <c r="N83" s="675">
        <v>70379.03</v>
      </c>
      <c r="O83" s="675">
        <v>70393.299999999901</v>
      </c>
      <c r="P83" s="675">
        <v>72202.62</v>
      </c>
      <c r="Q83" s="675">
        <v>77087.710000000006</v>
      </c>
      <c r="R83" s="675">
        <v>86404.53</v>
      </c>
      <c r="S83" s="675">
        <v>-92486.81</v>
      </c>
      <c r="T83" s="675">
        <v>-111111.96</v>
      </c>
      <c r="U83" s="641">
        <v>-98396.44</v>
      </c>
      <c r="V83" s="641">
        <v>77445.27</v>
      </c>
      <c r="W83" s="641">
        <v>73903.600000000006</v>
      </c>
      <c r="X83" s="641">
        <v>93802.05</v>
      </c>
      <c r="Y83" s="641">
        <v>72241.91</v>
      </c>
      <c r="Z83" s="641">
        <v>76263.48</v>
      </c>
      <c r="AA83" s="641">
        <v>65458.05</v>
      </c>
      <c r="AB83" s="641">
        <v>73823.199999999997</v>
      </c>
      <c r="AC83" s="641">
        <v>73981.25</v>
      </c>
      <c r="AD83" s="641">
        <v>75286.13</v>
      </c>
      <c r="AE83" s="641">
        <v>45832.86</v>
      </c>
      <c r="AF83" s="641">
        <v>88301.37</v>
      </c>
      <c r="AG83" s="641">
        <v>88254.57</v>
      </c>
      <c r="AH83" s="641">
        <v>88818.23</v>
      </c>
      <c r="AI83" s="641">
        <v>62655.369999999995</v>
      </c>
      <c r="AJ83" s="641"/>
      <c r="AK83" s="641"/>
      <c r="AL83" s="641"/>
      <c r="AM83" s="641"/>
      <c r="AN83" s="641"/>
      <c r="AO83" s="1675">
        <f>SUMIFS(C83:AA83,$C$1:$AA$1,'#经营概况'!$B$1,$C$2:$AA$2,'#经营概况'!$B$2)-SUMIFS(C83:AA83,$C$1:$AA$1,'#经营概况'!$B$1,$C$2:$AA$2,'#经营概况'!$B$2-1)</f>
        <v>0</v>
      </c>
    </row>
    <row r="84" spans="1:44">
      <c r="A84" s="692" t="s">
        <v>734</v>
      </c>
      <c r="B84" s="693">
        <v>252.23</v>
      </c>
      <c r="C84" s="693">
        <v>89.75</v>
      </c>
      <c r="D84" s="694">
        <v>0</v>
      </c>
      <c r="E84" s="694">
        <v>0</v>
      </c>
      <c r="F84" s="694">
        <v>87.79</v>
      </c>
      <c r="G84" s="650">
        <v>-1380</v>
      </c>
      <c r="H84" s="694">
        <v>0</v>
      </c>
      <c r="I84" s="694">
        <v>-9.1099999999999</v>
      </c>
      <c r="J84" s="694">
        <v>0</v>
      </c>
      <c r="K84" s="694">
        <v>0</v>
      </c>
      <c r="L84" s="694">
        <v>190.72</v>
      </c>
      <c r="M84" s="694">
        <v>-331849.03999999998</v>
      </c>
      <c r="N84" s="694">
        <v>14.859999999986</v>
      </c>
      <c r="O84" s="694">
        <v>0</v>
      </c>
      <c r="P84" s="694">
        <v>0</v>
      </c>
      <c r="Q84" s="694">
        <v>0</v>
      </c>
      <c r="R84" s="694">
        <v>0</v>
      </c>
      <c r="S84" s="694">
        <v>0</v>
      </c>
      <c r="T84" s="694">
        <v>0</v>
      </c>
      <c r="U84" s="650">
        <v>0</v>
      </c>
      <c r="V84" s="650">
        <v>0</v>
      </c>
      <c r="W84" s="650">
        <v>0</v>
      </c>
      <c r="X84" s="650">
        <v>0</v>
      </c>
      <c r="Y84" s="650">
        <v>0</v>
      </c>
      <c r="Z84" s="650">
        <v>0</v>
      </c>
      <c r="AA84" s="650">
        <v>0</v>
      </c>
      <c r="AB84" s="650">
        <v>0</v>
      </c>
      <c r="AC84" s="650">
        <v>0</v>
      </c>
      <c r="AD84" s="650">
        <v>0</v>
      </c>
      <c r="AE84" s="650">
        <v>0</v>
      </c>
      <c r="AF84" s="650">
        <v>0</v>
      </c>
      <c r="AG84" s="650">
        <v>0</v>
      </c>
      <c r="AH84" s="650">
        <v>0</v>
      </c>
      <c r="AI84" s="650">
        <v>0</v>
      </c>
      <c r="AJ84" s="650"/>
      <c r="AK84" s="650"/>
      <c r="AL84" s="650"/>
      <c r="AM84" s="650"/>
      <c r="AN84" s="650"/>
      <c r="AO84" s="1675">
        <f>SUMIFS(C84:AA84,$C$1:$AA$1,'#经营概况'!$B$1,$C$2:$AA$2,'#经营概况'!$B$2)-SUMIFS(C84:AA84,$C$1:$AA$1,'#经营概况'!$B$1,$C$2:$AA$2,'#经营概况'!$B$2-1)</f>
        <v>0</v>
      </c>
    </row>
    <row r="85" spans="1:44">
      <c r="A85" s="656" t="s">
        <v>735</v>
      </c>
      <c r="B85" s="691">
        <v>-32556471.420000002</v>
      </c>
      <c r="C85" s="691">
        <v>-15872355.880000001</v>
      </c>
      <c r="D85" s="675">
        <v>-4367045.6399999997</v>
      </c>
      <c r="E85" s="675">
        <v>-2471855.5</v>
      </c>
      <c r="F85" s="675">
        <v>-2875318.93</v>
      </c>
      <c r="G85" s="641">
        <v>-3420749.27</v>
      </c>
      <c r="H85" s="675">
        <v>-4692269.67</v>
      </c>
      <c r="I85" s="675">
        <v>-42325.739999998397</v>
      </c>
      <c r="J85" s="675">
        <v>-4079103.12</v>
      </c>
      <c r="K85" s="675">
        <v>5805686.7800000003</v>
      </c>
      <c r="L85" s="675">
        <v>-3249052.15</v>
      </c>
      <c r="M85" s="675">
        <v>-5438750.9800000004</v>
      </c>
      <c r="N85" s="675">
        <v>-1286743.6399999999</v>
      </c>
      <c r="O85" s="675">
        <f>-13040372.5+2330000</f>
        <v>-10710372.5</v>
      </c>
      <c r="P85" s="675">
        <v>-1340760.3999999999</v>
      </c>
      <c r="Q85" s="675">
        <v>-2079452.52</v>
      </c>
      <c r="R85" s="675">
        <v>-6937215.4100000001</v>
      </c>
      <c r="S85" s="675">
        <v>-1833953.67</v>
      </c>
      <c r="T85" s="675">
        <v>3668882.06</v>
      </c>
      <c r="U85" s="641">
        <v>585871.67000000004</v>
      </c>
      <c r="V85" s="641">
        <v>107471417.27</v>
      </c>
      <c r="W85" s="641">
        <v>-3487269.17</v>
      </c>
      <c r="X85" s="641">
        <v>-3040501.49</v>
      </c>
      <c r="Y85" s="641">
        <v>-3214969.55</v>
      </c>
      <c r="Z85" s="641">
        <v>-4086238.85</v>
      </c>
      <c r="AA85" s="641">
        <v>-28882894.68</v>
      </c>
      <c r="AB85" s="641">
        <v>-4448077.59</v>
      </c>
      <c r="AC85" s="641">
        <v>-4153234.2</v>
      </c>
      <c r="AD85" s="641">
        <v>-5193632.88</v>
      </c>
      <c r="AE85" s="641">
        <v>-4340961.0999999996</v>
      </c>
      <c r="AF85" s="641">
        <v>-4347663.83</v>
      </c>
      <c r="AG85" s="641">
        <v>2078342.05</v>
      </c>
      <c r="AH85" s="641">
        <v>-9368381.9299999997</v>
      </c>
      <c r="AI85" s="641">
        <v>-1086310.6500000004</v>
      </c>
      <c r="AJ85" s="641"/>
      <c r="AK85" s="641"/>
      <c r="AL85" s="641"/>
      <c r="AM85" s="641"/>
      <c r="AN85" s="641"/>
      <c r="AO85" s="1675">
        <f>SUMIFS(C85:AA85,$C$1:$AA$1,'#经营概况'!$B$1,$C$2:$AA$2,'#经营概况'!$B$2)-SUMIFS(C85:AA85,$C$1:$AA$1,'#经营概况'!$B$1,$C$2:$AA$2,'#经营概况'!$B$2-1)</f>
        <v>0</v>
      </c>
    </row>
    <row r="86" spans="1:44">
      <c r="A86" s="662" t="s">
        <v>39</v>
      </c>
      <c r="B86" s="695">
        <v>15104309.1</v>
      </c>
      <c r="C86" s="695">
        <v>1684902.53</v>
      </c>
      <c r="D86" s="238">
        <v>338744.25</v>
      </c>
      <c r="E86" s="238">
        <v>259889.48</v>
      </c>
      <c r="F86" s="238">
        <v>437948.85</v>
      </c>
      <c r="G86" s="206">
        <v>412260.35</v>
      </c>
      <c r="H86" s="238">
        <v>402910.99</v>
      </c>
      <c r="I86" s="238">
        <v>1624317.46</v>
      </c>
      <c r="J86" s="238">
        <v>348087.16</v>
      </c>
      <c r="K86" s="238">
        <v>720276.73</v>
      </c>
      <c r="L86" s="238">
        <v>814619.03</v>
      </c>
      <c r="M86" s="238">
        <v>347581.31000000099</v>
      </c>
      <c r="N86" s="238">
        <v>699536.51</v>
      </c>
      <c r="O86" s="238">
        <v>197043558.31999999</v>
      </c>
      <c r="P86" s="238">
        <v>525662.36</v>
      </c>
      <c r="Q86" s="238">
        <v>616907.68999999994</v>
      </c>
      <c r="R86" s="238">
        <v>507839.68</v>
      </c>
      <c r="S86" s="238">
        <v>571877.92000000004</v>
      </c>
      <c r="T86" s="238">
        <v>1420870.61</v>
      </c>
      <c r="U86" s="206">
        <v>878068.04</v>
      </c>
      <c r="V86" s="206">
        <v>110251507.03</v>
      </c>
      <c r="W86" s="206">
        <v>907300.11</v>
      </c>
      <c r="X86" s="206">
        <v>687531.04</v>
      </c>
      <c r="Y86" s="206">
        <v>647412.67000000004</v>
      </c>
      <c r="Z86" s="206">
        <v>623097.38</v>
      </c>
      <c r="AA86" s="206">
        <v>73464.710000000006</v>
      </c>
      <c r="AB86" s="206">
        <v>744466.83</v>
      </c>
      <c r="AC86" s="206">
        <v>647029.55000000005</v>
      </c>
      <c r="AD86" s="206">
        <v>735198.13</v>
      </c>
      <c r="AE86" s="206">
        <v>1022877.96</v>
      </c>
      <c r="AF86" s="206">
        <v>778696.66</v>
      </c>
      <c r="AG86" s="206">
        <v>1096192.6200000001</v>
      </c>
      <c r="AH86" s="206">
        <v>1080979.6299999999</v>
      </c>
      <c r="AI86" s="206">
        <v>6851083.5499999998</v>
      </c>
      <c r="AN86" s="238"/>
      <c r="AO86" s="1675">
        <f>SUMIFS(C86:AA86,$C$1:$AA$1,'#经营概况'!$B$1,$C$2:$AA$2,'#经营概况'!$B$2)-SUMIFS(C86:AA86,$C$1:$AA$1,'#经营概况'!$B$1,$C$2:$AA$2,'#经营概况'!$B$2-1)</f>
        <v>0</v>
      </c>
    </row>
    <row r="87" spans="1:44">
      <c r="A87" s="662" t="s">
        <v>736</v>
      </c>
      <c r="B87" s="695">
        <v>594959.88</v>
      </c>
      <c r="C87" s="695">
        <v>128535.63</v>
      </c>
      <c r="D87" s="238">
        <v>15281.53</v>
      </c>
      <c r="E87" s="238">
        <v>15281.53</v>
      </c>
      <c r="F87" s="238">
        <v>15281.53</v>
      </c>
      <c r="G87" s="206">
        <v>15281.53</v>
      </c>
      <c r="H87" s="238">
        <v>15281.53</v>
      </c>
      <c r="I87" s="238">
        <v>116726.15</v>
      </c>
      <c r="J87" s="238">
        <v>15281.53</v>
      </c>
      <c r="K87" s="238">
        <v>148818.25</v>
      </c>
      <c r="L87" s="238">
        <v>19204.5</v>
      </c>
      <c r="M87" s="238">
        <v>15281.53</v>
      </c>
      <c r="N87" s="238">
        <v>68846.95</v>
      </c>
      <c r="O87" s="238">
        <v>273356.23</v>
      </c>
      <c r="P87" s="238">
        <v>15535.64</v>
      </c>
      <c r="Q87" s="238">
        <v>15535.64</v>
      </c>
      <c r="R87" s="238">
        <v>15535.64</v>
      </c>
      <c r="S87" s="238">
        <v>15535.64</v>
      </c>
      <c r="T87" s="238">
        <v>15535.64</v>
      </c>
      <c r="U87" s="206">
        <v>15535.64</v>
      </c>
      <c r="V87" s="206">
        <v>15535.64</v>
      </c>
      <c r="W87" s="206">
        <v>15535.64</v>
      </c>
      <c r="X87" s="206">
        <v>60726.43</v>
      </c>
      <c r="Y87" s="206">
        <v>15535.64</v>
      </c>
      <c r="Z87" s="206">
        <v>15535.64</v>
      </c>
      <c r="AA87" s="206">
        <v>418573.84</v>
      </c>
      <c r="AB87" s="206">
        <v>15535.64</v>
      </c>
      <c r="AC87" s="206">
        <v>15535.64</v>
      </c>
      <c r="AD87" s="206">
        <v>15535.64</v>
      </c>
      <c r="AE87" s="206">
        <v>153806.42000000001</v>
      </c>
      <c r="AF87" s="206">
        <v>101770.99</v>
      </c>
      <c r="AG87" s="206">
        <v>54401.02</v>
      </c>
      <c r="AH87" s="206">
        <v>68821.289999999994</v>
      </c>
      <c r="AI87" s="206">
        <v>122749.8</v>
      </c>
      <c r="AO87" s="1675">
        <f>SUMIFS(C87:AA87,$C$1:$AA$1,'#经营概况'!$B$1,$C$2:$AA$2,'#经营概况'!$B$2)-SUMIFS(C87:AA87,$C$1:$AA$1,'#经营概况'!$B$1,$C$2:$AA$2,'#经营概况'!$B$2-1)</f>
        <v>0</v>
      </c>
    </row>
    <row r="88" spans="1:44">
      <c r="A88" s="662" t="s">
        <v>737</v>
      </c>
      <c r="B88" s="695">
        <v>47900168.170000002</v>
      </c>
      <c r="C88" s="695">
        <v>17253869.129999999</v>
      </c>
      <c r="D88" s="238">
        <v>4650691.2</v>
      </c>
      <c r="E88" s="238">
        <v>2676646.31</v>
      </c>
      <c r="F88" s="238">
        <v>3266127.1</v>
      </c>
      <c r="G88" s="206">
        <v>3777910.95</v>
      </c>
      <c r="H88" s="238">
        <v>5040081.97</v>
      </c>
      <c r="I88" s="238">
        <v>1517046.4</v>
      </c>
      <c r="J88" s="238">
        <v>4372091.59</v>
      </c>
      <c r="K88" s="238">
        <v>-5274045.45</v>
      </c>
      <c r="L88" s="238">
        <v>4011024.15</v>
      </c>
      <c r="M88" s="238">
        <v>5731233.6100000003</v>
      </c>
      <c r="N88" s="238">
        <v>1877616.04</v>
      </c>
      <c r="O88" s="238">
        <v>209598994.58000001</v>
      </c>
      <c r="P88" s="238">
        <v>1343870.18</v>
      </c>
      <c r="Q88" s="238">
        <v>2641007.4300000002</v>
      </c>
      <c r="R88" s="238">
        <v>7402668.4900000002</v>
      </c>
      <c r="S88" s="238">
        <v>2350478.81</v>
      </c>
      <c r="T88" s="238">
        <v>-2703075.94</v>
      </c>
      <c r="U88" s="206">
        <v>51608.54</v>
      </c>
      <c r="V88" s="206">
        <v>2618437.9</v>
      </c>
      <c r="W88" s="206">
        <v>4266534.3499999996</v>
      </c>
      <c r="X88" s="206">
        <v>3545798.59</v>
      </c>
      <c r="Y88" s="206">
        <v>3701725.66</v>
      </c>
      <c r="Z88" s="206">
        <v>4551987.21</v>
      </c>
      <c r="AA88" s="206">
        <v>27912502.800000001</v>
      </c>
      <c r="AB88" s="206">
        <v>5107055.3</v>
      </c>
      <c r="AC88" s="206">
        <v>4714774.67</v>
      </c>
      <c r="AD88" s="206">
        <v>5848909.7300000004</v>
      </c>
      <c r="AE88" s="206">
        <v>5140079.18</v>
      </c>
      <c r="AF88" s="206">
        <v>4954636.04</v>
      </c>
      <c r="AG88" s="206">
        <v>-1093341.71</v>
      </c>
      <c r="AH88" s="206">
        <v>10310586.789999999</v>
      </c>
      <c r="AI88" s="206">
        <v>7744690.9199999999</v>
      </c>
      <c r="AO88" s="1675">
        <f>SUMIFS(C88:AA88,$C$1:$AA$1,'#经营概况'!$B$1,$C$2:$AA$2,'#经营概况'!$B$2)-SUMIFS(C88:AA88,$C$1:$AA$1,'#经营概况'!$B$1,$C$2:$AA$2,'#经营概况'!$B$2-1)</f>
        <v>0</v>
      </c>
      <c r="AR88">
        <f>-68422833.99-100000000+27890000</f>
        <v>-140532833.99000001</v>
      </c>
    </row>
    <row r="89" spans="1:44">
      <c r="A89" s="696" t="s">
        <v>738</v>
      </c>
      <c r="B89" s="697">
        <v>-10654.85</v>
      </c>
      <c r="C89" s="697">
        <v>-6631.68</v>
      </c>
      <c r="D89" s="241">
        <v>0</v>
      </c>
      <c r="E89" s="241">
        <v>0</v>
      </c>
      <c r="F89" s="241">
        <v>-7958.01</v>
      </c>
      <c r="G89" s="192">
        <v>0</v>
      </c>
      <c r="H89" s="241">
        <v>0</v>
      </c>
      <c r="I89" s="241">
        <v>-6946.49</v>
      </c>
      <c r="J89" s="241">
        <v>0</v>
      </c>
      <c r="K89" s="241">
        <v>0</v>
      </c>
      <c r="L89" s="241">
        <v>-6374.62</v>
      </c>
      <c r="M89" s="241">
        <v>0</v>
      </c>
      <c r="N89" s="241">
        <v>0</v>
      </c>
      <c r="O89" s="241">
        <v>-29844.16</v>
      </c>
      <c r="P89" s="241">
        <v>0</v>
      </c>
      <c r="Q89" s="241">
        <v>0</v>
      </c>
      <c r="R89" s="241">
        <v>-12966.2</v>
      </c>
      <c r="S89" s="241">
        <v>0</v>
      </c>
      <c r="T89" s="241">
        <v>0</v>
      </c>
      <c r="U89" s="192">
        <v>-8274.3799999999992</v>
      </c>
      <c r="V89" s="192">
        <v>0</v>
      </c>
      <c r="W89" s="192">
        <v>0</v>
      </c>
      <c r="X89" s="192">
        <v>-13099.26</v>
      </c>
      <c r="Y89" s="192">
        <v>100</v>
      </c>
      <c r="Z89" s="192">
        <v>0</v>
      </c>
      <c r="AA89" s="192">
        <v>-53356.62</v>
      </c>
      <c r="AB89" s="192">
        <v>0</v>
      </c>
      <c r="AC89" s="192">
        <v>0</v>
      </c>
      <c r="AD89" s="192">
        <v>-5567.84</v>
      </c>
      <c r="AE89" s="192">
        <v>0</v>
      </c>
      <c r="AF89" s="192">
        <v>0</v>
      </c>
      <c r="AG89" s="192">
        <v>-6261.5</v>
      </c>
      <c r="AH89" s="192">
        <v>0</v>
      </c>
      <c r="AI89" s="192">
        <v>0</v>
      </c>
      <c r="AJ89" s="192"/>
      <c r="AK89" s="192"/>
      <c r="AL89" s="192"/>
      <c r="AM89" s="192"/>
      <c r="AN89" s="192"/>
      <c r="AO89" s="1675">
        <f>SUMIFS(C89:AA89,$C$1:$AA$1,'#经营概况'!$B$1,$C$2:$AA$2,'#经营概况'!$B$2)-SUMIFS(C89:AA89,$C$1:$AA$1,'#经营概况'!$B$1,$C$2:$AA$2,'#经营概况'!$B$2-1)</f>
        <v>0</v>
      </c>
    </row>
    <row r="90" spans="1:44">
      <c r="A90" s="656" t="s">
        <v>739</v>
      </c>
      <c r="B90" s="691">
        <v>235211706.65000001</v>
      </c>
      <c r="C90" s="691">
        <v>-125126797.37</v>
      </c>
      <c r="D90" s="675">
        <v>-10374146.43</v>
      </c>
      <c r="E90" s="675">
        <v>-32002420.530000001</v>
      </c>
      <c r="F90" s="675">
        <v>-17531911.129999999</v>
      </c>
      <c r="G90" s="641">
        <v>-32346107.550000001</v>
      </c>
      <c r="H90" s="675">
        <v>335223788.63999999</v>
      </c>
      <c r="I90" s="675">
        <f>35941456.54+50000000</f>
        <v>85941456.539999992</v>
      </c>
      <c r="J90" s="675">
        <v>-15189271.77</v>
      </c>
      <c r="K90" s="675">
        <v>-6350140.5500000101</v>
      </c>
      <c r="L90" s="675">
        <v>28150575.059999999</v>
      </c>
      <c r="M90" s="675">
        <v>-22043684.23</v>
      </c>
      <c r="N90" s="675">
        <v>105476946.81999999</v>
      </c>
      <c r="O90" s="675">
        <f>398013876.39+(-33915-3951-2530-381+2704)*10000</f>
        <v>17283876.389999986</v>
      </c>
      <c r="P90" s="675">
        <v>56756485.880000003</v>
      </c>
      <c r="Q90" s="675">
        <v>-46503251.880000003</v>
      </c>
      <c r="R90" s="675">
        <v>-14573583.060000001</v>
      </c>
      <c r="S90" s="675">
        <v>63443171.090000004</v>
      </c>
      <c r="T90" s="675">
        <v>365334216.72000003</v>
      </c>
      <c r="U90" s="641">
        <v>-52894077.32</v>
      </c>
      <c r="V90" s="641">
        <v>8373621.5</v>
      </c>
      <c r="W90" s="641">
        <v>73038823.480000004</v>
      </c>
      <c r="X90" s="641">
        <v>125611289.75</v>
      </c>
      <c r="Y90" s="641">
        <v>45770329.520000003</v>
      </c>
      <c r="Z90" s="641">
        <v>64410644.950000003</v>
      </c>
      <c r="AA90" s="641">
        <v>857165732.47799993</v>
      </c>
      <c r="AB90" s="2111">
        <f>72636640.51</f>
        <v>72636640.510000005</v>
      </c>
      <c r="AC90" s="2116">
        <v>111394136.48</v>
      </c>
      <c r="AD90" s="2111">
        <v>-352180786.88</v>
      </c>
      <c r="AE90" s="641">
        <v>47294682.020000003</v>
      </c>
      <c r="AF90" s="641">
        <v>629178703</v>
      </c>
      <c r="AG90" s="641">
        <v>391326150.81</v>
      </c>
      <c r="AH90" s="641">
        <v>63546467.100000218</v>
      </c>
      <c r="AI90" s="641">
        <v>109776377.07000029</v>
      </c>
      <c r="AJ90" s="641"/>
      <c r="AK90" s="641"/>
      <c r="AL90" s="641"/>
      <c r="AM90" s="641"/>
      <c r="AN90" s="641"/>
      <c r="AO90" s="1675">
        <f>SUMIFS(C90:AA90,$C$1:$AA$1,'#经营概况'!$B$1,$C$2:$AA$2,'#经营概况'!$B$2)-SUMIFS(C90:AA90,$C$1:$AA$1,'#经营概况'!$B$1,$C$2:$AA$2,'#经营概况'!$B$2-1)</f>
        <v>0</v>
      </c>
      <c r="AP90">
        <f>-68422833.99-100000000+27890000</f>
        <v>-140532833.99000001</v>
      </c>
    </row>
    <row r="91" spans="1:44">
      <c r="A91" s="662" t="s">
        <v>740</v>
      </c>
      <c r="B91" s="695">
        <v>3615704160.6199999</v>
      </c>
      <c r="C91" s="695">
        <v>269258570.63</v>
      </c>
      <c r="D91" s="238">
        <v>298330117.67000002</v>
      </c>
      <c r="E91" s="238">
        <v>338987283.64999998</v>
      </c>
      <c r="F91" s="238">
        <v>254537173.13</v>
      </c>
      <c r="G91" s="206">
        <v>340741758.75999999</v>
      </c>
      <c r="H91" s="238">
        <v>329356345.33999997</v>
      </c>
      <c r="I91" s="238">
        <v>322961066.80000001</v>
      </c>
      <c r="J91" s="238">
        <v>400923936.60000002</v>
      </c>
      <c r="K91" s="238">
        <v>399355170.69</v>
      </c>
      <c r="L91" s="238">
        <v>512846961.73000002</v>
      </c>
      <c r="M91" s="238">
        <v>502248538.17000002</v>
      </c>
      <c r="N91" s="238">
        <v>536092070.54000002</v>
      </c>
      <c r="O91" s="238">
        <v>544722545.35000002</v>
      </c>
      <c r="P91" s="238">
        <v>604435519.90999997</v>
      </c>
      <c r="Q91" s="238">
        <v>690152497.94000006</v>
      </c>
      <c r="R91" s="238">
        <v>621249253.48000002</v>
      </c>
      <c r="S91" s="238">
        <v>622947686.79999995</v>
      </c>
      <c r="T91" s="238">
        <v>565493225.60000002</v>
      </c>
      <c r="U91" s="206">
        <v>614306471.88999999</v>
      </c>
      <c r="V91" s="206">
        <v>608501407.98000002</v>
      </c>
      <c r="W91" s="206">
        <v>681211228.30999994</v>
      </c>
      <c r="X91" s="206">
        <v>607662065.78999996</v>
      </c>
      <c r="Y91" s="206">
        <v>675263414.76999998</v>
      </c>
      <c r="Z91" s="206">
        <v>782490423.05999994</v>
      </c>
      <c r="AA91" s="206">
        <v>630302648.61000001</v>
      </c>
      <c r="AB91" s="206">
        <v>721169686.15999997</v>
      </c>
      <c r="AC91" s="1765">
        <v>996350932.95000005</v>
      </c>
      <c r="AD91" s="1765">
        <v>990593713.63</v>
      </c>
      <c r="AE91" s="206">
        <v>1408890296.24</v>
      </c>
      <c r="AF91" s="206">
        <v>1228827486.28</v>
      </c>
      <c r="AG91" s="206">
        <v>1336082207.5799999</v>
      </c>
      <c r="AH91" s="206">
        <v>1295582760.49</v>
      </c>
      <c r="AI91" s="206">
        <v>1325807662.49</v>
      </c>
      <c r="AO91" s="1675">
        <f>SUMIFS(C91:AA91,$C$1:$AA$1,'#经营概况'!$B$1,$C$2:$AA$2,'#经营概况'!$B$2)-SUMIFS(C91:AA91,$C$1:$AA$1,'#经营概况'!$B$1,$C$2:$AA$2,'#经营概况'!$B$2-1)</f>
        <v>0</v>
      </c>
      <c r="AP91" s="186">
        <f>SUM(P91:AA91)/100000000</f>
        <v>77.040158441399981</v>
      </c>
    </row>
    <row r="92" spans="1:44">
      <c r="A92" s="662" t="s">
        <v>782</v>
      </c>
      <c r="B92" s="695">
        <v>2429268398.1900001</v>
      </c>
      <c r="C92" s="695">
        <v>122180570.09</v>
      </c>
      <c r="D92" s="238">
        <v>174290672.88</v>
      </c>
      <c r="E92" s="238">
        <v>242593406.30000001</v>
      </c>
      <c r="F92" s="238">
        <v>138738218.38</v>
      </c>
      <c r="G92" s="206">
        <v>249949374.02000001</v>
      </c>
      <c r="H92" s="238">
        <v>265505343.63</v>
      </c>
      <c r="I92" s="238">
        <v>182187784.13</v>
      </c>
      <c r="J92" s="238">
        <v>234675013.91</v>
      </c>
      <c r="K92" s="238">
        <v>167453730.25999999</v>
      </c>
      <c r="L92" s="238">
        <v>268997675.93000001</v>
      </c>
      <c r="M92" s="238">
        <v>265354989.05000001</v>
      </c>
      <c r="N92" s="238">
        <v>344715386.94999999</v>
      </c>
      <c r="O92" s="238">
        <v>434209427.41000003</v>
      </c>
      <c r="P92" s="238">
        <v>412739783.86000001</v>
      </c>
      <c r="Q92" s="238">
        <v>516629600.89999998</v>
      </c>
      <c r="R92" s="238">
        <v>573151294.32000005</v>
      </c>
      <c r="S92" s="238">
        <v>468131675.31999999</v>
      </c>
      <c r="T92" s="238">
        <v>494201395.88</v>
      </c>
      <c r="U92" s="206">
        <f>568283712.83-63000000</f>
        <v>505283712.83000004</v>
      </c>
      <c r="V92" s="206">
        <v>509422033.41000003</v>
      </c>
      <c r="W92" s="206">
        <v>503299936.61000001</v>
      </c>
      <c r="X92" s="206">
        <v>364692830.63999999</v>
      </c>
      <c r="Y92" s="206">
        <v>674054128.05999994</v>
      </c>
      <c r="Z92" s="206">
        <v>645503390.55999994</v>
      </c>
      <c r="AA92" s="206">
        <v>604420065.76999998</v>
      </c>
      <c r="AB92" s="206">
        <v>598263679.79999995</v>
      </c>
      <c r="AC92" s="1765">
        <v>758295835.44000006</v>
      </c>
      <c r="AD92" s="1765">
        <v>1329207548.8099999</v>
      </c>
      <c r="AE92" s="206">
        <v>1316324585.05</v>
      </c>
      <c r="AF92" s="206">
        <v>1135340289.46</v>
      </c>
      <c r="AG92" s="206">
        <v>1233856862.46</v>
      </c>
      <c r="AH92" s="206">
        <v>1251813543.52</v>
      </c>
      <c r="AI92" s="206">
        <v>1268467468.9000001</v>
      </c>
      <c r="AO92" s="1675">
        <f>SUMIFS(C92:AA92,$C$1:$AA$1,'#经营概况'!$B$1,$C$2:$AA$2,'#经营概况'!$B$2)-SUMIFS(C92:AA92,$C$1:$AA$1,'#经营概况'!$B$1,$C$2:$AA$2,'#经营概况'!$B$2-1)</f>
        <v>0</v>
      </c>
      <c r="AP92">
        <v>68422833.989999995</v>
      </c>
    </row>
    <row r="93" spans="1:44">
      <c r="A93" s="662" t="s">
        <v>753</v>
      </c>
      <c r="B93" s="695">
        <v>740838184.50999999</v>
      </c>
      <c r="C93" s="695">
        <v>50316486.159999996</v>
      </c>
      <c r="D93" s="238">
        <v>50215570.689999998</v>
      </c>
      <c r="E93" s="238">
        <v>51624095.18</v>
      </c>
      <c r="F93" s="238">
        <v>56556338.979999997</v>
      </c>
      <c r="G93" s="206">
        <v>56388014.359999999</v>
      </c>
      <c r="H93" s="238">
        <v>47667825.600000001</v>
      </c>
      <c r="I93" s="238">
        <v>63343999.689999998</v>
      </c>
      <c r="J93" s="238">
        <v>53056264.810000002</v>
      </c>
      <c r="K93" s="238">
        <v>51258360.439999998</v>
      </c>
      <c r="L93" s="238">
        <v>62767963.409999996</v>
      </c>
      <c r="M93" s="238">
        <v>46858287.789999999</v>
      </c>
      <c r="N93" s="238">
        <v>53665493.990000002</v>
      </c>
      <c r="O93" s="238">
        <v>79199738.689999893</v>
      </c>
      <c r="P93" s="238">
        <v>49406928.469999999</v>
      </c>
      <c r="Q93" s="238">
        <v>46780947.709999897</v>
      </c>
      <c r="R93" s="238">
        <v>75600278.299999997</v>
      </c>
      <c r="S93" s="238">
        <v>57655821.25</v>
      </c>
      <c r="T93" s="238">
        <v>53056144.469999999</v>
      </c>
      <c r="U93" s="206">
        <v>66257271.269999981</v>
      </c>
      <c r="V93" s="206">
        <v>67123701.319999933</v>
      </c>
      <c r="W93" s="206">
        <v>63187178.480000019</v>
      </c>
      <c r="X93" s="206">
        <v>63395740.710000038</v>
      </c>
      <c r="Y93" s="206">
        <v>68039044.870000005</v>
      </c>
      <c r="Z93" s="206">
        <v>65188214.75</v>
      </c>
      <c r="AA93" s="206">
        <v>80596334.449999928</v>
      </c>
      <c r="AB93" s="206">
        <v>73820479.680000067</v>
      </c>
      <c r="AC93" s="1765">
        <v>77895678.319999933</v>
      </c>
      <c r="AD93" s="1765">
        <v>112954399.32000005</v>
      </c>
      <c r="AE93" s="206">
        <v>108736875.37999988</v>
      </c>
      <c r="AF93" s="206">
        <v>114190669.31999993</v>
      </c>
      <c r="AG93" s="206">
        <v>113250087.57000017</v>
      </c>
      <c r="AH93" s="206">
        <v>127197601.17000008</v>
      </c>
      <c r="AI93" s="206">
        <v>117725681.26999998</v>
      </c>
      <c r="AO93" s="1675">
        <f>SUMIFS(C93:AA93,$C$1:$AA$1,'#经营概况'!$B$1,$C$2:$AA$2,'#经营概况'!$B$2)-SUMIFS(C93:AA93,$C$1:$AA$1,'#经营概况'!$B$1,$C$2:$AA$2,'#经营概况'!$B$2-1)</f>
        <v>0</v>
      </c>
    </row>
    <row r="94" spans="1:44">
      <c r="A94" s="662" t="s">
        <v>756</v>
      </c>
      <c r="B94" s="695">
        <v>237364682.16</v>
      </c>
      <c r="C94" s="695">
        <v>84501800.649999604</v>
      </c>
      <c r="D94" s="238">
        <v>22295435.149999999</v>
      </c>
      <c r="E94" s="238">
        <v>22169851.780000001</v>
      </c>
      <c r="F94" s="238">
        <v>21634653.720000099</v>
      </c>
      <c r="G94" s="698">
        <v>30348906.319999799</v>
      </c>
      <c r="H94" s="238">
        <v>23263688.460000198</v>
      </c>
      <c r="I94" s="238">
        <v>22327133.329999901</v>
      </c>
      <c r="J94" s="238">
        <v>22169851.760000002</v>
      </c>
      <c r="K94" s="238">
        <v>22169851.719999999</v>
      </c>
      <c r="L94" s="238">
        <v>22379344.260000002</v>
      </c>
      <c r="M94" s="238">
        <v>22177893.6200004</v>
      </c>
      <c r="N94" s="238">
        <v>22874613.109999701</v>
      </c>
      <c r="O94" s="238">
        <v>22954081.25</v>
      </c>
      <c r="P94" s="238">
        <v>23391815.879999999</v>
      </c>
      <c r="Q94" s="238">
        <v>23361415.899999999</v>
      </c>
      <c r="R94" s="238">
        <v>23475415.829999901</v>
      </c>
      <c r="S94" s="238">
        <v>23524308.940000001</v>
      </c>
      <c r="T94" s="238">
        <v>23718894.469999999</v>
      </c>
      <c r="U94" s="206">
        <v>100558516.30999994</v>
      </c>
      <c r="V94" s="206">
        <v>18295790.810000002</v>
      </c>
      <c r="W94" s="206">
        <v>18477250.599999964</v>
      </c>
      <c r="X94" s="206">
        <v>18442143.660000026</v>
      </c>
      <c r="Y94" s="206">
        <v>18462463.690000057</v>
      </c>
      <c r="Z94" s="206">
        <v>18262672.840000033</v>
      </c>
      <c r="AA94" s="206">
        <v>18416558.980000019</v>
      </c>
      <c r="AB94" s="206">
        <v>27428260.410000086</v>
      </c>
      <c r="AC94" s="1765">
        <v>84288999.219999909</v>
      </c>
      <c r="AD94" s="1765">
        <v>27245662.350000143</v>
      </c>
      <c r="AE94" s="206">
        <v>57428949.390000105</v>
      </c>
      <c r="AF94" s="206">
        <v>23448976.599999905</v>
      </c>
      <c r="AG94" s="206">
        <v>23313894.779999971</v>
      </c>
      <c r="AH94" s="206">
        <v>25899882.410000086</v>
      </c>
      <c r="AI94" s="206">
        <v>23362272.4599998</v>
      </c>
      <c r="AO94" s="1675">
        <f>SUMIFS(C94:AA94,$C$1:$AA$1,'#经营概况'!$B$1,$C$2:$AA$2,'#经营概况'!$B$2)-SUMIFS(C94:AA94,$C$1:$AA$1,'#经营概况'!$B$1,$C$2:$AA$2,'#经营概况'!$B$2-1)</f>
        <v>0</v>
      </c>
    </row>
    <row r="95" spans="1:44">
      <c r="A95" s="662" t="s">
        <v>737</v>
      </c>
      <c r="B95" s="695">
        <v>687221553.91999996</v>
      </c>
      <c r="C95" s="695">
        <v>69323910.629999995</v>
      </c>
      <c r="D95" s="238">
        <v>67297668.829999998</v>
      </c>
      <c r="E95" s="238">
        <v>50191166.560000002</v>
      </c>
      <c r="F95" s="238">
        <v>56501942.420000002</v>
      </c>
      <c r="G95" s="698">
        <v>58660360.310000002</v>
      </c>
      <c r="H95" s="238">
        <v>60762883.030000001</v>
      </c>
      <c r="I95" s="238">
        <v>51553738.719999999</v>
      </c>
      <c r="J95" s="238">
        <v>44661652.630000003</v>
      </c>
      <c r="K95" s="238">
        <v>81622775.75</v>
      </c>
      <c r="L95" s="238">
        <v>65378539.259999998</v>
      </c>
      <c r="M95" s="238">
        <v>56730719.770000003</v>
      </c>
      <c r="N95" s="238">
        <v>50703720.240000002</v>
      </c>
      <c r="O95" s="238">
        <v>42387742.479999997</v>
      </c>
      <c r="P95" s="238">
        <v>74293186.120000005</v>
      </c>
      <c r="Q95" s="238">
        <v>56450870.039999999</v>
      </c>
      <c r="R95" s="238">
        <v>55946371.880000003</v>
      </c>
      <c r="S95" s="238">
        <v>59208354.380000003</v>
      </c>
      <c r="T95" s="238">
        <v>58460375.880000003</v>
      </c>
      <c r="U95" s="206">
        <v>65195220.440000005</v>
      </c>
      <c r="V95" s="206">
        <v>53184638.82</v>
      </c>
      <c r="W95" s="206">
        <v>49008093.75</v>
      </c>
      <c r="X95" s="206">
        <v>84726473.010000005</v>
      </c>
      <c r="Y95" s="206">
        <v>49281290.740000002</v>
      </c>
      <c r="Z95" s="206">
        <v>55549958.960000001</v>
      </c>
      <c r="AA95" s="206">
        <v>176067815.44999999</v>
      </c>
      <c r="AB95" s="206">
        <f>17702659.43</f>
        <v>17702659.43</v>
      </c>
      <c r="AC95" s="1765">
        <v>26779983.050000001</v>
      </c>
      <c r="AD95" s="1765">
        <v>23554791.289999999</v>
      </c>
      <c r="AE95" s="206">
        <v>25851007.66</v>
      </c>
      <c r="AF95" s="206">
        <v>33491858.630000003</v>
      </c>
      <c r="AG95" s="206">
        <v>33134216.879999999</v>
      </c>
      <c r="AH95" s="206">
        <v>35674477.119999997</v>
      </c>
      <c r="AI95" s="206">
        <v>36734689.800000004</v>
      </c>
      <c r="AO95" s="1675">
        <f>SUMIFS(C95:AA95,$C$1:$AA$1,'#经营概况'!$B$1,$C$2:$AA$2,'#经营概况'!$B$2)-SUMIFS(C95:AA95,$C$1:$AA$1,'#经营概况'!$B$1,$C$2:$AA$2,'#经营概况'!$B$2-1)</f>
        <v>0</v>
      </c>
      <c r="AP95">
        <v>100000000</v>
      </c>
    </row>
    <row r="96" spans="1:44">
      <c r="A96" s="662" t="s">
        <v>738</v>
      </c>
      <c r="B96" s="695">
        <v>1303786617.1400001</v>
      </c>
      <c r="C96" s="695">
        <v>109749777.59999999</v>
      </c>
      <c r="D96" s="238">
        <v>103637458.29000001</v>
      </c>
      <c r="E96" s="238">
        <v>92715661.569999993</v>
      </c>
      <c r="F96" s="238">
        <v>110902358.17</v>
      </c>
      <c r="G96" s="698">
        <v>97114308.859999999</v>
      </c>
      <c r="H96" s="238">
        <v>100216585.8</v>
      </c>
      <c r="I96" s="238">
        <v>100489346.08</v>
      </c>
      <c r="J96" s="238">
        <v>100555793.3</v>
      </c>
      <c r="K96" s="238">
        <v>96330101.409999996</v>
      </c>
      <c r="L96" s="238">
        <v>85375329.299999997</v>
      </c>
      <c r="M96" s="238">
        <v>90452759.379999995</v>
      </c>
      <c r="N96" s="238">
        <v>98018020.730000094</v>
      </c>
      <c r="O96" s="238">
        <f>155254482.65-27040000</f>
        <v>128214482.65000001</v>
      </c>
      <c r="P96" s="238">
        <v>77366699.890000001</v>
      </c>
      <c r="Q96" s="238">
        <v>140975514.34999999</v>
      </c>
      <c r="R96" s="238">
        <v>86730465.109999999</v>
      </c>
      <c r="S96" s="238">
        <v>84819914.760000005</v>
      </c>
      <c r="T96" s="238">
        <v>87779876.019999996</v>
      </c>
      <c r="U96" s="206">
        <v>74716050.819999993</v>
      </c>
      <c r="V96" s="206">
        <v>82941926.980000004</v>
      </c>
      <c r="W96" s="206">
        <v>85087770.469999999</v>
      </c>
      <c r="X96" s="206">
        <v>86935960.709999993</v>
      </c>
      <c r="Y96" s="206">
        <v>89598632.670000002</v>
      </c>
      <c r="Z96" s="206">
        <v>96215145.159999996</v>
      </c>
      <c r="AA96" s="1765">
        <v>167258933.81999999</v>
      </c>
      <c r="AB96" s="1765">
        <v>87898885.599999994</v>
      </c>
      <c r="AC96" s="1765">
        <v>90641173.239999995</v>
      </c>
      <c r="AD96" s="1765">
        <v>79574098.650000006</v>
      </c>
      <c r="AE96" s="1765">
        <v>81707370.909999996</v>
      </c>
      <c r="AF96" s="1765">
        <v>72667173.840000004</v>
      </c>
      <c r="AG96" s="1765">
        <v>65924496.229999997</v>
      </c>
      <c r="AH96" s="1765">
        <v>64234387.759999998</v>
      </c>
      <c r="AI96" s="1765">
        <v>66342840.340000004</v>
      </c>
      <c r="AJ96" s="1765"/>
      <c r="AK96" s="1765"/>
      <c r="AL96" s="1765"/>
      <c r="AM96" s="1765"/>
      <c r="AO96" s="1675">
        <f>SUMIFS(C96:AA96,$C$1:$AA$1,'#经营概况'!$B$1,$C$2:$AA$2,'#经营概况'!$B$2)-SUMIFS(C96:AA96,$C$1:$AA$1,'#经营概况'!$B$1,$C$2:$AA$2,'#经营概况'!$B$2-1)</f>
        <v>0</v>
      </c>
    </row>
    <row r="97" spans="1:46">
      <c r="A97" s="662" t="s">
        <v>783</v>
      </c>
      <c r="B97" s="695">
        <v>96373606.129999995</v>
      </c>
      <c r="C97" s="695">
        <v>-11732593.869999999</v>
      </c>
      <c r="D97" s="238">
        <v>-88288513.370000005</v>
      </c>
      <c r="E97" s="238">
        <v>-265029.20999999298</v>
      </c>
      <c r="F97" s="238">
        <v>590669.89999999094</v>
      </c>
      <c r="G97" s="698">
        <v>760800.30000001204</v>
      </c>
      <c r="H97" s="238">
        <v>5229586.25</v>
      </c>
      <c r="I97" s="238">
        <v>-1873920</v>
      </c>
      <c r="J97" s="238">
        <v>0</v>
      </c>
      <c r="K97" s="238">
        <v>0</v>
      </c>
      <c r="L97" s="238">
        <v>0</v>
      </c>
      <c r="M97" s="238">
        <v>0</v>
      </c>
      <c r="N97" s="238">
        <v>0</v>
      </c>
      <c r="O97" s="238">
        <v>0</v>
      </c>
      <c r="P97" s="238">
        <v>0</v>
      </c>
      <c r="Q97" s="238">
        <v>0</v>
      </c>
      <c r="R97" s="238">
        <v>0</v>
      </c>
      <c r="S97" s="238">
        <v>0</v>
      </c>
      <c r="T97" s="238">
        <v>0</v>
      </c>
      <c r="U97" s="206">
        <v>0</v>
      </c>
      <c r="V97" s="206">
        <v>0</v>
      </c>
      <c r="W97" s="206">
        <v>0</v>
      </c>
      <c r="X97" s="206">
        <v>0</v>
      </c>
      <c r="Y97" s="206">
        <v>0</v>
      </c>
      <c r="Z97" s="206">
        <v>0</v>
      </c>
      <c r="AA97" s="206">
        <v>0</v>
      </c>
      <c r="AB97" s="206">
        <v>471886.15</v>
      </c>
      <c r="AC97" s="1765">
        <v>-1120420.43</v>
      </c>
      <c r="AD97" s="1765">
        <v>865544.55</v>
      </c>
      <c r="AE97" s="206">
        <v>-138328.16</v>
      </c>
      <c r="AF97" s="206">
        <v>228000</v>
      </c>
      <c r="AG97" s="206">
        <v>137999.99</v>
      </c>
      <c r="AH97" s="206">
        <v>0</v>
      </c>
      <c r="AI97" s="206">
        <v>544857.93000000005</v>
      </c>
      <c r="AO97" s="1675">
        <f>SUMIFS(C97:AA97,$C$1:$AA$1,'#经营概况'!$B$1,$C$2:$AA$2,'#经营概况'!$B$2)-SUMIFS(C97:AA97,$C$1:$AA$1,'#经营概况'!$B$1,$C$2:$AA$2,'#经营概况'!$B$2-1)</f>
        <v>0</v>
      </c>
    </row>
    <row r="98" spans="1:46">
      <c r="A98" s="662" t="s">
        <v>766</v>
      </c>
      <c r="B98" s="695">
        <v>68039830.489999995</v>
      </c>
      <c r="C98" s="695">
        <v>5405144.4299999904</v>
      </c>
      <c r="D98" s="238">
        <v>4381244.6900000004</v>
      </c>
      <c r="E98" s="238">
        <v>4784627.47</v>
      </c>
      <c r="F98" s="238">
        <v>4600767.6100000003</v>
      </c>
      <c r="G98" s="698">
        <v>3415079.61</v>
      </c>
      <c r="H98" s="238">
        <v>4797881.28</v>
      </c>
      <c r="I98" s="238">
        <v>4891973.21</v>
      </c>
      <c r="J98" s="238">
        <v>5340409.34</v>
      </c>
      <c r="K98" s="238">
        <v>5501755.2199999997</v>
      </c>
      <c r="L98" s="238">
        <v>6500418.7000000002</v>
      </c>
      <c r="M98" s="238">
        <v>6323160.7699999996</v>
      </c>
      <c r="N98" s="238">
        <v>6425015.6699999999</v>
      </c>
      <c r="O98" s="238">
        <v>8855825.3300000001</v>
      </c>
      <c r="P98" s="238">
        <v>6375499.1200000001</v>
      </c>
      <c r="Q98" s="238">
        <v>5468692.5099999998</v>
      </c>
      <c r="R98" s="238">
        <v>5679849.6600000001</v>
      </c>
      <c r="S98" s="238">
        <v>5459302.7300000004</v>
      </c>
      <c r="T98" s="238">
        <v>5125924.08</v>
      </c>
      <c r="U98" s="206">
        <v>5018352.5999999996</v>
      </c>
      <c r="V98" s="206">
        <v>6893953.0999999996</v>
      </c>
      <c r="W98" s="206">
        <v>6139968.5</v>
      </c>
      <c r="X98" s="206">
        <v>6446107.4199999999</v>
      </c>
      <c r="Y98" s="206">
        <v>5648370.1699999999</v>
      </c>
      <c r="Z98" s="206">
        <v>5930921.2400000002</v>
      </c>
      <c r="AA98" s="206">
        <v>6168721.7199999997</v>
      </c>
      <c r="AB98" s="206">
        <v>5528275.8200000003</v>
      </c>
      <c r="AC98" s="1765">
        <v>7159274.0099999998</v>
      </c>
      <c r="AD98" s="1765">
        <v>5097189.13</v>
      </c>
      <c r="AE98" s="206">
        <v>5361813.1100000003</v>
      </c>
      <c r="AF98" s="206">
        <v>4828409.4000000004</v>
      </c>
      <c r="AG98" s="206">
        <v>3257382.08</v>
      </c>
      <c r="AH98" s="206">
        <v>4628656.58</v>
      </c>
      <c r="AI98" s="206">
        <v>5012330.55</v>
      </c>
      <c r="AO98" s="1675">
        <f>SUMIFS(C98:AA98,$C$1:$AA$1,'#经营概况'!$B$1,$C$2:$AA$2,'#经营概况'!$B$2)-SUMIFS(C98:AA98,$C$1:$AA$1,'#经营概况'!$B$1,$C$2:$AA$2,'#经营概况'!$B$2-1)</f>
        <v>0</v>
      </c>
    </row>
    <row r="99" spans="1:46">
      <c r="A99" s="662" t="s">
        <v>767</v>
      </c>
      <c r="B99" s="695">
        <v>138119575.55000001</v>
      </c>
      <c r="C99" s="695">
        <v>139191542.55000001</v>
      </c>
      <c r="D99" s="238">
        <v>167000</v>
      </c>
      <c r="E99" s="238">
        <v>17700</v>
      </c>
      <c r="F99" s="238">
        <v>213850</v>
      </c>
      <c r="G99" s="206">
        <v>220267</v>
      </c>
      <c r="H99" s="238">
        <v>30900</v>
      </c>
      <c r="I99" s="238">
        <v>275955.98</v>
      </c>
      <c r="J99" s="238">
        <v>75390.080000000104</v>
      </c>
      <c r="K99" s="238">
        <v>2487000</v>
      </c>
      <c r="L99" s="238">
        <v>124350</v>
      </c>
      <c r="M99" s="238">
        <v>28950</v>
      </c>
      <c r="N99" s="238">
        <v>81850</v>
      </c>
      <c r="O99" s="238">
        <f>378856669.92-339150000-39510000</f>
        <v>196669.92000001669</v>
      </c>
      <c r="P99" s="238">
        <v>17300</v>
      </c>
      <c r="Q99" s="238">
        <v>0</v>
      </c>
      <c r="R99" s="238">
        <v>37400</v>
      </c>
      <c r="S99" s="238">
        <v>47450</v>
      </c>
      <c r="T99" s="238">
        <v>115750</v>
      </c>
      <c r="U99" s="206">
        <v>74500</v>
      </c>
      <c r="V99" s="206">
        <v>23980</v>
      </c>
      <c r="W99" s="206">
        <v>30400</v>
      </c>
      <c r="X99" s="206">
        <v>100700</v>
      </c>
      <c r="Y99" s="206">
        <v>18700</v>
      </c>
      <c r="Z99" s="206">
        <v>69450</v>
      </c>
      <c r="AA99" s="206">
        <v>4581019.76</v>
      </c>
      <c r="AB99" s="206">
        <v>24300</v>
      </c>
      <c r="AC99" s="1765">
        <v>17550</v>
      </c>
      <c r="AD99" s="1765">
        <v>45350</v>
      </c>
      <c r="AE99" s="206">
        <v>54250</v>
      </c>
      <c r="AF99" s="206">
        <v>12850</v>
      </c>
      <c r="AG99" s="206">
        <v>2178618.6</v>
      </c>
      <c r="AH99" s="206">
        <v>66600</v>
      </c>
      <c r="AI99" s="206">
        <v>92700</v>
      </c>
      <c r="AO99" s="1675">
        <f>SUMIFS(C99:AA99,$C$1:$AA$1,'#经营概况'!$B$1,$C$2:$AA$2,'#经营概况'!$B$2)-SUMIFS(C99:AA99,$C$1:$AA$1,'#经营概况'!$B$1,$C$2:$AA$2,'#经营概况'!$B$2-1)</f>
        <v>0</v>
      </c>
    </row>
    <row r="100" spans="1:46">
      <c r="A100" s="662" t="s">
        <v>768</v>
      </c>
      <c r="B100" s="695">
        <v>720230353.35000002</v>
      </c>
      <c r="C100" s="695">
        <v>34209922.770000003</v>
      </c>
      <c r="D100" s="238">
        <v>0</v>
      </c>
      <c r="E100" s="238">
        <v>0</v>
      </c>
      <c r="F100" s="238">
        <v>43894.31</v>
      </c>
      <c r="G100" s="206">
        <v>0</v>
      </c>
      <c r="H100" s="238">
        <v>0</v>
      </c>
      <c r="I100" s="238">
        <v>1</v>
      </c>
      <c r="J100" s="238">
        <v>73350000</v>
      </c>
      <c r="K100" s="238">
        <v>194611280</v>
      </c>
      <c r="L100" s="238">
        <v>116010981</v>
      </c>
      <c r="M100" s="238">
        <v>154771673</v>
      </c>
      <c r="N100" s="238">
        <v>57545126.200000003</v>
      </c>
      <c r="O100" s="238">
        <v>1550000</v>
      </c>
      <c r="P100" s="238">
        <v>0</v>
      </c>
      <c r="Q100" s="238">
        <v>83590000</v>
      </c>
      <c r="R100" s="238">
        <v>0</v>
      </c>
      <c r="S100" s="238">
        <v>0</v>
      </c>
      <c r="T100" s="238">
        <v>0</v>
      </c>
      <c r="U100" s="206">
        <v>0</v>
      </c>
      <c r="V100" s="206">
        <v>0</v>
      </c>
      <c r="W100" s="206">
        <v>0</v>
      </c>
      <c r="X100" s="206">
        <v>0</v>
      </c>
      <c r="Y100" s="206">
        <v>12330.63</v>
      </c>
      <c r="Z100" s="206">
        <v>600000</v>
      </c>
      <c r="AA100" s="206">
        <v>58673.2</v>
      </c>
      <c r="AB100" s="206">
        <v>0</v>
      </c>
      <c r="AC100" s="1765">
        <v>0</v>
      </c>
      <c r="AD100" s="1765">
        <v>0</v>
      </c>
      <c r="AE100" s="206">
        <v>0</v>
      </c>
      <c r="AF100" s="206">
        <v>0</v>
      </c>
      <c r="AG100" s="206">
        <v>945931.54</v>
      </c>
      <c r="AH100" s="206">
        <v>0</v>
      </c>
      <c r="AI100" s="206">
        <v>7057800</v>
      </c>
      <c r="AO100" s="1675">
        <f>SUMIFS(C100:AA100,$C$1:$AA$1,'#经营概况'!$B$1,$C$2:$AA$2,'#经营概况'!$B$2)-SUMIFS(C100:AA100,$C$1:$AA$1,'#经营概况'!$B$1,$C$2:$AA$2,'#经营概况'!$B$2-1)</f>
        <v>0</v>
      </c>
    </row>
    <row r="101" spans="1:46">
      <c r="A101" s="662" t="s">
        <v>185</v>
      </c>
      <c r="B101" s="695">
        <v>1209342601.4400001</v>
      </c>
      <c r="C101" s="695">
        <v>-24752936.589999899</v>
      </c>
      <c r="D101" s="238">
        <v>101104158.42</v>
      </c>
      <c r="E101" s="238">
        <v>-10111756.470000001</v>
      </c>
      <c r="F101" s="238">
        <v>868592.629999995</v>
      </c>
      <c r="G101" s="206">
        <v>8731081.1500000097</v>
      </c>
      <c r="H101" s="238">
        <v>407008013.64999998</v>
      </c>
      <c r="I101" s="238">
        <v>12684330.539999999</v>
      </c>
      <c r="J101" s="238">
        <v>11507857.68</v>
      </c>
      <c r="K101" s="238">
        <v>108238822.68000001</v>
      </c>
      <c r="L101" s="238">
        <v>17053588.370000001</v>
      </c>
      <c r="M101" s="238">
        <v>24631735.399999999</v>
      </c>
      <c r="N101" s="238">
        <v>80680579.190000102</v>
      </c>
      <c r="O101" s="238">
        <v>29765911.010000002</v>
      </c>
      <c r="P101" s="238">
        <v>-2936277.63</v>
      </c>
      <c r="Q101" s="238">
        <v>43039396.170000002</v>
      </c>
      <c r="R101" s="238">
        <v>33522881.960000001</v>
      </c>
      <c r="S101" s="238">
        <v>23812931.239999998</v>
      </c>
      <c r="T101" s="238">
        <v>415955562.98000002</v>
      </c>
      <c r="U101" s="206">
        <v>80164532.519999996</v>
      </c>
      <c r="V101" s="206">
        <v>3262875.32</v>
      </c>
      <c r="W101" s="206">
        <v>-9376963.3800000008</v>
      </c>
      <c r="X101" s="206">
        <v>15696298.689999999</v>
      </c>
      <c r="Y101" s="206">
        <v>139457318.80000001</v>
      </c>
      <c r="Z101" s="206">
        <v>38724645.899999999</v>
      </c>
      <c r="AA101" s="206">
        <v>1072453252.9579999</v>
      </c>
      <c r="AB101" s="206">
        <v>13972049.58</v>
      </c>
      <c r="AC101" s="1765">
        <v>2915660.6</v>
      </c>
      <c r="AD101" s="1765">
        <v>7932986.6900000004</v>
      </c>
      <c r="AE101" s="206">
        <v>16404014.68</v>
      </c>
      <c r="AF101" s="206">
        <v>555696405.33000004</v>
      </c>
      <c r="AG101" s="206">
        <v>300110021.04000002</v>
      </c>
      <c r="AH101" s="206">
        <v>22700452.829999998</v>
      </c>
      <c r="AI101" s="206">
        <v>64432923.359999999</v>
      </c>
      <c r="AO101" s="1675">
        <f>SUMIFS(C101:AA101,$C$1:$AA$1,'#经营概况'!$B$1,$C$2:$AA$2,'#经营概况'!$B$2)-SUMIFS(C101:AA101,$C$1:$AA$1,'#经营概况'!$B$1,$C$2:$AA$2,'#经营概况'!$B$2-1)</f>
        <v>0</v>
      </c>
    </row>
    <row r="102" spans="1:46">
      <c r="A102" s="662" t="s">
        <v>770</v>
      </c>
      <c r="B102" s="695">
        <v>28609117.289999999</v>
      </c>
      <c r="C102" s="695">
        <v>26176317.289999999</v>
      </c>
      <c r="D102" s="238">
        <v>0</v>
      </c>
      <c r="E102" s="238">
        <v>200000</v>
      </c>
      <c r="F102" s="238">
        <v>2000000</v>
      </c>
      <c r="G102" s="206">
        <v>300000</v>
      </c>
      <c r="H102" s="238">
        <v>477500</v>
      </c>
      <c r="I102" s="238">
        <v>0</v>
      </c>
      <c r="J102" s="238">
        <v>0</v>
      </c>
      <c r="K102" s="238">
        <v>0</v>
      </c>
      <c r="L102" s="238">
        <v>0</v>
      </c>
      <c r="M102" s="238">
        <v>0</v>
      </c>
      <c r="N102" s="238">
        <v>15238836</v>
      </c>
      <c r="O102" s="238">
        <v>1569233.83</v>
      </c>
      <c r="P102" s="238">
        <v>0</v>
      </c>
      <c r="Q102" s="238">
        <v>0</v>
      </c>
      <c r="R102" s="238">
        <v>0</v>
      </c>
      <c r="S102" s="238">
        <v>122837.93</v>
      </c>
      <c r="T102" s="238">
        <v>0</v>
      </c>
      <c r="U102" s="206">
        <v>75000</v>
      </c>
      <c r="V102" s="206">
        <v>200000</v>
      </c>
      <c r="W102" s="206">
        <v>0</v>
      </c>
      <c r="X102" s="206">
        <v>0</v>
      </c>
      <c r="Y102" s="206">
        <v>0</v>
      </c>
      <c r="Z102" s="206">
        <v>0</v>
      </c>
      <c r="AA102" s="206">
        <v>12833245.640000001</v>
      </c>
      <c r="AB102" s="206">
        <v>0</v>
      </c>
      <c r="AC102" s="1765">
        <v>2500000</v>
      </c>
      <c r="AD102" s="1765">
        <v>106509.16</v>
      </c>
      <c r="AE102" s="206">
        <v>21300</v>
      </c>
      <c r="AF102" s="206">
        <v>0</v>
      </c>
      <c r="AG102" s="206">
        <v>0</v>
      </c>
      <c r="AH102" s="206">
        <v>250000</v>
      </c>
      <c r="AI102" s="206">
        <v>8149954.0700000003</v>
      </c>
      <c r="AO102" s="1675">
        <f>SUMIFS(C102:AA102,$C$1:$AA$1,'#经营概况'!$B$1,$C$2:$AA$2,'#经营概况'!$B$2)-SUMIFS(C102:AA102,$C$1:$AA$1,'#经营概况'!$B$1,$C$2:$AA$2,'#经营概况'!$B$2-1)</f>
        <v>0</v>
      </c>
    </row>
    <row r="103" spans="1:46">
      <c r="A103" s="662" t="s">
        <v>784</v>
      </c>
      <c r="B103" s="695">
        <v>148213057.37</v>
      </c>
      <c r="C103" s="695">
        <v>148213057.37</v>
      </c>
      <c r="D103" s="238">
        <v>0</v>
      </c>
      <c r="E103" s="238">
        <v>0</v>
      </c>
      <c r="F103" s="238">
        <v>0</v>
      </c>
      <c r="G103" s="206">
        <v>0</v>
      </c>
      <c r="H103" s="238">
        <v>0</v>
      </c>
      <c r="I103" s="238">
        <v>0</v>
      </c>
      <c r="J103" s="238">
        <v>0</v>
      </c>
      <c r="K103" s="238">
        <v>0</v>
      </c>
      <c r="L103" s="238">
        <v>0</v>
      </c>
      <c r="M103" s="238">
        <v>0</v>
      </c>
      <c r="N103" s="238">
        <v>0</v>
      </c>
      <c r="O103" s="238"/>
      <c r="P103" s="238">
        <v>0</v>
      </c>
      <c r="Q103" s="238">
        <v>0</v>
      </c>
      <c r="R103" s="238">
        <v>0</v>
      </c>
      <c r="S103" s="238">
        <v>0</v>
      </c>
      <c r="T103" s="238">
        <v>0</v>
      </c>
      <c r="U103" s="206">
        <v>0</v>
      </c>
      <c r="V103" s="206">
        <v>0</v>
      </c>
      <c r="W103" s="206">
        <v>0</v>
      </c>
      <c r="X103" s="206">
        <v>0</v>
      </c>
      <c r="Y103" s="206">
        <v>0</v>
      </c>
      <c r="Z103" s="206">
        <v>0</v>
      </c>
      <c r="AA103" s="206">
        <v>-3000000</v>
      </c>
      <c r="AB103" s="206">
        <v>0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O103" s="1675">
        <f>SUMIFS(C103:AA103,$C$1:$AA$1,'#经营概况'!$B$1,$C$2:$AA$2,'#经营概况'!$B$2)-SUMIFS(C103:AA103,$C$1:$AA$1,'#经营概况'!$B$1,$C$2:$AA$2,'#经营概况'!$B$2-1)</f>
        <v>0</v>
      </c>
    </row>
    <row r="104" spans="1:46">
      <c r="A104" s="662" t="s">
        <v>785</v>
      </c>
      <c r="B104" s="695">
        <v>348953.73</v>
      </c>
      <c r="C104" s="695">
        <v>0</v>
      </c>
      <c r="D104" s="238">
        <v>0</v>
      </c>
      <c r="E104" s="238">
        <v>0</v>
      </c>
      <c r="F104" s="238">
        <v>123298.84</v>
      </c>
      <c r="G104" s="206">
        <v>0</v>
      </c>
      <c r="H104" s="238">
        <v>0</v>
      </c>
      <c r="I104" s="238">
        <v>0</v>
      </c>
      <c r="J104" s="238">
        <v>0</v>
      </c>
      <c r="K104" s="238">
        <v>0</v>
      </c>
      <c r="L104" s="238">
        <v>0</v>
      </c>
      <c r="M104" s="238">
        <v>0</v>
      </c>
      <c r="N104" s="238">
        <v>0</v>
      </c>
      <c r="O104" s="238"/>
      <c r="P104" s="238">
        <v>0</v>
      </c>
      <c r="Q104" s="238">
        <v>0</v>
      </c>
      <c r="R104" s="238">
        <v>0</v>
      </c>
      <c r="S104" s="238">
        <v>0</v>
      </c>
      <c r="T104" s="238">
        <v>0</v>
      </c>
      <c r="U104" s="206">
        <v>0</v>
      </c>
      <c r="V104" s="206">
        <v>0</v>
      </c>
      <c r="W104" s="206">
        <v>0</v>
      </c>
      <c r="X104" s="206">
        <v>0</v>
      </c>
      <c r="Y104" s="206">
        <v>49067.040000000001</v>
      </c>
      <c r="Z104" s="206">
        <v>0</v>
      </c>
      <c r="AA104" s="206">
        <v>31790000</v>
      </c>
      <c r="AB104" s="206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/>
      <c r="AK104"/>
      <c r="AL104"/>
      <c r="AM104"/>
      <c r="AO104" s="1675">
        <f>SUMIFS(C104:AA104,$C$1:$AA$1,'#经营概况'!$B$1,$C$2:$AA$2,'#经营概况'!$B$2)-SUMIFS(C104:AA104,$C$1:$AA$1,'#经营概况'!$B$1,$C$2:$AA$2,'#经营概况'!$B$2-1)</f>
        <v>0</v>
      </c>
    </row>
    <row r="105" spans="1:46">
      <c r="A105" s="651" t="s">
        <v>786</v>
      </c>
      <c r="B105" s="651"/>
      <c r="C105" s="699">
        <v>86581329.049999997</v>
      </c>
      <c r="D105" s="699">
        <v>72090780.5</v>
      </c>
      <c r="E105" s="699">
        <v>52999881.469999999</v>
      </c>
      <c r="F105" s="699">
        <v>59915404.32</v>
      </c>
      <c r="G105" s="699">
        <v>62573453.409999996</v>
      </c>
      <c r="H105" s="699">
        <v>65956422.18</v>
      </c>
      <c r="I105" s="699">
        <v>53237257.359999999</v>
      </c>
      <c r="J105" s="699">
        <v>49204642.75</v>
      </c>
      <c r="K105" s="699">
        <v>76501414.559999898</v>
      </c>
      <c r="L105" s="699">
        <v>69546959.010000005</v>
      </c>
      <c r="M105" s="699">
        <v>62577890.780000001</v>
      </c>
      <c r="N105" s="699">
        <v>4272930.8899999298</v>
      </c>
      <c r="O105" s="699">
        <v>203689581.41999999</v>
      </c>
      <c r="P105" s="699">
        <v>75800047.819999993</v>
      </c>
      <c r="Q105" s="699">
        <v>57951745.68</v>
      </c>
      <c r="R105" s="699">
        <v>62713018.189999998</v>
      </c>
      <c r="S105" s="699">
        <v>60474421.57</v>
      </c>
      <c r="T105" s="699">
        <v>54271447.719999999</v>
      </c>
      <c r="U105" s="651">
        <v>64352180.219999999</v>
      </c>
      <c r="V105" s="651">
        <v>54919019.849999994</v>
      </c>
      <c r="W105" s="651">
        <v>51973178.819999993</v>
      </c>
      <c r="X105" s="651">
        <v>86518914.569999993</v>
      </c>
      <c r="Y105" s="651">
        <v>52299336.199999996</v>
      </c>
      <c r="Z105" s="651">
        <v>58241536.680000007</v>
      </c>
      <c r="AA105" s="651">
        <v>101143444.03</v>
      </c>
      <c r="AB105" s="651">
        <f>22335750.27</f>
        <v>22335750.27</v>
      </c>
      <c r="AC105" s="651">
        <v>30343879.969999999</v>
      </c>
      <c r="AD105" s="651">
        <v>27411142.98</v>
      </c>
      <c r="AE105" s="651">
        <v>30063730.430000003</v>
      </c>
      <c r="AF105" s="651">
        <v>36669200.320000008</v>
      </c>
      <c r="AG105" s="651">
        <v>30889376.300000001</v>
      </c>
      <c r="AH105" s="651">
        <v>60394987.420000009</v>
      </c>
      <c r="AI105" s="651">
        <v>42926217.200000003</v>
      </c>
      <c r="AJ105" s="651"/>
      <c r="AK105" s="651"/>
      <c r="AL105" s="651"/>
      <c r="AM105" s="651"/>
      <c r="AN105" s="651"/>
      <c r="AO105" s="1675">
        <f>SUMIFS(C105:AA105,$C$1:$AA$1,'#经营概况'!$B$1,$C$2:$AA$2,'#经营概况'!$B$2)-SUMIFS(C105:AA105,$C$1:$AA$1,'#经营概况'!$B$1,$C$2:$AA$2,'#经营概况'!$B$2-1)</f>
        <v>0</v>
      </c>
    </row>
    <row r="106" spans="1:46">
      <c r="A106" s="651" t="s">
        <v>787</v>
      </c>
      <c r="B106" s="651"/>
      <c r="C106" s="699">
        <v>62046696.880000003</v>
      </c>
      <c r="D106" s="699">
        <v>20595455.030000001</v>
      </c>
      <c r="E106" s="699">
        <v>24413663.23</v>
      </c>
      <c r="F106" s="699">
        <v>32741906.239999998</v>
      </c>
      <c r="G106" s="699">
        <v>48148697.170000002</v>
      </c>
      <c r="H106" s="699">
        <v>52656845.700000003</v>
      </c>
      <c r="I106" s="699">
        <v>59025405.770000003</v>
      </c>
      <c r="J106" s="699">
        <v>72235878.849999994</v>
      </c>
      <c r="K106" s="699">
        <v>44092960.640000001</v>
      </c>
      <c r="L106" s="699">
        <v>61143861.350000001</v>
      </c>
      <c r="M106" s="699">
        <v>42204227.469999999</v>
      </c>
      <c r="N106" s="699">
        <v>48438499.18</v>
      </c>
      <c r="O106" s="699">
        <v>48438499.18</v>
      </c>
      <c r="P106" s="699">
        <v>21749897.109999999</v>
      </c>
      <c r="Q106" s="699">
        <v>23470727.390000001</v>
      </c>
      <c r="R106" s="699">
        <v>19830964.079999998</v>
      </c>
      <c r="S106" s="699">
        <v>22109339.420000002</v>
      </c>
      <c r="T106" s="699">
        <v>18365154.530000001</v>
      </c>
      <c r="U106" s="651">
        <v>19014176.07</v>
      </c>
      <c r="V106" s="651">
        <v>24222171.75</v>
      </c>
      <c r="W106" s="651">
        <v>32840590.510000002</v>
      </c>
      <c r="X106" s="651">
        <v>15868353.26</v>
      </c>
      <c r="Y106" s="651">
        <v>12063639.130000001</v>
      </c>
      <c r="Z106" s="651">
        <v>50787458.799999997</v>
      </c>
      <c r="AA106" s="651">
        <v>35398928.369999997</v>
      </c>
      <c r="AB106" s="651">
        <v>27351336.289999999</v>
      </c>
      <c r="AC106" s="651">
        <v>19270416.399999999</v>
      </c>
      <c r="AD106" s="651">
        <v>30527153.41</v>
      </c>
      <c r="AE106" s="651">
        <v>24401599.77</v>
      </c>
      <c r="AF106" s="651">
        <v>30937726.77</v>
      </c>
      <c r="AG106" s="651">
        <v>27481767.59</v>
      </c>
      <c r="AH106" s="651">
        <v>60630915.509999998</v>
      </c>
      <c r="AI106" s="651">
        <v>45211002.200000003</v>
      </c>
      <c r="AJ106" s="651"/>
      <c r="AK106" s="651"/>
      <c r="AL106" s="651"/>
      <c r="AM106" s="651"/>
      <c r="AN106" s="651"/>
      <c r="AO106" s="1675">
        <f>SUMIFS(C106:AA106,$C$1:$AA$1,'#经营概况'!$B$1,$C$2:$AA$2,'#经营概况'!$B$2)-SUMIFS(C106:AA106,$C$1:$AA$1,'#经营概况'!$B$1,$C$2:$AA$2,'#经营概况'!$B$2-1)</f>
        <v>0</v>
      </c>
    </row>
    <row r="107" spans="1:46" ht="15" thickBot="1">
      <c r="A107" s="652" t="s">
        <v>788</v>
      </c>
      <c r="B107" s="652"/>
      <c r="C107" s="652"/>
      <c r="D107" s="700"/>
      <c r="E107" s="652"/>
      <c r="F107" s="701"/>
      <c r="G107" s="652"/>
      <c r="H107" s="700"/>
      <c r="I107" s="700"/>
      <c r="J107" s="700"/>
      <c r="K107" s="700"/>
      <c r="L107" s="700"/>
      <c r="M107" s="700"/>
      <c r="N107" s="700"/>
      <c r="O107" s="700">
        <f>3433.96+1331.65</f>
        <v>4765.6100000000006</v>
      </c>
      <c r="P107" s="709"/>
      <c r="Q107" s="652"/>
      <c r="R107" s="700"/>
      <c r="S107" s="700"/>
      <c r="T107" s="652"/>
      <c r="U107" s="652"/>
      <c r="V107" s="652"/>
      <c r="W107" s="700"/>
      <c r="X107" s="700"/>
      <c r="Y107" s="652">
        <v>0</v>
      </c>
      <c r="Z107" s="652">
        <v>0</v>
      </c>
      <c r="AA107" s="1781">
        <v>4120</v>
      </c>
      <c r="AB107" s="1997">
        <v>0</v>
      </c>
      <c r="AC107" s="2156"/>
      <c r="AD107" s="2156">
        <v>2149</v>
      </c>
      <c r="AE107" s="1781"/>
      <c r="AF107" s="1781"/>
      <c r="AG107" s="1781"/>
      <c r="AH107" s="2156"/>
      <c r="AI107" s="1781">
        <v>191</v>
      </c>
      <c r="AJ107" s="1781"/>
      <c r="AK107" s="1781"/>
      <c r="AL107" s="1781"/>
      <c r="AM107" s="1781"/>
      <c r="AN107" s="652"/>
      <c r="AO107" s="1675">
        <f>SUMIFS(C107:AA107,$C$1:$AA$1,'#经营概况'!$B$1,$C$2:$AA$2,'#经营概况'!$B$2)-SUMIFS(C107:AA107,$C$1:$AA$1,'#经营概况'!$B$1,$C$2:$AA$2,'#经营概况'!$B$2-1)</f>
        <v>0</v>
      </c>
    </row>
    <row r="108" spans="1:46" ht="15.75" thickTop="1" thickBot="1">
      <c r="A108" s="653"/>
      <c r="B108" s="653"/>
      <c r="C108" s="653"/>
      <c r="D108" s="653"/>
      <c r="E108" s="653"/>
      <c r="F108" s="653"/>
      <c r="G108" s="653"/>
      <c r="H108" s="702"/>
      <c r="I108" s="702"/>
      <c r="J108" s="702"/>
      <c r="K108" s="702"/>
      <c r="L108" s="702"/>
      <c r="M108" s="702"/>
      <c r="N108" s="702"/>
      <c r="O108" s="702"/>
      <c r="P108" s="653"/>
      <c r="Q108" s="653"/>
      <c r="R108" s="653"/>
      <c r="S108" s="653"/>
      <c r="T108" s="653"/>
      <c r="U108" s="653"/>
      <c r="V108" s="653"/>
      <c r="W108" s="653"/>
      <c r="X108" s="653"/>
      <c r="Y108" s="653"/>
      <c r="Z108" s="653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1675">
        <f>SUMIFS(C108:AA108,$C$1:$AA$1,'#经营概况'!$B$1,$C$2:$AA$2,'#经营概况'!$B$2)-SUMIFS(C108:AA108,$C$1:$AA$1,'#经营概况'!$B$1,$C$2:$AA$2,'#经营概况'!$B$2-1)</f>
        <v>0</v>
      </c>
    </row>
    <row r="109" spans="1:46" ht="15" thickTop="1">
      <c r="A109" s="649" t="s">
        <v>789</v>
      </c>
      <c r="B109" s="649"/>
      <c r="C109" s="649"/>
      <c r="D109" s="690"/>
      <c r="E109" s="649"/>
      <c r="F109" s="649"/>
      <c r="G109" s="690"/>
      <c r="H109" s="690"/>
      <c r="I109" s="690"/>
      <c r="J109" s="690"/>
      <c r="K109" s="690"/>
      <c r="L109" s="690"/>
      <c r="M109" s="690"/>
      <c r="N109" s="690"/>
      <c r="O109" s="690"/>
      <c r="P109" s="649"/>
      <c r="Q109" s="649"/>
      <c r="R109" s="649"/>
      <c r="S109" s="649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1675">
        <f>SUMIFS(C109:AA109,$C$1:$AA$1,'#经营概况'!$B$1,$C$2:$AA$2,'#经营概况'!$B$2)-SUMIFS(C109:AA109,$C$1:$AA$1,'#经营概况'!$B$1,$C$2:$AA$2,'#经营概况'!$B$2-1)</f>
        <v>0</v>
      </c>
      <c r="AP109" s="1757" t="s">
        <v>180</v>
      </c>
      <c r="AQ109" s="1757" t="s">
        <v>1200</v>
      </c>
      <c r="AR109" s="1757" t="s">
        <v>1203</v>
      </c>
      <c r="AS109" s="1758" t="s">
        <v>1204</v>
      </c>
      <c r="AT109" s="1758" t="s">
        <v>1205</v>
      </c>
    </row>
    <row r="110" spans="1:46" ht="17.100000000000001" customHeight="1">
      <c r="A110" s="703" t="s">
        <v>790</v>
      </c>
      <c r="B110" s="703"/>
      <c r="C110" s="703">
        <v>1048</v>
      </c>
      <c r="D110" s="704">
        <v>4205</v>
      </c>
      <c r="E110" s="704">
        <v>4582</v>
      </c>
      <c r="F110" s="704">
        <v>4042</v>
      </c>
      <c r="G110" s="704">
        <v>4126</v>
      </c>
      <c r="H110" s="704">
        <v>3991</v>
      </c>
      <c r="I110" s="704">
        <v>4047</v>
      </c>
      <c r="J110" s="704">
        <v>4625</v>
      </c>
      <c r="K110" s="704">
        <v>6506</v>
      </c>
      <c r="L110" s="704">
        <v>6225</v>
      </c>
      <c r="M110" s="704">
        <v>7085</v>
      </c>
      <c r="N110" s="704">
        <v>4791</v>
      </c>
      <c r="O110" s="704">
        <f>-6503+9000+3449</f>
        <v>5946</v>
      </c>
      <c r="P110" s="710">
        <v>8177</v>
      </c>
      <c r="Q110" s="206">
        <v>7738</v>
      </c>
      <c r="R110" s="238">
        <v>6285</v>
      </c>
      <c r="S110" s="206">
        <v>6615</v>
      </c>
      <c r="T110" s="206">
        <v>6367</v>
      </c>
      <c r="U110" s="206">
        <v>7096</v>
      </c>
      <c r="V110" s="206">
        <v>-1354</v>
      </c>
      <c r="W110" s="206">
        <v>4637</v>
      </c>
      <c r="X110" s="206">
        <v>6549</v>
      </c>
      <c r="Y110" s="206">
        <f>8862-5256</f>
        <v>3606</v>
      </c>
      <c r="Z110" s="206">
        <v>-7658</v>
      </c>
      <c r="AA110" s="206">
        <f>-13350</f>
        <v>-13350</v>
      </c>
      <c r="AB110" s="206">
        <f>AB146</f>
        <v>10257</v>
      </c>
      <c r="AC110" s="206">
        <f t="shared" ref="AC110" si="136">AC146</f>
        <v>12363</v>
      </c>
      <c r="AD110" s="206">
        <f t="shared" ref="AD110:AM110" si="137">AD146</f>
        <v>18547</v>
      </c>
      <c r="AE110" s="206">
        <f t="shared" si="137"/>
        <v>22279</v>
      </c>
      <c r="AF110" s="206">
        <f t="shared" si="137"/>
        <v>24494</v>
      </c>
      <c r="AG110" s="206">
        <f t="shared" si="137"/>
        <v>28720</v>
      </c>
      <c r="AH110" s="206">
        <f t="shared" si="137"/>
        <v>33287</v>
      </c>
      <c r="AI110" s="206">
        <f t="shared" si="137"/>
        <v>25742</v>
      </c>
      <c r="AJ110" s="206">
        <f t="shared" si="137"/>
        <v>0</v>
      </c>
      <c r="AK110" s="206">
        <f t="shared" si="137"/>
        <v>0</v>
      </c>
      <c r="AL110" s="206">
        <f t="shared" si="137"/>
        <v>0</v>
      </c>
      <c r="AM110" s="206">
        <f t="shared" si="137"/>
        <v>0</v>
      </c>
      <c r="AO110" s="1675">
        <f>SUMIFS(C110:AA110,$C$1:$AA$1,'#经营概况'!$B$1,$C$2:$AA$2,'#经营概况'!$B$2)-SUMIFS(C110:AA110,$C$1:$AA$1,'#经营概况'!$B$1,$C$2:$AA$2,'#经营概况'!$B$2-1)</f>
        <v>0</v>
      </c>
      <c r="AP110" s="1759">
        <v>5124</v>
      </c>
      <c r="AQ110" s="1759">
        <v>3756</v>
      </c>
      <c r="AR110" s="1759">
        <v>5162</v>
      </c>
      <c r="AS110" s="1759">
        <v>1317</v>
      </c>
      <c r="AT110" s="1759">
        <v>2416</v>
      </c>
    </row>
    <row r="111" spans="1:46" ht="17.100000000000001" customHeight="1">
      <c r="A111" s="703" t="s">
        <v>791</v>
      </c>
      <c r="B111" s="703"/>
      <c r="C111" s="703">
        <v>-621</v>
      </c>
      <c r="D111" s="704">
        <v>772</v>
      </c>
      <c r="E111" s="704">
        <v>1802</v>
      </c>
      <c r="F111" s="704">
        <v>884</v>
      </c>
      <c r="G111" s="704">
        <v>1647</v>
      </c>
      <c r="H111" s="704">
        <v>2903</v>
      </c>
      <c r="I111" s="704">
        <v>1739</v>
      </c>
      <c r="J111" s="704">
        <v>-524</v>
      </c>
      <c r="K111" s="704">
        <v>3484</v>
      </c>
      <c r="L111" s="704">
        <v>3495</v>
      </c>
      <c r="M111" s="704">
        <v>3673</v>
      </c>
      <c r="N111" s="704">
        <f>3437</f>
        <v>3437</v>
      </c>
      <c r="O111" s="704">
        <f>-5602+1616+7645</f>
        <v>3659</v>
      </c>
      <c r="P111" s="711"/>
      <c r="Q111" s="698"/>
      <c r="R111" s="238"/>
      <c r="AO111" s="1675">
        <f>SUMIFS(C111:AA111,$C$1:$AA$1,'#经营概况'!$B$1,$C$2:$AA$2,'#经营概况'!$B$2)-SUMIFS(C111:AA111,$C$1:$AA$1,'#经营概况'!$B$1,$C$2:$AA$2,'#经营概况'!$B$2-1)</f>
        <v>0</v>
      </c>
    </row>
    <row r="112" spans="1:46" ht="17.100000000000001" customHeight="1">
      <c r="A112" s="703" t="s">
        <v>792</v>
      </c>
      <c r="B112" s="703"/>
      <c r="C112" s="703">
        <v>161</v>
      </c>
      <c r="D112" s="704">
        <v>595</v>
      </c>
      <c r="E112" s="704">
        <v>782</v>
      </c>
      <c r="F112" s="704">
        <v>815</v>
      </c>
      <c r="G112" s="704">
        <v>797</v>
      </c>
      <c r="H112" s="704">
        <f>558</f>
        <v>558</v>
      </c>
      <c r="I112" s="704">
        <v>962</v>
      </c>
      <c r="J112" s="704">
        <v>644</v>
      </c>
      <c r="K112" s="704">
        <v>436</v>
      </c>
      <c r="L112" s="704">
        <v>926</v>
      </c>
      <c r="M112" s="704">
        <v>7</v>
      </c>
      <c r="N112" s="704">
        <v>761</v>
      </c>
      <c r="O112" s="704">
        <f>481+183</f>
        <v>664</v>
      </c>
      <c r="P112" s="710">
        <v>138</v>
      </c>
      <c r="Q112" s="206">
        <v>1449</v>
      </c>
      <c r="R112" s="238">
        <v>1099</v>
      </c>
      <c r="S112" s="206">
        <v>944</v>
      </c>
      <c r="T112" s="206">
        <v>694</v>
      </c>
      <c r="U112" s="206">
        <v>1260</v>
      </c>
      <c r="V112" s="206">
        <v>232</v>
      </c>
      <c r="W112" s="206">
        <v>499</v>
      </c>
      <c r="X112" s="206">
        <v>1367</v>
      </c>
      <c r="Y112" s="206">
        <f>X112-201</f>
        <v>1166</v>
      </c>
      <c r="Z112" s="206">
        <v>175</v>
      </c>
      <c r="AA112" s="206">
        <f>-26363</f>
        <v>-26363</v>
      </c>
      <c r="AB112" s="206">
        <f>AB149</f>
        <v>699</v>
      </c>
      <c r="AC112" s="206">
        <f t="shared" ref="AC112:AD112" si="138">AC149</f>
        <v>1191</v>
      </c>
      <c r="AD112" s="206">
        <f t="shared" si="138"/>
        <v>1116</v>
      </c>
      <c r="AE112" s="206">
        <f t="shared" ref="AE112:AM112" si="139">AE149</f>
        <v>1051</v>
      </c>
      <c r="AF112" s="206">
        <f t="shared" si="139"/>
        <v>1095</v>
      </c>
      <c r="AG112" s="206">
        <f t="shared" si="139"/>
        <v>765</v>
      </c>
      <c r="AH112" s="206">
        <f t="shared" si="139"/>
        <v>572</v>
      </c>
      <c r="AI112" s="206">
        <f t="shared" si="139"/>
        <v>853</v>
      </c>
      <c r="AJ112" s="206">
        <f t="shared" si="139"/>
        <v>0</v>
      </c>
      <c r="AK112" s="206">
        <f t="shared" si="139"/>
        <v>0</v>
      </c>
      <c r="AL112" s="206">
        <f t="shared" si="139"/>
        <v>0</v>
      </c>
      <c r="AM112" s="206">
        <f t="shared" si="139"/>
        <v>0</v>
      </c>
      <c r="AO112" s="1675">
        <f>SUMIFS(C112:AA112,$C$1:$AA$1,'#经营概况'!$B$1,$C$2:$AA$2,'#经营概况'!$B$2)-SUMIFS(C112:AA112,$C$1:$AA$1,'#经营概况'!$B$1,$C$2:$AA$2,'#经营概况'!$B$2-1)</f>
        <v>0</v>
      </c>
      <c r="AP112" s="1759"/>
      <c r="AQ112" s="1759">
        <v>590</v>
      </c>
      <c r="AR112" s="1759"/>
      <c r="AS112" s="1759">
        <v>26586</v>
      </c>
      <c r="AT112" s="1759">
        <v>174</v>
      </c>
    </row>
    <row r="113" spans="1:51" ht="17.100000000000001" customHeight="1">
      <c r="A113" s="703" t="s">
        <v>555</v>
      </c>
      <c r="B113" s="703"/>
      <c r="C113" s="703">
        <v>-323</v>
      </c>
      <c r="D113" s="704">
        <v>-74</v>
      </c>
      <c r="E113" s="704">
        <v>14</v>
      </c>
      <c r="F113" s="704">
        <v>25</v>
      </c>
      <c r="G113" s="704">
        <v>124</v>
      </c>
      <c r="H113" s="704">
        <v>189</v>
      </c>
      <c r="I113" s="704">
        <v>130</v>
      </c>
      <c r="J113" s="704">
        <v>13</v>
      </c>
      <c r="K113" s="704">
        <v>94</v>
      </c>
      <c r="L113" s="704">
        <v>13</v>
      </c>
      <c r="M113" s="704">
        <v>-26</v>
      </c>
      <c r="N113" s="704">
        <f>-43-275</f>
        <v>-318</v>
      </c>
      <c r="O113" s="704">
        <f>-612+71</f>
        <v>-541</v>
      </c>
      <c r="P113" s="710">
        <v>-95</v>
      </c>
      <c r="Q113" s="206">
        <v>1</v>
      </c>
      <c r="R113" s="238">
        <v>35</v>
      </c>
      <c r="S113" s="206">
        <v>23</v>
      </c>
      <c r="T113" s="206">
        <v>-112</v>
      </c>
      <c r="U113" s="206">
        <v>6</v>
      </c>
      <c r="V113" s="206">
        <v>-172</v>
      </c>
      <c r="W113" s="206">
        <v>-44</v>
      </c>
      <c r="X113" s="206">
        <v>-156</v>
      </c>
      <c r="Y113" s="206">
        <v>-117</v>
      </c>
      <c r="Z113" s="206">
        <v>-1057</v>
      </c>
      <c r="AA113" s="238">
        <f>-2378</f>
        <v>-2378</v>
      </c>
      <c r="AB113" s="238">
        <f>AB152</f>
        <v>149</v>
      </c>
      <c r="AC113" s="238">
        <f t="shared" ref="AC113:AD113" si="140">AC152</f>
        <v>105</v>
      </c>
      <c r="AD113" s="238">
        <f t="shared" si="140"/>
        <v>242</v>
      </c>
      <c r="AE113" s="238">
        <f t="shared" ref="AE113:AM113" si="141">AE152</f>
        <v>187</v>
      </c>
      <c r="AF113" s="238">
        <f t="shared" si="141"/>
        <v>157</v>
      </c>
      <c r="AG113" s="238">
        <f t="shared" si="141"/>
        <v>71</v>
      </c>
      <c r="AH113" s="238">
        <f t="shared" si="141"/>
        <v>-336</v>
      </c>
      <c r="AI113" s="238">
        <f t="shared" si="141"/>
        <v>57</v>
      </c>
      <c r="AJ113" s="238">
        <f t="shared" si="141"/>
        <v>0</v>
      </c>
      <c r="AK113" s="238">
        <f t="shared" si="141"/>
        <v>0</v>
      </c>
      <c r="AL113" s="238">
        <f t="shared" si="141"/>
        <v>0</v>
      </c>
      <c r="AM113" s="238">
        <f t="shared" si="141"/>
        <v>0</v>
      </c>
      <c r="AO113" s="1675">
        <f>SUMIFS(C113:AA113,$C$1:$AA$1,'#经营概况'!$B$1,$C$2:$AA$2,'#经营概况'!$B$2)-SUMIFS(C113:AA113,$C$1:$AA$1,'#经营概况'!$B$1,$C$2:$AA$2,'#经营概况'!$B$2-1)</f>
        <v>0</v>
      </c>
      <c r="AP113" s="1759"/>
      <c r="AQ113" s="1759">
        <v>602.89</v>
      </c>
      <c r="AR113" s="1759"/>
      <c r="AS113" s="1759">
        <v>133</v>
      </c>
      <c r="AT113" s="1759">
        <v>1179</v>
      </c>
      <c r="AV113" s="186"/>
    </row>
    <row r="114" spans="1:51" ht="17.100000000000001" customHeight="1">
      <c r="A114" s="703" t="s">
        <v>64</v>
      </c>
      <c r="B114" s="703"/>
      <c r="C114" s="663">
        <f t="shared" ref="C114:O114" si="142">C115-C110-C111-C112-C113</f>
        <v>4255</v>
      </c>
      <c r="D114" s="295">
        <f t="shared" si="142"/>
        <v>2150</v>
      </c>
      <c r="E114" s="295">
        <f t="shared" si="142"/>
        <v>2518</v>
      </c>
      <c r="F114" s="295">
        <f t="shared" si="142"/>
        <v>1934</v>
      </c>
      <c r="G114" s="295">
        <f t="shared" si="142"/>
        <v>4066</v>
      </c>
      <c r="H114" s="295">
        <f t="shared" si="142"/>
        <v>4579</v>
      </c>
      <c r="I114" s="295">
        <f t="shared" si="142"/>
        <v>5182</v>
      </c>
      <c r="J114" s="295">
        <f t="shared" si="142"/>
        <v>6460</v>
      </c>
      <c r="K114" s="295">
        <f t="shared" si="142"/>
        <v>3175</v>
      </c>
      <c r="L114" s="295">
        <f t="shared" si="142"/>
        <v>322</v>
      </c>
      <c r="M114" s="295">
        <f t="shared" si="142"/>
        <v>773</v>
      </c>
      <c r="N114" s="295">
        <f t="shared" si="142"/>
        <v>339.52076099999977</v>
      </c>
      <c r="O114" s="295">
        <f t="shared" si="142"/>
        <v>695</v>
      </c>
      <c r="P114" s="314">
        <f>P115-P110-P112-P113</f>
        <v>331.63932100000056</v>
      </c>
      <c r="Q114" s="314">
        <f>Q115-Q110-Q112-Q113</f>
        <v>75</v>
      </c>
      <c r="R114" s="314">
        <f>R115-R110-R112-R113</f>
        <v>225</v>
      </c>
      <c r="S114" s="314">
        <f>S115-S110-S112-S113</f>
        <v>175</v>
      </c>
      <c r="T114" s="314">
        <f>T115-T110-T112-T113</f>
        <v>694</v>
      </c>
      <c r="U114" s="314">
        <f t="shared" ref="U114:Z114" si="143">U115-U110-U112-U113</f>
        <v>-4811</v>
      </c>
      <c r="V114" s="314">
        <f t="shared" si="143"/>
        <v>465</v>
      </c>
      <c r="W114" s="314">
        <f t="shared" si="143"/>
        <v>-491</v>
      </c>
      <c r="X114" s="314">
        <f t="shared" si="143"/>
        <v>478</v>
      </c>
      <c r="Y114" s="314">
        <f t="shared" si="143"/>
        <v>1357</v>
      </c>
      <c r="Z114" s="314">
        <f t="shared" si="143"/>
        <v>8209</v>
      </c>
      <c r="AA114" s="314">
        <f>AA115-AA110-AA112-AA113</f>
        <v>-1660.0002269999968</v>
      </c>
      <c r="AB114" s="314">
        <f t="shared" ref="AB114" si="144">AB115-AB110-AB112-AB113</f>
        <v>452.35106099999939</v>
      </c>
      <c r="AC114" s="314">
        <f t="shared" ref="AC114:AD114" si="145">AC115-AC110-AC112-AC113</f>
        <v>972.75491400000101</v>
      </c>
      <c r="AD114" s="314">
        <f t="shared" si="145"/>
        <v>624</v>
      </c>
      <c r="AE114" s="314">
        <f t="shared" ref="AE114:AM114" si="146">AE115-AE110-AE112-AE113</f>
        <v>308</v>
      </c>
      <c r="AF114" s="314">
        <f t="shared" si="146"/>
        <v>1619</v>
      </c>
      <c r="AG114" s="314">
        <f t="shared" si="146"/>
        <v>1193</v>
      </c>
      <c r="AH114" s="314">
        <f t="shared" si="146"/>
        <v>-1889</v>
      </c>
      <c r="AI114" s="314">
        <f t="shared" si="146"/>
        <v>-415</v>
      </c>
      <c r="AJ114" s="314">
        <f t="shared" si="146"/>
        <v>0</v>
      </c>
      <c r="AK114" s="314">
        <f t="shared" si="146"/>
        <v>0</v>
      </c>
      <c r="AL114" s="314">
        <f t="shared" si="146"/>
        <v>0</v>
      </c>
      <c r="AM114" s="314">
        <f t="shared" si="146"/>
        <v>0</v>
      </c>
      <c r="AO114" s="1675">
        <f>SUMIFS(C114:AA114,$C$1:$AA$1,'#经营概况'!$B$1,$C$2:$AA$2,'#经营概况'!$B$2)-SUMIFS(C114:AA114,$C$1:$AA$1,'#经营概况'!$B$1,$C$2:$AA$2,'#经营概况'!$B$2-1)</f>
        <v>0</v>
      </c>
    </row>
    <row r="115" spans="1:51" ht="15" thickBot="1">
      <c r="A115" s="648" t="s">
        <v>793</v>
      </c>
      <c r="B115" s="689">
        <f>SUM(B109:B114)</f>
        <v>0</v>
      </c>
      <c r="C115" s="689">
        <f>3710+810</f>
        <v>4520</v>
      </c>
      <c r="D115" s="705">
        <v>7648</v>
      </c>
      <c r="E115" s="705">
        <v>9698</v>
      </c>
      <c r="F115" s="705">
        <v>7700</v>
      </c>
      <c r="G115" s="705">
        <v>10760</v>
      </c>
      <c r="H115" s="705">
        <v>12220</v>
      </c>
      <c r="I115" s="705">
        <f>7060+5000</f>
        <v>12060</v>
      </c>
      <c r="J115" s="705">
        <v>11218</v>
      </c>
      <c r="K115" s="705">
        <v>13695</v>
      </c>
      <c r="L115" s="705">
        <v>10981</v>
      </c>
      <c r="M115" s="705">
        <v>11512</v>
      </c>
      <c r="N115" s="705">
        <f>10971.520761-1961</f>
        <v>9010.5207609999998</v>
      </c>
      <c r="O115" s="705">
        <f>-11541+9000+5319+7645</f>
        <v>10423</v>
      </c>
      <c r="P115" s="712">
        <v>8551.6393210000006</v>
      </c>
      <c r="Q115" s="648">
        <v>9263</v>
      </c>
      <c r="R115" s="689">
        <v>7644</v>
      </c>
      <c r="S115" s="648">
        <v>7757</v>
      </c>
      <c r="T115" s="648">
        <v>7643</v>
      </c>
      <c r="U115" s="716">
        <f>9174-5623</f>
        <v>3551</v>
      </c>
      <c r="V115" s="648">
        <v>-829</v>
      </c>
      <c r="W115" s="648">
        <v>4601</v>
      </c>
      <c r="X115" s="648">
        <v>8238</v>
      </c>
      <c r="Y115" s="648">
        <f>11391-123-5256</f>
        <v>6012</v>
      </c>
      <c r="Z115" s="648">
        <v>-331</v>
      </c>
      <c r="AA115" s="689">
        <f>AA117</f>
        <v>-43751.000226999997</v>
      </c>
      <c r="AB115" s="689">
        <f t="shared" ref="AB115" si="147">AB117</f>
        <v>11557.351060999999</v>
      </c>
      <c r="AC115" s="689">
        <f t="shared" ref="AC115" si="148">AC117</f>
        <v>14631.754914000001</v>
      </c>
      <c r="AD115" s="689">
        <f t="shared" ref="AD115:AM115" si="149">AD156</f>
        <v>20529</v>
      </c>
      <c r="AE115" s="689">
        <f t="shared" si="149"/>
        <v>23825</v>
      </c>
      <c r="AF115" s="689">
        <f>AF156</f>
        <v>27365</v>
      </c>
      <c r="AG115" s="689">
        <f>AG156</f>
        <v>30749</v>
      </c>
      <c r="AH115" s="689">
        <f t="shared" si="149"/>
        <v>31634</v>
      </c>
      <c r="AI115" s="689">
        <f t="shared" si="149"/>
        <v>26237</v>
      </c>
      <c r="AJ115" s="689">
        <f t="shared" si="149"/>
        <v>0</v>
      </c>
      <c r="AK115" s="689">
        <f t="shared" si="149"/>
        <v>0</v>
      </c>
      <c r="AL115" s="689">
        <f t="shared" si="149"/>
        <v>0</v>
      </c>
      <c r="AM115" s="689">
        <f t="shared" si="149"/>
        <v>0</v>
      </c>
      <c r="AN115" s="648"/>
      <c r="AO115" s="1675">
        <f>SUMIFS(C115:AA115,$C$1:$AA$1,'#经营概况'!$B$1,$C$2:$AA$2,'#经营概况'!$B$2)-SUMIFS(C115:AA115,$C$1:$AA$1,'#经营概况'!$B$1,$C$2:$AA$2,'#经营概况'!$B$2-1)</f>
        <v>0</v>
      </c>
    </row>
    <row r="116" spans="1:51" ht="15" thickTop="1">
      <c r="D116" s="238"/>
      <c r="E116" s="238"/>
      <c r="F116" s="238"/>
      <c r="G116" s="238"/>
      <c r="H116" s="238"/>
      <c r="I116" s="238"/>
      <c r="J116" s="238"/>
      <c r="K116" s="238"/>
      <c r="L116" s="238"/>
      <c r="M116" s="238"/>
      <c r="N116" s="238"/>
      <c r="O116" s="238"/>
      <c r="R116" s="238">
        <f t="shared" ref="R116:AA116" si="150">R115-R117</f>
        <v>-0.34317899999950896</v>
      </c>
      <c r="S116" s="238">
        <f t="shared" si="150"/>
        <v>0.5011080000003858</v>
      </c>
      <c r="T116" s="238">
        <f t="shared" si="150"/>
        <v>0.52541699999983393</v>
      </c>
      <c r="U116" s="238">
        <f t="shared" si="150"/>
        <v>-0.14140399999951114</v>
      </c>
      <c r="V116" s="238">
        <f t="shared" si="150"/>
        <v>0.34500099999991107</v>
      </c>
      <c r="W116" s="238">
        <f t="shared" si="150"/>
        <v>8.5812999999689055E-2</v>
      </c>
      <c r="X116" s="238">
        <f t="shared" si="150"/>
        <v>-0.33434699999997974</v>
      </c>
      <c r="Y116" s="238">
        <f t="shared" si="150"/>
        <v>8.5259000000405649E-2</v>
      </c>
      <c r="Z116" s="238">
        <f t="shared" si="150"/>
        <v>0.32239599999957136</v>
      </c>
      <c r="AA116" s="238">
        <f t="shared" si="150"/>
        <v>0</v>
      </c>
      <c r="AB116" s="238">
        <f>AB115-AB117</f>
        <v>0</v>
      </c>
      <c r="AC116" s="238">
        <f t="shared" ref="AC116:AM116" si="151">AC115-AC117</f>
        <v>0</v>
      </c>
      <c r="AD116" s="238">
        <f>AD115-AD117</f>
        <v>4.5127999997930601E-2</v>
      </c>
      <c r="AE116" s="238">
        <f t="shared" si="151"/>
        <v>1303.4003560000019</v>
      </c>
      <c r="AF116" s="238">
        <f t="shared" si="151"/>
        <v>0.1259490000011283</v>
      </c>
      <c r="AG116" s="238">
        <f t="shared" si="151"/>
        <v>-0.38586299999951734</v>
      </c>
      <c r="AH116" s="238">
        <f t="shared" si="151"/>
        <v>5.2647000004071742E-2</v>
      </c>
      <c r="AI116" s="238">
        <f t="shared" si="151"/>
        <v>0.10129500000039116</v>
      </c>
      <c r="AJ116" s="238">
        <f t="shared" si="151"/>
        <v>0</v>
      </c>
      <c r="AK116" s="238">
        <f t="shared" si="151"/>
        <v>0</v>
      </c>
      <c r="AL116" s="238">
        <f t="shared" si="151"/>
        <v>0</v>
      </c>
      <c r="AM116" s="238">
        <f t="shared" si="151"/>
        <v>0</v>
      </c>
      <c r="AO116" s="1675">
        <f>SUMIFS(C116:AA116,$C$1:$AA$1,'#经营概况'!$B$1,$C$2:$AA$2,'#经营概况'!$B$2)-SUMIFS(C116:AA116,$C$1:$AA$1,'#经营概况'!$B$1,$C$2:$AA$2,'#经营概况'!$B$2-1)</f>
        <v>0</v>
      </c>
    </row>
    <row r="117" spans="1:51">
      <c r="A117" s="654" t="s">
        <v>794</v>
      </c>
      <c r="B117" s="654"/>
      <c r="C117" s="654"/>
      <c r="D117" s="706">
        <f t="shared" ref="D117:N117" si="152">D3+D21</f>
        <v>7648.953152</v>
      </c>
      <c r="E117" s="706">
        <f t="shared" si="152"/>
        <v>9697.6724570000006</v>
      </c>
      <c r="F117" s="706">
        <f t="shared" si="152"/>
        <v>7700.2421250000007</v>
      </c>
      <c r="G117" s="706">
        <f t="shared" si="152"/>
        <v>10759.827817000001</v>
      </c>
      <c r="H117" s="706">
        <f t="shared" si="152"/>
        <v>12220.041051</v>
      </c>
      <c r="I117" s="706">
        <f t="shared" si="152"/>
        <v>12059.517841000001</v>
      </c>
      <c r="J117" s="713">
        <f t="shared" si="152"/>
        <v>11218.083967</v>
      </c>
      <c r="K117" s="713">
        <f t="shared" si="152"/>
        <v>13695.214207999999</v>
      </c>
      <c r="L117" s="713">
        <f t="shared" si="152"/>
        <v>10980.875945000002</v>
      </c>
      <c r="M117" s="713">
        <f t="shared" si="152"/>
        <v>11512.116859999998</v>
      </c>
      <c r="N117" s="713">
        <f t="shared" si="152"/>
        <v>9010.5207609999998</v>
      </c>
      <c r="O117" s="713">
        <f>O3+O21-894</f>
        <v>9529.2184750000015</v>
      </c>
      <c r="P117" s="713">
        <f>P3+P21</f>
        <v>8551.6393210000006</v>
      </c>
      <c r="Q117" s="713">
        <f>Q3+Q21</f>
        <v>9262.9759450000001</v>
      </c>
      <c r="R117" s="713">
        <f>R3+R21</f>
        <v>7644.3431789999995</v>
      </c>
      <c r="S117" s="713">
        <f>S3+S21</f>
        <v>7756.4988919999996</v>
      </c>
      <c r="T117" s="713">
        <f>T3+T21</f>
        <v>7642.4745830000002</v>
      </c>
      <c r="U117" s="713">
        <f t="shared" ref="U117:Z117" si="153">U3+U21</f>
        <v>3551.1414039999995</v>
      </c>
      <c r="V117" s="713">
        <f t="shared" si="153"/>
        <v>-829.34500099999991</v>
      </c>
      <c r="W117" s="713">
        <f t="shared" si="153"/>
        <v>4600.9141870000003</v>
      </c>
      <c r="X117" s="713">
        <f t="shared" si="153"/>
        <v>8238.334347</v>
      </c>
      <c r="Y117" s="713">
        <f t="shared" si="153"/>
        <v>6011.9147409999996</v>
      </c>
      <c r="Z117" s="713">
        <f t="shared" si="153"/>
        <v>-331.32239599999957</v>
      </c>
      <c r="AA117" s="713">
        <f>AA3+AA21</f>
        <v>-43751.000226999997</v>
      </c>
      <c r="AB117" s="713">
        <f>AB3+AB21</f>
        <v>11557.351060999999</v>
      </c>
      <c r="AC117" s="713">
        <f t="shared" ref="AC117:AM117" si="154">AC3+AC21</f>
        <v>14631.754914000001</v>
      </c>
      <c r="AD117" s="713">
        <f t="shared" si="154"/>
        <v>20528.954872000002</v>
      </c>
      <c r="AE117" s="713">
        <f t="shared" si="154"/>
        <v>22521.599643999998</v>
      </c>
      <c r="AF117" s="713">
        <f t="shared" si="154"/>
        <v>27364.874050999999</v>
      </c>
      <c r="AG117" s="713">
        <f t="shared" si="154"/>
        <v>30749.385863</v>
      </c>
      <c r="AH117" s="713">
        <f t="shared" si="154"/>
        <v>31633.947352999996</v>
      </c>
      <c r="AI117" s="713">
        <f t="shared" si="154"/>
        <v>26236.898705</v>
      </c>
      <c r="AJ117" s="713">
        <f t="shared" si="154"/>
        <v>0</v>
      </c>
      <c r="AK117" s="713">
        <f t="shared" si="154"/>
        <v>0</v>
      </c>
      <c r="AL117" s="713">
        <f t="shared" si="154"/>
        <v>0</v>
      </c>
      <c r="AM117" s="713">
        <f t="shared" si="154"/>
        <v>0</v>
      </c>
      <c r="AN117" s="654"/>
      <c r="AO117" s="1675">
        <f>SUMIFS(C117:AA117,$C$1:$AA$1,'#经营概况'!$B$1,$C$2:$AA$2,'#经营概况'!$B$2)-SUMIFS(C117:AA117,$C$1:$AA$1,'#经营概况'!$B$1,$C$2:$AA$2,'#经营概况'!$B$2-1)</f>
        <v>0</v>
      </c>
      <c r="AR117" s="186">
        <f>Z117+8506</f>
        <v>8174.6776040000004</v>
      </c>
      <c r="AS117" s="186">
        <f>AA117+AA116</f>
        <v>-43751.000226999997</v>
      </c>
    </row>
    <row r="118" spans="1:51" ht="17.100000000000001" customHeight="1">
      <c r="A118" s="703" t="s">
        <v>795</v>
      </c>
      <c r="B118" s="295">
        <f t="shared" ref="B118:Z118" si="155">B15+B19</f>
        <v>49595.444644860981</v>
      </c>
      <c r="C118" s="295">
        <f t="shared" si="155"/>
        <v>3100.2030532339995</v>
      </c>
      <c r="D118" s="295">
        <f t="shared" si="155"/>
        <v>3990.6786568359967</v>
      </c>
      <c r="E118" s="295">
        <f t="shared" si="155"/>
        <v>5288.3106819999957</v>
      </c>
      <c r="F118" s="295">
        <f t="shared" si="155"/>
        <v>4573.0805630499963</v>
      </c>
      <c r="G118" s="295">
        <f t="shared" si="155"/>
        <v>6876.8442200000027</v>
      </c>
      <c r="H118" s="295">
        <f t="shared" si="155"/>
        <v>7489.3758489999964</v>
      </c>
      <c r="I118" s="295">
        <f t="shared" si="155"/>
        <v>6848.5314030000009</v>
      </c>
      <c r="J118" s="314">
        <f t="shared" si="155"/>
        <v>10085.616353560999</v>
      </c>
      <c r="K118" s="314">
        <f t="shared" si="155"/>
        <v>11935.694695999999</v>
      </c>
      <c r="L118" s="314">
        <f t="shared" si="155"/>
        <v>16680.491396500009</v>
      </c>
      <c r="M118" s="314">
        <f t="shared" si="155"/>
        <v>17205.055574000005</v>
      </c>
      <c r="N118" s="314">
        <f t="shared" si="155"/>
        <v>17748.165704599996</v>
      </c>
      <c r="O118" s="314">
        <f t="shared" si="155"/>
        <v>18341.827640800002</v>
      </c>
      <c r="P118" s="314">
        <f t="shared" si="155"/>
        <v>16304.258034311999</v>
      </c>
      <c r="Q118" s="314">
        <f t="shared" si="155"/>
        <v>14069.534955643001</v>
      </c>
      <c r="R118" s="314">
        <f t="shared" si="155"/>
        <v>13258.224925299997</v>
      </c>
      <c r="S118" s="314">
        <f t="shared" si="155"/>
        <v>12317.766954699997</v>
      </c>
      <c r="T118" s="314">
        <f t="shared" si="155"/>
        <v>10079.005976200002</v>
      </c>
      <c r="U118" s="314">
        <f t="shared" si="155"/>
        <v>12465.700087699995</v>
      </c>
      <c r="V118" s="314">
        <f t="shared" si="155"/>
        <v>12896.726349000004</v>
      </c>
      <c r="W118" s="314">
        <f t="shared" si="155"/>
        <v>15165.951634999998</v>
      </c>
      <c r="X118" s="314">
        <f>X15+X19</f>
        <v>18529.656426000001</v>
      </c>
      <c r="Y118" s="314">
        <f t="shared" si="155"/>
        <v>13706.072234000007</v>
      </c>
      <c r="Z118" s="314">
        <f t="shared" si="155"/>
        <v>14930.857499999998</v>
      </c>
      <c r="AA118" s="314">
        <f>AA15+AA19</f>
        <v>10119.479281999993</v>
      </c>
      <c r="AB118" s="314">
        <f t="shared" ref="AB118:AM118" si="156">AB15+AB19</f>
        <v>7729.8277289999969</v>
      </c>
      <c r="AC118" s="314">
        <f>AC15+AC19</f>
        <v>14410.548011000006</v>
      </c>
      <c r="AD118" s="314">
        <f t="shared" si="156"/>
        <v>-18387.766346000004</v>
      </c>
      <c r="AE118" s="314">
        <f t="shared" si="156"/>
        <v>9713.3009099999908</v>
      </c>
      <c r="AF118" s="314">
        <f t="shared" si="156"/>
        <v>9412.4522780000116</v>
      </c>
      <c r="AG118" s="314">
        <f t="shared" si="156"/>
        <v>10359.635590000005</v>
      </c>
      <c r="AH118" s="314">
        <f t="shared" si="156"/>
        <v>5033.6742389999999</v>
      </c>
      <c r="AI118" s="314">
        <f t="shared" si="156"/>
        <v>6067.5189309999987</v>
      </c>
      <c r="AJ118" s="314">
        <f t="shared" si="156"/>
        <v>0</v>
      </c>
      <c r="AK118" s="314">
        <f t="shared" si="156"/>
        <v>0</v>
      </c>
      <c r="AL118" s="314">
        <f t="shared" si="156"/>
        <v>0</v>
      </c>
      <c r="AM118" s="314">
        <f t="shared" si="156"/>
        <v>0</v>
      </c>
      <c r="AO118" s="1675">
        <f>SUMIFS(C118:AA118,$C$1:$AA$1,'#经营概况'!$B$1,$C$2:$AA$2,'#经营概况'!$B$2)-SUMIFS(C118:AA118,$C$1:$AA$1,'#经营概况'!$B$1,$C$2:$AA$2,'#经营概况'!$B$2-1)</f>
        <v>0</v>
      </c>
      <c r="AQ118" s="186">
        <f>AA118-Z118</f>
        <v>-4811.3782180000053</v>
      </c>
      <c r="AS118" s="186">
        <f>AS117-AR117</f>
        <v>-51925.677830999994</v>
      </c>
    </row>
    <row r="119" spans="1:51" ht="17.100000000000001" customHeight="1">
      <c r="A119" s="703" t="s">
        <v>796</v>
      </c>
      <c r="B119" s="295"/>
      <c r="C119" s="295"/>
      <c r="D119" s="295"/>
      <c r="E119" s="295"/>
      <c r="F119" s="295"/>
      <c r="G119" s="295"/>
      <c r="H119" s="295"/>
      <c r="I119" s="295"/>
      <c r="J119" s="314"/>
      <c r="K119" s="314"/>
      <c r="L119" s="314"/>
      <c r="M119" s="314"/>
      <c r="N119" s="314"/>
      <c r="O119" s="314"/>
      <c r="P119" s="314">
        <f t="shared" ref="P119:AA119" si="157">P16+P20</f>
        <v>1384.4653978999995</v>
      </c>
      <c r="Q119" s="314">
        <f t="shared" si="157"/>
        <v>1369.9528298080004</v>
      </c>
      <c r="R119" s="314">
        <f t="shared" si="157"/>
        <v>389.16048183999919</v>
      </c>
      <c r="S119" s="314">
        <f t="shared" si="157"/>
        <v>195.96570256800078</v>
      </c>
      <c r="T119" s="314">
        <f t="shared" si="157"/>
        <v>93.622479984000165</v>
      </c>
      <c r="U119" s="314">
        <f>U16+U20</f>
        <v>-2244.4620427059999</v>
      </c>
      <c r="V119" s="314">
        <f t="shared" si="157"/>
        <v>344.85061200000018</v>
      </c>
      <c r="W119" s="314">
        <f t="shared" si="157"/>
        <v>28.848977999999988</v>
      </c>
      <c r="X119" s="314">
        <f>X16+X20</f>
        <v>547.84651099999974</v>
      </c>
      <c r="Y119" s="314">
        <f t="shared" si="157"/>
        <v>-671.37634499999876</v>
      </c>
      <c r="Z119" s="314">
        <f t="shared" si="157"/>
        <v>-199.92267399999946</v>
      </c>
      <c r="AA119" s="314">
        <f t="shared" si="157"/>
        <v>131.56454999999914</v>
      </c>
      <c r="AB119" s="314">
        <f t="shared" ref="AB119:AM119" si="158">AB16+AB20</f>
        <v>580.90931900000032</v>
      </c>
      <c r="AC119" s="314">
        <f t="shared" si="158"/>
        <v>720.93384800000058</v>
      </c>
      <c r="AD119" s="314">
        <f t="shared" si="158"/>
        <v>-1158.6704190000019</v>
      </c>
      <c r="AE119" s="314">
        <f t="shared" si="158"/>
        <v>46.874331999999413</v>
      </c>
      <c r="AF119" s="314">
        <f t="shared" si="158"/>
        <v>-63.732595999998011</v>
      </c>
      <c r="AG119" s="314">
        <f t="shared" si="158"/>
        <v>-137.10109200000079</v>
      </c>
      <c r="AH119" s="314">
        <f t="shared" si="158"/>
        <v>-134.88585500000045</v>
      </c>
      <c r="AI119" s="314">
        <f t="shared" si="158"/>
        <v>-200.28090900000097</v>
      </c>
      <c r="AJ119" s="314">
        <f t="shared" si="158"/>
        <v>0</v>
      </c>
      <c r="AK119" s="314">
        <f t="shared" si="158"/>
        <v>0</v>
      </c>
      <c r="AL119" s="314">
        <f t="shared" si="158"/>
        <v>0</v>
      </c>
      <c r="AM119" s="314">
        <f t="shared" si="158"/>
        <v>0</v>
      </c>
      <c r="AO119" s="1675">
        <f>SUMIFS(C119:AA119,$C$1:$AA$1,'#经营概况'!$B$1,$C$2:$AA$2,'#经营概况'!$B$2)-SUMIFS(C119:AA119,$C$1:$AA$1,'#经营概况'!$B$1,$C$2:$AA$2,'#经营概况'!$B$2-1)</f>
        <v>0</v>
      </c>
      <c r="AQ119" s="186">
        <f>AA119-Z119</f>
        <v>331.4872239999986</v>
      </c>
    </row>
    <row r="120" spans="1:51">
      <c r="A120" s="206" t="s">
        <v>797</v>
      </c>
      <c r="C120" s="238">
        <f t="shared" ref="C120:AA120" si="159">C31*2</f>
        <v>810.44791199999997</v>
      </c>
      <c r="D120" s="238">
        <f t="shared" si="159"/>
        <v>870.83247599999993</v>
      </c>
      <c r="E120" s="238">
        <f t="shared" si="159"/>
        <v>952.25644399999999</v>
      </c>
      <c r="F120" s="238">
        <f t="shared" si="159"/>
        <v>825.03844400000003</v>
      </c>
      <c r="G120" s="238">
        <f t="shared" si="159"/>
        <v>951.88388399999997</v>
      </c>
      <c r="H120" s="238">
        <f t="shared" si="159"/>
        <v>848.2382960000001</v>
      </c>
      <c r="I120" s="238">
        <f t="shared" si="159"/>
        <v>926.58984399999997</v>
      </c>
      <c r="J120" s="314">
        <f t="shared" si="159"/>
        <v>963.09746400000006</v>
      </c>
      <c r="K120" s="314">
        <f t="shared" si="159"/>
        <v>981.90844200000004</v>
      </c>
      <c r="L120" s="314">
        <f t="shared" si="159"/>
        <v>848.97276199999988</v>
      </c>
      <c r="M120" s="314">
        <f t="shared" si="159"/>
        <v>693.88992400000006</v>
      </c>
      <c r="N120" s="314">
        <f t="shared" si="159"/>
        <v>952.46745600000008</v>
      </c>
      <c r="O120" s="314">
        <f t="shared" si="159"/>
        <v>838.07299599999999</v>
      </c>
      <c r="P120" s="314">
        <f t="shared" si="159"/>
        <v>920.13542400000006</v>
      </c>
      <c r="Q120" s="314">
        <f t="shared" si="159"/>
        <v>907.65142400000002</v>
      </c>
      <c r="R120" s="314">
        <f t="shared" si="159"/>
        <v>934.75442399999997</v>
      </c>
      <c r="S120" s="314">
        <f t="shared" si="159"/>
        <v>938.71062200000006</v>
      </c>
      <c r="T120" s="314">
        <f t="shared" si="159"/>
        <v>863.00862200000006</v>
      </c>
      <c r="U120" s="314">
        <f t="shared" si="159"/>
        <v>931.26465800000005</v>
      </c>
      <c r="V120" s="314">
        <f t="shared" si="159"/>
        <v>1073.713536</v>
      </c>
      <c r="W120" s="314">
        <f t="shared" si="159"/>
        <v>990.07455199999993</v>
      </c>
      <c r="X120" s="314">
        <f t="shared" si="159"/>
        <v>913.34157141599985</v>
      </c>
      <c r="Y120" s="314">
        <f t="shared" si="159"/>
        <v>1060.114356</v>
      </c>
      <c r="Z120" s="314">
        <f t="shared" si="159"/>
        <v>1056.352652</v>
      </c>
      <c r="AA120" s="314">
        <f t="shared" si="159"/>
        <v>859.54366400000004</v>
      </c>
      <c r="AB120" s="314">
        <f t="shared" ref="AB120:AM120" si="160">AB31*2</f>
        <v>1329.374736</v>
      </c>
      <c r="AC120" s="314">
        <f t="shared" si="160"/>
        <v>1429.09646</v>
      </c>
      <c r="AD120" s="314">
        <f t="shared" si="160"/>
        <v>2326.470992</v>
      </c>
      <c r="AE120" s="314">
        <f t="shared" si="160"/>
        <v>2176.7518</v>
      </c>
      <c r="AF120" s="314">
        <f t="shared" si="160"/>
        <v>2263.9848080000002</v>
      </c>
      <c r="AG120" s="314">
        <f t="shared" si="160"/>
        <v>2357.8872139999999</v>
      </c>
      <c r="AH120" s="314">
        <f t="shared" si="160"/>
        <v>2703.8940219999999</v>
      </c>
      <c r="AI120" s="314">
        <f t="shared" si="160"/>
        <v>2414.1981500000002</v>
      </c>
      <c r="AJ120" s="314">
        <f t="shared" si="160"/>
        <v>0</v>
      </c>
      <c r="AK120" s="314">
        <f t="shared" si="160"/>
        <v>0</v>
      </c>
      <c r="AL120" s="314">
        <f t="shared" si="160"/>
        <v>0</v>
      </c>
      <c r="AM120" s="314">
        <f t="shared" si="160"/>
        <v>0</v>
      </c>
      <c r="AO120" s="1675">
        <f>SUMIFS(C120:AA120,$C$1:$AA$1,'#经营概况'!$B$1,$C$2:$AA$2,'#经营概况'!$B$2)-SUMIFS(C120:AA120,$C$1:$AA$1,'#经营概况'!$B$1,$C$2:$AA$2,'#经营概况'!$B$2-1)</f>
        <v>0</v>
      </c>
    </row>
    <row r="121" spans="1:51">
      <c r="A121" s="206" t="s">
        <v>798</v>
      </c>
      <c r="C121" s="238"/>
      <c r="D121" s="238"/>
      <c r="E121" s="238"/>
      <c r="F121" s="238"/>
      <c r="G121" s="238"/>
      <c r="H121" s="238"/>
      <c r="I121" s="238"/>
      <c r="J121" s="314"/>
      <c r="K121" s="314"/>
      <c r="L121" s="314"/>
      <c r="M121" s="314"/>
      <c r="N121" s="314"/>
      <c r="O121" s="314"/>
      <c r="P121" s="314"/>
      <c r="Q121" s="314">
        <f t="shared" ref="Q121:AA121" si="161">Q33*2</f>
        <v>0</v>
      </c>
      <c r="R121" s="314">
        <f t="shared" si="161"/>
        <v>387.0795</v>
      </c>
      <c r="S121" s="314">
        <f t="shared" si="161"/>
        <v>131.27019999999999</v>
      </c>
      <c r="T121" s="314">
        <f t="shared" si="161"/>
        <v>131.34450000000001</v>
      </c>
      <c r="U121" s="314">
        <f t="shared" si="161"/>
        <v>147.06675000000001</v>
      </c>
      <c r="V121" s="314">
        <f t="shared" si="161"/>
        <v>131.27175</v>
      </c>
      <c r="W121" s="314">
        <f t="shared" si="161"/>
        <v>127.527</v>
      </c>
      <c r="X121" s="314">
        <f t="shared" si="161"/>
        <v>22.576499999999999</v>
      </c>
      <c r="Y121" s="314">
        <f t="shared" si="161"/>
        <v>159.15848</v>
      </c>
      <c r="Z121" s="314">
        <f t="shared" si="161"/>
        <v>124.70171999999999</v>
      </c>
      <c r="AA121" s="314">
        <f t="shared" si="161"/>
        <v>162.99063999999998</v>
      </c>
      <c r="AB121" s="314">
        <f t="shared" ref="AB121:AM121" si="162">AB33*2</f>
        <v>149.47315999999998</v>
      </c>
      <c r="AC121" s="314">
        <f t="shared" si="162"/>
        <v>159.10172</v>
      </c>
      <c r="AD121" s="314">
        <f t="shared" si="162"/>
        <v>212.44943999999998</v>
      </c>
      <c r="AE121" s="314">
        <f t="shared" si="162"/>
        <v>213.24270000000001</v>
      </c>
      <c r="AF121" s="314">
        <f t="shared" si="162"/>
        <v>255.22200000000001</v>
      </c>
      <c r="AG121" s="314">
        <f t="shared" si="162"/>
        <v>258.83268599999997</v>
      </c>
      <c r="AH121" s="314">
        <f t="shared" si="162"/>
        <v>15.885999999999999</v>
      </c>
      <c r="AI121" s="314">
        <f t="shared" si="162"/>
        <v>261.64600000000002</v>
      </c>
      <c r="AJ121" s="314">
        <f t="shared" si="162"/>
        <v>0</v>
      </c>
      <c r="AK121" s="314">
        <f t="shared" si="162"/>
        <v>0</v>
      </c>
      <c r="AL121" s="314">
        <f t="shared" si="162"/>
        <v>0</v>
      </c>
      <c r="AM121" s="314">
        <f t="shared" si="162"/>
        <v>0</v>
      </c>
      <c r="AO121" s="1675">
        <f>SUMIFS(C121:AA121,$C$1:$AA$1,'#经营概况'!$B$1,$C$2:$AA$2,'#经营概况'!$B$2)-SUMIFS(C121:AA121,$C$1:$AA$1,'#经营概况'!$B$1,$C$2:$AA$2,'#经营概况'!$B$2-1)</f>
        <v>0</v>
      </c>
    </row>
    <row r="122" spans="1:51">
      <c r="C122" s="238"/>
      <c r="D122" s="238"/>
      <c r="E122" s="238"/>
      <c r="F122" s="238"/>
      <c r="G122" s="238"/>
      <c r="H122" s="238"/>
      <c r="I122" s="238"/>
      <c r="J122" s="314"/>
      <c r="K122" s="314"/>
      <c r="L122" s="314"/>
      <c r="M122" s="314"/>
      <c r="N122" s="314"/>
      <c r="O122" s="314"/>
      <c r="P122" s="710"/>
      <c r="Q122" s="710"/>
      <c r="R122" s="710"/>
      <c r="S122" s="710"/>
      <c r="T122" s="710"/>
      <c r="U122" s="710"/>
      <c r="V122" s="710"/>
      <c r="W122" s="710"/>
      <c r="X122" s="710"/>
      <c r="Y122" s="710"/>
      <c r="Z122" s="710"/>
      <c r="AA122" s="710"/>
      <c r="AB122" s="710"/>
      <c r="AC122" s="710"/>
      <c r="AD122" s="710"/>
      <c r="AE122" s="710"/>
      <c r="AF122" s="710"/>
      <c r="AG122" s="710"/>
      <c r="AH122" s="710"/>
      <c r="AI122" s="710"/>
      <c r="AJ122" s="710"/>
      <c r="AK122" s="710"/>
      <c r="AL122" s="710"/>
      <c r="AM122" s="710"/>
      <c r="AO122" s="1675">
        <f>SUMIFS(C122:AA122,$C$1:$AA$1,'#经营概况'!$B$1,$C$2:$AA$2,'#经营概况'!$B$2)-SUMIFS(C122:AA122,$C$1:$AA$1,'#经营概况'!$B$1,$C$2:$AA$2,'#经营概况'!$B$2-1)</f>
        <v>0</v>
      </c>
      <c r="AS122" s="188" t="s">
        <v>1208</v>
      </c>
      <c r="AT122" s="188" t="s">
        <v>1209</v>
      </c>
    </row>
    <row r="123" spans="1:51">
      <c r="A123" s="409" t="s">
        <v>799</v>
      </c>
      <c r="B123" s="502"/>
      <c r="C123" s="503"/>
      <c r="D123" s="502"/>
      <c r="E123" s="502"/>
      <c r="J123" s="710"/>
      <c r="K123" s="710"/>
      <c r="L123" s="710"/>
      <c r="M123" s="710"/>
      <c r="N123" s="710"/>
      <c r="O123" s="710"/>
      <c r="P123" s="710"/>
      <c r="Q123" s="710"/>
      <c r="R123" s="710"/>
      <c r="S123" s="710"/>
      <c r="T123" s="710"/>
      <c r="U123" s="710"/>
      <c r="V123" s="710"/>
      <c r="W123" s="710"/>
      <c r="X123" s="710"/>
      <c r="Y123" s="710"/>
      <c r="Z123" s="710"/>
      <c r="AA123" s="710"/>
      <c r="AB123" s="710"/>
      <c r="AC123" s="710"/>
      <c r="AD123" s="710"/>
      <c r="AE123" s="710"/>
      <c r="AF123" s="710"/>
      <c r="AG123" s="710"/>
      <c r="AH123" s="710"/>
      <c r="AI123" s="710"/>
      <c r="AJ123" s="710"/>
      <c r="AK123" s="710"/>
      <c r="AL123" s="710"/>
      <c r="AM123" s="710"/>
      <c r="AO123" s="1675">
        <f>SUMIFS(C123:AA123,$C$1:$AA$1,'#经营概况'!$B$1,$C$2:$AA$2,'#经营概况'!$B$2)-SUMIFS(C123:AA123,$C$1:$AA$1,'#经营概况'!$B$1,$C$2:$AA$2,'#经营概况'!$B$2-1)</f>
        <v>0</v>
      </c>
      <c r="AR123" s="703" t="s">
        <v>790</v>
      </c>
      <c r="AS123" s="206">
        <f>-7658+6822</f>
        <v>-836</v>
      </c>
      <c r="AT123" s="206">
        <v>4425</v>
      </c>
      <c r="AU123" s="186">
        <f t="shared" ref="AU123:AU128" si="163">AT123-AS123</f>
        <v>5261</v>
      </c>
      <c r="AV123" s="186">
        <f>AU123+AU127</f>
        <v>708.99977300000319</v>
      </c>
      <c r="AW123" s="186">
        <f>AV123</f>
        <v>708.99977300000319</v>
      </c>
      <c r="AY123">
        <f>-356+550</f>
        <v>194</v>
      </c>
    </row>
    <row r="124" spans="1:51">
      <c r="A124" s="641" t="s">
        <v>800</v>
      </c>
      <c r="B124" s="641"/>
      <c r="C124" s="675">
        <f>C125+C128+C132</f>
        <v>-2635.904982</v>
      </c>
      <c r="D124" s="675">
        <f>D125-D127+D128+D132</f>
        <v>3146.4140199999997</v>
      </c>
      <c r="E124" s="675">
        <f t="shared" ref="E124:N124" si="164">E125-E127+E128+E132</f>
        <v>3497.4429700000001</v>
      </c>
      <c r="F124" s="675">
        <f t="shared" si="164"/>
        <v>2869.6557730000004</v>
      </c>
      <c r="G124" s="675">
        <f t="shared" si="164"/>
        <v>2030.6351949999998</v>
      </c>
      <c r="H124" s="675">
        <f t="shared" si="164"/>
        <v>3075.0069160000003</v>
      </c>
      <c r="I124" s="675">
        <f t="shared" si="164"/>
        <v>3430.2627819999998</v>
      </c>
      <c r="J124" s="714">
        <f t="shared" si="164"/>
        <v>3610.555816</v>
      </c>
      <c r="K124" s="714">
        <f t="shared" si="164"/>
        <v>-522.95755899999949</v>
      </c>
      <c r="L124" s="714">
        <f t="shared" si="164"/>
        <v>3216.1773099999996</v>
      </c>
      <c r="M124" s="714">
        <f t="shared" si="164"/>
        <v>988.86586800000032</v>
      </c>
      <c r="N124" s="714">
        <f t="shared" si="164"/>
        <v>5449.6892610000004</v>
      </c>
      <c r="O124" s="714">
        <f t="shared" ref="O124:AA124" si="165">O125-O127+O128+O132</f>
        <v>3154.4179239999999</v>
      </c>
      <c r="P124" s="714">
        <f t="shared" si="165"/>
        <v>4148.7772530000002</v>
      </c>
      <c r="Q124" s="714">
        <f t="shared" si="165"/>
        <v>1425.3844549999999</v>
      </c>
      <c r="R124" s="714">
        <f>R125+R126-R127+R128+R132</f>
        <v>4814.2239149999996</v>
      </c>
      <c r="S124" s="714">
        <f t="shared" si="165"/>
        <v>4309.6539150000008</v>
      </c>
      <c r="T124" s="714">
        <f t="shared" si="165"/>
        <v>3885.3275190000004</v>
      </c>
      <c r="U124" s="714">
        <f t="shared" si="165"/>
        <v>4392.8466480000006</v>
      </c>
      <c r="V124" s="714">
        <f t="shared" si="165"/>
        <v>4931.2062239999996</v>
      </c>
      <c r="W124" s="714">
        <f t="shared" si="165"/>
        <v>4743.1768679999996</v>
      </c>
      <c r="X124" s="714">
        <f t="shared" si="165"/>
        <v>4641.2919171240001</v>
      </c>
      <c r="Y124" s="714">
        <f t="shared" si="165"/>
        <v>5119.0695719999994</v>
      </c>
      <c r="Z124" s="714">
        <f t="shared" si="165"/>
        <v>-3576.8587299999999</v>
      </c>
      <c r="AA124" s="714">
        <f t="shared" si="165"/>
        <v>4653.1834319999998</v>
      </c>
      <c r="AB124" s="714">
        <f t="shared" ref="AB124:AM124" si="166">AB125-AB127+AB128+AB132</f>
        <v>6197.5069439999997</v>
      </c>
      <c r="AC124" s="714">
        <f t="shared" si="166"/>
        <v>6706.956306</v>
      </c>
      <c r="AD124" s="714">
        <f t="shared" si="166"/>
        <v>11073.796780000001</v>
      </c>
      <c r="AE124" s="714">
        <f t="shared" si="166"/>
        <v>9090.7679329999974</v>
      </c>
      <c r="AF124" s="714">
        <f t="shared" si="166"/>
        <v>10743.645350999999</v>
      </c>
      <c r="AG124" s="714">
        <f t="shared" si="166"/>
        <v>11089.854563999999</v>
      </c>
      <c r="AH124" s="714">
        <f t="shared" si="166"/>
        <v>12854.326715999996</v>
      </c>
      <c r="AI124" s="714">
        <f t="shared" si="166"/>
        <v>11618.651024999999</v>
      </c>
      <c r="AJ124" s="714">
        <f t="shared" si="166"/>
        <v>0</v>
      </c>
      <c r="AK124" s="714">
        <f t="shared" si="166"/>
        <v>0</v>
      </c>
      <c r="AL124" s="714">
        <f t="shared" si="166"/>
        <v>0</v>
      </c>
      <c r="AM124" s="714">
        <f t="shared" si="166"/>
        <v>0</v>
      </c>
      <c r="AN124" s="641"/>
      <c r="AO124" s="1675">
        <f>SUMIFS(C124:AA124,$C$1:$AA$1,'#经营概况'!$B$1,$C$2:$AA$2,'#经营概况'!$B$2)-SUMIFS(C124:AA124,$C$1:$AA$1,'#经营概况'!$B$1,$C$2:$AA$2,'#经营概况'!$B$2-1)</f>
        <v>0</v>
      </c>
      <c r="AR124" s="703" t="s">
        <v>791</v>
      </c>
      <c r="AS124" s="206"/>
      <c r="AT124" s="206"/>
      <c r="AU124" s="186">
        <f t="shared" si="163"/>
        <v>0</v>
      </c>
      <c r="AV124" s="186"/>
    </row>
    <row r="125" spans="1:51">
      <c r="A125" s="707" t="s">
        <v>801</v>
      </c>
      <c r="C125" s="238">
        <f t="shared" ref="C125:AA125" si="167">(C30+C31+C120)</f>
        <v>1877.095018</v>
      </c>
      <c r="D125" s="238">
        <f t="shared" si="167"/>
        <v>3979.4140199999997</v>
      </c>
      <c r="E125" s="238">
        <f t="shared" si="167"/>
        <v>4330.4429700000001</v>
      </c>
      <c r="F125" s="238">
        <f t="shared" si="167"/>
        <v>3702.6557730000004</v>
      </c>
      <c r="G125" s="238">
        <f t="shared" si="167"/>
        <v>4354.6351949999998</v>
      </c>
      <c r="H125" s="238">
        <f t="shared" si="167"/>
        <v>3815.0069160000003</v>
      </c>
      <c r="I125" s="238">
        <f t="shared" si="167"/>
        <v>4170.2627819999998</v>
      </c>
      <c r="J125" s="314">
        <f t="shared" si="167"/>
        <v>4350.555816</v>
      </c>
      <c r="K125" s="314">
        <f t="shared" si="167"/>
        <v>4374.0424410000005</v>
      </c>
      <c r="L125" s="314">
        <f t="shared" si="167"/>
        <v>3956.1773099999996</v>
      </c>
      <c r="M125" s="314">
        <f t="shared" si="167"/>
        <v>3523.8658680000003</v>
      </c>
      <c r="N125" s="314">
        <f t="shared" si="167"/>
        <v>4228.6892610000004</v>
      </c>
      <c r="O125" s="314">
        <f t="shared" si="167"/>
        <v>3894.4179239999999</v>
      </c>
      <c r="P125" s="314">
        <f t="shared" si="167"/>
        <v>4148.7772530000002</v>
      </c>
      <c r="Q125" s="314">
        <f t="shared" si="167"/>
        <v>4075.3844549999999</v>
      </c>
      <c r="R125" s="314">
        <f t="shared" si="167"/>
        <v>4233.6046649999998</v>
      </c>
      <c r="S125" s="314">
        <f t="shared" si="167"/>
        <v>4309.6539150000008</v>
      </c>
      <c r="T125" s="314">
        <f t="shared" si="167"/>
        <v>3885.3275190000004</v>
      </c>
      <c r="U125" s="314">
        <f t="shared" si="167"/>
        <v>4392.8466480000006</v>
      </c>
      <c r="V125" s="314">
        <f t="shared" si="167"/>
        <v>4931.2062239999996</v>
      </c>
      <c r="W125" s="314">
        <f t="shared" si="167"/>
        <v>4743.1768679999996</v>
      </c>
      <c r="X125" s="314">
        <f t="shared" si="167"/>
        <v>4641.2919171240001</v>
      </c>
      <c r="Y125" s="314">
        <f t="shared" si="167"/>
        <v>5119.0695719999994</v>
      </c>
      <c r="Z125" s="314">
        <f t="shared" si="167"/>
        <v>4929.1412700000001</v>
      </c>
      <c r="AA125" s="314">
        <f t="shared" si="167"/>
        <v>4653.1834319999998</v>
      </c>
      <c r="AB125" s="314">
        <f t="shared" ref="AB125:AM125" si="168">(AB30+AB31+AB120)</f>
        <v>6197.5069439999997</v>
      </c>
      <c r="AC125" s="314">
        <f t="shared" si="168"/>
        <v>6706.956306</v>
      </c>
      <c r="AD125" s="314">
        <f t="shared" si="168"/>
        <v>11073.841907999999</v>
      </c>
      <c r="AE125" s="314">
        <f t="shared" si="168"/>
        <v>10394.168288999999</v>
      </c>
      <c r="AF125" s="314">
        <f t="shared" si="168"/>
        <v>10743.7713</v>
      </c>
      <c r="AG125" s="314">
        <f t="shared" si="168"/>
        <v>11089.468701</v>
      </c>
      <c r="AH125" s="314">
        <f t="shared" si="168"/>
        <v>12854.379363</v>
      </c>
      <c r="AI125" s="314">
        <f t="shared" si="168"/>
        <v>11618.75232</v>
      </c>
      <c r="AJ125" s="314">
        <f t="shared" si="168"/>
        <v>0</v>
      </c>
      <c r="AK125" s="314">
        <f t="shared" si="168"/>
        <v>0</v>
      </c>
      <c r="AL125" s="314">
        <f t="shared" si="168"/>
        <v>0</v>
      </c>
      <c r="AM125" s="314">
        <f t="shared" si="168"/>
        <v>0</v>
      </c>
      <c r="AO125" s="1675">
        <f>SUMIFS(C125:AA125,$C$1:$AA$1,'#经营概况'!$B$1,$C$2:$AA$2,'#经营概况'!$B$2)-SUMIFS(C125:AA125,$C$1:$AA$1,'#经营概况'!$B$1,$C$2:$AA$2,'#经营概况'!$B$2-1)</f>
        <v>0</v>
      </c>
      <c r="AR125" s="703" t="s">
        <v>792</v>
      </c>
      <c r="AS125" s="206">
        <f>175+955</f>
        <v>1130</v>
      </c>
      <c r="AT125" s="206">
        <v>987</v>
      </c>
      <c r="AU125" s="186">
        <f t="shared" si="163"/>
        <v>-143</v>
      </c>
      <c r="AV125" s="186">
        <f>AU125+AU129</f>
        <v>-143</v>
      </c>
      <c r="AY125">
        <v>1</v>
      </c>
    </row>
    <row r="126" spans="1:51">
      <c r="A126" s="707" t="s">
        <v>802</v>
      </c>
      <c r="C126" s="238"/>
      <c r="D126" s="238"/>
      <c r="E126" s="238"/>
      <c r="F126" s="238"/>
      <c r="G126" s="238"/>
      <c r="H126" s="238"/>
      <c r="I126" s="238"/>
      <c r="J126" s="314"/>
      <c r="K126" s="314"/>
      <c r="L126" s="314"/>
      <c r="M126" s="314"/>
      <c r="N126" s="314"/>
      <c r="O126" s="314"/>
      <c r="P126" s="314"/>
      <c r="Q126" s="314"/>
      <c r="R126" s="314">
        <f t="shared" ref="R126:W126" si="169">R33*3</f>
        <v>580.61924999999997</v>
      </c>
      <c r="S126" s="314">
        <f t="shared" si="169"/>
        <v>196.90529999999998</v>
      </c>
      <c r="T126" s="314">
        <f t="shared" si="169"/>
        <v>197.01675</v>
      </c>
      <c r="U126" s="314">
        <f t="shared" si="169"/>
        <v>220.60012500000002</v>
      </c>
      <c r="V126" s="314">
        <f t="shared" si="169"/>
        <v>196.907625</v>
      </c>
      <c r="W126" s="314">
        <f t="shared" si="169"/>
        <v>191.29050000000001</v>
      </c>
      <c r="X126" s="314">
        <f>X33*3</f>
        <v>33.864750000000001</v>
      </c>
      <c r="Y126" s="314">
        <f>Y33*3</f>
        <v>238.73772</v>
      </c>
      <c r="Z126" s="314">
        <f>Z33*3</f>
        <v>187.05257999999998</v>
      </c>
      <c r="AA126" s="314"/>
      <c r="AB126" s="314"/>
      <c r="AC126" s="314"/>
      <c r="AD126" s="314"/>
      <c r="AE126" s="314"/>
      <c r="AF126" s="314"/>
      <c r="AG126" s="314"/>
      <c r="AH126" s="314"/>
      <c r="AI126" s="314"/>
      <c r="AJ126" s="314"/>
      <c r="AK126" s="314"/>
      <c r="AL126" s="314"/>
      <c r="AM126" s="314"/>
      <c r="AO126" s="1675">
        <f>SUMIFS(C126:AA126,$C$1:$AA$1,'#经营概况'!$B$1,$C$2:$AA$2,'#经营概况'!$B$2)-SUMIFS(C126:AA126,$C$1:$AA$1,'#经营概况'!$B$1,$C$2:$AA$2,'#经营概况'!$B$2-1)</f>
        <v>0</v>
      </c>
      <c r="AR126" s="703" t="s">
        <v>555</v>
      </c>
      <c r="AS126" s="206">
        <f>-1057+733</f>
        <v>-324</v>
      </c>
      <c r="AT126" s="238">
        <v>-463.11000000000013</v>
      </c>
      <c r="AU126" s="186">
        <f t="shared" si="163"/>
        <v>-139.11000000000013</v>
      </c>
      <c r="AV126" s="186">
        <f>AU126+AU130</f>
        <v>-139.11000000000013</v>
      </c>
      <c r="AY126">
        <v>115</v>
      </c>
    </row>
    <row r="127" spans="1:51">
      <c r="A127" s="707" t="s">
        <v>803</v>
      </c>
      <c r="C127" s="238"/>
      <c r="D127" s="238">
        <v>833</v>
      </c>
      <c r="E127" s="238">
        <v>833</v>
      </c>
      <c r="F127" s="238">
        <v>833</v>
      </c>
      <c r="G127" s="238">
        <v>833</v>
      </c>
      <c r="H127" s="238"/>
      <c r="I127" s="238"/>
      <c r="J127" s="314"/>
      <c r="K127" s="314"/>
      <c r="L127" s="314"/>
      <c r="M127" s="314"/>
      <c r="N127" s="314"/>
      <c r="O127" s="314"/>
      <c r="P127" s="314"/>
      <c r="Q127" s="314"/>
      <c r="R127" s="314"/>
      <c r="S127" s="314"/>
      <c r="T127" s="314"/>
      <c r="U127" s="314"/>
      <c r="V127" s="314"/>
      <c r="W127" s="314"/>
      <c r="X127" s="314"/>
      <c r="Y127" s="314"/>
      <c r="Z127" s="314"/>
      <c r="AA127" s="314"/>
      <c r="AB127" s="314"/>
      <c r="AC127" s="314"/>
      <c r="AD127" s="314"/>
      <c r="AE127" s="314"/>
      <c r="AF127" s="314"/>
      <c r="AG127" s="314"/>
      <c r="AH127" s="314"/>
      <c r="AI127" s="314"/>
      <c r="AJ127" s="314"/>
      <c r="AK127" s="314"/>
      <c r="AL127" s="314"/>
      <c r="AM127" s="314"/>
      <c r="AO127" s="1675">
        <f>SUMIFS(C127:AA127,$C$1:$AA$1,'#经营概况'!$B$1,$C$2:$AA$2,'#经营概况'!$B$2)-SUMIFS(C127:AA127,$C$1:$AA$1,'#经营概况'!$B$1,$C$2:$AA$2,'#经营概况'!$B$2-1)</f>
        <v>0</v>
      </c>
      <c r="AR127" s="703" t="s">
        <v>64</v>
      </c>
      <c r="AS127" s="314">
        <v>8209</v>
      </c>
      <c r="AT127" s="314">
        <v>3656.9997730000027</v>
      </c>
      <c r="AU127" s="186">
        <f t="shared" si="163"/>
        <v>-4552.0002269999968</v>
      </c>
    </row>
    <row r="128" spans="1:51" ht="15" thickBot="1">
      <c r="A128" s="707" t="s">
        <v>804</v>
      </c>
      <c r="C128" s="238">
        <f>-21149+19689-1898</f>
        <v>-3358</v>
      </c>
      <c r="D128" s="238"/>
      <c r="E128" s="238"/>
      <c r="F128" s="238"/>
      <c r="G128" s="238"/>
      <c r="H128" s="238"/>
      <c r="I128" s="238"/>
      <c r="J128" s="314"/>
      <c r="K128" s="314">
        <f>-2412-1745</f>
        <v>-4157</v>
      </c>
      <c r="L128" s="314"/>
      <c r="M128" s="314">
        <v>-1795</v>
      </c>
      <c r="N128" s="314">
        <v>1961</v>
      </c>
      <c r="O128" s="314"/>
      <c r="P128" s="314"/>
      <c r="Q128" s="314">
        <v>-2650</v>
      </c>
      <c r="R128" s="314"/>
      <c r="S128" s="314"/>
      <c r="T128" s="314"/>
      <c r="U128" s="314"/>
      <c r="V128" s="314"/>
      <c r="W128" s="314"/>
      <c r="X128" s="314"/>
      <c r="Y128" s="314"/>
      <c r="Z128" s="314"/>
      <c r="AA128" s="314"/>
      <c r="AB128" s="314"/>
      <c r="AC128" s="314"/>
      <c r="AD128" s="314"/>
      <c r="AE128" s="314"/>
      <c r="AF128" s="314"/>
      <c r="AG128" s="314"/>
      <c r="AH128" s="314"/>
      <c r="AI128" s="314"/>
      <c r="AJ128" s="314"/>
      <c r="AK128" s="314"/>
      <c r="AL128" s="314"/>
      <c r="AM128" s="314"/>
      <c r="AO128" s="1675">
        <f>SUMIFS(C128:AA128,$C$1:$AA$1,'#经营概况'!$B$1,$C$2:$AA$2,'#经营概况'!$B$2)-SUMIFS(C128:AA128,$C$1:$AA$1,'#经营概况'!$B$1,$C$2:$AA$2,'#经营概况'!$B$2-1)</f>
        <v>0</v>
      </c>
      <c r="AR128" s="648" t="s">
        <v>793</v>
      </c>
      <c r="AS128" s="648">
        <f>SUM(AS123:AS127)</f>
        <v>8179</v>
      </c>
      <c r="AT128" s="689">
        <f>SUM(AT123:AT127)</f>
        <v>8605.8897730000026</v>
      </c>
      <c r="AU128" s="186">
        <f t="shared" si="163"/>
        <v>426.88977300000261</v>
      </c>
      <c r="AW128" s="186">
        <f>AW123+AV125+AV126</f>
        <v>426.88977300000306</v>
      </c>
      <c r="AY128" s="186">
        <f>AY123+AY125+AY126</f>
        <v>310</v>
      </c>
    </row>
    <row r="129" spans="1:53" ht="15" thickTop="1">
      <c r="A129" s="708" t="s">
        <v>805</v>
      </c>
      <c r="C129" s="238"/>
      <c r="D129" s="238"/>
      <c r="E129" s="238"/>
      <c r="F129" s="238"/>
      <c r="G129" s="238"/>
      <c r="H129" s="238"/>
      <c r="I129" s="238"/>
      <c r="J129" s="314"/>
      <c r="K129" s="314"/>
      <c r="L129" s="314"/>
      <c r="M129" s="314"/>
      <c r="N129" s="314"/>
      <c r="O129" s="314"/>
      <c r="P129" s="314"/>
      <c r="Q129" s="314"/>
      <c r="R129" s="314"/>
      <c r="S129" s="314"/>
      <c r="T129" s="314"/>
      <c r="U129" s="314"/>
      <c r="V129" s="314"/>
      <c r="W129" s="314"/>
      <c r="X129" s="314"/>
      <c r="Y129" s="314"/>
      <c r="Z129" s="314"/>
      <c r="AA129" s="314"/>
      <c r="AB129" s="314"/>
      <c r="AC129" s="314"/>
      <c r="AD129" s="314"/>
      <c r="AE129" s="314"/>
      <c r="AF129" s="314"/>
      <c r="AG129" s="314"/>
      <c r="AH129" s="314"/>
      <c r="AI129" s="314"/>
      <c r="AJ129" s="314"/>
      <c r="AK129" s="314"/>
      <c r="AL129" s="314"/>
      <c r="AM129" s="314"/>
      <c r="AO129" s="1675">
        <f>SUMIFS(C129:AA129,$C$1:$AA$1,'#经营概况'!$B$1,$C$2:$AA$2,'#经营概况'!$B$2)-SUMIFS(C129:AA129,$C$1:$AA$1,'#经营概况'!$B$1,$C$2:$AA$2,'#经营概况'!$B$2-1)</f>
        <v>0</v>
      </c>
      <c r="AU129" s="186"/>
    </row>
    <row r="130" spans="1:53">
      <c r="A130" s="708" t="s">
        <v>806</v>
      </c>
      <c r="C130" s="238">
        <v>2177</v>
      </c>
      <c r="D130" s="238"/>
      <c r="E130" s="238"/>
      <c r="F130" s="238"/>
      <c r="G130" s="238"/>
      <c r="H130" s="238"/>
      <c r="I130" s="238"/>
      <c r="J130" s="314"/>
      <c r="K130" s="314"/>
      <c r="L130" s="314"/>
      <c r="M130" s="314"/>
      <c r="N130" s="314"/>
      <c r="O130" s="314"/>
      <c r="P130" s="314"/>
      <c r="Q130" s="314"/>
      <c r="R130" s="314"/>
      <c r="S130" s="314"/>
      <c r="T130" s="314"/>
      <c r="U130" s="314"/>
      <c r="V130" s="314"/>
      <c r="W130" s="314"/>
      <c r="X130" s="314"/>
      <c r="Y130" s="314"/>
      <c r="Z130" s="314"/>
      <c r="AA130" s="314"/>
      <c r="AB130" s="314"/>
      <c r="AC130" s="314"/>
      <c r="AD130" s="314"/>
      <c r="AE130" s="314"/>
      <c r="AF130" s="314"/>
      <c r="AG130" s="314"/>
      <c r="AH130" s="314"/>
      <c r="AI130" s="314"/>
      <c r="AJ130" s="314"/>
      <c r="AK130" s="314"/>
      <c r="AL130" s="314"/>
      <c r="AM130" s="314"/>
      <c r="AO130" s="1675">
        <f>SUMIFS(C130:AA130,$C$1:$AA$1,'#经营概况'!$B$1,$C$2:$AA$2,'#经营概况'!$B$2)-SUMIFS(C130:AA130,$C$1:$AA$1,'#经营概况'!$B$1,$C$2:$AA$2,'#经营概况'!$B$2-1)</f>
        <v>0</v>
      </c>
      <c r="AU130" s="186"/>
    </row>
    <row r="131" spans="1:53">
      <c r="A131" s="708" t="s">
        <v>807</v>
      </c>
      <c r="C131" s="238"/>
      <c r="D131" s="238"/>
      <c r="E131" s="238"/>
      <c r="F131" s="238"/>
      <c r="G131" s="238"/>
      <c r="H131" s="238"/>
      <c r="I131" s="238"/>
      <c r="J131" s="314"/>
      <c r="K131" s="314"/>
      <c r="L131" s="314"/>
      <c r="M131" s="314"/>
      <c r="N131" s="314"/>
      <c r="O131" s="314"/>
      <c r="P131" s="314"/>
      <c r="Q131" s="314"/>
      <c r="R131" s="314"/>
      <c r="S131" s="314"/>
      <c r="T131" s="314"/>
      <c r="U131" s="314"/>
      <c r="V131" s="314"/>
      <c r="W131" s="314"/>
      <c r="X131" s="314"/>
      <c r="Y131" s="314"/>
      <c r="Z131" s="314"/>
      <c r="AA131" s="314"/>
      <c r="AB131" s="314"/>
      <c r="AC131" s="314"/>
      <c r="AD131" s="314"/>
      <c r="AE131" s="314"/>
      <c r="AF131" s="314"/>
      <c r="AG131" s="314"/>
      <c r="AH131" s="314"/>
      <c r="AI131" s="314"/>
      <c r="AJ131" s="314"/>
      <c r="AK131" s="314"/>
      <c r="AL131" s="314"/>
      <c r="AM131" s="314"/>
      <c r="AO131" s="1675">
        <f>SUMIFS(C131:AA131,$C$1:$AA$1,'#经营概况'!$B$1,$C$2:$AA$2,'#经营概况'!$B$2)-SUMIFS(C131:AA131,$C$1:$AA$1,'#经营概况'!$B$1,$C$2:$AA$2,'#经营概况'!$B$2-1)</f>
        <v>0</v>
      </c>
      <c r="AS131" s="182">
        <v>14930.857499999998</v>
      </c>
      <c r="AT131" s="182">
        <v>10119.479281999993</v>
      </c>
      <c r="AU131" s="186">
        <f>AT131-AS131</f>
        <v>-4811.3782180000053</v>
      </c>
      <c r="AX131">
        <v>1102</v>
      </c>
      <c r="AY131" s="186">
        <f>AU131-AX131</f>
        <v>-5913.3782180000053</v>
      </c>
    </row>
    <row r="132" spans="1:53">
      <c r="A132" s="707" t="s">
        <v>808</v>
      </c>
      <c r="C132" s="206">
        <v>-1155</v>
      </c>
      <c r="G132" s="206">
        <f>-500-991</f>
        <v>-1491</v>
      </c>
      <c r="H132" s="206">
        <v>-740</v>
      </c>
      <c r="I132" s="206">
        <v>-740</v>
      </c>
      <c r="J132" s="710">
        <v>-740</v>
      </c>
      <c r="K132" s="710">
        <v>-740</v>
      </c>
      <c r="L132" s="710">
        <v>-740</v>
      </c>
      <c r="M132" s="710">
        <v>-740</v>
      </c>
      <c r="N132" s="710">
        <v>-740</v>
      </c>
      <c r="O132" s="710">
        <v>-740</v>
      </c>
      <c r="P132" s="710"/>
      <c r="Q132" s="710"/>
      <c r="R132" s="710"/>
      <c r="S132" s="710"/>
      <c r="T132" s="710"/>
      <c r="U132" s="710"/>
      <c r="V132" s="710"/>
      <c r="W132" s="710"/>
      <c r="X132" s="710"/>
      <c r="Y132" s="710"/>
      <c r="Z132" s="710">
        <f>-8506</f>
        <v>-8506</v>
      </c>
      <c r="AA132" s="314">
        <f>-AA116</f>
        <v>0</v>
      </c>
      <c r="AB132" s="314">
        <f t="shared" ref="AB132:AM132" si="170">-AB116</f>
        <v>0</v>
      </c>
      <c r="AC132" s="314">
        <f t="shared" si="170"/>
        <v>0</v>
      </c>
      <c r="AD132" s="314">
        <f>-AD116</f>
        <v>-4.5127999997930601E-2</v>
      </c>
      <c r="AE132" s="314">
        <f t="shared" si="170"/>
        <v>-1303.4003560000019</v>
      </c>
      <c r="AF132" s="314">
        <f t="shared" si="170"/>
        <v>-0.1259490000011283</v>
      </c>
      <c r="AG132" s="314">
        <f t="shared" si="170"/>
        <v>0.38586299999951734</v>
      </c>
      <c r="AH132" s="314">
        <f t="shared" si="170"/>
        <v>-5.2647000004071742E-2</v>
      </c>
      <c r="AI132" s="314">
        <f t="shared" si="170"/>
        <v>-0.10129500000039116</v>
      </c>
      <c r="AJ132" s="314">
        <f t="shared" si="170"/>
        <v>0</v>
      </c>
      <c r="AK132" s="314">
        <f t="shared" si="170"/>
        <v>0</v>
      </c>
      <c r="AL132" s="314">
        <f t="shared" si="170"/>
        <v>0</v>
      </c>
      <c r="AM132" s="314">
        <f t="shared" si="170"/>
        <v>0</v>
      </c>
      <c r="AO132" s="1675">
        <f>SUMIFS(C132:AA132,$C$1:$AA$1,'#经营概况'!$B$1,$C$2:$AA$2,'#经营概况'!$B$2)-SUMIFS(C132:AA132,$C$1:$AA$1,'#经营概况'!$B$1,$C$2:$AA$2,'#经营概况'!$B$2-1)</f>
        <v>0</v>
      </c>
      <c r="AS132" s="182">
        <v>-199.92267399999946</v>
      </c>
      <c r="AT132" s="182">
        <v>131.56454999999914</v>
      </c>
      <c r="AU132" s="186">
        <f>AT132-AS132</f>
        <v>331.4872239999986</v>
      </c>
      <c r="AX132">
        <v>393</v>
      </c>
      <c r="AY132" s="186">
        <f>AU132-AX132</f>
        <v>-61.512776000001395</v>
      </c>
    </row>
    <row r="133" spans="1:53">
      <c r="C133" s="238"/>
      <c r="D133" s="238"/>
      <c r="E133" s="238"/>
      <c r="F133" s="238"/>
      <c r="G133" s="238"/>
      <c r="H133" s="238"/>
      <c r="I133" s="238"/>
      <c r="J133" s="314"/>
      <c r="K133" s="314"/>
      <c r="L133" s="314"/>
      <c r="M133" s="314"/>
      <c r="N133" s="314"/>
      <c r="O133" s="314"/>
      <c r="P133" s="314"/>
      <c r="Q133" s="314"/>
      <c r="R133" s="314"/>
      <c r="S133" s="314"/>
      <c r="T133" s="314"/>
      <c r="U133" s="314"/>
      <c r="V133" s="314"/>
      <c r="W133" s="314"/>
      <c r="X133" s="314"/>
      <c r="Y133" s="314"/>
      <c r="Z133" s="314"/>
      <c r="AA133" s="314"/>
      <c r="AB133" s="314"/>
      <c r="AC133" s="314"/>
      <c r="AD133" s="314"/>
      <c r="AE133" s="314"/>
      <c r="AF133" s="314"/>
      <c r="AG133" s="314"/>
      <c r="AH133" s="314"/>
      <c r="AI133" s="314"/>
      <c r="AJ133" s="314"/>
      <c r="AK133" s="314"/>
      <c r="AL133" s="314"/>
      <c r="AM133" s="314"/>
      <c r="AO133" s="1675">
        <f>SUMIFS(C133:AA133,$C$1:$AA$1,'#经营概况'!$B$1,$C$2:$AA$2,'#经营概况'!$B$2)-SUMIFS(C133:AA133,$C$1:$AA$1,'#经营概况'!$B$1,$C$2:$AA$2,'#经营概况'!$B$2-1)</f>
        <v>0</v>
      </c>
      <c r="AS133" s="182">
        <v>1056.352652</v>
      </c>
      <c r="AT133" s="182">
        <v>859.54366400000004</v>
      </c>
      <c r="AU133" s="186">
        <f>AT133-AS133</f>
        <v>-196.808988</v>
      </c>
    </row>
    <row r="134" spans="1:53">
      <c r="J134" s="710"/>
      <c r="K134" s="710"/>
      <c r="L134" s="710"/>
      <c r="M134" s="710"/>
      <c r="N134" s="710"/>
      <c r="O134" s="710"/>
      <c r="P134" s="710"/>
      <c r="Q134" s="710"/>
      <c r="R134" s="710"/>
      <c r="S134" s="710"/>
      <c r="T134" s="710"/>
      <c r="U134" s="710"/>
      <c r="V134" s="710"/>
      <c r="W134" s="710"/>
      <c r="X134" s="710"/>
      <c r="Y134" s="710"/>
      <c r="Z134" s="710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O134" s="1675">
        <f>SUMIFS(C134:AA134,$C$1:$AA$1,'#经营概况'!$B$1,$C$2:$AA$2,'#经营概况'!$B$2)-SUMIFS(C134:AA134,$C$1:$AA$1,'#经营概况'!$B$1,$C$2:$AA$2,'#经营概况'!$B$2-1)</f>
        <v>0</v>
      </c>
      <c r="AS134" s="182">
        <v>124.70171999999999</v>
      </c>
      <c r="AT134" s="182">
        <v>162.99063999999998</v>
      </c>
      <c r="AU134" s="186">
        <f>AT134-AS134</f>
        <v>38.28891999999999</v>
      </c>
    </row>
    <row r="135" spans="1:53">
      <c r="J135" s="710"/>
      <c r="K135" s="710"/>
      <c r="L135" s="710"/>
      <c r="M135" s="710"/>
      <c r="N135" s="710"/>
      <c r="O135" s="710"/>
      <c r="P135" s="710"/>
      <c r="Q135" s="710"/>
      <c r="R135" s="710"/>
      <c r="S135" s="710"/>
      <c r="T135" s="710"/>
      <c r="U135" s="710"/>
      <c r="V135" s="710"/>
      <c r="W135" s="710"/>
      <c r="X135" s="710"/>
      <c r="Y135" s="710"/>
      <c r="Z135" s="710"/>
      <c r="AA135" s="710"/>
      <c r="AB135" s="710"/>
      <c r="AC135" s="710"/>
      <c r="AD135" s="710"/>
      <c r="AE135" s="710"/>
      <c r="AF135" s="710"/>
      <c r="AG135" s="710"/>
      <c r="AH135" s="710"/>
      <c r="AI135" s="710"/>
      <c r="AJ135" s="710"/>
      <c r="AK135" s="710"/>
      <c r="AL135" s="710"/>
      <c r="AM135" s="710"/>
      <c r="AO135" s="1675">
        <f>SUMIFS(C135:AA135,$C$1:$AA$1,'#经营概况'!$B$1,$C$2:$AA$2,'#经营概况'!$B$2)-SUMIFS(C135:AA135,$C$1:$AA$1,'#经营概况'!$B$1,$C$2:$AA$2,'#经营概况'!$B$2-1)</f>
        <v>0</v>
      </c>
      <c r="AU135" s="186"/>
    </row>
    <row r="136" spans="1:53">
      <c r="A136" s="411" t="s">
        <v>809</v>
      </c>
      <c r="B136" s="412"/>
      <c r="C136" s="717">
        <f t="shared" ref="C136:Z136" si="171">C69-C124</f>
        <v>-13364.141687000008</v>
      </c>
      <c r="D136" s="717">
        <f t="shared" si="171"/>
        <v>-8763.9504919999999</v>
      </c>
      <c r="E136" s="717">
        <f t="shared" si="171"/>
        <v>-1815.1400140000001</v>
      </c>
      <c r="F136" s="717">
        <f t="shared" si="171"/>
        <v>-5631.5845169999993</v>
      </c>
      <c r="G136" s="718">
        <f t="shared" si="171"/>
        <v>805.08094599999868</v>
      </c>
      <c r="H136" s="718">
        <f t="shared" si="171"/>
        <v>1411.086365000001</v>
      </c>
      <c r="I136" s="718">
        <f t="shared" si="171"/>
        <v>2681.3828390000008</v>
      </c>
      <c r="J136" s="718">
        <f t="shared" si="171"/>
        <v>4109.6963510000005</v>
      </c>
      <c r="K136" s="314">
        <f t="shared" si="171"/>
        <v>7593.7433129999963</v>
      </c>
      <c r="L136" s="314">
        <f t="shared" si="171"/>
        <v>11271.101954</v>
      </c>
      <c r="M136" s="314">
        <f t="shared" si="171"/>
        <v>11256.457914999999</v>
      </c>
      <c r="N136" s="314">
        <f t="shared" si="171"/>
        <v>3203.5859359999877</v>
      </c>
      <c r="O136" s="314">
        <f t="shared" si="171"/>
        <v>11144.990157</v>
      </c>
      <c r="P136" s="314">
        <f t="shared" si="171"/>
        <v>7647.1616470000008</v>
      </c>
      <c r="Q136" s="314">
        <f t="shared" si="171"/>
        <v>-4184.7842670000009</v>
      </c>
      <c r="R136" s="314">
        <f t="shared" si="171"/>
        <v>5274.9428030000026</v>
      </c>
      <c r="S136" s="314">
        <f t="shared" si="171"/>
        <v>3378.5811789999989</v>
      </c>
      <c r="T136" s="314">
        <f t="shared" si="171"/>
        <v>1198.4603950000001</v>
      </c>
      <c r="U136" s="314">
        <f t="shared" si="171"/>
        <v>-9313.1814009999998</v>
      </c>
      <c r="V136" s="314">
        <f t="shared" si="171"/>
        <v>7971.5402310000009</v>
      </c>
      <c r="W136" s="314">
        <f t="shared" si="171"/>
        <v>1680.2561370000003</v>
      </c>
      <c r="X136" s="314">
        <f t="shared" si="171"/>
        <v>7871.9619558759996</v>
      </c>
      <c r="Y136" s="314">
        <f t="shared" si="171"/>
        <v>3325.6143970000003</v>
      </c>
      <c r="Z136" s="314">
        <f t="shared" si="171"/>
        <v>5600.4051479999998</v>
      </c>
      <c r="AA136" s="314">
        <f>AA69-AA124</f>
        <v>-66091.691610999987</v>
      </c>
      <c r="AB136" s="314">
        <f t="shared" ref="AB136:AM136" si="172">AB69-AB124</f>
        <v>6233.7428119999995</v>
      </c>
      <c r="AC136" s="314">
        <f t="shared" si="172"/>
        <v>9145.7066390000018</v>
      </c>
      <c r="AD136" s="314">
        <f t="shared" si="172"/>
        <v>-13301.384833999997</v>
      </c>
      <c r="AE136" s="314">
        <f t="shared" si="172"/>
        <v>16089.067046000002</v>
      </c>
      <c r="AF136" s="314">
        <f t="shared" si="172"/>
        <v>23531.467878999996</v>
      </c>
      <c r="AG136" s="314">
        <f t="shared" si="172"/>
        <v>28999.727850999996</v>
      </c>
      <c r="AH136" s="314">
        <f t="shared" si="172"/>
        <v>21912.991643000023</v>
      </c>
      <c r="AI136" s="314">
        <f>AI69-AI124</f>
        <v>19055.048013000029</v>
      </c>
      <c r="AJ136" s="314">
        <f t="shared" si="172"/>
        <v>0</v>
      </c>
      <c r="AK136" s="314">
        <f t="shared" si="172"/>
        <v>0</v>
      </c>
      <c r="AL136" s="314">
        <f t="shared" si="172"/>
        <v>0</v>
      </c>
      <c r="AM136" s="314">
        <f t="shared" si="172"/>
        <v>0</v>
      </c>
      <c r="AO136" s="1675">
        <f>SUMIFS(C136:AA136,$C$1:$AA$1,'#经营概况'!$B$1,$C$2:$AA$2,'#经营概况'!$B$2)-SUMIFS(C136:AA136,$C$1:$AA$1,'#经营概况'!$B$1,$C$2:$AA$2,'#经营概况'!$B$2-1)</f>
        <v>0</v>
      </c>
      <c r="AU136" s="186"/>
      <c r="AV136" s="186">
        <f>AU128+AU131+AU132-AU133-AU134</f>
        <v>-3894.4811530000043</v>
      </c>
    </row>
    <row r="137" spans="1:53">
      <c r="A137" s="411" t="s">
        <v>810</v>
      </c>
      <c r="B137" s="412"/>
      <c r="C137" s="717">
        <f t="shared" ref="C137:P137" si="173">C3+C21+C118-C120-C132</f>
        <v>4403.9295862340005</v>
      </c>
      <c r="D137" s="717">
        <f t="shared" si="173"/>
        <v>10768.799332835997</v>
      </c>
      <c r="E137" s="717">
        <f t="shared" si="173"/>
        <v>14033.726694999996</v>
      </c>
      <c r="F137" s="717">
        <f t="shared" si="173"/>
        <v>11448.284244049997</v>
      </c>
      <c r="G137" s="717">
        <f t="shared" si="173"/>
        <v>18175.788153000005</v>
      </c>
      <c r="H137" s="717">
        <f t="shared" si="173"/>
        <v>19601.178603999997</v>
      </c>
      <c r="I137" s="717">
        <f t="shared" si="173"/>
        <v>18721.459400000003</v>
      </c>
      <c r="J137" s="717">
        <f t="shared" si="173"/>
        <v>21080.602856561003</v>
      </c>
      <c r="K137" s="718">
        <f t="shared" si="173"/>
        <v>25389.000461999996</v>
      </c>
      <c r="L137" s="314">
        <f t="shared" si="173"/>
        <v>27552.394579500007</v>
      </c>
      <c r="M137" s="314">
        <f t="shared" si="173"/>
        <v>28763.282510000005</v>
      </c>
      <c r="N137" s="314">
        <f t="shared" si="173"/>
        <v>26546.219009599998</v>
      </c>
      <c r="O137" s="314">
        <f t="shared" si="173"/>
        <v>28666.973119800004</v>
      </c>
      <c r="P137" s="314">
        <f t="shared" si="173"/>
        <v>23935.761931312001</v>
      </c>
      <c r="Q137" s="314">
        <f>Q3+Q21+Q118+Q119-Q120-Q132-Q121</f>
        <v>23794.812306451</v>
      </c>
      <c r="R137" s="314">
        <f t="shared" ref="R137:AA137" si="174">R3+R21+R118+R119-R120-R132-R121</f>
        <v>19969.894662139995</v>
      </c>
      <c r="S137" s="314">
        <f t="shared" si="174"/>
        <v>19200.250727268001</v>
      </c>
      <c r="T137" s="314">
        <f t="shared" si="174"/>
        <v>16820.749917184003</v>
      </c>
      <c r="U137" s="314">
        <f t="shared" si="174"/>
        <v>12694.048040993996</v>
      </c>
      <c r="V137" s="314">
        <f t="shared" si="174"/>
        <v>11207.246674000005</v>
      </c>
      <c r="W137" s="314">
        <f>W3+W21+W118+W119-W120-W132-W121</f>
        <v>18678.113248000005</v>
      </c>
      <c r="X137" s="314">
        <f>X3+X21+X118+X119-X120-X132-X121</f>
        <v>26379.919212584002</v>
      </c>
      <c r="Y137" s="314">
        <f>Y3+Y21+Y118+Y119-Y120-Y132-Y121</f>
        <v>17827.337794000014</v>
      </c>
      <c r="Z137" s="314">
        <f t="shared" si="174"/>
        <v>21724.558057999999</v>
      </c>
      <c r="AA137" s="314">
        <f t="shared" si="174"/>
        <v>-34522.490699000002</v>
      </c>
      <c r="AB137" s="314">
        <f t="shared" ref="AB137:AM137" si="175">AB3+AB21+AB118+AB119-AB120-AB132-AB121</f>
        <v>18389.240212999994</v>
      </c>
      <c r="AC137" s="314">
        <f t="shared" si="175"/>
        <v>28175.038593000008</v>
      </c>
      <c r="AD137" s="314">
        <f t="shared" si="175"/>
        <v>-1556.3571970000057</v>
      </c>
      <c r="AE137" s="314">
        <f t="shared" si="175"/>
        <v>31195.18074199999</v>
      </c>
      <c r="AF137" s="314">
        <f t="shared" si="175"/>
        <v>34194.512874000015</v>
      </c>
      <c r="AG137" s="314">
        <f t="shared" si="175"/>
        <v>38354.814598000004</v>
      </c>
      <c r="AH137" s="314">
        <f t="shared" si="175"/>
        <v>33813.008362</v>
      </c>
      <c r="AI137" s="314">
        <f t="shared" si="175"/>
        <v>29428.393871999997</v>
      </c>
      <c r="AJ137" s="314">
        <f t="shared" si="175"/>
        <v>0</v>
      </c>
      <c r="AK137" s="314">
        <f t="shared" si="175"/>
        <v>0</v>
      </c>
      <c r="AL137" s="314">
        <f t="shared" si="175"/>
        <v>0</v>
      </c>
      <c r="AM137" s="314">
        <f t="shared" si="175"/>
        <v>0</v>
      </c>
      <c r="AO137" s="1675">
        <f>SUMIFS(C137:AA137,$C$1:$AA$1,'#经营概况'!$B$1,$C$2:$AA$2,'#经营概况'!$B$2)-SUMIFS(C137:AA137,$C$1:$AA$1,'#经营概况'!$B$1,$C$2:$AA$2,'#经营概况'!$B$2-1)</f>
        <v>0</v>
      </c>
      <c r="AQ137" s="186">
        <f>AA137-Z137</f>
        <v>-56247.048756999997</v>
      </c>
      <c r="AS137" s="186">
        <f>AS128+Z118+Z119-Z120-Z121</f>
        <v>21728.880453999995</v>
      </c>
      <c r="AT137" s="186">
        <f>AT128+AA118+AA119-AA120-AA121</f>
        <v>17834.399300999994</v>
      </c>
      <c r="AU137" s="186">
        <f>AT137-AS137</f>
        <v>-3894.4811530000006</v>
      </c>
      <c r="AW137" s="186">
        <f>AW128+AU131+AU132-AU133-AU134</f>
        <v>-3894.4811530000043</v>
      </c>
      <c r="AY137" s="186">
        <f>AY123+AY125+AY126+AY131</f>
        <v>-5603.3782180000053</v>
      </c>
      <c r="BA137" s="186">
        <f>AU131+AU132-AU133-AU134</f>
        <v>-4321.3709260000069</v>
      </c>
    </row>
    <row r="138" spans="1:53">
      <c r="A138" s="206" t="s">
        <v>811</v>
      </c>
      <c r="C138" s="314">
        <f t="shared" ref="C138:H138" si="176">C139+C140</f>
        <v>-18629.370051999998</v>
      </c>
      <c r="D138" s="314">
        <f t="shared" si="176"/>
        <v>-18394.175216000003</v>
      </c>
      <c r="E138" s="314">
        <f t="shared" si="176"/>
        <v>-14598.057224999999</v>
      </c>
      <c r="F138" s="314">
        <f t="shared" si="176"/>
        <v>-17022.709259000003</v>
      </c>
      <c r="G138" s="314">
        <f t="shared" si="176"/>
        <v>-15892.696196999997</v>
      </c>
      <c r="H138" s="314">
        <f t="shared" si="176"/>
        <v>-16094.342173000001</v>
      </c>
      <c r="I138" s="314">
        <f t="shared" ref="I138:O138" si="177">I139+I140</f>
        <v>-15378.552344</v>
      </c>
      <c r="J138" s="314">
        <f t="shared" si="177"/>
        <v>-14976.043605000001</v>
      </c>
      <c r="K138" s="314">
        <f t="shared" si="177"/>
        <v>-17283.151596999989</v>
      </c>
      <c r="L138" s="314">
        <f t="shared" si="177"/>
        <v>-15492.228831</v>
      </c>
      <c r="M138" s="314">
        <f t="shared" si="177"/>
        <v>-15303.065015999999</v>
      </c>
      <c r="N138" s="314">
        <f t="shared" si="177"/>
        <v>-10229.095162000003</v>
      </c>
      <c r="O138" s="314">
        <f t="shared" si="177"/>
        <v>-33190.406407000002</v>
      </c>
      <c r="P138" s="314">
        <f t="shared" ref="P138:AA138" si="178">P139+P140</f>
        <v>-15316.674770999998</v>
      </c>
      <c r="Q138" s="314">
        <f t="shared" si="178"/>
        <v>-19892.726003</v>
      </c>
      <c r="R138" s="314">
        <f t="shared" si="178"/>
        <v>-14944.348330000001</v>
      </c>
      <c r="S138" s="314">
        <f t="shared" si="178"/>
        <v>-14529.433633000001</v>
      </c>
      <c r="T138" s="314">
        <f t="shared" si="178"/>
        <v>-14205.132373999999</v>
      </c>
      <c r="U138" s="314">
        <f t="shared" si="178"/>
        <v>-13906.823103999999</v>
      </c>
      <c r="V138" s="314">
        <f t="shared" si="178"/>
        <v>-13786.094682999999</v>
      </c>
      <c r="W138" s="314">
        <f t="shared" si="178"/>
        <v>-13706.094928999999</v>
      </c>
      <c r="X138" s="314">
        <f t="shared" si="178"/>
        <v>-17345.487527999998</v>
      </c>
      <c r="Y138" s="314">
        <f>Y139+Y140</f>
        <v>-14189.796887</v>
      </c>
      <c r="Z138" s="314">
        <f t="shared" si="178"/>
        <v>-15445.668184</v>
      </c>
      <c r="AA138" s="314">
        <f t="shared" si="178"/>
        <v>-26840.237784999998</v>
      </c>
      <c r="AB138" s="314">
        <f t="shared" ref="AB138:AM138" si="179">AB139+AB140</f>
        <v>-10976.274971999999</v>
      </c>
      <c r="AC138" s="314">
        <f t="shared" si="179"/>
        <v>-12210.547363999998</v>
      </c>
      <c r="AD138" s="314">
        <f t="shared" si="179"/>
        <v>-10611.969708000001</v>
      </c>
      <c r="AE138" s="314">
        <f t="shared" si="179"/>
        <v>-11190.942950000001</v>
      </c>
      <c r="AF138" s="314">
        <f t="shared" si="179"/>
        <v>-10910.837416000002</v>
      </c>
      <c r="AG138" s="314">
        <f t="shared" si="179"/>
        <v>-9667.587254</v>
      </c>
      <c r="AH138" s="314">
        <f t="shared" si="179"/>
        <v>-12462.937518000001</v>
      </c>
      <c r="AI138" s="314">
        <f t="shared" si="179"/>
        <v>-10872.419961</v>
      </c>
      <c r="AJ138" s="314">
        <f t="shared" si="179"/>
        <v>0</v>
      </c>
      <c r="AK138" s="314">
        <f t="shared" si="179"/>
        <v>0</v>
      </c>
      <c r="AL138" s="314">
        <f t="shared" si="179"/>
        <v>0</v>
      </c>
      <c r="AM138" s="314">
        <f t="shared" si="179"/>
        <v>0</v>
      </c>
      <c r="AO138" s="1675">
        <f>SUMIFS(C138:AA138,$C$1:$AA$1,'#经营概况'!$B$1,$C$2:$AA$2,'#经营概况'!$B$2)-SUMIFS(C138:AA138,$C$1:$AA$1,'#经营概况'!$B$1,$C$2:$AA$2,'#经营概况'!$B$2-1)</f>
        <v>0</v>
      </c>
    </row>
    <row r="139" spans="1:53">
      <c r="A139" s="206" t="s">
        <v>737</v>
      </c>
      <c r="C139" s="314">
        <f t="shared" ref="C139:AA139" si="180">-C105/10000</f>
        <v>-8658.1329050000004</v>
      </c>
      <c r="D139" s="314">
        <f t="shared" si="180"/>
        <v>-7209.0780500000001</v>
      </c>
      <c r="E139" s="314">
        <f t="shared" si="180"/>
        <v>-5299.988147</v>
      </c>
      <c r="F139" s="314">
        <f t="shared" si="180"/>
        <v>-5991.5404319999998</v>
      </c>
      <c r="G139" s="314">
        <f t="shared" si="180"/>
        <v>-6257.3453409999993</v>
      </c>
      <c r="H139" s="314">
        <f t="shared" si="180"/>
        <v>-6595.642218</v>
      </c>
      <c r="I139" s="314">
        <f t="shared" si="180"/>
        <v>-5323.7257360000003</v>
      </c>
      <c r="J139" s="314">
        <f t="shared" si="180"/>
        <v>-4920.4642750000003</v>
      </c>
      <c r="K139" s="314">
        <f t="shared" si="180"/>
        <v>-7650.1414559999894</v>
      </c>
      <c r="L139" s="314">
        <f t="shared" si="180"/>
        <v>-6954.695901000001</v>
      </c>
      <c r="M139" s="314">
        <f t="shared" si="180"/>
        <v>-6257.7890779999998</v>
      </c>
      <c r="N139" s="314">
        <f t="shared" si="180"/>
        <v>-427.29308899999296</v>
      </c>
      <c r="O139" s="314">
        <f t="shared" si="180"/>
        <v>-20368.958141999999</v>
      </c>
      <c r="P139" s="314">
        <f t="shared" si="180"/>
        <v>-7580.0047819999991</v>
      </c>
      <c r="Q139" s="314">
        <f t="shared" si="180"/>
        <v>-5795.1745680000004</v>
      </c>
      <c r="R139" s="314">
        <f t="shared" si="180"/>
        <v>-6271.3018189999993</v>
      </c>
      <c r="S139" s="314">
        <f t="shared" si="180"/>
        <v>-6047.4421570000004</v>
      </c>
      <c r="T139" s="314">
        <f t="shared" si="180"/>
        <v>-5427.1447719999996</v>
      </c>
      <c r="U139" s="314">
        <f t="shared" si="180"/>
        <v>-6435.218022</v>
      </c>
      <c r="V139" s="314">
        <f>-V105/10000</f>
        <v>-5491.9019849999995</v>
      </c>
      <c r="W139" s="314">
        <f>-W105/10000</f>
        <v>-5197.3178819999994</v>
      </c>
      <c r="X139" s="314">
        <f t="shared" si="180"/>
        <v>-8651.8914569999997</v>
      </c>
      <c r="Y139" s="314">
        <f t="shared" si="180"/>
        <v>-5229.9336199999998</v>
      </c>
      <c r="Z139" s="314">
        <f t="shared" si="180"/>
        <v>-5824.1536680000008</v>
      </c>
      <c r="AA139" s="314">
        <f t="shared" si="180"/>
        <v>-10114.344403000001</v>
      </c>
      <c r="AB139" s="314">
        <f t="shared" ref="AB139:AM139" si="181">-AB105/10000</f>
        <v>-2233.5750269999999</v>
      </c>
      <c r="AC139" s="314">
        <f t="shared" si="181"/>
        <v>-3034.3879969999998</v>
      </c>
      <c r="AD139" s="314">
        <f t="shared" si="181"/>
        <v>-2741.114298</v>
      </c>
      <c r="AE139" s="314">
        <f t="shared" si="181"/>
        <v>-3006.3730430000005</v>
      </c>
      <c r="AF139" s="314">
        <f t="shared" si="181"/>
        <v>-3666.9200320000009</v>
      </c>
      <c r="AG139" s="314">
        <f t="shared" si="181"/>
        <v>-3088.9376299999999</v>
      </c>
      <c r="AH139" s="314">
        <f t="shared" si="181"/>
        <v>-6039.4987420000007</v>
      </c>
      <c r="AI139" s="314">
        <f t="shared" si="181"/>
        <v>-4292.6217200000001</v>
      </c>
      <c r="AJ139" s="314">
        <f t="shared" si="181"/>
        <v>0</v>
      </c>
      <c r="AK139" s="314">
        <f t="shared" si="181"/>
        <v>0</v>
      </c>
      <c r="AL139" s="314">
        <f t="shared" si="181"/>
        <v>0</v>
      </c>
      <c r="AM139" s="314">
        <f t="shared" si="181"/>
        <v>0</v>
      </c>
      <c r="AO139" s="1675">
        <f>SUMIFS(C139:AA139,$C$1:$AA$1,'#经营概况'!$B$1,$C$2:$AA$2,'#经营概况'!$B$2)-SUMIFS(C139:AA139,$C$1:$AA$1,'#经营概况'!$B$1,$C$2:$AA$2,'#经营概况'!$B$2-1)</f>
        <v>0</v>
      </c>
    </row>
    <row r="140" spans="1:53">
      <c r="A140" s="206" t="s">
        <v>812</v>
      </c>
      <c r="C140" s="314">
        <f t="shared" ref="C140:AA140" si="182">C57+C130+C63+C58</f>
        <v>-9971.2371469999998</v>
      </c>
      <c r="D140" s="314">
        <f t="shared" si="182"/>
        <v>-11185.097166000001</v>
      </c>
      <c r="E140" s="314">
        <f t="shared" si="182"/>
        <v>-9298.0690779999986</v>
      </c>
      <c r="F140" s="314">
        <f t="shared" si="182"/>
        <v>-11031.168827000001</v>
      </c>
      <c r="G140" s="314">
        <f t="shared" si="182"/>
        <v>-9635.3508559999991</v>
      </c>
      <c r="H140" s="314">
        <f t="shared" si="182"/>
        <v>-9498.699955</v>
      </c>
      <c r="I140" s="314">
        <f t="shared" si="182"/>
        <v>-10054.826607999999</v>
      </c>
      <c r="J140" s="314">
        <f t="shared" si="182"/>
        <v>-10055.57933</v>
      </c>
      <c r="K140" s="314">
        <f t="shared" si="182"/>
        <v>-9633.0101409999988</v>
      </c>
      <c r="L140" s="314">
        <f t="shared" si="182"/>
        <v>-8537.5329299999994</v>
      </c>
      <c r="M140" s="314">
        <f t="shared" si="182"/>
        <v>-9045.2759379999989</v>
      </c>
      <c r="N140" s="314">
        <f t="shared" si="182"/>
        <v>-9801.8020730000098</v>
      </c>
      <c r="O140" s="314">
        <f t="shared" si="182"/>
        <v>-12821.448265000001</v>
      </c>
      <c r="P140" s="314">
        <f t="shared" si="182"/>
        <v>-7736.669989</v>
      </c>
      <c r="Q140" s="314">
        <f t="shared" si="182"/>
        <v>-14097.551434999999</v>
      </c>
      <c r="R140" s="314">
        <f t="shared" si="182"/>
        <v>-8673.0465110000005</v>
      </c>
      <c r="S140" s="314">
        <f t="shared" si="182"/>
        <v>-8481.9914760000011</v>
      </c>
      <c r="T140" s="314">
        <f t="shared" si="182"/>
        <v>-8777.9876019999992</v>
      </c>
      <c r="U140" s="314">
        <f t="shared" si="182"/>
        <v>-7471.6050819999991</v>
      </c>
      <c r="V140" s="314">
        <f t="shared" si="182"/>
        <v>-8294.1926980000007</v>
      </c>
      <c r="W140" s="314">
        <f t="shared" si="182"/>
        <v>-8508.7770469999996</v>
      </c>
      <c r="X140" s="314">
        <f t="shared" si="182"/>
        <v>-8693.5960709999999</v>
      </c>
      <c r="Y140" s="314">
        <f t="shared" si="182"/>
        <v>-8959.8632670000006</v>
      </c>
      <c r="Z140" s="314">
        <f t="shared" si="182"/>
        <v>-9621.5145159999993</v>
      </c>
      <c r="AA140" s="314">
        <f t="shared" si="182"/>
        <v>-16725.893381999998</v>
      </c>
      <c r="AB140" s="314">
        <f t="shared" ref="AB140:AM140" si="183">AB57+AB130+AB63+AB58</f>
        <v>-8742.6999450000003</v>
      </c>
      <c r="AC140" s="314">
        <f t="shared" si="183"/>
        <v>-9176.1593669999984</v>
      </c>
      <c r="AD140" s="314">
        <f t="shared" si="183"/>
        <v>-7870.8554100000001</v>
      </c>
      <c r="AE140" s="314">
        <f t="shared" si="183"/>
        <v>-8184.5699070000001</v>
      </c>
      <c r="AF140" s="314">
        <f t="shared" si="183"/>
        <v>-7243.9173840000003</v>
      </c>
      <c r="AG140" s="314">
        <f t="shared" si="183"/>
        <v>-6578.6496239999997</v>
      </c>
      <c r="AH140" s="314">
        <f t="shared" si="183"/>
        <v>-6423.438776</v>
      </c>
      <c r="AI140" s="314">
        <f t="shared" si="183"/>
        <v>-6579.7982410000004</v>
      </c>
      <c r="AJ140" s="314">
        <f t="shared" si="183"/>
        <v>0</v>
      </c>
      <c r="AK140" s="314">
        <f t="shared" si="183"/>
        <v>0</v>
      </c>
      <c r="AL140" s="314">
        <f t="shared" si="183"/>
        <v>0</v>
      </c>
      <c r="AM140" s="314">
        <f t="shared" si="183"/>
        <v>0</v>
      </c>
      <c r="AO140" s="1675">
        <f>SUMIFS(C140:AA140,$C$1:$AA$1,'#经营概况'!$B$1,$C$2:$AA$2,'#经营概况'!$B$2)-SUMIFS(C140:AA140,$C$1:$AA$1,'#经营概况'!$B$1,$C$2:$AA$2,'#经营概况'!$B$2-1)</f>
        <v>0</v>
      </c>
      <c r="AU140" s="186">
        <f>AV123+AU131+AU132-AU133-AU134</f>
        <v>-3612.3711530000037</v>
      </c>
    </row>
    <row r="141" spans="1:53">
      <c r="A141" s="206" t="s">
        <v>773</v>
      </c>
      <c r="C141" s="314">
        <f>C59+C60+C61+C64+C65</f>
        <v>-2246.0264729999963</v>
      </c>
      <c r="D141" s="314">
        <f t="shared" ref="D141:AA141" si="184">D28+D59+D60+D61+D64+D65</f>
        <v>4600.132599999999</v>
      </c>
      <c r="E141" s="314">
        <f t="shared" si="184"/>
        <v>4705.7167710000012</v>
      </c>
      <c r="F141" s="314">
        <f t="shared" si="184"/>
        <v>5412.5527060000004</v>
      </c>
      <c r="G141" s="314">
        <f t="shared" si="184"/>
        <v>5349.3201749999998</v>
      </c>
      <c r="H141" s="314">
        <f t="shared" si="184"/>
        <v>4337.8344320000006</v>
      </c>
      <c r="I141" s="314">
        <f t="shared" si="184"/>
        <v>5872.7981460000001</v>
      </c>
      <c r="J141" s="314">
        <f t="shared" si="184"/>
        <v>4779.1245550000003</v>
      </c>
      <c r="K141" s="314">
        <f t="shared" si="184"/>
        <v>2412.1705219999994</v>
      </c>
      <c r="L141" s="314">
        <f t="shared" si="184"/>
        <v>5638.3094710000005</v>
      </c>
      <c r="M141" s="314">
        <f t="shared" si="184"/>
        <v>2261.4077019999995</v>
      </c>
      <c r="N141" s="314">
        <f t="shared" si="184"/>
        <v>501.60381200000006</v>
      </c>
      <c r="O141" s="314">
        <f t="shared" si="184"/>
        <v>7055.9817109999913</v>
      </c>
      <c r="P141" s="314">
        <f t="shared" si="184"/>
        <v>4304.8729349999994</v>
      </c>
      <c r="Q141" s="314">
        <f t="shared" si="184"/>
        <v>-4227.77448000001</v>
      </c>
      <c r="R141" s="314">
        <f t="shared" si="184"/>
        <v>6995.7828639999998</v>
      </c>
      <c r="S141" s="314">
        <f t="shared" si="184"/>
        <v>5236.6806449999995</v>
      </c>
      <c r="T141" s="314">
        <f t="shared" si="184"/>
        <v>4804.5970389999993</v>
      </c>
      <c r="U141" s="314">
        <f t="shared" si="184"/>
        <v>6138.8418669999983</v>
      </c>
      <c r="V141" s="314">
        <f t="shared" si="184"/>
        <v>6045.3728219999939</v>
      </c>
      <c r="W141" s="314">
        <f t="shared" si="184"/>
        <v>5707.7609980000025</v>
      </c>
      <c r="X141" s="314">
        <f t="shared" si="184"/>
        <v>5705.0333290000035</v>
      </c>
      <c r="Y141" s="314">
        <f t="shared" si="184"/>
        <v>6239.7044070000011</v>
      </c>
      <c r="Z141" s="314">
        <f t="shared" si="184"/>
        <v>5872.6743509999997</v>
      </c>
      <c r="AA141" s="314">
        <f t="shared" si="184"/>
        <v>9478.320492999992</v>
      </c>
      <c r="AB141" s="314">
        <f t="shared" ref="AB141:AM141" si="185">AB28+AB59+AB60+AB61+AB64+AB65</f>
        <v>6831.6503860000066</v>
      </c>
      <c r="AC141" s="314">
        <f t="shared" si="185"/>
        <v>7325.3954309999936</v>
      </c>
      <c r="AD141" s="314">
        <f t="shared" si="185"/>
        <v>10800.906935000005</v>
      </c>
      <c r="AE141" s="314">
        <f t="shared" si="185"/>
        <v>10345.061226999986</v>
      </c>
      <c r="AF141" s="314">
        <f t="shared" si="185"/>
        <v>10937.510991999992</v>
      </c>
      <c r="AG141" s="314">
        <f t="shared" si="185"/>
        <v>11122.539255000018</v>
      </c>
      <c r="AH141" s="314">
        <f t="shared" si="185"/>
        <v>12288.554459000006</v>
      </c>
      <c r="AI141" s="314">
        <f t="shared" si="185"/>
        <v>11389.820478999998</v>
      </c>
      <c r="AJ141" s="314">
        <f t="shared" si="185"/>
        <v>0</v>
      </c>
      <c r="AK141" s="314">
        <f t="shared" si="185"/>
        <v>0</v>
      </c>
      <c r="AL141" s="314">
        <f t="shared" si="185"/>
        <v>0</v>
      </c>
      <c r="AM141" s="314">
        <f t="shared" si="185"/>
        <v>0</v>
      </c>
      <c r="AO141" s="1675">
        <f>SUMIFS(C141:AA141,$C$1:$AA$1,'#经营概况'!$B$1,$C$2:$AA$2,'#经营概况'!$B$2)-SUMIFS(C141:AA141,$C$1:$AA$1,'#经营概况'!$B$1,$C$2:$AA$2,'#经营概况'!$B$2-1)</f>
        <v>0</v>
      </c>
    </row>
    <row r="142" spans="1:53">
      <c r="AO142" s="1675">
        <f>SUMIFS(C142:AA142,$C$1:$AA$1,'#经营概况'!$B$1,$C$2:$AA$2,'#经营概况'!$B$2)-SUMIFS(C142:AA142,$C$1:$AA$1,'#经营概况'!$B$1,$C$2:$AA$2,'#经营概况'!$B$2-1)</f>
        <v>0</v>
      </c>
    </row>
    <row r="143" spans="1:53">
      <c r="A143" s="2288" t="s">
        <v>1468</v>
      </c>
      <c r="W143" s="238">
        <f>W137-V137</f>
        <v>7470.8665739999997</v>
      </c>
      <c r="X143" s="238">
        <f>X137-W137</f>
        <v>7701.8059645839967</v>
      </c>
      <c r="Y143" s="238">
        <f>Y137-X137</f>
        <v>-8552.5814185839881</v>
      </c>
      <c r="Z143" s="238">
        <f>Z137-Y137</f>
        <v>3897.220263999985</v>
      </c>
      <c r="AO143" s="1675">
        <f>SUMIFS(C143:AA143,$C$1:$AA$1,'#经营概况'!$B$1,$C$2:$AA$2,'#经营概况'!$B$2)-SUMIFS(C143:AA143,$C$1:$AA$1,'#经营概况'!$B$1,$C$2:$AA$2,'#经营概况'!$B$2-1)</f>
        <v>0</v>
      </c>
    </row>
    <row r="144" spans="1:53" ht="17.100000000000001" customHeight="1">
      <c r="A144" s="2285" t="s">
        <v>1467</v>
      </c>
      <c r="B144" s="2285"/>
      <c r="C144" s="2285">
        <v>1048</v>
      </c>
      <c r="D144" s="2286">
        <v>4205</v>
      </c>
      <c r="E144" s="2286">
        <v>4582</v>
      </c>
      <c r="F144" s="2286">
        <v>4042</v>
      </c>
      <c r="G144" s="2286">
        <v>4126</v>
      </c>
      <c r="H144" s="2286">
        <v>3991</v>
      </c>
      <c r="I144" s="2286">
        <v>4047</v>
      </c>
      <c r="J144" s="2286">
        <v>4625</v>
      </c>
      <c r="K144" s="2286">
        <v>6506</v>
      </c>
      <c r="L144" s="2286">
        <v>6225</v>
      </c>
      <c r="M144" s="2286">
        <v>7085</v>
      </c>
      <c r="N144" s="2286">
        <v>4791</v>
      </c>
      <c r="O144" s="2286">
        <f>-6503+9000+3449</f>
        <v>5946</v>
      </c>
      <c r="P144" s="2287">
        <v>8177</v>
      </c>
      <c r="Q144" s="2288">
        <v>7738</v>
      </c>
      <c r="R144" s="2289">
        <v>6285</v>
      </c>
      <c r="S144" s="2288">
        <v>6615</v>
      </c>
      <c r="T144" s="2288">
        <v>6367</v>
      </c>
      <c r="U144" s="2288">
        <v>7096</v>
      </c>
      <c r="V144" s="2288">
        <v>-1354</v>
      </c>
      <c r="W144" s="2288">
        <v>4637</v>
      </c>
      <c r="X144" s="2288">
        <v>6549</v>
      </c>
      <c r="Y144" s="2288">
        <f>8862-5256</f>
        <v>3606</v>
      </c>
      <c r="Z144" s="2288">
        <v>-7658</v>
      </c>
      <c r="AA144" s="2288">
        <f>-13350</f>
        <v>-13350</v>
      </c>
      <c r="AB144" s="2288">
        <v>1829</v>
      </c>
      <c r="AC144" s="2288">
        <v>4591</v>
      </c>
      <c r="AD144" s="2288">
        <f>19093</f>
        <v>19093</v>
      </c>
      <c r="AE144" s="2288">
        <v>16808</v>
      </c>
      <c r="AF144" s="2288">
        <v>22957</v>
      </c>
      <c r="AG144" s="2287">
        <v>24879</v>
      </c>
      <c r="AH144" s="2288">
        <v>26076</v>
      </c>
      <c r="AI144" s="2288">
        <v>24385</v>
      </c>
      <c r="AJ144" s="2288"/>
      <c r="AK144" s="2288"/>
      <c r="AL144" s="2288"/>
      <c r="AM144" s="2288"/>
      <c r="AN144" s="2288"/>
      <c r="AO144" s="2290">
        <f>SUMIFS(C144:AA144,$C$1:$AA$1,'#经营概况'!$B$1,$C$2:$AA$2,'#经营概况'!$B$2)-SUMIFS(C144:AA144,$C$1:$AA$1,'#经营概况'!$B$1,$C$2:$AA$2,'#经营概况'!$B$2-1)</f>
        <v>0</v>
      </c>
      <c r="AP144" s="2284">
        <v>5124</v>
      </c>
      <c r="AQ144" s="2284">
        <v>3756</v>
      </c>
      <c r="AR144" s="2284">
        <v>5162</v>
      </c>
      <c r="AS144" s="2284">
        <v>1317</v>
      </c>
      <c r="AT144" s="2284">
        <v>2416</v>
      </c>
    </row>
    <row r="145" spans="1:48" ht="17.100000000000001" customHeight="1">
      <c r="A145" s="2285" t="s">
        <v>1469</v>
      </c>
      <c r="B145" s="2285"/>
      <c r="C145" s="2285"/>
      <c r="D145" s="2286"/>
      <c r="E145" s="2286"/>
      <c r="F145" s="2286"/>
      <c r="G145" s="2286"/>
      <c r="H145" s="2286"/>
      <c r="I145" s="2286"/>
      <c r="J145" s="2286"/>
      <c r="K145" s="2286"/>
      <c r="L145" s="2286"/>
      <c r="M145" s="2286"/>
      <c r="N145" s="2286"/>
      <c r="O145" s="2286"/>
      <c r="P145" s="2287"/>
      <c r="Q145" s="2288"/>
      <c r="R145" s="2289"/>
      <c r="S145" s="2288"/>
      <c r="T145" s="2288"/>
      <c r="U145" s="2288"/>
      <c r="V145" s="2288"/>
      <c r="W145" s="2288"/>
      <c r="X145" s="2288"/>
      <c r="Y145" s="2288"/>
      <c r="Z145" s="2288"/>
      <c r="AA145" s="2288"/>
      <c r="AB145" s="2288">
        <v>8428</v>
      </c>
      <c r="AC145" s="2288">
        <v>7772</v>
      </c>
      <c r="AD145" s="2288">
        <f>6386-6932</f>
        <v>-546</v>
      </c>
      <c r="AE145" s="2288">
        <v>5471</v>
      </c>
      <c r="AF145" s="2288">
        <v>1537</v>
      </c>
      <c r="AG145" s="2287">
        <v>3841</v>
      </c>
      <c r="AH145" s="2288">
        <v>7211</v>
      </c>
      <c r="AI145" s="2288">
        <v>1357</v>
      </c>
      <c r="AJ145" s="2288"/>
      <c r="AK145" s="2288"/>
      <c r="AL145" s="2288"/>
      <c r="AM145" s="2288"/>
      <c r="AN145" s="2288"/>
      <c r="AO145" s="2290"/>
      <c r="AP145" s="2284"/>
      <c r="AQ145" s="2284"/>
      <c r="AR145" s="2284"/>
      <c r="AS145" s="2284"/>
      <c r="AT145" s="2284"/>
    </row>
    <row r="146" spans="1:48" ht="17.100000000000001" customHeight="1">
      <c r="A146" s="2285" t="s">
        <v>1470</v>
      </c>
      <c r="B146" s="2285"/>
      <c r="C146" s="2285"/>
      <c r="D146" s="2286"/>
      <c r="E146" s="2286"/>
      <c r="F146" s="2286"/>
      <c r="G146" s="2286"/>
      <c r="H146" s="2286"/>
      <c r="I146" s="2286"/>
      <c r="J146" s="2286"/>
      <c r="K146" s="2286"/>
      <c r="L146" s="2286"/>
      <c r="M146" s="2286"/>
      <c r="N146" s="2286"/>
      <c r="O146" s="2286"/>
      <c r="P146" s="2287"/>
      <c r="Q146" s="2288"/>
      <c r="R146" s="2289"/>
      <c r="S146" s="2288"/>
      <c r="T146" s="2288"/>
      <c r="U146" s="2288"/>
      <c r="V146" s="2288"/>
      <c r="W146" s="2288"/>
      <c r="X146" s="2288"/>
      <c r="Y146" s="2288"/>
      <c r="Z146" s="2288"/>
      <c r="AA146" s="2288"/>
      <c r="AB146" s="2288">
        <f>AB144+AB145</f>
        <v>10257</v>
      </c>
      <c r="AC146" s="2288">
        <f t="shared" ref="AC146:AM146" si="186">AC144+AC145</f>
        <v>12363</v>
      </c>
      <c r="AD146" s="2288">
        <f>AD144+AD145</f>
        <v>18547</v>
      </c>
      <c r="AE146" s="2288">
        <f t="shared" si="186"/>
        <v>22279</v>
      </c>
      <c r="AF146" s="2288">
        <f t="shared" si="186"/>
        <v>24494</v>
      </c>
      <c r="AG146" s="2287">
        <f t="shared" si="186"/>
        <v>28720</v>
      </c>
      <c r="AH146" s="2288">
        <f t="shared" si="186"/>
        <v>33287</v>
      </c>
      <c r="AI146" s="2288">
        <f t="shared" si="186"/>
        <v>25742</v>
      </c>
      <c r="AJ146" s="2288">
        <f t="shared" si="186"/>
        <v>0</v>
      </c>
      <c r="AK146" s="2288">
        <f t="shared" si="186"/>
        <v>0</v>
      </c>
      <c r="AL146" s="2288">
        <f t="shared" si="186"/>
        <v>0</v>
      </c>
      <c r="AM146" s="2288">
        <f t="shared" si="186"/>
        <v>0</v>
      </c>
      <c r="AN146" s="2288"/>
      <c r="AO146" s="2290"/>
      <c r="AP146" s="2284"/>
      <c r="AQ146" s="2284"/>
      <c r="AR146" s="2284"/>
      <c r="AS146" s="2284"/>
      <c r="AT146" s="2284"/>
    </row>
    <row r="147" spans="1:48" ht="17.100000000000001" customHeight="1">
      <c r="A147" s="2285" t="s">
        <v>792</v>
      </c>
      <c r="B147" s="2285"/>
      <c r="C147" s="2285">
        <v>161</v>
      </c>
      <c r="D147" s="2286">
        <v>595</v>
      </c>
      <c r="E147" s="2286">
        <v>782</v>
      </c>
      <c r="F147" s="2286">
        <v>815</v>
      </c>
      <c r="G147" s="2286">
        <v>797</v>
      </c>
      <c r="H147" s="2286">
        <f>558</f>
        <v>558</v>
      </c>
      <c r="I147" s="2286">
        <v>962</v>
      </c>
      <c r="J147" s="2286">
        <v>644</v>
      </c>
      <c r="K147" s="2286">
        <v>436</v>
      </c>
      <c r="L147" s="2286">
        <v>926</v>
      </c>
      <c r="M147" s="2286">
        <v>7</v>
      </c>
      <c r="N147" s="2286">
        <v>761</v>
      </c>
      <c r="O147" s="2286">
        <f>481+183</f>
        <v>664</v>
      </c>
      <c r="P147" s="2287">
        <v>138</v>
      </c>
      <c r="Q147" s="2288">
        <v>1449</v>
      </c>
      <c r="R147" s="2289">
        <v>1099</v>
      </c>
      <c r="S147" s="2288">
        <v>944</v>
      </c>
      <c r="T147" s="2288">
        <v>694</v>
      </c>
      <c r="U147" s="2288">
        <v>1260</v>
      </c>
      <c r="V147" s="2288">
        <v>232</v>
      </c>
      <c r="W147" s="2288">
        <v>499</v>
      </c>
      <c r="X147" s="2288">
        <v>1367</v>
      </c>
      <c r="Y147" s="2288">
        <f>X147-201</f>
        <v>1166</v>
      </c>
      <c r="Z147" s="2288">
        <v>175</v>
      </c>
      <c r="AA147" s="2288">
        <f>-26363</f>
        <v>-26363</v>
      </c>
      <c r="AB147" s="2288">
        <v>699</v>
      </c>
      <c r="AC147" s="2288">
        <v>1191</v>
      </c>
      <c r="AD147" s="2288">
        <v>1116</v>
      </c>
      <c r="AE147" s="2288">
        <v>1051</v>
      </c>
      <c r="AF147" s="2288">
        <v>1095</v>
      </c>
      <c r="AG147" s="2287">
        <v>765</v>
      </c>
      <c r="AH147" s="2288">
        <v>572</v>
      </c>
      <c r="AI147" s="2288">
        <v>853</v>
      </c>
      <c r="AJ147" s="2288"/>
      <c r="AK147" s="2288"/>
      <c r="AL147" s="2288"/>
      <c r="AM147" s="2288"/>
      <c r="AN147" s="2288"/>
      <c r="AO147" s="2290">
        <f>SUMIFS(C147:AA147,$C$1:$AA$1,'#经营概况'!$B$1,$C$2:$AA$2,'#经营概况'!$B$2)-SUMIFS(C147:AA147,$C$1:$AA$1,'#经营概况'!$B$1,$C$2:$AA$2,'#经营概况'!$B$2-1)</f>
        <v>0</v>
      </c>
      <c r="AP147" s="2284"/>
      <c r="AQ147" s="2284">
        <v>590</v>
      </c>
      <c r="AR147" s="2284"/>
      <c r="AS147" s="2284">
        <v>26586</v>
      </c>
      <c r="AT147" s="2284">
        <v>174</v>
      </c>
    </row>
    <row r="148" spans="1:48" ht="17.100000000000001" customHeight="1">
      <c r="A148" s="2285" t="s">
        <v>1469</v>
      </c>
      <c r="B148" s="2285"/>
      <c r="C148" s="2285"/>
      <c r="D148" s="2286"/>
      <c r="E148" s="2286"/>
      <c r="F148" s="2286"/>
      <c r="G148" s="2286"/>
      <c r="H148" s="2286"/>
      <c r="I148" s="2286"/>
      <c r="J148" s="2286"/>
      <c r="K148" s="2286"/>
      <c r="L148" s="2286"/>
      <c r="M148" s="2286"/>
      <c r="N148" s="2286"/>
      <c r="O148" s="2286"/>
      <c r="P148" s="2287"/>
      <c r="Q148" s="2288"/>
      <c r="R148" s="2289"/>
      <c r="S148" s="2288"/>
      <c r="T148" s="2288"/>
      <c r="U148" s="2288"/>
      <c r="V148" s="2288"/>
      <c r="W148" s="2288"/>
      <c r="X148" s="2288"/>
      <c r="Y148" s="2288"/>
      <c r="Z148" s="2288"/>
      <c r="AA148" s="2288"/>
      <c r="AB148" s="2288">
        <v>0</v>
      </c>
      <c r="AC148" s="2288">
        <v>0</v>
      </c>
      <c r="AD148" s="2288">
        <v>0</v>
      </c>
      <c r="AE148" s="2288">
        <v>0</v>
      </c>
      <c r="AF148" s="2288">
        <v>0</v>
      </c>
      <c r="AG148" s="2287">
        <v>0</v>
      </c>
      <c r="AH148" s="2288">
        <v>0</v>
      </c>
      <c r="AI148" s="2288">
        <v>0</v>
      </c>
      <c r="AJ148" s="2288"/>
      <c r="AK148" s="2288"/>
      <c r="AL148" s="2288"/>
      <c r="AM148" s="2288"/>
      <c r="AN148" s="2288"/>
      <c r="AO148" s="2290"/>
      <c r="AP148" s="2284"/>
      <c r="AQ148" s="2284"/>
      <c r="AR148" s="2284"/>
      <c r="AS148" s="2284"/>
      <c r="AT148" s="2284"/>
    </row>
    <row r="149" spans="1:48" ht="17.100000000000001" customHeight="1">
      <c r="A149" s="2285" t="s">
        <v>1470</v>
      </c>
      <c r="B149" s="2285"/>
      <c r="C149" s="2285"/>
      <c r="D149" s="2286"/>
      <c r="E149" s="2286"/>
      <c r="F149" s="2286"/>
      <c r="G149" s="2286"/>
      <c r="H149" s="2286"/>
      <c r="I149" s="2286"/>
      <c r="J149" s="2286"/>
      <c r="K149" s="2286"/>
      <c r="L149" s="2286"/>
      <c r="M149" s="2286"/>
      <c r="N149" s="2286"/>
      <c r="O149" s="2286"/>
      <c r="P149" s="2287"/>
      <c r="Q149" s="2288"/>
      <c r="R149" s="2289"/>
      <c r="S149" s="2288"/>
      <c r="T149" s="2288"/>
      <c r="U149" s="2288"/>
      <c r="V149" s="2288"/>
      <c r="W149" s="2288"/>
      <c r="X149" s="2288"/>
      <c r="Y149" s="2288"/>
      <c r="Z149" s="2288"/>
      <c r="AA149" s="2288"/>
      <c r="AB149" s="2288">
        <f>AB147+AB148</f>
        <v>699</v>
      </c>
      <c r="AC149" s="2288">
        <f t="shared" ref="AC149:AM149" si="187">AC147+AC148</f>
        <v>1191</v>
      </c>
      <c r="AD149" s="2288">
        <f t="shared" si="187"/>
        <v>1116</v>
      </c>
      <c r="AE149" s="2288">
        <f t="shared" si="187"/>
        <v>1051</v>
      </c>
      <c r="AF149" s="2288">
        <f t="shared" si="187"/>
        <v>1095</v>
      </c>
      <c r="AG149" s="2287">
        <f t="shared" si="187"/>
        <v>765</v>
      </c>
      <c r="AH149" s="2288">
        <f t="shared" si="187"/>
        <v>572</v>
      </c>
      <c r="AI149" s="2288">
        <f t="shared" si="187"/>
        <v>853</v>
      </c>
      <c r="AJ149" s="2288">
        <f t="shared" si="187"/>
        <v>0</v>
      </c>
      <c r="AK149" s="2288">
        <f t="shared" si="187"/>
        <v>0</v>
      </c>
      <c r="AL149" s="2288">
        <f t="shared" si="187"/>
        <v>0</v>
      </c>
      <c r="AM149" s="2288">
        <f t="shared" si="187"/>
        <v>0</v>
      </c>
      <c r="AN149" s="2288"/>
      <c r="AO149" s="2290"/>
      <c r="AP149" s="2284"/>
      <c r="AQ149" s="2284"/>
      <c r="AR149" s="2284"/>
      <c r="AS149" s="2284"/>
      <c r="AT149" s="2284"/>
    </row>
    <row r="150" spans="1:48" ht="17.100000000000001" customHeight="1">
      <c r="A150" s="2285" t="s">
        <v>555</v>
      </c>
      <c r="B150" s="2285"/>
      <c r="C150" s="2285">
        <v>-323</v>
      </c>
      <c r="D150" s="2286">
        <v>-74</v>
      </c>
      <c r="E150" s="2286">
        <v>14</v>
      </c>
      <c r="F150" s="2286">
        <v>25</v>
      </c>
      <c r="G150" s="2286">
        <v>124</v>
      </c>
      <c r="H150" s="2286">
        <v>189</v>
      </c>
      <c r="I150" s="2286">
        <v>130</v>
      </c>
      <c r="J150" s="2286">
        <v>13</v>
      </c>
      <c r="K150" s="2286">
        <v>94</v>
      </c>
      <c r="L150" s="2286">
        <v>13</v>
      </c>
      <c r="M150" s="2286">
        <v>-26</v>
      </c>
      <c r="N150" s="2286">
        <f>-43-275</f>
        <v>-318</v>
      </c>
      <c r="O150" s="2286">
        <f>-612+71</f>
        <v>-541</v>
      </c>
      <c r="P150" s="2287">
        <v>-95</v>
      </c>
      <c r="Q150" s="2288">
        <v>1</v>
      </c>
      <c r="R150" s="2289">
        <v>35</v>
      </c>
      <c r="S150" s="2288">
        <v>23</v>
      </c>
      <c r="T150" s="2288">
        <v>-112</v>
      </c>
      <c r="U150" s="2288">
        <v>6</v>
      </c>
      <c r="V150" s="2288">
        <v>-172</v>
      </c>
      <c r="W150" s="2288">
        <v>-44</v>
      </c>
      <c r="X150" s="2288">
        <v>-156</v>
      </c>
      <c r="Y150" s="2288">
        <v>-117</v>
      </c>
      <c r="Z150" s="2288">
        <v>-1057</v>
      </c>
      <c r="AA150" s="2289">
        <f>-2378</f>
        <v>-2378</v>
      </c>
      <c r="AB150" s="2289">
        <v>-152</v>
      </c>
      <c r="AC150" s="2289">
        <v>-200</v>
      </c>
      <c r="AD150" s="2289">
        <v>-32</v>
      </c>
      <c r="AE150" s="2289">
        <v>-134</v>
      </c>
      <c r="AF150" s="2289">
        <v>-150</v>
      </c>
      <c r="AG150" s="2294">
        <v>-231</v>
      </c>
      <c r="AH150" s="2289">
        <v>-635</v>
      </c>
      <c r="AI150" s="2289">
        <v>-255</v>
      </c>
      <c r="AJ150" s="2289"/>
      <c r="AK150" s="2289"/>
      <c r="AL150" s="2289"/>
      <c r="AM150" s="2289"/>
      <c r="AN150" s="2288"/>
      <c r="AO150" s="2290">
        <f>SUMIFS(C150:AA150,$C$1:$AA$1,'#经营概况'!$B$1,$C$2:$AA$2,'#经营概况'!$B$2)-SUMIFS(C150:AA150,$C$1:$AA$1,'#经营概况'!$B$1,$C$2:$AA$2,'#经营概况'!$B$2-1)</f>
        <v>0</v>
      </c>
      <c r="AP150" s="2284"/>
      <c r="AQ150" s="2284">
        <v>602.89</v>
      </c>
      <c r="AR150" s="2284"/>
      <c r="AS150" s="2284">
        <v>133</v>
      </c>
      <c r="AT150" s="2284">
        <v>1179</v>
      </c>
      <c r="AV150" s="186"/>
    </row>
    <row r="151" spans="1:48" ht="17.100000000000001" customHeight="1">
      <c r="A151" s="2285" t="s">
        <v>1469</v>
      </c>
      <c r="B151" s="2285"/>
      <c r="C151" s="2285"/>
      <c r="D151" s="2286"/>
      <c r="E151" s="2286"/>
      <c r="F151" s="2286"/>
      <c r="G151" s="2286"/>
      <c r="H151" s="2286"/>
      <c r="I151" s="2286"/>
      <c r="J151" s="2286"/>
      <c r="K151" s="2286"/>
      <c r="L151" s="2286"/>
      <c r="M151" s="2286"/>
      <c r="N151" s="2286"/>
      <c r="O151" s="2286"/>
      <c r="P151" s="2287"/>
      <c r="Q151" s="2288"/>
      <c r="R151" s="2289"/>
      <c r="S151" s="2288"/>
      <c r="T151" s="2288"/>
      <c r="U151" s="2288"/>
      <c r="V151" s="2288"/>
      <c r="W151" s="2288"/>
      <c r="X151" s="2288"/>
      <c r="Y151" s="2288"/>
      <c r="Z151" s="2288"/>
      <c r="AA151" s="2289"/>
      <c r="AB151" s="2289">
        <v>301</v>
      </c>
      <c r="AC151" s="2289">
        <v>305</v>
      </c>
      <c r="AD151" s="2289">
        <v>274</v>
      </c>
      <c r="AE151" s="2289">
        <v>321</v>
      </c>
      <c r="AF151" s="2289">
        <v>307</v>
      </c>
      <c r="AG151" s="2294">
        <v>302</v>
      </c>
      <c r="AH151" s="2289">
        <v>299</v>
      </c>
      <c r="AI151" s="2289">
        <v>312</v>
      </c>
      <c r="AJ151" s="2289"/>
      <c r="AK151" s="2289"/>
      <c r="AL151" s="2289"/>
      <c r="AM151" s="2289"/>
      <c r="AN151" s="2288"/>
      <c r="AO151" s="2290"/>
      <c r="AP151" s="2284"/>
      <c r="AQ151" s="2284"/>
      <c r="AR151" s="2284"/>
      <c r="AS151" s="2284"/>
      <c r="AT151" s="2284"/>
      <c r="AV151" s="186"/>
    </row>
    <row r="152" spans="1:48" ht="17.100000000000001" customHeight="1">
      <c r="A152" s="2285" t="s">
        <v>1470</v>
      </c>
      <c r="B152" s="2285"/>
      <c r="C152" s="2285"/>
      <c r="D152" s="2286"/>
      <c r="E152" s="2286"/>
      <c r="F152" s="2286"/>
      <c r="G152" s="2286"/>
      <c r="H152" s="2286"/>
      <c r="I152" s="2286"/>
      <c r="J152" s="2286"/>
      <c r="K152" s="2286"/>
      <c r="L152" s="2286"/>
      <c r="M152" s="2286"/>
      <c r="N152" s="2286"/>
      <c r="O152" s="2286"/>
      <c r="P152" s="2287"/>
      <c r="Q152" s="2288"/>
      <c r="R152" s="2289"/>
      <c r="S152" s="2288"/>
      <c r="T152" s="2288"/>
      <c r="U152" s="2288"/>
      <c r="V152" s="2288"/>
      <c r="W152" s="2288"/>
      <c r="X152" s="2288"/>
      <c r="Y152" s="2288"/>
      <c r="Z152" s="2288"/>
      <c r="AA152" s="2289"/>
      <c r="AB152" s="2288">
        <f>AB150+AB151</f>
        <v>149</v>
      </c>
      <c r="AC152" s="2288">
        <f t="shared" ref="AC152:AM152" si="188">AC150+AC151</f>
        <v>105</v>
      </c>
      <c r="AD152" s="2288">
        <f t="shared" si="188"/>
        <v>242</v>
      </c>
      <c r="AE152" s="2288">
        <f t="shared" si="188"/>
        <v>187</v>
      </c>
      <c r="AF152" s="2288">
        <f t="shared" si="188"/>
        <v>157</v>
      </c>
      <c r="AG152" s="2287">
        <f t="shared" si="188"/>
        <v>71</v>
      </c>
      <c r="AH152" s="2288">
        <f t="shared" si="188"/>
        <v>-336</v>
      </c>
      <c r="AI152" s="2288">
        <f t="shared" si="188"/>
        <v>57</v>
      </c>
      <c r="AJ152" s="2288">
        <f t="shared" si="188"/>
        <v>0</v>
      </c>
      <c r="AK152" s="2288">
        <f t="shared" si="188"/>
        <v>0</v>
      </c>
      <c r="AL152" s="2288">
        <f t="shared" si="188"/>
        <v>0</v>
      </c>
      <c r="AM152" s="2288">
        <f t="shared" si="188"/>
        <v>0</v>
      </c>
      <c r="AN152" s="2288"/>
      <c r="AO152" s="2290"/>
      <c r="AP152" s="2284"/>
      <c r="AQ152" s="2284"/>
      <c r="AR152" s="2284"/>
      <c r="AS152" s="2284"/>
      <c r="AT152" s="2284"/>
      <c r="AV152" s="186"/>
    </row>
    <row r="153" spans="1:48" ht="17.100000000000001" customHeight="1">
      <c r="A153" s="2285" t="s">
        <v>64</v>
      </c>
      <c r="B153" s="2285"/>
      <c r="C153" s="2292" t="e">
        <f>C158-C144-#REF!-C147-C150</f>
        <v>#REF!</v>
      </c>
      <c r="D153" s="2293" t="e">
        <f>D158-D144-#REF!-D147-D150</f>
        <v>#REF!</v>
      </c>
      <c r="E153" s="2293" t="e">
        <f>E158-E144-#REF!-E147-E150</f>
        <v>#REF!</v>
      </c>
      <c r="F153" s="2293" t="e">
        <f>F158-F144-#REF!-F147-F150</f>
        <v>#REF!</v>
      </c>
      <c r="G153" s="2293" t="e">
        <f>G158-G144-#REF!-G147-G150</f>
        <v>#REF!</v>
      </c>
      <c r="H153" s="2293" t="e">
        <f>H158-H144-#REF!-H147-H150</f>
        <v>#REF!</v>
      </c>
      <c r="I153" s="2293" t="e">
        <f>I158-I144-#REF!-I147-I150</f>
        <v>#REF!</v>
      </c>
      <c r="J153" s="2293" t="e">
        <f>J158-J144-#REF!-J147-J150</f>
        <v>#REF!</v>
      </c>
      <c r="K153" s="2293" t="e">
        <f>K158-K144-#REF!-K147-K150</f>
        <v>#REF!</v>
      </c>
      <c r="L153" s="2293" t="e">
        <f>L158-L144-#REF!-L147-L150</f>
        <v>#REF!</v>
      </c>
      <c r="M153" s="2293" t="e">
        <f>M158-M144-#REF!-M147-M150</f>
        <v>#REF!</v>
      </c>
      <c r="N153" s="2293" t="e">
        <f>N158-N144-#REF!-N147-N150</f>
        <v>#REF!</v>
      </c>
      <c r="O153" s="2293">
        <f t="shared" ref="O153:AM153" si="189">O156-O144-O147-O150</f>
        <v>4354</v>
      </c>
      <c r="P153" s="2293">
        <f t="shared" si="189"/>
        <v>2203</v>
      </c>
      <c r="Q153" s="2293">
        <f t="shared" si="189"/>
        <v>1235</v>
      </c>
      <c r="R153" s="2293">
        <f t="shared" si="189"/>
        <v>3004</v>
      </c>
      <c r="S153" s="2293">
        <f t="shared" si="189"/>
        <v>2841</v>
      </c>
      <c r="T153" s="2293">
        <f t="shared" si="189"/>
        <v>3474</v>
      </c>
      <c r="U153" s="2293">
        <f t="shared" si="189"/>
        <v>2061</v>
      </c>
      <c r="V153" s="2293">
        <f t="shared" si="189"/>
        <v>11717</v>
      </c>
      <c r="W153" s="2293">
        <f t="shared" si="189"/>
        <v>5331</v>
      </c>
      <c r="X153" s="2293">
        <f t="shared" si="189"/>
        <v>2663</v>
      </c>
      <c r="Y153" s="2293">
        <f t="shared" si="189"/>
        <v>5768</v>
      </c>
      <c r="Z153" s="2293">
        <f t="shared" si="189"/>
        <v>18963</v>
      </c>
      <c r="AA153" s="2293">
        <f t="shared" si="189"/>
        <v>52514</v>
      </c>
      <c r="AB153" s="2293">
        <f t="shared" si="189"/>
        <v>9177</v>
      </c>
      <c r="AC153" s="2293">
        <f t="shared" si="189"/>
        <v>9050</v>
      </c>
      <c r="AD153" s="2293">
        <f>AD156-AD144-AD147-AD150</f>
        <v>352</v>
      </c>
      <c r="AE153" s="2293">
        <f>AE156-AE144-AE147-AE150</f>
        <v>6100</v>
      </c>
      <c r="AF153" s="2293">
        <f t="shared" si="189"/>
        <v>3463</v>
      </c>
      <c r="AG153" s="2294">
        <f t="shared" si="189"/>
        <v>5336</v>
      </c>
      <c r="AH153" s="2293">
        <f t="shared" si="189"/>
        <v>5621</v>
      </c>
      <c r="AI153" s="2293">
        <f t="shared" si="189"/>
        <v>1254</v>
      </c>
      <c r="AJ153" s="2293">
        <f t="shared" si="189"/>
        <v>0</v>
      </c>
      <c r="AK153" s="2293">
        <f t="shared" si="189"/>
        <v>0</v>
      </c>
      <c r="AL153" s="2293">
        <f t="shared" si="189"/>
        <v>0</v>
      </c>
      <c r="AM153" s="2293">
        <f t="shared" si="189"/>
        <v>0</v>
      </c>
      <c r="AN153" s="2288"/>
      <c r="AO153" s="2290">
        <f>SUMIFS(C153:AA153,$C$1:$AA$1,'#经营概况'!$B$1,$C$2:$AA$2,'#经营概况'!$B$2)-SUMIFS(C153:AA153,$C$1:$AA$1,'#经营概况'!$B$1,$C$2:$AA$2,'#经营概况'!$B$2-1)</f>
        <v>0</v>
      </c>
      <c r="AP153" s="2291"/>
      <c r="AQ153" s="2291"/>
      <c r="AR153" s="2291"/>
      <c r="AS153" s="2291"/>
      <c r="AT153" s="2291"/>
    </row>
    <row r="154" spans="1:48" ht="17.100000000000001" customHeight="1">
      <c r="A154" s="2285" t="s">
        <v>1469</v>
      </c>
      <c r="B154" s="2285"/>
      <c r="C154" s="2292"/>
      <c r="D154" s="2293"/>
      <c r="E154" s="2293"/>
      <c r="F154" s="2293"/>
      <c r="G154" s="2293"/>
      <c r="H154" s="2293"/>
      <c r="I154" s="2293"/>
      <c r="J154" s="2293"/>
      <c r="K154" s="2293"/>
      <c r="L154" s="2293"/>
      <c r="M154" s="2293"/>
      <c r="N154" s="2293"/>
      <c r="O154" s="2293"/>
      <c r="P154" s="2294"/>
      <c r="Q154" s="2294"/>
      <c r="R154" s="2294"/>
      <c r="S154" s="2294"/>
      <c r="T154" s="2294"/>
      <c r="U154" s="2294"/>
      <c r="V154" s="2294"/>
      <c r="W154" s="2294"/>
      <c r="X154" s="2294"/>
      <c r="Y154" s="2294"/>
      <c r="Z154" s="2294"/>
      <c r="AA154" s="2294"/>
      <c r="AB154" s="2294">
        <v>-10471</v>
      </c>
      <c r="AC154" s="2294">
        <v>-9911</v>
      </c>
      <c r="AD154" s="2294">
        <f>-9154</f>
        <v>-9154</v>
      </c>
      <c r="AE154" s="2294">
        <v>-8263</v>
      </c>
      <c r="AF154" s="2294">
        <v>-4447</v>
      </c>
      <c r="AG154" s="2294">
        <v>-6943</v>
      </c>
      <c r="AH154" s="2294">
        <v>-10295</v>
      </c>
      <c r="AI154" s="2294">
        <v>-4428</v>
      </c>
      <c r="AJ154" s="2294"/>
      <c r="AK154" s="2294"/>
      <c r="AL154" s="2294"/>
      <c r="AM154" s="2294"/>
      <c r="AN154" s="2288"/>
      <c r="AO154" s="2290"/>
      <c r="AP154" s="2291"/>
      <c r="AQ154" s="2291"/>
      <c r="AR154" s="2291"/>
      <c r="AS154" s="2291"/>
      <c r="AT154" s="2291"/>
    </row>
    <row r="155" spans="1:48" ht="17.100000000000001" customHeight="1">
      <c r="A155" s="2285" t="s">
        <v>1470</v>
      </c>
      <c r="B155" s="2285"/>
      <c r="C155" s="2292"/>
      <c r="D155" s="2293"/>
      <c r="E155" s="2293"/>
      <c r="F155" s="2293"/>
      <c r="G155" s="2293"/>
      <c r="H155" s="2293"/>
      <c r="I155" s="2293"/>
      <c r="J155" s="2293"/>
      <c r="K155" s="2293"/>
      <c r="L155" s="2293"/>
      <c r="M155" s="2293"/>
      <c r="N155" s="2293"/>
      <c r="O155" s="2293"/>
      <c r="P155" s="2294"/>
      <c r="Q155" s="2294"/>
      <c r="R155" s="2294"/>
      <c r="S155" s="2294"/>
      <c r="T155" s="2294"/>
      <c r="U155" s="2294"/>
      <c r="V155" s="2294"/>
      <c r="W155" s="2294"/>
      <c r="X155" s="2294"/>
      <c r="Y155" s="2294"/>
      <c r="Z155" s="2294"/>
      <c r="AA155" s="2294"/>
      <c r="AB155" s="2293">
        <f>AB153+AB154</f>
        <v>-1294</v>
      </c>
      <c r="AC155" s="2293">
        <f t="shared" ref="AC155:AM155" si="190">AC153+AC154</f>
        <v>-861</v>
      </c>
      <c r="AD155" s="2293">
        <f>AD153+AD154</f>
        <v>-8802</v>
      </c>
      <c r="AE155" s="2293">
        <f t="shared" si="190"/>
        <v>-2163</v>
      </c>
      <c r="AF155" s="2293">
        <f t="shared" si="190"/>
        <v>-984</v>
      </c>
      <c r="AG155" s="2294">
        <f t="shared" si="190"/>
        <v>-1607</v>
      </c>
      <c r="AH155" s="2293">
        <f t="shared" si="190"/>
        <v>-4674</v>
      </c>
      <c r="AI155" s="2293">
        <f t="shared" si="190"/>
        <v>-3174</v>
      </c>
      <c r="AJ155" s="2293">
        <f t="shared" si="190"/>
        <v>0</v>
      </c>
      <c r="AK155" s="2293">
        <f t="shared" si="190"/>
        <v>0</v>
      </c>
      <c r="AL155" s="2293">
        <f t="shared" si="190"/>
        <v>0</v>
      </c>
      <c r="AM155" s="2293">
        <f t="shared" si="190"/>
        <v>0</v>
      </c>
      <c r="AN155" s="2288"/>
      <c r="AO155" s="2290"/>
      <c r="AP155" s="2291"/>
      <c r="AQ155" s="2291"/>
      <c r="AR155" s="2291"/>
      <c r="AS155" s="2291"/>
      <c r="AT155" s="2291"/>
    </row>
    <row r="156" spans="1:48" ht="17.100000000000001" customHeight="1">
      <c r="A156" s="2288" t="s">
        <v>793</v>
      </c>
      <c r="B156" s="2289">
        <f>SUM(B142:B151)</f>
        <v>0</v>
      </c>
      <c r="C156" s="2289">
        <f>3710+810</f>
        <v>4520</v>
      </c>
      <c r="D156" s="2293">
        <v>7648</v>
      </c>
      <c r="E156" s="2293">
        <v>9698</v>
      </c>
      <c r="F156" s="2293">
        <v>7700</v>
      </c>
      <c r="G156" s="2293">
        <v>10760</v>
      </c>
      <c r="H156" s="2293">
        <v>12220</v>
      </c>
      <c r="I156" s="2293">
        <f>7060+5000</f>
        <v>12060</v>
      </c>
      <c r="J156" s="2293">
        <v>11218</v>
      </c>
      <c r="K156" s="2293">
        <v>13695</v>
      </c>
      <c r="L156" s="2293">
        <v>10981</v>
      </c>
      <c r="M156" s="2293">
        <v>11512</v>
      </c>
      <c r="N156" s="2293">
        <f>10971.520761-1961</f>
        <v>9010.5207609999998</v>
      </c>
      <c r="O156" s="2293">
        <f>-11541+9000+5319+7645</f>
        <v>10423</v>
      </c>
      <c r="P156" s="2293">
        <f t="shared" ref="P156:AA156" si="191">-11541+9000+5319+7645</f>
        <v>10423</v>
      </c>
      <c r="Q156" s="2293">
        <f t="shared" si="191"/>
        <v>10423</v>
      </c>
      <c r="R156" s="2293">
        <f t="shared" si="191"/>
        <v>10423</v>
      </c>
      <c r="S156" s="2293">
        <f t="shared" si="191"/>
        <v>10423</v>
      </c>
      <c r="T156" s="2293">
        <f t="shared" si="191"/>
        <v>10423</v>
      </c>
      <c r="U156" s="2293">
        <f t="shared" si="191"/>
        <v>10423</v>
      </c>
      <c r="V156" s="2293">
        <f t="shared" si="191"/>
        <v>10423</v>
      </c>
      <c r="W156" s="2293">
        <f t="shared" si="191"/>
        <v>10423</v>
      </c>
      <c r="X156" s="2293">
        <f t="shared" si="191"/>
        <v>10423</v>
      </c>
      <c r="Y156" s="2293">
        <f t="shared" si="191"/>
        <v>10423</v>
      </c>
      <c r="Z156" s="2293">
        <f t="shared" si="191"/>
        <v>10423</v>
      </c>
      <c r="AA156" s="2293">
        <f t="shared" si="191"/>
        <v>10423</v>
      </c>
      <c r="AB156" s="2293">
        <v>11553</v>
      </c>
      <c r="AC156" s="2293">
        <v>14632</v>
      </c>
      <c r="AD156" s="2293">
        <f>34315-13792+6</f>
        <v>20529</v>
      </c>
      <c r="AE156" s="2293">
        <f>23811+14</f>
        <v>23825</v>
      </c>
      <c r="AF156" s="2293">
        <v>27365</v>
      </c>
      <c r="AG156" s="2294">
        <f>30777-28</f>
        <v>30749</v>
      </c>
      <c r="AH156" s="2293">
        <v>31634</v>
      </c>
      <c r="AI156" s="2293">
        <v>26237</v>
      </c>
      <c r="AJ156" s="2293"/>
      <c r="AK156" s="2293"/>
      <c r="AL156" s="2293"/>
      <c r="AM156" s="2293"/>
      <c r="AN156" s="2288"/>
      <c r="AO156" s="2290">
        <f>SUMIFS(C156:AA156,$C$1:$AA$1,'#经营概况'!$B$1,$C$2:$AA$2,'#经营概况'!$B$2)-SUMIFS(C156:AA156,$C$1:$AA$1,'#经营概况'!$B$1,$C$2:$AA$2,'#经营概况'!$B$2-1)</f>
        <v>0</v>
      </c>
      <c r="AP156" s="2291"/>
      <c r="AQ156" s="2291"/>
      <c r="AR156" s="2291"/>
      <c r="AS156" s="2291"/>
      <c r="AT156" s="2291"/>
    </row>
    <row r="157" spans="1:48" ht="17.100000000000001" customHeight="1">
      <c r="A157" s="2285" t="s">
        <v>1469</v>
      </c>
      <c r="B157" s="2289"/>
      <c r="C157" s="2289"/>
      <c r="D157" s="2293"/>
      <c r="E157" s="2293"/>
      <c r="F157" s="2293"/>
      <c r="G157" s="2293"/>
      <c r="H157" s="2293"/>
      <c r="I157" s="2293"/>
      <c r="J157" s="2293"/>
      <c r="K157" s="2293"/>
      <c r="L157" s="2293"/>
      <c r="M157" s="2293"/>
      <c r="N157" s="2293"/>
      <c r="O157" s="2293"/>
      <c r="P157" s="2294"/>
      <c r="Q157" s="2288"/>
      <c r="R157" s="2289"/>
      <c r="S157" s="2288"/>
      <c r="T157" s="2288"/>
      <c r="U157" s="2288"/>
      <c r="V157" s="2288"/>
      <c r="W157" s="2288"/>
      <c r="X157" s="2288"/>
      <c r="Y157" s="2288"/>
      <c r="Z157" s="2288"/>
      <c r="AA157" s="2289"/>
      <c r="AB157" s="2289">
        <v>-1619</v>
      </c>
      <c r="AC157" s="2289">
        <v>-1734</v>
      </c>
      <c r="AD157" s="2289">
        <f>-2326</f>
        <v>-2326</v>
      </c>
      <c r="AE157" s="2289">
        <v>-2469</v>
      </c>
      <c r="AF157" s="2289">
        <v>-2604</v>
      </c>
      <c r="AG157" s="2294">
        <v>-2780</v>
      </c>
      <c r="AH157" s="2289">
        <v>-2786</v>
      </c>
      <c r="AI157" s="2289">
        <v>-2759</v>
      </c>
      <c r="AJ157" s="2289"/>
      <c r="AK157" s="2289"/>
      <c r="AL157" s="2289"/>
      <c r="AM157" s="2289"/>
      <c r="AN157" s="2288"/>
      <c r="AO157" s="2290"/>
      <c r="AP157" s="2291"/>
      <c r="AQ157" s="2291"/>
      <c r="AR157" s="2291"/>
      <c r="AS157" s="2291"/>
      <c r="AT157" s="2291"/>
    </row>
    <row r="158" spans="1:48">
      <c r="A158" s="2285" t="s">
        <v>1470</v>
      </c>
      <c r="B158" s="2289"/>
      <c r="C158" s="2289"/>
      <c r="D158" s="2293"/>
      <c r="E158" s="2293"/>
      <c r="F158" s="2293"/>
      <c r="G158" s="2293"/>
      <c r="H158" s="2293"/>
      <c r="I158" s="2293"/>
      <c r="J158" s="2293"/>
      <c r="K158" s="2293"/>
      <c r="L158" s="2293"/>
      <c r="M158" s="2293"/>
      <c r="N158" s="2293"/>
      <c r="O158" s="2293"/>
      <c r="P158" s="2294"/>
      <c r="Q158" s="2288"/>
      <c r="R158" s="2289"/>
      <c r="S158" s="2288"/>
      <c r="T158" s="2288"/>
      <c r="U158" s="2288"/>
      <c r="V158" s="2288"/>
      <c r="W158" s="2288"/>
      <c r="X158" s="2288"/>
      <c r="Y158" s="2288"/>
      <c r="Z158" s="2288"/>
      <c r="AA158" s="2289"/>
      <c r="AB158" s="2288">
        <f>AB156+AB157</f>
        <v>9934</v>
      </c>
      <c r="AC158" s="2288">
        <f t="shared" ref="AC158:AM158" si="192">AC156+AC157</f>
        <v>12898</v>
      </c>
      <c r="AD158" s="2289">
        <f>AD156+AD157</f>
        <v>18203</v>
      </c>
      <c r="AE158" s="2288">
        <f t="shared" si="192"/>
        <v>21356</v>
      </c>
      <c r="AF158" s="2288">
        <f t="shared" si="192"/>
        <v>24761</v>
      </c>
      <c r="AG158" s="2287">
        <f t="shared" si="192"/>
        <v>27969</v>
      </c>
      <c r="AH158" s="2288">
        <f t="shared" si="192"/>
        <v>28848</v>
      </c>
      <c r="AI158" s="2288">
        <f t="shared" si="192"/>
        <v>23478</v>
      </c>
      <c r="AJ158" s="2288">
        <f t="shared" si="192"/>
        <v>0</v>
      </c>
      <c r="AK158" s="2288">
        <f t="shared" si="192"/>
        <v>0</v>
      </c>
      <c r="AL158" s="2288">
        <f t="shared" si="192"/>
        <v>0</v>
      </c>
      <c r="AM158" s="2288">
        <f t="shared" si="192"/>
        <v>0</v>
      </c>
      <c r="AN158" s="2288"/>
      <c r="AO158" s="2290"/>
      <c r="AP158" s="2291"/>
      <c r="AQ158" s="2291"/>
      <c r="AR158" s="2291"/>
      <c r="AS158" s="2291"/>
      <c r="AT158" s="2291"/>
    </row>
    <row r="159" spans="1:48">
      <c r="AD159" s="206">
        <f>AD146-AC146-7676</f>
        <v>-1492</v>
      </c>
      <c r="AE159" s="206">
        <f>AE146-AD146-1644</f>
        <v>2088</v>
      </c>
    </row>
    <row r="160" spans="1:48">
      <c r="AD160" s="238"/>
      <c r="AE160" s="206">
        <f>AE149-AD149</f>
        <v>-65</v>
      </c>
    </row>
    <row r="161" spans="31:34">
      <c r="AE161" s="206">
        <f>AE152-AD152</f>
        <v>-55</v>
      </c>
      <c r="AG161" s="2548"/>
      <c r="AH161" s="2547"/>
    </row>
    <row r="163" spans="31:34">
      <c r="AF163" s="2547"/>
      <c r="AG163" s="2547"/>
    </row>
  </sheetData>
  <customSheetViews>
    <customSheetView guid="{1683F931-F47D-47C0-A395-D48080DC7EE6}" scale="85" showPageBreaks="1" printArea="1" hiddenColumns="1">
      <pane xSplit="1" ySplit="2" topLeftCell="T99" activePane="bottomRight" state="frozen"/>
      <selection pane="bottomRight" activeCell="AI110" sqref="AI110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"/>
    </customSheetView>
    <customSheetView guid="{43897816-D2F0-4C3D-8F57-E0039BD2296B}" scale="85" showPageBreaks="1" printArea="1">
      <pane xSplit="1" ySplit="2" topLeftCell="Y69" activePane="bottomRight" state="frozen"/>
      <selection pane="bottomRight" activeCell="AF119" sqref="AF119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2"/>
    </customSheetView>
    <customSheetView guid="{849C46E5-4ED4-41B9-BDA9-A6465B9DA9C2}" scale="85">
      <pane xSplit="1" ySplit="1" topLeftCell="Z74" activePane="bottomRight" state="frozen"/>
      <selection pane="bottomRight" activeCell="AD106" sqref="AD106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3"/>
    </customSheetView>
    <customSheetView guid="{8C09BCDE-4B8A-4469-B3F2-7F4528A2E78D}" scale="85" showPageBreaks="1" printArea="1">
      <pane xSplit="1" ySplit="1" topLeftCell="Z74" activePane="bottomRight" state="frozen"/>
      <selection pane="bottomRight" activeCell="AD106" sqref="AD106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4"/>
    </customSheetView>
    <customSheetView guid="{F4EB51F4-FD23-4D5B-8072-1AF5D59D6686}" scale="85" showPageBreaks="1" printArea="1">
      <pane xSplit="1" ySplit="1" topLeftCell="U2" activePane="bottomRight" state="frozen"/>
      <selection pane="bottomRight" activeCell="AC19" sqref="AC19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5"/>
    </customSheetView>
    <customSheetView guid="{D7BCFB76-2797-401D-A6F1-E020B5162DD4}" scale="85" showPageBreaks="1" printArea="1">
      <pane xSplit="1" ySplit="2" topLeftCell="AA66" activePane="bottomRight" state="frozen"/>
      <selection pane="bottomRight" activeCell="AG73" sqref="AG73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6"/>
    </customSheetView>
    <customSheetView guid="{C9A88430-3808-49F4-8D86-BF8C70C55441}" scale="85" showPageBreaks="1" printArea="1" topLeftCell="A22">
      <selection activeCell="AM48" sqref="AM48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7"/>
    </customSheetView>
    <customSheetView guid="{E61FFED3-723E-484A-93A0-94E1A801AF06}" showPageBreaks="1" printArea="1">
      <pane xSplit="1" ySplit="2" topLeftCell="U27" activePane="bottomRight" state="frozen"/>
      <selection pane="bottomRight" activeCell="L62" sqref="L6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8"/>
    </customSheetView>
    <customSheetView guid="{6B5CCA07-2BDD-4B8E-9E3C-2111BBA97430}">
      <pane xSplit="1" ySplit="2" topLeftCell="W3" activePane="bottomRight" state="frozen"/>
      <selection pane="bottomRight" activeCell="AB27" sqref="AB27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9"/>
    </customSheetView>
    <customSheetView guid="{2F47A827-9643-4D8A-AC5D-6B09D79AACF9}" showPageBreaks="1" printArea="1">
      <pane xSplit="1" ySplit="2" topLeftCell="B42" activePane="bottomRight" state="frozen"/>
      <selection pane="bottomRight" activeCell="H25" sqref="H25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0"/>
    </customSheetView>
    <customSheetView guid="{B37168A1-DBAB-4BDE-9F92-6261DCDF3D92}" showPageBreaks="1" printArea="1">
      <pane xSplit="1" ySplit="1" topLeftCell="R2" activePane="bottomRight" state="frozen"/>
      <selection pane="bottomRight" activeCell="AA46" sqref="AA46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1"/>
    </customSheetView>
    <customSheetView guid="{AE0DD889-C13C-4059-8024-0F5B234827E9}" showPageBreaks="1" printArea="1" hiddenColumns="1" topLeftCell="R29">
      <selection activeCell="W42" sqref="W4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2"/>
    </customSheetView>
    <customSheetView guid="{CCBBD9B0-4191-4D7A-9F7B-BAC044A49153}" scale="85" showPageBreaks="1" printArea="1">
      <pane xSplit="1" ySplit="1" topLeftCell="N8" state="frozen"/>
      <selection activeCell="P29" sqref="P29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F5F9735B-EE22-4AC6-B5AB-C856ED6C133D}" showPageBreaks="1" printArea="1">
      <pane xSplit="1" ySplit="1" topLeftCell="B48" state="frozen"/>
      <selection activeCell="D61" sqref="D61:M61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45B4C0D1-53B6-4553-BFF9-393760B8E0CE}" showPageBreaks="1" printArea="1">
      <pane xSplit="1" ySplit="2" topLeftCell="D3" state="frozen"/>
      <selection activeCell="G21" sqref="G21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1BBD1596-143E-4714-99EF-E3545231CCD1}" showPageBreaks="1" printArea="1">
      <pane xSplit="1" ySplit="2" topLeftCell="C3" state="frozen"/>
      <selection activeCell="J19" sqref="J19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A8456D60-99BA-4794-8966-0CBA0A37EA6F}">
      <pane xSplit="1" ySplit="2" topLeftCell="C33" state="frozen"/>
      <selection activeCell="A52" sqref="A52:XFD5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500C3980-ED13-4C97-96B1-955D50509B66}" showPageBreaks="1" printArea="1">
      <pane ySplit="1" topLeftCell="A27" state="frozen"/>
      <selection activeCell="A34" sqref="A34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3B943BAF-34C7-494A-A071-85DE0891E5A1}" showPageBreaks="1" printArea="1">
      <pane xSplit="1" ySplit="1" topLeftCell="N2" state="frozen"/>
      <selection activeCell="A32" sqref="A3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EEE4B3DA-ADF6-49CC-9873-068FE5927B92}" showPageBreaks="1" printArea="1">
      <pane xSplit="1" ySplit="2" topLeftCell="B45" state="frozen"/>
      <selection activeCell="G55" sqref="G55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C52D0F53-4D1D-4D01-B833-260359FD02A5}" showPageBreaks="1" printArea="1">
      <pane xSplit="1" ySplit="1" topLeftCell="N38" activePane="bottomRight" state="frozen"/>
      <selection pane="bottomRight" activeCell="P25" sqref="P25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3"/>
    </customSheetView>
    <customSheetView guid="{6A1E79C9-91E3-4EEA-8ABB-4446083299EC}" scale="70" showPageBreaks="1" printArea="1">
      <selection activeCell="J32" sqref="J3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4"/>
    </customSheetView>
    <customSheetView guid="{8B80B510-C931-46B1-8591-DEA916D76593}" scale="85">
      <pane xSplit="1" ySplit="1" topLeftCell="Y71" activePane="bottomRight" state="frozen"/>
      <selection pane="bottomRight" activeCell="AH90" sqref="AH90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5"/>
    </customSheetView>
    <customSheetView guid="{303A9D89-611D-4504-BCAA-071C53B021F7}" showPageBreaks="1" printArea="1">
      <pane xSplit="1" ySplit="2" topLeftCell="K90" activePane="bottomRight" state="frozen"/>
      <selection pane="bottomRight" activeCell="O19" sqref="O19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6"/>
    </customSheetView>
    <customSheetView guid="{4583A87D-5DFF-47BD-849A-FA4AAF2B9CE3}" scale="85" showPageBreaks="1" printArea="1">
      <pane xSplit="1" ySplit="1" topLeftCell="N2" activePane="bottomRight" state="frozen"/>
      <selection pane="bottomRight" activeCell="A32" sqref="A3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7"/>
    </customSheetView>
    <customSheetView guid="{EA856AC2-CDFF-46B6-B0C4-30449DF132F4}" scale="85" showPageBreaks="1" printArea="1">
      <pane xSplit="1" ySplit="2" topLeftCell="Y126" activePane="bottomRight" state="frozen"/>
      <selection pane="bottomRight" activeCell="AF119" sqref="AF119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8"/>
    </customSheetView>
    <customSheetView guid="{322A45A6-8B26-49B8-A4D9-EFB3C94A758D}" scale="85" showPageBreaks="1" printArea="1" hiddenColumns="1">
      <pane xSplit="1" ySplit="2" topLeftCell="AD90" activePane="bottomRight" state="frozen"/>
      <selection pane="bottomRight" activeCell="AH88" sqref="AH88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9"/>
    </customSheetView>
  </customSheetViews>
  <phoneticPr fontId="133" type="noConversion"/>
  <printOptions horizontalCentered="1"/>
  <pageMargins left="0.70763888888888904" right="0.70763888888888904" top="0.74791666666666701" bottom="0.74791666666666701" header="0.31388888888888899" footer="0.31388888888888899"/>
  <pageSetup paperSize="9" orientation="landscape" r:id="rId20"/>
  <legacyDrawing r:id="rId2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BS533"/>
  <sheetViews>
    <sheetView tabSelected="1" topLeftCell="A154" zoomScale="85" zoomScaleNormal="85" zoomScaleSheetLayoutView="40" workbookViewId="0">
      <selection activeCell="I184" sqref="I184"/>
    </sheetView>
  </sheetViews>
  <sheetFormatPr defaultColWidth="9" defaultRowHeight="14.25"/>
  <cols>
    <col min="1" max="1" width="10.25" style="406" customWidth="1"/>
    <col min="2" max="2" width="26.625" style="406" customWidth="1"/>
    <col min="3" max="3" width="23" style="406" customWidth="1"/>
    <col min="4" max="4" width="19.25" style="406" customWidth="1"/>
    <col min="5" max="6" width="17.5" style="406" customWidth="1"/>
    <col min="7" max="7" width="17.125" style="406" customWidth="1"/>
    <col min="8" max="9" width="17.5" style="406" customWidth="1"/>
    <col min="10" max="10" width="19.375" style="406" customWidth="1"/>
    <col min="11" max="11" width="20.25" style="406" customWidth="1"/>
    <col min="12" max="13" width="24" style="406" customWidth="1"/>
    <col min="14" max="14" width="37" style="406" customWidth="1"/>
    <col min="15" max="15" width="24" style="406" customWidth="1"/>
    <col min="16" max="17" width="13" style="406" customWidth="1"/>
    <col min="18" max="18" width="20.75" style="406" customWidth="1"/>
    <col min="19" max="19" width="15" style="406" customWidth="1"/>
    <col min="20" max="20" width="9" style="406" customWidth="1"/>
    <col min="21" max="21" width="22.375" style="406" customWidth="1"/>
    <col min="22" max="22" width="13.5" style="406" customWidth="1"/>
    <col min="23" max="23" width="10.75" style="406" customWidth="1"/>
    <col min="24" max="24" width="15.125" style="406" customWidth="1"/>
    <col min="25" max="25" width="20.5" style="406" customWidth="1"/>
    <col min="26" max="26" width="11.75" style="406" customWidth="1"/>
    <col min="27" max="27" width="17.625" style="406" customWidth="1"/>
    <col min="28" max="30" width="14.5" style="406" customWidth="1"/>
    <col min="31" max="31" width="9.75" style="406" customWidth="1"/>
    <col min="32" max="32" width="25" style="406" customWidth="1"/>
    <col min="33" max="33" width="12.75" style="801" customWidth="1"/>
    <col min="34" max="35" width="12" style="406" customWidth="1"/>
    <col min="36" max="37" width="9" style="406" customWidth="1"/>
    <col min="38" max="39" width="9" style="406"/>
    <col min="40" max="40" width="11.75" style="406" customWidth="1"/>
    <col min="41" max="16384" width="9" style="406"/>
  </cols>
  <sheetData>
    <row r="1" spans="1:44" s="403" customFormat="1">
      <c r="A1" s="403" t="s">
        <v>0</v>
      </c>
      <c r="B1" s="403">
        <v>2021</v>
      </c>
      <c r="E1" s="153">
        <f>IF(B2=1,B1-1,B1)</f>
        <v>2021</v>
      </c>
      <c r="AG1" s="417"/>
    </row>
    <row r="2" spans="1:44" s="403" customFormat="1">
      <c r="A2" s="403" t="s">
        <v>1</v>
      </c>
      <c r="B2" s="2440">
        <v>8</v>
      </c>
      <c r="E2" s="153">
        <f>IF(B2=1,12,B2-1)</f>
        <v>7</v>
      </c>
      <c r="AG2" s="417"/>
    </row>
    <row r="3" spans="1:44" s="16" customFormat="1"/>
    <row r="4" spans="1:44" s="797" customFormat="1">
      <c r="A4" s="409" t="s">
        <v>39</v>
      </c>
      <c r="B4" s="803" t="str">
        <f>B2&amp;"月太钢集团合并（管理口径）实现营业收入"&amp;ABS(ROUND(H11,2))&amp;"亿元，比上月"&amp;ABS(ROUND(G11,2))&amp;"亿元"&amp;IF(I11&gt;=0,"增加","减少")&amp;ABS(ROUND(I11,2))&amp;"亿元，比预算"&amp;IF(K11&gt;=0,"增加","减少")&amp;ABS(ROUND(K11,2))&amp;"亿元，其中：太钢本部营业收入"&amp;ABS(ROUND(H12,2))&amp;"亿元，比上月"&amp;ABS(ROUND(G12,2))&amp;"亿元"&amp;IF(I12&gt;=0,"增加","减少")&amp;ABS(ROUND(I12,2))&amp;"亿元，比预算"&amp;IF(K12&gt;=0,"增加","减少")&amp;ABS(ROUND(K12,2))&amp;"亿元。"</f>
        <v>8月太钢集团合并（管理口径）实现营业收入126.8亿元，比上月125.84亿元增加0.95亿元，比预算增加34.3亿元，其中：太钢本部营业收入104.33亿元，比上月103.98亿元增加0.34亿元，比预算增加32.66亿元。</v>
      </c>
      <c r="C4" s="803"/>
      <c r="D4" s="803"/>
      <c r="E4" s="803"/>
      <c r="F4" s="803"/>
      <c r="G4" s="803"/>
      <c r="H4" s="803"/>
      <c r="I4" s="803"/>
      <c r="J4" s="803"/>
      <c r="K4" s="803"/>
      <c r="L4" s="803"/>
      <c r="M4" s="803"/>
      <c r="N4" s="803"/>
    </row>
    <row r="5" spans="1:44" s="797" customFormat="1">
      <c r="A5" s="804"/>
      <c r="B5" s="803" t="str">
        <f>"累计实现营业收入"&amp;ABS(ROUND(L11,2))&amp;"亿元，比同期"&amp;ABS(ROUND(E11,2))&amp;"亿元"&amp;IF(M11&gt;=0,"增加","减少")&amp;ABS(ROUND(M11,2))&amp;"亿元，比预算"&amp;IF(N11&gt;=0,"增加","减少")&amp;ABS(ROUND(N11,2))&amp;"亿元，其中：太钢本部累计营业收入"&amp;ABS(ROUND(L12,2))&amp;"亿元，比同期"&amp;ABS(ROUND(E12,2))&amp;"亿元"&amp;IF(M12&gt;=0,"增加","减少")&amp;ABS(ROUND(M12,2))&amp;"亿元，比预算"&amp;IF(N12&gt;=0,"增加","减少")&amp;ABS(ROUND(N12,2))&amp;"亿元。"</f>
        <v>累计实现营业收入915.11亿元，比同期613.36亿元增加301.76亿元，比预算增加175.18亿元，其中：太钢本部累计营业收入760.21亿元，比同期496.38亿元增加263.82亿元，比预算增加186.87亿元。</v>
      </c>
      <c r="C5" s="803"/>
      <c r="D5" s="803"/>
      <c r="E5" s="803"/>
      <c r="F5" s="803"/>
      <c r="G5" s="803"/>
      <c r="H5" s="803"/>
      <c r="I5" s="803"/>
      <c r="J5" s="803"/>
      <c r="K5" s="803"/>
      <c r="L5" s="803"/>
      <c r="M5" s="803"/>
      <c r="N5" s="803"/>
    </row>
    <row r="6" spans="1:44" s="797" customFormat="1">
      <c r="B6" s="803" t="str">
        <f>"注：①"&amp;B2&amp;"月太钢本部钢材收入占比"&amp;ABS(ROUND(H20,2))&amp;"%，贸易收入占比"&amp;ABS(ROUND(H21,2))&amp;"%；累计钢材收入占比"&amp;ABS(ROUND(L20,2))&amp;"%，贸易收入占比"&amp;ABS(ROUND(L21,2))&amp;"%。"</f>
        <v>注：①8月太钢本部钢材收入占比87.82%，贸易收入占比5.27%；累计钢材收入占比84.09%，贸易收入占比8.27%。</v>
      </c>
      <c r="C6" s="803"/>
      <c r="D6" s="803"/>
      <c r="E6" s="803"/>
      <c r="F6" s="803"/>
      <c r="G6" s="803"/>
      <c r="H6" s="803"/>
      <c r="I6" s="803"/>
      <c r="J6" s="803"/>
      <c r="K6" s="803"/>
      <c r="L6" s="803"/>
      <c r="M6" s="803"/>
      <c r="N6" s="803"/>
      <c r="AR6" s="917"/>
    </row>
    <row r="7" spans="1:44" s="797" customFormat="1">
      <c r="B7" s="803" t="str">
        <f>"②管理口径营业收入未剔除与宝钢德盛、宁波宝新关联收入（"&amp;$B$2&amp;"月"&amp;ROUND(-H22,2)&amp;"亿元，累计"&amp;ROUND(-L22,2)&amp;"亿元）。"</f>
        <v>②管理口径营业收入未剔除与宝钢德盛、宁波宝新关联收入（8月2.02亿元，累计16.16亿元）。</v>
      </c>
      <c r="C7" s="803"/>
      <c r="D7" s="803"/>
      <c r="E7" s="803"/>
      <c r="F7" s="803"/>
      <c r="G7" s="803"/>
      <c r="H7" s="803"/>
      <c r="I7" s="803"/>
      <c r="J7" s="803"/>
      <c r="K7" s="803"/>
      <c r="L7" s="803"/>
      <c r="M7" s="803"/>
      <c r="N7" s="803"/>
      <c r="AR7" s="917"/>
    </row>
    <row r="8" spans="1:44">
      <c r="H8" s="2460">
        <f>H11+H22</f>
        <v>124.77553027040688</v>
      </c>
      <c r="L8" s="2460"/>
      <c r="AR8" s="917"/>
    </row>
    <row r="9" spans="1:44" s="53" customFormat="1">
      <c r="B9" s="2675" t="s">
        <v>3</v>
      </c>
      <c r="C9" s="2675" t="str">
        <f>B1-1&amp;"年"</f>
        <v>2020年</v>
      </c>
      <c r="D9" s="2675"/>
      <c r="E9" s="2675"/>
      <c r="F9" s="2675" t="str">
        <f>B1&amp;"年"</f>
        <v>2021年</v>
      </c>
      <c r="G9" s="2675"/>
      <c r="H9" s="2675"/>
      <c r="I9" s="2675"/>
      <c r="J9" s="2675"/>
      <c r="K9" s="2675"/>
      <c r="L9" s="2675"/>
      <c r="M9" s="2675"/>
      <c r="N9" s="2675"/>
      <c r="AR9" s="917"/>
    </row>
    <row r="10" spans="1:44" s="53" customFormat="1" ht="28.5">
      <c r="B10" s="2675"/>
      <c r="C10" s="21" t="s">
        <v>4</v>
      </c>
      <c r="D10" s="21" t="str">
        <f>B2&amp;"月"</f>
        <v>8月</v>
      </c>
      <c r="E10" s="21" t="s">
        <v>5</v>
      </c>
      <c r="F10" s="21" t="s">
        <v>58</v>
      </c>
      <c r="G10" s="21" t="str">
        <f>E2&amp;"月"</f>
        <v>7月</v>
      </c>
      <c r="H10" s="21" t="str">
        <f>B2&amp;"月"</f>
        <v>8月</v>
      </c>
      <c r="I10" s="21" t="s">
        <v>7</v>
      </c>
      <c r="J10" s="21" t="s">
        <v>8</v>
      </c>
      <c r="K10" s="21" t="s">
        <v>9</v>
      </c>
      <c r="L10" s="21" t="s">
        <v>5</v>
      </c>
      <c r="M10" s="20" t="s">
        <v>10</v>
      </c>
      <c r="N10" s="20" t="s">
        <v>11</v>
      </c>
      <c r="O10" s="21" t="s">
        <v>576</v>
      </c>
      <c r="AR10" s="917"/>
    </row>
    <row r="11" spans="1:44" s="53" customFormat="1">
      <c r="B11" s="1942" t="s">
        <v>1314</v>
      </c>
      <c r="C11" s="1942">
        <f>C12+C17+C18</f>
        <v>977.0860931525001</v>
      </c>
      <c r="D11" s="1942">
        <f>D12+D17+D18</f>
        <v>77.538887964799983</v>
      </c>
      <c r="E11" s="1942">
        <f>E12+E17+E18</f>
        <v>613.35889229529994</v>
      </c>
      <c r="F11" s="1872">
        <f>F12+F17+F18</f>
        <v>1109.9000000000001</v>
      </c>
      <c r="G11" s="1943">
        <f t="shared" ref="G11:O11" si="0">G12+G17+G18</f>
        <v>125.84296072449997</v>
      </c>
      <c r="H11" s="1942">
        <f>H12+H17+H18</f>
        <v>126.79503027040687</v>
      </c>
      <c r="I11" s="1937">
        <f>I12+I17+I18</f>
        <v>0.95206954590690263</v>
      </c>
      <c r="J11" s="1937">
        <f t="shared" si="0"/>
        <v>49.256142305606893</v>
      </c>
      <c r="K11" s="1937">
        <f t="shared" si="0"/>
        <v>34.303363603740202</v>
      </c>
      <c r="L11" s="1942">
        <f>L12+L17+L18</f>
        <v>915.11440719701568</v>
      </c>
      <c r="M11" s="1937">
        <f t="shared" si="0"/>
        <v>301.75551490171586</v>
      </c>
      <c r="N11" s="1937">
        <f t="shared" si="0"/>
        <v>175.18107386368237</v>
      </c>
      <c r="O11" s="1937">
        <f t="shared" si="0"/>
        <v>1.1440614433584022</v>
      </c>
      <c r="AR11" s="917"/>
    </row>
    <row r="12" spans="1:44" s="16" customFormat="1">
      <c r="B12" s="1709" t="s">
        <v>1313</v>
      </c>
      <c r="C12" s="1709">
        <f>SUM(C13:C16)</f>
        <v>785.87609315250018</v>
      </c>
      <c r="D12" s="1709">
        <f>SUM(D13:D16)</f>
        <v>60.620920941699978</v>
      </c>
      <c r="E12" s="1709">
        <f>SUMIFS('收入（外部）'!59:59,'收入（外部）'!1:1,$B$1-1,'收入（外部）'!2:2,"&lt;="&amp;$B$2)/10000</f>
        <v>496.38319227109992</v>
      </c>
      <c r="F12" s="1872">
        <f>SUM(F13:F16)</f>
        <v>860</v>
      </c>
      <c r="G12" s="1709">
        <f>SUMIFS('收入（外部）'!42:42,'收入（外部）'!1:1,$E$1,'收入（外部）'!2:2,E2)/10000</f>
        <v>103.98307645639997</v>
      </c>
      <c r="H12" s="1942">
        <f>SUMIFS('收入（外部）'!42:42,'收入（外部）'!1:1,$B$1,'收入（外部）'!2:2,B2)/10000</f>
        <v>104.32783827040687</v>
      </c>
      <c r="I12" s="1937">
        <f t="shared" ref="I12:I21" si="1">H12-G12</f>
        <v>0.34476181400690109</v>
      </c>
      <c r="J12" s="1937">
        <f t="shared" ref="J12:J21" si="2">H12-D12</f>
        <v>43.706917328706893</v>
      </c>
      <c r="K12" s="1937">
        <f>H12-F12/12</f>
        <v>32.6611716037402</v>
      </c>
      <c r="L12" s="1709">
        <f>SUMIFS('收入（外部）'!59:59,'收入（外部）'!1:1,$B$1,'收入（外部）'!2:2,"&lt;="&amp;$B$2)/10000</f>
        <v>760.20502345371574</v>
      </c>
      <c r="M12" s="1937">
        <f t="shared" ref="M12:M17" si="3">L12-E12</f>
        <v>263.82183118261582</v>
      </c>
      <c r="N12" s="1937">
        <f>L12-F12/12*$B$2</f>
        <v>186.87169012038237</v>
      </c>
      <c r="O12" s="1938">
        <f>M12/E12</f>
        <v>0.53148824394225136</v>
      </c>
      <c r="P12" s="821"/>
      <c r="Q12" s="821"/>
      <c r="R12" s="851"/>
      <c r="S12" s="851"/>
      <c r="AR12" s="917"/>
    </row>
    <row r="13" spans="1:44">
      <c r="B13" s="1712" t="s">
        <v>42</v>
      </c>
      <c r="C13" s="1712">
        <v>25.933564525452599</v>
      </c>
      <c r="D13" s="1712">
        <f>SUMIFS('收入（外部）'!49:49,'收入（外部）'!$1:$1,$B$1-1,'收入（外部）'!$2:$2,$B$2)/10000</f>
        <v>3.3673035039999997</v>
      </c>
      <c r="E13" s="1712">
        <f>SUMIFS('收入（外部）'!49:49,'收入（外部）'!1:1,$B$1-1,'收入（外部）'!2:2,"&lt;="&amp;$B$2)/10000</f>
        <v>16.016925348452602</v>
      </c>
      <c r="F13" s="1746">
        <v>25</v>
      </c>
      <c r="G13" s="1712">
        <f>SUMIFS('收入（外部）'!49:49,'收入（外部）'!$1:$1,$E$1,'收入（外部）'!$2:$2,$E$2)/10000</f>
        <v>4.1747499021999976</v>
      </c>
      <c r="H13" s="1715">
        <f>SUMIFS('收入（外部）'!49:49,'收入（外部）'!$1:$1,$B$1,'收入（外部）'!$2:$2,$B$2)/10000</f>
        <v>4.7554988361000037</v>
      </c>
      <c r="I13" s="1940">
        <f t="shared" si="1"/>
        <v>0.58074893390000604</v>
      </c>
      <c r="J13" s="1940">
        <f t="shared" si="2"/>
        <v>1.388195332100004</v>
      </c>
      <c r="K13" s="1940">
        <f t="shared" ref="K13:K19" si="4">H13-F13/12</f>
        <v>2.6721655027666702</v>
      </c>
      <c r="L13" s="1712">
        <f>SUMIFS('收入（外部）'!49:49,'收入（外部）'!1:1,$B$1,'收入（外部）'!2:2,"&lt;="&amp;$B$2)/10000</f>
        <v>30.783127593400003</v>
      </c>
      <c r="M13" s="1940">
        <f t="shared" si="3"/>
        <v>14.766202244947401</v>
      </c>
      <c r="N13" s="1940">
        <f>L13-F13/12*$B$2</f>
        <v>14.116460926733335</v>
      </c>
      <c r="O13" s="1941">
        <f>M13/E13</f>
        <v>0.92191240976058908</v>
      </c>
      <c r="P13" s="821"/>
      <c r="Q13" s="2591" t="str">
        <f>B1&amp;"年预算"</f>
        <v>2021年预算</v>
      </c>
      <c r="R13" s="2592"/>
      <c r="S13" s="2593"/>
      <c r="AR13" s="917"/>
    </row>
    <row r="14" spans="1:44">
      <c r="B14" s="1712" t="s">
        <v>43</v>
      </c>
      <c r="C14" s="1712">
        <v>646.29659055544289</v>
      </c>
      <c r="D14" s="1712">
        <f>SUMIFS('收入（外部）'!50:50,'收入（外部）'!$1:$1,$B$1-1,'收入（外部）'!$2:$2,$B$2)/10000</f>
        <v>49.249501586366769</v>
      </c>
      <c r="E14" s="1712">
        <f>SUMIFS('收入（外部）'!50:50,'收入（外部）'!1:1,$B$1-1,'收入（外部）'!2:2,"&lt;="&amp;$B$2)/10000</f>
        <v>410.57722809807575</v>
      </c>
      <c r="F14" s="1713">
        <v>692</v>
      </c>
      <c r="G14" s="1712">
        <f>SUMIFS('收入（外部）'!50:50,'收入（外部）'!1:1,$E$1,'收入（外部）'!2:2,E2)/10000</f>
        <v>90.022868442917982</v>
      </c>
      <c r="H14" s="1715">
        <f>SUMIFS('收入（外部）'!50:50,'收入（外部）'!1:1,$B$1,'收入（外部）'!2:2,B2)/10000</f>
        <v>91.619969458400007</v>
      </c>
      <c r="I14" s="1940">
        <f>H14-G14</f>
        <v>1.5971010154820249</v>
      </c>
      <c r="J14" s="1940">
        <f t="shared" si="2"/>
        <v>42.370467872033238</v>
      </c>
      <c r="K14" s="1940">
        <f t="shared" si="4"/>
        <v>33.953302791733343</v>
      </c>
      <c r="L14" s="1712">
        <f>SUMIFS('收入（外部）'!50:50,'收入（外部）'!1:1,$B$1,'收入（外部）'!2:2,"&lt;="&amp;$B$2)/10000</f>
        <v>639.28418969212476</v>
      </c>
      <c r="M14" s="1940">
        <f t="shared" si="3"/>
        <v>228.70696159404901</v>
      </c>
      <c r="N14" s="1940">
        <f>L14-F14/12*$B$2</f>
        <v>177.95085635879144</v>
      </c>
      <c r="O14" s="1941">
        <f>M14/E14</f>
        <v>0.55703761909420146</v>
      </c>
      <c r="P14" s="821"/>
      <c r="Q14" s="1960" t="s">
        <v>69</v>
      </c>
      <c r="R14" s="1960" t="s">
        <v>39</v>
      </c>
      <c r="S14" s="1960" t="s">
        <v>577</v>
      </c>
      <c r="AR14" s="917"/>
    </row>
    <row r="15" spans="1:44">
      <c r="B15" s="1712" t="s">
        <v>44</v>
      </c>
      <c r="C15" s="1712">
        <v>72.025089397058736</v>
      </c>
      <c r="D15" s="1712">
        <f>SUMIFS('收入（外部）'!51:51,'收入（外部）'!$1:$1,$B$1-1,'收入（外部）'!$2:$2,$B$2)/10000</f>
        <v>4.0860641013980441</v>
      </c>
      <c r="E15" s="1712">
        <f>SUMIFS('收入（外部）'!51:51,'收入（外部）'!1:1,$B$1-1,'收入（外部）'!2:2,"&lt;="&amp;$B$2)/10000</f>
        <v>38.806008636188778</v>
      </c>
      <c r="F15" s="1713">
        <v>100</v>
      </c>
      <c r="G15" s="1712">
        <f>SUMIFS('收入（外部）'!51:51,'收入（外部）'!1:1,$E$1,'收入（外部）'!2:2,E2)/10000</f>
        <v>5.9187114880000022</v>
      </c>
      <c r="H15" s="1715">
        <f>SUMIFS('收入（外部）'!51:51,'收入（外部）'!1:1,$B$1,'收入（外部）'!2:2,B2)/10000</f>
        <v>5.5029745346000087</v>
      </c>
      <c r="I15" s="1940">
        <f t="shared" si="1"/>
        <v>-0.4157369533999935</v>
      </c>
      <c r="J15" s="1940">
        <f t="shared" si="2"/>
        <v>1.4169104332019646</v>
      </c>
      <c r="K15" s="1940">
        <f t="shared" si="4"/>
        <v>-2.8303587987333252</v>
      </c>
      <c r="L15" s="1712">
        <f>SUMIFS('收入（外部）'!51:51,'收入（外部）'!1:1,$B$1,'收入（外部）'!2:2,"&lt;="&amp;$B$2)/10000</f>
        <v>62.886558710437143</v>
      </c>
      <c r="M15" s="1940">
        <f t="shared" si="3"/>
        <v>24.080550074248364</v>
      </c>
      <c r="N15" s="1940">
        <f>L15-F15/12*$B$2</f>
        <v>-3.7801079562295286</v>
      </c>
      <c r="O15" s="1941">
        <f>M15/E15</f>
        <v>0.62053663647829793</v>
      </c>
      <c r="P15" s="821"/>
      <c r="Q15" s="38">
        <f>Q20-Q16</f>
        <v>775</v>
      </c>
      <c r="R15" s="38">
        <f>R20-R16</f>
        <v>174.3</v>
      </c>
      <c r="S15" s="38">
        <f>R15/Q15*10000</f>
        <v>2249.0322580645166</v>
      </c>
      <c r="AR15" s="917"/>
    </row>
    <row r="16" spans="1:44">
      <c r="B16" s="1712" t="s">
        <v>45</v>
      </c>
      <c r="C16" s="1712">
        <v>41.620848674545819</v>
      </c>
      <c r="D16" s="1712">
        <f>SUMIFS('收入（外部）'!52:52,'收入（外部）'!$1:$1,$B$1-1,'收入（外部）'!$2:$2,$B$2)/10000</f>
        <v>3.9180517499351692</v>
      </c>
      <c r="E16" s="1712">
        <f>E12-E13-E14-E15</f>
        <v>30.98303018838277</v>
      </c>
      <c r="F16" s="1746">
        <v>43</v>
      </c>
      <c r="G16" s="1712">
        <f>SUMIFS('收入（外部）'!52:52,'收入（外部）'!1:1,$E$1,'收入（外部）'!2:2,E2)/10000</f>
        <v>3.8667466232819936</v>
      </c>
      <c r="H16" s="1715">
        <f>SUMIFS('收入（外部）'!52:52,'收入（外部）'!1:1,$B$1,'收入（外部）'!2:2,B2)/10000</f>
        <v>2.4493954413068466</v>
      </c>
      <c r="I16" s="1940">
        <f t="shared" si="1"/>
        <v>-1.417351181975147</v>
      </c>
      <c r="J16" s="1940">
        <f t="shared" si="2"/>
        <v>-1.4686563086283226</v>
      </c>
      <c r="K16" s="1940">
        <f t="shared" si="4"/>
        <v>-1.1339378920264869</v>
      </c>
      <c r="L16" s="1712">
        <f>L12-L13-L14-L15</f>
        <v>27.251147457753873</v>
      </c>
      <c r="M16" s="1940">
        <f t="shared" si="3"/>
        <v>-3.7318827306288966</v>
      </c>
      <c r="N16" s="1940">
        <f>L16-F16/12*$B$2</f>
        <v>-1.4155192089127944</v>
      </c>
      <c r="O16" s="1941">
        <f>M16/E16</f>
        <v>-0.12044924940970374</v>
      </c>
      <c r="P16" s="821"/>
      <c r="Q16" s="38">
        <v>100</v>
      </c>
      <c r="R16" s="38">
        <v>49.7</v>
      </c>
      <c r="S16" s="38">
        <f>R16/Q16*10000</f>
        <v>4970.0000000000009</v>
      </c>
      <c r="AR16" s="917"/>
    </row>
    <row r="17" spans="2:71">
      <c r="B17" s="1709" t="s">
        <v>1262</v>
      </c>
      <c r="C17" s="1709">
        <v>111.41</v>
      </c>
      <c r="D17" s="1709">
        <f>SUMIFS('收入（外部）'!8:8,'收入（外部）'!$1:$1,$B$1-1,'收入（外部）'!$2:$2,$B$2)/10000</f>
        <v>9.6590198243999996</v>
      </c>
      <c r="E17" s="1709">
        <f>SUMIFS('收入（外部）'!8:8,'收入（外部）'!1:1,$B$1-1,'收入（外部）'!2:2,"&lt;="&amp;$B$2)/10000</f>
        <v>66.020968787000001</v>
      </c>
      <c r="F17" s="1872">
        <v>167</v>
      </c>
      <c r="G17" s="1709">
        <f>SUMIFS('收入（外部）'!8:8,'收入（外部）'!$1:$1,$E$1,'收入（外部）'!$2:$2,$E$2)/10000</f>
        <v>14.2436419807</v>
      </c>
      <c r="H17" s="2075">
        <f>SUMIFS('收入（外部）'!8:8,'收入（外部）'!$1:$1,$B$1,'收入（外部）'!$2:$2,$B$2)/10000</f>
        <v>14.374092000000001</v>
      </c>
      <c r="I17" s="1937">
        <f t="shared" si="1"/>
        <v>0.13045001930000133</v>
      </c>
      <c r="J17" s="1937">
        <f t="shared" si="2"/>
        <v>4.7150721756000014</v>
      </c>
      <c r="K17" s="1937">
        <f t="shared" si="4"/>
        <v>0.4574253333333349</v>
      </c>
      <c r="L17" s="1709">
        <f>SUMIFS('收入（外部）'!8:8,'收入（外部）'!1:1,$B$1,'收入（外部）'!2:2,"&lt;="&amp;$B$2)/10000</f>
        <v>95.4691211369</v>
      </c>
      <c r="M17" s="1937">
        <f t="shared" si="3"/>
        <v>29.448152349899999</v>
      </c>
      <c r="N17" s="1937">
        <f t="shared" ref="N17:N18" si="5">L17-F17/12*$B$2</f>
        <v>-15.864212196433328</v>
      </c>
      <c r="O17" s="1938">
        <f t="shared" ref="O17:O18" si="6">M17/E17</f>
        <v>0.44604241487135748</v>
      </c>
      <c r="P17" s="821"/>
      <c r="Q17" s="1746"/>
      <c r="R17" s="1746"/>
      <c r="S17" s="1746"/>
      <c r="AR17" s="917"/>
    </row>
    <row r="18" spans="2:71">
      <c r="B18" s="1709" t="s">
        <v>1263</v>
      </c>
      <c r="C18" s="1709">
        <v>79.8</v>
      </c>
      <c r="D18" s="1709">
        <f>SUMIFS('收入（外部）'!9:9,'收入（外部）'!$1:$1,$B$1-1,'收入（外部）'!$2:$2,$B$2)/10000</f>
        <v>7.2589471986999996</v>
      </c>
      <c r="E18" s="1709">
        <f>SUMIFS('收入（外部）'!9:9,'收入（外部）'!1:1,$B$1-1,'收入（外部）'!2:2,"&lt;="&amp;$B$2)/10000</f>
        <v>50.954731237199994</v>
      </c>
      <c r="F18" s="1872">
        <v>82.9</v>
      </c>
      <c r="G18" s="1709">
        <f>SUMIFS('收入（外部）'!9:9,'收入（外部）'!$1:$1,$E$1,'收入（外部）'!$2:$2,$E$2)/10000</f>
        <v>7.6162422873999995</v>
      </c>
      <c r="H18" s="2075">
        <f>SUMIFS('收入（外部）'!9:9,'收入（外部）'!$1:$1,$B$1,'收入（外部）'!$2:$2,$B$2)/10000</f>
        <v>8.0930999999999997</v>
      </c>
      <c r="I18" s="1937">
        <f t="shared" si="1"/>
        <v>0.47685771260000021</v>
      </c>
      <c r="J18" s="1937">
        <f t="shared" si="2"/>
        <v>0.83415280130000014</v>
      </c>
      <c r="K18" s="1937">
        <f t="shared" si="4"/>
        <v>1.1847666666666656</v>
      </c>
      <c r="L18" s="1709">
        <f>SUMIFS('收入（外部）'!9:9,'收入（外部）'!$1:$1,$B$1,'收入（外部）'!$2:$2,"&lt;="&amp;$B$2)/10000</f>
        <v>59.440262606399997</v>
      </c>
      <c r="M18" s="1937">
        <f t="shared" ref="M18" si="7">L18-E18</f>
        <v>8.4855313692000038</v>
      </c>
      <c r="N18" s="1937">
        <f t="shared" si="5"/>
        <v>4.1735959397333247</v>
      </c>
      <c r="O18" s="1938">
        <f t="shared" si="6"/>
        <v>0.16653078454479336</v>
      </c>
      <c r="P18" s="821"/>
      <c r="Q18" s="1746"/>
      <c r="R18" s="1746"/>
      <c r="S18" s="1746"/>
      <c r="AR18" s="917"/>
    </row>
    <row r="19" spans="2:71">
      <c r="B19" s="1709" t="s">
        <v>1487</v>
      </c>
      <c r="C19" s="1709">
        <f>SUMIFS('收入（外部）'!55:55,'收入（外部）'!1:1,$B$1-1,'收入（外部）'!2:2,"&lt;="&amp;12)/10000</f>
        <v>892.48823806662483</v>
      </c>
      <c r="D19" s="1709">
        <f>SUMIFS('收入（外部）'!55:55,'收入（外部）'!$1:$1,$B$1-1,'收入（外部）'!$2:$2,$B$2)/10000</f>
        <v>72.293759024999929</v>
      </c>
      <c r="E19" s="1709">
        <f>SUMIFS('收入（外部）'!55:55,'收入（外部）'!1:1,$B$1-1,'收入（外部）'!2:2,"&lt;="&amp;$B$2)/10000</f>
        <v>565.30835642502484</v>
      </c>
      <c r="F19" s="1872">
        <v>1080</v>
      </c>
      <c r="G19" s="1709">
        <f>SUMIFS('收入（外部）'!55:55,'收入（外部）'!$1:$1,$E$1,'收入（外部）'!$2:$2,$E$2)/10000</f>
        <v>119.35098554700001</v>
      </c>
      <c r="H19" s="2075">
        <f>SUMIFS('收入（外部）'!64:64,'收入（外部）'!$1:$1,$B$1,'收入（外部）'!$2:$2,$B$2)/100000000</f>
        <v>120.49691039100689</v>
      </c>
      <c r="I19" s="1937">
        <f t="shared" ref="I19" si="8">H19-G19</f>
        <v>1.1459248440068848</v>
      </c>
      <c r="J19" s="1937">
        <f t="shared" ref="J19" si="9">H19-D19</f>
        <v>48.203151366006963</v>
      </c>
      <c r="K19" s="1937">
        <f t="shared" si="4"/>
        <v>30.496910391006892</v>
      </c>
      <c r="L19" s="1709">
        <f>SUMIFS('收入（外部）'!55:55,'收入（外部）'!$1:$1,$B$1,'收入（外部）'!$2:$2,"&lt;="&amp;$E$2)/10000+H19</f>
        <v>845.91975397050692</v>
      </c>
      <c r="M19" s="1937">
        <f t="shared" ref="M19" si="10">L19-E19</f>
        <v>280.61139754548208</v>
      </c>
      <c r="N19" s="1937">
        <f t="shared" ref="N19" si="11">L19-F19/12*$B$2</f>
        <v>125.91975397050692</v>
      </c>
      <c r="O19" s="1938">
        <f t="shared" ref="O19" si="12">M19/E19</f>
        <v>0.49638643115069314</v>
      </c>
      <c r="P19" s="821"/>
      <c r="Q19" s="1746"/>
      <c r="R19" s="1746"/>
      <c r="S19" s="1746"/>
      <c r="AR19" s="917"/>
    </row>
    <row r="20" spans="2:71">
      <c r="B20" s="406" t="s">
        <v>578</v>
      </c>
      <c r="C20" s="801"/>
      <c r="D20" s="912">
        <f>D14/D12*100</f>
        <v>81.241757501062594</v>
      </c>
      <c r="E20" s="912">
        <f>E14/E12*100</f>
        <v>82.713765190066866</v>
      </c>
      <c r="F20" s="912">
        <f>F14/F12*100</f>
        <v>80.465116279069775</v>
      </c>
      <c r="G20" s="912">
        <f>G14/G12*100</f>
        <v>86.574538387181207</v>
      </c>
      <c r="H20" s="912">
        <f>H14/H12*100</f>
        <v>87.819292508420048</v>
      </c>
      <c r="I20" s="823">
        <f t="shared" si="1"/>
        <v>1.2447541212388415</v>
      </c>
      <c r="J20" s="823">
        <f t="shared" si="2"/>
        <v>6.5775350073574543</v>
      </c>
      <c r="K20" s="823">
        <f>H20-F20/12</f>
        <v>81.113866151830905</v>
      </c>
      <c r="L20" s="808">
        <f>L14/L12*100</f>
        <v>84.093654996880844</v>
      </c>
      <c r="M20" s="823">
        <f>L20-E20</f>
        <v>1.3798898068139778</v>
      </c>
      <c r="N20" s="823">
        <f>L20-F20/12*$B$2</f>
        <v>30.450244144167662</v>
      </c>
      <c r="Q20" s="814">
        <f>钢铁分析!F8</f>
        <v>875</v>
      </c>
      <c r="R20" s="814">
        <f>钢铁分析!G8</f>
        <v>224</v>
      </c>
      <c r="S20" s="814"/>
      <c r="AR20" s="917"/>
    </row>
    <row r="21" spans="2:71">
      <c r="B21" s="406" t="s">
        <v>579</v>
      </c>
      <c r="C21" s="801"/>
      <c r="D21" s="912">
        <f>D15/D12*100</f>
        <v>6.7403530628108932</v>
      </c>
      <c r="E21" s="912">
        <f>E15/E12*100</f>
        <v>7.8177523414199035</v>
      </c>
      <c r="F21" s="912">
        <f>F15/F12*100</f>
        <v>11.627906976744185</v>
      </c>
      <c r="G21" s="912">
        <f>G15/G12*100</f>
        <v>5.691994976203377</v>
      </c>
      <c r="H21" s="912">
        <f>H15/H12*100</f>
        <v>5.2746942962020098</v>
      </c>
      <c r="I21" s="823">
        <f t="shared" si="1"/>
        <v>-0.41730068000136722</v>
      </c>
      <c r="J21" s="823">
        <f t="shared" si="2"/>
        <v>-1.4656587666088834</v>
      </c>
      <c r="K21" s="823">
        <f>H21-F21/12</f>
        <v>4.3057020481399944</v>
      </c>
      <c r="L21" s="808">
        <f>L15/L12*100</f>
        <v>8.2723155951712695</v>
      </c>
      <c r="M21" s="823">
        <f>L21-E21</f>
        <v>0.45456325375136597</v>
      </c>
      <c r="N21" s="823">
        <f>L21-F21/12*$B$2</f>
        <v>0.52037761067514587</v>
      </c>
      <c r="Q21" s="38">
        <f>Q23-Q22</f>
        <v>325</v>
      </c>
      <c r="R21" s="38">
        <f>R23-R22</f>
        <v>307</v>
      </c>
      <c r="S21" s="38">
        <f>R21/Q21*10000</f>
        <v>9446.1538461538457</v>
      </c>
      <c r="AR21" s="917"/>
    </row>
    <row r="22" spans="2:71">
      <c r="B22" s="406" t="s">
        <v>183</v>
      </c>
      <c r="C22" s="801"/>
      <c r="D22" s="808"/>
      <c r="E22" s="808"/>
      <c r="F22" s="808"/>
      <c r="G22" s="808"/>
      <c r="H22" s="912">
        <f>SUMIFS('收入（外部）'!10:10,'收入（外部）'!1:1,$B$1,'收入（外部）'!2:2,B2)/10000</f>
        <v>-2.0194999999999999</v>
      </c>
      <c r="I22" s="2346"/>
      <c r="J22" s="2346"/>
      <c r="K22" s="2346"/>
      <c r="L22" s="912">
        <f>SUMIFS('收入（外部）'!10:10,'收入（外部）'!1:1,$B$1,'收入（外部）'!2:2,"&lt;="&amp;B2)/10000</f>
        <v>-16.156099999999999</v>
      </c>
      <c r="M22" s="823"/>
      <c r="N22" s="823"/>
      <c r="Q22" s="38">
        <f>Q23*0.5</f>
        <v>325</v>
      </c>
      <c r="R22" s="38">
        <v>143</v>
      </c>
      <c r="S22" s="38">
        <f>R22/Q22*10000</f>
        <v>4400</v>
      </c>
    </row>
    <row r="23" spans="2:71">
      <c r="B23" s="809" t="s">
        <v>53</v>
      </c>
      <c r="C23" s="810" t="s">
        <v>54</v>
      </c>
      <c r="D23" s="811">
        <f>SUMIFS('收入（外部）'!58:58,'收入（外部）'!1:1,$B$1-1,'收入（外部）'!2:2,$B$2)/10000</f>
        <v>0</v>
      </c>
      <c r="E23" s="811">
        <f>SUMIFS('收入（外部）'!58:58,'收入（外部）'!1:1,$B$1-1,'收入（外部）'!2:2,"&lt;="&amp;$B$2)/10000</f>
        <v>0</v>
      </c>
      <c r="F23" s="811"/>
      <c r="G23" s="811">
        <f>SUMIFS('收入（外部）'!58:58,'收入（外部）'!1:1,$E$1,'收入（外部）'!2:2,E2)/10000</f>
        <v>0</v>
      </c>
      <c r="H23" s="811">
        <f>SUMIFS('收入（外部）'!58:58,'收入（外部）'!1:1,$B$1,'收入（外部）'!2:2,B2)/10000</f>
        <v>0</v>
      </c>
      <c r="I23" s="824"/>
      <c r="J23" s="824">
        <f>H23-D23</f>
        <v>0</v>
      </c>
      <c r="K23" s="824"/>
      <c r="L23" s="811">
        <f>SUMIFS('收入（外部）'!58:58,'收入（外部）'!1:1,$B$1,'收入（外部）'!2:2,"&lt;="&amp;$B$2)/10000</f>
        <v>0</v>
      </c>
      <c r="M23" s="824">
        <f>L23-E23</f>
        <v>0</v>
      </c>
      <c r="N23" s="825"/>
      <c r="O23" s="826"/>
      <c r="Q23" s="814">
        <f>钢铁分析!F9</f>
        <v>650</v>
      </c>
      <c r="R23" s="814">
        <f>钢铁分析!G9</f>
        <v>450</v>
      </c>
      <c r="S23" s="814"/>
    </row>
    <row r="24" spans="2:71">
      <c r="B24" s="809"/>
      <c r="C24" s="810" t="s">
        <v>1351</v>
      </c>
      <c r="D24" s="811">
        <f>D12+D23</f>
        <v>60.620920941699978</v>
      </c>
      <c r="E24" s="811">
        <f>E12</f>
        <v>496.38319227109992</v>
      </c>
      <c r="F24" s="811">
        <v>750</v>
      </c>
      <c r="G24" s="811">
        <f>G12+G23</f>
        <v>103.98307645639997</v>
      </c>
      <c r="H24" s="811">
        <f>H12+H23</f>
        <v>104.32783827040687</v>
      </c>
      <c r="I24" s="824">
        <f>H24-G24</f>
        <v>0.34476181400690109</v>
      </c>
      <c r="J24" s="824">
        <f>H24-D24</f>
        <v>43.706917328706893</v>
      </c>
      <c r="K24" s="827">
        <f>J24/D24</f>
        <v>0.72098735304170769</v>
      </c>
      <c r="L24" s="811">
        <f>L12+L23</f>
        <v>760.20502345371574</v>
      </c>
      <c r="M24" s="824">
        <f>L24-E24</f>
        <v>263.82183118261582</v>
      </c>
      <c r="N24" s="825">
        <f>L24-F24/12*$B$2</f>
        <v>260.20502345371574</v>
      </c>
      <c r="O24" s="828">
        <f>M24/E24</f>
        <v>0.53148824394225136</v>
      </c>
      <c r="P24" s="829"/>
      <c r="Q24" s="816">
        <f>Q22/Q23</f>
        <v>0.5</v>
      </c>
      <c r="R24" s="818"/>
      <c r="S24" s="818"/>
    </row>
    <row r="25" spans="2:71">
      <c r="B25" s="809"/>
      <c r="C25" s="810" t="s">
        <v>1358</v>
      </c>
      <c r="D25" s="811">
        <f>D24+D17+D18</f>
        <v>77.538887964799983</v>
      </c>
      <c r="E25" s="811">
        <f>E24+E17+E18</f>
        <v>613.35889229529994</v>
      </c>
      <c r="F25" s="811"/>
      <c r="G25" s="811">
        <f>G24+G17+G18</f>
        <v>125.84296072449997</v>
      </c>
      <c r="H25" s="811">
        <f>H24+H17+H18</f>
        <v>126.79503027040687</v>
      </c>
      <c r="I25" s="824">
        <f>H25-G25</f>
        <v>0.95206954590689463</v>
      </c>
      <c r="J25" s="824">
        <f>H25-D25</f>
        <v>49.256142305606886</v>
      </c>
      <c r="K25" s="827">
        <f>J25/D25</f>
        <v>0.63524437348092355</v>
      </c>
      <c r="L25" s="811"/>
      <c r="M25" s="824"/>
      <c r="N25" s="825"/>
      <c r="O25" s="828"/>
      <c r="P25" s="829"/>
      <c r="Q25" s="816"/>
      <c r="R25" s="818"/>
      <c r="S25" s="818"/>
    </row>
    <row r="26" spans="2:71">
      <c r="B26" s="803" t="str">
        <f>"本月太钢集团（管理口径）营业收入"&amp;ABS(ROUND(H11,2))&amp;"亿元，其中太钢本部营业收入"&amp;ABS(ROUND(H12,2))&amp;"亿元，建议："</f>
        <v>本月太钢集团（管理口径）营业收入126.8亿元，其中太钢本部营业收入104.33亿元，建议：</v>
      </c>
      <c r="C26" s="810"/>
      <c r="D26" s="811"/>
      <c r="E26" s="811"/>
      <c r="F26" s="811"/>
      <c r="G26" s="811"/>
      <c r="H26" s="811"/>
      <c r="I26" s="824"/>
      <c r="J26" s="824"/>
      <c r="K26" s="824"/>
      <c r="L26" s="811"/>
      <c r="M26" s="824"/>
      <c r="N26" s="825"/>
      <c r="O26" s="826"/>
      <c r="Q26" s="814">
        <f>钢铁分析!F12</f>
        <v>1525</v>
      </c>
      <c r="R26" s="814">
        <f>钢铁分析!G12</f>
        <v>674</v>
      </c>
      <c r="S26" s="814"/>
    </row>
    <row r="27" spans="2:71">
      <c r="B27" s="803" t="str">
        <f>"太钢本部当月报表按照"&amp;ABS(ROUND(H24,2))&amp;"亿元报出，"&amp;"比上月"&amp;ABS(ROUND(G24,2))&amp;"亿元"&amp;IF(I24&gt;=0,"增加","减少")&amp;ABS(ROUND(I24,2))&amp;"亿元，"&amp;"比去年同期"&amp;ABS(ROUND(D24,2))&amp;"亿元"&amp;IF(J24&gt;=0,"增加","减少")&amp;ABS(ROUND(J24,2))&amp;"亿元，"&amp;IF(K24&gt;=0,"增幅","降幅")&amp;ABS(ROUND(K24*100,2))&amp;"%。"</f>
        <v>太钢本部当月报表按照104.33亿元报出，比上月103.98亿元增加0.34亿元，比去年同期60.62亿元增加43.71亿元，增幅72.1%。</v>
      </c>
      <c r="C27" s="810"/>
      <c r="D27" s="811"/>
      <c r="E27" s="811"/>
      <c r="F27" s="811"/>
      <c r="G27" s="811"/>
      <c r="H27" s="811"/>
      <c r="I27" s="824"/>
      <c r="J27" s="824"/>
      <c r="K27" s="824"/>
      <c r="L27" s="811"/>
      <c r="M27" s="824"/>
      <c r="N27" s="825"/>
      <c r="O27" s="826"/>
    </row>
    <row r="28" spans="2:71">
      <c r="B28" s="803" t="str">
        <f>"累计报出"&amp;ABS(ROUND(L24,2))&amp;"亿元，比同期"&amp;ABS(ROUND(E24,2))&amp;"亿元"&amp;IF(M24&gt;=0,"增加","减少")&amp;ABS(ROUND(M24,2))&amp;"亿元，"&amp;IF(O24&gt;=0,"增幅","降幅")&amp;ABS(ROUND(O24*100,2))&amp;"%。"</f>
        <v>累计报出760.21亿元，比同期496.38亿元增加263.82亿元，增幅53.15%。</v>
      </c>
      <c r="C28" s="810"/>
      <c r="D28" s="811"/>
      <c r="E28" s="811"/>
      <c r="F28" s="811"/>
      <c r="G28" s="811"/>
      <c r="H28" s="811"/>
      <c r="I28" s="824"/>
      <c r="J28" s="824"/>
      <c r="K28" s="824"/>
      <c r="L28" s="811"/>
      <c r="M28" s="824"/>
      <c r="N28" s="825"/>
      <c r="O28" s="830"/>
    </row>
    <row r="29" spans="2:71">
      <c r="B29" s="803" t="str">
        <f>"累计留存"&amp;ROUND(L23,2)&amp;"亿元。"</f>
        <v>累计留存0亿元。</v>
      </c>
      <c r="C29" s="810"/>
      <c r="D29" s="811"/>
      <c r="E29" s="811"/>
      <c r="F29" s="811"/>
      <c r="G29" s="811"/>
      <c r="H29" s="811"/>
      <c r="I29" s="824"/>
      <c r="J29" s="824"/>
      <c r="K29" s="824"/>
      <c r="L29" s="811"/>
      <c r="M29" s="824"/>
      <c r="N29" s="825"/>
      <c r="O29" s="830"/>
    </row>
    <row r="30" spans="2:71" ht="15" thickBot="1">
      <c r="C30" s="801"/>
      <c r="AF30" s="801"/>
      <c r="AG30" s="801" t="str">
        <f>B1&amp;"年"&amp;B2&amp;"月"</f>
        <v>2021年8月</v>
      </c>
    </row>
    <row r="31" spans="2:71" s="53" customFormat="1" ht="15" thickBot="1">
      <c r="B31" s="2685" t="s">
        <v>3</v>
      </c>
      <c r="C31" s="2679" t="str">
        <f>E1&amp;"年"&amp;E2&amp;"月"</f>
        <v>2021年7月</v>
      </c>
      <c r="D31" s="2680"/>
      <c r="E31" s="2681"/>
      <c r="F31" s="2679" t="str">
        <f>B1&amp;"年"&amp;B2&amp;"月"</f>
        <v>2021年8月</v>
      </c>
      <c r="G31" s="2680"/>
      <c r="H31" s="2681"/>
      <c r="I31" s="2591" t="s">
        <v>7</v>
      </c>
      <c r="J31" s="2592"/>
      <c r="K31" s="2593"/>
      <c r="L31" s="2591" t="s">
        <v>581</v>
      </c>
      <c r="M31" s="2592"/>
      <c r="N31" s="2593"/>
      <c r="V31" s="805" t="s">
        <v>9</v>
      </c>
      <c r="W31" s="805"/>
      <c r="Y31" s="891" t="s">
        <v>582</v>
      </c>
      <c r="Z31" s="406"/>
      <c r="AA31" s="406"/>
      <c r="AB31" s="406"/>
      <c r="AC31" s="406"/>
      <c r="AD31" s="406"/>
      <c r="AF31" s="406" t="s">
        <v>583</v>
      </c>
      <c r="AG31" s="801">
        <f>SUMIFS('#采购&amp;股份关联'!4:4,'#采购&amp;股份关联'!$1:$1,$B$1,'#采购&amp;股份关联'!$2:$2,$B$2)</f>
        <v>0</v>
      </c>
      <c r="AH31" s="912">
        <f>AG31/10000</f>
        <v>0</v>
      </c>
      <c r="AJ31" s="21" t="s">
        <v>9</v>
      </c>
      <c r="AK31" s="21"/>
      <c r="AL31" s="21"/>
      <c r="AN31" s="2675" t="str">
        <f>B1-1&amp;"年"&amp;B2&amp;"月"</f>
        <v>2020年8月</v>
      </c>
      <c r="AO31" s="2675"/>
      <c r="AP31" s="2675"/>
      <c r="AQ31" s="2675" t="s">
        <v>8</v>
      </c>
      <c r="AR31" s="2675"/>
      <c r="AS31" s="2675"/>
      <c r="AT31" s="2675" t="s">
        <v>581</v>
      </c>
      <c r="AU31" s="2675"/>
      <c r="AV31" s="2675"/>
      <c r="AY31" s="2677" t="s">
        <v>561</v>
      </c>
      <c r="AZ31" s="2678"/>
      <c r="BA31" s="841"/>
      <c r="BB31" s="841"/>
      <c r="BC31" s="841"/>
      <c r="BD31" s="841"/>
      <c r="BE31" s="841"/>
      <c r="BF31" s="841"/>
      <c r="BG31" s="841"/>
      <c r="BH31" s="877"/>
      <c r="BI31" s="16"/>
      <c r="BJ31" s="878"/>
      <c r="BK31" s="906"/>
      <c r="BL31" s="906"/>
      <c r="BM31" s="906"/>
      <c r="BN31" s="906"/>
      <c r="BO31" s="906"/>
      <c r="BP31" s="906"/>
      <c r="BQ31" s="906"/>
      <c r="BR31" s="906"/>
      <c r="BS31" s="914"/>
    </row>
    <row r="32" spans="2:71" s="53" customFormat="1">
      <c r="B32" s="2686"/>
      <c r="C32" s="21" t="s">
        <v>69</v>
      </c>
      <c r="D32" s="21" t="s">
        <v>39</v>
      </c>
      <c r="E32" s="21" t="s">
        <v>577</v>
      </c>
      <c r="F32" s="21" t="s">
        <v>69</v>
      </c>
      <c r="G32" s="21" t="s">
        <v>39</v>
      </c>
      <c r="H32" s="21" t="s">
        <v>577</v>
      </c>
      <c r="I32" s="21" t="s">
        <v>69</v>
      </c>
      <c r="J32" s="21" t="s">
        <v>39</v>
      </c>
      <c r="K32" s="21" t="s">
        <v>577</v>
      </c>
      <c r="L32" s="831" t="s">
        <v>584</v>
      </c>
      <c r="M32" s="831" t="s">
        <v>585</v>
      </c>
      <c r="N32" s="831" t="s">
        <v>187</v>
      </c>
      <c r="R32" s="854" t="str">
        <f>E1&amp;"年"&amp;E2&amp;"月"</f>
        <v>2021年7月</v>
      </c>
      <c r="S32" s="855" t="str">
        <f>B1&amp;"年"&amp;B2&amp;"月"</f>
        <v>2021年8月</v>
      </c>
      <c r="T32" s="18" t="s">
        <v>7</v>
      </c>
      <c r="U32" s="856" t="s">
        <v>586</v>
      </c>
      <c r="V32" s="820" t="s">
        <v>587</v>
      </c>
      <c r="W32" s="21" t="s">
        <v>588</v>
      </c>
      <c r="Y32" s="892" t="s">
        <v>470</v>
      </c>
      <c r="Z32" s="893" t="s">
        <v>58</v>
      </c>
      <c r="AA32" s="893" t="str">
        <f>B2&amp;"月"</f>
        <v>8月</v>
      </c>
      <c r="AB32" s="893" t="s">
        <v>9</v>
      </c>
      <c r="AC32" s="893" t="s">
        <v>77</v>
      </c>
      <c r="AD32" s="894" t="s">
        <v>589</v>
      </c>
      <c r="AF32" s="406" t="s">
        <v>590</v>
      </c>
      <c r="AG32" s="801">
        <f>SUMIFS('#采购&amp;股份关联'!5:5,'#采购&amp;股份关联'!$1:$1,$B$1,'#采购&amp;股份关联'!$2:$2,$B$2)</f>
        <v>0</v>
      </c>
      <c r="AH32" s="912">
        <f t="shared" ref="AH32:AH37" si="13">AG32/10000</f>
        <v>0</v>
      </c>
      <c r="AJ32" s="21" t="s">
        <v>591</v>
      </c>
      <c r="AK32" s="21" t="s">
        <v>587</v>
      </c>
      <c r="AL32" s="21" t="s">
        <v>588</v>
      </c>
      <c r="AN32" s="21" t="s">
        <v>69</v>
      </c>
      <c r="AO32" s="21" t="s">
        <v>39</v>
      </c>
      <c r="AP32" s="21" t="s">
        <v>577</v>
      </c>
      <c r="AQ32" s="21" t="s">
        <v>69</v>
      </c>
      <c r="AR32" s="21" t="s">
        <v>39</v>
      </c>
      <c r="AS32" s="21" t="s">
        <v>577</v>
      </c>
      <c r="AT32" s="831" t="s">
        <v>584</v>
      </c>
      <c r="AU32" s="831" t="s">
        <v>585</v>
      </c>
      <c r="AV32" s="831" t="s">
        <v>187</v>
      </c>
      <c r="AY32" s="842"/>
      <c r="AZ32" s="843" t="str">
        <f>B1&amp;"年市场价格（不含税）"</f>
        <v>2021年市场价格（不含税）</v>
      </c>
      <c r="BA32" s="843"/>
      <c r="BB32" s="843"/>
      <c r="BC32" s="843"/>
      <c r="BD32" s="843"/>
      <c r="BE32" s="843" t="str">
        <f>B1-1&amp;"年市场价格（不含税）"</f>
        <v>2020年市场价格（不含税）</v>
      </c>
      <c r="BF32" s="843"/>
      <c r="BG32" s="843"/>
      <c r="BH32" s="879"/>
      <c r="BI32" s="797"/>
      <c r="BJ32" s="844"/>
      <c r="BK32" s="845"/>
      <c r="BL32" s="880"/>
      <c r="BM32" s="880"/>
      <c r="BN32" s="880"/>
      <c r="BO32" s="880"/>
      <c r="BP32" s="880"/>
      <c r="BQ32" s="880"/>
      <c r="BR32" s="880"/>
      <c r="BS32" s="915"/>
    </row>
    <row r="33" spans="2:71" ht="60.75">
      <c r="B33" s="807" t="s">
        <v>592</v>
      </c>
      <c r="C33" s="1712">
        <f>C35-C34</f>
        <v>59.104954499999998</v>
      </c>
      <c r="D33" s="102">
        <f>D35-D34</f>
        <v>29.885072571799995</v>
      </c>
      <c r="E33" s="38">
        <f>D33/C33*10000</f>
        <v>5056.2719867756605</v>
      </c>
      <c r="F33" s="102">
        <f>F35-F34</f>
        <v>60.528500000000001</v>
      </c>
      <c r="G33" s="102">
        <f>G35-G34</f>
        <v>30.794899999999998</v>
      </c>
      <c r="H33" s="38">
        <f>G33/F33*10000</f>
        <v>5087.6694449722027</v>
      </c>
      <c r="I33" s="822">
        <f>F33-C33</f>
        <v>1.423545500000003</v>
      </c>
      <c r="J33" s="822">
        <f>G33-D33</f>
        <v>0.9098274282000034</v>
      </c>
      <c r="K33" s="832">
        <f>H33-E33</f>
        <v>31.397458196542175</v>
      </c>
      <c r="L33" s="833">
        <f>I33*E33/10000</f>
        <v>0.71978332335505668</v>
      </c>
      <c r="M33" s="833">
        <f>K33*F33/10000</f>
        <v>0.1900441048449403</v>
      </c>
      <c r="N33" s="833">
        <f>L33+M33</f>
        <v>0.90982742819999696</v>
      </c>
      <c r="P33" s="406" t="s">
        <v>592</v>
      </c>
      <c r="R33" s="857">
        <f>SUMIFS(钢材数据!S:S,钢材数据!$A:$A,$E$1,钢材数据!$B:$B,$E2)</f>
        <v>0</v>
      </c>
      <c r="S33" s="38">
        <f>SUMIFS(钢材数据!S:S,钢材数据!$A:$A,$B$1,钢材数据!$B:$B,$B2)</f>
        <v>0</v>
      </c>
      <c r="T33" s="832">
        <f>S33-R33</f>
        <v>0</v>
      </c>
      <c r="U33" s="858">
        <f>T33*F33/10000</f>
        <v>0</v>
      </c>
      <c r="V33" s="859">
        <f>S33-S15</f>
        <v>-2249.0322580645166</v>
      </c>
      <c r="W33" s="832">
        <f>V33*F33</f>
        <v>-136130.5490322581</v>
      </c>
      <c r="Y33" s="589" t="s">
        <v>593</v>
      </c>
      <c r="Z33" s="630">
        <v>14000</v>
      </c>
      <c r="AA33" s="895">
        <f>SUMIFS('#采购&amp;股份关联'!21:21,'#采购&amp;股份关联'!$1:$1,$B$1,'#采购&amp;股份关联'!$2:$2,$B$2)</f>
        <v>19160</v>
      </c>
      <c r="AB33" s="630">
        <f>AA33-Z33</f>
        <v>5160</v>
      </c>
      <c r="AC33" s="896">
        <f>AH31+AH32+AH33*0.1</f>
        <v>0</v>
      </c>
      <c r="AD33" s="897">
        <f>-AB33*7*AC33</f>
        <v>0</v>
      </c>
      <c r="AF33" s="406" t="s">
        <v>594</v>
      </c>
      <c r="AG33" s="801">
        <f>SUMIFS('#采购&amp;股份关联'!9:9,'#采购&amp;股份关联'!$1:$1,$B$1,'#采购&amp;股份关联'!$2:$2,$B$2)</f>
        <v>0</v>
      </c>
      <c r="AH33" s="912">
        <f t="shared" si="13"/>
        <v>0</v>
      </c>
      <c r="AJ33" s="38">
        <f>H33</f>
        <v>5087.6694449722027</v>
      </c>
      <c r="AK33" s="832">
        <f>AJ33-S15</f>
        <v>2838.6371869076861</v>
      </c>
      <c r="AL33" s="832">
        <f>AK33*F33</f>
        <v>171818.45096774187</v>
      </c>
      <c r="AN33" s="102">
        <f>AN35-AN34</f>
        <v>35.303326199999994</v>
      </c>
      <c r="AO33" s="102">
        <f>AO35-AO34</f>
        <v>12.787605912</v>
      </c>
      <c r="AP33" s="38">
        <f t="shared" ref="AP33:AP38" si="14">AO33/AN33*10000</f>
        <v>3622.2099412264452</v>
      </c>
      <c r="AQ33" s="822">
        <f t="shared" ref="AQ33:AS34" si="15">F33-AN33</f>
        <v>25.225173800000007</v>
      </c>
      <c r="AR33" s="822">
        <f t="shared" si="15"/>
        <v>18.007294087999998</v>
      </c>
      <c r="AS33" s="832">
        <f t="shared" si="15"/>
        <v>1465.4595037457575</v>
      </c>
      <c r="AT33" s="833">
        <f>AQ33*AP33/10000</f>
        <v>9.1370875307524901</v>
      </c>
      <c r="AU33" s="833">
        <f>AS33*F33/10000</f>
        <v>8.8702065572475082</v>
      </c>
      <c r="AV33" s="833">
        <f>AT33+AU33</f>
        <v>18.007294087999998</v>
      </c>
      <c r="AY33" s="844"/>
      <c r="AZ33" s="845" t="s">
        <v>562</v>
      </c>
      <c r="BA33" s="845" t="s">
        <v>563</v>
      </c>
      <c r="BB33" s="845" t="s">
        <v>564</v>
      </c>
      <c r="BC33" s="845" t="s">
        <v>565</v>
      </c>
      <c r="BD33" s="880"/>
      <c r="BE33" s="845" t="s">
        <v>562</v>
      </c>
      <c r="BF33" s="845" t="s">
        <v>563</v>
      </c>
      <c r="BG33" s="845" t="s">
        <v>564</v>
      </c>
      <c r="BH33" s="881" t="s">
        <v>565</v>
      </c>
      <c r="BI33" s="797"/>
      <c r="BJ33" s="882" t="s">
        <v>566</v>
      </c>
      <c r="BK33" s="907" t="s">
        <v>567</v>
      </c>
      <c r="BL33" s="907" t="s">
        <v>568</v>
      </c>
      <c r="BM33" s="907" t="s">
        <v>569</v>
      </c>
      <c r="BN33" s="907" t="s">
        <v>570</v>
      </c>
      <c r="BO33" s="907" t="s">
        <v>571</v>
      </c>
      <c r="BP33" s="907" t="s">
        <v>572</v>
      </c>
      <c r="BQ33" s="907" t="s">
        <v>573</v>
      </c>
      <c r="BR33" s="907" t="s">
        <v>574</v>
      </c>
      <c r="BS33" s="916" t="s">
        <v>575</v>
      </c>
    </row>
    <row r="34" spans="2:71">
      <c r="B34" s="807" t="s">
        <v>311</v>
      </c>
      <c r="C34" s="102">
        <f>SUMIFS('#销量数据'!20:20,'#销量数据'!1:1,E1,'#销量数据'!2:2,E2,'#销量数据'!3:3,"销量")/10000+SUMIFS('#销量数据'!65:65,'#销量数据'!1:1,E1,'#销量数据'!2:2,E2,'#销量数据'!3:3,"销量")/10000</f>
        <v>7.5148345000000001</v>
      </c>
      <c r="D34" s="102">
        <f>SUMIFS('#销量数据'!20:20,'#销量数据'!1:1,E1,'#销量数据'!2:2,E2,'#销量数据'!3:3,"收入")/10000+SUMIFS('#销量数据'!65:65,'#销量数据'!1:1,E1,'#销量数据'!2:2,E2,'#销量数据'!3:3,"收入")/10000</f>
        <v>6.2649686269000009</v>
      </c>
      <c r="E34" s="38">
        <f>D34/C34*10000</f>
        <v>8336.8018642326733</v>
      </c>
      <c r="F34" s="102">
        <f>SUMIFS('#销量数据'!20:20,'#销量数据'!1:1,B1,'#销量数据'!2:2,B2,'#销量数据'!3:3,"销量")/10000+SUMIFS('#销量数据'!65:65,'#销量数据'!1:1,B1,'#销量数据'!2:2,B2,'#销量数据'!3:3,"销量")/10000</f>
        <v>9.2827000000000002</v>
      </c>
      <c r="G34" s="102">
        <f>SUMIFS('#销量数据'!20:20,'#销量数据'!1:1,B1,'#销量数据'!2:2,B2,'#销量数据'!3:3,"收入")/10000+SUMIFS('#销量数据'!65:65,'#销量数据'!1:1,B1,'#销量数据'!2:2,B2,'#销量数据'!3:3,"收入")/10000</f>
        <v>7.6151</v>
      </c>
      <c r="H34" s="38">
        <f>G34/F34*10000</f>
        <v>8203.5399183427235</v>
      </c>
      <c r="I34" s="822">
        <f t="shared" ref="I34:I40" si="16">F34-C34</f>
        <v>1.7678655000000001</v>
      </c>
      <c r="J34" s="822">
        <f t="shared" ref="J34:J40" si="17">G34-D34</f>
        <v>1.3501313730999991</v>
      </c>
      <c r="K34" s="832">
        <f>H34-E34</f>
        <v>-133.26194588994986</v>
      </c>
      <c r="L34" s="833">
        <f>I34*E34/10000</f>
        <v>1.4738344396112628</v>
      </c>
      <c r="M34" s="833">
        <f>K34*F34/10000</f>
        <v>-0.12370306651126375</v>
      </c>
      <c r="N34" s="833">
        <f>L34+M34</f>
        <v>1.3501313730999991</v>
      </c>
      <c r="P34" s="406" t="s">
        <v>311</v>
      </c>
      <c r="R34" s="857">
        <f>SUMIFS(钢材数据!T:T,钢材数据!$A:$A,$E$1,钢材数据!$B:$B,$E$2)</f>
        <v>0</v>
      </c>
      <c r="S34" s="38">
        <f>SUMIFS(钢材数据!T:T,钢材数据!$A:$A,$B$1,钢材数据!$B:$B,$B$2)</f>
        <v>0</v>
      </c>
      <c r="T34" s="832">
        <f>S34-R34</f>
        <v>0</v>
      </c>
      <c r="U34" s="858">
        <f>T34*F34/10000</f>
        <v>0</v>
      </c>
      <c r="V34" s="859">
        <f>S34-S16</f>
        <v>-4970.0000000000009</v>
      </c>
      <c r="W34" s="832">
        <f>V34*F34</f>
        <v>-46135.019000000008</v>
      </c>
      <c r="Y34" s="589" t="s">
        <v>595</v>
      </c>
      <c r="Z34" s="630">
        <v>6500</v>
      </c>
      <c r="AA34" s="895">
        <f>SUMIFS('#采购&amp;股份关联'!27:27,'#采购&amp;股份关联'!$1:$1,$B$1,'#采购&amp;股份关联'!$2:$2,$B$2)</f>
        <v>10632</v>
      </c>
      <c r="AB34" s="630">
        <f>AA34-Z34</f>
        <v>4132</v>
      </c>
      <c r="AC34" s="896">
        <f>(AH34*0.69+AH35*0.53+AH36*0.49)/0.5</f>
        <v>0</v>
      </c>
      <c r="AD34" s="897">
        <f>-AB34*AC34</f>
        <v>0</v>
      </c>
      <c r="AF34" s="406" t="s">
        <v>596</v>
      </c>
      <c r="AG34" s="801">
        <f>SUMIFS('#采购&amp;股份关联'!6:6,'#采购&amp;股份关联'!$1:$1,$B$1,'#采购&amp;股份关联'!$2:$2,$B$2)</f>
        <v>0</v>
      </c>
      <c r="AH34" s="912">
        <f t="shared" si="13"/>
        <v>0</v>
      </c>
      <c r="AJ34" s="38">
        <f>H34</f>
        <v>8203.5399183427235</v>
      </c>
      <c r="AK34" s="832">
        <f>AJ34-S16</f>
        <v>3233.5399183427226</v>
      </c>
      <c r="AL34" s="832">
        <f>AK34*F34</f>
        <v>30015.980999999992</v>
      </c>
      <c r="AN34" s="102">
        <f>SUMIFS('#销量数据'!20:20,'#销量数据'!1:1,B1-1,'#销量数据'!2:2,B2,'#销量数据'!3:3,"销量")/10000+SUMIFS('#销量数据'!65:65,'#销量数据'!1:1,B1-1,'#销量数据'!2:2,B2,'#销量数据'!3:3,"销量")/10000</f>
        <v>8.3179019000000007</v>
      </c>
      <c r="AO34" s="102">
        <f>SUMIFS('#销量数据'!20:20,'#销量数据'!1:1,B1-1,'#销量数据'!2:2,B2,'#销量数据'!3:3,"收入")/10000+SUMIFS('#销量数据'!65:65,'#销量数据'!1:1,B1-1,'#销量数据'!2:2,B2,'#销量数据'!3:3,"收入")/10000</f>
        <v>4.2666238962999996</v>
      </c>
      <c r="AP34" s="38">
        <f t="shared" si="14"/>
        <v>5129.4472423388397</v>
      </c>
      <c r="AQ34" s="822">
        <f t="shared" si="15"/>
        <v>0.96479809999999944</v>
      </c>
      <c r="AR34" s="822">
        <f t="shared" si="15"/>
        <v>3.3484761037000004</v>
      </c>
      <c r="AS34" s="832">
        <f t="shared" si="15"/>
        <v>3074.0926760038838</v>
      </c>
      <c r="AT34" s="833">
        <f>AQ34*AP34/10000</f>
        <v>0.49488809534587491</v>
      </c>
      <c r="AU34" s="833">
        <f>AS34*F34/10000</f>
        <v>2.8535880083541252</v>
      </c>
      <c r="AV34" s="833">
        <f>AT34+AU34</f>
        <v>3.3484761036999999</v>
      </c>
      <c r="AY34" s="844"/>
      <c r="AZ34" s="846">
        <f t="array" ref="AZ34:BC38">_xlfn._xlws.FILTER(钢材数据!Q:T,(钢材数据!A:A=B1)*(钢材数据!B:B&lt;=B2),"")</f>
        <v>0</v>
      </c>
      <c r="BA34" s="846">
        <v>0</v>
      </c>
      <c r="BB34" s="846">
        <v>0</v>
      </c>
      <c r="BC34" s="846">
        <v>0</v>
      </c>
      <c r="BD34" s="880"/>
      <c r="BE34" s="846">
        <f t="array" ref="BE34:BH38">_xlfn._xlws.FILTER(钢材数据!Q:T,(钢材数据!A:A=B1-1)*(钢材数据!B:B&lt;=B2),"")</f>
        <v>13063.716814159294</v>
      </c>
      <c r="BF34" s="846">
        <v>7090.2654867256642</v>
      </c>
      <c r="BG34" s="846">
        <v>3323.0088495575224</v>
      </c>
      <c r="BH34" s="883">
        <v>4810.6194690265493</v>
      </c>
      <c r="BI34" s="797"/>
      <c r="BJ34" s="884">
        <f t="array" ref="BJ34:BS38">_xlfn._xlws.FILTER(钢材数据!V:AE,(钢材数据!A:A=B1)*(钢材数据!B:B&lt;=B2),"")</f>
        <v>0</v>
      </c>
      <c r="BK34" s="908">
        <v>0</v>
      </c>
      <c r="BL34" s="908">
        <v>0</v>
      </c>
      <c r="BM34" s="908">
        <v>0</v>
      </c>
      <c r="BN34" s="880">
        <v>0</v>
      </c>
      <c r="BO34" s="880">
        <v>0</v>
      </c>
      <c r="BP34" s="880">
        <v>0</v>
      </c>
      <c r="BQ34" s="880">
        <v>0</v>
      </c>
      <c r="BR34" s="880">
        <v>0</v>
      </c>
      <c r="BS34" s="915">
        <v>0</v>
      </c>
    </row>
    <row r="35" spans="2:71" s="16" customFormat="1" ht="15" thickBot="1">
      <c r="B35" s="812" t="s">
        <v>597</v>
      </c>
      <c r="C35" s="813">
        <f>钢铁分析!I8</f>
        <v>66.619788999999997</v>
      </c>
      <c r="D35" s="813">
        <f>钢铁分析!J8</f>
        <v>36.150041198699995</v>
      </c>
      <c r="E35" s="814">
        <f>钢铁分析!K8</f>
        <v>5426.321779358982</v>
      </c>
      <c r="F35" s="813">
        <f>钢铁分析!L8</f>
        <v>69.811199999999999</v>
      </c>
      <c r="G35" s="813">
        <f>钢铁分析!M8</f>
        <v>38.409999999999997</v>
      </c>
      <c r="H35" s="814">
        <f>钢铁分析!N8</f>
        <v>5501.9824899156574</v>
      </c>
      <c r="I35" s="834">
        <f t="shared" si="16"/>
        <v>3.1914110000000022</v>
      </c>
      <c r="J35" s="834">
        <f t="shared" si="17"/>
        <v>2.2599588013000016</v>
      </c>
      <c r="K35" s="835">
        <f>H35-E35</f>
        <v>75.66071055667544</v>
      </c>
      <c r="L35" s="833">
        <f>SUM(L33:L34)</f>
        <v>2.1936177629663196</v>
      </c>
      <c r="M35" s="833">
        <f>SUM(M33:M34)</f>
        <v>6.634103833367655E-2</v>
      </c>
      <c r="N35" s="833"/>
      <c r="R35" s="860"/>
      <c r="S35" s="70"/>
      <c r="T35" s="832"/>
      <c r="U35" s="858"/>
      <c r="V35" s="859"/>
      <c r="W35" s="832"/>
      <c r="Y35" s="591" t="s">
        <v>598</v>
      </c>
      <c r="Z35" s="898">
        <v>84</v>
      </c>
      <c r="AA35" s="899">
        <f>SUMIFS('#采购&amp;股份关联'!28:28,'#采购&amp;股份关联'!$1:$1,$B$1,'#采购&amp;股份关联'!$2:$2,$B$2)</f>
        <v>159.25</v>
      </c>
      <c r="AB35" s="898">
        <f>AA35-Z35</f>
        <v>75.25</v>
      </c>
      <c r="AC35" s="900">
        <f>AH37</f>
        <v>0</v>
      </c>
      <c r="AD35" s="901">
        <f>-AB35*6.8*AC35</f>
        <v>0</v>
      </c>
      <c r="AF35" s="406" t="s">
        <v>599</v>
      </c>
      <c r="AG35" s="801">
        <f>SUMIFS('#采购&amp;股份关联'!7:7,'#采购&amp;股份关联'!$1:$1,$B$1,'#采购&amp;股份关联'!$2:$2,$B$2)</f>
        <v>0</v>
      </c>
      <c r="AH35" s="912">
        <f t="shared" si="13"/>
        <v>0</v>
      </c>
      <c r="AJ35" s="70"/>
      <c r="AK35" s="832"/>
      <c r="AL35" s="832"/>
      <c r="AN35" s="813">
        <f>SUMIFS(钢材数据!$C:$C,钢材数据!$A:$A,B1-1,钢材数据!$B:$B,B2)</f>
        <v>43.621228099999996</v>
      </c>
      <c r="AO35" s="813">
        <f>SUMIFS(钢材数据!$D:$D,钢材数据!$A:$A,$B$1-1,钢材数据!$B:$B,$B$2)</f>
        <v>17.054229808300001</v>
      </c>
      <c r="AP35" s="814">
        <f t="shared" si="14"/>
        <v>3909.6170720374562</v>
      </c>
      <c r="AQ35" s="834">
        <f t="shared" ref="AQ35:AQ40" si="18">F35-AN35</f>
        <v>26.189971900000003</v>
      </c>
      <c r="AR35" s="834">
        <f t="shared" ref="AR35:AR40" si="19">G35-AO35</f>
        <v>21.355770191699996</v>
      </c>
      <c r="AS35" s="835">
        <f t="shared" ref="AS35:AS40" si="20">H35-AP35</f>
        <v>1592.3654178782012</v>
      </c>
      <c r="AT35" s="833"/>
      <c r="AU35" s="833"/>
      <c r="AV35" s="833"/>
      <c r="AY35" s="844"/>
      <c r="AZ35" s="846">
        <v>0</v>
      </c>
      <c r="BA35" s="846">
        <v>0</v>
      </c>
      <c r="BB35" s="846">
        <v>0</v>
      </c>
      <c r="BC35" s="846">
        <v>0</v>
      </c>
      <c r="BD35" s="880"/>
      <c r="BE35" s="846">
        <v>12849.557522123894</v>
      </c>
      <c r="BF35" s="846">
        <v>7055.7522123893814</v>
      </c>
      <c r="BG35" s="846">
        <v>3006.1946902654872</v>
      </c>
      <c r="BH35" s="883">
        <v>4831.8584070796469</v>
      </c>
      <c r="BI35" s="406"/>
      <c r="BJ35" s="885">
        <v>0</v>
      </c>
      <c r="BK35" s="909">
        <v>0</v>
      </c>
      <c r="BL35" s="909">
        <v>0</v>
      </c>
      <c r="BM35" s="909">
        <v>0</v>
      </c>
      <c r="BN35" s="871">
        <v>0</v>
      </c>
      <c r="BO35" s="871">
        <v>0</v>
      </c>
      <c r="BP35" s="871">
        <v>0</v>
      </c>
      <c r="BQ35" s="871">
        <v>0</v>
      </c>
      <c r="BR35" s="871">
        <v>0</v>
      </c>
      <c r="BS35" s="918">
        <v>0</v>
      </c>
    </row>
    <row r="36" spans="2:71">
      <c r="B36" s="807" t="s">
        <v>600</v>
      </c>
      <c r="C36" s="102">
        <f>C38-C37</f>
        <v>20.224708200000016</v>
      </c>
      <c r="D36" s="102">
        <f>D38-D37</f>
        <v>38.13805150421797</v>
      </c>
      <c r="E36" s="38">
        <f>D36/C36*10000</f>
        <v>18857.157852204728</v>
      </c>
      <c r="F36" s="102">
        <f>F38-F37</f>
        <v>19.97624600000001</v>
      </c>
      <c r="G36" s="102">
        <f>G38-G37</f>
        <v>39.469969458400001</v>
      </c>
      <c r="H36" s="38">
        <f>G36/F36*10000</f>
        <v>19758.451842453273</v>
      </c>
      <c r="I36" s="822">
        <f t="shared" si="16"/>
        <v>-0.24846220000000585</v>
      </c>
      <c r="J36" s="822">
        <f t="shared" si="17"/>
        <v>1.3319179541820318</v>
      </c>
      <c r="K36" s="832">
        <f>H36-E36</f>
        <v>901.29399024854501</v>
      </c>
      <c r="L36" s="833">
        <f>I36*E36/10000</f>
        <v>-0.4685290925706172</v>
      </c>
      <c r="M36" s="833">
        <f>K36*F36/10000</f>
        <v>1.8004470467526545</v>
      </c>
      <c r="N36" s="833">
        <f>L36+M36</f>
        <v>1.3319179541820374</v>
      </c>
      <c r="P36" s="406" t="s">
        <v>600</v>
      </c>
      <c r="R36" s="857">
        <f>SUMIFS(钢材数据!Q:Q,钢材数据!$A:$A,$E$1,钢材数据!$B:$B,$E$2)</f>
        <v>0</v>
      </c>
      <c r="S36" s="38">
        <f>SUMIFS(钢材数据!Q:Q,钢材数据!$A:$A,$B$1,钢材数据!$B:$B,$B$2)</f>
        <v>0</v>
      </c>
      <c r="T36" s="832">
        <f>S36-R36</f>
        <v>0</v>
      </c>
      <c r="U36" s="858">
        <f>T36*F36/10000</f>
        <v>0</v>
      </c>
      <c r="V36" s="859">
        <f>S36-S21</f>
        <v>-9446.1538461538457</v>
      </c>
      <c r="W36" s="832">
        <f>V36*F36</f>
        <v>-188698.69298461548</v>
      </c>
      <c r="AD36" s="902">
        <f>SUM(AD33:AD35)</f>
        <v>0</v>
      </c>
      <c r="AF36" s="406" t="s">
        <v>601</v>
      </c>
      <c r="AG36" s="801">
        <f>SUMIFS('#采购&amp;股份关联'!8:8,'#采购&amp;股份关联'!$1:$1,$B$1,'#采购&amp;股份关联'!$2:$2,$B$2)</f>
        <v>0</v>
      </c>
      <c r="AH36" s="912">
        <f t="shared" si="13"/>
        <v>0</v>
      </c>
      <c r="AJ36" s="38">
        <f>H36</f>
        <v>19758.451842453273</v>
      </c>
      <c r="AK36" s="832">
        <f>AJ36-S21</f>
        <v>10312.297996299427</v>
      </c>
      <c r="AL36" s="832">
        <f>AK36*F36</f>
        <v>206001.00159938456</v>
      </c>
      <c r="AN36" s="102">
        <f>AN38-AN37</f>
        <v>16.495593207622505</v>
      </c>
      <c r="AO36" s="102">
        <f>AO38-AO37</f>
        <v>24.50071217526677</v>
      </c>
      <c r="AP36" s="38">
        <f t="shared" si="14"/>
        <v>14852.883353079507</v>
      </c>
      <c r="AQ36" s="822">
        <f t="shared" si="18"/>
        <v>3.480652792377505</v>
      </c>
      <c r="AR36" s="822">
        <f t="shared" si="19"/>
        <v>14.969257283133231</v>
      </c>
      <c r="AS36" s="832">
        <f t="shared" si="20"/>
        <v>4905.5684893737653</v>
      </c>
      <c r="AT36" s="833">
        <f>AQ36*AP36/10000</f>
        <v>5.1697729917753543</v>
      </c>
      <c r="AU36" s="833">
        <f>AS36*F36/10000</f>
        <v>9.7994842913578779</v>
      </c>
      <c r="AV36" s="833">
        <f>AT36+AU36</f>
        <v>14.969257283133231</v>
      </c>
      <c r="AY36" s="847"/>
      <c r="AZ36" s="848">
        <v>0</v>
      </c>
      <c r="BA36" s="848">
        <v>0</v>
      </c>
      <c r="BB36" s="848">
        <v>0</v>
      </c>
      <c r="BC36" s="848">
        <v>0</v>
      </c>
      <c r="BD36" s="871"/>
      <c r="BE36" s="848">
        <v>11884.955752212391</v>
      </c>
      <c r="BF36" s="848">
        <v>6768.1415929203549</v>
      </c>
      <c r="BG36" s="848">
        <v>2973.4513274336286</v>
      </c>
      <c r="BH36" s="886">
        <v>4753.9823008849562</v>
      </c>
      <c r="BI36" s="53"/>
      <c r="BJ36" s="887">
        <v>0</v>
      </c>
      <c r="BK36" s="388">
        <v>0</v>
      </c>
      <c r="BL36" s="388">
        <v>0</v>
      </c>
      <c r="BM36" s="388">
        <v>0</v>
      </c>
      <c r="BN36" s="840">
        <v>0</v>
      </c>
      <c r="BO36" s="840">
        <v>0</v>
      </c>
      <c r="BP36" s="840">
        <v>0</v>
      </c>
      <c r="BQ36" s="840">
        <v>0</v>
      </c>
      <c r="BR36" s="840">
        <v>0</v>
      </c>
      <c r="BS36" s="919">
        <v>0</v>
      </c>
    </row>
    <row r="37" spans="2:71">
      <c r="B37" s="807" t="s">
        <v>559</v>
      </c>
      <c r="C37" s="102">
        <f>SUMIFS('#销量数据'!93:93,'#销量数据'!1:1,E1,'#销量数据'!2:2,E2,'#销量数据'!3:3,"销量")</f>
        <v>17.4553078</v>
      </c>
      <c r="D37" s="102">
        <f>SUMIFS('#销量数据'!93:93,'#销量数据'!1:1,E1,'#销量数据'!2:2,E2,'#销量数据'!3:3,"收入")</f>
        <v>15.73477574</v>
      </c>
      <c r="E37" s="38">
        <f>D37/C37*10000</f>
        <v>9014.321557824378</v>
      </c>
      <c r="F37" s="102">
        <f>SUMIFS('#销量数据'!93:93,'#销量数据'!1:1,B1,'#销量数据'!2:2,B2,'#销量数据'!3:3,"销量")</f>
        <v>14.86</v>
      </c>
      <c r="G37" s="102">
        <f>SUMIFS('#销量数据'!93:93,'#销量数据'!1:1,B1,'#销量数据'!2:2,B2,'#销量数据'!3:3,"收入")</f>
        <v>13.74</v>
      </c>
      <c r="H37" s="38">
        <f>G37/F37*10000</f>
        <v>9246.2987886944829</v>
      </c>
      <c r="I37" s="822">
        <f t="shared" si="16"/>
        <v>-2.5953078000000005</v>
      </c>
      <c r="J37" s="822">
        <f t="shared" si="17"/>
        <v>-1.9947757399999997</v>
      </c>
      <c r="K37" s="832">
        <f>H37-E37</f>
        <v>231.9772308701049</v>
      </c>
      <c r="L37" s="833">
        <f>I37*E37/10000</f>
        <v>-2.3394939050729766</v>
      </c>
      <c r="M37" s="833">
        <f>K37*F37/10000</f>
        <v>0.34471816507297587</v>
      </c>
      <c r="N37" s="833">
        <f>L37+M37</f>
        <v>-1.9947757400000008</v>
      </c>
      <c r="P37" s="406" t="s">
        <v>559</v>
      </c>
      <c r="R37" s="857">
        <f>SUMIFS(钢材数据!R:R,钢材数据!$A:$A,$E$1,钢材数据!$B:$B,$E$2)</f>
        <v>0</v>
      </c>
      <c r="S37" s="38">
        <f>SUMIFS(钢材数据!R:R,钢材数据!$A:$A,$B$1,钢材数据!$B:$B,$B$2)</f>
        <v>0</v>
      </c>
      <c r="T37" s="832">
        <f>S37-R37</f>
        <v>0</v>
      </c>
      <c r="U37" s="858">
        <f>T37*F37/10000</f>
        <v>0</v>
      </c>
      <c r="V37" s="859">
        <f>S37-S22</f>
        <v>-4400</v>
      </c>
      <c r="W37" s="832">
        <f>V37*F37</f>
        <v>-65384</v>
      </c>
      <c r="AD37" s="903">
        <f>AL40+AD36</f>
        <v>479851.4335671264</v>
      </c>
      <c r="AF37" s="406" t="s">
        <v>602</v>
      </c>
      <c r="AG37" s="801">
        <f>SUMIFS('#采购&amp;股份关联'!13:13,'#采购&amp;股份关联'!$1:$1,$B$1,'#采购&amp;股份关联'!$2:$2,$B$2)</f>
        <v>0</v>
      </c>
      <c r="AH37" s="912">
        <f t="shared" si="13"/>
        <v>0</v>
      </c>
      <c r="AJ37" s="38">
        <f>H37</f>
        <v>9246.2987886944829</v>
      </c>
      <c r="AK37" s="832">
        <f>AJ37-S22</f>
        <v>4846.2987886944829</v>
      </c>
      <c r="AL37" s="832">
        <f>AK37*F37</f>
        <v>72016.000000000015</v>
      </c>
      <c r="AN37" s="102">
        <f>SUMIFS('#销量数据'!93:93,'#销量数据'!1:1,B1-1,'#销量数据'!2:2,B2,'#销量数据'!3:3,"销量")</f>
        <v>11.396274100000001</v>
      </c>
      <c r="AO37" s="102">
        <f>SUMIFS('#销量数据'!93:93,'#销量数据'!1:1,$B$1-1,'#销量数据'!2:2,$B$2,'#销量数据'!3:3,"收入")</f>
        <v>7.6945596028000001</v>
      </c>
      <c r="AP37" s="38">
        <f t="shared" si="14"/>
        <v>6751.820406636235</v>
      </c>
      <c r="AQ37" s="822">
        <f t="shared" si="18"/>
        <v>3.4637258999999982</v>
      </c>
      <c r="AR37" s="822">
        <f t="shared" si="19"/>
        <v>6.0454403972000001</v>
      </c>
      <c r="AS37" s="832">
        <f t="shared" si="20"/>
        <v>2494.4783820582479</v>
      </c>
      <c r="AT37" s="833">
        <f>AQ37*AP37/10000</f>
        <v>2.3386455214614448</v>
      </c>
      <c r="AU37" s="833">
        <f>AS37*F37/10000</f>
        <v>3.7067948757385567</v>
      </c>
      <c r="AV37" s="833">
        <f>AT37+AU37</f>
        <v>6.0454403972000019</v>
      </c>
      <c r="AY37" s="849"/>
      <c r="AZ37" s="850">
        <v>0</v>
      </c>
      <c r="BA37" s="850">
        <v>0</v>
      </c>
      <c r="BB37" s="850">
        <v>0</v>
      </c>
      <c r="BC37" s="850">
        <v>0</v>
      </c>
      <c r="BD37" s="840"/>
      <c r="BE37" s="850">
        <v>11469.911504424779</v>
      </c>
      <c r="BF37" s="850">
        <v>6265.4867256637172</v>
      </c>
      <c r="BG37" s="850">
        <v>2915.9292035398234</v>
      </c>
      <c r="BH37" s="888">
        <v>4382.3008849557527</v>
      </c>
      <c r="BI37" s="53"/>
      <c r="BJ37" s="887">
        <v>0</v>
      </c>
      <c r="BK37" s="388">
        <v>0</v>
      </c>
      <c r="BL37" s="388">
        <v>0</v>
      </c>
      <c r="BM37" s="388">
        <v>0</v>
      </c>
      <c r="BN37" s="840">
        <v>0</v>
      </c>
      <c r="BO37" s="840">
        <v>0</v>
      </c>
      <c r="BP37" s="840">
        <v>0</v>
      </c>
      <c r="BQ37" s="840">
        <v>0</v>
      </c>
      <c r="BR37" s="840">
        <v>0</v>
      </c>
      <c r="BS37" s="919">
        <v>0</v>
      </c>
    </row>
    <row r="38" spans="2:71" s="16" customFormat="1">
      <c r="B38" s="812" t="s">
        <v>603</v>
      </c>
      <c r="C38" s="813">
        <f>钢铁分析!I9</f>
        <v>37.680016000000016</v>
      </c>
      <c r="D38" s="813">
        <f>钢铁分析!J9</f>
        <v>53.872827244217973</v>
      </c>
      <c r="E38" s="814">
        <f>钢铁分析!K9</f>
        <v>14297.453388612666</v>
      </c>
      <c r="F38" s="813">
        <f>钢铁分析!L9</f>
        <v>34.83624600000001</v>
      </c>
      <c r="G38" s="813">
        <f>钢铁分析!M9</f>
        <v>53.209969458400003</v>
      </c>
      <c r="H38" s="814">
        <f>G38/F38*10000</f>
        <v>15274.312122609304</v>
      </c>
      <c r="I38" s="834">
        <f>F38-C38</f>
        <v>-2.8437700000000063</v>
      </c>
      <c r="J38" s="834">
        <f t="shared" si="17"/>
        <v>-0.66285778581796961</v>
      </c>
      <c r="K38" s="835">
        <f>H38-E38</f>
        <v>976.85873399663797</v>
      </c>
      <c r="L38" s="861">
        <f>SUM(L36:L37)</f>
        <v>-2.8080229976435938</v>
      </c>
      <c r="M38" s="861">
        <f>SUM(M36:M37)</f>
        <v>2.1451652118256304</v>
      </c>
      <c r="N38" s="861">
        <f>L38+M38</f>
        <v>-0.6628577858179634</v>
      </c>
      <c r="R38" s="19"/>
      <c r="S38" s="21"/>
      <c r="T38" s="861"/>
      <c r="U38" s="858"/>
      <c r="V38" s="862"/>
      <c r="W38" s="822"/>
      <c r="AF38" s="406"/>
      <c r="AG38" s="913"/>
      <c r="AJ38" s="21"/>
      <c r="AK38" s="822"/>
      <c r="AL38" s="822"/>
      <c r="AN38" s="813">
        <f>SUMIFS(钢材数据!$F:$F,钢材数据!$A:$A,B1-1,钢材数据!$B:$B,B2)</f>
        <v>27.891867307622508</v>
      </c>
      <c r="AO38" s="813">
        <f>SUMIFS(钢材数据!$G:$G,钢材数据!$A:$A,B1-1,钢材数据!$B:$B,B2)</f>
        <v>32.195271778066768</v>
      </c>
      <c r="AP38" s="814">
        <f t="shared" si="14"/>
        <v>11542.888621612004</v>
      </c>
      <c r="AQ38" s="834">
        <f t="shared" si="18"/>
        <v>6.9443786923775015</v>
      </c>
      <c r="AR38" s="834">
        <f t="shared" si="19"/>
        <v>21.014697680333235</v>
      </c>
      <c r="AS38" s="835">
        <f t="shared" si="20"/>
        <v>3731.4235009972999</v>
      </c>
      <c r="AT38" s="805"/>
      <c r="AU38" s="805"/>
      <c r="AV38" s="805"/>
      <c r="AY38" s="849"/>
      <c r="AZ38" s="850">
        <v>0</v>
      </c>
      <c r="BA38" s="850">
        <v>0</v>
      </c>
      <c r="BB38" s="850">
        <v>0</v>
      </c>
      <c r="BC38" s="850">
        <v>0</v>
      </c>
      <c r="BD38" s="840"/>
      <c r="BE38" s="850">
        <v>12186.725663716816</v>
      </c>
      <c r="BF38" s="850">
        <v>6115.9292035398239</v>
      </c>
      <c r="BG38" s="850">
        <v>3125.6637168141597</v>
      </c>
      <c r="BH38" s="888">
        <v>4384.9557522123896</v>
      </c>
      <c r="BJ38" s="849">
        <v>0</v>
      </c>
      <c r="BK38" s="840">
        <v>0</v>
      </c>
      <c r="BL38" s="840">
        <v>0</v>
      </c>
      <c r="BM38" s="843">
        <v>0</v>
      </c>
      <c r="BN38" s="843">
        <v>0</v>
      </c>
      <c r="BO38" s="843">
        <v>0</v>
      </c>
      <c r="BP38" s="843">
        <v>0</v>
      </c>
      <c r="BQ38" s="843">
        <v>0</v>
      </c>
      <c r="BR38" s="843">
        <v>0</v>
      </c>
      <c r="BS38" s="879">
        <v>0</v>
      </c>
    </row>
    <row r="39" spans="2:71" s="798" customFormat="1" ht="14.25" customHeight="1" thickBot="1">
      <c r="B39" s="815" t="s">
        <v>604</v>
      </c>
      <c r="C39" s="816">
        <f>C37/C38</f>
        <v>0.46325107186790981</v>
      </c>
      <c r="D39" s="817"/>
      <c r="E39" s="818"/>
      <c r="F39" s="816">
        <f>F37/F38</f>
        <v>0.42656720244770335</v>
      </c>
      <c r="G39" s="817"/>
      <c r="H39" s="818"/>
      <c r="I39" s="836">
        <f t="shared" si="16"/>
        <v>-3.6683869420206461E-2</v>
      </c>
      <c r="J39" s="837"/>
      <c r="K39" s="838"/>
      <c r="L39" s="839">
        <f>L33+L34+L36+L37</f>
        <v>-0.61440523467727415</v>
      </c>
      <c r="M39" s="839">
        <f>M33+M34+M36+M37</f>
        <v>2.211506250159307</v>
      </c>
      <c r="N39" s="839">
        <f>L39+M39</f>
        <v>1.5971010154820329</v>
      </c>
      <c r="O39" s="799" t="s">
        <v>605</v>
      </c>
      <c r="P39" s="799"/>
      <c r="Q39" s="799"/>
      <c r="R39" s="863"/>
      <c r="S39" s="864"/>
      <c r="T39" s="865"/>
      <c r="U39" s="866">
        <f>U33+U34+U36+U37</f>
        <v>0</v>
      </c>
      <c r="V39" s="867"/>
      <c r="W39" s="868"/>
      <c r="Y39" s="904" t="str">
        <f>IF(AD37&gt;=0,"减","加")&amp;"：价格影响"&amp;ABS(ROUND(AD37/10000,2))&amp;"亿元，其中销售价格"&amp;IF(AL40&gt;=0,"增利","减利")&amp;ABS(ROUND(AL40/10000,2))&amp;"亿元（镍钢"&amp;IF(AK36&gt;=0,"增利","减利")&amp;ABS(ROUND(AL36/10000,2))&amp;"亿元，铬钢"&amp;IF(AK37&gt;=0,"增利","减利")&amp;ABS(ROUND(AL37/10000,2))&amp;"亿元，碳钢"&amp;IF(AK33&gt;=0,"增利","减利")&amp;ABS(ROUND(AL33/10000,2))&amp;"亿元，硅钢"&amp;IF(AK34&gt;=0,"增利","减利")&amp;ABS(ROUND(AL34/10000,2))&amp;"亿元），原料价格"&amp;IF(AD36&gt;=0,"增利","减利")&amp;ABS(ROUND(AD36/10000,2))&amp;"亿元（镍"&amp;IF(AD33&gt;=0,"增利","减利")&amp;ABS(ROUND(AD33/10000,2))&amp;"亿元，高铬"&amp;IF(AD34&gt;=0,"增利","减利")&amp;ABS(ROUND(AD34/10000,2))&amp;"亿元，铁矿"&amp;IF(AD35&gt;=0,"增利","减利")&amp;ABS(ROUND(AD35/10000,2))&amp;"亿元）。"</f>
        <v>减：价格影响47.99亿元，其中销售价格增利47.99亿元（镍钢增利20.6亿元，铬钢增利7.2亿元，碳钢增利17.18亿元，硅钢增利3亿元），原料价格增利0亿元（镍增利0亿元，高铬增利0亿元，铁矿增利0亿元）。</v>
      </c>
      <c r="Z39" s="905"/>
      <c r="AA39" s="905"/>
      <c r="AB39" s="905"/>
      <c r="AC39" s="905"/>
      <c r="AD39" s="905"/>
      <c r="AG39" s="913"/>
      <c r="AJ39" s="874"/>
      <c r="AK39" s="837"/>
      <c r="AL39" s="837"/>
      <c r="AN39" s="816">
        <f>AN37/AN38</f>
        <v>0.40858770674294503</v>
      </c>
      <c r="AO39" s="817"/>
      <c r="AP39" s="818"/>
      <c r="AQ39" s="836">
        <f t="shared" si="18"/>
        <v>1.7979495704758319E-2</v>
      </c>
      <c r="AR39" s="837">
        <f t="shared" si="19"/>
        <v>0</v>
      </c>
      <c r="AS39" s="838">
        <f t="shared" si="20"/>
        <v>0</v>
      </c>
      <c r="AT39" s="839">
        <f>AT33+AT34+AT36+AT37</f>
        <v>17.140394139335164</v>
      </c>
      <c r="AU39" s="839">
        <f>AU33+AU34+AU36+AU37</f>
        <v>25.230073732698067</v>
      </c>
      <c r="AV39" s="839">
        <f>AT39+AU39</f>
        <v>42.370467872033231</v>
      </c>
      <c r="AY39" s="842"/>
      <c r="AZ39" s="850"/>
      <c r="BA39" s="850"/>
      <c r="BB39" s="850"/>
      <c r="BC39" s="850"/>
      <c r="BD39" s="843"/>
      <c r="BE39" s="850"/>
      <c r="BF39" s="850"/>
      <c r="BG39" s="850"/>
      <c r="BH39" s="888"/>
      <c r="BI39" s="406"/>
      <c r="BJ39" s="889"/>
      <c r="BK39" s="910"/>
      <c r="BL39" s="910"/>
      <c r="BM39" s="871"/>
      <c r="BN39" s="871"/>
      <c r="BO39" s="871"/>
      <c r="BP39" s="871"/>
      <c r="BQ39" s="871"/>
      <c r="BR39" s="871"/>
      <c r="BS39" s="918"/>
    </row>
    <row r="40" spans="2:71" s="16" customFormat="1">
      <c r="B40" s="812" t="s">
        <v>187</v>
      </c>
      <c r="C40" s="813">
        <f>钢铁分析!I12</f>
        <v>104.29980500000002</v>
      </c>
      <c r="D40" s="813">
        <f>钢铁分析!J12</f>
        <v>90.022868442917968</v>
      </c>
      <c r="E40" s="814">
        <f>钢铁分析!K12</f>
        <v>8631.163638601045</v>
      </c>
      <c r="F40" s="813">
        <f>钢铁分析!L12</f>
        <v>104.647446</v>
      </c>
      <c r="G40" s="813">
        <f>钢铁分析!M12</f>
        <v>91.619969458399993</v>
      </c>
      <c r="H40" s="814">
        <f>钢铁分析!N12</f>
        <v>8755.1080279971666</v>
      </c>
      <c r="I40" s="834">
        <f t="shared" si="16"/>
        <v>0.34764099999998166</v>
      </c>
      <c r="J40" s="834">
        <f t="shared" si="17"/>
        <v>1.5971010154820249</v>
      </c>
      <c r="K40" s="835">
        <f>H40-E40</f>
        <v>123.94438939612155</v>
      </c>
      <c r="L40" s="834">
        <f>I40*E40/10000</f>
        <v>0.30005463584867476</v>
      </c>
      <c r="M40" s="834">
        <f>K40*F40/10000</f>
        <v>1.2970463796333602</v>
      </c>
      <c r="N40" s="834">
        <f>L40+M40</f>
        <v>1.5971010154820351</v>
      </c>
      <c r="O40" s="16" t="s">
        <v>606</v>
      </c>
      <c r="Q40" s="843"/>
      <c r="R40" s="840"/>
      <c r="S40" s="840"/>
      <c r="T40" s="843"/>
      <c r="U40" s="843"/>
      <c r="V40" s="869"/>
      <c r="W40" s="870">
        <f>SUM(W33:W37)</f>
        <v>-436348.26101687358</v>
      </c>
      <c r="Y40" s="905"/>
      <c r="Z40" s="905"/>
      <c r="AA40" s="905"/>
      <c r="AB40" s="905"/>
      <c r="AC40" s="905"/>
      <c r="AD40" s="905"/>
      <c r="AG40" s="53"/>
      <c r="AJ40" s="21"/>
      <c r="AK40" s="822"/>
      <c r="AL40" s="832">
        <f>SUM(AL33:AL37)</f>
        <v>479851.4335671264</v>
      </c>
      <c r="AN40" s="813">
        <f>AN35+AN38</f>
        <v>71.513095407622501</v>
      </c>
      <c r="AO40" s="813">
        <f>AO35+AO38</f>
        <v>49.249501586366769</v>
      </c>
      <c r="AP40" s="814">
        <f>AO40/AN40*10000</f>
        <v>6886.7808484091038</v>
      </c>
      <c r="AQ40" s="834">
        <f t="shared" si="18"/>
        <v>33.134350592377501</v>
      </c>
      <c r="AR40" s="834">
        <f t="shared" si="19"/>
        <v>42.370467872033224</v>
      </c>
      <c r="AS40" s="835">
        <f t="shared" si="20"/>
        <v>1868.3271795880628</v>
      </c>
      <c r="AT40" s="834">
        <f>AQ40*AP40/10000</f>
        <v>22.818901108405822</v>
      </c>
      <c r="AU40" s="834">
        <f>AS40*F40/10000</f>
        <v>19.55156676362741</v>
      </c>
      <c r="AV40" s="834">
        <f>AT40+AU40</f>
        <v>42.370467872033231</v>
      </c>
      <c r="AY40" s="847"/>
      <c r="AZ40" s="848"/>
      <c r="BA40" s="848"/>
      <c r="BB40" s="848"/>
      <c r="BC40" s="848"/>
      <c r="BD40" s="871"/>
      <c r="BE40" s="848"/>
      <c r="BF40" s="848"/>
      <c r="BG40" s="848"/>
      <c r="BH40" s="886"/>
      <c r="BI40" s="406"/>
      <c r="BJ40" s="889"/>
      <c r="BK40" s="910"/>
      <c r="BL40" s="910"/>
      <c r="BM40" s="871"/>
      <c r="BN40" s="871"/>
      <c r="BO40" s="871"/>
      <c r="BP40" s="871"/>
      <c r="BQ40" s="871"/>
      <c r="BR40" s="871"/>
      <c r="BS40" s="918"/>
    </row>
    <row r="41" spans="2:71">
      <c r="B41" s="819"/>
      <c r="C41" s="819"/>
      <c r="D41" s="819"/>
      <c r="E41" s="819"/>
      <c r="F41" s="819"/>
      <c r="G41" s="819"/>
      <c r="H41" s="819"/>
      <c r="I41" s="819"/>
      <c r="J41" s="819"/>
      <c r="K41" s="819"/>
      <c r="L41" s="819"/>
      <c r="M41" s="819"/>
      <c r="N41" s="819"/>
      <c r="Q41" s="871"/>
      <c r="R41" s="871"/>
      <c r="S41" s="871"/>
      <c r="T41" s="871"/>
      <c r="U41" s="871"/>
      <c r="V41" s="871"/>
      <c r="W41" s="871"/>
      <c r="Y41" s="905"/>
      <c r="Z41" s="905"/>
      <c r="AA41" s="905"/>
      <c r="AB41" s="905"/>
      <c r="AC41" s="905"/>
      <c r="AD41" s="905"/>
      <c r="AY41" s="847"/>
      <c r="AZ41" s="848"/>
      <c r="BA41" s="848"/>
      <c r="BB41" s="848"/>
      <c r="BC41" s="848"/>
      <c r="BD41" s="871"/>
      <c r="BE41" s="848"/>
      <c r="BF41" s="848"/>
      <c r="BG41" s="848"/>
      <c r="BH41" s="886"/>
      <c r="BJ41" s="889"/>
      <c r="BK41" s="910"/>
      <c r="BL41" s="910"/>
      <c r="BM41" s="871"/>
      <c r="BN41" s="871"/>
      <c r="BO41" s="871"/>
      <c r="BP41" s="871"/>
      <c r="BQ41" s="871"/>
      <c r="BR41" s="871"/>
      <c r="BS41" s="918"/>
    </row>
    <row r="42" spans="2:71">
      <c r="B42" s="803" t="str">
        <f>钢铁分析!D20</f>
        <v>注：1、8月钢材产销率100.24%，其中碳钢99.76%，不锈钢101.23%。</v>
      </c>
      <c r="C42" s="803"/>
      <c r="D42" s="803"/>
      <c r="E42" s="803"/>
      <c r="F42" s="803"/>
      <c r="G42" s="803"/>
      <c r="H42" s="803"/>
      <c r="I42" s="803"/>
      <c r="J42" s="803"/>
      <c r="K42" s="803"/>
      <c r="L42" s="803"/>
      <c r="M42" s="803"/>
      <c r="N42" s="803"/>
      <c r="Q42" s="871"/>
      <c r="R42" s="871"/>
      <c r="S42" s="871"/>
      <c r="T42" s="871"/>
      <c r="U42" s="871"/>
      <c r="V42" s="871"/>
      <c r="W42" s="871"/>
      <c r="AY42" s="847"/>
      <c r="AZ42" s="848"/>
      <c r="BA42" s="848"/>
      <c r="BB42" s="848"/>
      <c r="BC42" s="848"/>
      <c r="BD42" s="871"/>
      <c r="BE42" s="848"/>
      <c r="BF42" s="848"/>
      <c r="BG42" s="848"/>
      <c r="BH42" s="886"/>
      <c r="BJ42" s="889"/>
      <c r="BK42" s="910"/>
      <c r="BL42" s="910"/>
      <c r="BM42" s="871"/>
      <c r="BN42" s="871"/>
      <c r="BO42" s="871"/>
      <c r="BP42" s="871"/>
      <c r="BQ42" s="871"/>
      <c r="BR42" s="871"/>
      <c r="BS42" s="918"/>
    </row>
    <row r="43" spans="2:71">
      <c r="B43" s="803" t="str">
        <f>"    2、太钢本部钢材收入比上月"&amp;IF(J40&gt;=0,"增加","减少")&amp;ABS(ROUND(J40,2))&amp;"亿元，其中销量"&amp;IF(I40&lt;0,"减少","增加")&amp;ROUND(ABS(I40),2)&amp;"万吨，影响"&amp;IF(L39&gt;=0,"增收","减收")&amp;ABS(ROUND(L39,2))&amp;"亿元，价格影响"&amp;IF(M39&gt;=0,"增收","减收")&amp;ABS(ROUND(M39,2))&amp;"亿元，具体如下："</f>
        <v xml:space="preserve">    2、太钢本部钢材收入比上月增加1.6亿元，其中销量增加0.35万吨，影响减收0.61亿元，价格影响增收2.21亿元，具体如下：</v>
      </c>
      <c r="C43" s="803"/>
      <c r="D43" s="803"/>
      <c r="E43" s="803"/>
      <c r="F43" s="803"/>
      <c r="G43" s="803"/>
      <c r="H43" s="803"/>
      <c r="I43" s="803"/>
      <c r="J43" s="803"/>
      <c r="K43" s="803"/>
      <c r="L43" s="803"/>
      <c r="M43" s="803"/>
      <c r="N43" s="803"/>
      <c r="Q43" s="871"/>
      <c r="R43" s="871"/>
      <c r="S43" s="871"/>
      <c r="T43" s="871"/>
      <c r="U43" s="871"/>
      <c r="V43" s="871"/>
      <c r="W43" s="871"/>
      <c r="AY43" s="847"/>
      <c r="AZ43" s="848"/>
      <c r="BA43" s="848"/>
      <c r="BB43" s="848"/>
      <c r="BC43" s="848"/>
      <c r="BD43" s="871"/>
      <c r="BE43" s="848"/>
      <c r="BF43" s="848"/>
      <c r="BG43" s="848"/>
      <c r="BH43" s="886"/>
      <c r="BJ43" s="889"/>
      <c r="BK43" s="910"/>
      <c r="BL43" s="910"/>
      <c r="BM43" s="871"/>
      <c r="BN43" s="871"/>
      <c r="BO43" s="871"/>
      <c r="BP43" s="871"/>
      <c r="BQ43" s="871"/>
      <c r="BR43" s="871"/>
      <c r="BS43" s="918"/>
    </row>
    <row r="44" spans="2:71">
      <c r="B44" s="803" t="str">
        <f>"（1）碳钢销量比上月"&amp;IF(I35&gt;0,"增加","减少")&amp;ABS(ROUND(I35,2))&amp;"万吨，影响"&amp;IF(L35&gt;0,"增收","减收")&amp;ABS(ROUND(L35,2))&amp;"亿元；单价变动影响"&amp;IF(M35&gt;0,"增收","减收")&amp;ABS(ROUND(M35,2))&amp;"亿元。"</f>
        <v>（1）碳钢销量比上月增加3.19万吨，影响增收2.19亿元；单价变动影响增收0.07亿元。</v>
      </c>
      <c r="C44" s="803"/>
      <c r="D44" s="803"/>
      <c r="E44" s="803"/>
      <c r="F44" s="803"/>
      <c r="G44" s="803"/>
      <c r="H44" s="803"/>
      <c r="I44" s="803"/>
      <c r="J44" s="803"/>
      <c r="K44" s="803"/>
      <c r="L44" s="803"/>
      <c r="M44" s="803"/>
      <c r="N44" s="803"/>
      <c r="Q44" s="871"/>
      <c r="R44" s="871"/>
      <c r="S44" s="871"/>
      <c r="T44" s="871"/>
      <c r="U44" s="871"/>
      <c r="V44" s="871"/>
      <c r="W44" s="871"/>
      <c r="AY44" s="847"/>
      <c r="AZ44" s="848"/>
      <c r="BA44" s="848"/>
      <c r="BB44" s="848"/>
      <c r="BC44" s="848"/>
      <c r="BD44" s="871"/>
      <c r="BE44" s="848"/>
      <c r="BF44" s="848"/>
      <c r="BG44" s="848"/>
      <c r="BH44" s="886"/>
      <c r="BJ44" s="847"/>
      <c r="BK44" s="910"/>
      <c r="BL44" s="871"/>
      <c r="BM44" s="871"/>
      <c r="BN44" s="871"/>
      <c r="BO44" s="871"/>
      <c r="BP44" s="871"/>
      <c r="BQ44" s="871"/>
      <c r="BR44" s="871"/>
      <c r="BS44" s="918"/>
    </row>
    <row r="45" spans="2:71">
      <c r="B45" s="803" t="str">
        <f>"    ①普碳钢销量比上月"&amp;IF(I33&gt;=0,"增加","减少")&amp;ABS(ROUND(I33,2))&amp;"万吨，影响收入"&amp;IF(L33&gt;=0,"增加","减少")&amp;ABS(ROUND(L33,2))&amp;"亿元；单价比上月"&amp;IF(K33&gt;=0,"升高","降低")&amp;ABS(ROUND(K33,0))&amp;"元/吨，影响收入"&amp;IF(M33&gt;=0,"增加","减少")&amp;ABS(ROUND(M33,2))&amp;"亿元。"</f>
        <v xml:space="preserve">    ①普碳钢销量比上月增加1.42万吨，影响收入增加0.72亿元；单价比上月升高31元/吨，影响收入增加0.19亿元。</v>
      </c>
      <c r="C45" s="803"/>
      <c r="D45" s="803"/>
      <c r="E45" s="803"/>
      <c r="F45" s="803"/>
      <c r="G45" s="803"/>
      <c r="H45" s="803"/>
      <c r="I45" s="803"/>
      <c r="J45" s="803"/>
      <c r="K45" s="803"/>
      <c r="L45" s="803"/>
      <c r="M45" s="803"/>
      <c r="N45" s="803"/>
      <c r="Q45" s="871"/>
      <c r="R45" s="871"/>
      <c r="S45" s="871"/>
      <c r="T45" s="871"/>
      <c r="U45" s="871"/>
      <c r="V45" s="871"/>
      <c r="W45" s="871"/>
      <c r="AY45" s="847"/>
      <c r="AZ45" s="848"/>
      <c r="BA45" s="848"/>
      <c r="BB45" s="848"/>
      <c r="BC45" s="848"/>
      <c r="BD45" s="871"/>
      <c r="BE45" s="848"/>
      <c r="BF45" s="848"/>
      <c r="BG45" s="848"/>
      <c r="BH45" s="886"/>
      <c r="BJ45" s="847"/>
      <c r="BK45" s="910"/>
      <c r="BL45" s="871"/>
      <c r="BM45" s="871"/>
      <c r="BN45" s="871"/>
      <c r="BO45" s="871"/>
      <c r="BP45" s="871"/>
      <c r="BQ45" s="871"/>
      <c r="BR45" s="871"/>
      <c r="BS45" s="918"/>
    </row>
    <row r="46" spans="2:71">
      <c r="B46" s="803" t="str">
        <f>"    ②硅钢销量比上月"&amp;IF(I34&gt;=0,"增加","减少")&amp;ABS(ROUND(I34,2))&amp;"万吨，影响收入"&amp;IF(L34&gt;=0,"增加","减少")&amp;ABS(ROUND(L34,2))&amp;"亿元；单价比上月"&amp;IF(K34&gt;=0,"升高","降低")&amp;ABS(ROUND(K34,0))&amp;"元/吨，影响收入"&amp;IF(M34&gt;=0,"增加","减少")&amp;ABS(ROUND(M34,2))&amp;"亿元。"</f>
        <v xml:space="preserve">    ②硅钢销量比上月增加1.77万吨，影响收入增加1.47亿元；单价比上月降低133元/吨，影响收入减少0.12亿元。</v>
      </c>
      <c r="C46" s="803"/>
      <c r="D46" s="803"/>
      <c r="E46" s="803"/>
      <c r="F46" s="803"/>
      <c r="G46" s="803"/>
      <c r="H46" s="803"/>
      <c r="I46" s="803"/>
      <c r="J46" s="803"/>
      <c r="K46" s="803"/>
      <c r="L46" s="803"/>
      <c r="M46" s="803"/>
      <c r="N46" s="803"/>
      <c r="T46" s="871"/>
      <c r="AY46" s="849" t="s">
        <v>580</v>
      </c>
      <c r="AZ46" s="850">
        <f>AVERAGE(AZ34:AZ45)</f>
        <v>0</v>
      </c>
      <c r="BA46" s="850">
        <f>AVERAGE(BA34:BA45)</f>
        <v>0</v>
      </c>
      <c r="BB46" s="850">
        <f>AVERAGE(BB34:BB45)</f>
        <v>0</v>
      </c>
      <c r="BC46" s="850">
        <f>AVERAGE(BC34:BC45)</f>
        <v>0</v>
      </c>
      <c r="BD46" s="871"/>
      <c r="BE46" s="850">
        <f>AVERAGE(BE34:BE45)</f>
        <v>12290.973451327434</v>
      </c>
      <c r="BF46" s="850">
        <f>AVERAGE(BF34:BF45)</f>
        <v>6659.1150442477883</v>
      </c>
      <c r="BG46" s="850">
        <f>AVERAGE(BG34:BG45)</f>
        <v>3068.8495575221241</v>
      </c>
      <c r="BH46" s="888">
        <f>AVERAGE(BH34:BH45)</f>
        <v>4632.7433628318595</v>
      </c>
      <c r="BJ46" s="887">
        <f>AVERAGE(BJ34:BJ45)</f>
        <v>0</v>
      </c>
      <c r="BK46" s="388">
        <f t="shared" ref="BK46:BS46" si="21">AVERAGE(BK34:BK45)</f>
        <v>0</v>
      </c>
      <c r="BL46" s="388">
        <f t="shared" si="21"/>
        <v>0</v>
      </c>
      <c r="BM46" s="388">
        <f t="shared" si="21"/>
        <v>0</v>
      </c>
      <c r="BN46" s="388">
        <f t="shared" si="21"/>
        <v>0</v>
      </c>
      <c r="BO46" s="388">
        <f t="shared" si="21"/>
        <v>0</v>
      </c>
      <c r="BP46" s="388">
        <f t="shared" si="21"/>
        <v>0</v>
      </c>
      <c r="BQ46" s="388">
        <f t="shared" si="21"/>
        <v>0</v>
      </c>
      <c r="BR46" s="388">
        <f t="shared" si="21"/>
        <v>0</v>
      </c>
      <c r="BS46" s="920">
        <f t="shared" si="21"/>
        <v>0</v>
      </c>
    </row>
    <row r="47" spans="2:71" ht="15" thickBot="1">
      <c r="B47" s="803" t="str">
        <f>"（2）不锈钢销量比上月"&amp;IF(I38&gt;0,"增加","减少")&amp;ABS(ROUND(I38,2))&amp;"万吨，影响"&amp;IF(L38&gt;0,"增收","减收")&amp;ABS(ROUND(L38,2))&amp;"亿元；单价变动影响"&amp;IF(M38&gt;0,"增收","减收")&amp;ABS(ROUND(M38,2))&amp;"亿元。"</f>
        <v>（2）不锈钢销量比上月减少2.84万吨，影响减收2.81亿元；单价变动影响增收2.15亿元。</v>
      </c>
      <c r="C47" s="803"/>
      <c r="D47" s="803"/>
      <c r="E47" s="803"/>
      <c r="F47" s="803"/>
      <c r="G47" s="803"/>
      <c r="H47" s="803"/>
      <c r="I47" s="803"/>
      <c r="J47" s="803"/>
      <c r="K47" s="803"/>
      <c r="L47" s="803"/>
      <c r="M47" s="803"/>
      <c r="N47" s="803"/>
      <c r="T47" s="871"/>
      <c r="AY47" s="852"/>
      <c r="AZ47" s="853"/>
      <c r="BA47" s="853"/>
      <c r="BB47" s="853"/>
      <c r="BC47" s="853"/>
      <c r="BD47" s="853"/>
      <c r="BE47" s="853"/>
      <c r="BF47" s="853"/>
      <c r="BG47" s="853"/>
      <c r="BH47" s="890"/>
      <c r="BJ47" s="852"/>
      <c r="BK47" s="911"/>
      <c r="BL47" s="853"/>
      <c r="BM47" s="853"/>
      <c r="BN47" s="853"/>
      <c r="BO47" s="853"/>
      <c r="BP47" s="853"/>
      <c r="BQ47" s="853"/>
      <c r="BR47" s="853"/>
      <c r="BS47" s="890"/>
    </row>
    <row r="48" spans="2:71">
      <c r="B48" s="803" t="str">
        <f>"    ①镍钢销量比上月"&amp;IF(I36&gt;=0,"增加","减少")&amp;ABS(ROUND(I36,2))&amp;"万吨，影响收入"&amp;IF(L36&gt;=0,"增加","减少")&amp;ABS(ROUND(L36,2))&amp;"亿元；单价比上月"&amp;IF(K36&gt;=0,"升高","降低")&amp;ABS(ROUND(K36,0))&amp;"元/吨，影响收入"&amp;IF(M36&gt;=0,"增加","减少")&amp;ABS(ROUND(M36,2))&amp;"亿元。"</f>
        <v xml:space="preserve">    ①镍钢销量比上月减少0.25万吨，影响收入减少0.47亿元；单价比上月升高901元/吨，影响收入增加1.8亿元。</v>
      </c>
      <c r="C48" s="803"/>
      <c r="D48" s="803"/>
      <c r="E48" s="803"/>
      <c r="F48" s="803"/>
      <c r="G48" s="803"/>
      <c r="H48" s="803"/>
      <c r="I48" s="803"/>
      <c r="J48" s="803"/>
      <c r="K48" s="803"/>
      <c r="L48" s="803"/>
      <c r="M48" s="803"/>
      <c r="N48" s="803"/>
      <c r="T48" s="871"/>
    </row>
    <row r="49" spans="2:38">
      <c r="B49" s="803" t="str">
        <f>"    ②铬钢销量比上月"&amp;IF(I37&gt;=0,"增加","减少")&amp;ABS(ROUND(I37,2))&amp;"万吨，影响收入"&amp;IF(L37&gt;=0,"增加","减少")&amp;ABS(ROUND(L37,2))&amp;"亿元；单价比上月"&amp;IF(K37&gt;=0,"升高","降低")&amp;ABS(ROUND(K37,0))&amp;"元/吨，影响收入"&amp;IF(M37&gt;=0,"增加","减少")&amp;ABS(ROUND(M37,2))&amp;"亿元。"</f>
        <v xml:space="preserve">    ②铬钢销量比上月减少2.6万吨，影响收入减少2.34亿元；单价比上月升高232元/吨，影响收入增加0.34亿元。</v>
      </c>
      <c r="C49" s="803"/>
      <c r="D49" s="803"/>
      <c r="E49" s="803"/>
      <c r="F49" s="803"/>
      <c r="G49" s="803"/>
      <c r="H49" s="803"/>
      <c r="I49" s="803"/>
      <c r="J49" s="803"/>
      <c r="K49" s="803"/>
      <c r="L49" s="803"/>
      <c r="M49" s="803"/>
      <c r="N49" s="803"/>
      <c r="T49" s="871"/>
    </row>
    <row r="50" spans="2:38">
      <c r="T50" s="871"/>
      <c r="X50"/>
      <c r="Y50"/>
      <c r="Z50"/>
      <c r="AA50"/>
      <c r="AB50"/>
      <c r="AC50"/>
      <c r="AD50"/>
      <c r="AE50"/>
      <c r="AF50" s="801"/>
      <c r="AG50" s="801" t="str">
        <f>B1&amp;"年1-"&amp;B2&amp;"月"</f>
        <v>2021年1-8月</v>
      </c>
    </row>
    <row r="51" spans="2:38" s="53" customFormat="1" ht="15" thickBot="1">
      <c r="B51" s="2685" t="s">
        <v>3</v>
      </c>
      <c r="C51" s="2591" t="str">
        <f>钢铁分析!C30</f>
        <v>2020年1-8月</v>
      </c>
      <c r="D51" s="2592"/>
      <c r="E51" s="2593"/>
      <c r="F51" s="2591" t="str">
        <f>钢铁分析!I30</f>
        <v>2021年1-8月</v>
      </c>
      <c r="G51" s="2592"/>
      <c r="H51" s="2593"/>
      <c r="I51" s="2591" t="s">
        <v>8</v>
      </c>
      <c r="J51" s="2592"/>
      <c r="K51" s="2593"/>
      <c r="L51" s="2676" t="s">
        <v>607</v>
      </c>
      <c r="M51" s="2676"/>
      <c r="N51" s="2676"/>
      <c r="R51" s="2675" t="s">
        <v>608</v>
      </c>
      <c r="S51" s="2675"/>
      <c r="T51" s="2675"/>
      <c r="U51" s="2675"/>
      <c r="V51" s="2675" t="s">
        <v>609</v>
      </c>
      <c r="W51" s="2675"/>
      <c r="X51"/>
      <c r="Y51" s="891" t="s">
        <v>582</v>
      </c>
      <c r="Z51" s="406"/>
      <c r="AA51" s="406"/>
      <c r="AB51" s="406"/>
      <c r="AC51" s="406"/>
      <c r="AD51" s="406"/>
      <c r="AE51"/>
      <c r="AF51" s="406" t="s">
        <v>583</v>
      </c>
      <c r="AG51" s="801">
        <f>SUMIFS('#采购&amp;股份关联'!4:4,'#采购&amp;股份关联'!$1:$1,$B$1,'#采购&amp;股份关联'!$2:$2,"&lt;="&amp;$B$2)</f>
        <v>0</v>
      </c>
      <c r="AH51" s="912">
        <f>AG51/10000</f>
        <v>0</v>
      </c>
    </row>
    <row r="52" spans="2:38" s="53" customFormat="1" ht="14.25" customHeight="1">
      <c r="B52" s="2686"/>
      <c r="C52" s="21" t="s">
        <v>69</v>
      </c>
      <c r="D52" s="21" t="s">
        <v>39</v>
      </c>
      <c r="E52" s="21" t="s">
        <v>577</v>
      </c>
      <c r="F52" s="21" t="s">
        <v>69</v>
      </c>
      <c r="G52" s="21" t="s">
        <v>39</v>
      </c>
      <c r="H52" s="21" t="s">
        <v>577</v>
      </c>
      <c r="I52" s="21" t="s">
        <v>69</v>
      </c>
      <c r="J52" s="21" t="s">
        <v>39</v>
      </c>
      <c r="K52" s="21" t="s">
        <v>577</v>
      </c>
      <c r="L52" s="831" t="s">
        <v>584</v>
      </c>
      <c r="M52" s="831" t="s">
        <v>585</v>
      </c>
      <c r="N52" s="831" t="s">
        <v>187</v>
      </c>
      <c r="R52" s="21" t="str">
        <f>C51</f>
        <v>2020年1-8月</v>
      </c>
      <c r="S52" s="21" t="str">
        <f>F51</f>
        <v>2021年1-8月</v>
      </c>
      <c r="T52" s="21" t="s">
        <v>8</v>
      </c>
      <c r="U52" s="21" t="s">
        <v>586</v>
      </c>
      <c r="V52" s="21" t="s">
        <v>9</v>
      </c>
      <c r="W52" s="21" t="s">
        <v>586</v>
      </c>
      <c r="X52"/>
      <c r="Y52" s="892" t="s">
        <v>470</v>
      </c>
      <c r="Z52" s="893" t="s">
        <v>58</v>
      </c>
      <c r="AA52" s="893" t="str">
        <f>"1-"&amp;B2&amp;"月"</f>
        <v>1-8月</v>
      </c>
      <c r="AB52" s="893" t="s">
        <v>9</v>
      </c>
      <c r="AC52" s="893" t="s">
        <v>77</v>
      </c>
      <c r="AD52" s="894" t="s">
        <v>589</v>
      </c>
      <c r="AE52"/>
      <c r="AF52" s="406" t="s">
        <v>590</v>
      </c>
      <c r="AG52" s="801">
        <f>SUMIFS('#采购&amp;股份关联'!5:5,'#采购&amp;股份关联'!$1:$1,$B$1,'#采购&amp;股份关联'!$2:$2,"&lt;="&amp;$B$2)</f>
        <v>0</v>
      </c>
      <c r="AH52" s="912">
        <f t="shared" ref="AH52:AH57" si="22">AG52/10000</f>
        <v>0</v>
      </c>
    </row>
    <row r="53" spans="2:38">
      <c r="B53" s="807" t="s">
        <v>592</v>
      </c>
      <c r="C53" s="102">
        <f>C55-C54</f>
        <v>335.10007569999993</v>
      </c>
      <c r="D53" s="102">
        <f>D55-D54</f>
        <v>115.7087110356</v>
      </c>
      <c r="E53" s="38">
        <f>D53/C53*10000</f>
        <v>3452.9598596446999</v>
      </c>
      <c r="F53" s="102">
        <f>F55-F54</f>
        <v>458.46860799999996</v>
      </c>
      <c r="G53" s="102">
        <f>G55-G54</f>
        <v>218.87494640259996</v>
      </c>
      <c r="H53" s="38">
        <f>G53/F53*10000</f>
        <v>4774.0443420414067</v>
      </c>
      <c r="I53" s="822">
        <f t="shared" ref="I53:K58" si="23">F53-C53</f>
        <v>123.36853230000003</v>
      </c>
      <c r="J53" s="822">
        <f t="shared" si="23"/>
        <v>103.16623536699996</v>
      </c>
      <c r="K53" s="832">
        <f t="shared" si="23"/>
        <v>1321.0844823967068</v>
      </c>
      <c r="L53" s="833">
        <f>I53*E53/10000</f>
        <v>42.598658997518072</v>
      </c>
      <c r="M53" s="833">
        <f>K53*F53/10000</f>
        <v>60.567576369481863</v>
      </c>
      <c r="N53" s="833">
        <f>L53+M53</f>
        <v>103.16623536699993</v>
      </c>
      <c r="R53" s="38">
        <f>BG46</f>
        <v>3068.8495575221241</v>
      </c>
      <c r="S53" s="38">
        <f>BB46</f>
        <v>0</v>
      </c>
      <c r="T53" s="832">
        <f>S53-R53</f>
        <v>-3068.8495575221241</v>
      </c>
      <c r="U53" s="822">
        <f>T53*F53/10000</f>
        <v>-140.6971184798584</v>
      </c>
      <c r="V53" s="832">
        <f>S53-S15</f>
        <v>-2249.0322580645166</v>
      </c>
      <c r="W53" s="832">
        <f>V53*F53/10000</f>
        <v>-103.11106887019356</v>
      </c>
      <c r="X53" s="872"/>
      <c r="Y53" s="589" t="s">
        <v>593</v>
      </c>
      <c r="Z53" s="630">
        <v>14000</v>
      </c>
      <c r="AA53" s="895">
        <f>BJ46</f>
        <v>0</v>
      </c>
      <c r="AB53" s="630">
        <f>AA53-Z53</f>
        <v>-14000</v>
      </c>
      <c r="AC53" s="896">
        <f>AH51+AH52+AH53*0.1</f>
        <v>0</v>
      </c>
      <c r="AD53" s="897">
        <f>-AB53*6.8*AC53</f>
        <v>0</v>
      </c>
      <c r="AE53"/>
      <c r="AF53" s="406" t="s">
        <v>594</v>
      </c>
      <c r="AG53" s="801">
        <f>SUMIFS('#采购&amp;股份关联'!9:9,'#采购&amp;股份关联'!$1:$1,$B$1,'#采购&amp;股份关联'!$2:$2,"&lt;="&amp;$B$2)</f>
        <v>0</v>
      </c>
      <c r="AH53" s="912">
        <f t="shared" si="22"/>
        <v>0</v>
      </c>
      <c r="AJ53" s="38">
        <f>H53</f>
        <v>4774.0443420414067</v>
      </c>
      <c r="AK53" s="832">
        <f>AJ53-S15</f>
        <v>2525.0120839768902</v>
      </c>
      <c r="AL53" s="832">
        <f>AK53*F53</f>
        <v>1157638.7753240638</v>
      </c>
    </row>
    <row r="54" spans="2:38">
      <c r="B54" s="807" t="s">
        <v>311</v>
      </c>
      <c r="C54" s="102">
        <f>SUMIFS('#销量数据'!20:20,'#销量数据'!1:1,B1-1,'#销量数据'!2:2,"&lt;="&amp;B2,'#销量数据'!3:3,"销量")/10000+SUMIFS('#销量数据'!65:65,'#销量数据'!1:1,B1-1,'#销量数据'!2:2,"&lt;="&amp;B2,'#销量数据'!3:3,"销量")/10000</f>
        <v>63.901578500000006</v>
      </c>
      <c r="D54" s="102">
        <f>SUMIFS('#销量数据'!20:20,'#销量数据'!1:1,B1-1,'#销量数据'!2:2,"&lt;="&amp;B2,'#销量数据'!3:3,"收入")/10000+SUMIFS('#销量数据'!65:65,'#销量数据'!1:1,B1-1,'#销量数据'!2:2,"&lt;="&amp;B2,'#销量数据'!3:3,"收入")/10000</f>
        <v>32.069608213800002</v>
      </c>
      <c r="E54" s="38">
        <f>D54/C54*10000</f>
        <v>5018.5940577039109</v>
      </c>
      <c r="F54" s="102">
        <f>SUMIFS('#销量数据'!20:20,'#销量数据'!1:1,B1,'#销量数据'!2:2,"&lt;="&amp;B2,'#销量数据'!3:3,"销量")/10000+SUMIFS('#销量数据'!65:65,'#销量数据'!1:1,B1,'#销量数据'!2:2,"&lt;="&amp;B2,'#销量数据'!3:3,"销量")/10000</f>
        <v>69.202551099999994</v>
      </c>
      <c r="G54" s="102">
        <f>SUMIFS('#销量数据'!20:20,'#销量数据'!1:1,B1,'#销量数据'!2:2,"&lt;="&amp;B2,'#销量数据'!3:3,"收入")/10000+SUMIFS('#销量数据'!65:65,'#销量数据'!1:1,B1,'#销量数据'!2:2,"&lt;="&amp;B2,'#销量数据'!3:3,"收入")/10000</f>
        <v>53.055320053999992</v>
      </c>
      <c r="H54" s="38">
        <f>G54/F54*10000</f>
        <v>7666.6711285445654</v>
      </c>
      <c r="I54" s="822">
        <f t="shared" si="23"/>
        <v>5.3009725999999873</v>
      </c>
      <c r="J54" s="822">
        <f t="shared" si="23"/>
        <v>20.98571184019999</v>
      </c>
      <c r="K54" s="832">
        <f t="shared" si="23"/>
        <v>2648.0770708406544</v>
      </c>
      <c r="L54" s="833">
        <f>I54*E54/10000</f>
        <v>2.6603429590411185</v>
      </c>
      <c r="M54" s="833">
        <f>K54*F54/10000</f>
        <v>18.32536888115887</v>
      </c>
      <c r="N54" s="833">
        <f>L54+M54</f>
        <v>20.98571184019999</v>
      </c>
      <c r="R54" s="38">
        <f>BH46</f>
        <v>4632.7433628318595</v>
      </c>
      <c r="S54" s="38">
        <f>BC46</f>
        <v>0</v>
      </c>
      <c r="T54" s="832">
        <f>S54-R54</f>
        <v>-4632.7433628318595</v>
      </c>
      <c r="U54" s="822">
        <f>T54*F54/10000</f>
        <v>-32.059765929955759</v>
      </c>
      <c r="V54" s="832">
        <f>S54-S16</f>
        <v>-4970.0000000000009</v>
      </c>
      <c r="W54" s="832">
        <f>V54*F54/10000</f>
        <v>-34.393667896700002</v>
      </c>
      <c r="X54" s="872"/>
      <c r="Y54" s="589" t="s">
        <v>595</v>
      </c>
      <c r="Z54" s="630">
        <v>6500</v>
      </c>
      <c r="AA54" s="895">
        <f>BP46</f>
        <v>0</v>
      </c>
      <c r="AB54" s="630">
        <f>AA54-Z54</f>
        <v>-6500</v>
      </c>
      <c r="AC54" s="896">
        <f>(AH54*0.69+AH55*0.53+AH56*0.49)/0.5</f>
        <v>0</v>
      </c>
      <c r="AD54" s="897">
        <f>-AB54*AC54</f>
        <v>0</v>
      </c>
      <c r="AE54"/>
      <c r="AF54" s="406" t="s">
        <v>596</v>
      </c>
      <c r="AG54" s="801">
        <f>SUMIFS('#采购&amp;股份关联'!6:6,'#采购&amp;股份关联'!$1:$1,$B$1,'#采购&amp;股份关联'!$2:$2,"&lt;="&amp;$B$2)</f>
        <v>0</v>
      </c>
      <c r="AH54" s="912">
        <f t="shared" si="22"/>
        <v>0</v>
      </c>
      <c r="AJ54" s="38">
        <f>H54</f>
        <v>7666.6711285445654</v>
      </c>
      <c r="AK54" s="832">
        <f>AJ54-S16</f>
        <v>2696.6711285445645</v>
      </c>
      <c r="AL54" s="832">
        <f>AK54*F54</f>
        <v>186616.52157299986</v>
      </c>
    </row>
    <row r="55" spans="2:38" s="16" customFormat="1" ht="15" thickBot="1">
      <c r="B55" s="812" t="s">
        <v>597</v>
      </c>
      <c r="C55" s="813">
        <f>钢铁分析!C32</f>
        <v>399.00165419999996</v>
      </c>
      <c r="D55" s="813">
        <f>钢铁分析!D32</f>
        <v>147.7783192494</v>
      </c>
      <c r="E55" s="814">
        <f>D55/C55*10000</f>
        <v>3703.7019193741485</v>
      </c>
      <c r="F55" s="813">
        <f>钢铁分析!I32</f>
        <v>527.67115909999995</v>
      </c>
      <c r="G55" s="813">
        <f>钢铁分析!J32</f>
        <v>271.93026645659995</v>
      </c>
      <c r="H55" s="814">
        <f>G55/F55*10000</f>
        <v>5153.4040048807346</v>
      </c>
      <c r="I55" s="834">
        <f t="shared" si="23"/>
        <v>128.66950489999999</v>
      </c>
      <c r="J55" s="834">
        <f t="shared" si="23"/>
        <v>124.15194720719995</v>
      </c>
      <c r="K55" s="835">
        <f t="shared" si="23"/>
        <v>1449.7020855065862</v>
      </c>
      <c r="L55" s="839">
        <f>SUM(L53:L54)</f>
        <v>45.259001956559189</v>
      </c>
      <c r="M55" s="839">
        <f>SUM(M53:M54)</f>
        <v>78.892945250640736</v>
      </c>
      <c r="N55" s="839"/>
      <c r="R55" s="70"/>
      <c r="S55" s="70"/>
      <c r="T55" s="832"/>
      <c r="U55" s="822"/>
      <c r="V55" s="832"/>
      <c r="W55" s="832"/>
      <c r="X55" s="872"/>
      <c r="Y55" s="591" t="s">
        <v>598</v>
      </c>
      <c r="Z55" s="898">
        <v>84</v>
      </c>
      <c r="AA55" s="899">
        <f>BQ46</f>
        <v>0</v>
      </c>
      <c r="AB55" s="898">
        <f>AA55-Z55</f>
        <v>-84</v>
      </c>
      <c r="AC55" s="900">
        <f>AH57</f>
        <v>0</v>
      </c>
      <c r="AD55" s="901">
        <f>-AB55*7*AC55</f>
        <v>0</v>
      </c>
      <c r="AE55"/>
      <c r="AF55" s="406" t="s">
        <v>599</v>
      </c>
      <c r="AG55" s="801">
        <f>SUMIFS('#采购&amp;股份关联'!7:7,'#采购&amp;股份关联'!$1:$1,$B$1,'#采购&amp;股份关联'!$2:$2,"&lt;="&amp;$B$2)</f>
        <v>0</v>
      </c>
      <c r="AH55" s="912">
        <f t="shared" si="22"/>
        <v>0</v>
      </c>
      <c r="AJ55" s="70"/>
      <c r="AK55" s="832"/>
      <c r="AL55" s="832"/>
    </row>
    <row r="56" spans="2:38">
      <c r="B56" s="807" t="s">
        <v>600</v>
      </c>
      <c r="C56" s="102">
        <f>C58-C57</f>
        <v>134.99808875225045</v>
      </c>
      <c r="D56" s="102">
        <f>D58-D57</f>
        <v>192.53298693867575</v>
      </c>
      <c r="E56" s="38">
        <f>D56/C56*10000</f>
        <v>14261.904647554959</v>
      </c>
      <c r="F56" s="102">
        <f>F58-F57</f>
        <v>151.76312582023598</v>
      </c>
      <c r="G56" s="102">
        <f>G58-G57</f>
        <v>261.84352703282468</v>
      </c>
      <c r="H56" s="38">
        <f>G56/F56*10000</f>
        <v>17253.435287236993</v>
      </c>
      <c r="I56" s="822">
        <f t="shared" si="23"/>
        <v>16.765037067985531</v>
      </c>
      <c r="J56" s="822">
        <f t="shared" si="23"/>
        <v>69.310540094148934</v>
      </c>
      <c r="K56" s="832">
        <f t="shared" si="23"/>
        <v>2991.5306396820342</v>
      </c>
      <c r="L56" s="833">
        <f>I56*E56/10000</f>
        <v>23.910136007633401</v>
      </c>
      <c r="M56" s="833">
        <f>K56*F56/10000</f>
        <v>45.400404086515557</v>
      </c>
      <c r="N56" s="833">
        <f>L56+M56</f>
        <v>69.310540094148962</v>
      </c>
      <c r="R56" s="38">
        <f>BE46</f>
        <v>12290.973451327434</v>
      </c>
      <c r="S56" s="38">
        <f>AZ46</f>
        <v>0</v>
      </c>
      <c r="T56" s="832">
        <f>S56-R56</f>
        <v>-12290.973451327434</v>
      </c>
      <c r="U56" s="822">
        <f>T56*F56/10000</f>
        <v>-186.53165503469856</v>
      </c>
      <c r="V56" s="832">
        <f>S56-S21</f>
        <v>-9446.1538461538457</v>
      </c>
      <c r="W56" s="832">
        <f>V56*F56/10000</f>
        <v>-143.35778346711521</v>
      </c>
      <c r="X56" s="872"/>
      <c r="Y56"/>
      <c r="Z56"/>
      <c r="AA56"/>
      <c r="AB56"/>
      <c r="AC56"/>
      <c r="AD56" s="902">
        <f>SUM(AD53:AD55)</f>
        <v>0</v>
      </c>
      <c r="AE56"/>
      <c r="AF56" s="406" t="s">
        <v>601</v>
      </c>
      <c r="AG56" s="801">
        <f>SUMIFS('#采购&amp;股份关联'!8:8,'#采购&amp;股份关联'!$1:$1,$B$1,'#采购&amp;股份关联'!$2:$2,"&lt;="&amp;$B$2)</f>
        <v>0</v>
      </c>
      <c r="AH56" s="912">
        <f t="shared" si="22"/>
        <v>0</v>
      </c>
      <c r="AJ56" s="38">
        <f>H56</f>
        <v>17253.435287236993</v>
      </c>
      <c r="AK56" s="832">
        <f>AJ56-S21</f>
        <v>7807.281441083147</v>
      </c>
      <c r="AL56" s="832">
        <f>AK56*F56</f>
        <v>1184857.4356570949</v>
      </c>
    </row>
    <row r="57" spans="2:38">
      <c r="B57" s="807" t="s">
        <v>559</v>
      </c>
      <c r="C57" s="102">
        <f>SUMIFS('#销量数据'!93:93,'#销量数据'!1:1,B1-1,'#销量数据'!2:2,"&lt;="&amp;B2,'#销量数据'!3:3,"销量")</f>
        <v>106.77002760000002</v>
      </c>
      <c r="D57" s="102">
        <f>SUMIFS('#销量数据'!93:93,'#销量数据'!1:1,B1-1,'#销量数据'!2:2,"&lt;="&amp;B2,'#销量数据'!3:3,"收入")</f>
        <v>70.265921910000003</v>
      </c>
      <c r="E57" s="38">
        <f>D57/C57*10000</f>
        <v>6581.0530810427535</v>
      </c>
      <c r="F57" s="102">
        <f>SUMIFS('#销量数据'!93:93,'#销量数据'!1:1,B1,'#销量数据'!2:2,"&lt;="&amp;B2,'#销量数据'!3:3,"销量")</f>
        <v>123.66076390000001</v>
      </c>
      <c r="G57" s="102">
        <f>SUMIFS('#销量数据'!93:93,'#销量数据'!1:1,B1,'#销量数据'!2:2,"&lt;="&amp;B2,'#销量数据'!3:3,"收入")</f>
        <v>105.51039620269999</v>
      </c>
      <c r="H57" s="38">
        <f>G57/F57*10000</f>
        <v>8532.2452227468402</v>
      </c>
      <c r="I57" s="822">
        <f t="shared" si="23"/>
        <v>16.890736299999986</v>
      </c>
      <c r="J57" s="822">
        <f t="shared" si="23"/>
        <v>35.244474292699991</v>
      </c>
      <c r="K57" s="832">
        <f t="shared" si="23"/>
        <v>1951.1921417040867</v>
      </c>
      <c r="L57" s="833">
        <f>I57*E57/10000</f>
        <v>11.115883216819558</v>
      </c>
      <c r="M57" s="833">
        <f>K57*F57/10000</f>
        <v>24.12859107588044</v>
      </c>
      <c r="N57" s="833">
        <f>L57+M57</f>
        <v>35.244474292699998</v>
      </c>
      <c r="R57" s="38">
        <f>BF46</f>
        <v>6659.1150442477883</v>
      </c>
      <c r="S57" s="38">
        <f>BA46</f>
        <v>0</v>
      </c>
      <c r="T57" s="832">
        <f>S57-R57</f>
        <v>-6659.1150442477883</v>
      </c>
      <c r="U57" s="822">
        <f>T57*F57/10000</f>
        <v>-82.347125326966392</v>
      </c>
      <c r="V57" s="832">
        <f>S57-S22</f>
        <v>-4400</v>
      </c>
      <c r="W57" s="832">
        <f>V57*F57/10000</f>
        <v>-54.410736115999995</v>
      </c>
      <c r="X57" s="872"/>
      <c r="Y57"/>
      <c r="Z57"/>
      <c r="AA57"/>
      <c r="AB57"/>
      <c r="AC57"/>
      <c r="AD57" s="903">
        <f>W59+AD56</f>
        <v>-335.27325635000881</v>
      </c>
      <c r="AE57"/>
      <c r="AF57" s="406" t="s">
        <v>602</v>
      </c>
      <c r="AG57" s="801">
        <f>SUMIFS('#采购&amp;股份关联'!13:13,'#采购&amp;股份关联'!$1:$1,$B$1,'#采购&amp;股份关联'!$2:$2,"&lt;="&amp;$B$2)</f>
        <v>0</v>
      </c>
      <c r="AH57" s="912">
        <f t="shared" si="22"/>
        <v>0</v>
      </c>
      <c r="AJ57" s="38">
        <f>H57</f>
        <v>8532.2452227468402</v>
      </c>
      <c r="AK57" s="832">
        <f>AJ57-S22</f>
        <v>4132.2452227468402</v>
      </c>
      <c r="AL57" s="832">
        <f>AK57*F57</f>
        <v>510996.60086699994</v>
      </c>
    </row>
    <row r="58" spans="2:38" s="16" customFormat="1">
      <c r="B58" s="812" t="s">
        <v>603</v>
      </c>
      <c r="C58" s="813">
        <f>钢铁分析!C33</f>
        <v>241.76811635225047</v>
      </c>
      <c r="D58" s="813">
        <f>钢铁分析!D33</f>
        <v>262.79890884867575</v>
      </c>
      <c r="E58" s="814">
        <f>钢铁分析!E33</f>
        <v>10869.874523313236</v>
      </c>
      <c r="F58" s="813">
        <f>钢铁分析!I33</f>
        <v>275.42388972023599</v>
      </c>
      <c r="G58" s="813">
        <f>钢铁分析!J33</f>
        <v>367.35392323552469</v>
      </c>
      <c r="H58" s="814">
        <f>钢铁分析!K33</f>
        <v>13337.765420736283</v>
      </c>
      <c r="I58" s="834">
        <f t="shared" si="23"/>
        <v>33.655773367985518</v>
      </c>
      <c r="J58" s="834">
        <f t="shared" si="23"/>
        <v>104.55501438684894</v>
      </c>
      <c r="K58" s="835">
        <f t="shared" si="23"/>
        <v>2467.8908974230471</v>
      </c>
      <c r="L58" s="839">
        <f>SUM(L56:L57)</f>
        <v>35.026019224452959</v>
      </c>
      <c r="M58" s="839">
        <f>SUM(M56:M57)</f>
        <v>69.528995162396001</v>
      </c>
      <c r="N58" s="839"/>
      <c r="R58" s="21"/>
      <c r="S58" s="21"/>
      <c r="T58" s="861"/>
      <c r="U58" s="822"/>
      <c r="V58" s="832"/>
      <c r="W58" s="832"/>
      <c r="X58" s="873"/>
      <c r="Y58"/>
      <c r="Z58"/>
      <c r="AA58"/>
      <c r="AB58"/>
      <c r="AC58"/>
      <c r="AD58"/>
      <c r="AE58"/>
      <c r="AF58"/>
      <c r="AG58" s="523"/>
      <c r="AH58"/>
      <c r="AJ58" s="21"/>
      <c r="AK58" s="822"/>
      <c r="AL58" s="822"/>
    </row>
    <row r="59" spans="2:38" s="798" customFormat="1" ht="14.25" customHeight="1">
      <c r="B59" s="815" t="s">
        <v>604</v>
      </c>
      <c r="C59" s="816">
        <f>C57/C58</f>
        <v>0.44162162162209428</v>
      </c>
      <c r="D59" s="817"/>
      <c r="E59" s="818"/>
      <c r="F59" s="816">
        <f>F57/F58</f>
        <v>0.4489834343186766</v>
      </c>
      <c r="G59" s="817"/>
      <c r="H59" s="818"/>
      <c r="I59" s="836">
        <f>F59-C59</f>
        <v>7.361812696582315E-3</v>
      </c>
      <c r="J59" s="837"/>
      <c r="K59" s="838"/>
      <c r="L59" s="839">
        <f>L53+L54+L56+L57</f>
        <v>80.285021181012141</v>
      </c>
      <c r="M59" s="839">
        <f>M53+M54+M56+M57</f>
        <v>148.42194041303674</v>
      </c>
      <c r="N59" s="839">
        <f>L59+M59</f>
        <v>228.70696159404889</v>
      </c>
      <c r="O59" s="799" t="s">
        <v>605</v>
      </c>
      <c r="P59" s="799"/>
      <c r="Q59" s="799"/>
      <c r="R59" s="874"/>
      <c r="S59" s="874"/>
      <c r="T59" s="875"/>
      <c r="U59" s="839">
        <f>U53+U54+U56+U57</f>
        <v>-441.63566477147913</v>
      </c>
      <c r="V59" s="822"/>
      <c r="W59" s="832">
        <f>W53+W54+W56+W57</f>
        <v>-335.27325635000881</v>
      </c>
      <c r="X59" s="872"/>
      <c r="Y59" s="904" t="str">
        <f>IF(AD57&gt;=0,"减","加")&amp;"：价格影响"&amp;ABS(ROUND(AD57/10000,2))&amp;"亿元，其中销售价格"&amp;IF(W59&gt;=0,"增利","减利")&amp;ABS(ROUND(W59/10000,2))&amp;"亿元（镍钢"&amp;IF(V56&gt;=0,"增利","减利")&amp;ABS(ROUND(W56/10000,2))&amp;"亿元，铬钢"&amp;IF(V57&gt;=0,"增利","减利")&amp;ABS(ROUND(W57/10000,2))&amp;"亿元，碳钢"&amp;IF(V53&gt;=0,"增利","减利")&amp;ABS(ROUND(W53/10000,2))&amp;"亿元，硅钢"&amp;IF(V54&gt;=0,"增利","减利")&amp;ABS(ROUND(W54/10000,2))&amp;"亿元），原料价格"&amp;IF(AD56&gt;=0,"增利","减利")&amp;ABS(ROUND(AD56/10000,2))&amp;"亿元（镍"&amp;IF(AD53&gt;=0,"增利","减利")&amp;ABS(ROUND(AD53/10000,2))&amp;"亿元，高铬"&amp;IF(AD54&gt;=0,"增利","减利")&amp;ABS(ROUND(AD54/10000,2))&amp;"亿元，铁矿"&amp;IF(AD55&gt;=0,"增利","减利")&amp;ABS(ROUND(AD55/10000,2))&amp;"亿元）。"</f>
        <v>加：价格影响0.03亿元，其中销售价格减利0.03亿元（镍钢减利0.01亿元，铬钢减利0.01亿元，碳钢减利0.01亿元，硅钢减利0亿元），原料价格增利0亿元（镍增利0亿元，高铬增利0亿元，铁矿增利0亿元）。</v>
      </c>
      <c r="Z59" s="905"/>
      <c r="AA59" s="905"/>
      <c r="AB59" s="905"/>
      <c r="AC59" s="905"/>
      <c r="AD59" s="905"/>
      <c r="AE59"/>
      <c r="AF59"/>
      <c r="AG59" s="523"/>
      <c r="AH59"/>
      <c r="AJ59" s="874"/>
      <c r="AK59" s="837"/>
      <c r="AL59" s="837"/>
    </row>
    <row r="60" spans="2:38" s="16" customFormat="1">
      <c r="B60" s="812" t="s">
        <v>187</v>
      </c>
      <c r="C60" s="813">
        <f>C55+C58</f>
        <v>640.76977055225041</v>
      </c>
      <c r="D60" s="813">
        <f>钢铁分析!D36</f>
        <v>410.57722809807575</v>
      </c>
      <c r="E60" s="814">
        <f>钢铁分析!E36</f>
        <v>6407.5623877234075</v>
      </c>
      <c r="F60" s="813">
        <f>F55+F58</f>
        <v>803.09504882023589</v>
      </c>
      <c r="G60" s="813">
        <f>钢铁分析!J36</f>
        <v>639.28418969212464</v>
      </c>
      <c r="H60" s="814">
        <f>钢铁分析!K36</f>
        <v>7960.2556463428209</v>
      </c>
      <c r="I60" s="834">
        <f>F60-C60</f>
        <v>162.32527826798548</v>
      </c>
      <c r="J60" s="834">
        <f>G60-D60</f>
        <v>228.70696159404889</v>
      </c>
      <c r="K60" s="835">
        <f>H60-E60</f>
        <v>1552.6932586194134</v>
      </c>
      <c r="L60" s="834">
        <f>I60*E60/10000</f>
        <v>104.01093476066796</v>
      </c>
      <c r="M60" s="834">
        <f>K60*F60/10000</f>
        <v>124.6960268333809</v>
      </c>
      <c r="N60" s="834">
        <f>L60+M60</f>
        <v>228.70696159404886</v>
      </c>
      <c r="O60" s="16" t="s">
        <v>606</v>
      </c>
      <c r="R60"/>
      <c r="S60"/>
      <c r="T60"/>
      <c r="U60"/>
      <c r="V60"/>
      <c r="W60"/>
      <c r="X60"/>
      <c r="Y60" s="905"/>
      <c r="Z60" s="905"/>
      <c r="AA60" s="905"/>
      <c r="AB60" s="905"/>
      <c r="AC60" s="905"/>
      <c r="AD60" s="905"/>
      <c r="AE60"/>
      <c r="AF60"/>
      <c r="AG60" s="523"/>
      <c r="AH60"/>
      <c r="AJ60" s="21"/>
      <c r="AK60" s="822"/>
      <c r="AL60" s="832">
        <f>SUM(AL53:AL57)</f>
        <v>3040109.3334211586</v>
      </c>
    </row>
    <row r="61" spans="2:38">
      <c r="R61"/>
      <c r="S61"/>
      <c r="T61"/>
      <c r="U61"/>
      <c r="V61"/>
      <c r="W61"/>
      <c r="X61"/>
      <c r="Y61" s="905"/>
      <c r="Z61" s="905"/>
      <c r="AA61" s="905"/>
      <c r="AB61" s="905"/>
      <c r="AC61" s="905"/>
      <c r="AD61" s="905"/>
      <c r="AE61"/>
      <c r="AF61"/>
      <c r="AG61" s="523"/>
      <c r="AH61"/>
    </row>
    <row r="62" spans="2:38">
      <c r="B62" s="803" t="str">
        <f>钢铁分析!D44</f>
        <v>注：1、累计钢材产销率100.26%，其中碳钢100.24%，不锈钢100.29%。</v>
      </c>
      <c r="C62" s="803"/>
      <c r="D62" s="803"/>
      <c r="E62" s="803"/>
      <c r="F62" s="803"/>
      <c r="G62" s="803"/>
      <c r="H62" s="803"/>
      <c r="I62" s="803"/>
      <c r="J62" s="803"/>
      <c r="K62" s="803"/>
      <c r="L62" s="803"/>
      <c r="M62" s="803"/>
      <c r="N62" s="803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 s="523"/>
      <c r="AH62"/>
    </row>
    <row r="63" spans="2:38" ht="15.75">
      <c r="B63" s="803" t="str">
        <f>"    2、太钢本部钢材收入比同期"&amp;IF(J60&gt;=0,"增加","减少")&amp;ABS(ROUND(J60,2))&amp;"亿元，其中销量"&amp;IF(I60&lt;0,"减少","增加")&amp;ROUND(ABS(I60),2)&amp;"万吨，影响"&amp;IF(L59&gt;=0,"增收","减收")&amp;ABS(ROUND(L59,2))&amp;"亿元，价格影响"&amp;IF(M59&gt;=0,"增收","减收")&amp;ABS(ROUND(M59,2))&amp;"亿元，具体如下："</f>
        <v xml:space="preserve">    2、太钢本部钢材收入比同期增加228.71亿元，其中销量增加162.33万吨，影响增收80.29亿元，价格影响增收148.42亿元，具体如下：</v>
      </c>
      <c r="C63" s="803"/>
      <c r="D63" s="803"/>
      <c r="E63" s="803"/>
      <c r="F63" s="803"/>
      <c r="G63" s="803"/>
      <c r="H63" s="803"/>
      <c r="I63" s="803"/>
      <c r="J63" s="803"/>
      <c r="K63" s="803"/>
      <c r="L63" s="803"/>
      <c r="M63" s="803"/>
      <c r="N63" s="803"/>
      <c r="R63" s="876"/>
      <c r="X63"/>
      <c r="Y63"/>
      <c r="Z63"/>
      <c r="AA63"/>
      <c r="AB63"/>
      <c r="AC63"/>
      <c r="AD63"/>
      <c r="AE63"/>
      <c r="AF63"/>
      <c r="AG63" s="523"/>
      <c r="AH63"/>
    </row>
    <row r="64" spans="2:38" ht="15.75">
      <c r="B64" s="803" t="str">
        <f>"（1）碳钢销量比同期"&amp;IF(I55&gt;0,"增加","减少")&amp;ABS(ROUND(I55,2))&amp;"万吨，影响"&amp;IF(L55&gt;0,"增收","减收")&amp;ABS(ROUND(L55,2))&amp;"亿元；单价变动影响"&amp;IF(M55&gt;0,"增收","减收")&amp;ABS(ROUND(M55,2))&amp;"亿元。"</f>
        <v>（1）碳钢销量比同期增加128.67万吨，影响增收45.26亿元；单价变动影响增收78.89亿元。</v>
      </c>
      <c r="C64" s="803"/>
      <c r="D64" s="803"/>
      <c r="E64" s="803"/>
      <c r="F64" s="803"/>
      <c r="G64" s="803"/>
      <c r="H64" s="803"/>
      <c r="I64" s="803"/>
      <c r="J64" s="803"/>
      <c r="K64" s="803"/>
      <c r="L64" s="803"/>
      <c r="M64" s="803"/>
      <c r="N64" s="803"/>
      <c r="R64" s="876"/>
      <c r="X64"/>
      <c r="Y64"/>
      <c r="Z64"/>
      <c r="AA64"/>
      <c r="AB64"/>
      <c r="AC64"/>
      <c r="AD64"/>
      <c r="AE64"/>
      <c r="AF64"/>
      <c r="AG64" s="523"/>
      <c r="AH64"/>
    </row>
    <row r="65" spans="1:34">
      <c r="B65" s="803" t="str">
        <f>"    ①普碳钢销量同比"&amp;IF(I53&gt;=0,"增加","减少")&amp;ABS(ROUND(I53,2))&amp;"万吨，影响收入"&amp;IF(L53&gt;=0,"增加","减少")&amp;ABS(ROUND(L53,2))&amp;"亿元；单价同比"&amp;IF(K53&gt;=0,"升高","降低")&amp;ABS(ROUND(K53,0))&amp;"元/吨，影响收入"&amp;IF(M53&gt;=0,"增加","减少")&amp;ABS(ROUND(M53,2))&amp;"亿元。"</f>
        <v xml:space="preserve">    ①普碳钢销量同比增加123.37万吨，影响收入增加42.6亿元；单价同比升高1321元/吨，影响收入增加60.57亿元。</v>
      </c>
      <c r="C65" s="803"/>
      <c r="D65" s="803"/>
      <c r="E65" s="803"/>
      <c r="F65" s="803"/>
      <c r="G65" s="803"/>
      <c r="H65" s="803"/>
      <c r="I65" s="803"/>
      <c r="J65" s="803"/>
      <c r="K65" s="803"/>
      <c r="L65" s="803"/>
      <c r="M65" s="803"/>
      <c r="N65" s="803"/>
      <c r="X65"/>
      <c r="Y65"/>
      <c r="Z65"/>
      <c r="AA65"/>
      <c r="AB65"/>
      <c r="AC65"/>
      <c r="AD65"/>
      <c r="AE65"/>
      <c r="AF65"/>
      <c r="AG65" s="523"/>
      <c r="AH65"/>
    </row>
    <row r="66" spans="1:34">
      <c r="B66" s="803" t="str">
        <f>"    ②硅钢销量同比"&amp;IF(I54&gt;=0,"增加","减少")&amp;ABS(ROUND(I54,2))&amp;"万吨，影响收入"&amp;IF(L54&gt;=0,"增加","减少")&amp;ABS(ROUND(L54,2))&amp;"亿元；单价同比"&amp;IF(K54&gt;=0,"升高","降低")&amp;ABS(ROUND(K54,0))&amp;"元/吨，影响收入"&amp;IF(M54&gt;=0,"增加","减少")&amp;ABS(ROUND(M54,2))&amp;"亿元。"</f>
        <v xml:space="preserve">    ②硅钢销量同比增加5.3万吨，影响收入增加2.66亿元；单价同比升高2648元/吨，影响收入增加18.33亿元。</v>
      </c>
      <c r="C66" s="803"/>
      <c r="D66" s="803"/>
      <c r="E66" s="803"/>
      <c r="F66" s="803"/>
      <c r="G66" s="803"/>
      <c r="H66" s="803"/>
      <c r="I66" s="803"/>
      <c r="J66" s="803" t="s">
        <v>1103</v>
      </c>
      <c r="K66" s="803"/>
      <c r="L66" s="803"/>
      <c r="M66" s="803"/>
      <c r="N66" s="803"/>
      <c r="X66"/>
      <c r="Y66"/>
      <c r="Z66"/>
      <c r="AA66"/>
      <c r="AB66"/>
      <c r="AC66"/>
      <c r="AD66"/>
      <c r="AE66"/>
      <c r="AF66"/>
      <c r="AG66" s="523"/>
      <c r="AH66"/>
    </row>
    <row r="67" spans="1:34">
      <c r="B67" s="803" t="str">
        <f>"（2）不锈钢销量比同期"&amp;IF(I58&gt;0,"增加","减少")&amp;ABS(ROUND(I58,2))&amp;"万吨，影响"&amp;IF(L58&gt;0,"增收","减收")&amp;ABS(ROUND(L58,2))&amp;"亿元；单价变动影响"&amp;IF(M58&gt;0,"增收","减收")&amp;ABS(ROUND(M58,2))&amp;"亿元。"</f>
        <v>（2）不锈钢销量比同期增加33.66万吨，影响增收35.03亿元；单价变动影响增收69.53亿元。</v>
      </c>
      <c r="C67" s="803"/>
      <c r="D67" s="803"/>
      <c r="E67" s="803"/>
      <c r="F67" s="803"/>
      <c r="G67" s="803"/>
      <c r="H67" s="803"/>
      <c r="I67" s="803"/>
      <c r="J67" s="803"/>
      <c r="K67" s="803"/>
      <c r="L67" s="803"/>
      <c r="M67" s="803"/>
      <c r="N67" s="803"/>
      <c r="X67"/>
      <c r="Y67"/>
      <c r="Z67"/>
      <c r="AA67"/>
      <c r="AB67"/>
      <c r="AC67"/>
      <c r="AD67"/>
      <c r="AE67"/>
      <c r="AF67"/>
      <c r="AG67" s="523"/>
      <c r="AH67"/>
    </row>
    <row r="68" spans="1:34">
      <c r="B68" s="803" t="str">
        <f>"    ①镍钢销量同比"&amp;IF(I56&gt;=0,"增加","减少")&amp;ABS(ROUND(I56,2))&amp;"万吨，影响收入"&amp;IF(L56&gt;=0,"增加","减少")&amp;ABS(ROUND(L56,2))&amp;"亿元；单价同比"&amp;IF(K56&gt;=0,"升高","降低")&amp;ABS(ROUND(K56,0))&amp;"元/吨，影响收入"&amp;IF(M56&gt;=0,"增加","减少")&amp;ABS(ROUND(M56,2))&amp;"亿元。"</f>
        <v xml:space="preserve">    ①镍钢销量同比增加16.77万吨，影响收入增加23.91亿元；单价同比升高2992元/吨，影响收入增加45.4亿元。</v>
      </c>
      <c r="C68" s="803"/>
      <c r="D68" s="803"/>
      <c r="E68" s="803"/>
      <c r="F68" s="803"/>
      <c r="G68" s="803"/>
      <c r="H68" s="803"/>
      <c r="I68" s="803"/>
      <c r="J68" s="803"/>
      <c r="K68" s="803"/>
      <c r="L68" s="803"/>
      <c r="M68" s="803"/>
      <c r="N68" s="803"/>
      <c r="X68"/>
      <c r="Y68"/>
      <c r="Z68"/>
      <c r="AA68"/>
      <c r="AB68"/>
      <c r="AC68"/>
      <c r="AD68"/>
      <c r="AE68"/>
      <c r="AF68"/>
      <c r="AG68" s="523"/>
      <c r="AH68"/>
    </row>
    <row r="69" spans="1:34">
      <c r="B69" s="803" t="str">
        <f>"    ②铬钢销量同比"&amp;IF(I57&gt;=0,"增加","减少")&amp;ABS(ROUND(I57,2))&amp;"万吨，影响收入"&amp;IF(L57&gt;=0,"增加","减少")&amp;ABS(ROUND(L57,2))&amp;"亿元；单价同比"&amp;IF(K57&gt;=0,"升高","降低")&amp;ABS(ROUND(K57,0))&amp;"元/吨，影响收入"&amp;IF(M57&gt;=0,"增加","减少")&amp;ABS(ROUND(M57,2))&amp;"亿元。"</f>
        <v xml:space="preserve">    ②铬钢销量同比增加16.89万吨，影响收入增加11.12亿元；单价同比升高1951元/吨，影响收入增加24.13亿元。</v>
      </c>
      <c r="C69" s="803"/>
      <c r="D69" s="803"/>
      <c r="E69" s="803"/>
      <c r="F69" s="803"/>
      <c r="G69" s="803"/>
      <c r="H69" s="803"/>
      <c r="I69" s="803"/>
      <c r="J69" s="803"/>
      <c r="K69" s="803"/>
      <c r="L69" s="803"/>
      <c r="M69" s="803"/>
      <c r="N69" s="803"/>
      <c r="X69"/>
      <c r="Y69"/>
      <c r="Z69"/>
      <c r="AA69"/>
      <c r="AB69"/>
      <c r="AC69"/>
      <c r="AD69"/>
      <c r="AE69"/>
      <c r="AF69"/>
      <c r="AG69" s="523"/>
      <c r="AH69"/>
    </row>
    <row r="70" spans="1:34" s="16" customFormat="1">
      <c r="AG70" s="53"/>
    </row>
    <row r="71" spans="1:34">
      <c r="A71" s="409" t="s">
        <v>56</v>
      </c>
      <c r="B71" s="406" t="str">
        <f>B2&amp;"月太钢本部产值完成"&amp;ABS(ROUND(H76,2))&amp;"亿元，同比"&amp;IF(J76&gt;=0,"增加","减少")&amp;ABS(ROUND(J76*100,2))&amp;"%，环比"&amp;IF(L76&gt;=0,"增加","减少")&amp;ABS(ROUND(L76*100,2))&amp;"%，其中太原地区产值完成"&amp;ABS(ROUND(H77,2))&amp;"亿元，同比"&amp;IF(J77&gt;=0,"增加","减少")&amp;ABS(ROUND(J77*100,2))&amp;"%，环比"&amp;IF(L77&gt;=0,"增加","减少")&amp;ABS(ROUND(L77*100,2))&amp;"%。"</f>
        <v>8月太钢本部产值完成120.56亿元，同比增加81.02%，环比增加0.11%，其中太原地区产值完成101.69亿元，同比增加84.1%，环比增加1.53%。</v>
      </c>
    </row>
    <row r="72" spans="1:34">
      <c r="B72" s="406" t="str">
        <f>"累计太钢本部产值完成"&amp;ABS(ROUND(M76,2))&amp;"亿元，同比"&amp;IF(O76&gt;=0,"增加","减少")&amp;ABS(ROUND(O76*100,2))&amp;"%，其中太原地区产值完成"&amp;ABS(ROUND(M77,2))&amp;"亿元，同比"&amp;IF(O77&gt;=0,"增加","减少")&amp;ABS(ROUND(O77*100,2))&amp;"%。"</f>
        <v>累计太钢本部产值完成871.02亿元，同比增加57.28%，其中太原地区产值完成720.07亿元，同比增加54.25%。</v>
      </c>
    </row>
    <row r="73" spans="1:34" s="53" customFormat="1">
      <c r="B73" s="2675" t="s">
        <v>3</v>
      </c>
      <c r="C73" s="2591" t="str">
        <f>B1-1&amp;"年"</f>
        <v>2020年</v>
      </c>
      <c r="D73" s="2592"/>
      <c r="E73" s="2593"/>
      <c r="F73" s="2675" t="str">
        <f>F9</f>
        <v>2021年</v>
      </c>
      <c r="G73" s="2675"/>
      <c r="H73" s="2675"/>
      <c r="I73" s="2675"/>
      <c r="J73" s="2675"/>
      <c r="K73" s="2675"/>
      <c r="L73" s="2675"/>
      <c r="M73" s="2675"/>
      <c r="N73" s="2675"/>
      <c r="O73" s="2675"/>
      <c r="P73" s="840"/>
      <c r="Q73" s="840"/>
    </row>
    <row r="74" spans="1:34" s="53" customFormat="1">
      <c r="B74" s="2675"/>
      <c r="C74" s="2685" t="s">
        <v>4</v>
      </c>
      <c r="D74" s="2685" t="str">
        <f>B2&amp;"月"</f>
        <v>8月</v>
      </c>
      <c r="E74" s="2685" t="s">
        <v>5</v>
      </c>
      <c r="F74" s="2675" t="s">
        <v>58</v>
      </c>
      <c r="G74" s="2675" t="str">
        <f>G10</f>
        <v>7月</v>
      </c>
      <c r="H74" s="2675" t="str">
        <f>H10</f>
        <v>8月</v>
      </c>
      <c r="I74" s="2675" t="s">
        <v>8</v>
      </c>
      <c r="J74" s="2675"/>
      <c r="K74" s="2675" t="s">
        <v>7</v>
      </c>
      <c r="L74" s="2675"/>
      <c r="M74" s="2675" t="s">
        <v>5</v>
      </c>
      <c r="N74" s="2675" t="s">
        <v>8</v>
      </c>
      <c r="O74" s="2675"/>
      <c r="P74" s="840"/>
      <c r="Q74" s="840"/>
    </row>
    <row r="75" spans="1:34" s="53" customFormat="1">
      <c r="B75" s="2675"/>
      <c r="C75" s="2686"/>
      <c r="D75" s="2686"/>
      <c r="E75" s="2686"/>
      <c r="F75" s="2675"/>
      <c r="G75" s="2675"/>
      <c r="H75" s="2675"/>
      <c r="I75" s="21" t="s">
        <v>59</v>
      </c>
      <c r="J75" s="21" t="s">
        <v>60</v>
      </c>
      <c r="K75" s="21" t="s">
        <v>59</v>
      </c>
      <c r="L75" s="21" t="s">
        <v>60</v>
      </c>
      <c r="M75" s="2675"/>
      <c r="N75" s="21" t="s">
        <v>59</v>
      </c>
      <c r="O75" s="21" t="s">
        <v>60</v>
      </c>
      <c r="P75" s="840"/>
      <c r="Q75" s="840"/>
      <c r="R75" s="801" t="s">
        <v>610</v>
      </c>
    </row>
    <row r="76" spans="1:34">
      <c r="B76" s="807" t="s">
        <v>1244</v>
      </c>
      <c r="C76" s="102">
        <f>SUMIFS('#产值'!3:3,'#产值'!$1:$1,$B$1-1)</f>
        <v>864.85689999999977</v>
      </c>
      <c r="D76" s="102">
        <f>SUMIFS('#产值'!3:3,'#产值'!$1:$1,$B$1-1,'#产值'!$2:$2,$B$2)</f>
        <v>66.599999999999994</v>
      </c>
      <c r="E76" s="102">
        <f>SUMIFS('#产值'!3:3,'#产值'!$1:$1,$B$1-1,'#产值'!$2:$2,"&lt;="&amp;$B$2)</f>
        <v>553.80689999999993</v>
      </c>
      <c r="F76" s="23">
        <v>949</v>
      </c>
      <c r="G76" s="102">
        <f>SUMIFS('#产值'!3:3,'#产值'!$1:$1,$E$1,'#产值'!$2:$2,$E$2)</f>
        <v>120.43259999999999</v>
      </c>
      <c r="H76" s="102">
        <f>SUMIFS('#产值'!3:3,'#产值'!$1:$1,$B$1,'#产值'!$2:$2,$B$2)</f>
        <v>120.55999999999999</v>
      </c>
      <c r="I76" s="822">
        <f>H76-D76</f>
        <v>53.959999999999994</v>
      </c>
      <c r="J76" s="935">
        <f>I76/D76</f>
        <v>0.81021021021021022</v>
      </c>
      <c r="K76" s="822">
        <f>H76-G76</f>
        <v>0.12739999999999441</v>
      </c>
      <c r="L76" s="935">
        <f>K76/G76</f>
        <v>1.0578531062187017E-3</v>
      </c>
      <c r="M76" s="102">
        <f>SUMIFS('#产值'!3:3,'#产值'!$1:$1,$B$1,'#产值'!$2:$2,"&lt;="&amp;$B$2)</f>
        <v>871.02249999999992</v>
      </c>
      <c r="N76" s="822">
        <f>M76-E76</f>
        <v>317.21559999999999</v>
      </c>
      <c r="O76" s="935">
        <f>N76/E76</f>
        <v>0.57279098544998275</v>
      </c>
      <c r="P76" s="936"/>
      <c r="Q76" s="936"/>
      <c r="R76" s="801">
        <f>SUMIFS('#产值'!3:3,'#产值'!$1:$1,$B$1,'#产值'!$2:$2,"&lt;="&amp;$B$2-1)</f>
        <v>750.46249999999998</v>
      </c>
    </row>
    <row r="77" spans="1:34">
      <c r="B77" s="807" t="s">
        <v>63</v>
      </c>
      <c r="C77" s="102">
        <f>SUMIFS('#产值'!4:4,'#产值'!$1:$1,$B$1-1)</f>
        <v>729.44259999999997</v>
      </c>
      <c r="D77" s="102">
        <f>SUMIFS('#产值'!4:4,'#产值'!$1:$1,$B$1-1,'#产值'!$2:$2,$B$2)</f>
        <v>55.236699999999999</v>
      </c>
      <c r="E77" s="102">
        <f>SUMIFS('#产值'!4:4,'#产值'!$1:$1,$B$1-1,'#产值'!$2:$2,"&lt;="&amp;$B$2)</f>
        <v>466.83260000000001</v>
      </c>
      <c r="F77" s="23">
        <v>800</v>
      </c>
      <c r="G77" s="102">
        <f>SUMIFS('#产值'!4:4,'#产值'!$1:$1,$E$1,'#产值'!$2:$2,$E$2)</f>
        <v>100.1558</v>
      </c>
      <c r="H77" s="102">
        <f>SUMIFS('#产值'!4:4,'#产值'!$1:$1,$B$1,'#产值'!$2:$2,$B$2)</f>
        <v>101.69</v>
      </c>
      <c r="I77" s="822">
        <f>H77-D77</f>
        <v>46.453299999999999</v>
      </c>
      <c r="J77" s="935">
        <f>I77/D77</f>
        <v>0.84098615594342163</v>
      </c>
      <c r="K77" s="822">
        <f>H77-G77</f>
        <v>1.5341999999999985</v>
      </c>
      <c r="L77" s="935">
        <f>K77/G77</f>
        <v>1.5318134346687846E-2</v>
      </c>
      <c r="M77" s="102">
        <f>SUMIFS('#产值'!4:4,'#产值'!$1:$1,$B$1,'#产值'!$2:$2,"&lt;="&amp;$B$2)</f>
        <v>720.07109999999989</v>
      </c>
      <c r="N77" s="822">
        <f>M77-E77</f>
        <v>253.23849999999987</v>
      </c>
      <c r="O77" s="935">
        <f>N77/E77</f>
        <v>0.54246104492274072</v>
      </c>
      <c r="P77"/>
      <c r="Q77"/>
      <c r="R77" s="801">
        <f>SUMIFS('#产值'!4:4,'#产值'!$1:$1,$B$1,'#产值'!$2:$2,"&lt;="&amp;$B$2-1)</f>
        <v>618.38109999999995</v>
      </c>
    </row>
    <row r="78" spans="1:34">
      <c r="P78"/>
      <c r="Q78"/>
      <c r="R78" s="801" t="s">
        <v>611</v>
      </c>
    </row>
    <row r="79" spans="1:34">
      <c r="A79" s="921" t="s">
        <v>53</v>
      </c>
      <c r="B79" s="922" t="s">
        <v>54</v>
      </c>
      <c r="C79" s="923"/>
      <c r="D79" s="923"/>
      <c r="E79" s="923"/>
      <c r="F79" s="923"/>
      <c r="G79" s="923"/>
      <c r="H79" s="924">
        <f>H77-H81</f>
        <v>-3.4000000000000057</v>
      </c>
      <c r="I79" s="923"/>
      <c r="J79" s="923"/>
      <c r="K79" s="923"/>
      <c r="L79" s="923"/>
      <c r="M79" s="924">
        <f>M77-M81</f>
        <v>-1.7000000000001592</v>
      </c>
      <c r="N79" s="923"/>
      <c r="O79" s="923"/>
      <c r="P79"/>
      <c r="Q79"/>
      <c r="R79" s="801"/>
    </row>
    <row r="80" spans="1:34">
      <c r="B80" s="922" t="s">
        <v>61</v>
      </c>
      <c r="C80" s="925">
        <f>SUMIFS('#产值'!6:6,'#产值'!$1:$1,$B$1-1)</f>
        <v>880.75689999999997</v>
      </c>
      <c r="D80" s="926">
        <f>SUMIFS('#产值'!6:6,'#产值'!$1:$1,$B$1-1,'#产值'!$2:$2,$B$2)</f>
        <v>66.599999999999994</v>
      </c>
      <c r="E80" s="926">
        <f>SUMIFS('#产值'!6:6,'#产值'!$1:$1,$B$1-1,'#产值'!$2:$2,"&lt;="&amp;$B$2)</f>
        <v>562.80689999999993</v>
      </c>
      <c r="F80" s="923"/>
      <c r="G80" s="923">
        <f>SUMIFS('#产值'!6:6,'#产值'!$1:$1,$E$1,'#产值'!$2:$2,$E$2)</f>
        <v>120.43259999999999</v>
      </c>
      <c r="H80" s="926">
        <f>SUMIFS('#产值'!6:6,'#产值'!$1:$1,$B$1,'#产值'!$2:$2,$B$2)</f>
        <v>123.96</v>
      </c>
      <c r="I80" s="923">
        <f>H80-D80</f>
        <v>57.36</v>
      </c>
      <c r="J80" s="937">
        <f>I80/D80</f>
        <v>0.86126126126126135</v>
      </c>
      <c r="K80" s="923"/>
      <c r="L80" s="923"/>
      <c r="M80" s="926">
        <f>H80+R80</f>
        <v>872.72249999999997</v>
      </c>
      <c r="N80" s="923">
        <f>M80-E80</f>
        <v>309.91560000000004</v>
      </c>
      <c r="O80" s="937">
        <f>N80/E80</f>
        <v>0.55066062622899625</v>
      </c>
      <c r="P80"/>
      <c r="Q80"/>
      <c r="R80" s="801">
        <f>SUMIFS('#产值'!6:6,'#产值'!$1:$1,$B$1,'#产值'!$2:$2,"&lt;="&amp;$B$2-1)</f>
        <v>748.76249999999993</v>
      </c>
    </row>
    <row r="81" spans="1:34">
      <c r="B81" s="922" t="s">
        <v>63</v>
      </c>
      <c r="C81" s="925">
        <f>SUMIFS('#产值'!7:7,'#产值'!$1:$1,$B$1-1)</f>
        <v>745.33759999999995</v>
      </c>
      <c r="D81" s="926">
        <f>SUMIFS('#产值'!7:7,'#产值'!$1:$1,$B$1-1,'#产值'!$2:$2,$B$2)</f>
        <v>55.236699999999999</v>
      </c>
      <c r="E81" s="926">
        <f>SUMIFS('#产值'!7:7,'#产值'!$1:$1,$B$1-1,'#产值'!$2:$2,"&lt;="&amp;$B$2)</f>
        <v>475.83260000000001</v>
      </c>
      <c r="F81" s="923"/>
      <c r="G81" s="926">
        <f>SUMIFS('#产值'!7:7,'#产值'!$1:$1,$E$1,'#产值'!$2:$2,$E$2)</f>
        <v>100.1558</v>
      </c>
      <c r="H81" s="926">
        <f>SUMIFS('#产值'!7:7,'#产值'!$1:$1,$B$1,'#产值'!$2:$2,$B$2)</f>
        <v>105.09</v>
      </c>
      <c r="I81" s="923">
        <f>H81-D81</f>
        <v>49.853300000000004</v>
      </c>
      <c r="J81" s="937">
        <f>I81/D81</f>
        <v>0.9025394348322765</v>
      </c>
      <c r="K81" s="923"/>
      <c r="L81" s="923"/>
      <c r="M81" s="926">
        <f>H81+R81</f>
        <v>721.77110000000005</v>
      </c>
      <c r="N81" s="923">
        <f>M81-E81</f>
        <v>245.93850000000003</v>
      </c>
      <c r="O81" s="937">
        <f>N81/E81</f>
        <v>0.51685929043113066</v>
      </c>
      <c r="P81"/>
      <c r="Q81"/>
      <c r="R81" s="801">
        <f>SUMIFS('#产值'!7:7,'#产值'!$1:$1,$B$1,'#产值'!$2:$2,"&lt;="&amp;$B$2-1)</f>
        <v>616.68110000000001</v>
      </c>
      <c r="AH81" s="406">
        <v>0</v>
      </c>
    </row>
    <row r="82" spans="1:34">
      <c r="B82" s="927" t="str">
        <f>B2&amp;"月份合并产值完成"&amp;ABS(ROUND(H76,2))&amp;"亿元，太原地区产值完成"&amp;ABS(ROUND(H77,2))&amp;"亿元，建议太原地区："</f>
        <v>8月份合并产值完成120.56亿元，太原地区产值完成101.69亿元，建议太原地区：</v>
      </c>
      <c r="C82" s="927"/>
      <c r="D82" s="927"/>
      <c r="E82" s="927"/>
      <c r="F82" s="927"/>
      <c r="G82" s="927"/>
      <c r="H82" s="927"/>
      <c r="I82" s="927"/>
      <c r="J82" s="927"/>
      <c r="K82" s="927"/>
      <c r="L82" s="927"/>
      <c r="M82" s="927"/>
      <c r="N82" s="927"/>
      <c r="O82" s="927"/>
      <c r="P82"/>
      <c r="Q82"/>
      <c r="AH82" s="406">
        <v>0</v>
      </c>
    </row>
    <row r="83" spans="1:34">
      <c r="B83" s="927" t="str">
        <f>"按照当月"&amp;ABS(ROUND(H81,2))&amp;"亿元报出，比同期"&amp;ABS(ROUND(D81,2))&amp;"亿元"&amp;IF(I81&gt;=0,"增加","减少")&amp;ABS(ROUND(I81,2))&amp;"亿元,"&amp;IF(J81&gt;=0,"增幅","降幅")&amp;ABS(ROUND(J81*100,2))&amp;"%。"</f>
        <v>按照当月105.09亿元报出，比同期55.24亿元增加49.85亿元,增幅90.25%。</v>
      </c>
      <c r="C83" s="927"/>
      <c r="D83" s="927"/>
      <c r="E83" s="927"/>
      <c r="F83" s="927"/>
      <c r="G83" s="927"/>
      <c r="H83" s="927"/>
      <c r="I83" s="927"/>
      <c r="J83" s="927"/>
      <c r="K83" s="927"/>
      <c r="L83" s="927"/>
      <c r="M83" s="927"/>
      <c r="N83" s="927"/>
      <c r="O83" s="927"/>
      <c r="P83"/>
      <c r="Q83"/>
      <c r="AH83" s="406">
        <v>0</v>
      </c>
    </row>
    <row r="84" spans="1:34" ht="11.25" customHeight="1">
      <c r="B84" s="927" t="str">
        <f>"累计报出"&amp;ABS(ROUND(M81,2))&amp;"亿元，比同期"&amp;ABS(ROUND(E81,2))&amp;"亿元"&amp;IF(N81&gt;=0,"增加","减少")&amp;ABS(ROUND(N81,2))&amp;"亿元，"&amp;IF(O81&gt;=0,"增幅","降幅")&amp;ABS(ROUND(O81*100,2))&amp;"%。"</f>
        <v>累计报出721.77亿元，比同期475.83亿元增加245.94亿元，增幅51.69%。</v>
      </c>
      <c r="C84" s="927"/>
      <c r="D84" s="927"/>
      <c r="E84" s="927"/>
      <c r="F84" s="927"/>
      <c r="G84" s="927"/>
      <c r="H84" s="927"/>
      <c r="I84" s="927"/>
      <c r="J84" s="927"/>
      <c r="K84" s="927"/>
      <c r="L84" s="927"/>
      <c r="M84" s="927"/>
      <c r="N84" s="927"/>
      <c r="O84" s="927"/>
      <c r="P84"/>
      <c r="Q84"/>
      <c r="AH84" s="406">
        <v>0</v>
      </c>
    </row>
    <row r="85" spans="1:34">
      <c r="B85" s="927" t="str">
        <f>"累计留存"&amp;ROUND(M79,2)&amp;"亿元。"</f>
        <v>累计留存-1.7亿元。</v>
      </c>
      <c r="C85" s="927"/>
      <c r="D85" s="927"/>
      <c r="E85" s="927"/>
      <c r="F85" s="927"/>
      <c r="G85" s="927"/>
      <c r="H85" s="927"/>
      <c r="I85" s="927"/>
      <c r="J85" s="927"/>
      <c r="K85" s="927"/>
      <c r="L85" s="927"/>
      <c r="M85" s="927"/>
      <c r="N85" s="927"/>
      <c r="O85" s="927"/>
      <c r="P85"/>
      <c r="Q85"/>
      <c r="AH85" s="406">
        <v>0</v>
      </c>
    </row>
    <row r="86" spans="1:34">
      <c r="P86"/>
      <c r="Q86"/>
      <c r="AH86" s="406">
        <v>0</v>
      </c>
    </row>
    <row r="87" spans="1:34" s="53" customFormat="1">
      <c r="A87" s="409" t="s">
        <v>68</v>
      </c>
      <c r="B87" s="2706" t="s">
        <v>3</v>
      </c>
      <c r="C87" s="2707"/>
      <c r="D87" s="2687" t="str">
        <f>C9</f>
        <v>2020年</v>
      </c>
      <c r="E87" s="2688"/>
      <c r="F87" s="2687" t="str">
        <f>F9</f>
        <v>2021年</v>
      </c>
      <c r="G87" s="2689"/>
      <c r="H87" s="2689"/>
      <c r="I87" s="2689"/>
      <c r="J87" s="2689"/>
      <c r="K87" s="2689"/>
      <c r="L87" s="2689"/>
      <c r="M87" s="2689"/>
      <c r="N87" s="2688"/>
      <c r="P87"/>
      <c r="Q87"/>
      <c r="AH87" s="53">
        <v>0</v>
      </c>
    </row>
    <row r="88" spans="1:34" s="53" customFormat="1">
      <c r="B88" s="2708"/>
      <c r="C88" s="2709"/>
      <c r="D88" s="2047" t="str">
        <f>B2&amp;"月"</f>
        <v>8月</v>
      </c>
      <c r="E88" s="2047" t="s">
        <v>5</v>
      </c>
      <c r="F88" s="2047" t="s">
        <v>58</v>
      </c>
      <c r="G88" s="2047" t="str">
        <f>E2&amp;"月"</f>
        <v>7月</v>
      </c>
      <c r="H88" s="2047" t="str">
        <f>B2&amp;"月"</f>
        <v>8月</v>
      </c>
      <c r="I88" s="2047" t="s">
        <v>8</v>
      </c>
      <c r="J88" s="2047" t="s">
        <v>9</v>
      </c>
      <c r="K88" s="2047" t="s">
        <v>7</v>
      </c>
      <c r="L88" s="2047" t="s">
        <v>5</v>
      </c>
      <c r="M88" s="2047" t="s">
        <v>9</v>
      </c>
      <c r="N88" s="2047" t="s">
        <v>8</v>
      </c>
      <c r="P88"/>
      <c r="Q88"/>
      <c r="AH88" s="53">
        <v>0</v>
      </c>
    </row>
    <row r="89" spans="1:34">
      <c r="B89" s="2699" t="s">
        <v>612</v>
      </c>
      <c r="C89" s="2042" t="s">
        <v>13</v>
      </c>
      <c r="D89" s="2043">
        <f>D90+D94+D95</f>
        <v>109.19611380000001</v>
      </c>
      <c r="E89" s="2043">
        <f>E90+E94+E95</f>
        <v>863.39394432128006</v>
      </c>
      <c r="F89" s="2044">
        <f>F90+F94+F95</f>
        <v>1395</v>
      </c>
      <c r="G89" s="2043">
        <f>G90+G94+G95</f>
        <v>111.71344400000001</v>
      </c>
      <c r="H89" s="2043">
        <f>H90+H94+H95</f>
        <v>112.67918299999999</v>
      </c>
      <c r="I89" s="2045">
        <f>H89-D89</f>
        <v>3.4830691999999885</v>
      </c>
      <c r="J89" s="2045">
        <f>H89-F89/12</f>
        <v>-3.5708170000000052</v>
      </c>
      <c r="K89" s="2045">
        <f>H89-G89</f>
        <v>0.96573899999998503</v>
      </c>
      <c r="L89" s="2043">
        <f>SUMIFS('#产量数据'!162:162,'#产量数据'!$1:$1,$B$1,'#产量数据'!$2:$2,"&lt;="&amp;$B$2)/10000</f>
        <v>943.60609927236976</v>
      </c>
      <c r="M89" s="2045">
        <f t="shared" ref="M89:M133" si="24">L89-F89/12*$B$2</f>
        <v>13.606099272369761</v>
      </c>
      <c r="N89" s="2045">
        <f>L89-E89</f>
        <v>80.212154951089701</v>
      </c>
      <c r="O89" s="2076">
        <f>K89/G89</f>
        <v>8.644787640778355E-3</v>
      </c>
      <c r="P89" s="2076">
        <f>I89/D89</f>
        <v>3.1897373256153265E-2</v>
      </c>
      <c r="Q89"/>
      <c r="AH89" s="406">
        <v>0</v>
      </c>
    </row>
    <row r="90" spans="1:34">
      <c r="B90" s="2700"/>
      <c r="C90" s="396" t="s">
        <v>613</v>
      </c>
      <c r="D90" s="929">
        <f>SUMIFS('#产量数据'!163:163,'#产量数据'!$1:$1,$B$1-1,'#产量数据'!$2:$2,$B$2)/10000</f>
        <v>70.8185</v>
      </c>
      <c r="E90" s="929">
        <f>SUMIFS('#产量数据'!163:163,'#产量数据'!$1:$1,$B$1-1,'#产量数据'!$2:$2,"&lt;="&amp;$B$2)/10000</f>
        <v>552.17901002128008</v>
      </c>
      <c r="F90" s="397">
        <f>F91+F92+F93</f>
        <v>900</v>
      </c>
      <c r="G90" s="929">
        <f>SUMIFS('#产量数据'!163:163,'#产量数据'!$1:$1,$E$1,'#产量数据'!$2:$2,$E$2)/10000</f>
        <v>76.156000000000006</v>
      </c>
      <c r="H90" s="929">
        <f>SUMIFS('#产量数据'!163:163,'#产量数据'!$1:$1,$B$1,'#产量数据'!$2:$2,$B$2)/10000</f>
        <v>73.593299999999999</v>
      </c>
      <c r="I90" s="749">
        <f t="shared" ref="I90:I133" si="25">H90-D90</f>
        <v>2.774799999999999</v>
      </c>
      <c r="J90" s="749">
        <f t="shared" ref="J90:J133" si="26">H90-F90/12</f>
        <v>-1.4067000000000007</v>
      </c>
      <c r="K90" s="749">
        <f t="shared" ref="K90:K133" si="27">H90-G90</f>
        <v>-2.5627000000000066</v>
      </c>
      <c r="L90" s="929">
        <f>SUMIFS('#产量数据'!163:163,'#产量数据'!$1:$1,$B$1,'#产量数据'!$2:$2,"&lt;="&amp;$B$2)/10000</f>
        <v>612.00540000000001</v>
      </c>
      <c r="M90" s="749">
        <f t="shared" si="24"/>
        <v>12.005400000000009</v>
      </c>
      <c r="N90" s="749">
        <f t="shared" ref="N90:N133" si="28">L90-E90</f>
        <v>59.826389978719931</v>
      </c>
      <c r="P90"/>
      <c r="Q90"/>
      <c r="AH90" s="406">
        <v>0</v>
      </c>
    </row>
    <row r="91" spans="1:34" hidden="1">
      <c r="B91" s="2700"/>
      <c r="C91" s="396" t="s">
        <v>614</v>
      </c>
      <c r="D91" s="929">
        <f>SUMIFS('#产量数据'!164:164,'#产量数据'!$1:$1,$B$1-1,'#产量数据'!$2:$2,$B$2)/10000</f>
        <v>65.712699999999998</v>
      </c>
      <c r="E91" s="929">
        <f>SUMIFS('#产量数据'!164:164,'#产量数据'!$1:$1,$B$1-1,'#产量数据'!$2:$2,"&lt;="&amp;$B$2)/10000</f>
        <v>521.62150802127996</v>
      </c>
      <c r="F91" s="397">
        <v>675</v>
      </c>
      <c r="G91" s="929">
        <f>SUMIFS('#产量数据'!164:164,'#产量数据'!$1:$1,$E$1,'#产量数据'!$2:$2,$E$2)/10000</f>
        <v>69.357100000000003</v>
      </c>
      <c r="H91" s="929">
        <f>SUMIFS('#产量数据'!164:164,'#产量数据'!$1:$1,$B$1,'#产量数据'!$2:$2,$B$2)/10000</f>
        <v>49.513800000000003</v>
      </c>
      <c r="I91" s="749">
        <f>H91-D91</f>
        <v>-16.198899999999995</v>
      </c>
      <c r="J91" s="749">
        <f>H91-F91/12</f>
        <v>-6.7361999999999966</v>
      </c>
      <c r="K91" s="749">
        <f>H91-G91</f>
        <v>-19.843299999999999</v>
      </c>
      <c r="L91" s="929">
        <f>SUMIFS('#产量数据'!164:164,'#产量数据'!$1:$1,$B$1,'#产量数据'!$2:$2,"&lt;="&amp;$B$2)/10000</f>
        <v>512.16459999999995</v>
      </c>
      <c r="M91" s="749">
        <f>L91-F91/12*$B$2</f>
        <v>62.16459999999995</v>
      </c>
      <c r="N91" s="749">
        <f>L91-E91</f>
        <v>-9.4569080212800145</v>
      </c>
      <c r="P91"/>
      <c r="Q91"/>
      <c r="AH91" s="406">
        <v>0</v>
      </c>
    </row>
    <row r="92" spans="1:34" hidden="1">
      <c r="B92" s="2700"/>
      <c r="C92" s="396" t="s">
        <v>615</v>
      </c>
      <c r="D92" s="929">
        <f>SUMIFS('#产量数据'!165:165,'#产量数据'!$1:$1,$B$1-1,'#产量数据'!$2:$2,$B$2)/10000</f>
        <v>0</v>
      </c>
      <c r="E92" s="929">
        <f>SUMIFS('#产量数据'!165:165,'#产量数据'!$1:$1,$B$1-1,'#产量数据'!$2:$2,"&lt;="&amp;$B$2)/10000</f>
        <v>1.4734</v>
      </c>
      <c r="F92" s="397">
        <v>120</v>
      </c>
      <c r="G92" s="929">
        <f>SUMIFS('#产量数据'!165:165,'#产量数据'!$1:$1,$E$1,'#产量数据'!$2:$2,$E$2)/10000</f>
        <v>0</v>
      </c>
      <c r="H92" s="929">
        <f>SUMIFS('#产量数据'!165:165,'#产量数据'!$1:$1,$B$1,'#产量数据'!$2:$2,$B$2)/10000</f>
        <v>19.783100000000001</v>
      </c>
      <c r="I92" s="749">
        <f>H92-D92</f>
        <v>19.783100000000001</v>
      </c>
      <c r="J92" s="749">
        <f>H92-F92/12</f>
        <v>9.783100000000001</v>
      </c>
      <c r="K92" s="749">
        <f>H92-G92</f>
        <v>19.783100000000001</v>
      </c>
      <c r="L92" s="929">
        <f>SUMIFS('#产量数据'!165:165,'#产量数据'!$1:$1,$B$1,'#产量数据'!$2:$2,"&lt;="&amp;$B$2)/10000</f>
        <v>36.150700000000001</v>
      </c>
      <c r="M92" s="749">
        <f>L92-F92/12*$B$2</f>
        <v>-43.849299999999999</v>
      </c>
      <c r="N92" s="749">
        <f>L92-E92</f>
        <v>34.677300000000002</v>
      </c>
      <c r="P92"/>
      <c r="Q92"/>
      <c r="AH92" s="406">
        <v>0</v>
      </c>
    </row>
    <row r="93" spans="1:34">
      <c r="B93" s="2700"/>
      <c r="C93" s="396" t="s">
        <v>616</v>
      </c>
      <c r="D93" s="929">
        <f>SUMIFS('#产量数据'!166:166,'#产量数据'!$1:$1,$B$1-1,'#产量数据'!$2:$2,$B$2)/10000</f>
        <v>5.1058000000000003</v>
      </c>
      <c r="E93" s="929">
        <f>SUMIFS('#产量数据'!166:166,'#产量数据'!$1:$1,$B$1-1,'#产量数据'!$2:$2,"&lt;="&amp;$B$2)/10000</f>
        <v>29.084102000000001</v>
      </c>
      <c r="F93" s="397">
        <v>105</v>
      </c>
      <c r="G93" s="929">
        <f>SUMIFS('#产量数据'!166:166,'#产量数据'!$1:$1,$E$1,'#产量数据'!$2:$2,$E$2)/10000</f>
        <v>6.7988999999999997</v>
      </c>
      <c r="H93" s="929">
        <f>SUMIFS('#产量数据'!166:166,'#产量数据'!$1:$1,$B$1,'#产量数据'!$2:$2,$B$2)/10000</f>
        <v>4.2964000000000002</v>
      </c>
      <c r="I93" s="749">
        <f>H93-D93</f>
        <v>-0.80940000000000012</v>
      </c>
      <c r="J93" s="749">
        <f>H93-F93/12</f>
        <v>-4.4535999999999998</v>
      </c>
      <c r="K93" s="749">
        <f>H93-G93</f>
        <v>-2.5024999999999995</v>
      </c>
      <c r="L93" s="929">
        <f>SUMIFS('#产量数据'!166:166,'#产量数据'!$1:$1,$B$1,'#产量数据'!$2:$2,"&lt;="&amp;$B$2)/10000</f>
        <v>63.690100000000001</v>
      </c>
      <c r="M93" s="749">
        <f>L93-F93/12*$B$2</f>
        <v>-6.309899999999999</v>
      </c>
      <c r="N93" s="749">
        <f>L93-E93</f>
        <v>34.605998</v>
      </c>
      <c r="P93"/>
      <c r="Q93"/>
      <c r="AH93" s="406">
        <v>0</v>
      </c>
    </row>
    <row r="94" spans="1:34">
      <c r="B94" s="2700"/>
      <c r="C94" s="396" t="s">
        <v>617</v>
      </c>
      <c r="D94" s="929">
        <f>SUMIFS('#产量数据'!167:167,'#产量数据'!$1:$1,$B$1-1,'#产量数据'!$2:$2,$B$2)/10000</f>
        <v>24.754110799999999</v>
      </c>
      <c r="E94" s="929">
        <f>SUMIFS('#产量数据'!167:167,'#产量数据'!$1:$1,$B$1-1,'#产量数据'!$2:$2,"&lt;="&amp;$B$2)/10000</f>
        <v>207.3877823</v>
      </c>
      <c r="F94" s="397">
        <v>345</v>
      </c>
      <c r="G94" s="929">
        <f>SUMIFS('#产量数据'!167:167,'#产量数据'!$1:$1,$E$1,'#产量数据'!$2:$2,$E$2)/10000</f>
        <v>31.425944000000001</v>
      </c>
      <c r="H94" s="929">
        <f>SUMIFS('#产量数据'!167:167,'#产量数据'!$1:$1,$B$1,'#产量数据'!$2:$2,$B$2)/10000</f>
        <v>30.837482999999995</v>
      </c>
      <c r="I94" s="749">
        <f t="shared" si="25"/>
        <v>6.0833721999999959</v>
      </c>
      <c r="J94" s="749">
        <f t="shared" si="26"/>
        <v>2.0874829999999953</v>
      </c>
      <c r="K94" s="749">
        <f t="shared" si="27"/>
        <v>-0.5884610000000059</v>
      </c>
      <c r="L94" s="929">
        <f>SUMIFS('#产量数据'!167:167,'#产量数据'!$1:$1,$B$1,'#产量数据'!$2:$2,"&lt;="&amp;$B$2)/10000</f>
        <v>239.16158027236983</v>
      </c>
      <c r="M94" s="749">
        <f t="shared" si="24"/>
        <v>9.1615802723698323</v>
      </c>
      <c r="N94" s="749">
        <f t="shared" si="28"/>
        <v>31.773797972369834</v>
      </c>
      <c r="P94"/>
      <c r="Q94"/>
      <c r="AH94" s="406">
        <v>0</v>
      </c>
    </row>
    <row r="95" spans="1:34">
      <c r="B95" s="2700"/>
      <c r="C95" s="396" t="s">
        <v>1293</v>
      </c>
      <c r="D95" s="929">
        <f>SUMIFS('#产量数据'!168:168,'#产量数据'!$1:$1,$B$1-1,'#产量数据'!$2:$2,$B$2)/10000</f>
        <v>13.623502999999999</v>
      </c>
      <c r="E95" s="929">
        <f>SUMIFS('#产量数据'!168:168,'#产量数据'!$1:$1,$B$1-1,'#产量数据'!$2:$2,"&lt;="&amp;$B$2)/10000</f>
        <v>103.827152</v>
      </c>
      <c r="F95" s="397">
        <v>150</v>
      </c>
      <c r="G95" s="929">
        <f>SUMIFS('#产量数据'!168:168,'#产量数据'!$1:$1,$E$1,'#产量数据'!$2:$2,$E$2)/10000</f>
        <v>4.1315</v>
      </c>
      <c r="H95" s="929">
        <f>SUMIFS('#产量数据'!168:168,'#产量数据'!$1:$1,$B$1,'#产量数据'!$2:$2,$B$2)/10000</f>
        <v>8.2484000000000002</v>
      </c>
      <c r="I95" s="749">
        <f t="shared" si="25"/>
        <v>-5.3751029999999993</v>
      </c>
      <c r="J95" s="749">
        <f t="shared" si="26"/>
        <v>-4.2515999999999998</v>
      </c>
      <c r="K95" s="749">
        <f t="shared" si="27"/>
        <v>4.1169000000000002</v>
      </c>
      <c r="L95" s="929">
        <f>SUMIFS('#产量数据'!168:168,'#产量数据'!$1:$1,$B$1,'#产量数据'!$2:$2,"&lt;="&amp;$B$2)/10000</f>
        <v>92.439118999999991</v>
      </c>
      <c r="M95" s="749">
        <f t="shared" si="24"/>
        <v>-7.5608810000000091</v>
      </c>
      <c r="N95" s="749">
        <f t="shared" si="28"/>
        <v>-11.388033000000007</v>
      </c>
      <c r="AH95" s="406">
        <v>0</v>
      </c>
    </row>
    <row r="96" spans="1:34">
      <c r="B96" s="2700"/>
      <c r="C96" s="2042" t="s">
        <v>17</v>
      </c>
      <c r="D96" s="2043">
        <f>D97+D100</f>
        <v>34.9666</v>
      </c>
      <c r="E96" s="2043">
        <f>E97+E100</f>
        <v>318.77260799999999</v>
      </c>
      <c r="F96" s="2044">
        <f>F97+F100</f>
        <v>470</v>
      </c>
      <c r="G96" s="2043">
        <f>G97+G100</f>
        <v>22.642499999999998</v>
      </c>
      <c r="H96" s="2043">
        <f>H97+H100</f>
        <v>41.885199999999998</v>
      </c>
      <c r="I96" s="2045">
        <f t="shared" si="25"/>
        <v>6.9185999999999979</v>
      </c>
      <c r="J96" s="2045">
        <f t="shared" si="26"/>
        <v>2.7185333333333332</v>
      </c>
      <c r="K96" s="2045">
        <f t="shared" si="27"/>
        <v>19.242699999999999</v>
      </c>
      <c r="L96" s="2043">
        <f>SUMIFS('#产量数据'!169:169,'#产量数据'!$1:$1,$B$1,'#产量数据'!$2:$2,"&lt;="&amp;$B$2)/10000</f>
        <v>306.37299999999999</v>
      </c>
      <c r="M96" s="2045">
        <f t="shared" si="24"/>
        <v>-6.9603333333333239</v>
      </c>
      <c r="N96" s="2045">
        <f t="shared" si="28"/>
        <v>-12.399608000000001</v>
      </c>
      <c r="AH96" s="406">
        <v>0</v>
      </c>
    </row>
    <row r="97" spans="2:34">
      <c r="B97" s="2700"/>
      <c r="C97" s="396" t="s">
        <v>613</v>
      </c>
      <c r="D97" s="929">
        <f>SUMIFS('#产量数据'!170:170,'#产量数据'!$1:$1,$B$1-1,'#产量数据'!$2:$2,$B$2)/10000</f>
        <v>17.963000000000001</v>
      </c>
      <c r="E97" s="929">
        <f>SUMIFS('#产量数据'!170:170,'#产量数据'!$1:$1,$B$1-1,'#产量数据'!$2:$2,"&lt;="&amp;$B$2)/10000</f>
        <v>177.53330800000001</v>
      </c>
      <c r="F97" s="397">
        <v>260</v>
      </c>
      <c r="G97" s="929">
        <f>SUMIFS('#产量数据'!170:170,'#产量数据'!$1:$1,$E$1,'#产量数据'!$2:$2,$E$2)/10000</f>
        <v>21.617599999999999</v>
      </c>
      <c r="H97" s="929">
        <f>SUMIFS('#产量数据'!170:170,'#产量数据'!$1:$1,$B$1,'#产量数据'!$2:$2,$B$2)/10000</f>
        <v>22.856400000000001</v>
      </c>
      <c r="I97" s="749">
        <f t="shared" si="25"/>
        <v>4.8933999999999997</v>
      </c>
      <c r="J97" s="749">
        <f t="shared" si="26"/>
        <v>1.1897333333333329</v>
      </c>
      <c r="K97" s="749">
        <f t="shared" si="27"/>
        <v>1.2388000000000012</v>
      </c>
      <c r="L97" s="929">
        <f>SUMIFS('#产量数据'!170:170,'#产量数据'!$1:$1,$B$1,'#产量数据'!$2:$2,"&lt;="&amp;$B$2)/10000</f>
        <v>176.66499999999999</v>
      </c>
      <c r="M97" s="749">
        <f t="shared" si="24"/>
        <v>3.3316666666666492</v>
      </c>
      <c r="N97" s="749">
        <f t="shared" si="28"/>
        <v>-0.86830800000001318</v>
      </c>
      <c r="AH97" s="406">
        <v>0</v>
      </c>
    </row>
    <row r="98" spans="2:34" hidden="1">
      <c r="B98" s="2700"/>
      <c r="C98" s="396" t="s">
        <v>618</v>
      </c>
      <c r="D98" s="929">
        <f>SUMIFS('#产量数据'!171:171,'#产量数据'!$1:$1,$B$1-1,'#产量数据'!$2:$2,$B$2)/10000</f>
        <v>3.5871</v>
      </c>
      <c r="E98" s="929">
        <f>SUMIFS('#产量数据'!171:171,'#产量数据'!$1:$1,$B$1-1,'#产量数据'!$2:$2,"&lt;="&amp;$B$2)/10000</f>
        <v>160.855108</v>
      </c>
      <c r="F98" s="397">
        <v>260</v>
      </c>
      <c r="G98" s="929">
        <f>SUMIFS('#产量数据'!171:171,'#产量数据'!$1:$1,$E$1,'#产量数据'!$2:$2,$E$2)/10000</f>
        <v>21.617599999999999</v>
      </c>
      <c r="H98" s="929">
        <f>SUMIFS('#产量数据'!171:171,'#产量数据'!$1:$1,$B$1,'#产量数据'!$2:$2,$B$2)/10000</f>
        <v>22.856400000000001</v>
      </c>
      <c r="I98" s="749">
        <f>H98-D98</f>
        <v>19.269300000000001</v>
      </c>
      <c r="J98" s="749">
        <f>H98-F98/12</f>
        <v>1.1897333333333329</v>
      </c>
      <c r="K98" s="749">
        <f>H98-G98</f>
        <v>1.2388000000000012</v>
      </c>
      <c r="L98" s="929">
        <f>SUMIFS('#产量数据'!171:171,'#产量数据'!$1:$1,$B$1,'#产量数据'!$2:$2,"&lt;="&amp;$B$2)/10000</f>
        <v>176.66499999999999</v>
      </c>
      <c r="M98" s="749">
        <f>L98-F98/12*$B$2</f>
        <v>3.3316666666666492</v>
      </c>
      <c r="N98" s="749">
        <f>L98-E98</f>
        <v>15.809891999999991</v>
      </c>
      <c r="AH98" s="406">
        <v>0</v>
      </c>
    </row>
    <row r="99" spans="2:34" hidden="1">
      <c r="B99" s="2700"/>
      <c r="C99" s="396" t="s">
        <v>619</v>
      </c>
      <c r="D99" s="929">
        <f>SUMIFS('#产量数据'!172:172,'#产量数据'!$1:$1,$B$1-1,'#产量数据'!$2:$2,$B$2)/10000</f>
        <v>14.3759</v>
      </c>
      <c r="E99" s="929">
        <f>SUMIFS('#产量数据'!172:172,'#产量数据'!$1:$1,$B$1-1,'#产量数据'!$2:$2,"&lt;="&amp;$B$2)/10000</f>
        <v>16.6782</v>
      </c>
      <c r="F99" s="397">
        <v>0</v>
      </c>
      <c r="G99" s="929">
        <f>SUMIFS('#产量数据'!172:172,'#产量数据'!$1:$1,$E$1,'#产量数据'!$2:$2,$E$2)/10000</f>
        <v>0</v>
      </c>
      <c r="H99" s="929">
        <f>SUMIFS('#产量数据'!172:172,'#产量数据'!$1:$1,$B$1,'#产量数据'!$2:$2,$B$2)/10000</f>
        <v>0</v>
      </c>
      <c r="I99" s="749">
        <f>H99-D99</f>
        <v>-14.3759</v>
      </c>
      <c r="J99" s="749">
        <f>H99-F99/12</f>
        <v>0</v>
      </c>
      <c r="K99" s="749">
        <f>H99-G99</f>
        <v>0</v>
      </c>
      <c r="L99" s="929">
        <f>SUMIFS('#产量数据'!172:172,'#产量数据'!$1:$1,$B$1,'#产量数据'!$2:$2,"&lt;="&amp;$B$2)/10000</f>
        <v>0</v>
      </c>
      <c r="M99" s="749">
        <f>L99-F99/12*$B$2</f>
        <v>0</v>
      </c>
      <c r="N99" s="749">
        <f>L99-E99</f>
        <v>-16.6782</v>
      </c>
      <c r="AH99" s="406">
        <v>0</v>
      </c>
    </row>
    <row r="100" spans="2:34">
      <c r="B100" s="2700"/>
      <c r="C100" s="396" t="s">
        <v>1294</v>
      </c>
      <c r="D100" s="929">
        <f>SUMIFS('#产量数据'!173:173,'#产量数据'!$1:$1,$B$1-1,'#产量数据'!$2:$2,$B$2)/10000</f>
        <v>17.003599999999999</v>
      </c>
      <c r="E100" s="929">
        <f>SUMIFS('#产量数据'!173:173,'#产量数据'!$1:$1,$B$1-1,'#产量数据'!$2:$2,"&lt;="&amp;$B$2)/10000</f>
        <v>141.23929999999999</v>
      </c>
      <c r="F100" s="397">
        <v>210</v>
      </c>
      <c r="G100" s="929">
        <f>SUMIFS('#产量数据'!173:173,'#产量数据'!$1:$1,$E$1,'#产量数据'!$2:$2,$E$2)/10000</f>
        <v>1.0248999999999999</v>
      </c>
      <c r="H100" s="929">
        <f>SUMIFS('#产量数据'!173:173,'#产量数据'!$1:$1,$B$1,'#产量数据'!$2:$2,$B$2)/10000</f>
        <v>19.0288</v>
      </c>
      <c r="I100" s="749">
        <f t="shared" si="25"/>
        <v>2.0252000000000017</v>
      </c>
      <c r="J100" s="749">
        <f t="shared" si="26"/>
        <v>1.5288000000000004</v>
      </c>
      <c r="K100" s="749">
        <f t="shared" si="27"/>
        <v>18.003900000000002</v>
      </c>
      <c r="L100" s="929">
        <f>SUMIFS('#产量数据'!173:173,'#产量数据'!$1:$1,$B$1,'#产量数据'!$2:$2,"&lt;="&amp;$B$2)/10000</f>
        <v>129.708</v>
      </c>
      <c r="M100" s="749">
        <f t="shared" si="24"/>
        <v>-10.292000000000002</v>
      </c>
      <c r="N100" s="749">
        <f t="shared" si="28"/>
        <v>-11.531299999999987</v>
      </c>
      <c r="AH100" s="406">
        <v>0</v>
      </c>
    </row>
    <row r="101" spans="2:34">
      <c r="B101" s="2700"/>
      <c r="C101" s="2042" t="s">
        <v>18</v>
      </c>
      <c r="D101" s="2043">
        <f>SUMIFS('#产量数据'!174:174,'#产量数据'!$1:$1,$B$1-1,'#产量数据'!$2:$2,$B$2)/10000</f>
        <v>12.206814400000001</v>
      </c>
      <c r="E101" s="2043">
        <f>SUMIFS('#产量数据'!174:174,'#产量数据'!$1:$1,$B$1-1,'#产量数据'!$2:$2,"&lt;="&amp;$B$2)/10000</f>
        <v>109.81291280000001</v>
      </c>
      <c r="F101" s="2044">
        <f>F102+F103</f>
        <v>183</v>
      </c>
      <c r="G101" s="2043">
        <f>SUMIFS('#产量数据'!174:174,'#产量数据'!$1:$1,$E$1,'#产量数据'!$2:$2,$E$2)/10000</f>
        <v>11.888744000000001</v>
      </c>
      <c r="H101" s="2043">
        <f>SUMIFS('#产量数据'!174:174,'#产量数据'!$1:$1,$B$1,'#产量数据'!$2:$2,$B$2)/10000</f>
        <v>13.535964000000002</v>
      </c>
      <c r="I101" s="2045">
        <f t="shared" si="25"/>
        <v>1.3291496000000009</v>
      </c>
      <c r="J101" s="2045">
        <f t="shared" si="26"/>
        <v>-1.7140359999999983</v>
      </c>
      <c r="K101" s="2045">
        <f t="shared" si="27"/>
        <v>1.6472200000000008</v>
      </c>
      <c r="L101" s="2043">
        <f>SUMIFS('#产量数据'!174:174,'#产量数据'!$1:$1,$B$1,'#产量数据'!$2:$2,"&lt;="&amp;$B$2)/10000</f>
        <v>119.5096611</v>
      </c>
      <c r="M101" s="2045">
        <f t="shared" si="24"/>
        <v>-2.4903388999999976</v>
      </c>
      <c r="N101" s="2045">
        <f t="shared" si="28"/>
        <v>9.6967482999999959</v>
      </c>
      <c r="AH101" s="406">
        <v>0</v>
      </c>
    </row>
    <row r="102" spans="2:34">
      <c r="B102" s="2700"/>
      <c r="C102" s="930" t="s">
        <v>393</v>
      </c>
      <c r="D102" s="929">
        <f>SUMIFS('#产量数据'!175:175,'#产量数据'!$1:$1,$B$1-1,'#产量数据'!$2:$2,$B$2)/10000</f>
        <v>6.8670264000000012</v>
      </c>
      <c r="E102" s="929">
        <f>SUMIFS('#产量数据'!175:175,'#产量数据'!$1:$1,$B$1-1,'#产量数据'!$2:$2,"&lt;="&amp;$B$2)/10000</f>
        <v>67.727307799999991</v>
      </c>
      <c r="F102" s="397">
        <v>108</v>
      </c>
      <c r="G102" s="929">
        <f>SUMIFS('#产量数据'!175:175,'#产量数据'!$1:$1,$E$1,'#产量数据'!$2:$2,$E$2)/10000</f>
        <v>7.7852140000000016</v>
      </c>
      <c r="H102" s="929">
        <f>SUMIFS('#产量数据'!175:175,'#产量数据'!$1:$1,$B$1,'#产量数据'!$2:$2,$B$2)/10000</f>
        <v>9.2973350000000003</v>
      </c>
      <c r="I102" s="749">
        <f t="shared" si="25"/>
        <v>2.4303085999999992</v>
      </c>
      <c r="J102" s="749">
        <f t="shared" si="26"/>
        <v>0.29733500000000035</v>
      </c>
      <c r="K102" s="749">
        <f t="shared" si="27"/>
        <v>1.5121209999999987</v>
      </c>
      <c r="L102" s="929">
        <f>SUMIFS('#产量数据'!175:175,'#产量数据'!$1:$1,$B$1,'#产量数据'!$2:$2,"&lt;="&amp;$B$2)/10000</f>
        <v>75.522612099999989</v>
      </c>
      <c r="M102" s="749">
        <f t="shared" si="24"/>
        <v>3.5226120999999893</v>
      </c>
      <c r="N102" s="749">
        <f t="shared" si="28"/>
        <v>7.795304299999998</v>
      </c>
      <c r="AH102" s="406">
        <v>0</v>
      </c>
    </row>
    <row r="103" spans="2:34">
      <c r="B103" s="2700"/>
      <c r="C103" s="930" t="s">
        <v>394</v>
      </c>
      <c r="D103" s="929">
        <f>SUMIFS('#产量数据'!176:176,'#产量数据'!$1:$1,$B$1-1,'#产量数据'!$2:$2,$B$2)/10000</f>
        <v>5.3397879999999995</v>
      </c>
      <c r="E103" s="929">
        <f>SUMIFS('#产量数据'!176:176,'#产量数据'!$1:$1,$B$1-1,'#产量数据'!$2:$2,"&lt;="&amp;$B$2)/10000</f>
        <v>42.085605000000001</v>
      </c>
      <c r="F103" s="397">
        <v>75</v>
      </c>
      <c r="G103" s="929">
        <f>SUMIFS('#产量数据'!176:176,'#产量数据'!$1:$1,$E$1,'#产量数据'!$2:$2,$E$2)/10000</f>
        <v>4.1035300000000001</v>
      </c>
      <c r="H103" s="929">
        <f>SUMIFS('#产量数据'!176:176,'#产量数据'!$1:$1,$B$1,'#产量数据'!$2:$2,$B$2)/10000</f>
        <v>4.2386290000000004</v>
      </c>
      <c r="I103" s="749">
        <f t="shared" si="25"/>
        <v>-1.1011589999999991</v>
      </c>
      <c r="J103" s="749">
        <f t="shared" si="26"/>
        <v>-2.0113709999999996</v>
      </c>
      <c r="K103" s="749">
        <f t="shared" si="27"/>
        <v>0.1350990000000003</v>
      </c>
      <c r="L103" s="929">
        <f>SUMIFS('#产量数据'!176:176,'#产量数据'!$1:$1,$B$1,'#产量数据'!$2:$2,"&lt;="&amp;$B$2)/10000</f>
        <v>43.987048999999999</v>
      </c>
      <c r="M103" s="749">
        <f t="shared" si="24"/>
        <v>-6.012951000000001</v>
      </c>
      <c r="N103" s="749">
        <f t="shared" si="28"/>
        <v>1.9014439999999979</v>
      </c>
      <c r="AH103" s="406">
        <v>0</v>
      </c>
    </row>
    <row r="104" spans="2:34">
      <c r="B104" s="2700"/>
      <c r="C104" s="2042" t="s">
        <v>21</v>
      </c>
      <c r="D104" s="2043">
        <f>SUMIFS('#产量数据'!177:177,'#产量数据'!$1:$1,$B$1-1,'#产量数据'!$2:$2,$B$2)/10000</f>
        <v>1.4001940000000002</v>
      </c>
      <c r="E104" s="2043">
        <f>SUMIFS('#产量数据'!177:177,'#产量数据'!$1:$1,$B$1-1,'#产量数据'!$2:$2,"&lt;="&amp;$B$2)/10000</f>
        <v>10.511985699999999</v>
      </c>
      <c r="F104" s="2044">
        <v>21</v>
      </c>
      <c r="G104" s="2043">
        <f>SUMIFS('#产量数据'!177:177,'#产量数据'!$1:$1,$E$1,'#产量数据'!$2:$2,$E$2)/10000</f>
        <v>1.701986</v>
      </c>
      <c r="H104" s="2043">
        <f>SUMIFS('#产量数据'!177:177,'#产量数据'!$1:$1,$B$1,'#产量数据'!$2:$2,$B$2)/10000</f>
        <v>2.1553680000000002</v>
      </c>
      <c r="I104" s="2045">
        <f t="shared" si="25"/>
        <v>0.75517400000000001</v>
      </c>
      <c r="J104" s="2045">
        <f t="shared" si="26"/>
        <v>0.40536800000000017</v>
      </c>
      <c r="K104" s="2045">
        <f t="shared" si="27"/>
        <v>0.45338200000000017</v>
      </c>
      <c r="L104" s="2043">
        <f>SUMIFS('#产量数据'!177:177,'#产量数据'!$1:$1,$B$1,'#产量数据'!$2:$2,"&lt;="&amp;$B$2)/10000</f>
        <v>14.620949</v>
      </c>
      <c r="M104" s="2045">
        <f t="shared" si="24"/>
        <v>0.62094899999999953</v>
      </c>
      <c r="N104" s="2045">
        <f t="shared" si="28"/>
        <v>4.108963300000001</v>
      </c>
      <c r="AH104" s="406">
        <v>0</v>
      </c>
    </row>
    <row r="105" spans="2:34">
      <c r="B105" s="2700"/>
      <c r="C105" s="2042" t="s">
        <v>22</v>
      </c>
      <c r="D105" s="2043">
        <f>SUMIFS('#产量数据'!178:178,'#产量数据'!$1:$1,$B$1-1,'#产量数据'!$2:$2,$B$2)/10000</f>
        <v>0.13811950000000001</v>
      </c>
      <c r="E105" s="2043">
        <f>SUMIFS('#产量数据'!178:178,'#产量数据'!$1:$1,$B$1-1,'#产量数据'!$2:$2,"&lt;="&amp;$B$2)/10000</f>
        <v>1.0886802</v>
      </c>
      <c r="F105" s="2044">
        <v>2.1</v>
      </c>
      <c r="G105" s="2043">
        <f>SUMIFS('#产量数据'!178:178,'#产量数据'!$1:$1,$E$1,'#产量数据'!$2:$2,$E$2)/10000</f>
        <v>0.12619140000000001</v>
      </c>
      <c r="H105" s="2043">
        <f>SUMIFS('#产量数据'!178:178,'#产量数据'!$1:$1,$B$1,'#产量数据'!$2:$2,$B$2)/10000</f>
        <v>0.22787499999999999</v>
      </c>
      <c r="I105" s="2045">
        <f t="shared" si="25"/>
        <v>8.9755499999999988E-2</v>
      </c>
      <c r="J105" s="2045">
        <f t="shared" si="26"/>
        <v>5.2874999999999978E-2</v>
      </c>
      <c r="K105" s="2045">
        <f t="shared" si="27"/>
        <v>0.10168359999999999</v>
      </c>
      <c r="L105" s="2043">
        <f>SUMIFS('#产量数据'!178:178,'#产量数据'!$1:$1,$B$1,'#产量数据'!$2:$2,"&lt;="&amp;$B$2)/10000</f>
        <v>1.4402917</v>
      </c>
      <c r="M105" s="2045">
        <f t="shared" si="24"/>
        <v>4.0291699999999819E-2</v>
      </c>
      <c r="N105" s="2045">
        <f t="shared" si="28"/>
        <v>0.35161149999999997</v>
      </c>
      <c r="AH105" s="406">
        <v>0</v>
      </c>
    </row>
    <row r="106" spans="2:34">
      <c r="B106" s="2701"/>
      <c r="C106" s="2042" t="s">
        <v>23</v>
      </c>
      <c r="D106" s="2043">
        <f>SUMIFS('#产量数据'!179:179,'#产量数据'!$1:$1,$B$1-1,'#产量数据'!$2:$2,$B$2)/10000</f>
        <v>2.1250070000000001</v>
      </c>
      <c r="E106" s="2043">
        <f>SUMIFS('#产量数据'!179:179,'#产量数据'!$1:$1,$B$1-1,'#产量数据'!$2:$2,"&lt;="&amp;$B$2)/10000</f>
        <v>17.332814000000003</v>
      </c>
      <c r="F106" s="2044">
        <v>32</v>
      </c>
      <c r="G106" s="2043">
        <f>SUMIFS('#产量数据'!179:179,'#产量数据'!$1:$1,$E$1,'#产量数据'!$2:$2,$E$2)/10000</f>
        <v>2.3011619999999997</v>
      </c>
      <c r="H106" s="2043">
        <f>SUMIFS('#产量数据'!179:179,'#产量数据'!$1:$1,$B$1,'#产量数据'!$2:$2,$B$2)/10000</f>
        <v>2.42401</v>
      </c>
      <c r="I106" s="2045">
        <f t="shared" si="25"/>
        <v>0.29900299999999991</v>
      </c>
      <c r="J106" s="2045">
        <f t="shared" si="26"/>
        <v>-0.24265666666666652</v>
      </c>
      <c r="K106" s="2045">
        <f t="shared" si="27"/>
        <v>0.12284800000000029</v>
      </c>
      <c r="L106" s="2043">
        <f>SUMIFS('#产量数据'!179:179,'#产量数据'!$1:$1,$B$1,'#产量数据'!$2:$2,"&lt;="&amp;$B$2)/10000</f>
        <v>19.132846000000001</v>
      </c>
      <c r="M106" s="2045">
        <f t="shared" si="24"/>
        <v>-2.2004873333333315</v>
      </c>
      <c r="N106" s="2045">
        <f t="shared" si="28"/>
        <v>1.8000319999999981</v>
      </c>
      <c r="AH106" s="406">
        <v>0</v>
      </c>
    </row>
    <row r="107" spans="2:34">
      <c r="B107" s="2710" t="s">
        <v>620</v>
      </c>
      <c r="C107" s="2042" t="s">
        <v>395</v>
      </c>
      <c r="D107" s="2043">
        <f>SUMIFS('#产量数据'!180:180,'#产量数据'!$1:$1,$B$1-1,'#产量数据'!$2:$2,$B$2)/10000</f>
        <v>22.805399999999999</v>
      </c>
      <c r="E107" s="2043">
        <f>SUMIFS('#产量数据'!180:180,'#产量数据'!$1:$1,$B$1-1,'#产量数据'!$2:$2,"&lt;="&amp;$B$2)/10000</f>
        <v>203.1892</v>
      </c>
      <c r="F107" s="2044">
        <v>315</v>
      </c>
      <c r="G107" s="2043">
        <f>SUMIFS('#产量数据'!180:180,'#产量数据'!$1:$1,$E$1,'#产量数据'!$2:$2,$E$2)/10000</f>
        <v>26.874700000000001</v>
      </c>
      <c r="H107" s="2043">
        <f>SUMIFS('#产量数据'!180:180,'#产量数据'!$1:$1,$B$1,'#产量数据'!$2:$2,$B$2)/10000</f>
        <v>27.715</v>
      </c>
      <c r="I107" s="2045">
        <f t="shared" si="25"/>
        <v>4.9096000000000011</v>
      </c>
      <c r="J107" s="2045">
        <f t="shared" si="26"/>
        <v>1.4649999999999999</v>
      </c>
      <c r="K107" s="2045">
        <f t="shared" si="27"/>
        <v>0.84029999999999916</v>
      </c>
      <c r="L107" s="2043">
        <f>SUMIFS('#产量数据'!180:180,'#产量数据'!$1:$1,$B$1,'#产量数据'!$2:$2,"&lt;="&amp;$B$2)/10000</f>
        <v>212.9692</v>
      </c>
      <c r="M107" s="2045">
        <f t="shared" si="24"/>
        <v>2.9692000000000007</v>
      </c>
      <c r="N107" s="2045">
        <f t="shared" si="28"/>
        <v>9.7800000000000011</v>
      </c>
    </row>
    <row r="108" spans="2:34">
      <c r="B108" s="2710"/>
      <c r="C108" s="2042" t="s">
        <v>275</v>
      </c>
      <c r="D108" s="2043">
        <f>D109+D110</f>
        <v>64.636399999999995</v>
      </c>
      <c r="E108" s="2043">
        <f t="shared" ref="E108:N108" si="29">E109+E110</f>
        <v>636.923</v>
      </c>
      <c r="F108" s="2046">
        <f t="shared" si="29"/>
        <v>1588.9</v>
      </c>
      <c r="G108" s="2043">
        <f t="shared" si="29"/>
        <v>127.90950000000001</v>
      </c>
      <c r="H108" s="2043">
        <f t="shared" si="29"/>
        <v>135.65289999999999</v>
      </c>
      <c r="I108" s="2045">
        <f t="shared" si="29"/>
        <v>71.016500000000008</v>
      </c>
      <c r="J108" s="2045">
        <f t="shared" si="29"/>
        <v>3.2445666666666639</v>
      </c>
      <c r="K108" s="2045">
        <f t="shared" si="29"/>
        <v>7.7433999999999941</v>
      </c>
      <c r="L108" s="2043">
        <f t="shared" si="29"/>
        <v>1031.5030000000002</v>
      </c>
      <c r="M108" s="2045">
        <f t="shared" si="29"/>
        <v>-27.763666666666666</v>
      </c>
      <c r="N108" s="2045">
        <f t="shared" si="29"/>
        <v>394.58000000000004</v>
      </c>
    </row>
    <row r="109" spans="2:34">
      <c r="B109" s="2710"/>
      <c r="C109" s="1698" t="s">
        <v>1130</v>
      </c>
      <c r="D109" s="929">
        <f>SUMIFS('#产量数据'!181:181,'#产量数据'!$1:$1,$B$1-1,'#产量数据'!$2:$2,$B$2)/10000</f>
        <v>64.636399999999995</v>
      </c>
      <c r="E109" s="929">
        <f>SUMIFS('#产量数据'!181:181,'#产量数据'!$1:$1,$B$1-1,'#产量数据'!$2:$2,"&lt;="&amp;$B$2)/10000</f>
        <v>636.923</v>
      </c>
      <c r="F109" s="397">
        <v>1100</v>
      </c>
      <c r="G109" s="929">
        <f>SUMIFS('#产量数据'!181:181,'#产量数据'!$1:$1,$E$1,'#产量数据'!$2:$2,$E$2)/10000</f>
        <v>99.669300000000007</v>
      </c>
      <c r="H109" s="929">
        <f>SUMIFS('#产量数据'!181:181,'#产量数据'!$1:$1,$B$1,'#产量数据'!$2:$2,$B$2)/10000</f>
        <v>103.1862</v>
      </c>
      <c r="I109" s="749">
        <f>H109-D109</f>
        <v>38.549800000000005</v>
      </c>
      <c r="J109" s="749">
        <f>H109-F109/12</f>
        <v>11.519533333333328</v>
      </c>
      <c r="K109" s="749">
        <f>H109-G109</f>
        <v>3.5168999999999926</v>
      </c>
      <c r="L109" s="929">
        <f>SUMIFS('#产量数据'!181:181,'#产量数据'!$1:$1,$B$1,'#产量数据'!$2:$2,"&lt;="&amp;$B$2)/10000</f>
        <v>785.58040000000005</v>
      </c>
      <c r="M109" s="749">
        <f>L109-F109/12*$B$2</f>
        <v>52.247066666666683</v>
      </c>
      <c r="N109" s="749">
        <f>L109-E109</f>
        <v>148.65740000000005</v>
      </c>
    </row>
    <row r="110" spans="2:34">
      <c r="B110" s="2710"/>
      <c r="C110" s="1698" t="s">
        <v>1233</v>
      </c>
      <c r="D110" s="929">
        <f>SUMIFS('#产量数据'!191:191,'#产量数据'!$1:$1,$B$1-1,'#产量数据'!$2:$2,$B$2)/10000</f>
        <v>0</v>
      </c>
      <c r="E110" s="929">
        <f>SUMIFS('#产量数据'!191:191,'#产量数据'!$1:$1,$B$1-1,'#产量数据'!$2:$2,"&lt;="&amp;$B$2)/10000</f>
        <v>0</v>
      </c>
      <c r="F110" s="398">
        <v>488.9</v>
      </c>
      <c r="G110" s="929">
        <f>SUMIFS('#产量数据'!191:191,'#产量数据'!$1:$1,$E$1,'#产量数据'!$2:$2,$E$2)/10000</f>
        <v>28.240200000000002</v>
      </c>
      <c r="H110" s="929">
        <f>SUMIFS('#产量数据'!191:191,'#产量数据'!$1:$1,$B$1,'#产量数据'!$2:$2,$B$2)/10000</f>
        <v>32.466700000000003</v>
      </c>
      <c r="I110" s="749">
        <f>H110-D110</f>
        <v>32.466700000000003</v>
      </c>
      <c r="J110" s="749">
        <f>H110-F110/12</f>
        <v>-8.2749666666666641</v>
      </c>
      <c r="K110" s="749">
        <f>H110-G110</f>
        <v>4.2265000000000015</v>
      </c>
      <c r="L110" s="929">
        <f>SUMIFS('#产量数据'!191:191,'#产量数据'!$1:$1,$B$1,'#产量数据'!$2:$2,"&lt;="&amp;$B$2)/10000</f>
        <v>245.92259999999999</v>
      </c>
      <c r="M110" s="749">
        <f>L110-F110/12*$B$2</f>
        <v>-80.010733333333349</v>
      </c>
      <c r="N110" s="749">
        <f>L110-E110</f>
        <v>245.92259999999999</v>
      </c>
    </row>
    <row r="111" spans="2:34">
      <c r="B111" s="2710"/>
      <c r="C111" s="2042" t="s">
        <v>25</v>
      </c>
      <c r="D111" s="2043">
        <f>D112+D113</f>
        <v>58.303600000000003</v>
      </c>
      <c r="E111" s="2043">
        <f>E112+E113</f>
        <v>594.25527999999997</v>
      </c>
      <c r="F111" s="2044">
        <f t="shared" ref="F111:N111" si="30">F112+F113</f>
        <v>1149</v>
      </c>
      <c r="G111" s="2043">
        <f t="shared" si="30"/>
        <v>92.044600000000003</v>
      </c>
      <c r="H111" s="2043">
        <f t="shared" si="30"/>
        <v>91.011300000000006</v>
      </c>
      <c r="I111" s="2045">
        <f t="shared" si="30"/>
        <v>32.707700000000003</v>
      </c>
      <c r="J111" s="2045">
        <f t="shared" si="30"/>
        <v>-4.7386999999999979</v>
      </c>
      <c r="K111" s="2045">
        <f t="shared" si="30"/>
        <v>-1.033299999999997</v>
      </c>
      <c r="L111" s="2043">
        <f t="shared" si="30"/>
        <v>725.89209999999991</v>
      </c>
      <c r="M111" s="2045">
        <f t="shared" si="30"/>
        <v>-40.107900000000043</v>
      </c>
      <c r="N111" s="2045">
        <f t="shared" si="30"/>
        <v>131.63681999999997</v>
      </c>
    </row>
    <row r="112" spans="2:34">
      <c r="B112" s="2710"/>
      <c r="C112" s="1698" t="s">
        <v>1130</v>
      </c>
      <c r="D112" s="929">
        <f>SUMIFS('#产量数据'!182:182,'#产量数据'!$1:$1,$B$1-1,'#产量数据'!$2:$2,$B$2)/10000</f>
        <v>45.523600000000002</v>
      </c>
      <c r="E112" s="929">
        <f>SUMIFS('#产量数据'!182:182,'#产量数据'!$1:$1,$B$1-1,'#产量数据'!$2:$2,"&lt;="&amp;$B$2)/10000</f>
        <v>506.17527999999999</v>
      </c>
      <c r="F112" s="397">
        <v>900</v>
      </c>
      <c r="G112" s="929">
        <f>SUMIFS('#产量数据'!182:182,'#产量数据'!$1:$1,$E$1,'#产量数据'!$2:$2,$E$2)/10000</f>
        <v>80.1083</v>
      </c>
      <c r="H112" s="929">
        <f>SUMIFS('#产量数据'!182:182,'#产量数据'!$1:$1,$B$1,'#产量数据'!$2:$2,$B$2)/10000</f>
        <v>78.491500000000002</v>
      </c>
      <c r="I112" s="749">
        <f>H112-D112</f>
        <v>32.9679</v>
      </c>
      <c r="J112" s="749">
        <f>H112-F112/12</f>
        <v>3.491500000000002</v>
      </c>
      <c r="K112" s="749">
        <f>H112-G112</f>
        <v>-1.6167999999999978</v>
      </c>
      <c r="L112" s="929">
        <f>SUMIFS('#产量数据'!182:182,'#产量数据'!$1:$1,$B$1,'#产量数据'!$2:$2,"&lt;="&amp;$B$2)/10000</f>
        <v>626.80949999999996</v>
      </c>
      <c r="M112" s="749">
        <f>L112-F112/12*$B$2</f>
        <v>26.809499999999957</v>
      </c>
      <c r="N112" s="749">
        <f>L112-E112</f>
        <v>120.63421999999997</v>
      </c>
    </row>
    <row r="113" spans="2:18">
      <c r="B113" s="2710"/>
      <c r="C113" s="1698" t="s">
        <v>1233</v>
      </c>
      <c r="D113" s="929">
        <f>SUMIFS('#产量数据'!192:192,'#产量数据'!$1:$1,$B$1-1,'#产量数据'!$2:$2,$B$2)/10000</f>
        <v>12.78</v>
      </c>
      <c r="E113" s="929">
        <f>SUMIFS('#产量数据'!192:192,'#产量数据'!$1:$1,$B$1-1,'#产量数据'!$2:$2,"&lt;="&amp;$B$2)/10000</f>
        <v>88.08</v>
      </c>
      <c r="F113" s="397">
        <v>249</v>
      </c>
      <c r="G113" s="929">
        <f>SUMIFS('#产量数据'!192:192,'#产量数据'!$1:$1,$E$1,'#产量数据'!$2:$2,$E$2)/10000</f>
        <v>11.936299999999999</v>
      </c>
      <c r="H113" s="929">
        <f>SUMIFS('#产量数据'!192:192,'#产量数据'!$1:$1,$B$1,'#产量数据'!$2:$2,$B$2)/10000</f>
        <v>12.5198</v>
      </c>
      <c r="I113" s="749">
        <f>H113-D113</f>
        <v>-0.26019999999999932</v>
      </c>
      <c r="J113" s="749">
        <f>H113-F113/12</f>
        <v>-8.2302</v>
      </c>
      <c r="K113" s="749">
        <f>H113-G113</f>
        <v>0.5835000000000008</v>
      </c>
      <c r="L113" s="929">
        <f>SUMIFS('#产量数据'!192:192,'#产量数据'!$1:$1,$B$1,'#产量数据'!$2:$2,"&lt;="&amp;$B$2)/10000</f>
        <v>99.082599999999999</v>
      </c>
      <c r="M113" s="749">
        <f>L113-F113/12*$B$2</f>
        <v>-66.917400000000001</v>
      </c>
      <c r="N113" s="749">
        <f>L113-E113</f>
        <v>11.002600000000001</v>
      </c>
      <c r="P113" s="2076"/>
    </row>
    <row r="114" spans="2:18">
      <c r="B114" s="2710"/>
      <c r="C114" s="2042" t="s">
        <v>26</v>
      </c>
      <c r="D114" s="2043">
        <f>D115+D116</f>
        <v>93.859820900000003</v>
      </c>
      <c r="E114" s="2043">
        <f t="shared" ref="E114:N114" si="31">E115+E116</f>
        <v>818.59694539999998</v>
      </c>
      <c r="F114" s="2044">
        <f t="shared" si="31"/>
        <v>1525</v>
      </c>
      <c r="G114" s="2043">
        <f t="shared" si="31"/>
        <v>125.35483669999999</v>
      </c>
      <c r="H114" s="2043">
        <f>H115+H116</f>
        <v>124.24900000000001</v>
      </c>
      <c r="I114" s="2045">
        <f t="shared" si="31"/>
        <v>30.3891791</v>
      </c>
      <c r="J114" s="2045">
        <f t="shared" si="31"/>
        <v>-2.834333333333328</v>
      </c>
      <c r="K114" s="2045">
        <f t="shared" si="31"/>
        <v>-1.1058366999999869</v>
      </c>
      <c r="L114" s="2043">
        <f t="shared" si="31"/>
        <v>970.90829069999984</v>
      </c>
      <c r="M114" s="2045">
        <f t="shared" si="31"/>
        <v>-45.758375966666861</v>
      </c>
      <c r="N114" s="2045">
        <f t="shared" si="31"/>
        <v>152.31134529999977</v>
      </c>
      <c r="O114" s="2076">
        <f>K114/G114</f>
        <v>-8.8216516339651302E-3</v>
      </c>
      <c r="P114" s="2076">
        <f>I114/D114</f>
        <v>0.3237719698227125</v>
      </c>
      <c r="R114" s="940">
        <f>N115/E115</f>
        <v>0.20072495005331767</v>
      </c>
    </row>
    <row r="115" spans="2:18">
      <c r="B115" s="2710"/>
      <c r="C115" s="1698" t="s">
        <v>1130</v>
      </c>
      <c r="D115" s="929">
        <f>SUMIFS('#产量数据'!183:183,'#产量数据'!$1:$1,$B$1-1,'#产量数据'!$2:$2,$B$2)/10000</f>
        <v>76.139820900000004</v>
      </c>
      <c r="E115" s="929">
        <f>SUMIFS('#产量数据'!183:183,'#产量数据'!$1:$1,$B$1-1,'#产量数据'!$2:$2,"&lt;="&amp;$B$2)/10000</f>
        <v>702.05694540000002</v>
      </c>
      <c r="F115" s="397">
        <v>1200</v>
      </c>
      <c r="G115" s="929">
        <f>SUMIFS('#产量数据'!183:183,'#产量数据'!$1:$1,$E$1,'#产量数据'!$2:$2,$E$2)/10000</f>
        <v>109.99733669999999</v>
      </c>
      <c r="H115" s="929">
        <f>SUMIFS('#产量数据'!183:183,'#产量数据'!$1:$1,$B$1,'#产量数据'!$2:$2,$B$2)/10000</f>
        <v>108.989</v>
      </c>
      <c r="I115" s="749">
        <f>H115-D115</f>
        <v>32.849179100000001</v>
      </c>
      <c r="J115" s="749">
        <f>H115-F115/12</f>
        <v>8.9890000000000043</v>
      </c>
      <c r="K115" s="749">
        <f>H115-G115</f>
        <v>-1.0083366999999868</v>
      </c>
      <c r="L115" s="929">
        <f>SUMIFS('#产量数据'!183:183,'#产量数据'!$1:$1,$B$1,'#产量数据'!$2:$2,"&lt;="&amp;$B$2)/10000</f>
        <v>842.9772906999998</v>
      </c>
      <c r="M115" s="749">
        <f>L115-F115/12*$B$2</f>
        <v>42.977290699999799</v>
      </c>
      <c r="N115" s="749">
        <f>L115-E115</f>
        <v>140.92034529999978</v>
      </c>
      <c r="R115" s="940"/>
    </row>
    <row r="116" spans="2:18">
      <c r="B116" s="2710"/>
      <c r="C116" s="1698" t="s">
        <v>1233</v>
      </c>
      <c r="D116" s="929">
        <f>SUMIFS('#产量数据'!193:193,'#产量数据'!$1:$1,$B$1-1,'#产量数据'!$2:$2,$B$2)/10000</f>
        <v>17.72</v>
      </c>
      <c r="E116" s="1727">
        <f>SUMIFS('#产量数据'!193:193,'#产量数据'!$1:$1,$B$1-1,'#产量数据'!$2:$2,"&lt;="&amp;$B$2)/10000</f>
        <v>116.54</v>
      </c>
      <c r="F116" s="1741">
        <v>325</v>
      </c>
      <c r="G116" s="929">
        <f>SUMIFS('#产量数据'!193:193,'#产量数据'!$1:$1,$E$1,'#产量数据'!$2:$2,$E$2)/10000</f>
        <v>15.3575</v>
      </c>
      <c r="H116" s="929">
        <f>SUMIFS('#产量数据'!193:193,'#产量数据'!$1:$1,$B$1,'#产量数据'!$2:$2,$B$2)/10000</f>
        <v>15.26</v>
      </c>
      <c r="I116" s="749">
        <f>H116-D116</f>
        <v>-2.4599999999999991</v>
      </c>
      <c r="J116" s="749">
        <f>H116-F116/12</f>
        <v>-11.823333333333332</v>
      </c>
      <c r="K116" s="749">
        <f>H116-G116</f>
        <v>-9.7500000000000142E-2</v>
      </c>
      <c r="L116" s="1727">
        <f>SUMIFS('#产量数据'!193:193,'#产量数据'!$1:$1,$B$1,'#产量数据'!$2:$2,"&lt;="&amp;$B$2)/10000</f>
        <v>127.931</v>
      </c>
      <c r="M116" s="749">
        <f>L116-F116/12*$B$2</f>
        <v>-88.73566666666666</v>
      </c>
      <c r="N116" s="749">
        <f>L116-E116</f>
        <v>11.390999999999991</v>
      </c>
      <c r="R116" s="940"/>
    </row>
    <row r="117" spans="2:18">
      <c r="B117" s="2710"/>
      <c r="C117" s="2042" t="s">
        <v>1227</v>
      </c>
      <c r="D117" s="2043">
        <f>D118+D119</f>
        <v>52.651535600000003</v>
      </c>
      <c r="E117" s="2043">
        <f t="shared" ref="E117:N117" si="32">E118+E119</f>
        <v>387.52067650000004</v>
      </c>
      <c r="F117" s="2044">
        <f t="shared" si="32"/>
        <v>650</v>
      </c>
      <c r="G117" s="2043">
        <f t="shared" si="32"/>
        <v>52.064028499999992</v>
      </c>
      <c r="H117" s="2043">
        <f>H118+H119</f>
        <v>53.058</v>
      </c>
      <c r="I117" s="2045">
        <f t="shared" si="32"/>
        <v>0.40646439999999906</v>
      </c>
      <c r="J117" s="2045">
        <f t="shared" si="32"/>
        <v>-1.1086666666666662</v>
      </c>
      <c r="K117" s="2045">
        <f t="shared" si="32"/>
        <v>0.993971500000006</v>
      </c>
      <c r="L117" s="2043">
        <f t="shared" si="32"/>
        <v>400.75704170000006</v>
      </c>
      <c r="M117" s="2045">
        <f t="shared" si="32"/>
        <v>-32.576291633333312</v>
      </c>
      <c r="N117" s="2045">
        <f t="shared" si="32"/>
        <v>13.236365200000009</v>
      </c>
      <c r="O117" s="2076">
        <f>K117/G117</f>
        <v>1.9091329054569915E-2</v>
      </c>
      <c r="P117" s="2076">
        <f>I117/D117</f>
        <v>7.7198963974756136E-3</v>
      </c>
      <c r="R117" s="940">
        <f>N118/E118</f>
        <v>8.7785835902583306E-2</v>
      </c>
    </row>
    <row r="118" spans="2:18">
      <c r="B118" s="2710"/>
      <c r="C118" s="1698" t="s">
        <v>1130</v>
      </c>
      <c r="D118" s="929">
        <f>SUMIFS('#产量数据'!184:184,'#产量数据'!$1:$1,$B$1-1,'#产量数据'!$2:$2,$B$2)/10000</f>
        <v>34.931535600000004</v>
      </c>
      <c r="E118" s="929">
        <f>SUMIFS('#产量数据'!184:184,'#产量数据'!$1:$1,$B$1-1,'#产量数据'!$2:$2,"&lt;="&amp;$B$2)/10000</f>
        <v>270.98067650000002</v>
      </c>
      <c r="F118" s="397">
        <v>430</v>
      </c>
      <c r="G118" s="929">
        <f>SUMIFS('#产量数据'!184:184,'#产量数据'!$1:$1,$E$1,'#产量数据'!$2:$2,$E$2)/10000</f>
        <v>38.713328499999996</v>
      </c>
      <c r="H118" s="929">
        <f>SUMIFS('#产量数据'!184:184,'#产量数据'!$1:$1,$B$1,'#产量数据'!$2:$2,$B$2)/10000</f>
        <v>37.798000000000002</v>
      </c>
      <c r="I118" s="749">
        <f>H118-D118</f>
        <v>2.8664643999999981</v>
      </c>
      <c r="J118" s="749">
        <f>H118-F118/12</f>
        <v>1.9646666666666661</v>
      </c>
      <c r="K118" s="749">
        <f>H118-G118</f>
        <v>-0.91532849999999399</v>
      </c>
      <c r="L118" s="929">
        <f>SUMIFS('#产量数据'!184:184,'#产量数据'!$1:$1,$B$1,'#产量数据'!$2:$2,"&lt;="&amp;$B$2)/10000</f>
        <v>294.76894170000003</v>
      </c>
      <c r="M118" s="749">
        <f>L118-F118/12*$B$2</f>
        <v>8.102275033333342</v>
      </c>
      <c r="N118" s="749">
        <f>L118-E118</f>
        <v>23.788265200000012</v>
      </c>
      <c r="R118" s="940"/>
    </row>
    <row r="119" spans="2:18">
      <c r="B119" s="2710"/>
      <c r="C119" s="1698" t="s">
        <v>1233</v>
      </c>
      <c r="D119" s="929">
        <f>SUMIFS('#产量数据'!194:194,'#产量数据'!$1:$1,$B$1-1,'#产量数据'!$2:$2,$B$2)/10000</f>
        <v>17.72</v>
      </c>
      <c r="E119" s="929">
        <f>SUMIFS('#产量数据'!194:194,'#产量数据'!$1:$1,$B$1-1,'#产量数据'!$2:$2,"&lt;="&amp;$B$2)/10000</f>
        <v>116.54</v>
      </c>
      <c r="F119" s="397">
        <v>220</v>
      </c>
      <c r="G119" s="929">
        <f>SUMIFS('#产量数据'!194:194,'#产量数据'!$1:$1,$E$1,'#产量数据'!$2:$2,$E$2)/10000</f>
        <v>13.3507</v>
      </c>
      <c r="H119" s="929">
        <f>SUMIFS('#产量数据'!194:194,'#产量数据'!$1:$1,$B$1,'#产量数据'!$2:$2,$B$2)/10000</f>
        <v>15.26</v>
      </c>
      <c r="I119" s="749">
        <f>H119-D119</f>
        <v>-2.4599999999999991</v>
      </c>
      <c r="J119" s="749">
        <f>H119-F119/12</f>
        <v>-3.0733333333333324</v>
      </c>
      <c r="K119" s="749">
        <f>H119-G119</f>
        <v>1.9093</v>
      </c>
      <c r="L119" s="929">
        <f>SUMIFS('#产量数据'!194:194,'#产量数据'!$1:$1,$B$1,'#产量数据'!$2:$2,"&lt;="&amp;$B$2)/10000</f>
        <v>105.9881</v>
      </c>
      <c r="M119" s="749">
        <f>L119-F119/12*$B$2</f>
        <v>-40.678566666666654</v>
      </c>
      <c r="N119" s="749">
        <f>L119-E119</f>
        <v>-10.551900000000003</v>
      </c>
      <c r="R119" s="940"/>
    </row>
    <row r="120" spans="2:18">
      <c r="B120" s="2710"/>
      <c r="C120" s="2042" t="s">
        <v>52</v>
      </c>
      <c r="D120" s="2043">
        <f>D121+D122</f>
        <v>41.2082853</v>
      </c>
      <c r="E120" s="2043">
        <f>E121+E122</f>
        <v>431.0762689</v>
      </c>
      <c r="F120" s="2046">
        <f>F121+F122</f>
        <v>875</v>
      </c>
      <c r="G120" s="2043">
        <f>G121+G122</f>
        <v>73.290808199999987</v>
      </c>
      <c r="H120" s="2043">
        <f>H121+H122</f>
        <v>71.191000000000003</v>
      </c>
      <c r="I120" s="2045">
        <f t="shared" si="25"/>
        <v>29.982714700000002</v>
      </c>
      <c r="J120" s="2045">
        <f t="shared" si="26"/>
        <v>-1.7256666666666689</v>
      </c>
      <c r="K120" s="2045">
        <f t="shared" si="27"/>
        <v>-2.099808199999984</v>
      </c>
      <c r="L120" s="2043">
        <f>L122+L121</f>
        <v>570.15124900000001</v>
      </c>
      <c r="M120" s="2045">
        <f t="shared" si="24"/>
        <v>-13.182084333333364</v>
      </c>
      <c r="N120" s="2045">
        <f t="shared" si="28"/>
        <v>139.0749801</v>
      </c>
      <c r="R120" s="940">
        <f t="shared" ref="R120:R133" si="33">N120/E120</f>
        <v>0.32262267754818641</v>
      </c>
    </row>
    <row r="121" spans="2:18">
      <c r="B121" s="2710"/>
      <c r="C121" s="1698" t="s">
        <v>1130</v>
      </c>
      <c r="D121" s="1727">
        <f>SUMIFS('#产量数据'!185:185,'#产量数据'!$1:$1,$B$1-1,'#产量数据'!$2:$2,$B$2)/10000</f>
        <v>41.2082853</v>
      </c>
      <c r="E121" s="1727">
        <f>SUMIFS('#产量数据'!185:185,'#产量数据'!$1:$1,$B$1-1,'#产量数据'!$2:$2,"&lt;="&amp;$B$2)/10000</f>
        <v>431.0762689</v>
      </c>
      <c r="F121" s="1777">
        <f>F115-F118</f>
        <v>770</v>
      </c>
      <c r="G121" s="1777">
        <f>SUMIFS('#产量数据'!185:185,'#产量数据'!$1:$1,$E$1,'#产量数据'!$2:$2,$E$2)/10000</f>
        <v>71.284008199999988</v>
      </c>
      <c r="H121" s="1727">
        <f>SUMIFS('#产量数据'!185:185,'#产量数据'!$1:$1,$B$1,'#产量数据'!$2:$2,$B$2)/10000</f>
        <v>71.191000000000003</v>
      </c>
      <c r="I121" s="749">
        <f t="shared" si="25"/>
        <v>29.982714700000002</v>
      </c>
      <c r="J121" s="749">
        <f t="shared" si="26"/>
        <v>7.0243333333333311</v>
      </c>
      <c r="K121" s="749">
        <f t="shared" si="27"/>
        <v>-9.3008199999985663E-2</v>
      </c>
      <c r="L121" s="1777">
        <f>SUMIFS('#产量数据'!185:185,'#产量数据'!$1:$1,$B$1,'#产量数据'!$2:$2,"&lt;="&amp;$B$2)/10000</f>
        <v>548.208349</v>
      </c>
      <c r="M121" s="749">
        <f t="shared" si="24"/>
        <v>34.875015666666627</v>
      </c>
      <c r="N121" s="749">
        <f t="shared" si="28"/>
        <v>117.1320801</v>
      </c>
      <c r="R121" s="940"/>
    </row>
    <row r="122" spans="2:18">
      <c r="B122" s="2710"/>
      <c r="C122" s="1698" t="s">
        <v>1233</v>
      </c>
      <c r="D122" s="1727">
        <f>D116-D119</f>
        <v>0</v>
      </c>
      <c r="E122" s="1727">
        <f>E116-E119</f>
        <v>0</v>
      </c>
      <c r="F122" s="1777">
        <f>F116-F119</f>
        <v>105</v>
      </c>
      <c r="G122" s="1727">
        <f t="shared" ref="G122" si="34">G116-G119</f>
        <v>2.0068000000000001</v>
      </c>
      <c r="H122" s="1838">
        <f>H116-H119</f>
        <v>0</v>
      </c>
      <c r="I122" s="749">
        <f t="shared" si="25"/>
        <v>0</v>
      </c>
      <c r="J122" s="749">
        <f>H122-F122/12</f>
        <v>-8.75</v>
      </c>
      <c r="K122" s="749">
        <f t="shared" si="27"/>
        <v>-2.0068000000000001</v>
      </c>
      <c r="L122" s="1777">
        <f t="shared" ref="L122" si="35">L116-L119</f>
        <v>21.942899999999995</v>
      </c>
      <c r="M122" s="749">
        <f t="shared" si="24"/>
        <v>-48.057100000000005</v>
      </c>
      <c r="N122" s="749">
        <f t="shared" si="28"/>
        <v>21.942899999999995</v>
      </c>
      <c r="R122" s="940"/>
    </row>
    <row r="123" spans="2:18">
      <c r="B123" s="2710"/>
      <c r="C123" s="2042" t="s">
        <v>28</v>
      </c>
      <c r="D123" s="2043">
        <f t="shared" ref="D123:N123" si="36">SUM(D124:D127)</f>
        <v>90.322741589999964</v>
      </c>
      <c r="E123" s="2043">
        <f t="shared" si="36"/>
        <v>793.47933876999991</v>
      </c>
      <c r="F123" s="2044">
        <f t="shared" si="36"/>
        <v>1515</v>
      </c>
      <c r="G123" s="2043">
        <f>SUM(G124:G127)</f>
        <v>122.48378013</v>
      </c>
      <c r="H123" s="2043">
        <f t="shared" si="36"/>
        <v>123.2235378</v>
      </c>
      <c r="I123" s="2045">
        <f t="shared" si="36"/>
        <v>32.900796210000038</v>
      </c>
      <c r="J123" s="2045">
        <f t="shared" si="36"/>
        <v>-3.0264622000000085</v>
      </c>
      <c r="K123" s="2045">
        <f t="shared" si="36"/>
        <v>0.73975766999999948</v>
      </c>
      <c r="L123" s="2043">
        <f t="shared" si="36"/>
        <v>959.69080359999987</v>
      </c>
      <c r="M123" s="2045">
        <f t="shared" si="36"/>
        <v>-50.309196400000154</v>
      </c>
      <c r="N123" s="2045">
        <f t="shared" si="36"/>
        <v>166.21146482999995</v>
      </c>
      <c r="O123" s="2076">
        <f>K123/G123</f>
        <v>6.0396378133892228E-3</v>
      </c>
      <c r="P123" s="2076">
        <f>I123/D123</f>
        <v>0.36425816611441997</v>
      </c>
      <c r="R123" s="940">
        <f>N124/E124</f>
        <v>0.24725212329720225</v>
      </c>
    </row>
    <row r="124" spans="2:18">
      <c r="B124" s="2710"/>
      <c r="C124" s="1698" t="s">
        <v>1130</v>
      </c>
      <c r="D124" s="929">
        <f>SUMIFS('#产量数据'!186:186,'#产量数据'!$1:$1,$B$1-1,'#产量数据'!$2:$2,$B$2)/10000</f>
        <v>69.268369989999982</v>
      </c>
      <c r="E124" s="929">
        <f>SUMIFS('#产量数据'!186:186,'#产量数据'!$1:$1,$B$1-1,'#产量数据'!$2:$2,"&lt;="&amp;$B$2)/10000</f>
        <v>642.24241237000001</v>
      </c>
      <c r="F124" s="397">
        <v>1130</v>
      </c>
      <c r="G124" s="929">
        <f>SUMIFS('#产量数据'!186:186,'#产量数据'!$1:$1,$E$1,'#产量数据'!$2:$2,$E$2)/10000</f>
        <v>103.97309213</v>
      </c>
      <c r="H124" s="929">
        <f>SUMIFS('#产量数据'!186:186,'#产量数据'!$1:$1,$B$1,'#产量数据'!$2:$2,$B$2)/10000</f>
        <v>104.3941038</v>
      </c>
      <c r="I124" s="749">
        <f>H124-D124</f>
        <v>35.125733810000014</v>
      </c>
      <c r="J124" s="749">
        <f>H124-F124/12</f>
        <v>10.227437133333325</v>
      </c>
      <c r="K124" s="749">
        <f>H124-G124</f>
        <v>0.42101166999999862</v>
      </c>
      <c r="L124" s="929">
        <f>SUMIFS('#产量数据'!186:186,'#产量数据'!$1:$1,$B$1,'#产量数据'!$2:$2,"&lt;="&amp;$B$2)/10000</f>
        <v>801.03821249999987</v>
      </c>
      <c r="M124" s="749">
        <f>L124-F124/12*$B$2</f>
        <v>47.704879166666501</v>
      </c>
      <c r="N124" s="749">
        <f>L124-E124</f>
        <v>158.79580012999986</v>
      </c>
      <c r="R124" s="940"/>
    </row>
    <row r="125" spans="2:18">
      <c r="B125" s="2710"/>
      <c r="C125" s="1698" t="s">
        <v>1233</v>
      </c>
      <c r="D125" s="929">
        <f>SUMIFS('#产量数据'!195:195,'#产量数据'!$1:$1,$B$1-1,'#产量数据'!$2:$2,$B$2)/10000</f>
        <v>14.61</v>
      </c>
      <c r="E125" s="929">
        <f>SUMIFS('#产量数据'!195:195,'#产量数据'!$1:$1,$B$1-1,'#产量数据'!$2:$2,"&lt;="&amp;$B$2)/10000</f>
        <v>108.05</v>
      </c>
      <c r="F125" s="397">
        <v>315</v>
      </c>
      <c r="G125" s="929">
        <f>SUMIFS('#产量数据'!195:195,'#产量数据'!$1:$1,$E$1,'#产量数据'!$2:$2,$E$2)/10000</f>
        <v>14.828799999999999</v>
      </c>
      <c r="H125" s="929">
        <f>SUMIFS('#产量数据'!195:195,'#产量数据'!$1:$1,$B$1,'#产量数据'!$2:$2,$B$2)/10000</f>
        <v>14.9666</v>
      </c>
      <c r="I125" s="749">
        <f t="shared" ref="I125:I126" si="37">H125-D125</f>
        <v>0.35660000000000025</v>
      </c>
      <c r="J125" s="749">
        <f t="shared" ref="J125:J126" si="38">H125-F125/12</f>
        <v>-11.2834</v>
      </c>
      <c r="K125" s="749">
        <f t="shared" ref="K125:K126" si="39">H125-G125</f>
        <v>0.13780000000000037</v>
      </c>
      <c r="L125" s="929">
        <f>SUMIFS('#产量数据'!195:195,'#产量数据'!$1:$1,$B$1,'#产量数据'!$2:$2,"&lt;="&amp;$B$2)/10000</f>
        <v>126.93290640000001</v>
      </c>
      <c r="M125" s="749">
        <f t="shared" ref="M125:M126" si="40">L125-F125/12*$B$2</f>
        <v>-83.067093599999993</v>
      </c>
      <c r="N125" s="749">
        <f t="shared" ref="N125:N126" si="41">L125-E125</f>
        <v>18.88290640000001</v>
      </c>
      <c r="R125" s="940"/>
    </row>
    <row r="126" spans="2:18">
      <c r="B126" s="2710"/>
      <c r="C126" s="1698" t="s">
        <v>1234</v>
      </c>
      <c r="D126" s="929">
        <f>SUMIFS('#产量数据'!197:197,'#产量数据'!$1:$1,$B$1-1,'#产量数据'!$2:$2,$B$2)/10000</f>
        <v>6.4443715999999798</v>
      </c>
      <c r="E126" s="929">
        <f>SUMIFS('#产量数据'!197:197,'#产量数据'!$1:$1,$B$1-1,'#产量数据'!$2:$2,"&lt;="&amp;$B$2)/10000</f>
        <v>43.186926399999948</v>
      </c>
      <c r="F126" s="397">
        <v>70</v>
      </c>
      <c r="G126" s="929">
        <f>SUMIFS('#产量数据'!197:197,'#产量数据'!$1:$1,$E$1,'#产量数据'!$2:$2,$E$2)/10000</f>
        <v>5.8933999999999997</v>
      </c>
      <c r="H126" s="929">
        <f>SUMIFS('#产量数据'!197:197,'#产量数据'!$1:$1,$B$1,'#产量数据'!$2:$2,$B$2)/10000</f>
        <v>5.9367999999999999</v>
      </c>
      <c r="I126" s="749">
        <f t="shared" si="37"/>
        <v>-0.50757159999997992</v>
      </c>
      <c r="J126" s="749">
        <f t="shared" si="38"/>
        <v>0.10346666666666682</v>
      </c>
      <c r="K126" s="749">
        <f t="shared" si="39"/>
        <v>4.3400000000000105E-2</v>
      </c>
      <c r="L126" s="929">
        <f>SUMIFS('#产量数据'!197:197,'#产量数据'!$1:$1,$B$1,'#产量数据'!$2:$2,"&lt;="&amp;$B$2)/10000</f>
        <v>46.8806504</v>
      </c>
      <c r="M126" s="749">
        <f t="shared" si="40"/>
        <v>0.21398373333333609</v>
      </c>
      <c r="N126" s="749">
        <f t="shared" si="41"/>
        <v>3.6937240000000529</v>
      </c>
      <c r="R126" s="940"/>
    </row>
    <row r="127" spans="2:18">
      <c r="B127" s="2710"/>
      <c r="C127" s="1698" t="s">
        <v>1481</v>
      </c>
      <c r="D127" s="1727">
        <v>0</v>
      </c>
      <c r="E127" s="1727">
        <v>0</v>
      </c>
      <c r="F127" s="1741">
        <v>0</v>
      </c>
      <c r="G127" s="1727">
        <f>SUMIFS('#产量数据'!199:199,'#产量数据'!$1:$1,$E$1,'#产量数据'!$2:$2,$E$2)/10000</f>
        <v>-2.2115120000000004</v>
      </c>
      <c r="H127" s="1727">
        <f>SUMIFS('#产量数据'!199:199,'#产量数据'!$1:$1,$B$1,'#产量数据'!$2:$2,$B$2)/10000</f>
        <v>-2.073966</v>
      </c>
      <c r="I127" s="2315">
        <f>H127-D127</f>
        <v>-2.073966</v>
      </c>
      <c r="J127" s="2315">
        <f>H127-F127/12</f>
        <v>-2.073966</v>
      </c>
      <c r="K127" s="2315">
        <f>H127-G127</f>
        <v>0.13754600000000039</v>
      </c>
      <c r="L127" s="1727">
        <f>SUMIFS('#产量数据'!199:199,'#产量数据'!$1:$1,$B$1,'#产量数据'!$2:$2,"&lt;="&amp;$B$2)/10000</f>
        <v>-15.1609657</v>
      </c>
      <c r="M127" s="2315">
        <f>L127-F127/12*$B$2</f>
        <v>-15.1609657</v>
      </c>
      <c r="N127" s="2315">
        <f>L127-E127</f>
        <v>-15.1609657</v>
      </c>
      <c r="R127" s="940"/>
    </row>
    <row r="128" spans="2:18">
      <c r="B128" s="2710"/>
      <c r="C128" s="2042" t="s">
        <v>1230</v>
      </c>
      <c r="D128" s="2043">
        <f>SUM(D129:D132)</f>
        <v>47.768276689999986</v>
      </c>
      <c r="E128" s="2043">
        <f t="shared" ref="E128:H128" si="42">SUM(E129:E132)</f>
        <v>390.14167136999993</v>
      </c>
      <c r="F128" s="2043">
        <f t="shared" si="42"/>
        <v>671</v>
      </c>
      <c r="G128" s="2043">
        <f t="shared" si="42"/>
        <v>49.779352029999991</v>
      </c>
      <c r="H128" s="2043">
        <f t="shared" si="42"/>
        <v>53.0759817</v>
      </c>
      <c r="I128" s="2045">
        <f t="shared" ref="I128:N128" si="43">SUM(I129:I132)</f>
        <v>5.3077050100000172</v>
      </c>
      <c r="J128" s="2045">
        <f t="shared" si="43"/>
        <v>-2.8406849666666649</v>
      </c>
      <c r="K128" s="2045">
        <f t="shared" si="43"/>
        <v>3.2966296700000122</v>
      </c>
      <c r="L128" s="2043">
        <f t="shared" si="43"/>
        <v>411.89449089999999</v>
      </c>
      <c r="M128" s="2045">
        <f t="shared" si="43"/>
        <v>-35.438842433333285</v>
      </c>
      <c r="N128" s="2045">
        <f t="shared" si="43"/>
        <v>21.752819530000124</v>
      </c>
      <c r="O128" s="2076">
        <f>K128/G128</f>
        <v>6.6224840934314841E-2</v>
      </c>
      <c r="P128" s="2076">
        <f>I128/D128</f>
        <v>0.11111359625647024</v>
      </c>
      <c r="R128" s="940">
        <f>N129/E129</f>
        <v>0.14953807147901654</v>
      </c>
    </row>
    <row r="129" spans="1:33">
      <c r="B129" s="2710"/>
      <c r="C129" s="1698" t="s">
        <v>1130</v>
      </c>
      <c r="D129" s="929">
        <f>SUMIFS('#产量数据'!187:187,'#产量数据'!$1:$1,$B$1-1,'#产量数据'!$2:$2,$B$2)/10000</f>
        <v>26.713905090000004</v>
      </c>
      <c r="E129" s="929">
        <f>SUMIFS('#产量数据'!187:187,'#产量数据'!$1:$1,$B$1-1,'#产量数据'!$2:$2,"&lt;="&amp;$B$2)/10000</f>
        <v>238.90474496999997</v>
      </c>
      <c r="F129" s="397">
        <v>389</v>
      </c>
      <c r="G129" s="929">
        <f>SUMIFS('#产量数据'!187:187,'#产量数据'!$1:$1,$E$1,'#产量数据'!$2:$2,$E$2)/10000</f>
        <v>35.570664029999989</v>
      </c>
      <c r="H129" s="929">
        <f>SUMIFS('#产量数据'!187:187,'#产量数据'!$1:$1,$B$1,'#产量数据'!$2:$2,$B$2)/10000</f>
        <v>34.412647700000001</v>
      </c>
      <c r="I129" s="749">
        <f>H129-D129</f>
        <v>7.6987426099999965</v>
      </c>
      <c r="J129" s="749">
        <f>H129-F129/12</f>
        <v>1.9959810333333365</v>
      </c>
      <c r="K129" s="749">
        <f>H129-G129</f>
        <v>-1.1580163299999882</v>
      </c>
      <c r="L129" s="929">
        <f>SUMIFS('#产量数据'!187:187,'#产量数据'!$1:$1,$B$1,'#产量数据'!$2:$2,"&lt;="&amp;$B$2)/10000</f>
        <v>274.63009980000004</v>
      </c>
      <c r="M129" s="749">
        <f>L129-F129/12*$B$2</f>
        <v>15.296766466666725</v>
      </c>
      <c r="N129" s="749">
        <f>L129-E129</f>
        <v>35.725354830000072</v>
      </c>
      <c r="R129" s="940"/>
    </row>
    <row r="130" spans="1:33">
      <c r="B130" s="2710"/>
      <c r="C130" s="1698" t="s">
        <v>1233</v>
      </c>
      <c r="D130" s="929">
        <f>SUMIFS('#产量数据'!196:196,'#产量数据'!$1:$1,$B$1-1,'#产量数据'!$2:$2,$B$2)/10000</f>
        <v>14.61</v>
      </c>
      <c r="E130" s="929">
        <f>SUMIFS('#产量数据'!196:196,'#产量数据'!$1:$1,$B$1-1,'#产量数据'!$2:$2,"&lt;="&amp;$B$2)/10000</f>
        <v>108.05</v>
      </c>
      <c r="F130" s="397">
        <v>212</v>
      </c>
      <c r="G130" s="929">
        <f>SUMIFS('#产量数据'!196:196,'#产量数据'!$1:$1,$E$1,'#产量数据'!$2:$2,$E$2)/10000</f>
        <v>10.5268</v>
      </c>
      <c r="H130" s="929">
        <f>SUMIFS('#产量数据'!196:196,'#产量数据'!$1:$1,$B$1,'#产量数据'!$2:$2,$B$2)/10000</f>
        <v>14.8005</v>
      </c>
      <c r="I130" s="749">
        <f t="shared" ref="I130:I131" si="44">H130-D130</f>
        <v>0.19050000000000011</v>
      </c>
      <c r="J130" s="749">
        <f t="shared" ref="J130:J131" si="45">H130-F130/12</f>
        <v>-2.8661666666666683</v>
      </c>
      <c r="K130" s="749">
        <f t="shared" ref="K130:K131" si="46">H130-G130</f>
        <v>4.2736999999999998</v>
      </c>
      <c r="L130" s="929">
        <f>SUMIFS('#产量数据'!196:196,'#产量数据'!$1:$1,$B$1,'#产量数据'!$2:$2,"&lt;="&amp;$B$2)/10000</f>
        <v>105.5447064</v>
      </c>
      <c r="M130" s="749">
        <f t="shared" ref="M130:M131" si="47">L130-F130/12*$B$2</f>
        <v>-35.788626933333347</v>
      </c>
      <c r="N130" s="749">
        <f t="shared" ref="N130:N131" si="48">L130-E130</f>
        <v>-2.5052936000000017</v>
      </c>
      <c r="R130" s="940"/>
    </row>
    <row r="131" spans="1:33">
      <c r="B131" s="2710"/>
      <c r="C131" s="1698" t="s">
        <v>1234</v>
      </c>
      <c r="D131" s="929">
        <f>SUMIFS('#产量数据'!198:198,'#产量数据'!$1:$1,$B$1-1,'#产量数据'!$2:$2,$B$2)/10000</f>
        <v>6.4443715999999798</v>
      </c>
      <c r="E131" s="929">
        <f>SUMIFS('#产量数据'!198:198,'#产量数据'!$1:$1,$B$1-1,'#产量数据'!$2:$2,"&lt;="&amp;$B$2)/10000</f>
        <v>43.186926399999948</v>
      </c>
      <c r="F131" s="397">
        <v>70</v>
      </c>
      <c r="G131" s="929">
        <f>SUMIFS('#产量数据'!198:198,'#产量数据'!$1:$1,$E$1,'#产量数据'!$2:$2,$E$2)/10000</f>
        <v>5.8933999999999997</v>
      </c>
      <c r="H131" s="929">
        <f>SUMIFS('#产量数据'!198:198,'#产量数据'!$1:$1,$B$1,'#产量数据'!$2:$2,$B$2)/10000</f>
        <v>5.9367999999999999</v>
      </c>
      <c r="I131" s="749">
        <f t="shared" si="44"/>
        <v>-0.50757159999997992</v>
      </c>
      <c r="J131" s="749">
        <f t="shared" si="45"/>
        <v>0.10346666666666682</v>
      </c>
      <c r="K131" s="749">
        <f t="shared" si="46"/>
        <v>4.3400000000000105E-2</v>
      </c>
      <c r="L131" s="929">
        <f>SUMIFS('#产量数据'!198:198,'#产量数据'!$1:$1,$B$1,'#产量数据'!$2:$2,"&lt;="&amp;$B$2)/10000</f>
        <v>46.8806504</v>
      </c>
      <c r="M131" s="749">
        <f t="shared" si="47"/>
        <v>0.21398373333333609</v>
      </c>
      <c r="N131" s="749">
        <f t="shared" si="48"/>
        <v>3.6937240000000529</v>
      </c>
      <c r="R131" s="940"/>
    </row>
    <row r="132" spans="1:33">
      <c r="B132" s="2710"/>
      <c r="C132" s="1698" t="s">
        <v>1489</v>
      </c>
      <c r="D132" s="1727">
        <v>0</v>
      </c>
      <c r="E132" s="1727">
        <v>0</v>
      </c>
      <c r="F132" s="1741">
        <v>0</v>
      </c>
      <c r="G132" s="1727">
        <f>SUMIFS('#产量数据'!199:199,'#产量数据'!$1:$1,$E$1,'#产量数据'!$2:$2,$E$2)/10000</f>
        <v>-2.2115120000000004</v>
      </c>
      <c r="H132" s="1727">
        <f>SUMIFS('#产量数据'!199:199,'#产量数据'!$1:$1,$B$1,'#产量数据'!$2:$2,$B$2)/10000</f>
        <v>-2.073966</v>
      </c>
      <c r="I132" s="2315">
        <f>H132-D132</f>
        <v>-2.073966</v>
      </c>
      <c r="J132" s="2315">
        <f>H132-F132/12</f>
        <v>-2.073966</v>
      </c>
      <c r="K132" s="2315">
        <f>H132-G132</f>
        <v>0.13754600000000039</v>
      </c>
      <c r="L132" s="1727">
        <f>SUMIFS('#产量数据'!199:199,'#产量数据'!$1:$1,$B$1,'#产量数据'!$2:$2,"&lt;="&amp;$B$2)/10000</f>
        <v>-15.1609657</v>
      </c>
      <c r="M132" s="2315">
        <f>L132-F132/12*$B$2</f>
        <v>-15.1609657</v>
      </c>
      <c r="N132" s="2315">
        <f>L132-E132</f>
        <v>-15.1609657</v>
      </c>
      <c r="R132" s="940"/>
    </row>
    <row r="133" spans="1:33">
      <c r="B133" s="2710"/>
      <c r="C133" s="2042" t="s">
        <v>1292</v>
      </c>
      <c r="D133" s="2043">
        <f>SUMIFS('#产量数据'!188:188,'#产量数据'!$1:$1,$B$1-1,'#产量数据'!$2:$2,$B$2)/10000</f>
        <v>42.554464899999985</v>
      </c>
      <c r="E133" s="2043">
        <f>SUMIFS('#产量数据'!188:188,'#产量数据'!$1:$1,$B$1-1,'#产量数据'!$2:$2,"&lt;="&amp;$B$2)/10000</f>
        <v>403.33766739999999</v>
      </c>
      <c r="F133" s="2523">
        <f>F134+F135+F136</f>
        <v>844</v>
      </c>
      <c r="G133" s="2043">
        <f>G134+G135+G136</f>
        <v>72.70442810000003</v>
      </c>
      <c r="H133" s="2043">
        <f>H134+H135+H136</f>
        <v>70.147556100000003</v>
      </c>
      <c r="I133" s="2045">
        <f t="shared" si="25"/>
        <v>27.593091200000018</v>
      </c>
      <c r="J133" s="2045">
        <f t="shared" si="26"/>
        <v>-0.18577723333332585</v>
      </c>
      <c r="K133" s="2045">
        <f t="shared" si="27"/>
        <v>-2.5568720000000269</v>
      </c>
      <c r="L133" s="2043">
        <f>L134+L135+L136</f>
        <v>547.79631269999993</v>
      </c>
      <c r="M133" s="2045">
        <f t="shared" si="24"/>
        <v>-14.870353966666698</v>
      </c>
      <c r="N133" s="2045">
        <f t="shared" si="28"/>
        <v>144.45864529999994</v>
      </c>
      <c r="R133" s="940">
        <f t="shared" si="33"/>
        <v>0.3581580818652792</v>
      </c>
    </row>
    <row r="134" spans="1:33">
      <c r="B134" s="2710"/>
      <c r="C134" s="1698" t="s">
        <v>1130</v>
      </c>
      <c r="D134" s="1727">
        <f>D124-D129</f>
        <v>42.554464899999978</v>
      </c>
      <c r="E134" s="1727">
        <f>E124-E129</f>
        <v>403.33766740000004</v>
      </c>
      <c r="F134" s="1727">
        <f>F124-F129</f>
        <v>741</v>
      </c>
      <c r="G134" s="1727">
        <f>SUMIFS('#产量数据'!188:188,'#产量数据'!$1:$1,$E$1,'#产量数据'!$2:$2,$E$2)/10000</f>
        <v>68.402428100000023</v>
      </c>
      <c r="H134" s="1727">
        <f>SUMIFS('#产量数据'!188:188,'#产量数据'!$1:$1,$B$1,'#产量数据'!$2:$2,$B$2)/10000</f>
        <v>69.981456100000003</v>
      </c>
      <c r="I134" s="749">
        <f>H134-D134</f>
        <v>27.426991200000025</v>
      </c>
      <c r="J134" s="749">
        <f>H134-F134/12</f>
        <v>8.2314561000000026</v>
      </c>
      <c r="K134" s="749">
        <f>H134-G134</f>
        <v>1.5790279999999797</v>
      </c>
      <c r="L134" s="1727">
        <f>SUMIFS('#产量数据'!188:188,'#产量数据'!$1:$1,$B$1,'#产量数据'!$2:$2,"&lt;="&amp;$B$2)/10000</f>
        <v>526.40811269999995</v>
      </c>
      <c r="M134" s="749">
        <f>L134-F134/12*$B$2</f>
        <v>32.408112699999947</v>
      </c>
      <c r="N134" s="749">
        <f>L134-E134</f>
        <v>123.0704452999999</v>
      </c>
      <c r="R134" s="940"/>
    </row>
    <row r="135" spans="1:33">
      <c r="B135" s="2710"/>
      <c r="C135" s="1698" t="s">
        <v>1233</v>
      </c>
      <c r="D135" s="1727">
        <f>D125-D130</f>
        <v>0</v>
      </c>
      <c r="E135" s="1727">
        <f>E125-E130</f>
        <v>0</v>
      </c>
      <c r="F135" s="1727">
        <f t="shared" ref="F135:G135" si="49">F125-F130</f>
        <v>103</v>
      </c>
      <c r="G135" s="1727">
        <f t="shared" si="49"/>
        <v>4.3019999999999996</v>
      </c>
      <c r="H135" s="1727">
        <f t="shared" ref="H135" si="50">H125-H130</f>
        <v>0.16610000000000014</v>
      </c>
      <c r="I135" s="749">
        <f t="shared" ref="I135:I136" si="51">H135-D135</f>
        <v>0.16610000000000014</v>
      </c>
      <c r="J135" s="749">
        <f t="shared" ref="J135:J136" si="52">H135-F135/12</f>
        <v>-8.4172333333333338</v>
      </c>
      <c r="K135" s="749">
        <f t="shared" ref="K135:K136" si="53">H135-G135</f>
        <v>-4.1358999999999995</v>
      </c>
      <c r="L135" s="1727">
        <f>L125-L130</f>
        <v>21.388200000000012</v>
      </c>
      <c r="M135" s="749">
        <f t="shared" ref="M135:M136" si="54">L135-F135/12*$B$2</f>
        <v>-47.27846666666666</v>
      </c>
      <c r="N135" s="749">
        <f t="shared" ref="N135:N136" si="55">L135-E135</f>
        <v>21.388200000000012</v>
      </c>
      <c r="R135" s="940"/>
    </row>
    <row r="136" spans="1:33">
      <c r="B136" s="2710"/>
      <c r="C136" s="1698" t="s">
        <v>1234</v>
      </c>
      <c r="D136" s="1727">
        <f>D126-D131</f>
        <v>0</v>
      </c>
      <c r="E136" s="1727">
        <f>E126-E131</f>
        <v>0</v>
      </c>
      <c r="F136" s="1727">
        <f t="shared" ref="F136:G136" si="56">F126-F131</f>
        <v>0</v>
      </c>
      <c r="G136" s="1727">
        <f t="shared" si="56"/>
        <v>0</v>
      </c>
      <c r="H136" s="1727">
        <f t="shared" ref="H136" si="57">H126-H131</f>
        <v>0</v>
      </c>
      <c r="I136" s="749">
        <f t="shared" si="51"/>
        <v>0</v>
      </c>
      <c r="J136" s="749">
        <f t="shared" si="52"/>
        <v>0</v>
      </c>
      <c r="K136" s="749">
        <f t="shared" si="53"/>
        <v>0</v>
      </c>
      <c r="L136" s="1727">
        <f>L126-L131</f>
        <v>0</v>
      </c>
      <c r="M136" s="749">
        <f t="shared" si="54"/>
        <v>0</v>
      </c>
      <c r="N136" s="749">
        <f t="shared" si="55"/>
        <v>0</v>
      </c>
      <c r="R136" s="940"/>
    </row>
    <row r="137" spans="1:33" s="798" customFormat="1">
      <c r="B137" s="931"/>
      <c r="C137" s="932"/>
      <c r="D137" s="933"/>
      <c r="E137" s="933"/>
      <c r="F137" s="934"/>
      <c r="G137" s="933"/>
      <c r="H137" s="933"/>
      <c r="I137" s="938"/>
      <c r="J137" s="938"/>
      <c r="K137" s="938"/>
      <c r="L137" s="933"/>
      <c r="M137" s="938"/>
      <c r="N137" s="938"/>
      <c r="R137" s="941"/>
      <c r="AG137" s="913"/>
    </row>
    <row r="138" spans="1:33" s="798" customFormat="1">
      <c r="A138" s="409" t="s">
        <v>69</v>
      </c>
      <c r="B138" s="931"/>
      <c r="C138" s="932"/>
      <c r="D138" s="933"/>
      <c r="E138" s="933"/>
      <c r="F138" s="934"/>
      <c r="G138" s="933"/>
      <c r="H138" s="933"/>
      <c r="I138" s="938"/>
      <c r="J138" s="938"/>
      <c r="K138" s="938"/>
      <c r="L138" s="933"/>
      <c r="M138" s="938"/>
      <c r="N138" s="938"/>
      <c r="R138" s="941"/>
      <c r="AG138" s="913"/>
    </row>
    <row r="139" spans="1:33" s="798" customFormat="1">
      <c r="A139" s="799"/>
      <c r="B139" s="2684" t="s">
        <v>3</v>
      </c>
      <c r="C139" s="2684"/>
      <c r="D139" s="2683" t="str">
        <f>E1&amp;"年"&amp;E2&amp;"月"</f>
        <v>2021年7月</v>
      </c>
      <c r="E139" s="2683"/>
      <c r="F139" s="2683" t="str">
        <f>($B$1)&amp;"年"&amp;$B$2&amp;"月"</f>
        <v>2021年8月</v>
      </c>
      <c r="G139" s="2683"/>
      <c r="H139" s="2684" t="s">
        <v>7</v>
      </c>
      <c r="I139" s="2684"/>
      <c r="J139" s="2684" t="s">
        <v>5</v>
      </c>
      <c r="K139" s="2684"/>
      <c r="L139" s="753"/>
      <c r="M139" s="753"/>
      <c r="N139" s="938"/>
      <c r="R139" s="941"/>
      <c r="AG139" s="913"/>
    </row>
    <row r="140" spans="1:33" s="798" customFormat="1">
      <c r="A140" s="799"/>
      <c r="B140" s="2684"/>
      <c r="C140" s="2684"/>
      <c r="D140" s="2048" t="s">
        <v>69</v>
      </c>
      <c r="E140" s="2048" t="s">
        <v>39</v>
      </c>
      <c r="F140" s="2048" t="s">
        <v>69</v>
      </c>
      <c r="G140" s="2048" t="s">
        <v>39</v>
      </c>
      <c r="H140" s="2048" t="s">
        <v>69</v>
      </c>
      <c r="I140" s="2048" t="s">
        <v>39</v>
      </c>
      <c r="J140" s="2048" t="s">
        <v>69</v>
      </c>
      <c r="K140" s="2048" t="s">
        <v>39</v>
      </c>
      <c r="L140" s="753"/>
      <c r="M140" s="753"/>
      <c r="N140" s="938"/>
      <c r="R140" s="941"/>
      <c r="AG140" s="913"/>
    </row>
    <row r="141" spans="1:33" s="798" customFormat="1">
      <c r="A141" s="799"/>
      <c r="B141" s="2682" t="s">
        <v>621</v>
      </c>
      <c r="C141" s="1811" t="s">
        <v>508</v>
      </c>
      <c r="D141" s="1812">
        <f>SUMIFS('#销量数据'!4:4,'#销量数据'!$1:$1,$E$1,'#销量数据'!$2:$2,$E$2,'#销量数据'!$3:$3,"销量")</f>
        <v>996170.45900000015</v>
      </c>
      <c r="E141" s="1812">
        <f>SUMIFS('#销量数据'!4:4,'#销量数据'!$1:$1,$E$1,'#销量数据'!$2:$2,$E$2,'#销量数据'!$3:$3,"收入")</f>
        <v>818452.46547517972</v>
      </c>
      <c r="F141" s="1812">
        <f>SUMIFS('#销量数据'!4:4,'#销量数据'!$1:$1,$B$1,'#销量数据'!$2:$2,$B$2,'#销量数据'!$3:$3,"销量")</f>
        <v>1001523</v>
      </c>
      <c r="G141" s="1812">
        <f>SUMIFS('#销量数据'!4:4,'#销量数据'!$1:$1,$B$1,'#销量数据'!$2:$2,$B$2,'#销量数据'!$3:$3,"收入")</f>
        <v>828207</v>
      </c>
      <c r="H141" s="1820">
        <f>F141-D141</f>
        <v>5352.5409999998519</v>
      </c>
      <c r="I141" s="1820">
        <f>G141-E141</f>
        <v>9754.5345248202793</v>
      </c>
      <c r="J141" s="1812">
        <f>SUMIFS('#销量数据'!4:4,'#销量数据'!$1:$1,$B$1,'#销量数据'!$2:$2,"&lt;="&amp;$B$2,'#销量数据'!$3:$3,"销量")</f>
        <v>7678849.7300000004</v>
      </c>
      <c r="K141" s="1812">
        <f>SUMIFS('#销量数据'!4:4,'#销量数据'!$1:$1,$B$1,'#销量数据'!$2:$2,"&lt;="&amp;$B$2,'#销量数据'!$3:$3,"收入")</f>
        <v>5796285.5924788695</v>
      </c>
      <c r="L141" s="753"/>
      <c r="M141" s="753"/>
      <c r="N141" s="938"/>
      <c r="R141" s="941"/>
      <c r="AG141" s="913"/>
    </row>
    <row r="142" spans="1:33" s="798" customFormat="1">
      <c r="A142" s="799"/>
      <c r="B142" s="2682"/>
      <c r="C142" s="1811" t="s">
        <v>509</v>
      </c>
      <c r="D142" s="1812">
        <f>SUMIFS('#销量数据'!5:5,'#销量数据'!$1:$1,$E$1,'#销量数据'!$2:$2,$E$2,'#销量数据'!$3:$3,"销量")</f>
        <v>666262.69000000006</v>
      </c>
      <c r="E142" s="1812">
        <f>SUMIFS('#销量数据'!5:5,'#销量数据'!$1:$1,$E$1,'#销量数据'!$2:$2,$E$2,'#销量数据'!$3:$3,"收入")</f>
        <v>338926.55758699996</v>
      </c>
      <c r="F142" s="1812">
        <f>SUMIFS('#销量数据'!5:5,'#销量数据'!$1:$1,$B$1,'#销量数据'!$2:$2,$B$2,'#销量数据'!$3:$3,"销量")</f>
        <v>701081</v>
      </c>
      <c r="G142" s="1812">
        <f>SUMIFS('#销量数据'!5:5,'#销量数据'!$1:$1,$B$1,'#销量数据'!$2:$2,$B$2,'#销量数据'!$3:$3,"收入")</f>
        <v>398602</v>
      </c>
      <c r="H142" s="1820">
        <f t="shared" ref="H142:I165" si="58">F142-D142</f>
        <v>34818.309999999939</v>
      </c>
      <c r="I142" s="1820">
        <f t="shared" si="58"/>
        <v>59675.442413000041</v>
      </c>
      <c r="J142" s="1812">
        <f>SUMIFS('#销量数据'!5:5,'#销量数据'!$1:$1,$B$1,'#销量数据'!$2:$2,"&lt;="&amp;$B$2,'#销量数据'!$3:$3,"销量")</f>
        <v>5297645.6490000002</v>
      </c>
      <c r="K142" s="1812">
        <f>SUMIFS('#销量数据'!5:5,'#销量数据'!$1:$1,$B$1,'#销量数据'!$2:$2,"&lt;="&amp;$B$2,'#销量数据'!$3:$3,"收入")</f>
        <v>2758675.199062</v>
      </c>
      <c r="L142" s="753"/>
      <c r="M142" s="753"/>
      <c r="AG142" s="913"/>
    </row>
    <row r="143" spans="1:33" s="798" customFormat="1">
      <c r="B143" s="2682"/>
      <c r="C143" s="1814" t="s">
        <v>302</v>
      </c>
      <c r="D143" s="1815">
        <f>SUMIFS('#销量数据'!10:10,'#销量数据'!$1:$1,$E$1,'#销量数据'!$2:$2,$E$2,'#销量数据'!$3:$3,"销量")</f>
        <v>267498.37900000002</v>
      </c>
      <c r="E143" s="1815">
        <f>SUMIFS('#销量数据'!10:10,'#销量数据'!$1:$1,$E$1,'#销量数据'!$2:$2,$E$2,'#销量数据'!$3:$3,"收入")</f>
        <v>114021.38394300001</v>
      </c>
      <c r="F143" s="1815">
        <f>SUMIFS('#销量数据'!10:10,'#销量数据'!$1:$1,$B$1,'#销量数据'!$2:$2,$B$2,'#销量数据'!$3:$3,"销量")</f>
        <v>271413</v>
      </c>
      <c r="G143" s="1815">
        <f>SUMIFS('#销量数据'!10:10,'#销量数据'!$1:$1,$B$1,'#销量数据'!$2:$2,$B$2,'#销量数据'!$3:$3,"收入")</f>
        <v>135755</v>
      </c>
      <c r="H143" s="1813">
        <f t="shared" si="58"/>
        <v>3914.6209999999846</v>
      </c>
      <c r="I143" s="1813">
        <f t="shared" si="58"/>
        <v>21733.616056999992</v>
      </c>
      <c r="J143" s="1815">
        <f>SUMIFS('#销量数据'!10:10,'#销量数据'!$1:$1,$B$1,'#销量数据'!$2:$2,"&lt;="&amp;$B$2,'#销量数据'!$3:$3,"销量")</f>
        <v>2176398.9419999998</v>
      </c>
      <c r="K143" s="1815">
        <f>SUMIFS('#销量数据'!10:10,'#销量数据'!$1:$1,$B$1,'#销量数据'!$2:$2,"&lt;="&amp;$B$2,'#销量数据'!$3:$3,"收入")</f>
        <v>994378.5219569999</v>
      </c>
      <c r="L143" s="753"/>
      <c r="M143" s="753"/>
      <c r="AG143" s="913"/>
    </row>
    <row r="144" spans="1:33" s="798" customFormat="1">
      <c r="B144" s="2682"/>
      <c r="C144" s="1814" t="s">
        <v>307</v>
      </c>
      <c r="D144" s="1815">
        <f>SUMIFS('#销量数据'!15:15,'#销量数据'!$1:$1,$E$1,'#销量数据'!$2:$2,$E$2,'#销量数据'!$3:$3,"销量")</f>
        <v>8378.6720000000005</v>
      </c>
      <c r="E144" s="1815">
        <f>SUMIFS('#销量数据'!15:15,'#销量数据'!$1:$1,$E$1,'#销量数据'!$2:$2,$E$2,'#销量数据'!$3:$3,"收入")</f>
        <v>4527.171797</v>
      </c>
      <c r="F144" s="1815">
        <f>SUMIFS('#销量数据'!15:15,'#销量数据'!$1:$1,$B$1,'#销量数据'!$2:$2,$B$2,'#销量数据'!$3:$3,"销量")</f>
        <v>10972</v>
      </c>
      <c r="G144" s="1815">
        <f>SUMIFS('#销量数据'!15:15,'#销量数据'!$1:$1,$B$1,'#销量数据'!$2:$2,$B$2,'#销量数据'!$3:$3,"收入")</f>
        <v>6081</v>
      </c>
      <c r="H144" s="1813">
        <f t="shared" si="58"/>
        <v>2593.3279999999995</v>
      </c>
      <c r="I144" s="1813">
        <f t="shared" si="58"/>
        <v>1553.828203</v>
      </c>
      <c r="J144" s="1815">
        <f>SUMIFS('#销量数据'!15:15,'#销量数据'!$1:$1,$B$1,'#销量数据'!$2:$2,"&lt;="&amp;$B$2,'#销量数据'!$3:$3,"销量")</f>
        <v>50397.014000000003</v>
      </c>
      <c r="K144" s="1815">
        <f>SUMIFS('#销量数据'!15:15,'#销量数据'!$1:$1,$B$1,'#销量数据'!$2:$2,"&lt;="&amp;$B$2,'#销量数据'!$3:$3,"收入")</f>
        <v>28526.633825000001</v>
      </c>
      <c r="L144" s="753"/>
      <c r="M144" s="753"/>
      <c r="AG144" s="913"/>
    </row>
    <row r="145" spans="1:33" s="798" customFormat="1">
      <c r="B145" s="2682"/>
      <c r="C145" s="1814" t="s">
        <v>308</v>
      </c>
      <c r="D145" s="1815">
        <f>SUMIFS('#销量数据'!16:16,'#销量数据'!$1:$1,$E$1,'#销量数据'!$2:$2,$E$2,'#销量数据'!$3:$3,"销量")</f>
        <v>24048.125</v>
      </c>
      <c r="E145" s="1815">
        <f>SUMIFS('#销量数据'!16:16,'#销量数据'!$1:$1,$E$1,'#销量数据'!$2:$2,$E$2,'#销量数据'!$3:$3,"收入")</f>
        <v>13047.097356999999</v>
      </c>
      <c r="F145" s="1815">
        <f>SUMIFS('#销量数据'!16:16,'#销量数据'!$1:$1,$B$1,'#销量数据'!$2:$2,$B$2,'#销量数据'!$3:$3,"销量")</f>
        <v>21972</v>
      </c>
      <c r="G145" s="1815">
        <f>SUMIFS('#销量数据'!16:16,'#销量数据'!$1:$1,$B$1,'#销量数据'!$2:$2,$B$2,'#销量数据'!$3:$3,"收入")</f>
        <v>12288</v>
      </c>
      <c r="H145" s="1813">
        <f t="shared" si="58"/>
        <v>-2076.125</v>
      </c>
      <c r="I145" s="1813">
        <f t="shared" si="58"/>
        <v>-759.09735699999874</v>
      </c>
      <c r="J145" s="1815">
        <f>SUMIFS('#销量数据'!16:16,'#销量数据'!$1:$1,$B$1,'#销量数据'!$2:$2,"&lt;="&amp;$B$2,'#销量数据'!$3:$3,"销量")</f>
        <v>178770.10800000001</v>
      </c>
      <c r="K145" s="1815">
        <f>SUMIFS('#销量数据'!16:16,'#销量数据'!$1:$1,$B$1,'#销量数据'!$2:$2,"&lt;="&amp;$B$2,'#销量数据'!$3:$3,"收入")</f>
        <v>92030.807952000003</v>
      </c>
      <c r="L145" s="753"/>
      <c r="M145" s="753"/>
      <c r="AG145" s="913"/>
    </row>
    <row r="146" spans="1:33" s="798" customFormat="1">
      <c r="B146" s="2682"/>
      <c r="C146" s="1814" t="s">
        <v>309</v>
      </c>
      <c r="D146" s="1815">
        <f>SUMIFS('#销量数据'!18:18,'#销量数据'!$1:$1,$E$1,'#销量数据'!$2:$2,$E$2,'#销量数据'!$3:$3,"销量")</f>
        <v>77336.464999999997</v>
      </c>
      <c r="E146" s="1815">
        <f>SUMIFS('#销量数据'!18:18,'#销量数据'!$1:$1,$E$1,'#销量数据'!$2:$2,$E$2,'#销量数据'!$3:$3,"收入")</f>
        <v>64189.400017999993</v>
      </c>
      <c r="F146" s="1815">
        <f>SUMIFS('#销量数据'!18:18,'#销量数据'!$1:$1,$B$1,'#销量数据'!$2:$2,$B$2,'#销量数据'!$3:$3,"销量")</f>
        <v>95038</v>
      </c>
      <c r="G146" s="1815">
        <f>SUMIFS('#销量数据'!18:18,'#销量数据'!$1:$1,$B$1,'#销量数据'!$2:$2,$B$2,'#销量数据'!$3:$3,"收入")</f>
        <v>77770</v>
      </c>
      <c r="H146" s="1813">
        <f t="shared" si="58"/>
        <v>17701.535000000003</v>
      </c>
      <c r="I146" s="1813">
        <f t="shared" si="58"/>
        <v>13580.599982000007</v>
      </c>
      <c r="J146" s="1815">
        <f>SUMIFS('#销量数据'!18:18,'#销量数据'!$1:$1,$B$1,'#销量数据'!$2:$2,"&lt;="&amp;$B$2,'#销量数据'!$3:$3,"销量")</f>
        <v>708547.8139999999</v>
      </c>
      <c r="K146" s="1815">
        <f>SUMIFS('#销量数据'!18:18,'#销量数据'!$1:$1,$B$1,'#销量数据'!$2:$2,"&lt;="&amp;$B$2,'#销量数据'!$3:$3,"收入")</f>
        <v>541028.87360399996</v>
      </c>
      <c r="L146" s="753"/>
      <c r="M146" s="753"/>
      <c r="AG146" s="913"/>
    </row>
    <row r="147" spans="1:33" s="798" customFormat="1">
      <c r="B147" s="2682"/>
      <c r="C147" s="1814" t="s">
        <v>312</v>
      </c>
      <c r="D147" s="1815">
        <f>SUMIFS('#销量数据'!21:21,'#销量数据'!$1:$1,$E$1,'#销量数据'!$2:$2,$E$2,'#销量数据'!$3:$3,"销量")</f>
        <v>259687.47500000001</v>
      </c>
      <c r="E147" s="1815">
        <f>SUMIFS('#销量数据'!21:21,'#销量数据'!$1:$1,$E$1,'#销量数据'!$2:$2,$E$2,'#销量数据'!$3:$3,"收入")</f>
        <v>128772.23929300001</v>
      </c>
      <c r="F147" s="1815">
        <f>SUMIFS('#销量数据'!21:21,'#销量数据'!$1:$1,$B$1,'#销量数据'!$2:$2,$B$2,'#销量数据'!$3:$3,"销量")</f>
        <v>268879</v>
      </c>
      <c r="G147" s="1815">
        <f>SUMIFS('#销量数据'!21:21,'#销量数据'!$1:$1,$B$1,'#销量数据'!$2:$2,$B$2,'#销量数据'!$3:$3,"收入")</f>
        <v>150231</v>
      </c>
      <c r="H147" s="1813">
        <f t="shared" si="58"/>
        <v>9191.5249999999942</v>
      </c>
      <c r="I147" s="1813">
        <f t="shared" si="58"/>
        <v>21458.760706999994</v>
      </c>
      <c r="J147" s="1815">
        <f>SUMIFS('#销量数据'!21:21,'#销量数据'!$1:$1,$B$1,'#销量数据'!$2:$2,"&lt;="&amp;$B$2,'#销量数据'!$3:$3,"销量")</f>
        <v>1921198.7790000001</v>
      </c>
      <c r="K147" s="1815">
        <f>SUMIFS('#销量数据'!21:21,'#销量数据'!$1:$1,$B$1,'#销量数据'!$2:$2,"&lt;="&amp;$B$2,'#销量数据'!$3:$3,"收入")</f>
        <v>968366.76408699993</v>
      </c>
      <c r="L147" s="753"/>
      <c r="M147" s="753"/>
      <c r="AG147" s="913"/>
    </row>
    <row r="148" spans="1:33" s="798" customFormat="1">
      <c r="B148" s="2682"/>
      <c r="C148" s="1814" t="s">
        <v>523</v>
      </c>
      <c r="D148" s="1815">
        <f>SUMIFS('#销量数据'!26:26,'#销量数据'!$1:$1,$E$1,'#销量数据'!$2:$2,$E$2,'#销量数据'!$3:$3,"销量")</f>
        <v>29313.574000000001</v>
      </c>
      <c r="E148" s="1815">
        <f>SUMIFS('#销量数据'!26:26,'#销量数据'!$1:$1,$E$1,'#销量数据'!$2:$2,$E$2,'#销量数据'!$3:$3,"收入")</f>
        <v>14369.265179</v>
      </c>
      <c r="F148" s="1815">
        <f>SUMIFS('#销量数据'!26:26,'#销量数据'!$1:$1,$B$1,'#销量数据'!$2:$2,$B$2,'#销量数据'!$3:$3,"销量")</f>
        <v>29905</v>
      </c>
      <c r="G148" s="1815">
        <f>SUMIFS('#销量数据'!26:26,'#销量数据'!$1:$1,$B$1,'#销量数据'!$2:$2,$B$2,'#销量数据'!$3:$3,"收入")</f>
        <v>14736</v>
      </c>
      <c r="H148" s="1813">
        <f t="shared" si="58"/>
        <v>591.42599999999948</v>
      </c>
      <c r="I148" s="1813">
        <f t="shared" si="58"/>
        <v>366.73482100000001</v>
      </c>
      <c r="J148" s="1815">
        <f>SUMIFS('#销量数据'!26:26,'#销量数据'!$1:$1,$B$1,'#销量数据'!$2:$2,"&lt;="&amp;$B$2,'#销量数据'!$3:$3,"销量")</f>
        <v>240551.01199999999</v>
      </c>
      <c r="K148" s="1815">
        <f>SUMIFS('#销量数据'!26:26,'#销量数据'!$1:$1,$B$1,'#销量数据'!$2:$2,"&lt;="&amp;$B$2,'#销量数据'!$3:$3,"收入")</f>
        <v>121304.16613899999</v>
      </c>
      <c r="L148" s="753"/>
      <c r="M148" s="753"/>
      <c r="AG148" s="913"/>
    </row>
    <row r="149" spans="1:33" s="798" customFormat="1">
      <c r="A149" s="799"/>
      <c r="B149" s="2682"/>
      <c r="C149" s="1811" t="s">
        <v>526</v>
      </c>
      <c r="D149" s="1812">
        <f>SUMIFS('#销量数据'!29:29,'#销量数据'!$1:$1,$E$1,'#销量数据'!$2:$2,$E$2,'#销量数据'!$3:$3,"销量")</f>
        <v>329155.77400000003</v>
      </c>
      <c r="E149" s="1812">
        <f>SUMIFS('#销量数据'!29:29,'#销量数据'!$1:$1,$E$1,'#销量数据'!$2:$2,$E$2,'#销量数据'!$3:$3,"收入")</f>
        <v>477996.00449317973</v>
      </c>
      <c r="F149" s="1812">
        <f>SUMIFS('#销量数据'!29:29,'#销量数据'!$1:$1,$B$1,'#销量数据'!$2:$2,$B$2,'#销量数据'!$3:$3,"销量")</f>
        <v>299791</v>
      </c>
      <c r="G149" s="1812">
        <f>SUMIFS('#销量数据'!29:29,'#销量数据'!$1:$1,$B$1,'#销量数据'!$2:$2,$B$2,'#销量数据'!$3:$3,"收入")</f>
        <v>428200</v>
      </c>
      <c r="H149" s="1820">
        <f t="shared" si="58"/>
        <v>-29364.774000000034</v>
      </c>
      <c r="I149" s="1820">
        <f t="shared" si="58"/>
        <v>-49796.004493179731</v>
      </c>
      <c r="J149" s="1812">
        <f>SUMIFS('#销量数据'!29:29,'#销量数据'!$1:$1,$B$1,'#销量数据'!$2:$2,"&lt;="&amp;$B$2,'#销量数据'!$3:$3,"销量")</f>
        <v>2378311.665</v>
      </c>
      <c r="K149" s="1812">
        <f>SUMIFS('#销量数据'!29:29,'#销量数据'!$1:$1,$B$1,'#销量数据'!$2:$2,"&lt;="&amp;$B$2,'#销量数据'!$3:$3,"收入")</f>
        <v>3031861.6943338695</v>
      </c>
      <c r="L149" s="753"/>
      <c r="M149" s="753"/>
      <c r="N149" s="938"/>
      <c r="R149" s="941"/>
      <c r="AG149" s="913"/>
    </row>
    <row r="150" spans="1:33" s="798" customFormat="1">
      <c r="B150" s="2682"/>
      <c r="C150" s="1814" t="s">
        <v>302</v>
      </c>
      <c r="D150" s="1815">
        <f>SUMIFS('#销量数据'!34:34,'#销量数据'!$1:$1,$E$1,'#销量数据'!$2:$2,$E$2,'#销量数据'!$3:$3,"销量")</f>
        <v>1649.8879999999999</v>
      </c>
      <c r="E150" s="1815">
        <f>SUMIFS('#销量数据'!34:34,'#销量数据'!$1:$1,$E$1,'#销量数据'!$2:$2,$E$2,'#销量数据'!$3:$3,"收入")</f>
        <v>3353.2438520000001</v>
      </c>
      <c r="F150" s="1815">
        <f>SUMIFS('#销量数据'!34:34,'#销量数据'!$1:$1,$B$1,'#销量数据'!$2:$2,$B$2,'#销量数据'!$3:$3,"销量")</f>
        <v>1035</v>
      </c>
      <c r="G150" s="1815">
        <f>SUMIFS('#销量数据'!34:34,'#销量数据'!$1:$1,$B$1,'#销量数据'!$2:$2,$B$2,'#销量数据'!$3:$3,"收入")</f>
        <v>2484</v>
      </c>
      <c r="H150" s="1813">
        <f t="shared" si="58"/>
        <v>-614.88799999999992</v>
      </c>
      <c r="I150" s="1813">
        <f t="shared" si="58"/>
        <v>-869.24385200000006</v>
      </c>
      <c r="J150" s="1815">
        <f>SUMIFS('#销量数据'!34:34,'#销量数据'!$1:$1,$B$1,'#销量数据'!$2:$2,"&lt;="&amp;$B$2,'#销量数据'!$3:$3,"销量")</f>
        <v>10652.914000000001</v>
      </c>
      <c r="K150" s="1815">
        <f>SUMIFS('#销量数据'!34:34,'#销量数据'!$1:$1,$B$1,'#销量数据'!$2:$2,"&lt;="&amp;$B$2,'#销量数据'!$3:$3,"收入")</f>
        <v>20412.213674999999</v>
      </c>
      <c r="L150" s="753"/>
      <c r="M150" s="939"/>
      <c r="N150" s="938"/>
      <c r="R150" s="941"/>
      <c r="AG150" s="913"/>
    </row>
    <row r="151" spans="1:33" s="798" customFormat="1">
      <c r="B151" s="2682"/>
      <c r="C151" s="1814" t="s">
        <v>307</v>
      </c>
      <c r="D151" s="1815">
        <f>SUMIFS('#销量数据'!39:39,'#销量数据'!$1:$1,$E$1,'#销量数据'!$2:$2,$E$2,'#销量数据'!$3:$3,"销量")</f>
        <v>6196.5990000000002</v>
      </c>
      <c r="E151" s="1815">
        <f>SUMIFS('#销量数据'!39:39,'#销量数据'!$1:$1,$E$1,'#销量数据'!$2:$2,$E$2,'#销量数据'!$3:$3,"收入")</f>
        <v>9796.4790919999996</v>
      </c>
      <c r="F151" s="1815">
        <f>SUMIFS('#销量数据'!39:39,'#销量数据'!$1:$1,$B$1,'#销量数据'!$2:$2,$B$2,'#销量数据'!$3:$3,"销量")</f>
        <v>6502</v>
      </c>
      <c r="G151" s="1815">
        <f>SUMIFS('#销量数据'!39:39,'#销量数据'!$1:$1,$B$1,'#销量数据'!$2:$2,$B$2,'#销量数据'!$3:$3,"收入")</f>
        <v>12732</v>
      </c>
      <c r="H151" s="1813">
        <f t="shared" si="58"/>
        <v>305.40099999999984</v>
      </c>
      <c r="I151" s="1813">
        <f t="shared" si="58"/>
        <v>2935.5209080000004</v>
      </c>
      <c r="J151" s="1815">
        <f>SUMIFS('#销量数据'!39:39,'#销量数据'!$1:$1,$B$1,'#销量数据'!$2:$2,"&lt;="&amp;$B$2,'#销量数据'!$3:$3,"销量")</f>
        <v>45702.252</v>
      </c>
      <c r="K151" s="1815">
        <f>SUMIFS('#销量数据'!39:39,'#销量数据'!$1:$1,$B$1,'#销量数据'!$2:$2,"&lt;="&amp;$B$2,'#销量数据'!$3:$3,"收入")</f>
        <v>70557.160556000003</v>
      </c>
      <c r="L151" s="753"/>
      <c r="M151" s="753"/>
      <c r="N151" s="938"/>
      <c r="R151" s="941"/>
      <c r="AG151" s="913"/>
    </row>
    <row r="152" spans="1:33" s="798" customFormat="1">
      <c r="B152" s="2682"/>
      <c r="C152" s="1814" t="s">
        <v>308</v>
      </c>
      <c r="D152" s="1815">
        <f>SUMIFS('#销量数据'!40:40,'#销量数据'!$1:$1,$E$1,'#销量数据'!$2:$2,$E$2,'#销量数据'!$3:$3,"销量")</f>
        <v>9550.3130000000001</v>
      </c>
      <c r="E152" s="1815">
        <f>SUMIFS('#销量数据'!40:40,'#销量数据'!$1:$1,$E$1,'#销量数据'!$2:$2,$E$2,'#销量数据'!$3:$3,"收入")</f>
        <v>16666.619207</v>
      </c>
      <c r="F152" s="1815">
        <f>SUMIFS('#销量数据'!40:40,'#销量数据'!$1:$1,$B$1,'#销量数据'!$2:$2,$B$2,'#销量数据'!$3:$3,"销量")</f>
        <v>10576</v>
      </c>
      <c r="G152" s="1815">
        <f>SUMIFS('#销量数据'!40:40,'#销量数据'!$1:$1,$B$1,'#销量数据'!$2:$2,$B$2,'#销量数据'!$3:$3,"收入")</f>
        <v>18682</v>
      </c>
      <c r="H152" s="1813">
        <f t="shared" si="58"/>
        <v>1025.6869999999999</v>
      </c>
      <c r="I152" s="1813">
        <f t="shared" si="58"/>
        <v>2015.3807930000003</v>
      </c>
      <c r="J152" s="1815">
        <f>SUMIFS('#销量数据'!40:40,'#销量数据'!$1:$1,$B$1,'#销量数据'!$2:$2,"&lt;="&amp;$B$2,'#销量数据'!$3:$3,"销量")</f>
        <v>82572.663</v>
      </c>
      <c r="K152" s="1815">
        <f>SUMIFS('#销量数据'!40:40,'#销量数据'!$1:$1,$B$1,'#销量数据'!$2:$2,"&lt;="&amp;$B$2,'#销量数据'!$3:$3,"收入")</f>
        <v>140483.98625000002</v>
      </c>
      <c r="L152" s="753"/>
      <c r="M152" s="753"/>
      <c r="N152" s="938"/>
      <c r="R152" s="941"/>
      <c r="AG152" s="913"/>
    </row>
    <row r="153" spans="1:33" s="798" customFormat="1">
      <c r="B153" s="2682"/>
      <c r="C153" s="1814" t="s">
        <v>312</v>
      </c>
      <c r="D153" s="1815">
        <f>SUMIFS('#销量数据'!45:45,'#销量数据'!$1:$1,$E$1,'#销量数据'!$2:$2,$E$2,'#销量数据'!$3:$3,"销量")</f>
        <v>19064.34</v>
      </c>
      <c r="E153" s="1815">
        <f>SUMIFS('#销量数据'!45:45,'#销量数据'!$1:$1,$E$1,'#销量数据'!$2:$2,$E$2,'#销量数据'!$3:$3,"收入")</f>
        <v>19832.380198999999</v>
      </c>
      <c r="F153" s="1815">
        <f>SUMIFS('#销量数据'!45:45,'#销量数据'!$1:$1,$B$1,'#销量数据'!$2:$2,$B$2,'#销量数据'!$3:$3,"销量")</f>
        <v>15906</v>
      </c>
      <c r="G153" s="1815">
        <f>SUMIFS('#销量数据'!45:45,'#销量数据'!$1:$1,$B$1,'#销量数据'!$2:$2,$B$2,'#销量数据'!$3:$3,"收入")</f>
        <v>14473</v>
      </c>
      <c r="H153" s="1813">
        <f t="shared" si="58"/>
        <v>-3158.34</v>
      </c>
      <c r="I153" s="1813">
        <f t="shared" si="58"/>
        <v>-5359.3801989999993</v>
      </c>
      <c r="J153" s="1815">
        <f>SUMIFS('#销量数据'!45:45,'#销量数据'!$1:$1,$B$1,'#销量数据'!$2:$2,"&lt;="&amp;$B$2,'#销量数据'!$3:$3,"销量")</f>
        <v>189199.35</v>
      </c>
      <c r="K153" s="1815">
        <f>SUMIFS('#销量数据'!45:45,'#销量数据'!$1:$1,$B$1,'#销量数据'!$2:$2,"&lt;="&amp;$B$2,'#销量数据'!$3:$3,"收入")</f>
        <v>178752.76423299999</v>
      </c>
      <c r="L153" s="753"/>
      <c r="M153" s="753"/>
      <c r="N153" s="938"/>
      <c r="R153" s="941"/>
      <c r="AG153" s="913"/>
    </row>
    <row r="154" spans="1:33" s="798" customFormat="1">
      <c r="B154" s="2682"/>
      <c r="C154" s="1814" t="s">
        <v>523</v>
      </c>
      <c r="D154" s="1815">
        <f>SUMIFS('#销量数据'!50:50,'#销量数据'!$1:$1,$E$1,'#销量数据'!$2:$2,$E$2,'#销量数据'!$3:$3,"销量")</f>
        <v>13412.45</v>
      </c>
      <c r="E154" s="1815">
        <f>SUMIFS('#销量数据'!50:50,'#销量数据'!$1:$1,$E$1,'#销量数据'!$2:$2,$E$2,'#销量数据'!$3:$3,"收入")</f>
        <v>27983.470576</v>
      </c>
      <c r="F154" s="1815">
        <f>SUMIFS('#销量数据'!50:50,'#销量数据'!$1:$1,$B$1,'#销量数据'!$2:$2,$B$2,'#销量数据'!$3:$3,"销量")</f>
        <v>13324</v>
      </c>
      <c r="G154" s="1815">
        <f>SUMIFS('#销量数据'!50:50,'#销量数据'!$1:$1,$B$1,'#销量数据'!$2:$2,$B$2,'#销量数据'!$3:$3,"收入")</f>
        <v>28350</v>
      </c>
      <c r="H154" s="1813">
        <f t="shared" si="58"/>
        <v>-88.450000000000728</v>
      </c>
      <c r="I154" s="1813">
        <f t="shared" si="58"/>
        <v>366.52942400000029</v>
      </c>
      <c r="J154" s="1815">
        <f>SUMIFS('#销量数据'!50:50,'#销量数据'!$1:$1,$B$1,'#销量数据'!$2:$2,"&lt;="&amp;$B$2,'#销量数据'!$3:$3,"销量")</f>
        <v>98617.162000000011</v>
      </c>
      <c r="K154" s="1815">
        <f>SUMIFS('#销量数据'!50:50,'#销量数据'!$1:$1,$B$1,'#销量数据'!$2:$2,"&lt;="&amp;$B$2,'#销量数据'!$3:$3,"收入")</f>
        <v>202100.20300599997</v>
      </c>
      <c r="L154" s="753"/>
      <c r="M154" s="753"/>
      <c r="N154" s="938"/>
      <c r="R154" s="941"/>
      <c r="AG154" s="913"/>
    </row>
    <row r="155" spans="1:33" s="798" customFormat="1">
      <c r="B155" s="2682"/>
      <c r="C155" s="1814" t="s">
        <v>315</v>
      </c>
      <c r="D155" s="1815">
        <f>SUMIFS('#销量数据'!51:51,'#销量数据'!$1:$1,$E$1,'#销量数据'!$2:$2,$E$2,'#销量数据'!$3:$3,"销量")</f>
        <v>281581.17800000001</v>
      </c>
      <c r="E155" s="1815">
        <f>SUMIFS('#销量数据'!51:51,'#销量数据'!$1:$1,$E$1,'#销量数据'!$2:$2,$E$2,'#销量数据'!$3:$3,"收入")</f>
        <v>380893.19505599997</v>
      </c>
      <c r="F155" s="1815">
        <f>SUMIFS('#销量数据'!51:51,'#销量数据'!$1:$1,$B$1,'#销量数据'!$2:$2,$B$2,'#销量数据'!$3:$3,"销量")</f>
        <v>255665</v>
      </c>
      <c r="G155" s="1815">
        <f>SUMIFS('#销量数据'!51:51,'#销量数据'!$1:$1,$B$1,'#销量数据'!$2:$2,$B$2,'#销量数据'!$3:$3,"收入")</f>
        <v>373603</v>
      </c>
      <c r="H155" s="1813">
        <f t="shared" si="58"/>
        <v>-25916.178000000014</v>
      </c>
      <c r="I155" s="1813">
        <f t="shared" si="58"/>
        <v>-7290.1950559999677</v>
      </c>
      <c r="J155" s="1815">
        <f>SUMIFS('#销量数据'!51:51,'#销量数据'!$1:$1,$B$1,'#销量数据'!$2:$2,"&lt;="&amp;$B$2,'#销量数据'!$3:$3,"销量")</f>
        <v>1961796.7250000001</v>
      </c>
      <c r="K155" s="1815">
        <f>SUMIFS('#销量数据'!51:51,'#销量数据'!$1:$1,$B$1,'#销量数据'!$2:$2,"&lt;="&amp;$B$2,'#销量数据'!$3:$3,"收入")</f>
        <v>2478500.4190989998</v>
      </c>
      <c r="L155" s="753"/>
      <c r="M155" s="753"/>
      <c r="N155" s="938"/>
      <c r="R155" s="941"/>
      <c r="AG155" s="913"/>
    </row>
    <row r="156" spans="1:33" s="798" customFormat="1">
      <c r="A156" s="799"/>
      <c r="B156" s="2682"/>
      <c r="C156" s="1811" t="s">
        <v>537</v>
      </c>
      <c r="D156" s="1812">
        <f>SUMIFS('#销量数据'!60:60,'#销量数据'!$1:$1,$E$1,'#销量数据'!$2:$2,$E$2,'#销量数据'!$3:$3,"销量")</f>
        <v>2529.44</v>
      </c>
      <c r="E156" s="1812">
        <f>SUMIFS('#销量数据'!60:60,'#销量数据'!$1:$1,$E$1,'#销量数据'!$2:$2,$E$2,'#销量数据'!$3:$3,"收入")</f>
        <v>8321.2097639999993</v>
      </c>
      <c r="F156" s="1812">
        <f>SUMIFS('#销量数据'!60:60,'#销量数据'!$1:$1,$B$1,'#销量数据'!$2:$2,$B$2,'#销量数据'!$3:$3,"销量")</f>
        <v>2695</v>
      </c>
      <c r="G156" s="1812">
        <f>SUMIFS('#销量数据'!60:60,'#销量数据'!$1:$1,$B$1,'#销量数据'!$2:$2,$B$2,'#销量数据'!$3:$3,"收入")</f>
        <v>7796</v>
      </c>
      <c r="H156" s="1813">
        <f t="shared" si="58"/>
        <v>165.55999999999995</v>
      </c>
      <c r="I156" s="1813">
        <f t="shared" si="58"/>
        <v>-525.20976399999927</v>
      </c>
      <c r="J156" s="1812">
        <f>SUMIFS('#销量数据'!60:60,'#销量数据'!$1:$1,$B$1,'#销量数据'!$2:$2,"&lt;="&amp;$B$2,'#销量数据'!$3:$3,"销量")</f>
        <v>16994.383000000002</v>
      </c>
      <c r="K156" s="1812">
        <f>SUMIFS('#销量数据'!60:60,'#销量数据'!$1:$1,$B$1,'#销量数据'!$2:$2,"&lt;="&amp;$B$2,'#销量数据'!$3:$3,"收入")</f>
        <v>49704.770243999999</v>
      </c>
      <c r="L156" s="753"/>
      <c r="M156" s="753"/>
      <c r="N156" s="938"/>
      <c r="R156" s="941"/>
      <c r="AG156" s="913"/>
    </row>
    <row r="157" spans="1:33" s="798" customFormat="1">
      <c r="A157" s="799"/>
      <c r="B157" s="2682"/>
      <c r="C157" s="1811" t="s">
        <v>540</v>
      </c>
      <c r="D157" s="1812">
        <f>SUMIFS('#销量数据'!63:63,'#销量数据'!$1:$1,$E$1,'#销量数据'!$2:$2,$E$2,'#销量数据'!$3:$3,"销量")</f>
        <v>1921.3920000000001</v>
      </c>
      <c r="E157" s="1812">
        <f>SUMIFS('#销量数据'!63:63,'#销量数据'!$1:$1,$E$1,'#销量数据'!$2:$2,$E$2,'#销量数据'!$3:$3,"收入")</f>
        <v>5070.6117450000002</v>
      </c>
      <c r="F157" s="1812">
        <f>SUMIFS('#销量数据'!63:63,'#销量数据'!$1:$1,$B$1,'#销量数据'!$2:$2,$B$2,'#销量数据'!$3:$3,"销量")</f>
        <v>2314</v>
      </c>
      <c r="G157" s="1812">
        <f>SUMIFS('#销量数据'!63:63,'#销量数据'!$1:$1,$B$1,'#销量数据'!$2:$2,$B$2,'#销量数据'!$3:$3,"收入")</f>
        <v>5881</v>
      </c>
      <c r="H157" s="1813">
        <f t="shared" si="58"/>
        <v>392.60799999999995</v>
      </c>
      <c r="I157" s="1813">
        <f t="shared" si="58"/>
        <v>810.38825499999984</v>
      </c>
      <c r="J157" s="1812">
        <f>SUMIFS('#销量数据'!63:63,'#销量数据'!$1:$1,$B$1,'#销量数据'!$2:$2,"&lt;="&amp;$B$2,'#销量数据'!$3:$3,"销量")</f>
        <v>16366.182000000001</v>
      </c>
      <c r="K157" s="1812">
        <f>SUMIFS('#销量数据'!63:63,'#销量数据'!$1:$1,$B$1,'#销量数据'!$2:$2,"&lt;="&amp;$B$2,'#销量数据'!$3:$3,"收入")</f>
        <v>40841.449156000002</v>
      </c>
      <c r="L157" s="753"/>
      <c r="M157" s="753"/>
      <c r="N157" s="938"/>
      <c r="R157" s="941"/>
      <c r="AG157" s="913"/>
    </row>
    <row r="158" spans="1:33" s="798" customFormat="1">
      <c r="A158" s="799"/>
      <c r="B158" s="2682"/>
      <c r="C158" s="1811" t="s">
        <v>541</v>
      </c>
      <c r="D158" s="1812">
        <f>SUMIFS('#销量数据'!64:64,'#销量数据'!$1:$1,$E$1,'#销量数据'!$2:$2,$E$2,'#销量数据'!$3:$3,"销量")</f>
        <v>0</v>
      </c>
      <c r="E158" s="1812">
        <f>SUMIFS('#销量数据'!64:64,'#销量数据'!$1:$1,$E$1,'#销量数据'!$2:$2,$E$2,'#销量数据'!$3:$3,"收入")</f>
        <v>0</v>
      </c>
      <c r="F158" s="1812">
        <f>SUMIFS('#销量数据'!64:64,'#销量数据'!$1:$1,$B$1,'#销量数据'!$2:$2,$B$2,'#销量数据'!$3:$3,"销量")</f>
        <v>0</v>
      </c>
      <c r="G158" s="1812">
        <f>SUMIFS('#销量数据'!64:64,'#销量数据'!$1:$1,$B$1,'#销量数据'!$2:$2,$B$2,'#销量数据'!$3:$3,"收入")</f>
        <v>0</v>
      </c>
      <c r="H158" s="1813">
        <f t="shared" si="58"/>
        <v>0</v>
      </c>
      <c r="I158" s="1813">
        <f t="shared" si="58"/>
        <v>0</v>
      </c>
      <c r="J158" s="1812">
        <f>SUMIFS('#销量数据'!64:64,'#销量数据'!$1:$1,$B$1,'#销量数据'!$2:$2,"&lt;="&amp;$B$2,'#销量数据'!$3:$3,"销量")</f>
        <v>708.16700000000003</v>
      </c>
      <c r="K158" s="1812">
        <f>SUMIFS('#销量数据'!64:64,'#销量数据'!$1:$1,$B$1,'#销量数据'!$2:$2,"&lt;="&amp;$B$2,'#销量数据'!$3:$3,"收入")</f>
        <v>612.28126699999996</v>
      </c>
      <c r="L158" s="753"/>
      <c r="M158" s="753"/>
      <c r="N158" s="938"/>
      <c r="R158" s="941"/>
      <c r="AG158" s="913"/>
    </row>
    <row r="159" spans="1:33" s="798" customFormat="1">
      <c r="A159" s="799"/>
      <c r="B159" s="2682"/>
      <c r="C159" s="1811" t="s">
        <v>543</v>
      </c>
      <c r="D159" s="1812">
        <f>SUMIFS('#销量数据'!66:66,'#销量数据'!$1:$1,$E$1,'#销量数据'!$2:$2,$E$2,'#销量数据'!$3:$3,"销量")</f>
        <v>40047.267999999996</v>
      </c>
      <c r="E159" s="1812">
        <f>SUMIFS('#销量数据'!66:66,'#销量数据'!$1:$1,$E$1,'#销量数据'!$2:$2,$E$2,'#销量数据'!$3:$3,"收入")</f>
        <v>70040.339703999998</v>
      </c>
      <c r="F159" s="1812">
        <f>SUMIFS('#销量数据'!66:66,'#销量数据'!$1:$1,$B$1,'#销量数据'!$2:$2,$B$2,'#销量数据'!$3:$3,"销量")</f>
        <v>38441</v>
      </c>
      <c r="G159" s="1812">
        <f>SUMIFS('#销量数据'!66:66,'#销量数据'!$1:$1,$B$1,'#销量数据'!$2:$2,$B$2,'#销量数据'!$3:$3,"收入")</f>
        <v>70003</v>
      </c>
      <c r="H159" s="1813">
        <f t="shared" si="58"/>
        <v>-1606.2679999999964</v>
      </c>
      <c r="I159" s="1813">
        <f t="shared" si="58"/>
        <v>-37.339703999998164</v>
      </c>
      <c r="J159" s="1812">
        <f>SUMIFS('#销量数据'!66:66,'#销量数据'!$1:$1,$B$1,'#销量数据'!$2:$2,"&lt;="&amp;$B$2,'#销量数据'!$3:$3,"销量")</f>
        <v>312686.609</v>
      </c>
      <c r="K159" s="1812">
        <f>SUMIFS('#销量数据'!66:66,'#销量数据'!$1:$1,$B$1,'#销量数据'!$2:$2,"&lt;="&amp;$B$2,'#销量数据'!$3:$3,"收入")</f>
        <v>492285.03026699997</v>
      </c>
      <c r="L159" s="753"/>
      <c r="M159" s="753"/>
      <c r="N159" s="938"/>
      <c r="R159" s="941"/>
      <c r="AG159" s="913"/>
    </row>
    <row r="160" spans="1:33" s="798" customFormat="1">
      <c r="B160" s="2682"/>
      <c r="C160" s="1811" t="s">
        <v>1307</v>
      </c>
      <c r="D160" s="1812">
        <f>SUMIFS('#销量数据'!67:67,'#销量数据'!$1:$1,$E$1,'#销量数据'!$2:$2,$E$2,'#销量数据'!$3:$3,"销量")</f>
        <v>838.06100000000015</v>
      </c>
      <c r="E160" s="1812">
        <f>SUMIFS('#销量数据'!67:67,'#销量数据'!$1:$1,$E$1,'#销量数据'!$2:$2,$E$2,'#销量数据'!$3:$3,"收入")</f>
        <v>941.50390100000004</v>
      </c>
      <c r="F160" s="1812">
        <f>SUMIFS('#销量数据'!67:67,'#销量数据'!$1:$1,$B$1,'#销量数据'!$2:$2,$B$2,'#销量数据'!$3:$3,"销量")</f>
        <v>1403</v>
      </c>
      <c r="G160" s="1812">
        <f>SUMIFS('#销量数据'!67:67,'#销量数据'!$1:$1,$B$1,'#销量数据'!$2:$2,$B$2,'#销量数据'!$3:$3,"收入")</f>
        <v>1292</v>
      </c>
      <c r="H160" s="1813">
        <f t="shared" si="58"/>
        <v>564.93899999999985</v>
      </c>
      <c r="I160" s="1813">
        <f t="shared" si="58"/>
        <v>350.49609899999996</v>
      </c>
      <c r="J160" s="1812">
        <f>SUMIFS('#销量数据'!67:67,'#销量数据'!$1:$1,$B$1,'#销量数据'!$2:$2,"&lt;="&amp;$B$2,'#销量数据'!$3:$3,"销量")</f>
        <v>9698.1980000000003</v>
      </c>
      <c r="K160" s="1812">
        <f>SUMIFS('#销量数据'!67:67,'#销量数据'!$1:$1,$B$1,'#销量数据'!$2:$2,"&lt;="&amp;$B$2,'#销量数据'!$3:$3,"收入")</f>
        <v>9734.4100089999993</v>
      </c>
      <c r="L160" s="753"/>
      <c r="M160" s="753"/>
      <c r="N160" s="938"/>
      <c r="R160" s="941"/>
      <c r="AG160" s="913"/>
    </row>
    <row r="161" spans="1:33" s="798" customFormat="1">
      <c r="B161" s="2682"/>
      <c r="C161" s="1811" t="s">
        <v>1308</v>
      </c>
      <c r="D161" s="1812">
        <f>SUMIFS('#销量数据'!68:68,'#销量数据'!$1:$1,$E$1,'#销量数据'!$2:$2,$E$2,'#销量数据'!$3:$3,"销量")</f>
        <v>0</v>
      </c>
      <c r="E161" s="1812">
        <f>SUMIFS('#销量数据'!68:68,'#销量数据'!$1:$1,$E$1,'#销量数据'!$2:$2,$E$2,'#销量数据'!$3:$3,"收入")</f>
        <v>0</v>
      </c>
      <c r="F161" s="1812">
        <f>SUMIFS('#销量数据'!68:68,'#销量数据'!$1:$1,$B$1,'#销量数据'!$2:$2,$B$2,'#销量数据'!$3:$3,"销量")</f>
        <v>1271</v>
      </c>
      <c r="G161" s="1812">
        <f>SUMIFS('#销量数据'!68:68,'#销量数据'!$1:$1,$B$1,'#销量数据'!$2:$2,$B$2,'#销量数据'!$3:$3,"收入")</f>
        <v>1742</v>
      </c>
      <c r="H161" s="1813">
        <f t="shared" si="58"/>
        <v>1271</v>
      </c>
      <c r="I161" s="1813">
        <f t="shared" si="58"/>
        <v>1742</v>
      </c>
      <c r="J161" s="1812">
        <f>SUMIFS('#销量数据'!68:68,'#销量数据'!$1:$1,$B$1,'#销量数据'!$2:$2,"&lt;="&amp;$B$2,'#销量数据'!$3:$3,"销量")</f>
        <v>4115.3062023593466</v>
      </c>
      <c r="K161" s="1812">
        <f>SUMIFS('#销量数据'!68:68,'#销量数据'!$1:$1,$B$1,'#销量数据'!$2:$2,"&lt;="&amp;$B$2,'#销量数据'!$3:$3,"收入")</f>
        <v>5955.3930803776002</v>
      </c>
      <c r="L161" s="753"/>
      <c r="M161" s="753"/>
      <c r="N161" s="938"/>
      <c r="R161" s="941"/>
      <c r="AG161" s="913"/>
    </row>
    <row r="162" spans="1:33" s="798" customFormat="1">
      <c r="B162" s="2682"/>
      <c r="C162" s="1811" t="s">
        <v>1309</v>
      </c>
      <c r="D162" s="1812">
        <f>SUMIFS('#销量数据'!69:69,'#销量数据'!$1:$1,$E$1,'#销量数据'!$2:$2,$E$2,'#销量数据'!$3:$3,"销量")</f>
        <v>0</v>
      </c>
      <c r="E162" s="1812">
        <f>SUMIFS('#销量数据'!69:69,'#销量数据'!$1:$1,$E$1,'#销量数据'!$2:$2,$E$2,'#销量数据'!$3:$3,"收入")</f>
        <v>0</v>
      </c>
      <c r="F162" s="1812">
        <f>SUMIFS('#销量数据'!69:69,'#销量数据'!$1:$1,$B$1,'#销量数据'!$2:$2,$B$2,'#销量数据'!$3:$3,"销量")</f>
        <v>610</v>
      </c>
      <c r="G162" s="1812">
        <f>SUMIFS('#销量数据'!69:69,'#销量数据'!$1:$1,$B$1,'#销量数据'!$2:$2,$B$2,'#销量数据'!$3:$3,"收入")</f>
        <v>1075</v>
      </c>
      <c r="H162" s="1813">
        <f t="shared" si="58"/>
        <v>610</v>
      </c>
      <c r="I162" s="1813">
        <f t="shared" si="58"/>
        <v>1075</v>
      </c>
      <c r="J162" s="1812">
        <f>SUMIFS('#销量数据'!69:69,'#销量数据'!$1:$1,$B$1,'#销量数据'!$2:$2,"&lt;="&amp;$B$2,'#销量数据'!$3:$3,"销量")</f>
        <v>1352.2170000000001</v>
      </c>
      <c r="K162" s="1812">
        <f>SUMIFS('#销量数据'!69:69,'#销量数据'!$1:$1,$B$1,'#销量数据'!$2:$2,"&lt;="&amp;$B$2,'#销量数据'!$3:$3,"收入")</f>
        <v>5102.0013420000005</v>
      </c>
      <c r="L162" s="753"/>
      <c r="M162" s="753"/>
      <c r="N162" s="938"/>
      <c r="R162" s="941"/>
      <c r="AG162" s="913"/>
    </row>
    <row r="163" spans="1:33" s="798" customFormat="1">
      <c r="B163" s="2682"/>
      <c r="C163" s="2052" t="s">
        <v>412</v>
      </c>
      <c r="D163" s="2050">
        <f>SUMIFS('#销量数据'!79:79,'#销量数据'!$1:$1,$E$1,'#销量数据'!$2:$2,$E$2,'#销量数据'!$3:$3,"销量")</f>
        <v>1043411.4420000002</v>
      </c>
      <c r="E163" s="2050">
        <f>SUMIFS('#销量数据'!79:79,'#销量数据'!$1:$1,$E$1,'#销量数据'!$2:$2,$E$2,'#销量数据'!$3:$3,"收入")</f>
        <v>905761.86468417977</v>
      </c>
      <c r="F163" s="2050">
        <f>SUMIFS('#销量数据'!79:79,'#销量数据'!$1:$1,$B$1,'#销量数据'!$2:$2,$B$2,'#销量数据'!$3:$3,"销量")</f>
        <v>1047493</v>
      </c>
      <c r="G163" s="2050">
        <f>SUMIFS('#销量数据'!79:79,'#销量数据'!$1:$1,$B$1,'#销量数据'!$2:$2,$B$2,'#销量数据'!$3:$3,"收入")</f>
        <v>917761</v>
      </c>
      <c r="H163" s="2051">
        <f t="shared" si="58"/>
        <v>4081.5579999998445</v>
      </c>
      <c r="I163" s="2051">
        <f t="shared" si="58"/>
        <v>11999.135315820226</v>
      </c>
      <c r="J163" s="2050">
        <f>SUMIFS('#销量数据'!79:79,'#销量数据'!$1:$1,$B$1,'#销量数据'!$2:$2,"&lt;="&amp;$B$2,'#销量数据'!$3:$3,"销量")</f>
        <v>8030562.8192023588</v>
      </c>
      <c r="K163" s="2050">
        <f>SUMIFS('#销量数据'!79:79,'#销量数据'!$1:$1,$B$1,'#销量数据'!$2:$2,"&lt;="&amp;$B$2,'#销量数据'!$3:$3,"收入")</f>
        <v>6395456.3655062476</v>
      </c>
      <c r="L163" s="753"/>
      <c r="M163" s="753"/>
      <c r="N163" s="938"/>
      <c r="R163" s="941"/>
      <c r="AG163" s="913"/>
    </row>
    <row r="164" spans="1:33" s="798" customFormat="1">
      <c r="B164" s="2682"/>
      <c r="C164" s="1816" t="s">
        <v>555</v>
      </c>
      <c r="D164" s="1815">
        <f>SUMIFS('#销量数据'!80:80,'#销量数据'!$1:$1,$E$1,'#销量数据'!$2:$2,$E$2,'#销量数据'!$3:$3,"销量")</f>
        <v>1234.3799999999999</v>
      </c>
      <c r="E164" s="1815">
        <f>SUMIFS('#销量数据'!80:80,'#销量数据'!$1:$1,$E$1,'#销量数据'!$2:$2,$E$2,'#销量数据'!$3:$3,"收入")</f>
        <v>1349.5763999999999</v>
      </c>
      <c r="F164" s="1815">
        <f>SUMIFS('#销量数据'!80:80,'#销量数据'!$1:$1,$B$1,'#销量数据'!$2:$2,$B$2,'#销量数据'!$3:$3,"销量")</f>
        <v>1874.8869999999999</v>
      </c>
      <c r="G164" s="1815">
        <f>SUMIFS('#销量数据'!80:80,'#销量数据'!$1:$1,$B$1,'#销量数据'!$2:$2,$B$2,'#销量数据'!$3:$3,"收入")</f>
        <v>2036.25441</v>
      </c>
      <c r="H164" s="1813">
        <f t="shared" si="58"/>
        <v>640.50700000000006</v>
      </c>
      <c r="I164" s="1813">
        <f t="shared" si="58"/>
        <v>686.67801000000009</v>
      </c>
      <c r="J164" s="1815">
        <f>SUMIFS('#销量数据'!80:80,'#销量数据'!$1:$1,$B$1,'#销量数据'!$2:$2,"&lt;="&amp;$B$2,'#销量数据'!$3:$3,"销量")</f>
        <v>14559.413</v>
      </c>
      <c r="K164" s="1815">
        <f>SUMIFS('#销量数据'!80:80,'#销量数据'!$1:$1,$B$1,'#销量数据'!$2:$2,"&lt;="&amp;$B$2,'#销量数据'!$3:$3,"收入")</f>
        <v>13813.882311999998</v>
      </c>
      <c r="L164" s="753"/>
      <c r="M164" s="753"/>
      <c r="N164" s="938"/>
      <c r="R164" s="941"/>
      <c r="AG164" s="913"/>
    </row>
    <row r="165" spans="1:33" s="798" customFormat="1">
      <c r="B165" s="2682"/>
      <c r="C165" s="1817" t="s">
        <v>1310</v>
      </c>
      <c r="D165" s="1818">
        <f>SUMIFS('#销量数据'!82:82,'#销量数据'!$1:$1,$E$1,'#销量数据'!$2:$2,$E$2,'#销量数据'!$3:$3,"销量")</f>
        <v>1042998.0500000002</v>
      </c>
      <c r="E165" s="1818">
        <f>SUMIFS('#销量数据'!82:82,'#销量数据'!$1:$1,$E$1,'#销量数据'!$2:$2,$E$2,'#销量数据'!$3:$3,"收入")</f>
        <v>900228.68442917976</v>
      </c>
      <c r="F165" s="1818">
        <f>SUMIFS('#销量数据'!82:82,'#销量数据'!$1:$1,$B$1,'#销量数据'!$2:$2,$B$2,'#销量数据'!$3:$3,"销量")</f>
        <v>1046474.4600000001</v>
      </c>
      <c r="G165" s="1818">
        <f>SUMIFS('#销量数据'!82:82,'#销量数据'!$1:$1,$B$1,'#销量数据'!$2:$2,$B$2,'#销量数据'!$3:$3,"收入")</f>
        <v>916199.69458400004</v>
      </c>
      <c r="H165" s="1819">
        <f t="shared" si="58"/>
        <v>3476.4099999999162</v>
      </c>
      <c r="I165" s="1819">
        <f t="shared" si="58"/>
        <v>15971.01015482028</v>
      </c>
      <c r="J165" s="1818">
        <f>SUMIFS('#销量数据'!82:82,'#销量数据'!$1:$1,$B$1,'#销量数据'!$2:$2,"&lt;="&amp;$B$2,'#销量数据'!$3:$3,"销量")</f>
        <v>8030950.4882023595</v>
      </c>
      <c r="K165" s="1818">
        <f>SUMIFS('#销量数据'!82:82,'#销量数据'!$1:$1,$B$1,'#销量数据'!$2:$2,"&lt;="&amp;$B$2,'#销量数据'!$3:$3,"收入")</f>
        <v>6392841.8969212472</v>
      </c>
      <c r="L165" s="754"/>
      <c r="M165" s="754"/>
      <c r="N165" s="800"/>
      <c r="R165" s="941"/>
      <c r="AG165" s="913"/>
    </row>
    <row r="166" spans="1:33" s="798" customFormat="1">
      <c r="A166" s="799"/>
      <c r="B166" s="2682"/>
      <c r="C166" s="2052" t="s">
        <v>1233</v>
      </c>
      <c r="D166" s="2050">
        <f>SUMIFS('#销量数据'!98:98,'#销量数据'!$1:$1,$E$1,'#销量数据'!$2:$2,$E$2,'#销量数据'!$3:$3,"销量")</f>
        <v>173800</v>
      </c>
      <c r="E166" s="2050">
        <f>SUMIFS('#销量数据'!98:98,'#销量数据'!$1:$1,$E$1,'#销量数据'!$2:$2,$E$2,'#销量数据'!$3:$3,"收入")</f>
        <v>114571</v>
      </c>
      <c r="F166" s="2050">
        <f>SUMIFS('#销量数据'!98:98,'#销量数据'!$1:$1,$B$1,'#销量数据'!$2:$2,$B$2,'#销量数据'!$3:$3,"销量")</f>
        <v>140700</v>
      </c>
      <c r="G166" s="2050">
        <f>SUMIFS('#销量数据'!98:98,'#销量数据'!$1:$1,$B$1,'#销量数据'!$2:$2,$B$2,'#销量数据'!$3:$3,"收入")</f>
        <v>129573.54</v>
      </c>
      <c r="H166" s="2051">
        <f t="shared" ref="H166:H167" si="59">F166-D166</f>
        <v>-33100</v>
      </c>
      <c r="I166" s="2051">
        <f t="shared" ref="I166:I167" si="60">G166-E166</f>
        <v>15002.539999999994</v>
      </c>
      <c r="J166" s="2050">
        <f>SUMIFS('#销量数据'!98:98,'#销量数据'!$1:$1,$B$1,'#销量数据'!$2:$2,"&lt;="&amp;$B$2,'#销量数据'!$3:$3,"销量")</f>
        <v>1264793</v>
      </c>
      <c r="K166" s="2050">
        <f>SUMIFS('#销量数据'!98:98,'#销量数据'!$1:$1,$B$1,'#销量数据'!$2:$2,"&lt;="&amp;$B$2,'#销量数据'!$3:$3,"收入")</f>
        <v>909696.54</v>
      </c>
      <c r="L166" s="753"/>
      <c r="M166" s="753"/>
      <c r="N166" s="938"/>
      <c r="R166" s="941"/>
      <c r="AG166" s="913"/>
    </row>
    <row r="167" spans="1:33" s="798" customFormat="1">
      <c r="A167" s="799"/>
      <c r="B167" s="2682"/>
      <c r="C167" s="2052" t="s">
        <v>1234</v>
      </c>
      <c r="D167" s="2050">
        <f>SUMIFS('#销量数据'!99:99,'#销量数据'!$1:$1,$E$1,'#销量数据'!$2:$2,$E$2,'#销量数据'!$3:$3,"销量")</f>
        <v>59000</v>
      </c>
      <c r="E167" s="2050">
        <f>SUMIFS('#销量数据'!99:99,'#销量数据'!$1:$1,$E$1,'#销量数据'!$2:$2,$E$2,'#销量数据'!$3:$3,"收入")</f>
        <v>78900</v>
      </c>
      <c r="F167" s="2050">
        <f>SUMIFS('#销量数据'!99:99,'#销量数据'!$1:$1,$B$1,'#销量数据'!$2:$2,$B$2,'#销量数据'!$3:$3,"销量")</f>
        <v>59500</v>
      </c>
      <c r="G167" s="2050">
        <f>SUMIFS('#销量数据'!99:99,'#销量数据'!$1:$1,$B$1,'#销量数据'!$2:$2,$B$2,'#销量数据'!$3:$3,"收入")</f>
        <v>77842</v>
      </c>
      <c r="H167" s="2051">
        <f t="shared" si="59"/>
        <v>500</v>
      </c>
      <c r="I167" s="2051">
        <f t="shared" si="60"/>
        <v>-1058</v>
      </c>
      <c r="J167" s="2050">
        <f>SUMIFS('#销量数据'!99:99,'#销量数据'!$1:$1,$B$1,'#销量数据'!$2:$2,"&lt;="&amp;$B$2,'#销量数据'!$3:$3,"销量")</f>
        <v>471659</v>
      </c>
      <c r="K167" s="2050">
        <f>SUMIFS('#销量数据'!99:99,'#销量数据'!$1:$1,$B$1,'#销量数据'!$2:$2,"&lt;="&amp;$B$2,'#销量数据'!$3:$3,"收入")</f>
        <v>592806.19999999995</v>
      </c>
      <c r="L167" s="753"/>
      <c r="M167" s="753"/>
      <c r="N167" s="938"/>
      <c r="R167" s="941"/>
      <c r="AG167" s="913"/>
    </row>
    <row r="168" spans="1:33" s="798" customFormat="1">
      <c r="A168" s="799"/>
      <c r="B168" s="2682"/>
      <c r="C168" s="2052" t="s">
        <v>1683</v>
      </c>
      <c r="D168" s="2050">
        <f>-SUMIFS('#销量数据'!103:103,'#销量数据'!$1:$1,$E$1,'#销量数据'!$2:$2,$E$2,'#销量数据'!$3:$3,"销量")</f>
        <v>-22115.120000000003</v>
      </c>
      <c r="E168" s="2050">
        <f>-SUMIFS('#销量数据'!103:103,'#销量数据'!$1:$1,$E$1,'#销量数据'!$2:$2,$E$2,'#销量数据'!$3:$3,"收入")</f>
        <v>-34971</v>
      </c>
      <c r="F168" s="2050">
        <f>-SUMIFS('#销量数据'!103:103,'#销量数据'!$1:$1,$B$1,'#销量数据'!$2:$2,$B$2,'#销量数据'!$3:$3,"销量")</f>
        <v>-20739.66</v>
      </c>
      <c r="G168" s="2050">
        <f>-SUMIFS('#销量数据'!103:103,'#销量数据'!$1:$1,$B$1,'#销量数据'!$2:$2,$B$2,'#销量数据'!$3:$3,"收入")</f>
        <v>-20195</v>
      </c>
      <c r="H168" s="2051">
        <f t="shared" ref="H168:H169" si="61">F168-D168</f>
        <v>1375.4600000000028</v>
      </c>
      <c r="I168" s="2051">
        <f t="shared" ref="I168:I169" si="62">G168-E168</f>
        <v>14776</v>
      </c>
      <c r="J168" s="2050">
        <f>-SUMIFS('#销量数据'!103:103,'#销量数据'!$1:$1,$B$1,'#销量数据'!$2:$2,"&lt;="&amp;$B$2,'#销量数据'!$3:$3,"销量")</f>
        <v>-151609.65700000001</v>
      </c>
      <c r="K168" s="2050">
        <f>-SUMIFS('#销量数据'!103:103,'#销量数据'!$1:$1,$B$1,'#销量数据'!$2:$2,"&lt;="&amp;$B$2,'#销量数据'!$3:$3,"收入")</f>
        <v>-161561</v>
      </c>
      <c r="L168" s="753"/>
      <c r="M168" s="753"/>
      <c r="N168" s="938"/>
      <c r="R168" s="941"/>
      <c r="AG168" s="913"/>
    </row>
    <row r="169" spans="1:33" s="798" customFormat="1">
      <c r="A169" s="799"/>
      <c r="B169" s="2682"/>
      <c r="C169" s="2049" t="s">
        <v>1311</v>
      </c>
      <c r="D169" s="2050">
        <f>D165+D166+D167+D168</f>
        <v>1253682.9300000002</v>
      </c>
      <c r="E169" s="2050">
        <f t="shared" ref="E169:G169" si="63">E165+E166+E167+E168</f>
        <v>1058728.6844291799</v>
      </c>
      <c r="F169" s="2050">
        <f t="shared" si="63"/>
        <v>1225934.8</v>
      </c>
      <c r="G169" s="2050">
        <f t="shared" si="63"/>
        <v>1103420.234584</v>
      </c>
      <c r="H169" s="2051">
        <f t="shared" si="61"/>
        <v>-27748.130000000121</v>
      </c>
      <c r="I169" s="2051">
        <f t="shared" si="62"/>
        <v>44691.550154820085</v>
      </c>
      <c r="J169" s="2050">
        <f t="shared" ref="J169" si="64">J165+J166+J167+J168</f>
        <v>9615792.8312023599</v>
      </c>
      <c r="K169" s="2050">
        <f t="shared" ref="K169" si="65">K165+K166+K167+K168</f>
        <v>7733783.6369212475</v>
      </c>
      <c r="L169" s="2077">
        <f>H169/D169</f>
        <v>-2.2133291708773699E-2</v>
      </c>
      <c r="M169" s="753"/>
      <c r="N169" s="938"/>
      <c r="R169" s="941"/>
      <c r="AG169" s="913"/>
    </row>
    <row r="170" spans="1:33" s="798" customFormat="1">
      <c r="B170" s="2682" t="s">
        <v>1312</v>
      </c>
      <c r="C170" s="1811" t="s">
        <v>557</v>
      </c>
      <c r="D170" s="1812">
        <f>D171+D172+D173</f>
        <v>47961.154999999999</v>
      </c>
      <c r="E170" s="1812">
        <f>E171+E172+E173</f>
        <v>59960.530994712695</v>
      </c>
      <c r="F170" s="1812">
        <f t="shared" ref="F170:K170" si="66">F171+F172+F173</f>
        <v>67467</v>
      </c>
      <c r="G170" s="1812">
        <f t="shared" si="66"/>
        <v>84932</v>
      </c>
      <c r="H170" s="1820">
        <f t="shared" si="66"/>
        <v>19505.845000000001</v>
      </c>
      <c r="I170" s="1820">
        <f t="shared" si="66"/>
        <v>24971.469005287308</v>
      </c>
      <c r="J170" s="1812">
        <f t="shared" si="66"/>
        <v>497875.43</v>
      </c>
      <c r="K170" s="1812">
        <f t="shared" si="66"/>
        <v>508308.27229696594</v>
      </c>
      <c r="L170" s="754"/>
      <c r="M170" s="754"/>
      <c r="N170" s="938"/>
      <c r="R170" s="941"/>
      <c r="AG170" s="913"/>
    </row>
    <row r="171" spans="1:33" s="798" customFormat="1">
      <c r="B171" s="2682"/>
      <c r="C171" s="1698" t="s">
        <v>1130</v>
      </c>
      <c r="D171" s="1815">
        <f>SUMIFS('#销量数据'!85:85,'#销量数据'!$1:$1,$E$1,'#销量数据'!$2:$2,$E$2,'#销量数据'!$3:$3,"销量")</f>
        <v>42517</v>
      </c>
      <c r="E171" s="1815">
        <f>SUMIFS('#销量数据'!85:85,'#销量数据'!$1:$1,$E$1,'#销量数据'!$2:$2,$E$2,'#销量数据'!$3:$3,"收入")</f>
        <v>54466</v>
      </c>
      <c r="F171" s="1815">
        <f>SUMIFS('#销量数据'!85:85,'#销量数据'!$1:$1,$B$1,'#销量数据'!$2:$2,$B$2,'#销量数据'!$3:$3,"销量")</f>
        <v>59029</v>
      </c>
      <c r="G171" s="1815">
        <f>SUMIFS('#销量数据'!85:85,'#销量数据'!$1:$1,$B$1,'#销量数据'!$2:$2,$B$2,'#销量数据'!$3:$3,"收入")</f>
        <v>76558</v>
      </c>
      <c r="H171" s="1813">
        <f>F171-D171</f>
        <v>16512</v>
      </c>
      <c r="I171" s="1813">
        <f>G171-E171</f>
        <v>22092</v>
      </c>
      <c r="J171" s="1815">
        <f>SUMIFS('#销量数据'!85:85,'#销量数据'!$1:$1,$B$1,'#销量数据'!$2:$2,"&lt;="&amp;$B$2,'#销量数据'!$3:$3,"销量")</f>
        <v>432120</v>
      </c>
      <c r="K171" s="1815">
        <f>SUMIFS('#销量数据'!85:85,'#销量数据'!$1:$1,$B$1,'#销量数据'!$2:$2,"&lt;="&amp;$B$2,'#销量数据'!$3:$3,"收入")</f>
        <v>445997</v>
      </c>
      <c r="L171" s="754"/>
      <c r="M171" s="754"/>
      <c r="N171" s="938"/>
      <c r="R171" s="941"/>
      <c r="AG171" s="913"/>
    </row>
    <row r="172" spans="1:33" s="798" customFormat="1">
      <c r="B172" s="2682"/>
      <c r="C172" s="1698" t="s">
        <v>1233</v>
      </c>
      <c r="D172" s="1815">
        <f>SUMIFS('#销量数据'!86:86,'#销量数据'!$1:$1,$E$1,'#销量数据'!$2:$2,$E$2,'#销量数据'!$3:$3,"销量")</f>
        <v>709.09799999999996</v>
      </c>
      <c r="E172" s="1815">
        <f>SUMIFS('#销量数据'!86:86,'#销量数据'!$1:$1,$E$1,'#销量数据'!$2:$2,$E$2,'#销量数据'!$3:$3,"收入")</f>
        <v>591.03987599999994</v>
      </c>
      <c r="F172" s="1815">
        <f>SUMIFS('#销量数据'!86:86,'#销量数据'!$1:$1,$B$1,'#销量数据'!$2:$2,$B$2,'#销量数据'!$3:$3,"销量")</f>
        <v>2207</v>
      </c>
      <c r="G172" s="1815">
        <f>SUMIFS('#销量数据'!86:86,'#销量数据'!$1:$1,$B$1,'#销量数据'!$2:$2,$B$2,'#销量数据'!$3:$3,"收入")</f>
        <v>1922</v>
      </c>
      <c r="H172" s="1813">
        <f t="shared" ref="H172:H173" si="67">F172-D172</f>
        <v>1497.902</v>
      </c>
      <c r="I172" s="1813">
        <f t="shared" ref="I172:I173" si="68">G172-E172</f>
        <v>1330.9601240000002</v>
      </c>
      <c r="J172" s="1815">
        <f>SUMIFS('#销量数据'!86:86,'#销量数据'!$1:$1,$B$1,'#销量数据'!$2:$2,"&lt;="&amp;$B$2,'#销量数据'!$3:$3,"销量")</f>
        <v>18800.784</v>
      </c>
      <c r="K172" s="1815">
        <f>SUMIFS('#销量数据'!86:86,'#销量数据'!$1:$1,$B$1,'#销量数据'!$2:$2,"&lt;="&amp;$B$2,'#销量数据'!$3:$3,"收入")</f>
        <v>14484.4134172544</v>
      </c>
      <c r="L172" s="754"/>
      <c r="M172" s="754"/>
      <c r="N172" s="938"/>
      <c r="R172" s="941"/>
      <c r="AG172" s="913"/>
    </row>
    <row r="173" spans="1:33" s="798" customFormat="1">
      <c r="B173" s="2682"/>
      <c r="C173" s="1698" t="s">
        <v>1234</v>
      </c>
      <c r="D173" s="1815">
        <f>SUMIFS('#销量数据'!87:87,'#销量数据'!$1:$1,$E$1,'#销量数据'!$2:$2,$E$2,'#销量数据'!$3:$3,"销量")</f>
        <v>4735.0569999999998</v>
      </c>
      <c r="E173" s="1815">
        <f>SUMIFS('#销量数据'!87:87,'#销量数据'!$1:$1,$E$1,'#销量数据'!$2:$2,$E$2,'#销量数据'!$3:$3,"收入")</f>
        <v>4903.4911187126927</v>
      </c>
      <c r="F173" s="1815">
        <f>SUMIFS('#销量数据'!87:87,'#销量数据'!$1:$1,$B$1,'#销量数据'!$2:$2,$B$2,'#销量数据'!$3:$3,"销量")</f>
        <v>6231</v>
      </c>
      <c r="G173" s="1815">
        <f>SUMIFS('#销量数据'!87:87,'#销量数据'!$1:$1,$B$1,'#销量数据'!$2:$2,$B$2,'#销量数据'!$3:$3,"收入")</f>
        <v>6452</v>
      </c>
      <c r="H173" s="1813">
        <f t="shared" si="67"/>
        <v>1495.9430000000002</v>
      </c>
      <c r="I173" s="1813">
        <f t="shared" si="68"/>
        <v>1548.5088812873073</v>
      </c>
      <c r="J173" s="1815">
        <f>SUMIFS('#销量数据'!87:87,'#销量数据'!$1:$1,$B$1,'#销量数据'!$2:$2,"&lt;="&amp;$B$2,'#销量数据'!$3:$3,"销量")</f>
        <v>46954.646000000001</v>
      </c>
      <c r="K173" s="1815">
        <f>SUMIFS('#销量数据'!87:87,'#销量数据'!$1:$1,$B$1,'#销量数据'!$2:$2,"&lt;="&amp;$B$2,'#销量数据'!$3:$3,"收入")</f>
        <v>47826.858879711508</v>
      </c>
      <c r="L173" s="754"/>
      <c r="M173" s="754"/>
      <c r="N173" s="938"/>
      <c r="R173" s="941"/>
      <c r="AG173" s="913"/>
    </row>
    <row r="174" spans="1:33" s="798" customFormat="1">
      <c r="B174" s="2682"/>
      <c r="C174" s="2034" t="s">
        <v>1296</v>
      </c>
      <c r="D174" s="1812">
        <f>D175+D176+D177</f>
        <v>36780.154999999999</v>
      </c>
      <c r="E174" s="1812">
        <f t="shared" ref="E174:K174" si="69">E175+E176+E177</f>
        <v>52530.530994712695</v>
      </c>
      <c r="F174" s="1812">
        <f t="shared" si="69"/>
        <v>48857</v>
      </c>
      <c r="G174" s="1812">
        <f t="shared" si="69"/>
        <v>70700</v>
      </c>
      <c r="H174" s="1820">
        <f t="shared" si="69"/>
        <v>12076.845000000001</v>
      </c>
      <c r="I174" s="1820">
        <f t="shared" si="69"/>
        <v>18169.469005287308</v>
      </c>
      <c r="J174" s="1812">
        <f t="shared" si="69"/>
        <v>345120.43</v>
      </c>
      <c r="K174" s="1812">
        <f t="shared" si="69"/>
        <v>423926.27229696594</v>
      </c>
      <c r="L174" s="754"/>
      <c r="M174" s="753"/>
      <c r="N174" s="938"/>
      <c r="R174" s="941"/>
      <c r="AG174" s="913"/>
    </row>
    <row r="175" spans="1:33" s="798" customFormat="1">
      <c r="B175" s="2682"/>
      <c r="C175" s="1698" t="s">
        <v>1130</v>
      </c>
      <c r="D175" s="1815">
        <f>SUMIFS('#销量数据'!88:88,'#销量数据'!$1:$1,$E$1,'#销量数据'!$2:$2,$E$2,'#销量数据'!$3:$3,"销量")</f>
        <v>31336</v>
      </c>
      <c r="E175" s="1815">
        <f>SUMIFS('#销量数据'!88:88,'#销量数据'!$1:$1,$E$1,'#销量数据'!$2:$2,$E$2,'#销量数据'!$3:$3,"收入")</f>
        <v>47036</v>
      </c>
      <c r="F175" s="1815">
        <f>SUMIFS('#销量数据'!88:88,'#销量数据'!$1:$1,$B$1,'#销量数据'!$2:$2,$B$2,'#销量数据'!$3:$3,"销量")</f>
        <v>40419</v>
      </c>
      <c r="G175" s="1815">
        <f>SUMIFS('#销量数据'!88:88,'#销量数据'!$1:$1,$B$1,'#销量数据'!$2:$2,$B$2,'#销量数据'!$3:$3,"收入")</f>
        <v>62326</v>
      </c>
      <c r="H175" s="1813">
        <f>F175-D175</f>
        <v>9083</v>
      </c>
      <c r="I175" s="1813">
        <f>G175-E175</f>
        <v>15290</v>
      </c>
      <c r="J175" s="1815">
        <f>SUMIFS('#销量数据'!88:88,'#销量数据'!$1:$1,$B$1,'#销量数据'!$2:$2,"&lt;="&amp;$B$2,'#销量数据'!$3:$3,"销量")</f>
        <v>279365</v>
      </c>
      <c r="K175" s="1815">
        <f>SUMIFS('#销量数据'!88:88,'#销量数据'!$1:$1,$B$1,'#销量数据'!$2:$2,"&lt;="&amp;$B$2,'#销量数据'!$3:$3,"收入")</f>
        <v>361615</v>
      </c>
      <c r="L175" s="754"/>
      <c r="M175" s="753"/>
      <c r="N175" s="938"/>
      <c r="R175" s="941"/>
      <c r="AG175" s="913"/>
    </row>
    <row r="176" spans="1:33" s="798" customFormat="1">
      <c r="B176" s="2682"/>
      <c r="C176" s="1698" t="s">
        <v>1233</v>
      </c>
      <c r="D176" s="1815">
        <f>SUMIFS('#销量数据'!89:89,'#销量数据'!$1:$1,$E$1,'#销量数据'!$2:$2,$E$2,'#销量数据'!$3:$3,"销量")</f>
        <v>709.09799999999996</v>
      </c>
      <c r="E176" s="1815">
        <f>SUMIFS('#销量数据'!89:89,'#销量数据'!$1:$1,$E$1,'#销量数据'!$2:$2,$E$2,'#销量数据'!$3:$3,"收入")</f>
        <v>591.03987600000005</v>
      </c>
      <c r="F176" s="1815">
        <f>SUMIFS('#销量数据'!89:89,'#销量数据'!$1:$1,$B$1,'#销量数据'!$2:$2,$B$2,'#销量数据'!$3:$3,"销量")</f>
        <v>2207</v>
      </c>
      <c r="G176" s="1815">
        <f>SUMIFS('#销量数据'!89:89,'#销量数据'!$1:$1,$B$1,'#销量数据'!$2:$2,$B$2,'#销量数据'!$3:$3,"收入")</f>
        <v>1922</v>
      </c>
      <c r="H176" s="1813">
        <f t="shared" ref="H176:H177" si="70">F176-D176</f>
        <v>1497.902</v>
      </c>
      <c r="I176" s="1813">
        <f t="shared" ref="I176:I177" si="71">G176-E176</f>
        <v>1330.960124</v>
      </c>
      <c r="J176" s="1815">
        <f>SUMIFS('#销量数据'!89:89,'#销量数据'!$1:$1,$B$1,'#销量数据'!$2:$2,"&lt;="&amp;$B$2,'#销量数据'!$3:$3,"销量")</f>
        <v>18800.784</v>
      </c>
      <c r="K176" s="1815">
        <f>SUMIFS('#销量数据'!89:89,'#销量数据'!$1:$1,$B$1,'#销量数据'!$2:$2,"&lt;="&amp;$B$2,'#销量数据'!$3:$3,"收入")</f>
        <v>14484.4134172544</v>
      </c>
      <c r="L176" s="754"/>
      <c r="M176" s="753"/>
      <c r="N176" s="938"/>
      <c r="R176" s="941"/>
      <c r="AG176" s="913"/>
    </row>
    <row r="177" spans="1:33" s="798" customFormat="1">
      <c r="B177" s="2682"/>
      <c r="C177" s="1698" t="s">
        <v>1234</v>
      </c>
      <c r="D177" s="1815">
        <f>SUMIFS('#销量数据'!90:90,'#销量数据'!$1:$1,$E$1,'#销量数据'!$2:$2,$E$2,'#销量数据'!$3:$3,"销量")</f>
        <v>4735.0569999999998</v>
      </c>
      <c r="E177" s="1815">
        <f>SUMIFS('#销量数据'!90:90,'#销量数据'!$1:$1,$E$1,'#销量数据'!$2:$2,$E$2,'#销量数据'!$3:$3,"收入")</f>
        <v>4903.4911187126927</v>
      </c>
      <c r="F177" s="1815">
        <f>SUMIFS('#销量数据'!90:90,'#销量数据'!$1:$1,$B$1,'#销量数据'!$2:$2,$B$2,'#销量数据'!$3:$3,"销量")</f>
        <v>6231</v>
      </c>
      <c r="G177" s="1815">
        <f>SUMIFS('#销量数据'!90:90,'#销量数据'!$1:$1,$B$1,'#销量数据'!$2:$2,$B$2,'#销量数据'!$3:$3,"收入")</f>
        <v>6452</v>
      </c>
      <c r="H177" s="1813">
        <f t="shared" si="70"/>
        <v>1495.9430000000002</v>
      </c>
      <c r="I177" s="1813">
        <f t="shared" si="71"/>
        <v>1548.5088812873073</v>
      </c>
      <c r="J177" s="1815">
        <f>SUMIFS('#销量数据'!90:90,'#销量数据'!$1:$1,$B$1,'#销量数据'!$2:$2,"&lt;="&amp;$B$2,'#销量数据'!$3:$3,"销量")</f>
        <v>46954.646000000001</v>
      </c>
      <c r="K177" s="1815">
        <f>SUMIFS('#销量数据'!90:90,'#销量数据'!$1:$1,$B$1,'#销量数据'!$2:$2,"&lt;="&amp;$B$2,'#销量数据'!$3:$3,"收入")</f>
        <v>47826.858879711508</v>
      </c>
      <c r="L177" s="754"/>
      <c r="M177" s="753"/>
      <c r="N177" s="938"/>
      <c r="R177" s="941"/>
      <c r="AG177" s="913"/>
    </row>
    <row r="178" spans="1:33" s="798" customFormat="1" ht="19.5" customHeight="1">
      <c r="B178" s="2682" t="s">
        <v>622</v>
      </c>
      <c r="C178" s="1821" t="s">
        <v>13</v>
      </c>
      <c r="D178" s="1812">
        <f>SUMIFS(矿产品购销!3:3,矿产品购销!1:1,E1,矿产品购销!2:2,E2)</f>
        <v>253583.58499999999</v>
      </c>
      <c r="E178" s="1812">
        <f>SUMIFS('收入（汇总）'!44:44,'收入（汇总）'!1:1,E1,'收入（汇总）'!2:2,E2)</f>
        <v>40625</v>
      </c>
      <c r="F178" s="1812">
        <f>SUMIFS(矿产品购销!3:3,矿产品购销!1:1,B1,矿产品购销!2:2,B2)</f>
        <v>312844.14</v>
      </c>
      <c r="G178" s="1812">
        <f>SUMIFS('收入（汇总）'!44:44,'收入（汇总）'!1:1,B1,'收入（汇总）'!2:2,B2)</f>
        <v>46421</v>
      </c>
      <c r="H178" s="1820">
        <f>F178-D178</f>
        <v>59260.555000000022</v>
      </c>
      <c r="I178" s="1820">
        <f>G178-E178</f>
        <v>5796</v>
      </c>
      <c r="J178" s="1812">
        <f>SUMIFS(矿产品购销!3:3,矿产品购销!1:1,B1,矿产品购销!2:2,"&lt;="&amp;B2)</f>
        <v>2239671.733</v>
      </c>
      <c r="K178" s="1812">
        <f>SUMIFS('收入（汇总）'!44:44,'收入（汇总）'!1:1,B1,'收入（汇总）'!2:2,"&lt;="&amp;B2)</f>
        <v>299828.94</v>
      </c>
      <c r="L178" s="753"/>
      <c r="M178" s="753"/>
      <c r="N178" s="955"/>
      <c r="R178" s="941"/>
      <c r="AG178" s="913"/>
    </row>
    <row r="179" spans="1:33" s="798" customFormat="1" hidden="1">
      <c r="B179" s="2682"/>
      <c r="C179" s="1821" t="s">
        <v>17</v>
      </c>
      <c r="D179" s="1812"/>
      <c r="E179" s="1812"/>
      <c r="F179" s="1812"/>
      <c r="G179" s="1812"/>
      <c r="H179" s="1820"/>
      <c r="I179" s="1820"/>
      <c r="J179" s="1812"/>
      <c r="K179" s="1812"/>
      <c r="L179" s="753"/>
      <c r="M179" s="753"/>
      <c r="N179" s="938"/>
      <c r="R179" s="941"/>
      <c r="AG179" s="913"/>
    </row>
    <row r="180" spans="1:33" s="799" customFormat="1">
      <c r="B180" s="2682"/>
      <c r="C180" s="1817" t="s">
        <v>187</v>
      </c>
      <c r="D180" s="1818">
        <f>D178+D179</f>
        <v>253583.58499999999</v>
      </c>
      <c r="E180" s="1818">
        <f>E178+E179</f>
        <v>40625</v>
      </c>
      <c r="F180" s="1818">
        <f>F178+F179</f>
        <v>312844.14</v>
      </c>
      <c r="G180" s="1818">
        <f>G178+G179</f>
        <v>46421</v>
      </c>
      <c r="H180" s="1819">
        <f>F180-D180</f>
        <v>59260.555000000022</v>
      </c>
      <c r="I180" s="1819">
        <f>G180-E180</f>
        <v>5796</v>
      </c>
      <c r="J180" s="1818">
        <f>J178+J179</f>
        <v>2239671.733</v>
      </c>
      <c r="K180" s="1818">
        <f>K178+K179</f>
        <v>299828.94</v>
      </c>
      <c r="L180" s="754"/>
      <c r="M180" s="754"/>
      <c r="N180" s="956"/>
      <c r="R180" s="961"/>
      <c r="AG180" s="962"/>
    </row>
    <row r="181" spans="1:33" s="798" customFormat="1">
      <c r="B181" s="931"/>
      <c r="C181" s="753"/>
      <c r="D181" s="753"/>
      <c r="E181" s="753"/>
      <c r="F181" s="753"/>
      <c r="G181" s="753"/>
      <c r="H181" s="753"/>
      <c r="I181" s="753"/>
      <c r="J181" s="753"/>
      <c r="K181" s="753"/>
      <c r="L181" s="753"/>
      <c r="M181" s="753"/>
      <c r="N181" s="938"/>
      <c r="O181" s="938"/>
      <c r="P181" s="938"/>
      <c r="Q181" s="938"/>
      <c r="R181" s="941"/>
      <c r="AG181" s="913"/>
    </row>
    <row r="182" spans="1:33" s="798" customFormat="1">
      <c r="B182" s="931"/>
      <c r="C182" s="754"/>
      <c r="D182" s="942">
        <f>E178/D178*10000</f>
        <v>1602.0358731027484</v>
      </c>
      <c r="E182" s="942"/>
      <c r="F182" s="942">
        <f>G178/F178*10000</f>
        <v>1483.8379264511714</v>
      </c>
      <c r="G182" s="942"/>
      <c r="H182" s="943"/>
      <c r="I182" s="943"/>
      <c r="J182" s="942">
        <f>K178/J178*10000</f>
        <v>1338.7182397412523</v>
      </c>
      <c r="K182" s="942"/>
      <c r="L182" s="754"/>
      <c r="M182" s="754"/>
      <c r="N182" s="938"/>
      <c r="R182" s="941"/>
      <c r="AG182" s="913"/>
    </row>
    <row r="183" spans="1:33" s="798" customFormat="1">
      <c r="A183" s="409" t="s">
        <v>1354</v>
      </c>
      <c r="F183" s="941"/>
      <c r="G183" s="942"/>
      <c r="H183" s="943"/>
      <c r="I183" s="943"/>
      <c r="J183" s="942"/>
      <c r="K183" s="942"/>
      <c r="L183" s="754"/>
      <c r="M183" s="754"/>
      <c r="N183" s="938"/>
      <c r="R183" s="941"/>
      <c r="AG183" s="913"/>
    </row>
    <row r="184" spans="1:33" s="798" customFormat="1">
      <c r="B184" s="2166" t="s">
        <v>1355</v>
      </c>
      <c r="C184" s="2167" t="s">
        <v>1245</v>
      </c>
      <c r="D184" s="2167" t="str">
        <f>G88</f>
        <v>7月</v>
      </c>
      <c r="E184" s="2167" t="str">
        <f>H88</f>
        <v>8月</v>
      </c>
      <c r="F184" s="2167" t="s">
        <v>7</v>
      </c>
      <c r="G184" s="2167" t="s">
        <v>5</v>
      </c>
      <c r="H184" s="943"/>
      <c r="I184" s="943"/>
      <c r="J184" s="942"/>
      <c r="K184" s="942"/>
      <c r="L184" s="754"/>
      <c r="M184" s="754"/>
      <c r="N184" s="938"/>
      <c r="R184" s="941"/>
      <c r="AG184" s="913"/>
    </row>
    <row r="185" spans="1:33" s="798" customFormat="1">
      <c r="B185" s="2157" t="s">
        <v>1359</v>
      </c>
      <c r="C185" s="2157" t="s">
        <v>1356</v>
      </c>
      <c r="D185" s="2158">
        <f>H366/H348*10000</f>
        <v>1740.2010899630741</v>
      </c>
      <c r="E185" s="2158">
        <f>I366/I348*10000</f>
        <v>1738.5865090541522</v>
      </c>
      <c r="F185" s="2161">
        <f>E185-D185</f>
        <v>-1.6145809089218801</v>
      </c>
      <c r="G185" s="2159">
        <f>M366/M348*10000</f>
        <v>1585.9288864311818</v>
      </c>
      <c r="H185" s="943"/>
      <c r="I185" s="943"/>
      <c r="J185" s="942"/>
      <c r="K185" s="942"/>
      <c r="L185" s="754"/>
      <c r="M185" s="754"/>
      <c r="N185" s="938"/>
      <c r="R185" s="941"/>
      <c r="AG185" s="913"/>
    </row>
    <row r="186" spans="1:33" s="798" customFormat="1">
      <c r="B186" s="2157" t="s">
        <v>1352</v>
      </c>
      <c r="C186" s="2157" t="s">
        <v>1356</v>
      </c>
      <c r="D186" s="2158">
        <f>H367/H349*10000</f>
        <v>2100.2879451731478</v>
      </c>
      <c r="E186" s="2158">
        <f>I367/I349*10000</f>
        <v>1966.0919706630968</v>
      </c>
      <c r="F186" s="2161">
        <f>E186-D186</f>
        <v>-134.19597451005097</v>
      </c>
      <c r="G186" s="2158">
        <f>M367/M349*10000</f>
        <v>1855.748805249784</v>
      </c>
      <c r="H186" s="943"/>
      <c r="I186" s="943"/>
      <c r="J186" s="942"/>
      <c r="K186" s="942"/>
      <c r="L186" s="754"/>
      <c r="M186" s="754"/>
      <c r="N186" s="938"/>
      <c r="R186" s="941"/>
      <c r="AG186" s="913"/>
    </row>
    <row r="187" spans="1:33" s="798" customFormat="1">
      <c r="B187" s="2163" t="s">
        <v>46</v>
      </c>
      <c r="C187" s="2157" t="s">
        <v>1356</v>
      </c>
      <c r="D187" s="2159">
        <f>H407/H349*10000</f>
        <v>1006.1572023073292</v>
      </c>
      <c r="E187" s="2168">
        <f>I407/I349*10000</f>
        <v>838.94068470624677</v>
      </c>
      <c r="F187" s="2161">
        <f>E187-D187</f>
        <v>-167.21651760108239</v>
      </c>
      <c r="G187" s="2158">
        <f>M407/M349*10000</f>
        <v>960.74804736183592</v>
      </c>
      <c r="H187" s="943"/>
      <c r="I187" s="943"/>
      <c r="J187" s="942"/>
      <c r="K187" s="942"/>
      <c r="L187" s="754"/>
      <c r="M187" s="754"/>
      <c r="N187" s="938"/>
      <c r="R187" s="941"/>
      <c r="AG187" s="913"/>
    </row>
    <row r="188" spans="1:33" s="798" customFormat="1">
      <c r="B188" s="2163" t="s">
        <v>1268</v>
      </c>
      <c r="C188" s="2157" t="s">
        <v>1356</v>
      </c>
      <c r="D188" s="2158">
        <f>H368/H350*10000</f>
        <v>-254.29131185270424</v>
      </c>
      <c r="E188" s="2158">
        <f>I368/I350*10000</f>
        <v>130.13708464818691</v>
      </c>
      <c r="F188" s="2161">
        <f>E188-D188</f>
        <v>384.42839650089115</v>
      </c>
      <c r="G188" s="2158">
        <f>M368/M350*10000</f>
        <v>27.74615466720622</v>
      </c>
      <c r="H188" s="943"/>
      <c r="I188" s="943"/>
      <c r="J188" s="942"/>
      <c r="K188" s="942"/>
      <c r="L188" s="754"/>
      <c r="M188" s="754"/>
      <c r="N188" s="938"/>
      <c r="R188" s="941"/>
      <c r="AG188" s="913"/>
    </row>
    <row r="189" spans="1:33" s="798" customFormat="1">
      <c r="B189" s="2163" t="s">
        <v>1265</v>
      </c>
      <c r="C189" s="2157" t="s">
        <v>1356</v>
      </c>
      <c r="D189" s="2158">
        <f>H369/H351*10000</f>
        <v>597.62711864406776</v>
      </c>
      <c r="E189" s="2158">
        <f>I369/I351*10000</f>
        <v>934.76274184874103</v>
      </c>
      <c r="F189" s="2161">
        <f>E189-D189</f>
        <v>337.13562320467327</v>
      </c>
      <c r="G189" s="2158">
        <f>M369/M351*10000</f>
        <v>660.31539998176663</v>
      </c>
      <c r="H189" s="943"/>
      <c r="I189" s="943"/>
      <c r="J189" s="942"/>
      <c r="K189" s="942"/>
      <c r="L189" s="754"/>
      <c r="M189" s="754"/>
      <c r="N189" s="938"/>
      <c r="R189" s="941"/>
      <c r="AG189" s="913"/>
    </row>
    <row r="191" spans="1:33">
      <c r="A191" s="409" t="s">
        <v>623</v>
      </c>
      <c r="B191" s="947" t="e">
        <f>B2&amp;"月份实现税金"&amp;ROUND(H213,0)&amp;"万元（含企业所得税"&amp;ROUND(H209,0)&amp;"万元），比上月"&amp;IF(I213&gt;=0,"增加","减少")&amp;ABS(ROUND(I213,0))&amp;"万元,"&amp;IF(O212&gt;=0,"增幅","降幅")&amp;ABS(ROUND(O212,2))&amp;"%。"</f>
        <v>#DIV/0!</v>
      </c>
      <c r="C191" s="947"/>
      <c r="D191" s="947"/>
      <c r="E191" s="947"/>
      <c r="F191" s="947"/>
      <c r="G191" s="947"/>
      <c r="H191" s="947"/>
      <c r="I191" s="947"/>
      <c r="J191" s="947"/>
      <c r="K191" s="947"/>
      <c r="L191" s="947"/>
      <c r="M191" s="947"/>
      <c r="N191" s="947"/>
    </row>
    <row r="192" spans="1:33">
      <c r="A192" s="409"/>
      <c r="B192" s="947" t="str">
        <f>"累计实现税金"&amp;ROUND(L213,0)&amp;"万元（含企业所得税"&amp;ROUND(L209,0)&amp;"万元）,同比"&amp;IF(M213&gt;=0,"增加","减少")&amp;ABS(ROUND(M213,0))&amp;"万元，"&amp;IF(O213&gt;=0,"增幅","降幅")&amp;ABS(ROUND(O213,2))&amp;"%。"</f>
        <v>累计实现税金39359万元（含企业所得税4320万元）,同比增加15369万元，增幅64.06%。</v>
      </c>
      <c r="C192" s="947"/>
      <c r="D192" s="947"/>
      <c r="E192" s="947"/>
      <c r="F192" s="947"/>
      <c r="G192" s="947"/>
      <c r="H192" s="947"/>
      <c r="I192" s="947"/>
      <c r="J192" s="947"/>
      <c r="K192" s="947"/>
      <c r="L192" s="947"/>
      <c r="M192" s="947"/>
      <c r="N192" s="947"/>
    </row>
    <row r="193" spans="1:14">
      <c r="A193" s="409" t="s">
        <v>624</v>
      </c>
      <c r="B193" s="947" t="e">
        <f>B2&amp;"月份上交税金"&amp;ROUND(H231,0)&amp;"万元（含企业所得税"&amp;ROUND(H230,0)&amp;"万元），比上月"&amp;IF(I231&gt;=0,"增加","减少")&amp;ABS(ROUND(I231,0))&amp;"万元,"&amp;IF(O230&gt;=0,"增幅","降幅")&amp;ABS(ROUND(O230,2))&amp;"%。"</f>
        <v>#DIV/0!</v>
      </c>
      <c r="C193" s="947"/>
      <c r="D193" s="947"/>
      <c r="E193" s="947"/>
      <c r="F193" s="947"/>
      <c r="G193" s="947"/>
      <c r="H193" s="947"/>
      <c r="I193" s="947"/>
      <c r="J193" s="947"/>
      <c r="K193" s="947"/>
      <c r="L193" s="947"/>
      <c r="M193" s="947"/>
      <c r="N193" s="947"/>
    </row>
    <row r="194" spans="1:14">
      <c r="A194" s="409"/>
      <c r="B194" s="947" t="str">
        <f>"累计上交税金"&amp;ROUND(L231,0)&amp;"万元（含企业所得税"&amp;ROUND(L230,0)&amp;"万元）,同比"&amp;IF(M231&gt;=0,"增加","减少")&amp;ABS(ROUND(M231,0))&amp;"万元，"&amp;IF(O231&gt;=0,"增幅","降幅")&amp;ABS(ROUND(O231,2))&amp;"%。"</f>
        <v>累计上交税金37531万元（含企业所得税6017万元）,同比增加7669万元，增幅25.68%。</v>
      </c>
      <c r="C194" s="947"/>
      <c r="D194" s="947"/>
      <c r="E194" s="947"/>
      <c r="F194" s="947"/>
      <c r="G194" s="947"/>
      <c r="H194" s="947"/>
      <c r="I194" s="947"/>
      <c r="J194" s="947"/>
      <c r="K194" s="947"/>
      <c r="L194" s="947"/>
      <c r="M194" s="947"/>
      <c r="N194" s="947"/>
    </row>
    <row r="195" spans="1:14" s="53" customFormat="1">
      <c r="A195" s="409" t="s">
        <v>625</v>
      </c>
      <c r="B195" s="2675" t="s">
        <v>3</v>
      </c>
      <c r="C195" s="2675" t="s">
        <v>57</v>
      </c>
      <c r="D195" s="2591" t="str">
        <f>C9</f>
        <v>2020年</v>
      </c>
      <c r="E195" s="2593"/>
      <c r="F195" s="2591" t="str">
        <f>F9</f>
        <v>2021年</v>
      </c>
      <c r="G195" s="2592"/>
      <c r="H195" s="2592"/>
      <c r="I195" s="2592"/>
      <c r="J195" s="2592"/>
      <c r="K195" s="2592"/>
      <c r="L195" s="2592"/>
      <c r="M195" s="2592"/>
      <c r="N195" s="2593"/>
    </row>
    <row r="196" spans="1:14" s="53" customFormat="1">
      <c r="A196" s="409"/>
      <c r="B196" s="2675"/>
      <c r="C196" s="2675"/>
      <c r="D196" s="21" t="str">
        <f>D10</f>
        <v>8月</v>
      </c>
      <c r="E196" s="21" t="str">
        <f>E10</f>
        <v>累计</v>
      </c>
      <c r="F196" s="21" t="s">
        <v>58</v>
      </c>
      <c r="G196" s="21" t="str">
        <f t="shared" ref="G196:N196" si="72">G10</f>
        <v>7月</v>
      </c>
      <c r="H196" s="21" t="str">
        <f t="shared" si="72"/>
        <v>8月</v>
      </c>
      <c r="I196" s="21" t="str">
        <f t="shared" si="72"/>
        <v>比上月</v>
      </c>
      <c r="J196" s="21" t="str">
        <f t="shared" si="72"/>
        <v>比同期</v>
      </c>
      <c r="K196" s="21" t="str">
        <f t="shared" si="72"/>
        <v>比预算</v>
      </c>
      <c r="L196" s="21" t="str">
        <f t="shared" si="72"/>
        <v>累计</v>
      </c>
      <c r="M196" s="21" t="str">
        <f t="shared" si="72"/>
        <v>累计
比同期</v>
      </c>
      <c r="N196" s="21" t="str">
        <f t="shared" si="72"/>
        <v>累计
比预算</v>
      </c>
    </row>
    <row r="197" spans="1:14" s="801" customFormat="1">
      <c r="A197" s="409"/>
      <c r="B197" s="948" t="s">
        <v>400</v>
      </c>
      <c r="C197" s="23" t="s">
        <v>174</v>
      </c>
      <c r="D197" s="38">
        <f>SUMIFS('#税金'!3:3,'#税金'!$1:$1,$B$1-1,'#税金'!$2:$2,$B$2)</f>
        <v>14551.247731999996</v>
      </c>
      <c r="E197" s="949">
        <v>15998</v>
      </c>
      <c r="F197" s="23">
        <v>152855</v>
      </c>
      <c r="G197" s="38">
        <f>SUMIFS('#税金'!3:3,'#税金'!$1:$1,$E$1,'#税金'!$2:$2,$E$2)</f>
        <v>0</v>
      </c>
      <c r="H197" s="38">
        <f>SUMIFS('#税金'!3:3,'#税金'!$1:$1,$B$1,'#税金'!$2:$2,$B$2)</f>
        <v>0</v>
      </c>
      <c r="I197" s="957">
        <f>H197-G197</f>
        <v>0</v>
      </c>
      <c r="J197" s="957">
        <f>H197-D197</f>
        <v>-14551.247731999996</v>
      </c>
      <c r="K197" s="957">
        <f>H197-F197/12</f>
        <v>-12737.916666666666</v>
      </c>
      <c r="L197" s="949">
        <v>25656.434525000004</v>
      </c>
      <c r="M197" s="957">
        <f>L197-E197</f>
        <v>9658.4345250000042</v>
      </c>
      <c r="N197" s="957">
        <f>L197-F197/12*$B$2</f>
        <v>-76246.898808333324</v>
      </c>
    </row>
    <row r="198" spans="1:14" s="801" customFormat="1">
      <c r="A198" s="409"/>
      <c r="B198" s="948" t="s">
        <v>401</v>
      </c>
      <c r="C198" s="23" t="s">
        <v>174</v>
      </c>
      <c r="D198" s="38">
        <f>SUMIFS('#税金'!4:4,'#税金'!$1:$1,$B$1-1,'#税金'!$2:$2,$B$2)</f>
        <v>1071.856354</v>
      </c>
      <c r="E198" s="949">
        <v>501</v>
      </c>
      <c r="F198" s="23">
        <v>12481</v>
      </c>
      <c r="G198" s="38">
        <f>SUMIFS('#税金'!4:4,'#税金'!$1:$1,$E$1,'#税金'!$2:$2,$E$2)</f>
        <v>0</v>
      </c>
      <c r="H198" s="38">
        <f>SUMIFS('#税金'!4:4,'#税金'!$1:$1,$B$1,'#税金'!$2:$2,$B$2)</f>
        <v>0</v>
      </c>
      <c r="I198" s="957">
        <f t="shared" ref="I198:I213" si="73">H198-G198</f>
        <v>0</v>
      </c>
      <c r="J198" s="957">
        <f t="shared" ref="J198:J213" si="74">H198-D198</f>
        <v>-1071.856354</v>
      </c>
      <c r="K198" s="957">
        <f t="shared" ref="K198:K211" si="75">H198-F198/12</f>
        <v>-1040.0833333333333</v>
      </c>
      <c r="L198" s="949">
        <v>2410.0102390000006</v>
      </c>
      <c r="M198" s="957">
        <f t="shared" ref="M198:M213" si="76">L198-E198</f>
        <v>1909.0102390000006</v>
      </c>
      <c r="N198" s="957">
        <f t="shared" ref="N198:N211" si="77">L198-F198/12*$B$2</f>
        <v>-5910.656427666665</v>
      </c>
    </row>
    <row r="199" spans="1:14" s="801" customFormat="1">
      <c r="A199" s="409"/>
      <c r="B199" s="948" t="s">
        <v>402</v>
      </c>
      <c r="C199" s="23" t="s">
        <v>174</v>
      </c>
      <c r="D199" s="38">
        <f>SUMIFS('#税金'!5:5,'#税金'!$1:$1,$B$1-1,'#税金'!$2:$2,$B$2)</f>
        <v>820.61427300000003</v>
      </c>
      <c r="E199" s="949">
        <v>417</v>
      </c>
      <c r="F199" s="23">
        <v>9633</v>
      </c>
      <c r="G199" s="38">
        <f>SUMIFS('#税金'!5:5,'#税金'!$1:$1,$E$1,'#税金'!$2:$2,$E$2)</f>
        <v>0</v>
      </c>
      <c r="H199" s="38">
        <f>SUMIFS('#税金'!5:5,'#税金'!$1:$1,$B$1,'#税金'!$2:$2,$B$2)</f>
        <v>0</v>
      </c>
      <c r="I199" s="957">
        <f t="shared" si="73"/>
        <v>0</v>
      </c>
      <c r="J199" s="957">
        <f t="shared" si="74"/>
        <v>-820.61427300000003</v>
      </c>
      <c r="K199" s="957">
        <f t="shared" si="75"/>
        <v>-802.75</v>
      </c>
      <c r="L199" s="949">
        <v>1809.1655770000004</v>
      </c>
      <c r="M199" s="957">
        <f t="shared" si="76"/>
        <v>1392.1655770000004</v>
      </c>
      <c r="N199" s="957">
        <f t="shared" si="77"/>
        <v>-4612.8344229999993</v>
      </c>
    </row>
    <row r="200" spans="1:14" s="801" customFormat="1">
      <c r="A200" s="409"/>
      <c r="B200" s="948" t="s">
        <v>403</v>
      </c>
      <c r="C200" s="23" t="s">
        <v>174</v>
      </c>
      <c r="D200" s="38">
        <f>SUMIFS('#税金'!6:6,'#税金'!$1:$1,$B$1-1,'#税金'!$2:$2,$B$2)</f>
        <v>1181.173059</v>
      </c>
      <c r="E200" s="949">
        <v>1122</v>
      </c>
      <c r="F200" s="23">
        <v>20932</v>
      </c>
      <c r="G200" s="38">
        <f>SUMIFS('#税金'!6:6,'#税金'!$1:$1,$E$1,'#税金'!$2:$2,$E$2)</f>
        <v>0</v>
      </c>
      <c r="H200" s="38">
        <f>SUMIFS('#税金'!6:6,'#税金'!$1:$1,$B$1,'#税金'!$2:$2,$B$2)</f>
        <v>0</v>
      </c>
      <c r="I200" s="957">
        <f t="shared" si="73"/>
        <v>0</v>
      </c>
      <c r="J200" s="957">
        <f t="shared" si="74"/>
        <v>-1181.173059</v>
      </c>
      <c r="K200" s="957">
        <f t="shared" si="75"/>
        <v>-1744.3333333333333</v>
      </c>
      <c r="L200" s="949">
        <v>1218.1814890000001</v>
      </c>
      <c r="M200" s="957">
        <f t="shared" si="76"/>
        <v>96.181489000000056</v>
      </c>
      <c r="N200" s="957">
        <f t="shared" si="77"/>
        <v>-12736.485177666666</v>
      </c>
    </row>
    <row r="201" spans="1:14" s="801" customFormat="1">
      <c r="A201" s="409"/>
      <c r="B201" s="948" t="s">
        <v>404</v>
      </c>
      <c r="C201" s="23" t="s">
        <v>174</v>
      </c>
      <c r="D201" s="38">
        <f>SUMIFS('#税金'!7:7,'#税金'!$1:$1,$B$1-1,'#税金'!$2:$2,$B$2)</f>
        <v>582.21565099999998</v>
      </c>
      <c r="E201" s="949">
        <v>635</v>
      </c>
      <c r="F201" s="23">
        <v>35.25</v>
      </c>
      <c r="G201" s="38">
        <f>SUMIFS('#税金'!7:7,'#税金'!$1:$1,$E$1,'#税金'!$2:$2,$E$2)</f>
        <v>0</v>
      </c>
      <c r="H201" s="38">
        <f>SUMIFS('#税金'!7:7,'#税金'!$1:$1,$B$1,'#税金'!$2:$2,$B$2)</f>
        <v>0</v>
      </c>
      <c r="I201" s="957">
        <f t="shared" si="73"/>
        <v>0</v>
      </c>
      <c r="J201" s="957">
        <f t="shared" si="74"/>
        <v>-582.21565099999998</v>
      </c>
      <c r="K201" s="957">
        <f t="shared" si="75"/>
        <v>-2.9375</v>
      </c>
      <c r="L201" s="949">
        <v>631.51560400000005</v>
      </c>
      <c r="M201" s="957">
        <f t="shared" si="76"/>
        <v>-3.484395999999947</v>
      </c>
      <c r="N201" s="957">
        <f t="shared" si="77"/>
        <v>608.01560400000005</v>
      </c>
    </row>
    <row r="202" spans="1:14" s="801" customFormat="1">
      <c r="A202" s="409"/>
      <c r="B202" s="948" t="s">
        <v>405</v>
      </c>
      <c r="C202" s="23" t="s">
        <v>174</v>
      </c>
      <c r="D202" s="38">
        <f>SUMIFS('#税金'!8:8,'#税金'!$1:$1,$B$1-1,'#税金'!$2:$2,$B$2)</f>
        <v>0.47073500000000001</v>
      </c>
      <c r="E202" s="949">
        <v>1</v>
      </c>
      <c r="F202" s="23">
        <v>16922</v>
      </c>
      <c r="G202" s="38">
        <f>SUMIFS('#税金'!8:8,'#税金'!$1:$1,$E$1,'#税金'!$2:$2,$E$2)</f>
        <v>0</v>
      </c>
      <c r="H202" s="38">
        <f>SUMIFS('#税金'!8:8,'#税金'!$1:$1,$B$1,'#税金'!$2:$2,$B$2)</f>
        <v>0</v>
      </c>
      <c r="I202" s="957">
        <f t="shared" si="73"/>
        <v>0</v>
      </c>
      <c r="J202" s="957">
        <f t="shared" si="74"/>
        <v>-0.47073500000000001</v>
      </c>
      <c r="K202" s="957">
        <f t="shared" si="75"/>
        <v>-1410.1666666666667</v>
      </c>
      <c r="L202" s="949">
        <v>2.1999840000000002</v>
      </c>
      <c r="M202" s="957">
        <f t="shared" si="76"/>
        <v>1.1999840000000002</v>
      </c>
      <c r="N202" s="957">
        <f t="shared" si="77"/>
        <v>-11279.133349333333</v>
      </c>
    </row>
    <row r="203" spans="1:14" s="801" customFormat="1">
      <c r="A203" s="409"/>
      <c r="B203" s="948" t="s">
        <v>406</v>
      </c>
      <c r="C203" s="23" t="s">
        <v>174</v>
      </c>
      <c r="D203" s="38">
        <f>SUMIFS('#税金'!9:9,'#税金'!$1:$1,$B$1-1,'#税金'!$2:$2,$B$2)</f>
        <v>562.31289900000002</v>
      </c>
      <c r="E203" s="949">
        <v>524</v>
      </c>
      <c r="F203" s="23">
        <v>7596</v>
      </c>
      <c r="G203" s="38">
        <f>SUMIFS('#税金'!9:9,'#税金'!$1:$1,$E$1,'#税金'!$2:$2,$E$2)</f>
        <v>0</v>
      </c>
      <c r="H203" s="38">
        <f>SUMIFS('#税金'!9:9,'#税金'!$1:$1,$B$1,'#税金'!$2:$2,$B$2)</f>
        <v>0</v>
      </c>
      <c r="I203" s="957">
        <f t="shared" si="73"/>
        <v>0</v>
      </c>
      <c r="J203" s="957">
        <f t="shared" si="74"/>
        <v>-562.31289900000002</v>
      </c>
      <c r="K203" s="957">
        <f t="shared" si="75"/>
        <v>-633</v>
      </c>
      <c r="L203" s="949">
        <v>737.84389399999998</v>
      </c>
      <c r="M203" s="957">
        <f t="shared" si="76"/>
        <v>213.84389399999998</v>
      </c>
      <c r="N203" s="957">
        <f t="shared" si="77"/>
        <v>-4326.1561060000004</v>
      </c>
    </row>
    <row r="204" spans="1:14" s="801" customFormat="1">
      <c r="A204" s="409"/>
      <c r="B204" s="948" t="s">
        <v>407</v>
      </c>
      <c r="C204" s="23" t="s">
        <v>174</v>
      </c>
      <c r="D204" s="38">
        <f>SUMIFS('#税金'!10:10,'#税金'!$1:$1,$B$1-1,'#税金'!$2:$2,$B$2)</f>
        <v>1833.3626389999997</v>
      </c>
      <c r="E204" s="949">
        <v>1495</v>
      </c>
      <c r="F204" s="23">
        <v>6488</v>
      </c>
      <c r="G204" s="38">
        <f>SUMIFS('#税金'!10:10,'#税金'!$1:$1,$E$1,'#税金'!$2:$2,$E$2)</f>
        <v>0</v>
      </c>
      <c r="H204" s="38">
        <f>SUMIFS('#税金'!10:10,'#税金'!$1:$1,$B$1,'#税金'!$2:$2,$B$2)</f>
        <v>0</v>
      </c>
      <c r="I204" s="957">
        <f t="shared" si="73"/>
        <v>0</v>
      </c>
      <c r="J204" s="957">
        <f t="shared" si="74"/>
        <v>-1833.3626389999997</v>
      </c>
      <c r="K204" s="957">
        <f t="shared" si="75"/>
        <v>-540.66666666666663</v>
      </c>
      <c r="L204" s="949">
        <v>2185.1552999999999</v>
      </c>
      <c r="M204" s="957">
        <f t="shared" si="76"/>
        <v>690.1552999999999</v>
      </c>
      <c r="N204" s="957">
        <f t="shared" si="77"/>
        <v>-2140.1780333333331</v>
      </c>
    </row>
    <row r="205" spans="1:14" s="801" customFormat="1">
      <c r="A205" s="409"/>
      <c r="B205" s="948" t="s">
        <v>408</v>
      </c>
      <c r="C205" s="23" t="s">
        <v>174</v>
      </c>
      <c r="D205" s="38">
        <f>SUMIFS('#税金'!11:11,'#税金'!$1:$1,$B$1-1,'#税金'!$2:$2,$B$2)</f>
        <v>159.230467</v>
      </c>
      <c r="E205" s="949">
        <v>234</v>
      </c>
      <c r="F205" s="23">
        <v>2507</v>
      </c>
      <c r="G205" s="38">
        <f>SUMIFS('#税金'!11:11,'#税金'!$1:$1,$E$1,'#税金'!$2:$2,$E$2)</f>
        <v>0</v>
      </c>
      <c r="H205" s="38">
        <f>SUMIFS('#税金'!11:11,'#税金'!$1:$1,$B$1,'#税金'!$2:$2,$B$2)</f>
        <v>0</v>
      </c>
      <c r="I205" s="957">
        <f t="shared" si="73"/>
        <v>0</v>
      </c>
      <c r="J205" s="957">
        <f t="shared" si="74"/>
        <v>-159.230467</v>
      </c>
      <c r="K205" s="957">
        <f t="shared" si="75"/>
        <v>-208.91666666666666</v>
      </c>
      <c r="L205" s="949">
        <v>117.19643799999999</v>
      </c>
      <c r="M205" s="957">
        <f t="shared" si="76"/>
        <v>-116.80356200000001</v>
      </c>
      <c r="N205" s="957">
        <f t="shared" si="77"/>
        <v>-1554.1368953333333</v>
      </c>
    </row>
    <row r="206" spans="1:14" s="801" customFormat="1">
      <c r="A206" s="409"/>
      <c r="B206" s="948" t="s">
        <v>409</v>
      </c>
      <c r="C206" s="23" t="s">
        <v>174</v>
      </c>
      <c r="D206" s="38">
        <f>SUMIFS('#税金'!12:12,'#税金'!$1:$1,$B$1-1,'#税金'!$2:$2,$B$2)</f>
        <v>148.50426000000002</v>
      </c>
      <c r="E206" s="949">
        <v>107</v>
      </c>
      <c r="F206" s="23">
        <v>2655</v>
      </c>
      <c r="G206" s="38">
        <f>SUMIFS('#税金'!12:12,'#税金'!$1:$1,$E$1,'#税金'!$2:$2,$E$2)</f>
        <v>0</v>
      </c>
      <c r="H206" s="38">
        <f>SUMIFS('#税金'!12:12,'#税金'!$1:$1,$B$1,'#税金'!$2:$2,$B$2)</f>
        <v>0</v>
      </c>
      <c r="I206" s="957">
        <f t="shared" si="73"/>
        <v>0</v>
      </c>
      <c r="J206" s="957">
        <f t="shared" si="74"/>
        <v>-148.50426000000002</v>
      </c>
      <c r="K206" s="957">
        <f t="shared" si="75"/>
        <v>-221.25</v>
      </c>
      <c r="L206" s="949">
        <v>137.09086000000002</v>
      </c>
      <c r="M206" s="957">
        <f t="shared" si="76"/>
        <v>30.090860000000021</v>
      </c>
      <c r="N206" s="957">
        <f t="shared" si="77"/>
        <v>-1632.90914</v>
      </c>
    </row>
    <row r="207" spans="1:14" s="801" customFormat="1">
      <c r="A207" s="409"/>
      <c r="B207" s="948" t="s">
        <v>410</v>
      </c>
      <c r="C207" s="23" t="s">
        <v>174</v>
      </c>
      <c r="D207" s="38">
        <f>SUMIFS('#税金'!13:13,'#税金'!$1:$1,$B$1-1,'#税金'!$2:$2,$B$2)</f>
        <v>50.693053999999997</v>
      </c>
      <c r="E207" s="949">
        <v>85</v>
      </c>
      <c r="F207" s="23">
        <v>1968</v>
      </c>
      <c r="G207" s="38">
        <f>SUMIFS('#税金'!13:13,'#税金'!$1:$1,$E$1,'#税金'!$2:$2,$E$2)</f>
        <v>0</v>
      </c>
      <c r="H207" s="38">
        <f>SUMIFS('#税金'!13:13,'#税金'!$1:$1,$B$1,'#税金'!$2:$2,$B$2)</f>
        <v>0</v>
      </c>
      <c r="I207" s="957">
        <f t="shared" si="73"/>
        <v>0</v>
      </c>
      <c r="J207" s="957">
        <f t="shared" si="74"/>
        <v>-50.693053999999997</v>
      </c>
      <c r="K207" s="957">
        <f t="shared" si="75"/>
        <v>-164</v>
      </c>
      <c r="L207" s="949">
        <v>134.044984</v>
      </c>
      <c r="M207" s="957">
        <f t="shared" si="76"/>
        <v>49.044983999999999</v>
      </c>
      <c r="N207" s="957">
        <f t="shared" si="77"/>
        <v>-1177.9550159999999</v>
      </c>
    </row>
    <row r="208" spans="1:14" s="801" customFormat="1">
      <c r="A208" s="409"/>
      <c r="B208" s="948" t="s">
        <v>411</v>
      </c>
      <c r="C208" s="23" t="s">
        <v>174</v>
      </c>
      <c r="D208" s="38">
        <f>SUMIFS('#税金'!14:14,'#税金'!$1:$1,$B$1-1,'#税金'!$2:$2,$B$2)</f>
        <v>0</v>
      </c>
      <c r="E208" s="949">
        <v>0</v>
      </c>
      <c r="F208" s="23">
        <v>991</v>
      </c>
      <c r="G208" s="38">
        <f>SUMIFS('#税金'!14:14,'#税金'!$1:$1,$E$1,'#税金'!$2:$2,$E$2)</f>
        <v>0</v>
      </c>
      <c r="H208" s="38">
        <f>SUMIFS('#税金'!14:14,'#税金'!$1:$1,$B$1,'#税金'!$2:$2,$B$2)</f>
        <v>0</v>
      </c>
      <c r="I208" s="1996">
        <f>H208-G208</f>
        <v>0</v>
      </c>
      <c r="J208" s="1996">
        <f>H208-D208</f>
        <v>0</v>
      </c>
      <c r="K208" s="957">
        <f t="shared" si="75"/>
        <v>-82.583333333333329</v>
      </c>
      <c r="L208" s="949">
        <v>0</v>
      </c>
      <c r="M208" s="957">
        <f>L208-E208</f>
        <v>0</v>
      </c>
      <c r="N208" s="957">
        <f>L208-F208/12*$B$2</f>
        <v>-660.66666666666663</v>
      </c>
    </row>
    <row r="209" spans="1:17" s="801" customFormat="1">
      <c r="A209" s="409"/>
      <c r="B209" s="948" t="s">
        <v>413</v>
      </c>
      <c r="C209" s="23" t="s">
        <v>174</v>
      </c>
      <c r="D209" s="38">
        <f>SUMIFS('#税金'!16:16,'#税金'!$1:$1,$B$1-1,'#税金'!$2:$2,$B$2)</f>
        <v>3303.4874170000003</v>
      </c>
      <c r="E209" s="949">
        <v>2871</v>
      </c>
      <c r="F209" s="23">
        <v>48092</v>
      </c>
      <c r="G209" s="38">
        <f>SUMIFS('#税金'!16:16,'#税金'!$1:$1,$E$1,'#税金'!$2:$2,$E$2)</f>
        <v>0</v>
      </c>
      <c r="H209" s="38">
        <f>SUMIFS('#税金'!16:16,'#税金'!$1:$1,$B$1,'#税金'!$2:$2,$B$2)</f>
        <v>0</v>
      </c>
      <c r="I209" s="957">
        <f t="shared" si="73"/>
        <v>0</v>
      </c>
      <c r="J209" s="957">
        <f t="shared" si="74"/>
        <v>-3303.4874170000003</v>
      </c>
      <c r="K209" s="957">
        <f t="shared" si="75"/>
        <v>-4007.6666666666665</v>
      </c>
      <c r="L209" s="949">
        <v>4320.0583379999998</v>
      </c>
      <c r="M209" s="957">
        <f t="shared" si="76"/>
        <v>1449.0583379999998</v>
      </c>
      <c r="N209" s="957">
        <f t="shared" si="77"/>
        <v>-27741.274995333333</v>
      </c>
    </row>
    <row r="210" spans="1:17" s="801" customFormat="1">
      <c r="A210" s="409"/>
      <c r="B210" s="950" t="s">
        <v>626</v>
      </c>
      <c r="C210" s="21" t="s">
        <v>174</v>
      </c>
      <c r="D210" s="70">
        <f>SUMIFS('#税金'!15:15,'#税金'!$1:$1,$B$1-1,'#税金'!$2:$2,$B$2)</f>
        <v>20961.681122999995</v>
      </c>
      <c r="E210" s="70">
        <f>SUM(E197:E208)</f>
        <v>21119</v>
      </c>
      <c r="F210" s="70">
        <f>SUM(F197:F208)</f>
        <v>235063.25</v>
      </c>
      <c r="G210" s="70">
        <f>SUMIFS('#税金'!15:15,'#税金'!$1:$1,$E$1,'#税金'!$2:$2,$E$2)</f>
        <v>0</v>
      </c>
      <c r="H210" s="70">
        <f>SUMIFS('#税金'!15:15,'#税金'!$1:$1,$B$1,'#税金'!$2:$2,$B$2)</f>
        <v>0</v>
      </c>
      <c r="I210" s="958">
        <f t="shared" si="73"/>
        <v>0</v>
      </c>
      <c r="J210" s="958">
        <f t="shared" si="74"/>
        <v>-20961.681122999995</v>
      </c>
      <c r="K210" s="958">
        <f t="shared" si="75"/>
        <v>-19588.604166666668</v>
      </c>
      <c r="L210" s="70">
        <f>SUM(L197:L208)</f>
        <v>35038.838894</v>
      </c>
      <c r="M210" s="958">
        <f t="shared" si="76"/>
        <v>13919.838894</v>
      </c>
      <c r="N210" s="958">
        <f t="shared" si="77"/>
        <v>-121669.99443933334</v>
      </c>
    </row>
    <row r="211" spans="1:17" s="53" customFormat="1">
      <c r="A211" s="409"/>
      <c r="B211" s="950" t="s">
        <v>627</v>
      </c>
      <c r="C211" s="21" t="s">
        <v>458</v>
      </c>
      <c r="D211" s="806">
        <f>D115</f>
        <v>76.139820900000004</v>
      </c>
      <c r="E211" s="806">
        <f>E115</f>
        <v>702.05694540000002</v>
      </c>
      <c r="F211" s="70">
        <f>F115</f>
        <v>1200</v>
      </c>
      <c r="G211" s="806">
        <f>G115</f>
        <v>109.99733669999999</v>
      </c>
      <c r="H211" s="806">
        <f>H115</f>
        <v>108.989</v>
      </c>
      <c r="I211" s="959">
        <f t="shared" si="73"/>
        <v>-1.0083366999999868</v>
      </c>
      <c r="J211" s="959">
        <f t="shared" si="74"/>
        <v>32.849179100000001</v>
      </c>
      <c r="K211" s="959">
        <f t="shared" si="75"/>
        <v>8.9890000000000043</v>
      </c>
      <c r="L211" s="806">
        <f>L115</f>
        <v>842.9772906999998</v>
      </c>
      <c r="M211" s="959">
        <f t="shared" si="76"/>
        <v>140.92034529999978</v>
      </c>
      <c r="N211" s="959">
        <f t="shared" si="77"/>
        <v>42.977290699999799</v>
      </c>
      <c r="O211" s="960"/>
      <c r="P211" s="960"/>
      <c r="Q211" s="960"/>
    </row>
    <row r="212" spans="1:17" s="53" customFormat="1">
      <c r="A212" s="409"/>
      <c r="B212" s="951" t="s">
        <v>628</v>
      </c>
      <c r="C212" s="21" t="s">
        <v>196</v>
      </c>
      <c r="D212" s="70">
        <f>D210/D211</f>
        <v>275.30510152539631</v>
      </c>
      <c r="E212" s="70">
        <f>E210/E211</f>
        <v>30.081605400210602</v>
      </c>
      <c r="F212" s="70">
        <f>F210/F211</f>
        <v>195.88604166666667</v>
      </c>
      <c r="G212" s="70">
        <f>G210/G211</f>
        <v>0</v>
      </c>
      <c r="H212" s="70">
        <f>H210/H211</f>
        <v>0</v>
      </c>
      <c r="I212" s="958">
        <f t="shared" si="73"/>
        <v>0</v>
      </c>
      <c r="J212" s="958">
        <f t="shared" si="74"/>
        <v>-275.30510152539631</v>
      </c>
      <c r="K212" s="958">
        <f>H212-F212</f>
        <v>-195.88604166666667</v>
      </c>
      <c r="L212" s="70">
        <f>L210/L211</f>
        <v>41.565578670457548</v>
      </c>
      <c r="M212" s="958">
        <f t="shared" si="76"/>
        <v>11.483973270246945</v>
      </c>
      <c r="N212" s="958">
        <f>L212-F212</f>
        <v>-154.32046299620913</v>
      </c>
      <c r="O212" s="912" t="e">
        <f>I213/G213*100</f>
        <v>#DIV/0!</v>
      </c>
      <c r="P212" s="912"/>
      <c r="Q212" s="912"/>
    </row>
    <row r="213" spans="1:17" s="53" customFormat="1">
      <c r="A213" s="409"/>
      <c r="B213" s="950" t="s">
        <v>629</v>
      </c>
      <c r="C213" s="21" t="s">
        <v>174</v>
      </c>
      <c r="D213" s="70">
        <f>SUMIFS('#税金'!17:17,'#税金'!$1:$1,$B$1-1,'#税金'!$2:$2,$B$2)</f>
        <v>24265.168539999995</v>
      </c>
      <c r="E213" s="70">
        <f>E209+E210</f>
        <v>23990</v>
      </c>
      <c r="F213" s="70">
        <f>F209+F210</f>
        <v>283155.25</v>
      </c>
      <c r="G213" s="70">
        <f>G209+G210</f>
        <v>0</v>
      </c>
      <c r="H213" s="70">
        <f>H209+H210</f>
        <v>0</v>
      </c>
      <c r="I213" s="958">
        <f t="shared" si="73"/>
        <v>0</v>
      </c>
      <c r="J213" s="958">
        <f t="shared" si="74"/>
        <v>-24265.168539999995</v>
      </c>
      <c r="K213" s="958">
        <f>H213-F213/12</f>
        <v>-23596.270833333332</v>
      </c>
      <c r="L213" s="70">
        <f>L209+L210</f>
        <v>39358.897232000003</v>
      </c>
      <c r="M213" s="958">
        <f t="shared" si="76"/>
        <v>15368.897232000003</v>
      </c>
      <c r="N213" s="958">
        <f>L213-F213/12*$B$2</f>
        <v>-149411.26943466667</v>
      </c>
      <c r="O213" s="912">
        <f>M213/E213*100</f>
        <v>64.063765035431445</v>
      </c>
      <c r="P213" s="912"/>
      <c r="Q213" s="912"/>
    </row>
    <row r="214" spans="1:17">
      <c r="A214" s="409"/>
      <c r="J214" s="808">
        <f>J213/D213*100</f>
        <v>-100</v>
      </c>
      <c r="K214" s="808"/>
      <c r="L214" s="808"/>
    </row>
    <row r="215" spans="1:17">
      <c r="A215" s="409" t="s">
        <v>415</v>
      </c>
      <c r="B215" s="2675" t="s">
        <v>3</v>
      </c>
      <c r="C215" s="2675" t="s">
        <v>57</v>
      </c>
      <c r="D215" s="2675" t="str">
        <f>D195</f>
        <v>2020年</v>
      </c>
      <c r="E215" s="2675"/>
      <c r="F215" s="2675" t="str">
        <f>F195</f>
        <v>2021年</v>
      </c>
      <c r="G215" s="2675"/>
      <c r="H215" s="2675"/>
      <c r="I215" s="2675"/>
      <c r="J215" s="2675"/>
      <c r="K215" s="2675"/>
      <c r="L215" s="2675"/>
      <c r="M215" s="2675"/>
      <c r="N215" s="2675"/>
    </row>
    <row r="216" spans="1:17">
      <c r="B216" s="2675"/>
      <c r="C216" s="2675"/>
      <c r="D216" s="21" t="str">
        <f>D196</f>
        <v>8月</v>
      </c>
      <c r="E216" s="21" t="s">
        <v>5</v>
      </c>
      <c r="F216" s="21" t="s">
        <v>58</v>
      </c>
      <c r="G216" s="21" t="str">
        <f>G196</f>
        <v>7月</v>
      </c>
      <c r="H216" s="21" t="str">
        <f>H196</f>
        <v>8月</v>
      </c>
      <c r="I216" s="21" t="s">
        <v>7</v>
      </c>
      <c r="J216" s="21" t="s">
        <v>8</v>
      </c>
      <c r="K216" s="21" t="s">
        <v>9</v>
      </c>
      <c r="L216" s="21" t="s">
        <v>5</v>
      </c>
      <c r="M216" s="21" t="s">
        <v>10</v>
      </c>
      <c r="N216" s="21" t="s">
        <v>11</v>
      </c>
    </row>
    <row r="217" spans="1:17">
      <c r="B217" s="952" t="s">
        <v>400</v>
      </c>
      <c r="C217" s="23" t="s">
        <v>174</v>
      </c>
      <c r="D217" s="38">
        <f>SUMIFS('#税金'!22:22,'#税金'!$1:$1,$B$1-1,'#税金'!$2:$2,$B$2)</f>
        <v>7146.7822999999999</v>
      </c>
      <c r="E217" s="949">
        <v>12260</v>
      </c>
      <c r="F217" s="23">
        <f>F197</f>
        <v>152855</v>
      </c>
      <c r="G217" s="38">
        <f>SUMIFS('#税金'!22:22,'#税金'!$1:$1,$E$1,'#税金'!$2:$2,$E$2)</f>
        <v>0</v>
      </c>
      <c r="H217" s="38">
        <f>SUMIFS('#税金'!22:22,'#税金'!$1:$1,$B$1,'#税金'!$2:$2,$B$2)</f>
        <v>0</v>
      </c>
      <c r="I217" s="957">
        <f>H217-G217</f>
        <v>0</v>
      </c>
      <c r="J217" s="957">
        <f>H217-D217</f>
        <v>-7146.7822999999999</v>
      </c>
      <c r="K217" s="957">
        <f>H217-F217/12</f>
        <v>-12737.916666666666</v>
      </c>
      <c r="L217" s="949">
        <v>22324.047531999997</v>
      </c>
      <c r="M217" s="957">
        <f>L217-E217</f>
        <v>10064.047531999997</v>
      </c>
      <c r="N217" s="957">
        <f>L217-F217/12*$B$2</f>
        <v>-79579.285801333332</v>
      </c>
    </row>
    <row r="218" spans="1:17">
      <c r="B218" s="952" t="s">
        <v>401</v>
      </c>
      <c r="C218" s="23" t="s">
        <v>174</v>
      </c>
      <c r="D218" s="38">
        <f>SUMIFS('#税金'!23:23,'#税金'!$1:$1,$B$1-1,'#税金'!$2:$2,$B$2)</f>
        <v>437.32646800000009</v>
      </c>
      <c r="E218" s="949">
        <v>557</v>
      </c>
      <c r="F218" s="23">
        <f t="shared" ref="F218:F228" si="78">F198</f>
        <v>12481</v>
      </c>
      <c r="G218" s="38">
        <f>SUMIFS('#税金'!23:23,'#税金'!$1:$1,$E$1,'#税金'!$2:$2,$E$2)</f>
        <v>0</v>
      </c>
      <c r="H218" s="38">
        <f>SUMIFS('#税金'!23:23,'#税金'!$1:$1,$B$1,'#税金'!$2:$2,$B$2)</f>
        <v>0</v>
      </c>
      <c r="I218" s="957">
        <f t="shared" ref="I218:I231" si="79">H218-G218</f>
        <v>0</v>
      </c>
      <c r="J218" s="957">
        <f t="shared" ref="J218:J231" si="80">H218-D218</f>
        <v>-437.32646800000009</v>
      </c>
      <c r="K218" s="957">
        <f t="shared" ref="K218:K231" si="81">H218-F218/12</f>
        <v>-1040.0833333333333</v>
      </c>
      <c r="L218" s="949">
        <v>1845.9178870000005</v>
      </c>
      <c r="M218" s="957">
        <f t="shared" ref="M218:M231" si="82">L218-E218</f>
        <v>1288.9178870000005</v>
      </c>
      <c r="N218" s="957">
        <f t="shared" ref="N218:N231" si="83">L218-F218/12*$B$2</f>
        <v>-6474.7487796666655</v>
      </c>
    </row>
    <row r="219" spans="1:17">
      <c r="B219" s="952" t="s">
        <v>402</v>
      </c>
      <c r="C219" s="23" t="s">
        <v>174</v>
      </c>
      <c r="D219" s="38">
        <f>SUMIFS('#税金'!24:24,'#税金'!$1:$1,$B$1-1,'#税金'!$2:$2,$B$2)</f>
        <v>352.81799200000006</v>
      </c>
      <c r="E219" s="949">
        <v>406</v>
      </c>
      <c r="F219" s="23">
        <f t="shared" si="78"/>
        <v>9633</v>
      </c>
      <c r="G219" s="38">
        <f>SUMIFS('#税金'!24:24,'#税金'!$1:$1,$E$1,'#税金'!$2:$2,$E$2)</f>
        <v>0</v>
      </c>
      <c r="H219" s="38">
        <f>SUMIFS('#税金'!24:24,'#税金'!$1:$1,$B$1,'#税金'!$2:$2,$B$2)</f>
        <v>0</v>
      </c>
      <c r="I219" s="957">
        <f t="shared" si="79"/>
        <v>0</v>
      </c>
      <c r="J219" s="957">
        <f t="shared" si="80"/>
        <v>-352.81799200000006</v>
      </c>
      <c r="K219" s="957">
        <f t="shared" si="81"/>
        <v>-802.75</v>
      </c>
      <c r="L219" s="949">
        <v>1337.6657770000004</v>
      </c>
      <c r="M219" s="957">
        <f t="shared" si="82"/>
        <v>931.66577700000039</v>
      </c>
      <c r="N219" s="957">
        <f t="shared" si="83"/>
        <v>-5084.3342229999998</v>
      </c>
    </row>
    <row r="220" spans="1:17">
      <c r="B220" s="952" t="s">
        <v>403</v>
      </c>
      <c r="C220" s="23" t="s">
        <v>174</v>
      </c>
      <c r="D220" s="38">
        <f>SUMIFS('#税金'!25:25,'#税金'!$1:$1,$B$1-1,'#税金'!$2:$2,$B$2)</f>
        <v>4.4035530000000005</v>
      </c>
      <c r="E220" s="949">
        <v>5651</v>
      </c>
      <c r="F220" s="23">
        <f t="shared" si="78"/>
        <v>20932</v>
      </c>
      <c r="G220" s="38">
        <f>SUMIFS('#税金'!25:25,'#税金'!$1:$1,$E$1,'#税金'!$2:$2,$E$2)</f>
        <v>0</v>
      </c>
      <c r="H220" s="38">
        <f>SUMIFS('#税金'!25:25,'#税金'!$1:$1,$B$1,'#税金'!$2:$2,$B$2)</f>
        <v>0</v>
      </c>
      <c r="I220" s="957">
        <f t="shared" si="79"/>
        <v>0</v>
      </c>
      <c r="J220" s="957">
        <f t="shared" si="80"/>
        <v>-4.4035530000000005</v>
      </c>
      <c r="K220" s="957">
        <f t="shared" si="81"/>
        <v>-1744.3333333333333</v>
      </c>
      <c r="L220" s="949">
        <v>913.22922100000005</v>
      </c>
      <c r="M220" s="957">
        <f t="shared" si="82"/>
        <v>-4737.7707790000004</v>
      </c>
      <c r="N220" s="957">
        <f t="shared" si="83"/>
        <v>-13041.437445666666</v>
      </c>
    </row>
    <row r="221" spans="1:17">
      <c r="B221" s="952" t="s">
        <v>404</v>
      </c>
      <c r="C221" s="23" t="s">
        <v>174</v>
      </c>
      <c r="D221" s="38">
        <f>SUMIFS('#税金'!26:26,'#税金'!$1:$1,$B$1-1,'#税金'!$2:$2,$B$2)</f>
        <v>3.5207730000000002</v>
      </c>
      <c r="E221" s="949">
        <v>1220</v>
      </c>
      <c r="F221" s="23">
        <f t="shared" si="78"/>
        <v>35.25</v>
      </c>
      <c r="G221" s="38">
        <f>SUMIFS('#税金'!26:26,'#税金'!$1:$1,$E$1,'#税金'!$2:$2,$E$2)</f>
        <v>0</v>
      </c>
      <c r="H221" s="38">
        <f>SUMIFS('#税金'!26:26,'#税金'!$1:$1,$B$1,'#税金'!$2:$2,$B$2)</f>
        <v>0</v>
      </c>
      <c r="I221" s="957">
        <f t="shared" si="79"/>
        <v>0</v>
      </c>
      <c r="J221" s="957">
        <f t="shared" si="80"/>
        <v>-3.5207730000000002</v>
      </c>
      <c r="K221" s="957">
        <f t="shared" si="81"/>
        <v>-2.9375</v>
      </c>
      <c r="L221" s="949">
        <v>275.23630499999996</v>
      </c>
      <c r="M221" s="957">
        <f t="shared" si="82"/>
        <v>-944.7636950000001</v>
      </c>
      <c r="N221" s="957">
        <f t="shared" si="83"/>
        <v>251.73630499999996</v>
      </c>
    </row>
    <row r="222" spans="1:17">
      <c r="B222" s="952" t="s">
        <v>405</v>
      </c>
      <c r="C222" s="23" t="s">
        <v>174</v>
      </c>
      <c r="D222" s="38">
        <f>SUMIFS('#税金'!27:27,'#税金'!$1:$1,$B$1-1,'#税金'!$2:$2,$B$2)</f>
        <v>0.47073500000000001</v>
      </c>
      <c r="E222" s="949">
        <v>1</v>
      </c>
      <c r="F222" s="23">
        <f t="shared" si="78"/>
        <v>16922</v>
      </c>
      <c r="G222" s="38">
        <f>SUMIFS('#税金'!27:27,'#税金'!$1:$1,$E$1,'#税金'!$2:$2,$E$2)</f>
        <v>0</v>
      </c>
      <c r="H222" s="38">
        <f>SUMIFS('#税金'!27:27,'#税金'!$1:$1,$B$1,'#税金'!$2:$2,$B$2)</f>
        <v>0</v>
      </c>
      <c r="I222" s="957">
        <f t="shared" si="79"/>
        <v>0</v>
      </c>
      <c r="J222" s="957">
        <f t="shared" si="80"/>
        <v>-0.47073500000000001</v>
      </c>
      <c r="K222" s="957">
        <f t="shared" si="81"/>
        <v>-1410.1666666666667</v>
      </c>
      <c r="L222" s="949">
        <v>2.1999840000000002</v>
      </c>
      <c r="M222" s="957">
        <f t="shared" si="82"/>
        <v>1.1999840000000002</v>
      </c>
      <c r="N222" s="957">
        <f t="shared" si="83"/>
        <v>-11279.133349333333</v>
      </c>
    </row>
    <row r="223" spans="1:17">
      <c r="B223" s="952" t="s">
        <v>406</v>
      </c>
      <c r="C223" s="23" t="s">
        <v>174</v>
      </c>
      <c r="D223" s="38">
        <f>SUMIFS('#税金'!28:28,'#税金'!$1:$1,$B$1-1,'#税金'!$2:$2,$B$2)</f>
        <v>501.40835400000003</v>
      </c>
      <c r="E223" s="949">
        <v>550</v>
      </c>
      <c r="F223" s="23">
        <f t="shared" si="78"/>
        <v>7596</v>
      </c>
      <c r="G223" s="38">
        <f>SUMIFS('#税金'!28:28,'#税金'!$1:$1,$E$1,'#税金'!$2:$2,$E$2)</f>
        <v>0</v>
      </c>
      <c r="H223" s="38">
        <f>SUMIFS('#税金'!28:28,'#税金'!$1:$1,$B$1,'#税金'!$2:$2,$B$2)</f>
        <v>0</v>
      </c>
      <c r="I223" s="957">
        <f t="shared" si="79"/>
        <v>0</v>
      </c>
      <c r="J223" s="957">
        <f t="shared" si="80"/>
        <v>-501.40835400000003</v>
      </c>
      <c r="K223" s="957">
        <f t="shared" si="81"/>
        <v>-633</v>
      </c>
      <c r="L223" s="949">
        <v>777.161158</v>
      </c>
      <c r="M223" s="957">
        <f t="shared" si="82"/>
        <v>227.161158</v>
      </c>
      <c r="N223" s="957">
        <f t="shared" si="83"/>
        <v>-4286.8388420000001</v>
      </c>
    </row>
    <row r="224" spans="1:17">
      <c r="B224" s="952" t="s">
        <v>407</v>
      </c>
      <c r="C224" s="23" t="s">
        <v>174</v>
      </c>
      <c r="D224" s="38">
        <f>SUMIFS('#税金'!29:29,'#税金'!$1:$1,$B$1-1,'#税金'!$2:$2,$B$2)</f>
        <v>1433.9699519999999</v>
      </c>
      <c r="E224" s="949">
        <v>2424</v>
      </c>
      <c r="F224" s="23">
        <f t="shared" si="78"/>
        <v>6488</v>
      </c>
      <c r="G224" s="38">
        <f>SUMIFS('#税金'!29:29,'#税金'!$1:$1,$E$1,'#税金'!$2:$2,$E$2)</f>
        <v>0</v>
      </c>
      <c r="H224" s="38">
        <f>SUMIFS('#税金'!29:29,'#税金'!$1:$1,$B$1,'#税金'!$2:$2,$B$2)</f>
        <v>0</v>
      </c>
      <c r="I224" s="957">
        <f t="shared" si="79"/>
        <v>0</v>
      </c>
      <c r="J224" s="957">
        <f t="shared" si="80"/>
        <v>-1433.9699519999999</v>
      </c>
      <c r="K224" s="957">
        <f t="shared" si="81"/>
        <v>-540.66666666666663</v>
      </c>
      <c r="L224" s="949">
        <v>2832.4303490000007</v>
      </c>
      <c r="M224" s="957">
        <f t="shared" si="82"/>
        <v>408.43034900000066</v>
      </c>
      <c r="N224" s="957">
        <f t="shared" si="83"/>
        <v>-1492.9029843333324</v>
      </c>
    </row>
    <row r="225" spans="1:33">
      <c r="B225" s="952" t="s">
        <v>408</v>
      </c>
      <c r="C225" s="23" t="s">
        <v>174</v>
      </c>
      <c r="D225" s="38">
        <f>SUMIFS('#税金'!30:30,'#税金'!$1:$1,$B$1-1,'#税金'!$2:$2,$B$2)</f>
        <v>0</v>
      </c>
      <c r="E225" s="949">
        <v>758</v>
      </c>
      <c r="F225" s="23">
        <f t="shared" si="78"/>
        <v>2507</v>
      </c>
      <c r="G225" s="38">
        <f>SUMIFS('#税金'!30:30,'#税金'!$1:$1,$E$1,'#税金'!$2:$2,$E$2)</f>
        <v>0</v>
      </c>
      <c r="H225" s="38">
        <f>SUMIFS('#税金'!30:30,'#税金'!$1:$1,$B$1,'#税金'!$2:$2,$B$2)</f>
        <v>0</v>
      </c>
      <c r="I225" s="957">
        <f t="shared" si="79"/>
        <v>0</v>
      </c>
      <c r="J225" s="957">
        <f t="shared" si="80"/>
        <v>0</v>
      </c>
      <c r="K225" s="957">
        <f t="shared" si="81"/>
        <v>-208.91666666666666</v>
      </c>
      <c r="L225" s="949">
        <v>464.92315099999996</v>
      </c>
      <c r="M225" s="957">
        <f t="shared" si="82"/>
        <v>-293.07684900000004</v>
      </c>
      <c r="N225" s="957">
        <f t="shared" si="83"/>
        <v>-1206.4101823333333</v>
      </c>
    </row>
    <row r="226" spans="1:33">
      <c r="B226" s="952" t="s">
        <v>409</v>
      </c>
      <c r="C226" s="23" t="s">
        <v>174</v>
      </c>
      <c r="D226" s="38">
        <f>SUMIFS('#税金'!31:31,'#税金'!$1:$1,$B$1-1,'#税金'!$2:$2,$B$2)</f>
        <v>0</v>
      </c>
      <c r="E226" s="949">
        <v>335</v>
      </c>
      <c r="F226" s="23">
        <f t="shared" si="78"/>
        <v>2655</v>
      </c>
      <c r="G226" s="38">
        <f>SUMIFS('#税金'!31:31,'#税金'!$1:$1,$E$1,'#税金'!$2:$2,$E$2)</f>
        <v>0</v>
      </c>
      <c r="H226" s="38">
        <f>SUMIFS('#税金'!31:31,'#税金'!$1:$1,$B$1,'#税金'!$2:$2,$B$2)</f>
        <v>0</v>
      </c>
      <c r="I226" s="957">
        <f t="shared" si="79"/>
        <v>0</v>
      </c>
      <c r="J226" s="957">
        <f t="shared" si="80"/>
        <v>0</v>
      </c>
      <c r="K226" s="957">
        <f t="shared" si="81"/>
        <v>-221.25</v>
      </c>
      <c r="L226" s="949">
        <v>607.86354000000006</v>
      </c>
      <c r="M226" s="957">
        <f t="shared" si="82"/>
        <v>272.86354000000006</v>
      </c>
      <c r="N226" s="957">
        <f t="shared" si="83"/>
        <v>-1162.1364599999999</v>
      </c>
    </row>
    <row r="227" spans="1:33">
      <c r="B227" s="952" t="s">
        <v>410</v>
      </c>
      <c r="C227" s="23" t="s">
        <v>174</v>
      </c>
      <c r="D227" s="38">
        <f>SUMIFS('#税金'!32:32,'#税金'!$1:$1,$B$1-1,'#税金'!$2:$2,$B$2)</f>
        <v>50.693053999999997</v>
      </c>
      <c r="E227" s="949">
        <v>85</v>
      </c>
      <c r="F227" s="23">
        <f t="shared" si="78"/>
        <v>1968</v>
      </c>
      <c r="G227" s="38">
        <f>SUMIFS('#税金'!32:32,'#税金'!$1:$1,$E$1,'#税金'!$2:$2,$E$2)</f>
        <v>0</v>
      </c>
      <c r="H227" s="38">
        <f>SUMIFS('#税金'!32:32,'#税金'!$1:$1,$B$1,'#税金'!$2:$2,$B$2)</f>
        <v>0</v>
      </c>
      <c r="I227" s="957">
        <f t="shared" si="79"/>
        <v>0</v>
      </c>
      <c r="J227" s="957">
        <f t="shared" si="80"/>
        <v>-50.693053999999997</v>
      </c>
      <c r="K227" s="957">
        <f t="shared" si="81"/>
        <v>-164</v>
      </c>
      <c r="L227" s="949">
        <v>134.044984</v>
      </c>
      <c r="M227" s="957">
        <f t="shared" si="82"/>
        <v>49.044983999999999</v>
      </c>
      <c r="N227" s="957">
        <f t="shared" si="83"/>
        <v>-1177.9550159999999</v>
      </c>
    </row>
    <row r="228" spans="1:33">
      <c r="B228" s="952" t="s">
        <v>411</v>
      </c>
      <c r="C228" s="23" t="s">
        <v>174</v>
      </c>
      <c r="D228" s="38">
        <f>SUMIFS('#税金'!33:33,'#税金'!$1:$1,$B$1-1,'#税金'!$2:$2,$B$2)</f>
        <v>0</v>
      </c>
      <c r="E228" s="949">
        <v>0</v>
      </c>
      <c r="F228" s="23">
        <f t="shared" si="78"/>
        <v>991</v>
      </c>
      <c r="G228" s="38">
        <f>SUMIFS('#税金'!33:33,'#税金'!$1:$1,$E$1,'#税金'!$2:$2,$E$2)</f>
        <v>0</v>
      </c>
      <c r="H228" s="38">
        <f>SUMIFS('#税金'!33:33,'#税金'!$1:$1,$B$1,'#税金'!$2:$2,$B$2)</f>
        <v>0</v>
      </c>
      <c r="I228" s="1996">
        <f>H228-G228</f>
        <v>0</v>
      </c>
      <c r="J228" s="1996">
        <f>H228-D228</f>
        <v>0</v>
      </c>
      <c r="K228" s="1996">
        <f t="shared" si="81"/>
        <v>-82.583333333333329</v>
      </c>
      <c r="L228" s="949">
        <v>0</v>
      </c>
      <c r="M228" s="957">
        <f t="shared" si="82"/>
        <v>0</v>
      </c>
      <c r="N228" s="957">
        <f t="shared" si="83"/>
        <v>-660.66666666666663</v>
      </c>
    </row>
    <row r="229" spans="1:33" s="16" customFormat="1">
      <c r="B229" s="950" t="s">
        <v>630</v>
      </c>
      <c r="C229" s="21" t="s">
        <v>174</v>
      </c>
      <c r="D229" s="70">
        <f>SUMIFS('#税金'!34:34,'#税金'!$1:$1,$B$1-1,'#税金'!$2:$2,$B$2)</f>
        <v>9931.3931809999995</v>
      </c>
      <c r="E229" s="70">
        <f>SUM(E217:E228)</f>
        <v>24247</v>
      </c>
      <c r="F229" s="70">
        <f>SUM(F216:F228)</f>
        <v>235063.25</v>
      </c>
      <c r="G229" s="70">
        <f>SUMIFS('#税金'!34:34,'#税金'!$1:$1,$E$1,'#税金'!$2:$2,$E$2)</f>
        <v>0</v>
      </c>
      <c r="H229" s="70">
        <f>SUMIFS('#税金'!34:34,'#税金'!$1:$1,$B$1,'#税金'!$2:$2,$B$2)</f>
        <v>0</v>
      </c>
      <c r="I229" s="958">
        <f t="shared" si="79"/>
        <v>0</v>
      </c>
      <c r="J229" s="958">
        <f t="shared" si="80"/>
        <v>-9931.3931809999995</v>
      </c>
      <c r="K229" s="958">
        <f t="shared" si="81"/>
        <v>-19588.604166666668</v>
      </c>
      <c r="L229" s="70">
        <f>SUM(L217:L228)</f>
        <v>31514.719887999996</v>
      </c>
      <c r="M229" s="958">
        <f t="shared" si="82"/>
        <v>7267.719887999996</v>
      </c>
      <c r="N229" s="958">
        <f t="shared" si="83"/>
        <v>-125194.11344533335</v>
      </c>
      <c r="AG229" s="53"/>
    </row>
    <row r="230" spans="1:33">
      <c r="B230" s="953" t="s">
        <v>413</v>
      </c>
      <c r="C230" s="23" t="s">
        <v>174</v>
      </c>
      <c r="D230" s="38">
        <f>SUMIFS('#税金'!35:35,'#税金'!$1:$1,$B$1-1,'#税金'!$2:$2,$B$2)</f>
        <v>-363.89443399999999</v>
      </c>
      <c r="E230" s="949">
        <v>5615</v>
      </c>
      <c r="F230" s="38">
        <f>F209</f>
        <v>48092</v>
      </c>
      <c r="G230" s="38">
        <f>SUMIFS('#税金'!35:35,'#税金'!$1:$1,$E$1,'#税金'!$2:$2,$E$2)</f>
        <v>0</v>
      </c>
      <c r="H230" s="38">
        <f>SUMIFS('#税金'!35:35,'#税金'!$1:$1,$B$1,'#税金'!$2:$2,$B$2)</f>
        <v>0</v>
      </c>
      <c r="I230" s="957">
        <f t="shared" si="79"/>
        <v>0</v>
      </c>
      <c r="J230" s="957">
        <f t="shared" si="80"/>
        <v>363.89443399999999</v>
      </c>
      <c r="K230" s="957">
        <f t="shared" si="81"/>
        <v>-4007.6666666666665</v>
      </c>
      <c r="L230" s="949">
        <v>6016.6468860000004</v>
      </c>
      <c r="M230" s="957">
        <f t="shared" si="82"/>
        <v>401.64688600000045</v>
      </c>
      <c r="N230" s="957">
        <f t="shared" si="83"/>
        <v>-26044.686447333333</v>
      </c>
      <c r="O230" s="960" t="e">
        <f>I231/G231*100</f>
        <v>#DIV/0!</v>
      </c>
      <c r="P230" s="960"/>
      <c r="Q230" s="960"/>
    </row>
    <row r="231" spans="1:33" s="16" customFormat="1">
      <c r="B231" s="950" t="s">
        <v>631</v>
      </c>
      <c r="C231" s="21" t="s">
        <v>174</v>
      </c>
      <c r="D231" s="70">
        <f>SUM(D229:D230)</f>
        <v>9567.4987469999996</v>
      </c>
      <c r="E231" s="70">
        <f>SUM(E229:E230)</f>
        <v>29862</v>
      </c>
      <c r="F231" s="70">
        <f>F229+F230</f>
        <v>283155.25</v>
      </c>
      <c r="G231" s="70">
        <f t="shared" ref="G231:H231" si="84">G229+G230</f>
        <v>0</v>
      </c>
      <c r="H231" s="70">
        <f t="shared" si="84"/>
        <v>0</v>
      </c>
      <c r="I231" s="958">
        <f t="shared" si="79"/>
        <v>0</v>
      </c>
      <c r="J231" s="958">
        <f t="shared" si="80"/>
        <v>-9567.4987469999996</v>
      </c>
      <c r="K231" s="958">
        <f t="shared" si="81"/>
        <v>-23596.270833333332</v>
      </c>
      <c r="L231" s="70">
        <f t="shared" ref="L231" si="85">L229+L230</f>
        <v>37531.366773999995</v>
      </c>
      <c r="M231" s="958">
        <f t="shared" si="82"/>
        <v>7669.3667739999946</v>
      </c>
      <c r="N231" s="958">
        <f t="shared" si="83"/>
        <v>-151238.79989266666</v>
      </c>
      <c r="O231" s="960">
        <f>M231/E231*100</f>
        <v>25.682696316388704</v>
      </c>
      <c r="P231" s="960"/>
      <c r="Q231" s="960"/>
      <c r="AG231" s="53"/>
    </row>
    <row r="234" spans="1:33">
      <c r="A234" s="409" t="s">
        <v>185</v>
      </c>
      <c r="B234" s="406" t="str">
        <f>"（十三）投资收益"&amp;ROUND(I237,0)&amp;"万元，比上月"&amp;IF(K237&gt;=0,"增利","减利")&amp;ABS(ROUND(K237,0))&amp;"万元。"</f>
        <v>（十三）投资收益6634万元，比上月增利4364万元。</v>
      </c>
    </row>
    <row r="235" spans="1:33" ht="22.5" customHeight="1">
      <c r="B235" s="2690" t="s">
        <v>632</v>
      </c>
      <c r="C235" s="2056" t="s">
        <v>633</v>
      </c>
      <c r="D235" s="2690" t="str">
        <f>C73</f>
        <v>2020年</v>
      </c>
      <c r="E235" s="2690"/>
      <c r="F235" s="2690" t="str">
        <f>G74</f>
        <v>7月</v>
      </c>
      <c r="G235" s="2690"/>
      <c r="H235" s="2690" t="str">
        <f>H74</f>
        <v>8月</v>
      </c>
      <c r="I235" s="2690"/>
      <c r="J235" s="2690" t="s">
        <v>634</v>
      </c>
      <c r="K235" s="2690"/>
      <c r="L235" s="2690" t="s">
        <v>635</v>
      </c>
      <c r="M235" s="2690"/>
      <c r="N235" s="2056" t="s">
        <v>1284</v>
      </c>
    </row>
    <row r="236" spans="1:33" ht="27.75" customHeight="1">
      <c r="B236" s="2690"/>
      <c r="C236" s="2056" t="s">
        <v>636</v>
      </c>
      <c r="D236" s="2056" t="s">
        <v>194</v>
      </c>
      <c r="E236" s="2056" t="s">
        <v>185</v>
      </c>
      <c r="F236" s="2056" t="s">
        <v>194</v>
      </c>
      <c r="G236" s="2056" t="s">
        <v>185</v>
      </c>
      <c r="H236" s="2056" t="s">
        <v>194</v>
      </c>
      <c r="I236" s="2056" t="s">
        <v>185</v>
      </c>
      <c r="J236" s="2056" t="s">
        <v>194</v>
      </c>
      <c r="K236" s="2056" t="s">
        <v>185</v>
      </c>
      <c r="L236" s="2056" t="s">
        <v>194</v>
      </c>
      <c r="M236" s="2056" t="s">
        <v>185</v>
      </c>
      <c r="N236" s="1939"/>
    </row>
    <row r="237" spans="1:33" ht="29.25" customHeight="1">
      <c r="B237" s="2056" t="s">
        <v>187</v>
      </c>
      <c r="C237" s="2056"/>
      <c r="D237" s="2057">
        <f>SUM(D238:D249)</f>
        <v>21610.132029999986</v>
      </c>
      <c r="E237" s="2057">
        <f t="shared" ref="E237:H237" si="86">SUM(E238:E249)</f>
        <v>124395.90629672</v>
      </c>
      <c r="F237" s="2057">
        <f t="shared" si="86"/>
        <v>4192.2429651000002</v>
      </c>
      <c r="G237" s="2057">
        <f t="shared" si="86"/>
        <v>2270.0452814100004</v>
      </c>
      <c r="H237" s="2057">
        <f t="shared" si="86"/>
        <v>37005.17</v>
      </c>
      <c r="I237" s="2057">
        <f>SUM(I238:I249)</f>
        <v>6634.2905809999993</v>
      </c>
      <c r="J237" s="2058">
        <f>H237-F237</f>
        <v>32812.9270349</v>
      </c>
      <c r="K237" s="2058">
        <f>I237-G237</f>
        <v>4364.2452995899985</v>
      </c>
      <c r="L237" s="2057">
        <f>SUM(L238:L249)</f>
        <v>67672.090405099996</v>
      </c>
      <c r="M237" s="2057">
        <f>SUM(M238:M249)</f>
        <v>24685.818936370004</v>
      </c>
      <c r="N237" s="1939"/>
    </row>
    <row r="238" spans="1:33" ht="67.5" customHeight="1">
      <c r="B238" s="2059" t="s">
        <v>1301</v>
      </c>
      <c r="C238" s="2060">
        <v>0.4</v>
      </c>
      <c r="D238" s="2061">
        <f t="shared" ref="D238:D244" si="87">E238/C238</f>
        <v>1697.9711550000002</v>
      </c>
      <c r="E238" s="2061">
        <f>SUMIFS('#投资收益'!5:5,'#投资收益'!$1:$1,$B$1-1,'#投资收益'!$2:$2,"&lt;=12",'#投资收益'!$3:$3,"投资收益")</f>
        <v>679.18846200000007</v>
      </c>
      <c r="F238" s="2061">
        <f>SUMIFS('#投资收益'!5:5,'#投资收益'!$1:$1,$E$1,'#投资收益'!$2:$2,$E$2,'#投资收益'!$3:$3,"净利润")</f>
        <v>6.1065841000000001</v>
      </c>
      <c r="G238" s="2061">
        <f>SUMIFS('#投资收益'!5:5,'#投资收益'!$1:$1,$E$1,'#投资收益'!$2:$2,$E$2,'#投资收益'!$3:$3,"投资收益")</f>
        <v>2.4426336400000004</v>
      </c>
      <c r="H238" s="2061">
        <f>SUMIFS('#投资收益'!5:5,'#投资收益'!$1:$1,$B$1,'#投资收益'!$2:$2,$B$2,'#投资收益'!$3:$3,"净利润")</f>
        <v>92.08</v>
      </c>
      <c r="I238" s="2061">
        <f>SUMIFS('#投资收益'!5:5,'#投资收益'!$1:$1,$B$1,'#投资收益'!$2:$2,$B$2,'#投资收益'!$3:$3,"投资收益")</f>
        <v>36.83</v>
      </c>
      <c r="J238" s="2062">
        <f t="shared" ref="J238:J248" si="88">H238-F238</f>
        <v>85.973415899999992</v>
      </c>
      <c r="K238" s="2062">
        <f t="shared" ref="K238:K248" si="89">I238-G238</f>
        <v>34.387366360000001</v>
      </c>
      <c r="L238" s="2061">
        <f>SUMIFS('#投资收益'!5:5,'#投资收益'!$1:$1,$B$1,'#投资收益'!$2:$2,"&lt;="&amp;$B$2,'#投资收益'!$3:$3,"净利润")</f>
        <v>870.72998910000001</v>
      </c>
      <c r="M238" s="2061">
        <f>SUMIFS('#投资收益'!5:5,'#投资收益'!$1:$1,$B$1,'#投资收益'!$2:$2,"&lt;="&amp;$B$2,'#投资收益'!$3:$3,"投资收益")</f>
        <v>348.28999563999997</v>
      </c>
      <c r="N238" s="1999" t="s">
        <v>1357</v>
      </c>
    </row>
    <row r="239" spans="1:33" ht="36" customHeight="1">
      <c r="B239" s="2059" t="s">
        <v>637</v>
      </c>
      <c r="C239" s="2060">
        <v>0.49</v>
      </c>
      <c r="D239" s="2061">
        <f t="shared" si="87"/>
        <v>-4674.3390659999995</v>
      </c>
      <c r="E239" s="2061">
        <f>SUMIFS('#投资收益'!6:6,'#投资收益'!$1:$1,$B$1-1,'#投资收益'!$2:$2,"&lt;=12",'#投资收益'!$3:$3,"投资收益")</f>
        <v>-2290.4261423399998</v>
      </c>
      <c r="F239" s="2061">
        <f>SUMIFS('#投资收益'!6:6,'#投资收益'!$1:$1,$E$1,'#投资收益'!$2:$2,$E$2,'#投资收益'!$3:$3,"净利润")</f>
        <v>-268.27428100000003</v>
      </c>
      <c r="G239" s="2061">
        <f>SUMIFS('#投资收益'!6:6,'#投资收益'!$1:$1,$E$1,'#投资收益'!$2:$2,$E$2,'#投资收益'!$3:$3,"投资收益")</f>
        <v>-131.45439769000001</v>
      </c>
      <c r="H239" s="2061">
        <f>SUMIFS('#投资收益'!6:6,'#投资收益'!$1:$1,$B$1,'#投资收益'!$2:$2,$B$2,'#投资收益'!$3:$3,"净利润")</f>
        <v>214.4</v>
      </c>
      <c r="I239" s="2061">
        <f>SUMIFS('#投资收益'!6:6,'#投资收益'!$1:$1,$B$1,'#投资收益'!$2:$2,$B$2,'#投资收益'!$3:$3,"投资收益")</f>
        <v>105.06</v>
      </c>
      <c r="J239" s="2062">
        <f t="shared" si="88"/>
        <v>482.67428100000006</v>
      </c>
      <c r="K239" s="2062">
        <f t="shared" si="89"/>
        <v>236.51439769000001</v>
      </c>
      <c r="L239" s="2061">
        <f>SUMIFS('#投资收益'!6:6,'#投资收益'!$1:$1,$B$1,'#投资收益'!$2:$2,"&lt;="&amp;$B$2,'#投资收益'!$3:$3,"净利润")</f>
        <v>-1687.5813540000001</v>
      </c>
      <c r="M239" s="2061">
        <f>SUMIFS('#投资收益'!6:6,'#投资收益'!$1:$1,$B$1,'#投资收益'!$2:$2,"&lt;="&amp;$B$2,'#投资收益'!$3:$3,"投资收益")</f>
        <v>-826.9108634600002</v>
      </c>
      <c r="N239" s="30"/>
    </row>
    <row r="240" spans="1:33" ht="81.75" customHeight="1">
      <c r="B240" s="2059" t="s">
        <v>638</v>
      </c>
      <c r="C240" s="2060">
        <v>0.4</v>
      </c>
      <c r="D240" s="2061">
        <f t="shared" si="87"/>
        <v>11706.73376099999</v>
      </c>
      <c r="E240" s="2061">
        <f>SUMIFS('#投资收益'!7:7,'#投资收益'!$1:$1,$B$1-1,'#投资收益'!$2:$2,"&lt;=12",'#投资收益'!$3:$3,"投资收益")</f>
        <v>4682.6935043999965</v>
      </c>
      <c r="F240" s="2061">
        <f>SUMIFS('#投资收益'!7:7,'#投资收益'!$1:$1,$E$1,'#投资收益'!$2:$2,$E$2,'#投资收益'!$3:$3,"净利润")</f>
        <v>2847.910374</v>
      </c>
      <c r="G240" s="2061">
        <f>SUMIFS('#投资收益'!7:7,'#投资收益'!$1:$1,$E$1,'#投资收益'!$2:$2,$E$2,'#投资收益'!$3:$3,"投资收益")</f>
        <v>1139.1641496</v>
      </c>
      <c r="H240" s="2061">
        <f>SUMIFS('#投资收益'!7:7,'#投资收益'!$1:$1,$B$1,'#投资收益'!$2:$2,$B$2,'#投资收益'!$3:$3,"净利润")</f>
        <v>5000.32</v>
      </c>
      <c r="I240" s="2061">
        <f>SUMIFS('#投资收益'!7:7,'#投资收益'!$1:$1,$B$1,'#投资收益'!$2:$2,$B$2,'#投资收益'!$3:$3,"投资收益")</f>
        <v>2000.13</v>
      </c>
      <c r="J240" s="2062">
        <f>H240-F240</f>
        <v>2152.4096259999997</v>
      </c>
      <c r="K240" s="2062">
        <f t="shared" si="89"/>
        <v>860.96585040000014</v>
      </c>
      <c r="L240" s="2061">
        <f>SUMIFS('#投资收益'!7:7,'#投资收益'!$1:$1,$B$1,'#投资收益'!$2:$2,"&lt;="&amp;$B$2,'#投资收益'!$3:$3,"净利润")</f>
        <v>12027.327104</v>
      </c>
      <c r="M240" s="2061">
        <f>SUMIFS('#投资收益'!7:7,'#投资收益'!$1:$1,$B$1,'#投资收益'!$2:$2,"&lt;="&amp;$B$2,'#投资收益'!$3:$3,"投资收益")</f>
        <v>4810.9328415999998</v>
      </c>
      <c r="N240" s="1999" t="s">
        <v>1350</v>
      </c>
    </row>
    <row r="241" spans="2:14" ht="48.75" customHeight="1">
      <c r="B241" s="2059" t="s">
        <v>639</v>
      </c>
      <c r="C241" s="2060">
        <v>0.4</v>
      </c>
      <c r="D241" s="2061">
        <f t="shared" si="87"/>
        <v>5515.7499279999929</v>
      </c>
      <c r="E241" s="2061">
        <f>SUMIFS('#投资收益'!8:8,'#投资收益'!$1:$1,$B$1-1,'#投资收益'!$2:$2,"&lt;=12",'#投资收益'!$3:$3,"投资收益")</f>
        <v>2206.2999711999973</v>
      </c>
      <c r="F241" s="2061">
        <f>SUMIFS('#投资收益'!8:8,'#投资收益'!$1:$1,$E$1,'#投资收益'!$2:$2,$E$2,'#投资收益'!$3:$3,"净利润")</f>
        <v>804.18092900000011</v>
      </c>
      <c r="G241" s="2061">
        <f>SUMIFS('#投资收益'!8:8,'#投资收益'!$1:$1,$E$1,'#投资收益'!$2:$2,$E$2,'#投资收益'!$3:$3,"投资收益")</f>
        <v>321.67237160000008</v>
      </c>
      <c r="H241" s="2061">
        <f>SUMIFS('#投资收益'!8:8,'#投资收益'!$1:$1,$B$1,'#投资收益'!$2:$2,$B$2,'#投资收益'!$3:$3,"净利润")</f>
        <v>974.11</v>
      </c>
      <c r="I241" s="2061">
        <f>SUMIFS('#投资收益'!8:8,'#投资收益'!$1:$1,$B$1,'#投资收益'!$2:$2,$B$2,'#投资收益'!$3:$3,"投资收益")</f>
        <v>389.64</v>
      </c>
      <c r="J241" s="2062">
        <f t="shared" si="88"/>
        <v>169.92907099999991</v>
      </c>
      <c r="K241" s="2062">
        <f t="shared" si="89"/>
        <v>67.96762839999991</v>
      </c>
      <c r="L241" s="2061">
        <f>SUMIFS('#投资收益'!8:8,'#投资收益'!$1:$1,$B$1,'#投资收益'!$2:$2,"&lt;="&amp;$B$2,'#投资收益'!$3:$3,"净利润")</f>
        <v>6229.8372260000078</v>
      </c>
      <c r="M241" s="2061">
        <f>SUMIFS('#投资收益'!8:8,'#投资收益'!$1:$1,$B$1,'#投资收益'!$2:$2,"&lt;="&amp;$B$2,'#投资收益'!$3:$3,"投资收益")</f>
        <v>2491.9308904000031</v>
      </c>
      <c r="N241" s="2155" t="s">
        <v>1349</v>
      </c>
    </row>
    <row r="242" spans="2:14" ht="48.75" customHeight="1">
      <c r="B242" s="2059" t="s">
        <v>640</v>
      </c>
      <c r="C242" s="2060">
        <v>0.4</v>
      </c>
      <c r="D242" s="2061">
        <f t="shared" si="87"/>
        <v>5034.2689179999998</v>
      </c>
      <c r="E242" s="2061">
        <f>SUMIFS('#投资收益'!9:9,'#投资收益'!$1:$1,$B$1-1,'#投资收益'!$2:$2,"&lt;=12",'#投资收益'!$3:$3,"投资收益")</f>
        <v>2013.7075672000001</v>
      </c>
      <c r="F242" s="2061">
        <f>SUMIFS('#投资收益'!9:9,'#投资收益'!$1:$1,$E$1,'#投资收益'!$2:$2,$E$2,'#投资收益'!$3:$3,"净利润")</f>
        <v>535.97922400000004</v>
      </c>
      <c r="G242" s="2061">
        <f>SUMIFS('#投资收益'!9:9,'#投资收益'!$1:$1,$E$1,'#投资收益'!$2:$2,$E$2,'#投资收益'!$3:$3,"投资收益")</f>
        <v>214.39168960000003</v>
      </c>
      <c r="H242" s="2061">
        <f>SUMIFS('#投资收益'!9:9,'#投资收益'!$1:$1,$B$1,'#投资收益'!$2:$2,$B$2,'#投资收益'!$3:$3,"净利润")</f>
        <v>763.36</v>
      </c>
      <c r="I242" s="2061">
        <f>SUMIFS('#投资收益'!9:9,'#投资收益'!$1:$1,$B$1,'#投资收益'!$2:$2,$B$2,'#投资收益'!$3:$3,"投资收益")</f>
        <v>305.35000000000002</v>
      </c>
      <c r="J242" s="2062">
        <f t="shared" si="88"/>
        <v>227.38077599999997</v>
      </c>
      <c r="K242" s="2062">
        <f t="shared" si="89"/>
        <v>90.958310399999988</v>
      </c>
      <c r="L242" s="2061">
        <f>SUMIFS('#投资收益'!9:9,'#投资收益'!$1:$1,$B$1,'#投资收益'!$2:$2,"&lt;="&amp;$B$2,'#投资收益'!$3:$3,"净利润")</f>
        <v>4275.193115</v>
      </c>
      <c r="M242" s="2061">
        <f>SUMIFS('#投资收益'!9:9,'#投资收益'!$1:$1,$B$1,'#投资收益'!$2:$2,"&lt;="&amp;$B$2,'#投资收益'!$3:$3,"投资收益")</f>
        <v>1710.0832460000001</v>
      </c>
      <c r="N242" s="1999" t="s">
        <v>1348</v>
      </c>
    </row>
    <row r="243" spans="2:14" ht="48.75" customHeight="1">
      <c r="B243" s="2059" t="s">
        <v>641</v>
      </c>
      <c r="C243" s="2060">
        <v>0.49</v>
      </c>
      <c r="D243" s="2061">
        <f t="shared" si="87"/>
        <v>284.79087399999997</v>
      </c>
      <c r="E243" s="2061">
        <f>SUMIFS('#投资收益'!10:10,'#投资收益'!$1:$1,$B$1-1,'#投资收益'!$2:$2,"&lt;=12",'#投资收益'!$3:$3,"投资收益")</f>
        <v>139.54752825999998</v>
      </c>
      <c r="F243" s="2061">
        <f>SUMIFS('#投资收益'!10:10,'#投资收益'!$1:$1,$E$1,'#投资收益'!$2:$2,$E$2,'#投资收益'!$3:$3,"净利润")</f>
        <v>-35.174572999999995</v>
      </c>
      <c r="G243" s="2061">
        <f>SUMIFS('#投资收益'!10:10,'#投资收益'!$1:$1,$E$1,'#投资收益'!$2:$2,$E$2,'#投资收益'!$3:$3,"投资收益")</f>
        <v>-17.235540769999997</v>
      </c>
      <c r="H243" s="2061">
        <f>SUMIFS('#投资收益'!10:10,'#投资收益'!$1:$1,$B$1,'#投资收益'!$2:$2,$B$2,'#投资收益'!$3:$3,"净利润")</f>
        <v>146.59</v>
      </c>
      <c r="I243" s="2061">
        <f>SUMIFS('#投资收益'!10:10,'#投资收益'!$1:$1,$B$1,'#投资收益'!$2:$2,$B$2,'#投资收益'!$3:$3,"投资收益")</f>
        <v>71.83</v>
      </c>
      <c r="J243" s="2062">
        <f t="shared" si="88"/>
        <v>181.76457299999998</v>
      </c>
      <c r="K243" s="2062">
        <f t="shared" si="89"/>
        <v>89.065540769999998</v>
      </c>
      <c r="L243" s="2061">
        <f>SUMIFS('#投资收益'!10:10,'#投资收益'!$1:$1,$B$1,'#投资收益'!$2:$2,"&lt;="&amp;$B$2,'#投资收益'!$3:$3,"净利润")</f>
        <v>292.07345799999996</v>
      </c>
      <c r="M243" s="2061">
        <f>SUMIFS('#投资收益'!10:10,'#投资收益'!$1:$1,$B$1,'#投资收益'!$2:$2,"&lt;="&amp;$B$2,'#投资收益'!$3:$3,"投资收益")</f>
        <v>143.11689441999999</v>
      </c>
      <c r="N243" s="1995"/>
    </row>
    <row r="244" spans="2:14" ht="48.75" customHeight="1">
      <c r="B244" s="2059" t="s">
        <v>642</v>
      </c>
      <c r="C244" s="2060">
        <v>0.28999999999999998</v>
      </c>
      <c r="D244" s="2061">
        <f t="shared" si="87"/>
        <v>2044.9564600000001</v>
      </c>
      <c r="E244" s="2061">
        <f>SUMIFS('#投资收益'!11:11,'#投资收益'!$1:$1,$B$1-1,'#投资收益'!$2:$2,"&lt;=12",'#投资收益'!$3:$3,"投资收益")</f>
        <v>593.03737339999998</v>
      </c>
      <c r="F244" s="2061">
        <f>SUMIFS('#投资收益'!11:11,'#投资收益'!$1:$1,$E$1,'#投资收益'!$2:$2,$E$2,'#投资收益'!$3:$3,"净利润")</f>
        <v>109.60061699999999</v>
      </c>
      <c r="G244" s="2061">
        <f>SUMIFS('#投资收益'!11:11,'#投资收益'!$1:$1,$E$1,'#投资收益'!$2:$2,$E$2,'#投资收益'!$3:$3,"投资收益")</f>
        <v>31.784178929999992</v>
      </c>
      <c r="H244" s="2061">
        <f>SUMIFS('#投资收益'!11:11,'#投资收益'!$1:$1,$B$1,'#投资收益'!$2:$2,$B$2,'#投资收益'!$3:$3,"净利润")</f>
        <v>463.26</v>
      </c>
      <c r="I244" s="2061">
        <f>SUMIFS('#投资收益'!11:11,'#投资收益'!$1:$1,$B$1,'#投资收益'!$2:$2,$B$2,'#投资收益'!$3:$3,"投资收益")</f>
        <v>134.34</v>
      </c>
      <c r="J244" s="2062">
        <f t="shared" ref="J244:K246" si="90">H244-F244</f>
        <v>353.65938299999999</v>
      </c>
      <c r="K244" s="2062">
        <f t="shared" si="90"/>
        <v>102.55582107000001</v>
      </c>
      <c r="L244" s="2061">
        <f>SUMIFS('#投资收益'!11:11,'#投资收益'!$1:$1,$B$1,'#投资收益'!$2:$2,"&lt;="&amp;$B$2,'#投资收益'!$3:$3,"净利润")</f>
        <v>1776.45425</v>
      </c>
      <c r="M244" s="2061">
        <f>SUMIFS('#投资收益'!11:11,'#投资收益'!$1:$1,$B$1,'#投资收益'!$2:$2,"&lt;="&amp;$B$2,'#投资收益'!$3:$3,"投资收益")</f>
        <v>624.65389356000003</v>
      </c>
      <c r="N244" s="2003"/>
    </row>
    <row r="245" spans="2:14" ht="48.75" customHeight="1">
      <c r="B245" s="2063" t="s">
        <v>659</v>
      </c>
      <c r="C245" s="2064">
        <v>0.1023</v>
      </c>
      <c r="D245" s="2065"/>
      <c r="E245" s="2065">
        <f>SUMIFS('#投资收益'!12:12,'#投资收益'!$1:$1,$B$1-1,'#投资收益'!$2:$2,"&lt;=12",'#投资收益'!$3:$3,"投资收益")</f>
        <v>95998.73715500001</v>
      </c>
      <c r="F245" s="2065">
        <f>SUMIFS('#投资收益'!12:12,'#投资收益'!$1:$1,$E$1,'#投资收益'!$2:$2,$E$2,'#投资收益'!$3:$3,"净利润")</f>
        <v>0</v>
      </c>
      <c r="G245" s="2065">
        <f>SUMIFS('#投资收益'!12:12,'#投资收益'!$1:$1,$E$1,'#投资收益'!$2:$2,$E$2,'#投资收益'!$3:$3,"投资收益")</f>
        <v>0</v>
      </c>
      <c r="H245" s="2065">
        <f>SUMIFS('#投资收益'!12:12,'#投资收益'!$1:$1,$B$1,'#投资收益'!$2:$2,$B$2,'#投资收益'!$3:$3,"净利润")</f>
        <v>28909.05</v>
      </c>
      <c r="I245" s="2065">
        <f>SUMIFS('#投资收益'!12:12,'#投资收益'!$1:$1,$B$1,'#投资收益'!$2:$2,$B$2,'#投资收益'!$3:$3,"投资收益")</f>
        <v>2957.4</v>
      </c>
      <c r="J245" s="2113">
        <f t="shared" si="90"/>
        <v>28909.05</v>
      </c>
      <c r="K245" s="2113">
        <f t="shared" si="90"/>
        <v>2957.4</v>
      </c>
      <c r="L245" s="2065">
        <f>SUMIFS('#投资收益'!12:12,'#投资收益'!$1:$1,$B$1,'#投资收益'!$2:$2,"&lt;="&amp;$B$2,'#投资收益'!$3:$3,"净利润")</f>
        <v>42407.267699999997</v>
      </c>
      <c r="M245" s="2065">
        <f>SUMIFS('#投资收益'!12:12,'#投资收益'!$1:$1,$B$1,'#投资收益'!$2:$2,"&lt;="&amp;$B$2,'#投资收益'!$3:$3,"投资收益")</f>
        <v>3956.21057071</v>
      </c>
      <c r="N245" s="818"/>
    </row>
    <row r="246" spans="2:14" ht="48.75" customHeight="1">
      <c r="B246" s="2063" t="s">
        <v>1723</v>
      </c>
      <c r="C246" s="2064">
        <v>0.5</v>
      </c>
      <c r="D246" s="2065"/>
      <c r="E246" s="2065">
        <f>SUMIFS('#投资收益'!13:13,'#投资收益'!$1:$1,$B$1-1,'#投资收益'!$2:$2,"&lt;=12",'#投资收益'!$3:$3,"投资收益")</f>
        <v>0</v>
      </c>
      <c r="F246" s="2065">
        <f>SUMIFS('#投资收益'!13:13,'#投资收益'!$1:$1,$E$1,'#投资收益'!$2:$2,$E$2,'#投资收益'!$3:$3,"净利润")</f>
        <v>191.91409099999998</v>
      </c>
      <c r="G246" s="2065">
        <f>SUMIFS('#投资收益'!13:13,'#投资收益'!$1:$1,$E$1,'#投资收益'!$2:$2,$E$2,'#投资收益'!$3:$3,"投资收益")</f>
        <v>95.957045499999992</v>
      </c>
      <c r="H246" s="2065">
        <f>SUMIFS('#投资收益'!13:13,'#投资收益'!$1:$1,$B$1,'#投资收益'!$2:$2,$B$2,'#投资收益'!$3:$3,"净利润")</f>
        <v>442</v>
      </c>
      <c r="I246" s="2065">
        <f>SUMIFS('#投资收益'!13:13,'#投资收益'!$1:$1,$B$1,'#投资收益'!$2:$2,$B$2,'#投资收益'!$3:$3,"投资收益")</f>
        <v>221</v>
      </c>
      <c r="J246" s="2463">
        <f t="shared" si="90"/>
        <v>250.08590900000002</v>
      </c>
      <c r="K246" s="2463">
        <f t="shared" si="90"/>
        <v>125.04295450000001</v>
      </c>
      <c r="L246" s="2065">
        <f>SUMIFS('#投资收益'!13:13,'#投资收益'!$1:$1,$B$1,'#投资收益'!$2:$2,"&lt;="&amp;$B$2,'#投资收益'!$3:$3,"净利润")</f>
        <v>1480.7889169999999</v>
      </c>
      <c r="M246" s="2065">
        <f>SUMIFS('#投资收益'!13:13,'#投资收益'!$1:$1,$B$1,'#投资收益'!$2:$2,"&lt;="&amp;$B$2,'#投资收益'!$3:$3,"投资收益")</f>
        <v>740.39445849999993</v>
      </c>
      <c r="N246" s="2158"/>
    </row>
    <row r="247" spans="2:14" ht="48.75" customHeight="1">
      <c r="B247" s="2059" t="s">
        <v>151</v>
      </c>
      <c r="C247" s="2066"/>
      <c r="D247" s="2066"/>
      <c r="E247" s="2061">
        <f>SUMIFS('#投资收益'!14:14,'#投资收益'!$1:$1,$B$1-1,'#投资收益'!$2:$2,"&lt;=12",'#投资收益'!$3:$3,"投资收益")</f>
        <v>4726.4027735999998</v>
      </c>
      <c r="F247" s="2066">
        <f>SUMIFS('#投资收益'!14:14,'#投资收益'!$1:$1,$E$1,'#投资收益'!$2:$2,$E$2,'#投资收益'!$3:$3,"净利润")</f>
        <v>0</v>
      </c>
      <c r="G247" s="2061">
        <f>SUMIFS('#投资收益'!14:14,'#投资收益'!$1:$1,$E$1,'#投资收益'!$2:$2,$E$2,'#投资收益'!$3:$3,"投资收益")</f>
        <v>0</v>
      </c>
      <c r="H247" s="2066">
        <f>SUMIFS('#投资收益'!14:14,'#投资收益'!$1:$1,$B$1,'#投资收益'!$2:$2,$B$2,'#投资收益'!$3:$3,"净利润")</f>
        <v>0</v>
      </c>
      <c r="I247" s="2061">
        <f>SUMIFS('#投资收益'!14:14,'#投资收益'!$1:$1,$B$1,'#投资收益'!$2:$2,$B$2,'#投资收益'!$3:$3,"投资收益")</f>
        <v>0</v>
      </c>
      <c r="J247" s="2114">
        <f t="shared" si="88"/>
        <v>0</v>
      </c>
      <c r="K247" s="2062">
        <f t="shared" si="89"/>
        <v>0</v>
      </c>
      <c r="L247" s="2061">
        <f>SUMIFS('#投资收益'!14:14,'#投资收益'!$1:$1,$B$1,'#投资收益'!$2:$2,"&lt;="&amp;$B$2,'#投资收益'!$3:$3,"净利润")</f>
        <v>0</v>
      </c>
      <c r="M247" s="2061">
        <f>SUMIFS('#投资收益'!14:14,'#投资收益'!$1:$1,$B$1,'#投资收益'!$2:$2,"&lt;="&amp;$B$2,'#投资收益'!$3:$3,"投资收益")</f>
        <v>4222.6330799999996</v>
      </c>
      <c r="N247" s="818"/>
    </row>
    <row r="248" spans="2:14" ht="48.75" customHeight="1">
      <c r="B248" s="2059" t="s">
        <v>643</v>
      </c>
      <c r="C248" s="2066"/>
      <c r="D248" s="2066"/>
      <c r="E248" s="2061">
        <f>SUMIFS('#投资收益'!37:37,'#投资收益'!$1:$1,$B$1-1,'#投资收益'!$2:$2,"&lt;=12",'#投资收益'!$3:$3,"投资收益")+SUMIFS('#投资收益'!38:38,'#投资收益'!$1:$1,$B$1-1,'#投资收益'!$2:$2,"&lt;=12",'#投资收益'!$3:$3,"投资收益")</f>
        <v>16135.069945999998</v>
      </c>
      <c r="F248" s="2066">
        <f>SUMIFS('#投资收益'!37:37,'#投资收益'!$1:$1,$E$1,'#投资收益'!$2:$2,$E$2,'#投资收益'!$3:$3,"净利润")</f>
        <v>0</v>
      </c>
      <c r="G248" s="2061">
        <f>SUMIFS('#投资收益'!37:37,'#投资收益'!$1:$1,$E$1,'#投资收益'!$2:$2,$E$2,'#投资收益'!$3:$3,"投资收益")+SUMIFS('#投资收益'!38:38,'#投资收益'!$1:$1,$E$1,'#投资收益'!$2:$2,$E$2,'#投资收益'!$3:$3,"投资收益")</f>
        <v>613.32315100000005</v>
      </c>
      <c r="H248" s="2066">
        <f>SUMIFS('#投资收益'!37:37,'#投资收益'!$1:$1,$B$1,'#投资收益'!$2:$2,$B$2,'#投资收益'!$3:$3,"净利润")</f>
        <v>0</v>
      </c>
      <c r="I248" s="2061">
        <f>SUMIFS('#投资收益'!37:37,'#投资收益'!$1:$1,$B$1,'#投资收益'!$2:$2,$B$2,'#投资收益'!$3:$3,"投资收益")+SUMIFS('#投资收益'!38:38,'#投资收益'!$1:$1,$B$1,'#投资收益'!$2:$2,$B$2,'#投资收益'!$3:$3,"投资收益")</f>
        <v>696.60058100000003</v>
      </c>
      <c r="J248" s="2114">
        <f t="shared" si="88"/>
        <v>0</v>
      </c>
      <c r="K248" s="2062">
        <f t="shared" si="89"/>
        <v>83.277429999999981</v>
      </c>
      <c r="L248" s="2061">
        <f>SUMIFS('#投资收益'!37:37,'#投资收益'!$1:$1,$B$1,'#投资收益'!$2:$2,"&lt;="&amp;$B$2,'#投资收益'!$3:$3,"净利润")</f>
        <v>0</v>
      </c>
      <c r="M248" s="2061">
        <f>SUMIFS('#投资收益'!37:37,'#投资收益'!$1:$1,$B$1,'#投资收益'!$2:$2,"&lt;="&amp;$B$2,'#投资收益'!$3:$3,"投资收益")+SUMIFS('#投资收益'!38:38,'#投资收益'!$1:$1,$B$1,'#投资收益'!$2:$2,"&lt;="&amp;$B$2,'#投资收益'!$3:$3,"投资收益")</f>
        <v>6748.3739290000003</v>
      </c>
      <c r="N248" s="818"/>
    </row>
    <row r="249" spans="2:14" ht="48.75" customHeight="1">
      <c r="B249" s="2059" t="s">
        <v>644</v>
      </c>
      <c r="C249" s="2066"/>
      <c r="D249" s="2066"/>
      <c r="E249" s="2061">
        <f>SUMIFS('#投资收益'!30:30,'#投资收益'!$1:$1,$B$1-1,'#投资收益'!$2:$2,"&lt;=12",'#投资收益'!$3:$3,"投资收益")</f>
        <v>-488.35184199999998</v>
      </c>
      <c r="F249" s="2066">
        <f>SUMIFS('#投资收益'!30:30,'#投资收益'!$1:$1,$E$1,'#投资收益'!$2:$2,$E$2,'#投资收益'!$3:$3,"净利润")</f>
        <v>0</v>
      </c>
      <c r="G249" s="2061">
        <f>SUMIFS('#投资收益'!30:30,'#投资收益'!$1:$1,$E$1,'#投资收益'!$2:$2,$E$2,'#投资收益'!$3:$3,"投资收益")</f>
        <v>0</v>
      </c>
      <c r="H249" s="2066">
        <f>SUMIFS('#投资收益'!30:30,'#投资收益'!$1:$1,$B$1,'#投资收益'!$2:$2,$B$2,'#投资收益'!$3:$3,"净利润")</f>
        <v>0</v>
      </c>
      <c r="I249" s="2061">
        <f>SUMIFS('#投资收益'!30:30,'#投资收益'!$1:$1,$B$1,'#投资收益'!$2:$2,$B$2,'#投资收益'!$3:$3,"投资收益")</f>
        <v>-283.89</v>
      </c>
      <c r="J249" s="2114">
        <f>H249-F249</f>
        <v>0</v>
      </c>
      <c r="K249" s="2114">
        <f>I249-G249</f>
        <v>-283.89</v>
      </c>
      <c r="L249" s="2061">
        <f>SUMIFS('#投资收益'!30:30,'#投资收益'!$1:$1,$B$1,'#投资收益'!$2:$2,"&lt;="&amp;$B$2,'#投资收益'!$3:$3,"净利润")</f>
        <v>0</v>
      </c>
      <c r="M249" s="2061">
        <f>SUMIFS('#投资收益'!30:30,'#投资收益'!$1:$1,$B$1,'#投资收益'!$2:$2,"&lt;="&amp;$B$2,'#投资收益'!$3:$3,"投资收益")</f>
        <v>-283.89</v>
      </c>
      <c r="N249" s="818"/>
    </row>
    <row r="250" spans="2:14">
      <c r="J250" s="987"/>
      <c r="K250" s="987"/>
      <c r="L250" s="987"/>
      <c r="M250" s="987"/>
    </row>
    <row r="251" spans="2:14">
      <c r="B251" s="2691" t="s">
        <v>645</v>
      </c>
      <c r="C251" s="2691" t="s">
        <v>646</v>
      </c>
      <c r="D251" s="2691" t="str">
        <f>D215</f>
        <v>2020年</v>
      </c>
      <c r="E251" s="2691" t="str">
        <f>F215</f>
        <v>2021年</v>
      </c>
      <c r="F251" s="2691"/>
      <c r="G251" s="2691"/>
      <c r="H251" s="2691"/>
      <c r="I251" s="2691"/>
      <c r="J251" s="2691"/>
      <c r="K251" s="987"/>
      <c r="L251" s="987"/>
      <c r="M251" s="987"/>
    </row>
    <row r="252" spans="2:14">
      <c r="B252" s="2691"/>
      <c r="C252" s="2691"/>
      <c r="D252" s="2691"/>
      <c r="E252" s="965" t="s">
        <v>58</v>
      </c>
      <c r="F252" s="965" t="str">
        <f>F235</f>
        <v>7月</v>
      </c>
      <c r="G252" s="965" t="str">
        <f>H235</f>
        <v>8月</v>
      </c>
      <c r="H252" s="965" t="s">
        <v>647</v>
      </c>
      <c r="I252" s="393" t="s">
        <v>7</v>
      </c>
      <c r="J252" s="965" t="s">
        <v>648</v>
      </c>
      <c r="K252" s="987"/>
      <c r="L252" s="987"/>
      <c r="M252" s="987"/>
      <c r="N252" s="987"/>
    </row>
    <row r="253" spans="2:14">
      <c r="B253" s="966" t="s">
        <v>649</v>
      </c>
      <c r="C253" s="967"/>
      <c r="D253" s="968">
        <f>SUM(D254:D261)</f>
        <v>104022.78541912</v>
      </c>
      <c r="E253" s="968">
        <f>SUM(E254:E262)</f>
        <v>21648.250714999998</v>
      </c>
      <c r="F253" s="968">
        <f>SUM(F254:F262)</f>
        <v>1656.7221304100003</v>
      </c>
      <c r="G253" s="968">
        <f>SUM(G254:G262)</f>
        <v>6221.58</v>
      </c>
      <c r="H253" s="969">
        <f>G253-D253/12</f>
        <v>-2446.985451593333</v>
      </c>
      <c r="I253" s="969">
        <f>G253-F253</f>
        <v>4564.8578695899996</v>
      </c>
      <c r="J253" s="968">
        <f>SUM(J254:J262)</f>
        <v>13998.701927370003</v>
      </c>
      <c r="K253" s="968">
        <f>J253-D253</f>
        <v>-90024.083491750003</v>
      </c>
      <c r="L253" s="988">
        <f>SUM(K254:K260)</f>
        <v>1278.0486340400089</v>
      </c>
      <c r="M253" s="988"/>
      <c r="N253" s="987"/>
    </row>
    <row r="254" spans="2:14">
      <c r="B254" s="970" t="s">
        <v>650</v>
      </c>
      <c r="C254" s="971">
        <v>0.4</v>
      </c>
      <c r="D254" s="972">
        <f t="shared" ref="D254:D260" si="91">E238</f>
        <v>679.18846200000007</v>
      </c>
      <c r="E254" s="972">
        <v>1400</v>
      </c>
      <c r="F254" s="398">
        <f t="shared" ref="F254:F262" si="92">G238</f>
        <v>2.4426336400000004</v>
      </c>
      <c r="G254" s="398">
        <f t="shared" ref="G254:G262" si="93">I238</f>
        <v>36.83</v>
      </c>
      <c r="H254" s="973">
        <f t="shared" ref="H254:H278" si="94">G254-D254/12</f>
        <v>-19.769038500000008</v>
      </c>
      <c r="I254" s="973">
        <f t="shared" ref="I254:I278" si="95">G254-F254</f>
        <v>34.387366360000001</v>
      </c>
      <c r="J254" s="972">
        <f t="shared" ref="J254:J262" si="96">M238</f>
        <v>348.28999563999997</v>
      </c>
      <c r="K254" s="1822">
        <f t="shared" ref="K254:K278" si="97">J254-D254</f>
        <v>-330.8984663600001</v>
      </c>
      <c r="L254" s="987"/>
      <c r="M254" s="988"/>
      <c r="N254" s="987"/>
    </row>
    <row r="255" spans="2:14">
      <c r="B255" s="970" t="s">
        <v>651</v>
      </c>
      <c r="C255" s="971">
        <v>0.49</v>
      </c>
      <c r="D255" s="972">
        <f t="shared" si="91"/>
        <v>-2290.4261423399998</v>
      </c>
      <c r="E255" s="972">
        <v>-2205</v>
      </c>
      <c r="F255" s="398">
        <f t="shared" si="92"/>
        <v>-131.45439769000001</v>
      </c>
      <c r="G255" s="398">
        <f t="shared" si="93"/>
        <v>105.06</v>
      </c>
      <c r="H255" s="973">
        <f t="shared" si="94"/>
        <v>295.92884519500001</v>
      </c>
      <c r="I255" s="973">
        <f t="shared" si="95"/>
        <v>236.51439769000001</v>
      </c>
      <c r="J255" s="972">
        <f t="shared" si="96"/>
        <v>-826.9108634600002</v>
      </c>
      <c r="K255" s="1822">
        <f t="shared" si="97"/>
        <v>1463.5152788799996</v>
      </c>
      <c r="L255" s="987"/>
      <c r="M255" s="988"/>
      <c r="N255" s="987"/>
    </row>
    <row r="256" spans="2:14">
      <c r="B256" s="970" t="s">
        <v>652</v>
      </c>
      <c r="C256" s="971">
        <v>0.4</v>
      </c>
      <c r="D256" s="972">
        <f t="shared" si="91"/>
        <v>4682.6935043999965</v>
      </c>
      <c r="E256" s="972">
        <v>14980</v>
      </c>
      <c r="F256" s="398">
        <f t="shared" si="92"/>
        <v>1139.1641496</v>
      </c>
      <c r="G256" s="398">
        <f t="shared" si="93"/>
        <v>2000.13</v>
      </c>
      <c r="H256" s="973">
        <f t="shared" si="94"/>
        <v>1609.9055413000003</v>
      </c>
      <c r="I256" s="973">
        <f t="shared" si="95"/>
        <v>860.96585040000014</v>
      </c>
      <c r="J256" s="972">
        <f t="shared" si="96"/>
        <v>4810.9328415999998</v>
      </c>
      <c r="K256" s="1822">
        <f t="shared" si="97"/>
        <v>128.23933720000332</v>
      </c>
      <c r="L256" s="987"/>
      <c r="M256" s="988"/>
      <c r="N256" s="987"/>
    </row>
    <row r="257" spans="2:14">
      <c r="B257" s="930" t="s">
        <v>653</v>
      </c>
      <c r="C257" s="971">
        <v>0.4</v>
      </c>
      <c r="D257" s="972">
        <f t="shared" si="91"/>
        <v>2206.2999711999973</v>
      </c>
      <c r="E257" s="972">
        <v>1882.4</v>
      </c>
      <c r="F257" s="398">
        <f t="shared" si="92"/>
        <v>321.67237160000008</v>
      </c>
      <c r="G257" s="398">
        <f t="shared" si="93"/>
        <v>389.64</v>
      </c>
      <c r="H257" s="973">
        <f t="shared" si="94"/>
        <v>205.78166906666686</v>
      </c>
      <c r="I257" s="973">
        <f t="shared" si="95"/>
        <v>67.96762839999991</v>
      </c>
      <c r="J257" s="972">
        <f t="shared" si="96"/>
        <v>2491.9308904000031</v>
      </c>
      <c r="K257" s="1822">
        <f t="shared" si="97"/>
        <v>285.63091920000579</v>
      </c>
      <c r="L257" s="987"/>
      <c r="M257" s="988"/>
      <c r="N257" s="987"/>
    </row>
    <row r="258" spans="2:14">
      <c r="B258" s="970" t="s">
        <v>654</v>
      </c>
      <c r="C258" s="971">
        <v>0.4</v>
      </c>
      <c r="D258" s="972">
        <f t="shared" si="91"/>
        <v>2013.7075672000001</v>
      </c>
      <c r="E258" s="972">
        <v>2752.4</v>
      </c>
      <c r="F258" s="398">
        <f t="shared" si="92"/>
        <v>214.39168960000003</v>
      </c>
      <c r="G258" s="398">
        <f t="shared" si="93"/>
        <v>305.35000000000002</v>
      </c>
      <c r="H258" s="973">
        <f t="shared" si="94"/>
        <v>137.54103606666669</v>
      </c>
      <c r="I258" s="973">
        <f t="shared" si="95"/>
        <v>90.958310399999988</v>
      </c>
      <c r="J258" s="972">
        <f t="shared" si="96"/>
        <v>1710.0832460000001</v>
      </c>
      <c r="K258" s="1822">
        <f t="shared" si="97"/>
        <v>-303.62432119999994</v>
      </c>
      <c r="L258" s="987"/>
      <c r="M258" s="988"/>
      <c r="N258" s="987"/>
    </row>
    <row r="259" spans="2:14">
      <c r="B259" s="970" t="s">
        <v>655</v>
      </c>
      <c r="C259" s="971">
        <v>0.49</v>
      </c>
      <c r="D259" s="972">
        <f t="shared" si="91"/>
        <v>139.54752825999998</v>
      </c>
      <c r="E259" s="972">
        <v>147</v>
      </c>
      <c r="F259" s="398">
        <f t="shared" si="92"/>
        <v>-17.235540769999997</v>
      </c>
      <c r="G259" s="398">
        <f t="shared" si="93"/>
        <v>71.83</v>
      </c>
      <c r="H259" s="973">
        <f t="shared" si="94"/>
        <v>60.201039311666669</v>
      </c>
      <c r="I259" s="973">
        <f t="shared" si="95"/>
        <v>89.065540769999998</v>
      </c>
      <c r="J259" s="972">
        <f t="shared" si="96"/>
        <v>143.11689441999999</v>
      </c>
      <c r="K259" s="1822">
        <f t="shared" si="97"/>
        <v>3.5693661600000155</v>
      </c>
      <c r="L259" s="987"/>
      <c r="M259" s="988"/>
      <c r="N259" s="987"/>
    </row>
    <row r="260" spans="2:14">
      <c r="B260" s="970" t="s">
        <v>656</v>
      </c>
      <c r="C260" s="2461">
        <v>0.28999999999999998</v>
      </c>
      <c r="D260" s="972">
        <f t="shared" si="91"/>
        <v>593.03737339999998</v>
      </c>
      <c r="E260" s="972">
        <v>148</v>
      </c>
      <c r="F260" s="398">
        <f t="shared" si="92"/>
        <v>31.784178929999992</v>
      </c>
      <c r="G260" s="398">
        <f t="shared" si="93"/>
        <v>134.34</v>
      </c>
      <c r="H260" s="973">
        <f>G260-D260/12</f>
        <v>84.920218883333348</v>
      </c>
      <c r="I260" s="973">
        <f>G260-F260</f>
        <v>102.55582107000001</v>
      </c>
      <c r="J260" s="972">
        <f t="shared" si="96"/>
        <v>624.65389356000003</v>
      </c>
      <c r="K260" s="1822">
        <f t="shared" si="97"/>
        <v>31.61652016000005</v>
      </c>
      <c r="L260" s="987"/>
      <c r="M260" s="988"/>
      <c r="N260" s="987"/>
    </row>
    <row r="261" spans="2:14">
      <c r="B261" s="970" t="s">
        <v>1684</v>
      </c>
      <c r="C261" s="2462">
        <v>0.1023</v>
      </c>
      <c r="D261" s="972">
        <f>SUMIFS('#投资收益'!12:12,'#投资收益'!$1:$1,$B$1-1,'#投资收益'!$2:$2,"&lt;=12",'#投资收益'!$3:$3,"投资收益")</f>
        <v>95998.73715500001</v>
      </c>
      <c r="E261" s="1776">
        <v>2543.4507149999999</v>
      </c>
      <c r="F261" s="1777">
        <f t="shared" si="92"/>
        <v>0</v>
      </c>
      <c r="G261" s="1777">
        <f t="shared" si="93"/>
        <v>2957.4</v>
      </c>
      <c r="H261" s="1686">
        <f>G261-D261/12</f>
        <v>-5042.4947629166672</v>
      </c>
      <c r="I261" s="1686">
        <f>G261-F261</f>
        <v>2957.4</v>
      </c>
      <c r="J261" s="1776">
        <f t="shared" si="96"/>
        <v>3956.21057071</v>
      </c>
      <c r="K261" s="1822">
        <f t="shared" si="97"/>
        <v>-92042.526584290012</v>
      </c>
      <c r="L261" s="987"/>
      <c r="M261" s="988"/>
      <c r="N261" s="987"/>
    </row>
    <row r="262" spans="2:14">
      <c r="B262" s="2534" t="s">
        <v>1724</v>
      </c>
      <c r="C262" s="2462">
        <v>0.5</v>
      </c>
      <c r="D262" s="972">
        <f>SUMIFS('#投资收益'!13:13,'#投资收益'!$1:$1,$B$1-1,'#投资收益'!$2:$2,"&lt;=12",'#投资收益'!$3:$3,"投资收益")</f>
        <v>0</v>
      </c>
      <c r="E262" s="1776">
        <v>0</v>
      </c>
      <c r="F262" s="1777">
        <f t="shared" si="92"/>
        <v>95.957045499999992</v>
      </c>
      <c r="G262" s="1777">
        <f t="shared" si="93"/>
        <v>221</v>
      </c>
      <c r="H262" s="1686">
        <f>G262-D262/12</f>
        <v>221</v>
      </c>
      <c r="I262" s="1686">
        <f>G262-F262</f>
        <v>125.04295450000001</v>
      </c>
      <c r="J262" s="1776">
        <f t="shared" si="96"/>
        <v>740.39445849999993</v>
      </c>
      <c r="K262" s="1822"/>
      <c r="L262" s="987"/>
      <c r="M262" s="988"/>
      <c r="N262" s="987"/>
    </row>
    <row r="263" spans="2:14">
      <c r="B263" s="966" t="s">
        <v>657</v>
      </c>
      <c r="C263" s="965"/>
      <c r="D263" s="968">
        <f>SUM(D264:D270)</f>
        <v>4726.4027736000007</v>
      </c>
      <c r="E263" s="968">
        <f>SUM(E264:E270)</f>
        <v>3613.2559120000001</v>
      </c>
      <c r="F263" s="968">
        <f>SUM(F264:F270)</f>
        <v>0</v>
      </c>
      <c r="G263" s="968">
        <f>SUM(G264:G270)</f>
        <v>0</v>
      </c>
      <c r="H263" s="969">
        <f t="shared" si="94"/>
        <v>-393.86689780000006</v>
      </c>
      <c r="I263" s="969">
        <f t="shared" si="95"/>
        <v>0</v>
      </c>
      <c r="J263" s="968">
        <f>SUM(J264:J270)</f>
        <v>4222.6330800000005</v>
      </c>
      <c r="K263" s="1824">
        <f t="shared" si="97"/>
        <v>-503.76969360000021</v>
      </c>
      <c r="L263" s="1786">
        <f>K263-93161</f>
        <v>-93664.769693599999</v>
      </c>
    </row>
    <row r="264" spans="2:14">
      <c r="B264" s="930" t="s">
        <v>658</v>
      </c>
      <c r="C264" s="971">
        <v>3.4299999999999997E-2</v>
      </c>
      <c r="D264" s="972">
        <f>SUMIFS('#投资收益'!15:15,'#投资收益'!$1:$1,$B$1-1,'#投资收益'!$2:$2,"&lt;=12",'#投资收益'!$3:$3,"投资收益")</f>
        <v>2200</v>
      </c>
      <c r="E264" s="972">
        <v>2000</v>
      </c>
      <c r="F264" s="964">
        <f>SUMIFS('#投资收益'!15:15,'#投资收益'!$1:$1,$E$1,'#投资收益'!$2:$2,$E$2,'#投资收益'!$3:$3,"投资收益")</f>
        <v>0</v>
      </c>
      <c r="G264" s="964">
        <f>SUMIFS('#投资收益'!15:15,'#投资收益'!$1:$1,$B$1,'#投资收益'!$2:$2,$B$2,'#投资收益'!$3:$3,"投资收益")</f>
        <v>0</v>
      </c>
      <c r="H264" s="973">
        <f t="shared" si="94"/>
        <v>-183.33333333333334</v>
      </c>
      <c r="I264" s="973">
        <f t="shared" si="95"/>
        <v>0</v>
      </c>
      <c r="J264" s="964">
        <f>SUMIFS('#投资收益'!15:15,'#投资收益'!$1:$1,$B$1,'#投资收益'!$2:$2,"&lt;="&amp;$B$2,'#投资收益'!$3:$3,"投资收益")</f>
        <v>2000</v>
      </c>
      <c r="K264" s="1823">
        <f t="shared" si="97"/>
        <v>-200</v>
      </c>
    </row>
    <row r="265" spans="2:14">
      <c r="B265" s="930" t="s">
        <v>660</v>
      </c>
      <c r="C265" s="971">
        <v>5.4000000000000003E-3</v>
      </c>
      <c r="D265" s="972">
        <f>SUMIFS('#投资收益'!17:17,'#投资收益'!$1:$1,$B$1-1,'#投资收益'!$2:$2,"&lt;=12",'#投资收益'!$3:$3,"投资收益")</f>
        <v>522.24455999999998</v>
      </c>
      <c r="E265" s="972">
        <v>244</v>
      </c>
      <c r="F265" s="964">
        <f>SUMIFS('#投资收益'!17:17,'#投资收益'!$1:$1,$E$1,'#投资收益'!$2:$2,$E$2,'#投资收益'!$3:$3,"投资收益")</f>
        <v>0</v>
      </c>
      <c r="G265" s="964">
        <f>SUMIFS('#投资收益'!17:17,'#投资收益'!$1:$1,$B$1,'#投资收益'!$2:$2,$B$2,'#投资收益'!$3:$3,"投资收益")</f>
        <v>0</v>
      </c>
      <c r="H265" s="973">
        <f t="shared" si="94"/>
        <v>-43.520379999999996</v>
      </c>
      <c r="I265" s="973">
        <f t="shared" si="95"/>
        <v>0</v>
      </c>
      <c r="J265" s="964">
        <f>SUMIFS('#投资收益'!17:17,'#投资收益'!$1:$1,$B$1,'#投资收益'!$2:$2,"&lt;="&amp;$B$2,'#投资收益'!$3:$3,"投资收益")</f>
        <v>435.2038</v>
      </c>
      <c r="K265" s="1823">
        <f t="shared" si="97"/>
        <v>-87.040759999999977</v>
      </c>
    </row>
    <row r="266" spans="2:14">
      <c r="B266" s="930" t="s">
        <v>661</v>
      </c>
      <c r="C266" s="971">
        <v>1.2999999999999999E-3</v>
      </c>
      <c r="D266" s="972">
        <f>SUMIFS('#投资收益'!18:18,'#投资收益'!$1:$1,$B$1-1,'#投资收益'!$2:$2,"&lt;=12",'#投资收益'!$3:$3,"投资收益")</f>
        <v>1492.5736876000001</v>
      </c>
      <c r="E266" s="972">
        <v>1123</v>
      </c>
      <c r="F266" s="964">
        <f>SUMIFS('#投资收益'!18:18,'#投资收益'!$1:$1,$E$1,'#投资收益'!$2:$2,$E$2,'#投资收益'!$3:$3,"投资收益")</f>
        <v>0</v>
      </c>
      <c r="G266" s="964">
        <f>SUMIFS('#投资收益'!18:18,'#投资收益'!$1:$1,$B$1,'#投资收益'!$2:$2,$B$2,'#投资收益'!$3:$3,"投资收益")</f>
        <v>0</v>
      </c>
      <c r="H266" s="973">
        <f t="shared" si="94"/>
        <v>-124.38114063333335</v>
      </c>
      <c r="I266" s="973">
        <f t="shared" si="95"/>
        <v>0</v>
      </c>
      <c r="J266" s="964">
        <f>SUMIFS('#投资收益'!18:18,'#投资收益'!$1:$1,$B$1,'#投资收益'!$2:$2,"&lt;="&amp;$B$2,'#投资收益'!$3:$3,"投资收益")</f>
        <v>1464.6751140000001</v>
      </c>
      <c r="K266" s="1823">
        <f t="shared" si="97"/>
        <v>-27.898573599999963</v>
      </c>
    </row>
    <row r="267" spans="2:14">
      <c r="B267" s="930" t="s">
        <v>662</v>
      </c>
      <c r="C267" s="971">
        <v>4.3E-3</v>
      </c>
      <c r="D267" s="972">
        <f>SUMIFS('#投资收益'!19:19,'#投资收益'!$1:$1,$B$1-1,'#投资收益'!$2:$2,"&lt;=12",'#投资收益'!$3:$3,"投资收益")</f>
        <v>184.691934</v>
      </c>
      <c r="E267" s="972">
        <v>246.255912</v>
      </c>
      <c r="F267" s="964">
        <f>SUMIFS('#投资收益'!19:19,'#投资收益'!$1:$1,$E$1,'#投资收益'!$2:$2,$E$2,'#投资收益'!$3:$3,"投资收益")</f>
        <v>0</v>
      </c>
      <c r="G267" s="964">
        <f>SUMIFS('#投资收益'!19:19,'#投资收益'!$1:$1,$B$1,'#投资收益'!$2:$2,$B$2,'#投资收益'!$3:$3,"投资收益")</f>
        <v>0</v>
      </c>
      <c r="H267" s="973">
        <f t="shared" si="94"/>
        <v>-15.3909945</v>
      </c>
      <c r="I267" s="973">
        <f t="shared" si="95"/>
        <v>0</v>
      </c>
      <c r="J267" s="964">
        <f>SUMIFS('#投资收益'!19:19,'#投资收益'!$1:$1,$B$1,'#投资收益'!$2:$2,"&lt;="&amp;$B$2,'#投资收益'!$3:$3,"投资收益")</f>
        <v>0</v>
      </c>
      <c r="K267" s="1823">
        <f t="shared" si="97"/>
        <v>-184.691934</v>
      </c>
    </row>
    <row r="268" spans="2:14">
      <c r="B268" s="930" t="s">
        <v>663</v>
      </c>
      <c r="C268" s="971">
        <v>3.1279106046938898E-2</v>
      </c>
      <c r="D268" s="972">
        <f>SUMIFS('#投资收益'!20:20,'#投资收益'!$1:$1,$B$1-1,'#投资收益'!$2:$2,"&lt;=12",'#投资收益'!$3:$3,"投资收益")</f>
        <v>286.89259199999998</v>
      </c>
      <c r="E268" s="972"/>
      <c r="F268" s="964">
        <f>SUMIFS('#投资收益'!20:20,'#投资收益'!$1:$1,$E$1,'#投资收益'!$2:$2,$E$2,'#投资收益'!$3:$3,"投资收益")</f>
        <v>0</v>
      </c>
      <c r="G268" s="964">
        <f>SUMIFS('#投资收益'!20:20,'#投资收益'!$1:$1,$B$1,'#投资收益'!$2:$2,$B$2,'#投资收益'!$3:$3,"投资收益")</f>
        <v>0</v>
      </c>
      <c r="H268" s="973">
        <f t="shared" si="94"/>
        <v>-23.907715999999997</v>
      </c>
      <c r="I268" s="973">
        <f>G268-F268</f>
        <v>0</v>
      </c>
      <c r="J268" s="964">
        <f>SUMIFS('#投资收益'!20:20,'#投资收益'!$1:$1,$B$1,'#投资收益'!$2:$2,"&lt;="&amp;$B$2,'#投资收益'!$3:$3,"投资收益")</f>
        <v>322.754166</v>
      </c>
      <c r="K268" s="1823">
        <f t="shared" si="97"/>
        <v>35.861574000000019</v>
      </c>
    </row>
    <row r="269" spans="2:14">
      <c r="B269" s="930" t="s">
        <v>664</v>
      </c>
      <c r="C269" s="971">
        <v>1.61E-2</v>
      </c>
      <c r="D269" s="972">
        <f>SUMIFS('#投资收益'!21:21,'#投资收益'!$1:$1,$B$1-1,'#投资收益'!$2:$2,"&lt;=12",'#投资收益'!$3:$3,"投资收益")</f>
        <v>0</v>
      </c>
      <c r="E269" s="972"/>
      <c r="F269" s="964">
        <f>SUMIFS('#投资收益'!21:21,'#投资收益'!$1:$1,$E$1,'#投资收益'!$2:$2,$E$2,'#投资收益'!$3:$3,"投资收益")</f>
        <v>0</v>
      </c>
      <c r="G269" s="964">
        <f>SUMIFS('#投资收益'!21:21,'#投资收益'!$1:$1,$B$1,'#投资收益'!$2:$2,$B$2,'#投资收益'!$3:$3,"投资收益")</f>
        <v>0</v>
      </c>
      <c r="H269" s="973">
        <f t="shared" si="94"/>
        <v>0</v>
      </c>
      <c r="I269" s="973">
        <f t="shared" si="95"/>
        <v>0</v>
      </c>
      <c r="J269" s="964">
        <f>SUMIFS('#投资收益'!21:21,'#投资收益'!$1:$1,$B$1,'#投资收益'!$2:$2,"&lt;="&amp;$B$2,'#投资收益'!$3:$3,"投资收益")</f>
        <v>0</v>
      </c>
      <c r="K269" s="1823">
        <f t="shared" si="97"/>
        <v>0</v>
      </c>
    </row>
    <row r="270" spans="2:14">
      <c r="B270" s="1780" t="s">
        <v>1213</v>
      </c>
      <c r="C270" s="2464">
        <v>4.5499999999999999E-2</v>
      </c>
      <c r="D270" s="1776">
        <f>SUMIFS('#投资收益'!22:22,'#投资收益'!$1:$1,$B$1-1,'#投资收益'!$2:$2,"&lt;=12",'#投资收益'!$3:$3,"投资收益")</f>
        <v>40</v>
      </c>
      <c r="E270" s="1776"/>
      <c r="F270" s="1775">
        <f>SUMIFS('#投资收益'!22:22,'#投资收益'!$1:$1,$E$1,'#投资收益'!$2:$2,$E$2,'#投资收益'!$3:$3,"投资收益")</f>
        <v>0</v>
      </c>
      <c r="G270" s="1775">
        <f>SUMIFS('#投资收益'!22:22,'#投资收益'!$1:$1,$B$1,'#投资收益'!$2:$2,$B$2,'#投资收益'!$3:$3,"投资收益")</f>
        <v>0</v>
      </c>
      <c r="H270" s="1686">
        <f>G270-D270/12</f>
        <v>-3.3333333333333335</v>
      </c>
      <c r="I270" s="1686">
        <f>G270-F270</f>
        <v>0</v>
      </c>
      <c r="J270" s="1775">
        <f>SUMIFS('#投资收益'!22:22,'#投资收益'!$1:$1,$B$1,'#投资收益'!$2:$2,"&lt;="&amp;$B$2,'#投资收益'!$3:$3,"投资收益")</f>
        <v>0</v>
      </c>
      <c r="K270" s="1823">
        <f t="shared" si="97"/>
        <v>-40</v>
      </c>
    </row>
    <row r="271" spans="2:14">
      <c r="B271" s="394" t="s">
        <v>665</v>
      </c>
      <c r="C271" s="965"/>
      <c r="D271" s="395">
        <f>SUMIFS('#投资收益'!39:39,'#投资收益'!$1:$1,$B$1-1,'#投资收益'!$2:$2,"&lt;=12",'#投资收益'!$3:$3,"投资收益")</f>
        <v>61100.921333800005</v>
      </c>
      <c r="E271" s="395">
        <v>50371.530483676899</v>
      </c>
      <c r="F271" s="395">
        <f>SUMIFS('#投资收益'!39:39,'#投资收益'!$1:$1,$E$1,'#投资收益'!$2:$2,$E$2,'#投资收益'!$3:$3,"投资收益")</f>
        <v>0</v>
      </c>
      <c r="G271" s="395">
        <f>SUMIFS('#投资收益'!39:39,'#投资收益'!$1:$1,$B$1,'#投资收益'!$2:$2,$B$2,'#投资收益'!$3:$3,"投资收益")</f>
        <v>0</v>
      </c>
      <c r="H271" s="969">
        <f t="shared" si="94"/>
        <v>-5091.7434444833334</v>
      </c>
      <c r="I271" s="969">
        <f t="shared" si="95"/>
        <v>0</v>
      </c>
      <c r="J271" s="395">
        <f>SUMIFS('#投资收益'!39:39,'#投资收益'!$1:$1,$B$1,'#投资收益'!$2:$2,"&lt;="&amp;$B$2,'#投资收益'!$3:$3,"投资收益")</f>
        <v>76069.812520200008</v>
      </c>
      <c r="K271" s="1824">
        <f t="shared" si="97"/>
        <v>14968.891186400004</v>
      </c>
    </row>
    <row r="272" spans="2:14">
      <c r="B272" s="930" t="s">
        <v>666</v>
      </c>
      <c r="C272" s="971">
        <v>0.5</v>
      </c>
      <c r="D272" s="972">
        <f>SUMIFS('#投资收益'!45:45,'#投资收益'!$1:$1,$B$1-1,'#投资收益'!$2:$2,"&lt;=12",'#投资收益'!$3:$3,"投资收益")</f>
        <v>10935.077099</v>
      </c>
      <c r="E272" s="972">
        <v>10134</v>
      </c>
      <c r="F272" s="398">
        <f>SUMIFS('#投资收益'!45:45,'#投资收益'!$1:$1,$E$1,'#投资收益'!$2:$2,$E$2,'#投资收益'!$3:$3,"投资收益")</f>
        <v>0</v>
      </c>
      <c r="G272" s="398">
        <f>SUMIFS('#投资收益'!45:45,'#投资收益'!$1:$1,$B$1,'#投资收益'!$2:$2,$B$2,'#投资收益'!$3:$3,"投资收益")</f>
        <v>0</v>
      </c>
      <c r="H272" s="973">
        <f t="shared" si="94"/>
        <v>-911.25642491666667</v>
      </c>
      <c r="I272" s="973">
        <f t="shared" si="95"/>
        <v>0</v>
      </c>
      <c r="J272" s="398">
        <f>SUMIFS('#投资收益'!45:45,'#投资收益'!$1:$1,$B$1,'#投资收益'!$2:$2,"&lt;="&amp;$B$2,'#投资收益'!$3:$3,"投资收益")</f>
        <v>11201.79529</v>
      </c>
      <c r="K272" s="1823">
        <f t="shared" si="97"/>
        <v>266.71819099999993</v>
      </c>
    </row>
    <row r="273" spans="1:33">
      <c r="B273" s="930" t="s">
        <v>667</v>
      </c>
      <c r="C273" s="971">
        <v>0.6331</v>
      </c>
      <c r="D273" s="972">
        <f>SUMIFS('#投资收益'!46:46,'#投资收益'!$1:$1,$B$1-1,'#投资收益'!$2:$2,"&lt;=12",'#投资收益'!$3:$3,"投资收益")</f>
        <v>35713.572520000002</v>
      </c>
      <c r="E273" s="972">
        <v>35713.57</v>
      </c>
      <c r="F273" s="398">
        <f>SUMIFS('#投资收益'!46:46,'#投资收益'!$1:$1,$E$1,'#投资收益'!$2:$2,$E$2,'#投资收益'!$3:$3,"投资收益")</f>
        <v>0</v>
      </c>
      <c r="G273" s="398">
        <f>SUMIFS('#投资收益'!46:46,'#投资收益'!$1:$1,$B$1,'#投资收益'!$2:$2,$B$2,'#投资收益'!$3:$3,"投资收益")</f>
        <v>0</v>
      </c>
      <c r="H273" s="973">
        <f t="shared" si="94"/>
        <v>-2976.1310433333333</v>
      </c>
      <c r="I273" s="973">
        <f t="shared" si="95"/>
        <v>0</v>
      </c>
      <c r="J273" s="972">
        <f>SUMIFS('#投资收益'!46:46,'#投资收益'!$1:$1,$B$1,'#投资收益'!$2:$2,"&lt;="&amp;$B$2,'#投资收益'!$3:$3,"投资收益")</f>
        <v>55178.751310200001</v>
      </c>
      <c r="K273" s="1823">
        <f t="shared" si="97"/>
        <v>19465.1787902</v>
      </c>
    </row>
    <row r="274" spans="1:33">
      <c r="B274" s="1780" t="s">
        <v>1727</v>
      </c>
      <c r="C274" s="2464">
        <v>0.6</v>
      </c>
      <c r="D274" s="1776">
        <f>SUMIFS('#投资收益'!44:44,'#投资收益'!$1:$1,$B$1-1,'#投资收益'!$2:$2,"&lt;=12",'#投资收益'!$3:$3,"投资收益")</f>
        <v>11969</v>
      </c>
      <c r="E274" s="1776">
        <v>0</v>
      </c>
      <c r="F274" s="1777">
        <f>SUMIFS('#投资收益'!44:44,'#投资收益'!$1:$1,$E$1,'#投资收益'!$2:$2,$E$2,'#投资收益'!$3:$3,"投资收益")</f>
        <v>0</v>
      </c>
      <c r="G274" s="1777">
        <f>SUMIFS('#投资收益'!44:44,'#投资收益'!$1:$1,$B$1,'#投资收益'!$2:$2,$B$2,'#投资收益'!$3:$3,"投资收益")</f>
        <v>0</v>
      </c>
      <c r="H274" s="973">
        <f t="shared" si="94"/>
        <v>-997.41666666666663</v>
      </c>
      <c r="I274" s="973">
        <f t="shared" si="95"/>
        <v>0</v>
      </c>
      <c r="J274" s="1776">
        <f>SUMIFS('#投资收益'!44:44,'#投资收益'!$1:$1,$B$1,'#投资收益'!$2:$2,"&lt;="&amp;$B$2,'#投资收益'!$3:$3,"投资收益")</f>
        <v>1985.5722000000001</v>
      </c>
      <c r="K274" s="1823"/>
    </row>
    <row r="275" spans="1:33">
      <c r="B275" s="1780" t="s">
        <v>1728</v>
      </c>
      <c r="C275" s="2464">
        <v>0.6</v>
      </c>
      <c r="D275" s="1776">
        <f>SUMIFS('#投资收益'!50:50,'#投资收益'!$1:$1,$B$1-1,'#投资收益'!$2:$2,"&lt;=12",'#投资收益'!$3:$3,"投资收益")</f>
        <v>0</v>
      </c>
      <c r="E275" s="1776">
        <v>0</v>
      </c>
      <c r="F275" s="1777">
        <f>SUMIFS('#投资收益'!50:50,'#投资收益'!$1:$1,$E$1,'#投资收益'!$2:$2,$E$2,'#投资收益'!$3:$3,"投资收益")</f>
        <v>0</v>
      </c>
      <c r="G275" s="1777">
        <f>SUMIFS('#投资收益'!50:50,'#投资收益'!$1:$1,$B$1,'#投资收益'!$2:$2,$B$2,'#投资收益'!$3:$3,"投资收益")</f>
        <v>0</v>
      </c>
      <c r="H275" s="973">
        <f t="shared" si="94"/>
        <v>0</v>
      </c>
      <c r="I275" s="973">
        <f t="shared" si="95"/>
        <v>0</v>
      </c>
      <c r="J275" s="1776">
        <f>SUMIFS('#投资收益'!50:50,'#投资收益'!$1:$1,$B$1,'#投资收益'!$2:$2,"&lt;="&amp;$B$2,'#投资收益'!$3:$3,"投资收益")</f>
        <v>7703.6937200000002</v>
      </c>
      <c r="K275" s="1823"/>
    </row>
    <row r="276" spans="1:33" s="16" customFormat="1">
      <c r="B276" s="394" t="s">
        <v>668</v>
      </c>
      <c r="C276" s="965"/>
      <c r="D276" s="968">
        <f>SUMIFS('#投资收益'!30:30,'#投资收益'!$1:$1,$B$1-1,'#投资收益'!$2:$2,"&lt;=12",'#投资收益'!$3:$3,"投资收益")</f>
        <v>-488.35184199999998</v>
      </c>
      <c r="E276" s="968">
        <v>0</v>
      </c>
      <c r="F276" s="395">
        <f>SUMIFS('#投资收益'!30:30,'#投资收益'!$1:$1,$E$1,'#投资收益'!$2:$2,$E$2,'#投资收益'!$3:$3,"投资收益")</f>
        <v>0</v>
      </c>
      <c r="G276" s="395">
        <f>SUMIFS('#投资收益'!30:30,'#投资收益'!$1:$1,$B$1,'#投资收益'!$2:$2,$B$2,'#投资收益'!$3:$3,"投资收益")</f>
        <v>-283.89</v>
      </c>
      <c r="H276" s="969">
        <f>G276-D276/12</f>
        <v>-243.19401316666665</v>
      </c>
      <c r="I276" s="969">
        <f>G276-F276</f>
        <v>-283.89</v>
      </c>
      <c r="J276" s="968">
        <f>SUMIFS('#投资收益'!30:30,'#投资收益'!$1:$1,$B$1,'#投资收益'!$2:$2,"&lt;="&amp;$B$2,'#投资收益'!$3:$3,"投资收益")</f>
        <v>-283.89</v>
      </c>
      <c r="K276" s="1824">
        <f t="shared" si="97"/>
        <v>204.46184199999999</v>
      </c>
      <c r="AG276" s="53"/>
    </row>
    <row r="277" spans="1:33">
      <c r="B277" s="966" t="s">
        <v>669</v>
      </c>
      <c r="C277" s="965"/>
      <c r="D277" s="968">
        <f>E248</f>
        <v>16135.069945999998</v>
      </c>
      <c r="E277" s="968">
        <v>5858</v>
      </c>
      <c r="F277" s="395">
        <f>G248</f>
        <v>613.32315100000005</v>
      </c>
      <c r="G277" s="395">
        <f>I248</f>
        <v>696.60058100000003</v>
      </c>
      <c r="H277" s="969">
        <f t="shared" si="94"/>
        <v>-647.98858116666645</v>
      </c>
      <c r="I277" s="969">
        <f t="shared" si="95"/>
        <v>83.277429999999981</v>
      </c>
      <c r="J277" s="968">
        <f>M248</f>
        <v>6748.3739290000003</v>
      </c>
      <c r="K277" s="1824">
        <f t="shared" si="97"/>
        <v>-9386.6960169999984</v>
      </c>
      <c r="M277" s="989"/>
    </row>
    <row r="278" spans="1:33">
      <c r="B278" s="974" t="s">
        <v>670</v>
      </c>
      <c r="C278" s="974"/>
      <c r="D278" s="975">
        <f>D253+D276+D263+D277</f>
        <v>124395.90629672</v>
      </c>
      <c r="E278" s="975">
        <f>E253+E276+E263+E277</f>
        <v>31119.506626999999</v>
      </c>
      <c r="F278" s="975">
        <f>F253+F276+F263+F277</f>
        <v>2270.0452814100004</v>
      </c>
      <c r="G278" s="975">
        <f>G253+G276+G263+G277</f>
        <v>6634.2905809999993</v>
      </c>
      <c r="H278" s="976">
        <f t="shared" si="94"/>
        <v>-3732.0349437266668</v>
      </c>
      <c r="I278" s="976">
        <f t="shared" si="95"/>
        <v>4364.2452995899985</v>
      </c>
      <c r="J278" s="975">
        <f>J253+J276+J263+J277</f>
        <v>24685.818936370004</v>
      </c>
      <c r="K278" s="1823">
        <f t="shared" si="97"/>
        <v>-99710.087360349993</v>
      </c>
    </row>
    <row r="279" spans="1:33">
      <c r="K279" s="1786">
        <f>K278-97172</f>
        <v>-196882.08736035001</v>
      </c>
    </row>
    <row r="282" spans="1:33">
      <c r="A282" s="409" t="s">
        <v>671</v>
      </c>
      <c r="B282" s="2693" t="s">
        <v>672</v>
      </c>
      <c r="C282" s="2693" t="s">
        <v>3</v>
      </c>
      <c r="D282" s="2693" t="str">
        <f>D215</f>
        <v>2020年</v>
      </c>
      <c r="E282" s="2693"/>
      <c r="F282" s="2693"/>
      <c r="G282" s="2693" t="str">
        <f>F215</f>
        <v>2021年</v>
      </c>
      <c r="H282" s="2693"/>
      <c r="I282" s="2693"/>
      <c r="J282" s="2693"/>
      <c r="K282" s="2693"/>
      <c r="L282" s="2693"/>
      <c r="M282" s="2693"/>
    </row>
    <row r="283" spans="1:33">
      <c r="B283" s="2693"/>
      <c r="C283" s="2693"/>
      <c r="D283" s="2693" t="s">
        <v>4</v>
      </c>
      <c r="E283" s="2693" t="str">
        <f>B2&amp;"月"</f>
        <v>8月</v>
      </c>
      <c r="F283" s="2693" t="s">
        <v>5</v>
      </c>
      <c r="G283" s="2694" t="s">
        <v>6</v>
      </c>
      <c r="H283" s="2693" t="str">
        <f>G10</f>
        <v>7月</v>
      </c>
      <c r="I283" s="2693" t="str">
        <f>H10</f>
        <v>8月</v>
      </c>
      <c r="J283" s="2675" t="s">
        <v>7</v>
      </c>
      <c r="K283" s="2695" t="s">
        <v>5</v>
      </c>
      <c r="L283" s="2696"/>
      <c r="M283" s="2697"/>
    </row>
    <row r="284" spans="1:33">
      <c r="B284" s="2693"/>
      <c r="C284" s="2693"/>
      <c r="D284" s="2693"/>
      <c r="E284" s="2693"/>
      <c r="F284" s="2693"/>
      <c r="G284" s="2694"/>
      <c r="H284" s="2693"/>
      <c r="I284" s="2693"/>
      <c r="J284" s="2675"/>
      <c r="K284" s="977" t="s">
        <v>59</v>
      </c>
      <c r="L284" s="977" t="s">
        <v>8</v>
      </c>
      <c r="M284" s="977" t="s">
        <v>9</v>
      </c>
    </row>
    <row r="285" spans="1:33" s="16" customFormat="1">
      <c r="B285" s="977" t="s">
        <v>673</v>
      </c>
      <c r="C285" s="978" t="s">
        <v>1363</v>
      </c>
      <c r="D285" s="979">
        <v>98.711840770000009</v>
      </c>
      <c r="E285" s="979">
        <f>SUMIFS('#投资情况'!3:3,'#投资情况'!$1:$1,$B$1-1,'#投资情况'!$2:$2,$B$2)</f>
        <v>23.025986769999999</v>
      </c>
      <c r="F285" s="2465">
        <v>69.088055769999997</v>
      </c>
      <c r="G285" s="979">
        <v>117.29084799999998</v>
      </c>
      <c r="H285" s="979">
        <f>SUMIFS('#投资情况'!3:3,'#投资情况'!$1:$1,$E$1,'#投资情况'!$2:$2,$E$2)</f>
        <v>2.1665000000000001</v>
      </c>
      <c r="I285" s="979">
        <f>SUMIFS('#投资情况'!3:3,'#投资情况'!$1:$1,$B$1,'#投资情况'!$2:$2,$B$2)</f>
        <v>3.9960000000000004</v>
      </c>
      <c r="J285" s="861">
        <f>I285-H285</f>
        <v>1.8295000000000003</v>
      </c>
      <c r="K285" s="979">
        <f>'#投资情况'!AM3</f>
        <v>33.491199999999999</v>
      </c>
      <c r="L285" s="861">
        <f>K285-F285</f>
        <v>-35.596855769999998</v>
      </c>
      <c r="M285" s="861">
        <f>K285-G285/12*$B$2</f>
        <v>-44.702698666666656</v>
      </c>
      <c r="AG285" s="53"/>
    </row>
    <row r="286" spans="1:33">
      <c r="B286" s="980">
        <v>1</v>
      </c>
      <c r="C286" s="981" t="s">
        <v>675</v>
      </c>
      <c r="D286" s="982">
        <v>38.509799999999998</v>
      </c>
      <c r="E286" s="982">
        <f>SUMIFS('#投资情况'!4:4,'#投资情况'!$1:$1,$B$1-1,'#投资情况'!$2:$2,$B$2)</f>
        <v>4.1102999999999996</v>
      </c>
      <c r="F286" s="2466">
        <v>21.173014999999999</v>
      </c>
      <c r="G286" s="982">
        <v>64.585009999999997</v>
      </c>
      <c r="H286" s="982">
        <f>SUMIFS('#投资情况'!4:4,'#投资情况'!$1:$1,$E$1,'#投资情况'!$2:$2,$E$2)</f>
        <v>2.1665000000000001</v>
      </c>
      <c r="I286" s="982">
        <f>SUMIFS('#投资情况'!4:4,'#投资情况'!$1:$1,$B$1,'#投资情况'!$2:$2,$B$2)</f>
        <v>3.2792000000000003</v>
      </c>
      <c r="J286" s="990">
        <f t="shared" ref="J286:J290" si="98">I286-H286</f>
        <v>1.1127000000000002</v>
      </c>
      <c r="K286" s="982">
        <f>'#投资情况'!AM4</f>
        <v>22.858799999999999</v>
      </c>
      <c r="L286" s="990">
        <f t="shared" ref="L286:L290" si="99">K286-F286</f>
        <v>1.6857849999999992</v>
      </c>
      <c r="M286" s="990">
        <f>K286-G286/12*$B$2</f>
        <v>-20.19787333333333</v>
      </c>
    </row>
    <row r="287" spans="1:33">
      <c r="B287" s="980">
        <v>2</v>
      </c>
      <c r="C287" s="981" t="s">
        <v>676</v>
      </c>
      <c r="D287" s="982">
        <v>14.2873</v>
      </c>
      <c r="E287" s="982">
        <f>SUMIFS('#投资情况'!5:5,'#投资情况'!$1:$1,$B$1-1,'#投资情况'!$2:$2,$B$2)</f>
        <v>0</v>
      </c>
      <c r="F287" s="2466">
        <v>6.0303000000000004</v>
      </c>
      <c r="G287" s="982">
        <v>19.382999999999999</v>
      </c>
      <c r="H287" s="982">
        <f>SUMIFS('#投资情况'!5:5,'#投资情况'!$1:$1,$E$1,'#投资情况'!$2:$2,$E$2)</f>
        <v>0</v>
      </c>
      <c r="I287" s="982">
        <f>SUMIFS('#投资情况'!5:5,'#投资情况'!$1:$1,$B$1,'#投资情况'!$2:$2,$B$2)</f>
        <v>0.71679999999999999</v>
      </c>
      <c r="J287" s="990">
        <f t="shared" si="98"/>
        <v>0.71679999999999999</v>
      </c>
      <c r="K287" s="982">
        <f>'#投资情况'!AM5</f>
        <v>4.7880000000000003</v>
      </c>
      <c r="L287" s="990">
        <f t="shared" si="99"/>
        <v>-1.2423000000000002</v>
      </c>
      <c r="M287" s="990">
        <f t="shared" ref="M287:M290" si="100">K287-G287/12*$B$2</f>
        <v>-8.1339999999999986</v>
      </c>
    </row>
    <row r="288" spans="1:33">
      <c r="B288" s="980">
        <v>3</v>
      </c>
      <c r="C288" s="981" t="s">
        <v>677</v>
      </c>
      <c r="D288" s="982">
        <v>45.914740770000002</v>
      </c>
      <c r="E288" s="982">
        <f>SUMIFS('#投资情况'!6:6,'#投资情况'!$1:$1,$B$1-1,'#投资情况'!$2:$2,$B$2)</f>
        <v>18.915686770000001</v>
      </c>
      <c r="F288" s="2466">
        <v>41.884740770000001</v>
      </c>
      <c r="G288" s="982">
        <v>33.322837999999997</v>
      </c>
      <c r="H288" s="983">
        <f>SUMIFS('#投资情况'!6:6,'#投资情况'!$1:$1,$E$1,'#投资情况'!$2:$2,$E$2)</f>
        <v>0</v>
      </c>
      <c r="I288" s="983">
        <f>SUMIFS('#投资情况'!6:6,'#投资情况'!$1:$1,$B$1,'#投资情况'!$2:$2,$B$2)</f>
        <v>0</v>
      </c>
      <c r="J288" s="991">
        <f t="shared" si="98"/>
        <v>0</v>
      </c>
      <c r="K288" s="982">
        <f>'#投资情况'!AM6</f>
        <v>5.8444000000000003</v>
      </c>
      <c r="L288" s="990">
        <f t="shared" si="99"/>
        <v>-36.04034077</v>
      </c>
      <c r="M288" s="990">
        <f t="shared" si="100"/>
        <v>-16.370825333333332</v>
      </c>
    </row>
    <row r="289" spans="1:33" s="16" customFormat="1" ht="69.75" customHeight="1">
      <c r="B289" s="977" t="s">
        <v>678</v>
      </c>
      <c r="C289" s="978" t="s">
        <v>1138</v>
      </c>
      <c r="D289" s="984">
        <v>32.728446374899995</v>
      </c>
      <c r="E289" s="979">
        <f>SUMIFS('#投资情况'!7:7,'#投资情况'!$1:$1,$B$1-1,'#投资情况'!$2:$2,$B$2)</f>
        <v>3.5823830000000014</v>
      </c>
      <c r="F289" s="2465">
        <v>18.7740744699</v>
      </c>
      <c r="G289" s="979">
        <v>60.84</v>
      </c>
      <c r="H289" s="979">
        <f>SUMIFS('#投资情况'!7:7,'#投资情况'!$1:$1,$E$1,'#投资情况'!$2:$2,$E$2)</f>
        <v>1.7154999999999985</v>
      </c>
      <c r="I289" s="979">
        <f>SUMIFS('#投资情况'!7:7,'#投资情况'!$1:$1,$B$1,'#投资情况'!$2:$2,$B$2)</f>
        <v>3.34895466</v>
      </c>
      <c r="J289" s="861">
        <f t="shared" si="98"/>
        <v>1.6334546600000015</v>
      </c>
      <c r="K289" s="979">
        <f>'#投资情况'!AM7</f>
        <v>20.384546124299998</v>
      </c>
      <c r="L289" s="861">
        <f t="shared" si="99"/>
        <v>1.6104716543999977</v>
      </c>
      <c r="M289" s="861">
        <f t="shared" si="100"/>
        <v>-20.175453875700004</v>
      </c>
      <c r="AG289" s="53"/>
    </row>
    <row r="290" spans="1:33" ht="28.5">
      <c r="B290" s="980">
        <v>1</v>
      </c>
      <c r="C290" s="985" t="s">
        <v>680</v>
      </c>
      <c r="D290" s="982">
        <v>28.370580374900001</v>
      </c>
      <c r="E290" s="982">
        <f>SUMIFS('#投资情况'!8:8,'#投资情况'!$1:$1,$B$1-1,'#投资情况'!$2:$2,$B$2)</f>
        <v>3.2366830000000015</v>
      </c>
      <c r="F290" s="2466">
        <v>16.247550469900002</v>
      </c>
      <c r="G290" s="982">
        <v>38.9</v>
      </c>
      <c r="H290" s="982">
        <f>SUMIFS('#投资情况'!8:8,'#投资情况'!$1:$1,$E$1,'#投资情况'!$2:$2,$E$2)</f>
        <v>1.6002999999999985</v>
      </c>
      <c r="I290" s="982">
        <f>SUMIFS('#投资情况'!8:8,'#投资情况'!$1:$1,$B$1,'#投资情况'!$2:$2,$B$2)</f>
        <v>3.00785466</v>
      </c>
      <c r="J290" s="990">
        <f t="shared" si="98"/>
        <v>1.4075546600000015</v>
      </c>
      <c r="K290" s="982">
        <f>'#投资情况'!AM8</f>
        <v>18.663646124300001</v>
      </c>
      <c r="L290" s="990">
        <f t="shared" si="99"/>
        <v>2.4160956543999994</v>
      </c>
      <c r="M290" s="990">
        <f t="shared" si="100"/>
        <v>-7.2696872090333322</v>
      </c>
    </row>
    <row r="293" spans="1:33">
      <c r="A293" s="409" t="s">
        <v>681</v>
      </c>
      <c r="B293" s="2702" t="s">
        <v>68</v>
      </c>
      <c r="C293" s="807" t="s">
        <v>682</v>
      </c>
      <c r="D293" s="807"/>
      <c r="E293" s="807"/>
      <c r="F293" s="807">
        <f>F112</f>
        <v>900</v>
      </c>
      <c r="G293" s="807"/>
      <c r="H293" s="102">
        <f>H112</f>
        <v>78.491500000000002</v>
      </c>
      <c r="I293" s="807"/>
      <c r="J293" s="807"/>
    </row>
    <row r="294" spans="1:33">
      <c r="B294" s="2702"/>
      <c r="C294" s="807" t="s">
        <v>273</v>
      </c>
      <c r="D294" s="807"/>
      <c r="E294" s="807"/>
      <c r="F294" s="807">
        <f>F115</f>
        <v>1200</v>
      </c>
      <c r="G294" s="807"/>
      <c r="H294" s="102">
        <f>H115</f>
        <v>108.989</v>
      </c>
      <c r="I294" s="807"/>
      <c r="J294" s="807"/>
    </row>
    <row r="295" spans="1:33">
      <c r="B295" s="2702"/>
      <c r="C295" s="807" t="s">
        <v>27</v>
      </c>
      <c r="D295" s="807"/>
      <c r="E295" s="807"/>
      <c r="F295" s="807">
        <f>F118</f>
        <v>430</v>
      </c>
      <c r="G295" s="807"/>
      <c r="H295" s="102">
        <f>H118</f>
        <v>37.798000000000002</v>
      </c>
      <c r="I295" s="807"/>
      <c r="J295" s="807"/>
    </row>
    <row r="296" spans="1:33">
      <c r="B296" s="2702"/>
      <c r="C296" s="807" t="s">
        <v>28</v>
      </c>
      <c r="D296" s="807"/>
      <c r="E296" s="807"/>
      <c r="F296" s="807">
        <f>F124</f>
        <v>1130</v>
      </c>
      <c r="G296" s="807"/>
      <c r="H296" s="102">
        <f>H124</f>
        <v>104.3941038</v>
      </c>
      <c r="I296" s="807"/>
      <c r="J296" s="807"/>
    </row>
    <row r="297" spans="1:33">
      <c r="B297" s="2702"/>
      <c r="C297" s="807" t="s">
        <v>29</v>
      </c>
      <c r="D297" s="807"/>
      <c r="E297" s="807"/>
      <c r="F297" s="807">
        <f>F129</f>
        <v>389</v>
      </c>
      <c r="G297" s="807"/>
      <c r="H297" s="102">
        <f>H129</f>
        <v>34.412647700000001</v>
      </c>
      <c r="I297" s="807"/>
      <c r="J297" s="807"/>
    </row>
    <row r="298" spans="1:33">
      <c r="B298" s="2702" t="s">
        <v>69</v>
      </c>
      <c r="C298" s="807" t="s">
        <v>28</v>
      </c>
      <c r="D298" s="807"/>
      <c r="E298" s="807"/>
      <c r="F298" s="807">
        <f>F296</f>
        <v>1130</v>
      </c>
      <c r="G298" s="807"/>
      <c r="H298" s="102">
        <f>SUMPRODUCT('#销量数据'!$C$4:$AAB$114,('#销量数据'!$C$1:$AAB$1=$B$1)*('#销量数据'!$C$2:$AAB$2=$B$2)*('#销量数据'!$C$3:$AAB$3="销量")*('#销量数据'!$B$4:$B$114="合计"))/10000</f>
        <v>104.647446</v>
      </c>
      <c r="I298" s="807"/>
      <c r="J298" s="807"/>
    </row>
    <row r="299" spans="1:33">
      <c r="B299" s="2702"/>
      <c r="C299" s="807" t="s">
        <v>29</v>
      </c>
      <c r="D299" s="807"/>
      <c r="E299" s="807"/>
      <c r="F299" s="807">
        <f>F297</f>
        <v>389</v>
      </c>
      <c r="G299" s="807"/>
      <c r="H299" s="102">
        <f>SUMPRODUCT('#销量数据'!$C$4:$AAB$114,('#销量数据'!$C$1:$AAB$1=$B$1)*('#销量数据'!$C$2:$AAB$2=$B$2)*('#销量数据'!$C$3:$AAB$3="销量")*('#销量数据'!$B$4:$B$114="不锈钢"))/10000</f>
        <v>34.839740000000006</v>
      </c>
      <c r="I299" s="807"/>
      <c r="J299" s="807"/>
    </row>
    <row r="300" spans="1:33">
      <c r="B300" s="2702"/>
      <c r="C300" s="807" t="s">
        <v>34</v>
      </c>
      <c r="D300" s="807"/>
      <c r="E300" s="807"/>
      <c r="F300" s="807"/>
      <c r="G300" s="807"/>
      <c r="H300" s="102">
        <f>SUMPRODUCT('#销量数据'!$C$4:$AAB$114,('#销量数据'!$C$1:$AAB$1=$B$1)*('#销量数据'!$C$2:$AAB$2=$B$2)*('#销量数据'!$C$3:$AAB$3="销量")*('#销量数据'!$B$4:$B$114="钢材出口量")*('#销量数据'!$A$4:$A$114="出口"))/10000</f>
        <v>0</v>
      </c>
      <c r="I300" s="807"/>
      <c r="J300" s="807"/>
    </row>
    <row r="301" spans="1:33">
      <c r="B301" s="2702"/>
      <c r="C301" s="807" t="s">
        <v>29</v>
      </c>
      <c r="D301" s="807"/>
      <c r="E301" s="807"/>
      <c r="F301" s="807"/>
      <c r="G301" s="807"/>
      <c r="H301" s="102">
        <f>SUMPRODUCT('#销量数据'!$C$4:$AAB$114,('#销量数据'!$C$1:$AAB$1=$B$1)*('#销量数据'!$C$2:$AAB$2=$B$2)*('#销量数据'!$C$3:$AAB$3="销量")*('#销量数据'!$B$4:$B$114="其中：不锈材")*('#销量数据'!$A$4:$A$114="出口"))/10000</f>
        <v>0</v>
      </c>
      <c r="I301" s="807"/>
      <c r="J301" s="807"/>
    </row>
    <row r="303" spans="1:33">
      <c r="B303" s="807"/>
      <c r="C303" s="807"/>
      <c r="D303" s="807" t="s">
        <v>58</v>
      </c>
      <c r="E303" s="807"/>
      <c r="F303" s="807"/>
      <c r="G303" s="807"/>
      <c r="H303" s="807"/>
      <c r="I303" s="807"/>
      <c r="J303" s="807"/>
      <c r="K303" s="992"/>
      <c r="L303" s="807"/>
    </row>
    <row r="304" spans="1:33">
      <c r="B304" s="807"/>
      <c r="C304" s="807"/>
      <c r="D304" s="807"/>
      <c r="E304" s="807" t="str">
        <f>G10</f>
        <v>7月</v>
      </c>
      <c r="F304" s="807" t="str">
        <f>H10</f>
        <v>8月</v>
      </c>
      <c r="G304" s="807" t="s">
        <v>9</v>
      </c>
      <c r="H304" s="807" t="s">
        <v>586</v>
      </c>
      <c r="I304" s="807"/>
      <c r="J304" s="807" t="s">
        <v>5</v>
      </c>
      <c r="K304" s="807" t="s">
        <v>9</v>
      </c>
      <c r="L304" s="807" t="s">
        <v>586</v>
      </c>
      <c r="M304" s="406" t="s">
        <v>683</v>
      </c>
      <c r="O304" s="406" t="s">
        <v>486</v>
      </c>
      <c r="R304" s="406" t="s">
        <v>8</v>
      </c>
    </row>
    <row r="305" spans="2:33">
      <c r="B305" s="807" t="s">
        <v>13</v>
      </c>
      <c r="C305" s="807" t="s">
        <v>69</v>
      </c>
      <c r="D305" s="23">
        <v>175</v>
      </c>
      <c r="E305" s="38">
        <f>SUMIFS(矿产品购销!3:3,矿产品购销!$1:$1,$E$1,矿产品购销!$2:$2,$E$2)/10000</f>
        <v>25.358358499999998</v>
      </c>
      <c r="F305" s="38">
        <f>SUMIFS(矿产品购销!3:3,矿产品购销!$1:$1,$B$1,矿产品购销!$2:$2,$B$2)/10000</f>
        <v>31.284414000000002</v>
      </c>
      <c r="G305" s="986">
        <f>F305-D305/12</f>
        <v>16.70108066666667</v>
      </c>
      <c r="H305" s="973">
        <f>G305*D306</f>
        <v>10254.463529333336</v>
      </c>
      <c r="I305" s="752"/>
      <c r="J305" s="102">
        <f>SUMIFS(矿产品购销!3:3,矿产品购销!$1:$1,$B$1,矿产品购销!$2:$2,"&lt;="&amp;$B$2)/10000</f>
        <v>223.96717330000001</v>
      </c>
      <c r="K305" s="973">
        <f>J305-D305/12*$B$2</f>
        <v>107.30050663333334</v>
      </c>
      <c r="L305" s="973">
        <f>K305*D306</f>
        <v>65882.511072866677</v>
      </c>
      <c r="O305" s="993">
        <f>SUMIFS(矿产品购销!3:3,矿产品购销!$1:$1,$B$1-1,矿产品购销!$2:$2,"&lt;="&amp;$B$2)/10000</f>
        <v>182.05215200000001</v>
      </c>
      <c r="P305" s="993"/>
      <c r="Q305" s="993"/>
      <c r="R305" s="973">
        <f>J305-O305</f>
        <v>41.915021300000006</v>
      </c>
      <c r="S305" s="406">
        <f>R305*O306</f>
        <v>349677898.10177815</v>
      </c>
    </row>
    <row r="306" spans="2:33">
      <c r="B306" s="807" t="s">
        <v>13</v>
      </c>
      <c r="C306" s="807" t="s">
        <v>85</v>
      </c>
      <c r="D306" s="23">
        <v>614</v>
      </c>
      <c r="E306" s="38">
        <f>SUMIFS(矿产品购销!4:4,矿产品购销!$1:$1,$E$1,矿产品购销!$2:$2,$E$2)</f>
        <v>1584.77</v>
      </c>
      <c r="F306" s="38">
        <f>SUMIFS(矿产品购销!4:4,矿产品购销!$1:$1,$B$1,矿产品购销!$2:$2,$B$2)</f>
        <v>1415.48</v>
      </c>
      <c r="G306" s="986">
        <f>F306-D306</f>
        <v>801.48</v>
      </c>
      <c r="H306" s="973">
        <f>G306*F305</f>
        <v>25073.832132720003</v>
      </c>
      <c r="I306" s="807"/>
      <c r="J306" s="38">
        <f>J307/J305</f>
        <v>13177079.358915094</v>
      </c>
      <c r="K306" s="973">
        <f>J306-D306</f>
        <v>13176465.358915094</v>
      </c>
      <c r="L306" s="973">
        <f>K306*J305</f>
        <v>2951095700.5215836</v>
      </c>
      <c r="O306" s="993">
        <f>O307/O305</f>
        <v>8342543.7291088309</v>
      </c>
      <c r="P306" s="993"/>
      <c r="Q306" s="993"/>
      <c r="R306" s="973">
        <f t="shared" ref="R306:R313" si="101">J306-O306</f>
        <v>4834535.6298062634</v>
      </c>
      <c r="S306" s="406">
        <f>R306*O305</f>
        <v>880137615.32690561</v>
      </c>
    </row>
    <row r="307" spans="2:33">
      <c r="B307" s="807"/>
      <c r="C307" s="807" t="s">
        <v>39</v>
      </c>
      <c r="D307" s="23">
        <f>D306*D305</f>
        <v>107450</v>
      </c>
      <c r="E307" s="38">
        <f>SUMIFS(矿产品购销!5:5,矿产品购销!$1:$1,$E$1,矿产品购销!$2:$2,$E$2)</f>
        <v>401871658.00044996</v>
      </c>
      <c r="F307" s="38">
        <f>SUMIFS(矿产品购销!5:5,矿产品购销!$1:$1,$B$1,矿产品购销!$2:$2,$B$2)</f>
        <v>442824623.28720003</v>
      </c>
      <c r="G307" s="986"/>
      <c r="H307" s="986"/>
      <c r="I307" s="807"/>
      <c r="J307" s="38">
        <f>SUMIFS(矿产品购销!5:5,矿产品购销!$1:$1,$B$1,矿产品购销!$2:$2,"&lt;="&amp;$B$2)</f>
        <v>2951233216.3659902</v>
      </c>
      <c r="K307" s="973">
        <f t="shared" ref="K307:K313" si="102">J307-D307/12*$B$2</f>
        <v>2951161583.0326567</v>
      </c>
      <c r="L307" s="991">
        <f>L305+L306</f>
        <v>2951161583.0326562</v>
      </c>
      <c r="O307" s="993">
        <f>SUMIFS(矿产品购销!5:5,矿产品购销!$1:$1,$B$1-1,矿产品购销!$2:$2,"&lt;="&amp;$B$2)</f>
        <v>1518778039.0383677</v>
      </c>
      <c r="P307" s="993"/>
      <c r="Q307" s="993"/>
      <c r="R307" s="973">
        <f t="shared" si="101"/>
        <v>1432455177.3276224</v>
      </c>
    </row>
    <row r="308" spans="2:33">
      <c r="B308" s="807" t="s">
        <v>17</v>
      </c>
      <c r="C308" s="807" t="s">
        <v>69</v>
      </c>
      <c r="D308" s="23">
        <v>0</v>
      </c>
      <c r="E308" s="38">
        <f>SUMIFS(矿产品购销!6:6,矿产品购销!$1:$1,$E$1,矿产品购销!$2:$2,$E$2)/10000</f>
        <v>0</v>
      </c>
      <c r="F308" s="38">
        <f>SUMIFS(矿产品购销!6:6,矿产品购销!$1:$1,$B$1,矿产品购销!$2:$2,$B$2)/10000</f>
        <v>0</v>
      </c>
      <c r="G308" s="986">
        <f>F308-D308/12</f>
        <v>0</v>
      </c>
      <c r="H308" s="973">
        <f>G308*D309</f>
        <v>0</v>
      </c>
      <c r="I308" s="752">
        <f>H305+H308</f>
        <v>10254.463529333336</v>
      </c>
      <c r="J308" s="102">
        <f>SUMIFS(矿产品购销!6:6,矿产品购销!$1:$1,$B$1,矿产品购销!$2:$2,"&lt;="&amp;$B$2)/10000</f>
        <v>0</v>
      </c>
      <c r="K308" s="973">
        <f t="shared" si="102"/>
        <v>0</v>
      </c>
      <c r="L308" s="973">
        <f>K308*D309</f>
        <v>0</v>
      </c>
      <c r="O308" s="993">
        <f>SUMIFS(矿产品购销!6:6,矿产品购销!$1:$1,$B$1-1,矿产品购销!$2:$2,"&lt;="&amp;$B$2)/10000</f>
        <v>0</v>
      </c>
      <c r="P308" s="993"/>
      <c r="Q308" s="993"/>
      <c r="R308" s="973">
        <f t="shared" si="101"/>
        <v>0</v>
      </c>
      <c r="S308" s="406" t="e">
        <f>R308*O309</f>
        <v>#DIV/0!</v>
      </c>
    </row>
    <row r="309" spans="2:33">
      <c r="B309" s="807" t="s">
        <v>17</v>
      </c>
      <c r="C309" s="807" t="s">
        <v>85</v>
      </c>
      <c r="D309" s="23">
        <f>D306+150</f>
        <v>764</v>
      </c>
      <c r="E309" s="38">
        <f>SUMIFS(矿产品购销!7:7,矿产品购销!$1:$1,$E$1,矿产品购销!$2:$2,$E$2)</f>
        <v>0</v>
      </c>
      <c r="F309" s="38">
        <f>SUMIFS(矿产品购销!7:7,矿产品购销!$1:$1,$B$1,矿产品购销!$2:$2,$B$2)</f>
        <v>0</v>
      </c>
      <c r="G309" s="986">
        <f>F309-D309</f>
        <v>-764</v>
      </c>
      <c r="H309" s="973">
        <f>G309*F308</f>
        <v>0</v>
      </c>
      <c r="I309" s="807"/>
      <c r="J309" s="38" t="e">
        <f>J310/J308</f>
        <v>#DIV/0!</v>
      </c>
      <c r="K309" s="973" t="e">
        <f>J309-D309</f>
        <v>#DIV/0!</v>
      </c>
      <c r="L309" s="973" t="e">
        <f>K309*J308</f>
        <v>#DIV/0!</v>
      </c>
      <c r="O309" s="993" t="e">
        <f>O310/O308</f>
        <v>#DIV/0!</v>
      </c>
      <c r="P309" s="993"/>
      <c r="Q309" s="993"/>
      <c r="R309" s="973" t="e">
        <f t="shared" si="101"/>
        <v>#DIV/0!</v>
      </c>
      <c r="S309" s="406" t="e">
        <f>R309*O308</f>
        <v>#DIV/0!</v>
      </c>
    </row>
    <row r="310" spans="2:33">
      <c r="B310" s="807"/>
      <c r="C310" s="807" t="s">
        <v>39</v>
      </c>
      <c r="D310" s="23">
        <f>D309*D308</f>
        <v>0</v>
      </c>
      <c r="E310" s="38">
        <f>SUMIFS(矿产品购销!8:8,矿产品购销!$1:$1,$E$1,矿产品购销!$2:$2,$E$2)</f>
        <v>0</v>
      </c>
      <c r="F310" s="38">
        <f>SUMIFS(矿产品购销!8:8,矿产品购销!$1:$1,$B$1,矿产品购销!$2:$2,$B$2)</f>
        <v>0</v>
      </c>
      <c r="G310" s="986"/>
      <c r="H310" s="986"/>
      <c r="I310" s="807"/>
      <c r="J310" s="38">
        <f>SUMIFS(矿产品购销!8:8,矿产品购销!$1:$1,$B$1,矿产品购销!$2:$2,"&lt;="&amp;$B$2)</f>
        <v>569.09467084247262</v>
      </c>
      <c r="K310" s="973">
        <f t="shared" si="102"/>
        <v>569.09467084247262</v>
      </c>
      <c r="L310" s="991"/>
      <c r="O310" s="993">
        <f>SUMIFS(矿产品购销!8:8,矿产品购销!$1:$1,$B$1-1,矿产品购销!$2:$2,"&lt;="&amp;$B$2)</f>
        <v>1167.4150475782756</v>
      </c>
      <c r="P310" s="993"/>
      <c r="Q310" s="993"/>
      <c r="R310" s="973">
        <f t="shared" si="101"/>
        <v>-598.32037673580294</v>
      </c>
    </row>
    <row r="311" spans="2:33">
      <c r="B311" s="807" t="s">
        <v>187</v>
      </c>
      <c r="C311" s="807" t="s">
        <v>69</v>
      </c>
      <c r="D311" s="46">
        <f>D305+D308</f>
        <v>175</v>
      </c>
      <c r="E311" s="38">
        <f>SUMIFS(矿产品购销!9:9,矿产品购销!$1:$1,$E$1,矿产品购销!$2:$2,$E$2)/10000</f>
        <v>25.358358499999998</v>
      </c>
      <c r="F311" s="38">
        <f>SUMIFS(矿产品购销!9:9,矿产品购销!$1:$1,$B$1,矿产品购销!$2:$2,$B$2)/10000</f>
        <v>31.284414000000002</v>
      </c>
      <c r="G311" s="986">
        <f>F311-D311/12</f>
        <v>16.70108066666667</v>
      </c>
      <c r="H311" s="973">
        <f>G311*D312</f>
        <v>10254.463529333336</v>
      </c>
      <c r="I311" s="807"/>
      <c r="J311" s="38">
        <f>J305+J308</f>
        <v>223.96717330000001</v>
      </c>
      <c r="K311" s="973">
        <f t="shared" si="102"/>
        <v>107.30050663333334</v>
      </c>
      <c r="L311" s="991">
        <f>L305+L308</f>
        <v>65882.511072866677</v>
      </c>
      <c r="M311" s="406" t="s">
        <v>684</v>
      </c>
      <c r="N311" s="406" t="e">
        <f>J308*(J309-J306)</f>
        <v>#DIV/0!</v>
      </c>
      <c r="O311" s="38">
        <f>O305+O308</f>
        <v>182.05215200000001</v>
      </c>
      <c r="P311" s="38"/>
      <c r="Q311" s="38"/>
      <c r="R311" s="986">
        <f t="shared" si="101"/>
        <v>41.915021300000006</v>
      </c>
      <c r="S311" s="991" t="e">
        <f>S305+S308</f>
        <v>#DIV/0!</v>
      </c>
    </row>
    <row r="312" spans="2:33">
      <c r="B312" s="807"/>
      <c r="C312" s="807" t="s">
        <v>85</v>
      </c>
      <c r="D312" s="23">
        <v>614</v>
      </c>
      <c r="E312" s="38">
        <f>SUMIFS(矿产品购销!10:10,矿产品购销!$1:$1,$E$1,矿产品购销!$2:$2,$E$2)</f>
        <v>0</v>
      </c>
      <c r="F312" s="38">
        <f>SUMIFS(矿产品购销!10:10,矿产品购销!$1:$1,$B$1,矿产品购销!$2:$2,$B$2)</f>
        <v>0</v>
      </c>
      <c r="G312" s="986">
        <f>F312-D312</f>
        <v>-614</v>
      </c>
      <c r="H312" s="973">
        <f>G312*F311</f>
        <v>-19208.630196000002</v>
      </c>
      <c r="I312" s="807"/>
      <c r="J312" s="38">
        <f>J313/J311</f>
        <v>13177081.899888678</v>
      </c>
      <c r="K312" s="973">
        <f>J312-D312</f>
        <v>13176467.899888678</v>
      </c>
      <c r="L312" s="991" t="e">
        <f>L306+L309</f>
        <v>#DIV/0!</v>
      </c>
      <c r="O312" s="38">
        <f>O313/O311</f>
        <v>8342550.1416397169</v>
      </c>
      <c r="P312" s="38"/>
      <c r="Q312" s="38"/>
      <c r="R312" s="973">
        <f t="shared" si="101"/>
        <v>4834531.7582489606</v>
      </c>
      <c r="S312" s="991" t="e">
        <f>S306+S309</f>
        <v>#DIV/0!</v>
      </c>
    </row>
    <row r="313" spans="2:33">
      <c r="B313" s="807"/>
      <c r="C313" s="807" t="s">
        <v>39</v>
      </c>
      <c r="D313" s="23">
        <f>D312*D311</f>
        <v>107450</v>
      </c>
      <c r="E313" s="38">
        <f>SUMIFS(矿产品购销!11:11,矿产品购销!$1:$1,$E$1,矿产品购销!$2:$2,$E$2)</f>
        <v>0</v>
      </c>
      <c r="F313" s="38">
        <f>SUMIFS(矿产品购销!11:11,矿产品购销!$1:$1,$B$1,矿产品购销!$2:$2,$B$2)</f>
        <v>0</v>
      </c>
      <c r="G313" s="807"/>
      <c r="H313" s="807"/>
      <c r="I313" s="807"/>
      <c r="J313" s="38">
        <f>J307+J310</f>
        <v>2951233785.4606609</v>
      </c>
      <c r="K313" s="973">
        <f t="shared" si="102"/>
        <v>2951162152.1273274</v>
      </c>
      <c r="L313" s="991"/>
      <c r="M313" s="995"/>
      <c r="O313" s="38">
        <f>O307+O310</f>
        <v>1518779206.4534154</v>
      </c>
      <c r="P313" s="38"/>
      <c r="Q313" s="38"/>
      <c r="R313" s="973">
        <f t="shared" si="101"/>
        <v>1432454579.0072455</v>
      </c>
    </row>
    <row r="314" spans="2:33">
      <c r="K314" s="996"/>
      <c r="L314" s="997" t="e">
        <f>N13*10000-L311-L312</f>
        <v>#DIV/0!</v>
      </c>
      <c r="M314" s="997"/>
      <c r="S314" s="995" t="e">
        <f>M13*10000-S311-S312</f>
        <v>#DIV/0!</v>
      </c>
    </row>
    <row r="315" spans="2:33">
      <c r="K315"/>
    </row>
    <row r="316" spans="2:33">
      <c r="K316"/>
    </row>
    <row r="317" spans="2:33">
      <c r="J317" s="406" t="str">
        <f>"￭外销矿产品"&amp;ABS(ROUND(J311,2))&amp;"万吨，比预算"&amp;IF(K311&gt;=0,"↑","↓")&amp;ABS(ROUND(K311,2))&amp;"万吨，影响收入"&amp;IF(L311&gt;=0,"↑","↓")&amp;ABS(ROUND(L311/10000,2))&amp;"亿元"</f>
        <v>￭外销矿产品223.97万吨，比预算↑107.3万吨，影响收入↑6.59亿元</v>
      </c>
    </row>
    <row r="318" spans="2:33">
      <c r="J318" s="406" t="e">
        <f>"￭外销价格升高，影响收入"&amp;IF(L312&gt;=0,"↑","↓")&amp;ABS(ROUND(L312/10000,2))&amp;"亿元"</f>
        <v>#DIV/0!</v>
      </c>
    </row>
    <row r="319" spans="2:33">
      <c r="J319" s="406" t="e">
        <f>"￭外销结构变化，影响收入"&amp;IF(L314&gt;=0,"↑","↓")&amp;ABS(ROUND(L314/10000,2))&amp;"亿元"</f>
        <v>#DIV/0!</v>
      </c>
    </row>
    <row r="320" spans="2:33" s="802" customFormat="1" ht="15" thickBot="1">
      <c r="AG320" s="1005"/>
    </row>
    <row r="322" spans="2:21" ht="35.25">
      <c r="B322" s="2692" t="str">
        <f>"太钢集团"&amp;B1&amp;"年"&amp;B2&amp;"月份及累计主要经营指标完成情况"</f>
        <v>太钢集团2021年8月份及累计主要经营指标完成情况</v>
      </c>
      <c r="C322" s="2692"/>
      <c r="D322" s="2692"/>
      <c r="E322" s="2692"/>
      <c r="F322" s="2692"/>
      <c r="G322" s="2692"/>
      <c r="H322" s="2692"/>
      <c r="I322" s="2692"/>
      <c r="J322" s="2692"/>
      <c r="K322" s="2692"/>
      <c r="L322" s="2692"/>
      <c r="M322" s="2692"/>
      <c r="N322" s="2692"/>
      <c r="O322" s="2692"/>
      <c r="P322" s="998"/>
      <c r="Q322" s="998"/>
    </row>
    <row r="323" spans="2:21" ht="37.5" customHeight="1">
      <c r="B323" s="2357"/>
      <c r="C323" s="2357"/>
      <c r="D323" s="2357"/>
      <c r="E323" s="2357"/>
      <c r="F323" s="2357"/>
      <c r="G323" s="2357"/>
      <c r="H323" s="2357"/>
      <c r="I323" s="2357"/>
      <c r="J323" s="2357"/>
      <c r="K323" s="2357"/>
      <c r="L323" s="2357"/>
      <c r="M323" s="2357"/>
      <c r="N323" s="2357"/>
      <c r="O323" s="2358" t="s">
        <v>66</v>
      </c>
      <c r="P323" s="999"/>
      <c r="Q323" s="999"/>
    </row>
    <row r="324" spans="2:21" ht="45" customHeight="1">
      <c r="B324" s="2698" t="str">
        <f>B215</f>
        <v>项目</v>
      </c>
      <c r="C324" s="2698"/>
      <c r="D324" s="2698" t="str">
        <f>D215</f>
        <v>2020年</v>
      </c>
      <c r="E324" s="2698"/>
      <c r="F324" s="2698"/>
      <c r="G324" s="2698" t="str">
        <f>F9</f>
        <v>2021年</v>
      </c>
      <c r="H324" s="2698"/>
      <c r="I324" s="2698"/>
      <c r="J324" s="2698"/>
      <c r="K324" s="2698"/>
      <c r="L324" s="2698"/>
      <c r="M324" s="2698"/>
      <c r="N324" s="2698"/>
      <c r="O324" s="2698"/>
      <c r="P324" s="1000"/>
      <c r="Q324" s="1000"/>
    </row>
    <row r="325" spans="2:21" ht="75.75" customHeight="1">
      <c r="B325" s="2698"/>
      <c r="C325" s="2698"/>
      <c r="D325" s="2467" t="s">
        <v>4</v>
      </c>
      <c r="E325" s="2467" t="str">
        <f>D10</f>
        <v>8月</v>
      </c>
      <c r="F325" s="2467" t="s">
        <v>5</v>
      </c>
      <c r="G325" s="2467" t="s">
        <v>6</v>
      </c>
      <c r="H325" s="2467" t="str">
        <f>G10</f>
        <v>7月</v>
      </c>
      <c r="I325" s="2468" t="str">
        <f>H10</f>
        <v>8月</v>
      </c>
      <c r="J325" s="2467" t="s">
        <v>7</v>
      </c>
      <c r="K325" s="2467" t="s">
        <v>8</v>
      </c>
      <c r="L325" s="2467" t="s">
        <v>9</v>
      </c>
      <c r="M325" s="2468" t="s">
        <v>5</v>
      </c>
      <c r="N325" s="2469" t="s">
        <v>10</v>
      </c>
      <c r="O325" s="2469" t="s">
        <v>11</v>
      </c>
      <c r="P325" s="1001"/>
      <c r="Q325" s="1001"/>
      <c r="R325" s="801" t="s">
        <v>1133</v>
      </c>
      <c r="S325" s="801" t="s">
        <v>1360</v>
      </c>
      <c r="T325" s="801" t="s">
        <v>1361</v>
      </c>
    </row>
    <row r="326" spans="2:21" ht="41.25" customHeight="1">
      <c r="B326" s="2703" t="s">
        <v>68</v>
      </c>
      <c r="C326" s="2470" t="s">
        <v>13</v>
      </c>
      <c r="D326" s="2471">
        <f>'@预测#概况#'!D177</f>
        <v>1291.7342967212801</v>
      </c>
      <c r="E326" s="2471">
        <f>D89</f>
        <v>109.19611380000001</v>
      </c>
      <c r="F326" s="2471">
        <f>E89</f>
        <v>863.39394432128006</v>
      </c>
      <c r="G326" s="2472">
        <f>F89</f>
        <v>1395</v>
      </c>
      <c r="H326" s="2471">
        <f>G89</f>
        <v>111.71344400000001</v>
      </c>
      <c r="I326" s="2473">
        <f>H89</f>
        <v>112.67918299999999</v>
      </c>
      <c r="J326" s="2474">
        <f>I326-H326</f>
        <v>0.96573899999998503</v>
      </c>
      <c r="K326" s="2474">
        <f>I326-E326</f>
        <v>3.4830691999999885</v>
      </c>
      <c r="L326" s="2474">
        <f t="shared" ref="L326:L377" si="103">I326-G326/12</f>
        <v>-3.5708170000000052</v>
      </c>
      <c r="M326" s="2473">
        <f>L89</f>
        <v>943.60609927236976</v>
      </c>
      <c r="N326" s="2474">
        <f>M326-F326</f>
        <v>80.212154951089701</v>
      </c>
      <c r="O326" s="2474">
        <f>M326-G326/12*$B$2</f>
        <v>13.606099272369761</v>
      </c>
      <c r="P326" s="1002">
        <f>N326-K326</f>
        <v>76.729085751089713</v>
      </c>
      <c r="Q326" s="1002">
        <f>O326-L326</f>
        <v>17.176916272369766</v>
      </c>
      <c r="R326" s="2171">
        <f>N326/F326</f>
        <v>9.2903309640589418E-2</v>
      </c>
      <c r="S326" s="2171">
        <f>J326/H326</f>
        <v>8.644787640778355E-3</v>
      </c>
      <c r="T326" s="2171">
        <f>K326/E326</f>
        <v>3.1897373256153265E-2</v>
      </c>
      <c r="U326" s="2497">
        <f>G326-M326</f>
        <v>451.39390072763024</v>
      </c>
    </row>
    <row r="327" spans="2:21" ht="41.25" customHeight="1">
      <c r="B327" s="2704"/>
      <c r="C327" s="2470" t="s">
        <v>17</v>
      </c>
      <c r="D327" s="2471">
        <f>'@预测#概况#'!D178</f>
        <v>444.33024660000001</v>
      </c>
      <c r="E327" s="2471">
        <f>D96</f>
        <v>34.9666</v>
      </c>
      <c r="F327" s="2471">
        <f>E96</f>
        <v>318.77260799999999</v>
      </c>
      <c r="G327" s="2472">
        <f>F96</f>
        <v>470</v>
      </c>
      <c r="H327" s="2471">
        <f>G96</f>
        <v>22.642499999999998</v>
      </c>
      <c r="I327" s="2473">
        <f>H96</f>
        <v>41.885199999999998</v>
      </c>
      <c r="J327" s="2474">
        <f>I327-H327</f>
        <v>19.242699999999999</v>
      </c>
      <c r="K327" s="2474">
        <f>I327-E327</f>
        <v>6.9185999999999979</v>
      </c>
      <c r="L327" s="2474">
        <f t="shared" ref="L327:L330" si="104">I327-G327/12</f>
        <v>2.7185333333333332</v>
      </c>
      <c r="M327" s="2473">
        <f>L96</f>
        <v>306.37299999999999</v>
      </c>
      <c r="N327" s="2474">
        <f t="shared" ref="N327:N379" si="105">M327-F327</f>
        <v>-12.399608000000001</v>
      </c>
      <c r="O327" s="2474">
        <f t="shared" ref="O327:O379" si="106">M327-G327/12*$B$2</f>
        <v>-6.9603333333333239</v>
      </c>
      <c r="P327" s="1002">
        <f t="shared" ref="P327:P337" si="107">N327-K327</f>
        <v>-19.318207999999998</v>
      </c>
      <c r="Q327" s="1002">
        <f t="shared" ref="Q327:Q337" si="108">O327-L327</f>
        <v>-9.6788666666666572</v>
      </c>
      <c r="R327" s="2171">
        <f>N327/F327</f>
        <v>-3.8897972061639627E-2</v>
      </c>
      <c r="S327" s="2171">
        <f t="shared" ref="S327" si="109">J327/H327</f>
        <v>0.84984873578447617</v>
      </c>
      <c r="T327" s="2171">
        <f t="shared" ref="T327" si="110">K327/E327</f>
        <v>0.19786310364748069</v>
      </c>
      <c r="U327" s="2497">
        <f>G327-M327</f>
        <v>163.62700000000001</v>
      </c>
    </row>
    <row r="328" spans="2:21" ht="41.25" customHeight="1">
      <c r="B328" s="2704"/>
      <c r="C328" s="2470" t="s">
        <v>25</v>
      </c>
      <c r="D328" s="2471">
        <f>D329+D330</f>
        <v>905.17</v>
      </c>
      <c r="E328" s="2471">
        <f t="shared" ref="E328:H328" si="111">E329+E330</f>
        <v>58.303600000000003</v>
      </c>
      <c r="F328" s="2471">
        <f t="shared" si="111"/>
        <v>594.25527999999997</v>
      </c>
      <c r="G328" s="2472">
        <f t="shared" si="111"/>
        <v>1149</v>
      </c>
      <c r="H328" s="2471">
        <f t="shared" si="111"/>
        <v>92.044600000000003</v>
      </c>
      <c r="I328" s="2473">
        <f>I329+I330</f>
        <v>91.011300000000006</v>
      </c>
      <c r="J328" s="2474">
        <f t="shared" ref="J328:J330" si="112">I328-H328</f>
        <v>-1.033299999999997</v>
      </c>
      <c r="K328" s="2474">
        <f>I328-E328</f>
        <v>32.707700000000003</v>
      </c>
      <c r="L328" s="2474">
        <f t="shared" si="104"/>
        <v>-4.7386999999999944</v>
      </c>
      <c r="M328" s="2473">
        <f t="shared" ref="M328" si="113">M329+M330</f>
        <v>725.89209999999991</v>
      </c>
      <c r="N328" s="2474">
        <f>M328-F328</f>
        <v>131.63681999999994</v>
      </c>
      <c r="O328" s="2474">
        <f t="shared" si="106"/>
        <v>-40.107900000000086</v>
      </c>
      <c r="P328" s="1002">
        <f t="shared" si="107"/>
        <v>98.929119999999941</v>
      </c>
      <c r="Q328" s="1002">
        <f t="shared" si="108"/>
        <v>-35.369200000000092</v>
      </c>
      <c r="R328" s="2171">
        <f>N328/F328</f>
        <v>0.22151560857818536</v>
      </c>
      <c r="S328" s="2171">
        <f>J328/H328</f>
        <v>-1.1226079531009934E-2</v>
      </c>
      <c r="T328" s="2171">
        <f>K328/E328</f>
        <v>0.56098937286891382</v>
      </c>
    </row>
    <row r="329" spans="2:21" ht="41.25" customHeight="1">
      <c r="B329" s="2704"/>
      <c r="C329" s="2475" t="s">
        <v>1130</v>
      </c>
      <c r="D329" s="2476">
        <f>'@预测#概况#'!D54</f>
        <v>770</v>
      </c>
      <c r="E329" s="2476">
        <f t="shared" ref="E329:I330" si="114">D112</f>
        <v>45.523600000000002</v>
      </c>
      <c r="F329" s="2476">
        <f t="shared" si="114"/>
        <v>506.17527999999999</v>
      </c>
      <c r="G329" s="2477">
        <f t="shared" si="114"/>
        <v>900</v>
      </c>
      <c r="H329" s="2476">
        <f t="shared" si="114"/>
        <v>80.1083</v>
      </c>
      <c r="I329" s="2478">
        <f t="shared" si="114"/>
        <v>78.491500000000002</v>
      </c>
      <c r="J329" s="2479">
        <f t="shared" si="112"/>
        <v>-1.6167999999999978</v>
      </c>
      <c r="K329" s="2479">
        <f t="shared" ref="K329:K330" si="115">I329-E329</f>
        <v>32.9679</v>
      </c>
      <c r="L329" s="2479">
        <f t="shared" si="104"/>
        <v>3.491500000000002</v>
      </c>
      <c r="M329" s="2478">
        <f>L112</f>
        <v>626.80949999999996</v>
      </c>
      <c r="N329" s="2479">
        <f t="shared" si="105"/>
        <v>120.63421999999997</v>
      </c>
      <c r="O329" s="2479">
        <f t="shared" si="106"/>
        <v>26.809499999999957</v>
      </c>
      <c r="P329" s="1002">
        <f t="shared" si="107"/>
        <v>87.66631999999997</v>
      </c>
      <c r="Q329" s="1002">
        <f t="shared" si="108"/>
        <v>23.317999999999955</v>
      </c>
      <c r="R329" s="940"/>
    </row>
    <row r="330" spans="2:21" ht="41.25" customHeight="1">
      <c r="B330" s="2704"/>
      <c r="C330" s="2475" t="s">
        <v>1233</v>
      </c>
      <c r="D330" s="2476">
        <f>'@预测#概况#'!D55</f>
        <v>135.16999999999999</v>
      </c>
      <c r="E330" s="2476">
        <f t="shared" si="114"/>
        <v>12.78</v>
      </c>
      <c r="F330" s="2476">
        <f t="shared" si="114"/>
        <v>88.08</v>
      </c>
      <c r="G330" s="2477">
        <f t="shared" si="114"/>
        <v>249</v>
      </c>
      <c r="H330" s="2476">
        <f t="shared" si="114"/>
        <v>11.936299999999999</v>
      </c>
      <c r="I330" s="2478">
        <f t="shared" si="114"/>
        <v>12.5198</v>
      </c>
      <c r="J330" s="2479">
        <f t="shared" si="112"/>
        <v>0.5835000000000008</v>
      </c>
      <c r="K330" s="2479">
        <f t="shared" si="115"/>
        <v>-0.26019999999999932</v>
      </c>
      <c r="L330" s="2479">
        <f t="shared" si="104"/>
        <v>-8.2302</v>
      </c>
      <c r="M330" s="2478">
        <f>L113</f>
        <v>99.082599999999999</v>
      </c>
      <c r="N330" s="2479">
        <f t="shared" si="105"/>
        <v>11.002600000000001</v>
      </c>
      <c r="O330" s="2479">
        <f t="shared" si="106"/>
        <v>-66.917400000000001</v>
      </c>
      <c r="P330" s="1002">
        <f t="shared" si="107"/>
        <v>11.2628</v>
      </c>
      <c r="Q330" s="1002">
        <f t="shared" si="108"/>
        <v>-58.687200000000004</v>
      </c>
      <c r="R330" s="940"/>
    </row>
    <row r="331" spans="2:21" ht="41.25" customHeight="1">
      <c r="B331" s="2704"/>
      <c r="C331" s="2470" t="s">
        <v>26</v>
      </c>
      <c r="D331" s="2471">
        <f>D332+D333</f>
        <v>1251.6799999999998</v>
      </c>
      <c r="E331" s="2471">
        <f>E332+E333</f>
        <v>93.859820900000003</v>
      </c>
      <c r="F331" s="2471">
        <f>F332+F333</f>
        <v>818.59694539999998</v>
      </c>
      <c r="G331" s="2472">
        <f t="shared" ref="G331:H331" si="116">G332+G333</f>
        <v>1525</v>
      </c>
      <c r="H331" s="2471">
        <f t="shared" si="116"/>
        <v>125.35483669999999</v>
      </c>
      <c r="I331" s="2473">
        <f>I332+I333</f>
        <v>124.24900000000001</v>
      </c>
      <c r="J331" s="2474">
        <f t="shared" ref="J331:J377" si="117">I331-H331</f>
        <v>-1.1058366999999834</v>
      </c>
      <c r="K331" s="2474">
        <f>I331-E331</f>
        <v>30.389179100000007</v>
      </c>
      <c r="L331" s="2474">
        <f t="shared" si="103"/>
        <v>-2.8343333333333192</v>
      </c>
      <c r="M331" s="2473">
        <f t="shared" ref="M331" si="118">M332+M333</f>
        <v>970.90829069999984</v>
      </c>
      <c r="N331" s="2474">
        <f>M331-F331</f>
        <v>152.31134529999986</v>
      </c>
      <c r="O331" s="2474">
        <f t="shared" si="106"/>
        <v>-45.75837596666679</v>
      </c>
      <c r="P331" s="1002">
        <f t="shared" si="107"/>
        <v>121.92216619999985</v>
      </c>
      <c r="Q331" s="1002">
        <f t="shared" si="108"/>
        <v>-42.924042633333471</v>
      </c>
      <c r="R331" s="940">
        <f>N331/F331</f>
        <v>0.1860639062433519</v>
      </c>
      <c r="S331" s="940">
        <f>J331/H331</f>
        <v>-8.8216516339651007E-3</v>
      </c>
      <c r="T331" s="940">
        <f t="shared" ref="T331" si="119">K331/E331</f>
        <v>0.32377196982271256</v>
      </c>
    </row>
    <row r="332" spans="2:21" ht="41.25" customHeight="1">
      <c r="B332" s="2704"/>
      <c r="C332" s="2475" t="s">
        <v>1130</v>
      </c>
      <c r="D332" s="2476">
        <f>'@预测#概况#'!D57</f>
        <v>1068.8599999999999</v>
      </c>
      <c r="E332" s="2476">
        <f t="shared" ref="E332:I333" si="120">D115</f>
        <v>76.139820900000004</v>
      </c>
      <c r="F332" s="2476">
        <f t="shared" si="120"/>
        <v>702.05694540000002</v>
      </c>
      <c r="G332" s="2477">
        <f t="shared" si="120"/>
        <v>1200</v>
      </c>
      <c r="H332" s="2476">
        <f t="shared" si="120"/>
        <v>109.99733669999999</v>
      </c>
      <c r="I332" s="2478">
        <f t="shared" si="120"/>
        <v>108.989</v>
      </c>
      <c r="J332" s="2479">
        <f t="shared" ref="J332:J336" si="121">I332-H332</f>
        <v>-1.0083366999999868</v>
      </c>
      <c r="K332" s="2479">
        <f t="shared" ref="K332:K379" si="122">I332-E332</f>
        <v>32.849179100000001</v>
      </c>
      <c r="L332" s="2479">
        <f t="shared" ref="L332:L336" si="123">I332-G332/12</f>
        <v>8.9890000000000043</v>
      </c>
      <c r="M332" s="2478">
        <f>L115</f>
        <v>842.9772906999998</v>
      </c>
      <c r="N332" s="2479">
        <f t="shared" si="105"/>
        <v>140.92034529999978</v>
      </c>
      <c r="O332" s="2479">
        <f t="shared" si="106"/>
        <v>42.977290699999799</v>
      </c>
      <c r="P332" s="1002">
        <f t="shared" si="107"/>
        <v>108.07116619999978</v>
      </c>
      <c r="Q332" s="1002">
        <f t="shared" si="108"/>
        <v>33.988290699999794</v>
      </c>
      <c r="R332" s="940"/>
      <c r="S332" s="940"/>
    </row>
    <row r="333" spans="2:21" ht="41.25" customHeight="1">
      <c r="B333" s="2704"/>
      <c r="C333" s="2475" t="s">
        <v>1233</v>
      </c>
      <c r="D333" s="2476">
        <f>'@预测#概况#'!D58</f>
        <v>182.82</v>
      </c>
      <c r="E333" s="2476">
        <f t="shared" si="120"/>
        <v>17.72</v>
      </c>
      <c r="F333" s="2476">
        <f t="shared" si="120"/>
        <v>116.54</v>
      </c>
      <c r="G333" s="2477">
        <f t="shared" si="120"/>
        <v>325</v>
      </c>
      <c r="H333" s="2476">
        <f t="shared" si="120"/>
        <v>15.3575</v>
      </c>
      <c r="I333" s="2478">
        <f t="shared" si="120"/>
        <v>15.26</v>
      </c>
      <c r="J333" s="2479">
        <f t="shared" si="121"/>
        <v>-9.7500000000000142E-2</v>
      </c>
      <c r="K333" s="2479">
        <f t="shared" si="122"/>
        <v>-2.4599999999999991</v>
      </c>
      <c r="L333" s="2479">
        <f t="shared" si="123"/>
        <v>-11.823333333333332</v>
      </c>
      <c r="M333" s="2478">
        <f>L116</f>
        <v>127.931</v>
      </c>
      <c r="N333" s="2479">
        <f t="shared" si="105"/>
        <v>11.390999999999991</v>
      </c>
      <c r="O333" s="2479">
        <f t="shared" si="106"/>
        <v>-88.73566666666666</v>
      </c>
      <c r="P333" s="1002">
        <f t="shared" si="107"/>
        <v>13.85099999999999</v>
      </c>
      <c r="Q333" s="1002">
        <f t="shared" si="108"/>
        <v>-76.912333333333322</v>
      </c>
      <c r="R333" s="940"/>
      <c r="S333" s="940"/>
    </row>
    <row r="334" spans="2:21" ht="41.25" customHeight="1">
      <c r="B334" s="2704"/>
      <c r="C334" s="2480" t="s">
        <v>1227</v>
      </c>
      <c r="D334" s="2471">
        <f>D335+D336</f>
        <v>601.66</v>
      </c>
      <c r="E334" s="2471">
        <f>E335+E336</f>
        <v>52.651535600000003</v>
      </c>
      <c r="F334" s="2471">
        <f>F335+F336</f>
        <v>387.52067650000004</v>
      </c>
      <c r="G334" s="2472">
        <f t="shared" ref="G334:H334" si="124">G335+G336</f>
        <v>650</v>
      </c>
      <c r="H334" s="2471">
        <f t="shared" si="124"/>
        <v>52.064028499999992</v>
      </c>
      <c r="I334" s="2473">
        <f>I335+I336</f>
        <v>53.058</v>
      </c>
      <c r="J334" s="2474">
        <f t="shared" si="121"/>
        <v>0.99397150000000778</v>
      </c>
      <c r="K334" s="2474">
        <f>I334-E334</f>
        <v>0.40646439999999728</v>
      </c>
      <c r="L334" s="2474">
        <f t="shared" si="123"/>
        <v>-1.1086666666666645</v>
      </c>
      <c r="M334" s="2473">
        <f t="shared" ref="M334" si="125">M335+M336</f>
        <v>400.75704170000006</v>
      </c>
      <c r="N334" s="2474">
        <f>M334-F334</f>
        <v>13.236365200000023</v>
      </c>
      <c r="O334" s="2474">
        <f t="shared" si="106"/>
        <v>-32.576291633333256</v>
      </c>
      <c r="P334" s="1002">
        <f t="shared" si="107"/>
        <v>12.829900800000026</v>
      </c>
      <c r="Q334" s="1002">
        <f t="shared" si="108"/>
        <v>-31.467624966666591</v>
      </c>
      <c r="R334" s="940">
        <f>N334/F334</f>
        <v>3.4156539257589838E-2</v>
      </c>
      <c r="S334" s="940">
        <f>J334/H334</f>
        <v>1.909132905456995E-2</v>
      </c>
      <c r="T334" s="940">
        <f>K334/E334</f>
        <v>7.7198963974755806E-3</v>
      </c>
    </row>
    <row r="335" spans="2:21" ht="41.25" customHeight="1">
      <c r="B335" s="2704"/>
      <c r="C335" s="2475" t="s">
        <v>1130</v>
      </c>
      <c r="D335" s="2476">
        <f>'@预测#概况#'!D60</f>
        <v>418.84</v>
      </c>
      <c r="E335" s="2476">
        <f t="shared" ref="E335:I336" si="126">D118</f>
        <v>34.931535600000004</v>
      </c>
      <c r="F335" s="2476">
        <f t="shared" si="126"/>
        <v>270.98067650000002</v>
      </c>
      <c r="G335" s="2477">
        <f t="shared" si="126"/>
        <v>430</v>
      </c>
      <c r="H335" s="2476">
        <f t="shared" si="126"/>
        <v>38.713328499999996</v>
      </c>
      <c r="I335" s="2478">
        <f t="shared" si="126"/>
        <v>37.798000000000002</v>
      </c>
      <c r="J335" s="2479">
        <f t="shared" si="121"/>
        <v>-0.91532849999999399</v>
      </c>
      <c r="K335" s="2479">
        <f t="shared" si="122"/>
        <v>2.8664643999999981</v>
      </c>
      <c r="L335" s="2479">
        <f t="shared" si="123"/>
        <v>1.9646666666666661</v>
      </c>
      <c r="M335" s="2478">
        <f>L118</f>
        <v>294.76894170000003</v>
      </c>
      <c r="N335" s="2479">
        <f t="shared" si="105"/>
        <v>23.788265200000012</v>
      </c>
      <c r="O335" s="2479">
        <f t="shared" si="106"/>
        <v>8.102275033333342</v>
      </c>
      <c r="P335" s="1002">
        <f t="shared" si="107"/>
        <v>20.921800800000014</v>
      </c>
      <c r="Q335" s="1002">
        <f t="shared" si="108"/>
        <v>6.1376083666666759</v>
      </c>
      <c r="R335" s="940"/>
      <c r="S335" s="940">
        <f t="shared" ref="S335" si="127">J335/H335</f>
        <v>-2.3643756180768444E-2</v>
      </c>
    </row>
    <row r="336" spans="2:21" ht="41.25" customHeight="1">
      <c r="B336" s="2704"/>
      <c r="C336" s="2475" t="s">
        <v>1233</v>
      </c>
      <c r="D336" s="2476">
        <f>'@预测#概况#'!D61</f>
        <v>182.82</v>
      </c>
      <c r="E336" s="2476">
        <f t="shared" si="126"/>
        <v>17.72</v>
      </c>
      <c r="F336" s="2476">
        <f t="shared" si="126"/>
        <v>116.54</v>
      </c>
      <c r="G336" s="2477">
        <f t="shared" si="126"/>
        <v>220</v>
      </c>
      <c r="H336" s="2476">
        <f t="shared" si="126"/>
        <v>13.3507</v>
      </c>
      <c r="I336" s="2478">
        <f t="shared" si="126"/>
        <v>15.26</v>
      </c>
      <c r="J336" s="2479">
        <f t="shared" si="121"/>
        <v>1.9093</v>
      </c>
      <c r="K336" s="2479">
        <f t="shared" si="122"/>
        <v>-2.4599999999999991</v>
      </c>
      <c r="L336" s="2479">
        <f t="shared" si="123"/>
        <v>-3.0733333333333324</v>
      </c>
      <c r="M336" s="2478">
        <f>L119</f>
        <v>105.9881</v>
      </c>
      <c r="N336" s="2479">
        <f t="shared" si="105"/>
        <v>-10.551900000000003</v>
      </c>
      <c r="O336" s="2479">
        <f t="shared" si="106"/>
        <v>-40.678566666666654</v>
      </c>
      <c r="P336" s="1002">
        <f t="shared" si="107"/>
        <v>-8.0919000000000043</v>
      </c>
      <c r="Q336" s="1002">
        <f t="shared" si="108"/>
        <v>-37.605233333333324</v>
      </c>
      <c r="R336" s="940"/>
    </row>
    <row r="337" spans="2:20" ht="41.25" customHeight="1">
      <c r="B337" s="2704"/>
      <c r="C337" s="2470" t="s">
        <v>28</v>
      </c>
      <c r="D337" s="2471">
        <f>D338+D339+D340+D341</f>
        <v>1227.8500000000001</v>
      </c>
      <c r="E337" s="2471">
        <f t="shared" ref="E337:O337" si="128">E338+E339+E340+E341</f>
        <v>90.322741589999964</v>
      </c>
      <c r="F337" s="2471">
        <f>F338+F339+F340+F341</f>
        <v>793.47933876999991</v>
      </c>
      <c r="G337" s="2472">
        <f t="shared" si="128"/>
        <v>1515</v>
      </c>
      <c r="H337" s="2471">
        <f t="shared" si="128"/>
        <v>122.48378013</v>
      </c>
      <c r="I337" s="2473">
        <f t="shared" si="128"/>
        <v>123.2235378</v>
      </c>
      <c r="J337" s="2474">
        <f t="shared" si="128"/>
        <v>0.73975766999999948</v>
      </c>
      <c r="K337" s="2479">
        <f t="shared" si="128"/>
        <v>32.900796210000038</v>
      </c>
      <c r="L337" s="2474">
        <f t="shared" si="128"/>
        <v>-3.0264622000000085</v>
      </c>
      <c r="M337" s="2473">
        <f t="shared" si="128"/>
        <v>959.69080359999987</v>
      </c>
      <c r="N337" s="2474">
        <f t="shared" si="128"/>
        <v>166.21146482999995</v>
      </c>
      <c r="O337" s="2474">
        <f t="shared" si="128"/>
        <v>-50.309196400000154</v>
      </c>
      <c r="P337" s="1002">
        <f t="shared" si="107"/>
        <v>133.31066861999992</v>
      </c>
      <c r="Q337" s="1002">
        <f t="shared" si="108"/>
        <v>-47.282734200000142</v>
      </c>
      <c r="R337" s="940">
        <f>N337/F338</f>
        <v>0.25879864304919875</v>
      </c>
      <c r="S337" s="940">
        <f t="shared" ref="S337" si="129">J337/H337</f>
        <v>6.0396378133892228E-3</v>
      </c>
      <c r="T337" s="940">
        <f t="shared" ref="T337" si="130">K337/E337</f>
        <v>0.36425816611441997</v>
      </c>
    </row>
    <row r="338" spans="2:20" ht="41.25" customHeight="1">
      <c r="B338" s="2704"/>
      <c r="C338" s="2475" t="s">
        <v>1130</v>
      </c>
      <c r="D338" s="2476">
        <f>'@预测#概况#'!D63</f>
        <v>987.64</v>
      </c>
      <c r="E338" s="2476">
        <f t="shared" ref="E338:I340" si="131">D124</f>
        <v>69.268369989999982</v>
      </c>
      <c r="F338" s="2476">
        <f t="shared" si="131"/>
        <v>642.24241237000001</v>
      </c>
      <c r="G338" s="2477">
        <f t="shared" si="131"/>
        <v>1130</v>
      </c>
      <c r="H338" s="2476">
        <f t="shared" si="131"/>
        <v>103.97309213</v>
      </c>
      <c r="I338" s="2478">
        <f t="shared" si="131"/>
        <v>104.3941038</v>
      </c>
      <c r="J338" s="2479">
        <f t="shared" ref="J338:J346" si="132">I338-H338</f>
        <v>0.42101166999999862</v>
      </c>
      <c r="K338" s="2479">
        <f t="shared" si="122"/>
        <v>35.125733810000014</v>
      </c>
      <c r="L338" s="2479">
        <f t="shared" ref="L338:L346" si="133">I338-G338/12</f>
        <v>10.227437133333325</v>
      </c>
      <c r="M338" s="2478">
        <f>L124</f>
        <v>801.03821249999987</v>
      </c>
      <c r="N338" s="2479">
        <f t="shared" si="105"/>
        <v>158.79580012999986</v>
      </c>
      <c r="O338" s="2479">
        <f t="shared" si="106"/>
        <v>47.704879166666501</v>
      </c>
      <c r="P338" s="1002">
        <f t="shared" ref="P338:P346" si="134">N338-K338</f>
        <v>123.67006631999985</v>
      </c>
      <c r="Q338" s="1002">
        <f t="shared" ref="Q338:Q346" si="135">O338-L338</f>
        <v>37.477442033333176</v>
      </c>
      <c r="R338" s="940"/>
    </row>
    <row r="339" spans="2:20" ht="41.25" customHeight="1">
      <c r="B339" s="2704"/>
      <c r="C339" s="2475" t="s">
        <v>1233</v>
      </c>
      <c r="D339" s="2476">
        <f>'@预测#概况#'!D64</f>
        <v>172.51</v>
      </c>
      <c r="E339" s="2476">
        <f t="shared" si="131"/>
        <v>14.61</v>
      </c>
      <c r="F339" s="2476">
        <f t="shared" si="131"/>
        <v>108.05</v>
      </c>
      <c r="G339" s="2477">
        <f t="shared" si="131"/>
        <v>315</v>
      </c>
      <c r="H339" s="2476">
        <f t="shared" si="131"/>
        <v>14.828799999999999</v>
      </c>
      <c r="I339" s="2478">
        <f t="shared" si="131"/>
        <v>14.9666</v>
      </c>
      <c r="J339" s="2479">
        <f t="shared" si="132"/>
        <v>0.13780000000000037</v>
      </c>
      <c r="K339" s="2479">
        <f t="shared" si="122"/>
        <v>0.35660000000000025</v>
      </c>
      <c r="L339" s="2479">
        <f t="shared" si="133"/>
        <v>-11.2834</v>
      </c>
      <c r="M339" s="2478">
        <f>L125</f>
        <v>126.93290640000001</v>
      </c>
      <c r="N339" s="2479">
        <f t="shared" si="105"/>
        <v>18.88290640000001</v>
      </c>
      <c r="O339" s="2479">
        <f t="shared" si="106"/>
        <v>-83.067093599999993</v>
      </c>
      <c r="P339" s="1002">
        <f t="shared" si="134"/>
        <v>18.52630640000001</v>
      </c>
      <c r="Q339" s="1002">
        <f t="shared" si="135"/>
        <v>-71.783693599999992</v>
      </c>
      <c r="R339" s="940"/>
    </row>
    <row r="340" spans="2:20" ht="41.25" customHeight="1">
      <c r="B340" s="2704"/>
      <c r="C340" s="2475" t="s">
        <v>1234</v>
      </c>
      <c r="D340" s="2476">
        <f>'@预测#概况#'!D65</f>
        <v>67.7</v>
      </c>
      <c r="E340" s="2476">
        <f t="shared" si="131"/>
        <v>6.4443715999999798</v>
      </c>
      <c r="F340" s="2476">
        <f t="shared" si="131"/>
        <v>43.186926399999948</v>
      </c>
      <c r="G340" s="2477">
        <f t="shared" si="131"/>
        <v>70</v>
      </c>
      <c r="H340" s="2476">
        <f t="shared" si="131"/>
        <v>5.8933999999999997</v>
      </c>
      <c r="I340" s="2478">
        <f t="shared" si="131"/>
        <v>5.9367999999999999</v>
      </c>
      <c r="J340" s="2479">
        <f t="shared" si="132"/>
        <v>4.3400000000000105E-2</v>
      </c>
      <c r="K340" s="2479">
        <f t="shared" si="122"/>
        <v>-0.50757159999997992</v>
      </c>
      <c r="L340" s="2479">
        <f t="shared" si="133"/>
        <v>0.10346666666666682</v>
      </c>
      <c r="M340" s="2478">
        <f>L126</f>
        <v>46.8806504</v>
      </c>
      <c r="N340" s="2479">
        <f t="shared" si="105"/>
        <v>3.6937240000000529</v>
      </c>
      <c r="O340" s="2479">
        <f t="shared" si="106"/>
        <v>0.21398373333333609</v>
      </c>
      <c r="P340" s="1002">
        <f t="shared" si="134"/>
        <v>4.2012956000000328</v>
      </c>
      <c r="Q340" s="1002">
        <f t="shared" si="135"/>
        <v>0.11051706666666927</v>
      </c>
      <c r="R340" s="940"/>
    </row>
    <row r="341" spans="2:20" ht="41.25" customHeight="1">
      <c r="B341" s="2704"/>
      <c r="C341" s="2475" t="s">
        <v>1494</v>
      </c>
      <c r="D341" s="2476">
        <v>0</v>
      </c>
      <c r="E341" s="2476">
        <v>0</v>
      </c>
      <c r="F341" s="2476">
        <v>0</v>
      </c>
      <c r="G341" s="2477">
        <v>0</v>
      </c>
      <c r="H341" s="2476">
        <f>G127</f>
        <v>-2.2115120000000004</v>
      </c>
      <c r="I341" s="2478">
        <f>H127</f>
        <v>-2.073966</v>
      </c>
      <c r="J341" s="2479">
        <f t="shared" ref="J341" si="136">I341-H341</f>
        <v>0.13754600000000039</v>
      </c>
      <c r="K341" s="2479">
        <f t="shared" ref="K341" si="137">I341-E341</f>
        <v>-2.073966</v>
      </c>
      <c r="L341" s="2479">
        <f t="shared" ref="L341" si="138">I341-G341/12</f>
        <v>-2.073966</v>
      </c>
      <c r="M341" s="2478">
        <f>L127</f>
        <v>-15.1609657</v>
      </c>
      <c r="N341" s="2479">
        <f t="shared" ref="N341" si="139">M341-F341</f>
        <v>-15.1609657</v>
      </c>
      <c r="O341" s="2479">
        <f t="shared" ref="O341" si="140">M341-G341/12*$B$2</f>
        <v>-15.1609657</v>
      </c>
      <c r="P341" s="1002"/>
      <c r="Q341" s="1002"/>
      <c r="R341" s="940"/>
    </row>
    <row r="342" spans="2:20" ht="41.25" customHeight="1">
      <c r="B342" s="2704"/>
      <c r="C342" s="2470" t="s">
        <v>1230</v>
      </c>
      <c r="D342" s="2471">
        <f>D343+D344+D345+D346</f>
        <v>616.53</v>
      </c>
      <c r="E342" s="2471">
        <f t="shared" ref="E342" si="141">E343+E344+E345+E346</f>
        <v>47.768276689999986</v>
      </c>
      <c r="F342" s="2471">
        <f t="shared" ref="F342" si="142">F343+F344+F345+F346</f>
        <v>390.14167136999993</v>
      </c>
      <c r="G342" s="2472">
        <f t="shared" ref="G342" si="143">G343+G344+G345+G346</f>
        <v>671</v>
      </c>
      <c r="H342" s="2471">
        <f t="shared" ref="H342" si="144">H343+H344+H345+H346</f>
        <v>49.779352029999991</v>
      </c>
      <c r="I342" s="2473">
        <f t="shared" ref="I342" si="145">I343+I344+I345+I346</f>
        <v>53.0759817</v>
      </c>
      <c r="J342" s="2474">
        <f t="shared" ref="J342" si="146">J343+J344+J345+J346</f>
        <v>3.2966296700000122</v>
      </c>
      <c r="K342" s="2479">
        <f t="shared" ref="K342" si="147">K343+K344+K345+K346</f>
        <v>5.3077050100000172</v>
      </c>
      <c r="L342" s="2474">
        <f t="shared" ref="L342" si="148">L343+L344+L345+L346</f>
        <v>-2.8406849666666649</v>
      </c>
      <c r="M342" s="2473">
        <f t="shared" ref="M342" si="149">M343+M344+M345+M346</f>
        <v>411.89449089999999</v>
      </c>
      <c r="N342" s="2474">
        <f t="shared" ref="N342" si="150">N343+N344+N345+N346</f>
        <v>21.752819530000124</v>
      </c>
      <c r="O342" s="2474">
        <f t="shared" ref="O342" si="151">O343+O344+O345+O346</f>
        <v>-35.438842433333285</v>
      </c>
      <c r="P342" s="1002">
        <f t="shared" si="134"/>
        <v>16.445114520000107</v>
      </c>
      <c r="Q342" s="1002">
        <f t="shared" si="135"/>
        <v>-32.598157466666621</v>
      </c>
      <c r="R342" s="940"/>
    </row>
    <row r="343" spans="2:20" ht="41.25" customHeight="1">
      <c r="B343" s="2704"/>
      <c r="C343" s="2475" t="s">
        <v>1130</v>
      </c>
      <c r="D343" s="2476">
        <f>'@预测#概况#'!D68</f>
        <v>377.9</v>
      </c>
      <c r="E343" s="2476">
        <f t="shared" ref="E343:I345" si="152">D129</f>
        <v>26.713905090000004</v>
      </c>
      <c r="F343" s="2476">
        <f t="shared" si="152"/>
        <v>238.90474496999997</v>
      </c>
      <c r="G343" s="2477">
        <f t="shared" si="152"/>
        <v>389</v>
      </c>
      <c r="H343" s="2476">
        <f t="shared" si="152"/>
        <v>35.570664029999989</v>
      </c>
      <c r="I343" s="2478">
        <f t="shared" si="152"/>
        <v>34.412647700000001</v>
      </c>
      <c r="J343" s="2479">
        <f t="shared" si="132"/>
        <v>-1.1580163299999882</v>
      </c>
      <c r="K343" s="2479">
        <f t="shared" si="122"/>
        <v>7.6987426099999965</v>
      </c>
      <c r="L343" s="2479">
        <f t="shared" si="133"/>
        <v>1.9959810333333365</v>
      </c>
      <c r="M343" s="2478">
        <f>L129</f>
        <v>274.63009980000004</v>
      </c>
      <c r="N343" s="2479">
        <f t="shared" si="105"/>
        <v>35.725354830000072</v>
      </c>
      <c r="O343" s="2479">
        <f t="shared" si="106"/>
        <v>15.296766466666725</v>
      </c>
      <c r="P343" s="1002">
        <f t="shared" si="134"/>
        <v>28.026612220000075</v>
      </c>
      <c r="Q343" s="1002">
        <f t="shared" si="135"/>
        <v>13.300785433333388</v>
      </c>
      <c r="R343" s="940"/>
    </row>
    <row r="344" spans="2:20" ht="41.25" customHeight="1">
      <c r="B344" s="2704"/>
      <c r="C344" s="2475" t="s">
        <v>1233</v>
      </c>
      <c r="D344" s="2476">
        <f>'@预测#概况#'!D69</f>
        <v>170.93</v>
      </c>
      <c r="E344" s="2476">
        <f t="shared" si="152"/>
        <v>14.61</v>
      </c>
      <c r="F344" s="2476">
        <f t="shared" si="152"/>
        <v>108.05</v>
      </c>
      <c r="G344" s="2477">
        <f t="shared" si="152"/>
        <v>212</v>
      </c>
      <c r="H344" s="2476">
        <f t="shared" si="152"/>
        <v>10.5268</v>
      </c>
      <c r="I344" s="2478">
        <f t="shared" si="152"/>
        <v>14.8005</v>
      </c>
      <c r="J344" s="2479">
        <f t="shared" si="132"/>
        <v>4.2736999999999998</v>
      </c>
      <c r="K344" s="2479">
        <f t="shared" si="122"/>
        <v>0.19050000000000011</v>
      </c>
      <c r="L344" s="2479">
        <f t="shared" si="133"/>
        <v>-2.8661666666666683</v>
      </c>
      <c r="M344" s="2478">
        <f>L130</f>
        <v>105.5447064</v>
      </c>
      <c r="N344" s="2479">
        <f t="shared" si="105"/>
        <v>-2.5052936000000017</v>
      </c>
      <c r="O344" s="2479">
        <f t="shared" si="106"/>
        <v>-35.788626933333347</v>
      </c>
      <c r="P344" s="1002">
        <f t="shared" si="134"/>
        <v>-2.6957936000000018</v>
      </c>
      <c r="Q344" s="1002">
        <f t="shared" si="135"/>
        <v>-32.922460266666675</v>
      </c>
      <c r="R344" s="940"/>
    </row>
    <row r="345" spans="2:20" ht="41.25" customHeight="1">
      <c r="B345" s="2704"/>
      <c r="C345" s="2475" t="s">
        <v>1234</v>
      </c>
      <c r="D345" s="2476">
        <f>'@预测#概况#'!D70</f>
        <v>67.7</v>
      </c>
      <c r="E345" s="2476">
        <f t="shared" si="152"/>
        <v>6.4443715999999798</v>
      </c>
      <c r="F345" s="2476">
        <f t="shared" si="152"/>
        <v>43.186926399999948</v>
      </c>
      <c r="G345" s="2477">
        <f t="shared" si="152"/>
        <v>70</v>
      </c>
      <c r="H345" s="2476">
        <f t="shared" si="152"/>
        <v>5.8933999999999997</v>
      </c>
      <c r="I345" s="2478">
        <f t="shared" si="152"/>
        <v>5.9367999999999999</v>
      </c>
      <c r="J345" s="2479">
        <f t="shared" si="132"/>
        <v>4.3400000000000105E-2</v>
      </c>
      <c r="K345" s="2479">
        <f t="shared" si="122"/>
        <v>-0.50757159999997992</v>
      </c>
      <c r="L345" s="2479">
        <f t="shared" si="133"/>
        <v>0.10346666666666682</v>
      </c>
      <c r="M345" s="2478">
        <f>L131</f>
        <v>46.8806504</v>
      </c>
      <c r="N345" s="2479">
        <f t="shared" si="105"/>
        <v>3.6937240000000529</v>
      </c>
      <c r="O345" s="2479">
        <f t="shared" si="106"/>
        <v>0.21398373333333609</v>
      </c>
      <c r="P345" s="1002">
        <f t="shared" si="134"/>
        <v>4.2012956000000328</v>
      </c>
      <c r="Q345" s="1002">
        <f t="shared" si="135"/>
        <v>0.11051706666666927</v>
      </c>
      <c r="R345" s="940"/>
    </row>
    <row r="346" spans="2:20" ht="41.25" customHeight="1">
      <c r="B346" s="2705"/>
      <c r="C346" s="2475" t="s">
        <v>1494</v>
      </c>
      <c r="D346" s="2476">
        <f>D341</f>
        <v>0</v>
      </c>
      <c r="E346" s="2476">
        <f t="shared" ref="E346:H346" si="153">E341</f>
        <v>0</v>
      </c>
      <c r="F346" s="2476">
        <f t="shared" si="153"/>
        <v>0</v>
      </c>
      <c r="G346" s="2476">
        <f t="shared" si="153"/>
        <v>0</v>
      </c>
      <c r="H346" s="2476">
        <f t="shared" si="153"/>
        <v>-2.2115120000000004</v>
      </c>
      <c r="I346" s="2478">
        <f>I341</f>
        <v>-2.073966</v>
      </c>
      <c r="J346" s="2479">
        <f t="shared" si="132"/>
        <v>0.13754600000000039</v>
      </c>
      <c r="K346" s="2479">
        <f t="shared" si="122"/>
        <v>-2.073966</v>
      </c>
      <c r="L346" s="2479">
        <f t="shared" si="133"/>
        <v>-2.073966</v>
      </c>
      <c r="M346" s="2478">
        <f>M341</f>
        <v>-15.1609657</v>
      </c>
      <c r="N346" s="2479">
        <f t="shared" si="105"/>
        <v>-15.1609657</v>
      </c>
      <c r="O346" s="2479">
        <f t="shared" si="106"/>
        <v>-15.1609657</v>
      </c>
      <c r="P346" s="1002">
        <f t="shared" si="134"/>
        <v>-13.0869997</v>
      </c>
      <c r="Q346" s="1002">
        <f t="shared" si="135"/>
        <v>-13.0869997</v>
      </c>
      <c r="R346" s="940"/>
    </row>
    <row r="347" spans="2:20" ht="41.25" customHeight="1">
      <c r="B347" s="2703" t="s">
        <v>1377</v>
      </c>
      <c r="C347" s="2470" t="s">
        <v>31</v>
      </c>
      <c r="D347" s="2471">
        <f>'@预测#概况#'!D185</f>
        <v>283</v>
      </c>
      <c r="E347" s="2471">
        <f>SUMIFS(矿产品购销!9:9,矿产品购销!$1:$1,$B$1-1,矿产品购销!$2:$2,$B$2)/10000</f>
        <v>34.757922999999998</v>
      </c>
      <c r="F347" s="2471">
        <f>SUMIFS(矿产品购销!9:9,矿产品购销!$1:$1,$B$1-1,矿产品购销!$2:$2,"&lt;="&amp;$B$2)/10000</f>
        <v>182.05215200000001</v>
      </c>
      <c r="G347" s="2472">
        <f>'@预测#概况#'!G185</f>
        <v>300</v>
      </c>
      <c r="H347" s="2471">
        <f>SUMIFS(矿产品购销!9:9,矿产品购销!$1:$1,$E$1,矿产品购销!$2:$2,$E$2)/10000</f>
        <v>25.358358499999998</v>
      </c>
      <c r="I347" s="2473">
        <f>SUMIFS(矿产品购销!9:9,矿产品购销!$1:$1,$B$1,矿产品购销!$2:$2,$B$2)/10000</f>
        <v>31.284414000000002</v>
      </c>
      <c r="J347" s="2481">
        <f>I347-H347</f>
        <v>5.9260555000000039</v>
      </c>
      <c r="K347" s="2482">
        <f t="shared" si="122"/>
        <v>-3.4735089999999964</v>
      </c>
      <c r="L347" s="2481">
        <f t="shared" si="103"/>
        <v>6.2844140000000017</v>
      </c>
      <c r="M347" s="2473">
        <f>SUMIFS(矿产品购销!9:9,矿产品购销!1:1,$B$1,矿产品购销!2:2,"&lt;="&amp;$B$2)/10000</f>
        <v>223.96717330000001</v>
      </c>
      <c r="N347" s="2474">
        <f t="shared" si="105"/>
        <v>41.915021300000006</v>
      </c>
      <c r="O347" s="2474">
        <f t="shared" si="106"/>
        <v>23.967173300000013</v>
      </c>
      <c r="P347" s="1002">
        <f t="shared" ref="P347:P379" si="154">N347-K347</f>
        <v>45.388530299999999</v>
      </c>
      <c r="Q347" s="1002">
        <f t="shared" ref="Q347:Q379" si="155">O347-L347</f>
        <v>17.682759300000011</v>
      </c>
      <c r="R347" s="940">
        <f t="shared" ref="R347:R379" si="156">N347/F347</f>
        <v>0.23023634073822979</v>
      </c>
      <c r="S347" s="940">
        <f t="shared" ref="S347:S348" si="157">J347/H347</f>
        <v>0.23369239377225479</v>
      </c>
      <c r="T347" s="940">
        <f t="shared" ref="T347:T348" si="158">K347/E347</f>
        <v>-9.9934308502841115E-2</v>
      </c>
    </row>
    <row r="348" spans="2:20" ht="41.25" customHeight="1">
      <c r="B348" s="2704"/>
      <c r="C348" s="2470" t="s">
        <v>28</v>
      </c>
      <c r="D348" s="2471">
        <f>D349+D350+D351+D352</f>
        <v>1234.6500000000001</v>
      </c>
      <c r="E348" s="2471">
        <f t="shared" ref="E348:F348" si="159">E349+E350+E351+E352</f>
        <v>93.503549407622501</v>
      </c>
      <c r="F348" s="2471">
        <f t="shared" si="159"/>
        <v>791.02697075225035</v>
      </c>
      <c r="G348" s="2472">
        <f>G349+G350+G351</f>
        <v>1515</v>
      </c>
      <c r="H348" s="2471">
        <f>H349+H350+H351+H352</f>
        <v>125.36829300000002</v>
      </c>
      <c r="I348" s="2473">
        <f>I349+I350+I351+I352</f>
        <v>122.59348</v>
      </c>
      <c r="J348" s="2474">
        <f>I348-H348</f>
        <v>-2.7748130000000231</v>
      </c>
      <c r="K348" s="2479">
        <f>I348-E348</f>
        <v>29.089930592377499</v>
      </c>
      <c r="L348" s="2474">
        <f>I348-G348/12</f>
        <v>-3.6565200000000004</v>
      </c>
      <c r="M348" s="2473">
        <f>M349+M350+M351+M352</f>
        <v>961.57928312023591</v>
      </c>
      <c r="N348" s="2474">
        <f>M348-F348</f>
        <v>170.55231236798556</v>
      </c>
      <c r="O348" s="2474">
        <f>M348-G348/12*$B$2</f>
        <v>-48.420716879764086</v>
      </c>
      <c r="P348" s="1002">
        <f t="shared" si="154"/>
        <v>141.46238177560807</v>
      </c>
      <c r="Q348" s="1002">
        <f t="shared" si="155"/>
        <v>-44.764196879764086</v>
      </c>
      <c r="R348" s="940">
        <f t="shared" si="156"/>
        <v>0.21560871964427941</v>
      </c>
      <c r="S348" s="940">
        <f t="shared" si="157"/>
        <v>-2.2133291708773786E-2</v>
      </c>
      <c r="T348" s="940">
        <f t="shared" si="158"/>
        <v>0.31111044208131483</v>
      </c>
    </row>
    <row r="349" spans="2:20" ht="41.25" customHeight="1">
      <c r="B349" s="2704"/>
      <c r="C349" s="2475" t="s">
        <v>1130</v>
      </c>
      <c r="D349" s="2476">
        <f>'@预测#概况#'!D76</f>
        <v>986.94</v>
      </c>
      <c r="E349" s="2476">
        <f>SUMIFS('#销量数据'!82:82,'#销量数据'!$1:$1,$B$1-1,'#销量数据'!$2:$2,$B$2,'#销量数据'!$3:$3,"销量")/10000</f>
        <v>71.513095407622501</v>
      </c>
      <c r="F349" s="2476">
        <f>SUMIFS('#销量数据'!82:82,'#销量数据'!$1:$1,$B$1-1,'#销量数据'!$2:$2,"&lt;="&amp;$B$2,'#销量数据'!$3:$3,"销量")/10000</f>
        <v>640.76977055225041</v>
      </c>
      <c r="G349" s="2477">
        <f>F124</f>
        <v>1130</v>
      </c>
      <c r="H349" s="2476">
        <f>D165/10000</f>
        <v>104.29980500000002</v>
      </c>
      <c r="I349" s="2478">
        <f>F165/10000</f>
        <v>104.647446</v>
      </c>
      <c r="J349" s="2479">
        <f t="shared" ref="J349:J350" si="160">I349-H349</f>
        <v>0.34764099999998166</v>
      </c>
      <c r="K349" s="2479">
        <f t="shared" si="122"/>
        <v>33.134350592377501</v>
      </c>
      <c r="L349" s="2479">
        <f t="shared" ref="L349:L351" si="161">I349-G349/12</f>
        <v>10.480779333333331</v>
      </c>
      <c r="M349" s="2478">
        <f>J165/10000</f>
        <v>803.095048820236</v>
      </c>
      <c r="N349" s="2479">
        <f t="shared" si="105"/>
        <v>162.3252782679856</v>
      </c>
      <c r="O349" s="2479">
        <f t="shared" si="106"/>
        <v>49.761715486902631</v>
      </c>
      <c r="P349" s="1002">
        <f t="shared" si="154"/>
        <v>129.19092767560809</v>
      </c>
      <c r="Q349" s="1002">
        <f t="shared" si="155"/>
        <v>39.2809361535693</v>
      </c>
      <c r="R349" s="940"/>
    </row>
    <row r="350" spans="2:20" ht="41.25" customHeight="1">
      <c r="B350" s="2704"/>
      <c r="C350" s="2475" t="s">
        <v>1233</v>
      </c>
      <c r="D350" s="2476">
        <f>'@预测#概况#'!D77</f>
        <v>179.71</v>
      </c>
      <c r="E350" s="2476">
        <f>SUMIFS('#销量数据'!98:98,'#销量数据'!$1:$1,$B$1-1,'#销量数据'!$2:$2,$B$2,'#销量数据'!$3:$3,"销量")/10000</f>
        <v>15.73</v>
      </c>
      <c r="F350" s="2476">
        <f>SUMIFS('#销量数据'!98:98,'#销量数据'!$1:$1,$B$1-1,'#销量数据'!$2:$2,"&lt;="&amp;$B$2,'#销量数据'!$3:$3,"销量")/10000</f>
        <v>107.39</v>
      </c>
      <c r="G350" s="2477">
        <f>F125</f>
        <v>315</v>
      </c>
      <c r="H350" s="2476">
        <f>D166/10000</f>
        <v>17.38</v>
      </c>
      <c r="I350" s="2478">
        <f>F166/10000</f>
        <v>14.07</v>
      </c>
      <c r="J350" s="2479">
        <f t="shared" si="160"/>
        <v>-3.3099999999999987</v>
      </c>
      <c r="K350" s="2479">
        <f t="shared" si="122"/>
        <v>-1.6600000000000001</v>
      </c>
      <c r="L350" s="2479">
        <f t="shared" si="161"/>
        <v>-12.18</v>
      </c>
      <c r="M350" s="2478">
        <f>J166/10000</f>
        <v>126.47929999999999</v>
      </c>
      <c r="N350" s="2479">
        <f t="shared" si="105"/>
        <v>19.089299999999994</v>
      </c>
      <c r="O350" s="2479">
        <f t="shared" si="106"/>
        <v>-83.520700000000005</v>
      </c>
      <c r="P350" s="1002">
        <f t="shared" si="154"/>
        <v>20.749299999999995</v>
      </c>
      <c r="Q350" s="1002">
        <f t="shared" si="155"/>
        <v>-71.340699999999998</v>
      </c>
      <c r="R350" s="940"/>
    </row>
    <row r="351" spans="2:20" ht="41.25" customHeight="1">
      <c r="B351" s="2704"/>
      <c r="C351" s="2475" t="s">
        <v>1234</v>
      </c>
      <c r="D351" s="2476">
        <f>'@预测#概况#'!D78</f>
        <v>68</v>
      </c>
      <c r="E351" s="2476">
        <f>SUMIFS('#销量数据'!99:99,'#销量数据'!$1:$1,$B$1-1,'#销量数据'!$2:$2,$B$2,'#销量数据'!$3:$3,"销量")/10000</f>
        <v>6.2604540000000002</v>
      </c>
      <c r="F351" s="2476">
        <f>SUMIFS('#销量数据'!99:99,'#销量数据'!$1:$1,$B$1-1,'#销量数据'!$2:$2,"&lt;="&amp;$B$2,'#销量数据'!$3:$3,"销量")/10000</f>
        <v>42.867200200000006</v>
      </c>
      <c r="G351" s="2477">
        <f>F126</f>
        <v>70</v>
      </c>
      <c r="H351" s="2476">
        <f>D167/10000</f>
        <v>5.9</v>
      </c>
      <c r="I351" s="2478">
        <f>F167/10000</f>
        <v>5.95</v>
      </c>
      <c r="J351" s="2479">
        <f>I351-H351</f>
        <v>4.9999999999999822E-2</v>
      </c>
      <c r="K351" s="2479">
        <f t="shared" si="122"/>
        <v>-0.31045400000000001</v>
      </c>
      <c r="L351" s="2479">
        <f t="shared" si="161"/>
        <v>0.11666666666666714</v>
      </c>
      <c r="M351" s="2478">
        <f>J167/10000</f>
        <v>47.165900000000001</v>
      </c>
      <c r="N351" s="2479">
        <f t="shared" si="105"/>
        <v>4.2986997999999943</v>
      </c>
      <c r="O351" s="2479">
        <f t="shared" si="106"/>
        <v>0.4992333333333363</v>
      </c>
      <c r="P351" s="1002">
        <f t="shared" si="154"/>
        <v>4.6091537999999943</v>
      </c>
      <c r="Q351" s="1002">
        <f t="shared" si="155"/>
        <v>0.38256666666666916</v>
      </c>
      <c r="R351" s="940"/>
    </row>
    <row r="352" spans="2:20" ht="41.25" customHeight="1">
      <c r="B352" s="2705"/>
      <c r="C352" s="2475" t="s">
        <v>1494</v>
      </c>
      <c r="D352" s="2476">
        <v>0</v>
      </c>
      <c r="E352" s="2476">
        <v>0</v>
      </c>
      <c r="F352" s="2476">
        <v>0</v>
      </c>
      <c r="G352" s="2477">
        <v>0</v>
      </c>
      <c r="H352" s="2476">
        <f>D168/10000</f>
        <v>-2.2115120000000004</v>
      </c>
      <c r="I352" s="2478">
        <f>F168/10000</f>
        <v>-2.073966</v>
      </c>
      <c r="J352" s="2479">
        <f>I352-H352</f>
        <v>0.13754600000000039</v>
      </c>
      <c r="K352" s="2483" t="s">
        <v>1685</v>
      </c>
      <c r="L352" s="2483" t="s">
        <v>1685</v>
      </c>
      <c r="M352" s="2478">
        <f>J168/10000</f>
        <v>-15.1609657</v>
      </c>
      <c r="N352" s="2483" t="s">
        <v>1685</v>
      </c>
      <c r="O352" s="2483" t="s">
        <v>1685</v>
      </c>
      <c r="P352" s="1002"/>
      <c r="Q352" s="1002"/>
      <c r="R352" s="940"/>
    </row>
    <row r="353" spans="2:20" ht="41.25" customHeight="1">
      <c r="B353" s="2703" t="s">
        <v>69</v>
      </c>
      <c r="C353" s="2470" t="s">
        <v>1230</v>
      </c>
      <c r="D353" s="2471">
        <f t="shared" ref="D353:I353" si="162">D354+D355+D356+D357</f>
        <v>624.77</v>
      </c>
      <c r="E353" s="2471">
        <f t="shared" si="162"/>
        <v>49.882321307622512</v>
      </c>
      <c r="F353" s="2471">
        <f t="shared" si="162"/>
        <v>392.02531655225044</v>
      </c>
      <c r="G353" s="2472">
        <f t="shared" si="162"/>
        <v>671</v>
      </c>
      <c r="H353" s="2471">
        <f t="shared" si="162"/>
        <v>58.748504000000018</v>
      </c>
      <c r="I353" s="2473">
        <f t="shared" si="162"/>
        <v>52.452280000000016</v>
      </c>
      <c r="J353" s="2474">
        <f>I353-H353</f>
        <v>-6.2962240000000023</v>
      </c>
      <c r="K353" s="2479">
        <f>I353-E353</f>
        <v>2.5699586923775044</v>
      </c>
      <c r="L353" s="2474">
        <f>I353-G353/12</f>
        <v>-3.4643866666666483</v>
      </c>
      <c r="M353" s="2473">
        <f>M354+M355+M356+M357</f>
        <v>412.43812402023593</v>
      </c>
      <c r="N353" s="2474">
        <f>M353-F353</f>
        <v>20.412807467985488</v>
      </c>
      <c r="O353" s="2474">
        <f>M353-G353/12*$B$2</f>
        <v>-34.895209313097382</v>
      </c>
      <c r="P353" s="1002">
        <f t="shared" si="154"/>
        <v>17.842848775607983</v>
      </c>
      <c r="Q353" s="1002">
        <f t="shared" si="155"/>
        <v>-31.430822646430734</v>
      </c>
      <c r="R353" s="940"/>
    </row>
    <row r="354" spans="2:20" ht="41.25" customHeight="1">
      <c r="B354" s="2704"/>
      <c r="C354" s="2475" t="s">
        <v>1130</v>
      </c>
      <c r="D354" s="2476">
        <f>'@预测#概况#'!D81</f>
        <v>378.38</v>
      </c>
      <c r="E354" s="2476">
        <f>SUMIFS('#销量数据'!83:83,'#销量数据'!$1:$1,$B$1-1,'#销量数据'!$2:$2,$B$2,'#销量数据'!$3:$3,"销量")/10000</f>
        <v>27.891867307622508</v>
      </c>
      <c r="F354" s="2476">
        <f>SUMIFS('#销量数据'!83:83,'#销量数据'!$1:$1,$B$1-1,'#销量数据'!$2:$2,"&lt;="&amp;$B$2,'#销量数据'!$3:$3,"销量")/10000</f>
        <v>241.76811635225042</v>
      </c>
      <c r="G354" s="2477">
        <f>F129</f>
        <v>389</v>
      </c>
      <c r="H354" s="2476">
        <f>SUMIFS('#销量数据'!83:83,'#销量数据'!$1:$1,$E$1,'#销量数据'!2:2,$E$2,'#销量数据'!3:3,"销量")/10000</f>
        <v>37.680016000000016</v>
      </c>
      <c r="I354" s="2478">
        <f>SUMIFS('#销量数据'!83:83,'#销量数据'!$1:$1,$B$1,'#销量数据'!2:2,$B$2,'#销量数据'!3:3,"销量")/10000</f>
        <v>34.83624600000001</v>
      </c>
      <c r="J354" s="2479">
        <f t="shared" ref="J354:J357" si="163">I354-H354</f>
        <v>-2.8437700000000063</v>
      </c>
      <c r="K354" s="2479">
        <f t="shared" si="122"/>
        <v>6.9443786923775015</v>
      </c>
      <c r="L354" s="2479">
        <f t="shared" ref="L354:L356" si="164">I354-G354/12</f>
        <v>2.4195793333333455</v>
      </c>
      <c r="M354" s="2478">
        <f>SUMIFS('#销量数据'!83:83,'#销量数据'!$1:$1,$B$1,'#销量数据'!2:2,"&lt;="&amp;$B$2,'#销量数据'!3:3,"销量")/10000</f>
        <v>275.42388972023593</v>
      </c>
      <c r="N354" s="2479">
        <f t="shared" si="105"/>
        <v>33.655773367985518</v>
      </c>
      <c r="O354" s="2479">
        <f t="shared" si="106"/>
        <v>16.09055638690262</v>
      </c>
      <c r="P354" s="1002">
        <f t="shared" si="154"/>
        <v>26.711394675608016</v>
      </c>
      <c r="Q354" s="1002">
        <f t="shared" si="155"/>
        <v>13.670977053569274</v>
      </c>
      <c r="R354" s="940"/>
    </row>
    <row r="355" spans="2:20" ht="41.25" customHeight="1">
      <c r="B355" s="2704"/>
      <c r="C355" s="2475" t="s">
        <v>1233</v>
      </c>
      <c r="D355" s="2476">
        <f>'@预测#概况#'!D82</f>
        <v>178.39</v>
      </c>
      <c r="E355" s="2476">
        <f>SUMIFS('#销量数据'!101:101,'#销量数据'!$1:$1,$B$1-1,'#销量数据'!$2:$2,$B$2,'#销量数据'!$3:$3,"销量")/10000</f>
        <v>15.73</v>
      </c>
      <c r="F355" s="2476">
        <f>SUMIFS('#销量数据'!101:101,'#销量数据'!$1:$1,$B$1-1,'#销量数据'!$2:$2,"&lt;="&amp;$B$2,'#销量数据'!$3:$3,"销量")/10000</f>
        <v>107.39</v>
      </c>
      <c r="G355" s="2477">
        <f>F130</f>
        <v>212</v>
      </c>
      <c r="H355" s="2476">
        <f>D166/10000</f>
        <v>17.38</v>
      </c>
      <c r="I355" s="2478">
        <f>SUMIFS('#销量数据'!101:101,'#销量数据'!$1:$1,$B$1,'#销量数据'!2:2,$B$2,'#销量数据'!3:3,"销量")/10000</f>
        <v>13.74</v>
      </c>
      <c r="J355" s="2479">
        <f t="shared" si="163"/>
        <v>-3.6399999999999988</v>
      </c>
      <c r="K355" s="2479">
        <f t="shared" si="122"/>
        <v>-1.9900000000000002</v>
      </c>
      <c r="L355" s="2479">
        <f t="shared" si="164"/>
        <v>-3.9266666666666676</v>
      </c>
      <c r="M355" s="2478">
        <f>SUMIFS('#销量数据'!101:101,'#销量数据'!$1:$1,$B$1,'#销量数据'!$2:$2,"&lt;="&amp;$B$2,'#销量数据'!$3:$3,"销量")/10000</f>
        <v>105.0093</v>
      </c>
      <c r="N355" s="2479">
        <f t="shared" si="105"/>
        <v>-2.3807000000000045</v>
      </c>
      <c r="O355" s="2479">
        <f t="shared" si="106"/>
        <v>-36.324033333333347</v>
      </c>
      <c r="P355" s="1002">
        <f t="shared" si="154"/>
        <v>-0.39070000000000427</v>
      </c>
      <c r="Q355" s="1002">
        <f t="shared" si="155"/>
        <v>-32.397366666666677</v>
      </c>
      <c r="R355" s="940"/>
    </row>
    <row r="356" spans="2:20" ht="41.25" customHeight="1">
      <c r="B356" s="2704"/>
      <c r="C356" s="2475" t="s">
        <v>1234</v>
      </c>
      <c r="D356" s="2476">
        <f>'@预测#概况#'!D83</f>
        <v>68</v>
      </c>
      <c r="E356" s="2476">
        <f>SUMIFS('#销量数据'!102:102,'#销量数据'!$1:$1,$B$1-1,'#销量数据'!$2:$2,$B$2,'#销量数据'!$3:$3,"销量")/10000</f>
        <v>6.2604540000000002</v>
      </c>
      <c r="F356" s="2476">
        <f>SUMIFS('#销量数据'!102:102,'#销量数据'!$1:$1,$B$1-1,'#销量数据'!$2:$2,"&lt;="&amp;$B$2,'#销量数据'!$3:$3,"销量")/10000</f>
        <v>42.867200200000006</v>
      </c>
      <c r="G356" s="2477">
        <f>F131</f>
        <v>70</v>
      </c>
      <c r="H356" s="2476">
        <f>D167/10000</f>
        <v>5.9</v>
      </c>
      <c r="I356" s="2478">
        <f>F167/10000</f>
        <v>5.95</v>
      </c>
      <c r="J356" s="2479">
        <f t="shared" si="163"/>
        <v>4.9999999999999822E-2</v>
      </c>
      <c r="K356" s="2479">
        <f t="shared" si="122"/>
        <v>-0.31045400000000001</v>
      </c>
      <c r="L356" s="2479">
        <f t="shared" si="164"/>
        <v>0.11666666666666714</v>
      </c>
      <c r="M356" s="2478">
        <f>SUMIFS('#销量数据'!102:102,'#销量数据'!$1:$1,$B$1,'#销量数据'!$2:$2,"&lt;="&amp;$B$2,'#销量数据'!$3:$3,"销量")/10000</f>
        <v>47.165900000000001</v>
      </c>
      <c r="N356" s="2479">
        <f t="shared" si="105"/>
        <v>4.2986997999999943</v>
      </c>
      <c r="O356" s="2479">
        <f t="shared" si="106"/>
        <v>0.4992333333333363</v>
      </c>
      <c r="P356" s="1002">
        <f t="shared" si="154"/>
        <v>4.6091537999999943</v>
      </c>
      <c r="Q356" s="1002">
        <f t="shared" si="155"/>
        <v>0.38256666666666916</v>
      </c>
      <c r="R356" s="940"/>
    </row>
    <row r="357" spans="2:20" ht="41.25" customHeight="1">
      <c r="B357" s="2704"/>
      <c r="C357" s="2475" t="s">
        <v>1494</v>
      </c>
      <c r="D357" s="2476">
        <v>0</v>
      </c>
      <c r="E357" s="2476">
        <v>0</v>
      </c>
      <c r="F357" s="2476">
        <v>0</v>
      </c>
      <c r="G357" s="2477">
        <v>0</v>
      </c>
      <c r="H357" s="2476">
        <f>D168/10000</f>
        <v>-2.2115120000000004</v>
      </c>
      <c r="I357" s="2478">
        <f>F168/10000</f>
        <v>-2.073966</v>
      </c>
      <c r="J357" s="2479">
        <f t="shared" si="163"/>
        <v>0.13754600000000039</v>
      </c>
      <c r="K357" s="2483" t="s">
        <v>1685</v>
      </c>
      <c r="L357" s="2483" t="s">
        <v>1685</v>
      </c>
      <c r="M357" s="2478">
        <f>J168/10000</f>
        <v>-15.1609657</v>
      </c>
      <c r="N357" s="2483" t="s">
        <v>1685</v>
      </c>
      <c r="O357" s="2483" t="s">
        <v>1685</v>
      </c>
      <c r="P357" s="1002"/>
      <c r="Q357" s="1002"/>
      <c r="R357" s="940"/>
    </row>
    <row r="358" spans="2:20" ht="41.25" customHeight="1">
      <c r="B358" s="2704"/>
      <c r="C358" s="2480" t="s">
        <v>1327</v>
      </c>
      <c r="D358" s="2471">
        <f>D359+D360+D361</f>
        <v>77.434436200000007</v>
      </c>
      <c r="E358" s="2471">
        <f>E359+E360+E361</f>
        <v>2.6873900000000002</v>
      </c>
      <c r="F358" s="2471">
        <f t="shared" ref="F358" si="165">F359+F360+F361</f>
        <v>55.381459500000005</v>
      </c>
      <c r="G358" s="2472">
        <f>G359+G360+G361</f>
        <v>85</v>
      </c>
      <c r="H358" s="2471">
        <f>H359+H360+H361</f>
        <v>4.7961154999999991</v>
      </c>
      <c r="I358" s="2473">
        <f>I359+I360+I361</f>
        <v>6.7466999999999997</v>
      </c>
      <c r="J358" s="2474">
        <f t="shared" si="117"/>
        <v>1.9505845000000006</v>
      </c>
      <c r="K358" s="2479">
        <f t="shared" si="122"/>
        <v>4.05931</v>
      </c>
      <c r="L358" s="2474">
        <f t="shared" si="103"/>
        <v>-0.33663333333333334</v>
      </c>
      <c r="M358" s="2473">
        <f t="shared" ref="M358" si="166">M359+M360+M361</f>
        <v>49.787543000000007</v>
      </c>
      <c r="N358" s="2474">
        <f t="shared" si="105"/>
        <v>-5.5939164999999988</v>
      </c>
      <c r="O358" s="2474">
        <f t="shared" si="106"/>
        <v>-6.8791236666666578</v>
      </c>
      <c r="P358" s="1002">
        <f t="shared" si="154"/>
        <v>-9.6532264999999988</v>
      </c>
      <c r="Q358" s="1002">
        <f t="shared" si="155"/>
        <v>-6.5424903333333244</v>
      </c>
      <c r="R358" s="940">
        <f t="shared" si="156"/>
        <v>-0.10100702564546891</v>
      </c>
      <c r="S358" s="940">
        <f t="shared" ref="S358" si="167">J358/H358</f>
        <v>0.40670090201122155</v>
      </c>
      <c r="T358" s="940">
        <f t="shared" ref="T358" si="168">K358/E358</f>
        <v>1.5105027554616188</v>
      </c>
    </row>
    <row r="359" spans="2:20" ht="41.25" customHeight="1">
      <c r="B359" s="2704"/>
      <c r="C359" s="2475" t="s">
        <v>1130</v>
      </c>
      <c r="D359" s="2476">
        <f>'@预测#概况#'!D86</f>
        <v>69.554436199999998</v>
      </c>
      <c r="E359" s="2476">
        <f>SUMIFS('#销量数据'!85:85,'#销量数据'!$1:$1,$B$1-1,'#销量数据'!$2:$2,$B$2,'#销量数据'!$3:$3,"销量")/10000</f>
        <v>2.0539000000000001</v>
      </c>
      <c r="F359" s="2476">
        <f>SUMIFS('#销量数据'!85:85,'#销量数据'!$1:$1,$B$1-1,'#销量数据'!$2:$2,"&lt;="&amp;$B$2,'#销量数据'!$3:$3,"销量")/10000</f>
        <v>50.625100000000003</v>
      </c>
      <c r="G359" s="2477">
        <v>76.5</v>
      </c>
      <c r="H359" s="2476">
        <f>D171/10000</f>
        <v>4.2516999999999996</v>
      </c>
      <c r="I359" s="2478">
        <f>F171/10000</f>
        <v>5.9028999999999998</v>
      </c>
      <c r="J359" s="2479">
        <f>I359-H359</f>
        <v>1.6512000000000002</v>
      </c>
      <c r="K359" s="2479">
        <f t="shared" si="122"/>
        <v>3.8489999999999998</v>
      </c>
      <c r="L359" s="2479">
        <f>I359-G359/12</f>
        <v>-0.47210000000000019</v>
      </c>
      <c r="M359" s="2478">
        <f>J171/10000</f>
        <v>43.212000000000003</v>
      </c>
      <c r="N359" s="2479">
        <f t="shared" si="105"/>
        <v>-7.4131</v>
      </c>
      <c r="O359" s="2479">
        <f t="shared" si="106"/>
        <v>-7.7879999999999967</v>
      </c>
      <c r="P359" s="1002">
        <f t="shared" si="154"/>
        <v>-11.2621</v>
      </c>
      <c r="Q359" s="1002">
        <f t="shared" si="155"/>
        <v>-7.3158999999999965</v>
      </c>
      <c r="R359" s="940"/>
    </row>
    <row r="360" spans="2:20" ht="41.25" customHeight="1">
      <c r="B360" s="2704"/>
      <c r="C360" s="2475" t="s">
        <v>1233</v>
      </c>
      <c r="D360" s="2476">
        <f>'@预测#概况#'!D87</f>
        <v>1.26</v>
      </c>
      <c r="E360" s="2476">
        <f>SUMIFS('#销量数据'!86:86,'#销量数据'!$1:$1,$B$1-1,'#销量数据'!$2:$2,$B$2,'#销量数据'!$3:$3,"销量")/10000</f>
        <v>0.12828880000000001</v>
      </c>
      <c r="F360" s="2476">
        <f>SUMIFS('#销量数据'!86:86,'#销量数据'!$1:$1,$B$1-1,'#销量数据'!$2:$2,"&lt;="&amp;$B$2,'#销量数据'!$3:$3,"销量")/10000</f>
        <v>0.57574970000000003</v>
      </c>
      <c r="G360" s="2477">
        <v>1.5</v>
      </c>
      <c r="H360" s="2476">
        <f>D172/10000</f>
        <v>7.0909799999999995E-2</v>
      </c>
      <c r="I360" s="2478">
        <f>F172/10000</f>
        <v>0.22070000000000001</v>
      </c>
      <c r="J360" s="2479">
        <f>I360-H360</f>
        <v>0.14979020000000001</v>
      </c>
      <c r="K360" s="2479">
        <f t="shared" si="122"/>
        <v>9.2411199999999999E-2</v>
      </c>
      <c r="L360" s="2479">
        <f>I360-G360/12</f>
        <v>9.5700000000000007E-2</v>
      </c>
      <c r="M360" s="2478">
        <f>J172/10000</f>
        <v>1.8800783999999999</v>
      </c>
      <c r="N360" s="2479">
        <f t="shared" si="105"/>
        <v>1.3043286999999999</v>
      </c>
      <c r="O360" s="2479">
        <f t="shared" si="106"/>
        <v>0.88007839999999993</v>
      </c>
      <c r="P360" s="1002">
        <f t="shared" si="154"/>
        <v>1.2119175</v>
      </c>
      <c r="Q360" s="1002">
        <f t="shared" si="155"/>
        <v>0.78437839999999992</v>
      </c>
      <c r="R360" s="940"/>
    </row>
    <row r="361" spans="2:20" ht="41.25" customHeight="1">
      <c r="B361" s="2705"/>
      <c r="C361" s="2475" t="s">
        <v>1234</v>
      </c>
      <c r="D361" s="2476">
        <f>'@预测#概况#'!D88</f>
        <v>6.62</v>
      </c>
      <c r="E361" s="2476">
        <f>SUMIFS('#销量数据'!87:87,'#销量数据'!$1:$1,$B$1-1,'#销量数据'!$2:$2,$B$2,'#销量数据'!$3:$3,"销量")/10000</f>
        <v>0.50520120000000002</v>
      </c>
      <c r="F361" s="2476">
        <f>SUMIFS('#销量数据'!87:87,'#销量数据'!$1:$1,$B$1-1,'#销量数据'!$2:$2,"&lt;="&amp;$B$2,'#销量数据'!$3:$3,"销量")/10000</f>
        <v>4.1806098000000009</v>
      </c>
      <c r="G361" s="2477">
        <v>7</v>
      </c>
      <c r="H361" s="2476">
        <f>D173/10000</f>
        <v>0.47350569999999997</v>
      </c>
      <c r="I361" s="2478">
        <f>F173/10000</f>
        <v>0.62309999999999999</v>
      </c>
      <c r="J361" s="2479">
        <f>I361-H361</f>
        <v>0.14959430000000001</v>
      </c>
      <c r="K361" s="2479">
        <f t="shared" si="122"/>
        <v>0.11789879999999997</v>
      </c>
      <c r="L361" s="2479">
        <f>I361-G361/12</f>
        <v>3.9766666666666617E-2</v>
      </c>
      <c r="M361" s="2478">
        <f>J173/10000</f>
        <v>4.6954646000000002</v>
      </c>
      <c r="N361" s="2479">
        <f t="shared" si="105"/>
        <v>0.51485479999999928</v>
      </c>
      <c r="O361" s="2479">
        <f t="shared" si="106"/>
        <v>2.8797933333333248E-2</v>
      </c>
      <c r="P361" s="1002">
        <f t="shared" si="154"/>
        <v>0.39695599999999931</v>
      </c>
      <c r="Q361" s="1002">
        <f t="shared" si="155"/>
        <v>-1.0968733333333369E-2</v>
      </c>
      <c r="R361" s="940"/>
    </row>
    <row r="362" spans="2:20" ht="41.25" customHeight="1">
      <c r="B362" s="2698" t="s">
        <v>39</v>
      </c>
      <c r="C362" s="2480" t="s">
        <v>1686</v>
      </c>
      <c r="D362" s="2471">
        <f>D363+D364+D365</f>
        <v>977.0860931525001</v>
      </c>
      <c r="E362" s="2471">
        <f t="shared" ref="E362:F362" si="169">E363+E364+E365</f>
        <v>77.538887964799983</v>
      </c>
      <c r="F362" s="2471">
        <f t="shared" si="169"/>
        <v>613.35889229529994</v>
      </c>
      <c r="G362" s="2472">
        <f>G363+G364+G365</f>
        <v>1109.9000000000001</v>
      </c>
      <c r="H362" s="2471">
        <f t="shared" ref="H362" si="170">H363+H364+H365</f>
        <v>125.84296072449997</v>
      </c>
      <c r="I362" s="2473">
        <f t="shared" ref="I362" si="171">I363+I364+I365</f>
        <v>126.79503027040687</v>
      </c>
      <c r="J362" s="2474">
        <f t="shared" si="117"/>
        <v>0.95206954590689463</v>
      </c>
      <c r="K362" s="2479">
        <f t="shared" ref="K362" si="172">I362-E362</f>
        <v>49.256142305606886</v>
      </c>
      <c r="L362" s="2474">
        <f t="shared" ref="L362" si="173">I362-G362/12</f>
        <v>34.303363603740195</v>
      </c>
      <c r="M362" s="2473">
        <f>M363+M364+M365</f>
        <v>915.11440719701568</v>
      </c>
      <c r="N362" s="2474">
        <f t="shared" si="105"/>
        <v>301.75551490171574</v>
      </c>
      <c r="O362" s="2474">
        <f t="shared" si="106"/>
        <v>175.18107386368229</v>
      </c>
      <c r="P362" s="1002">
        <f t="shared" si="154"/>
        <v>252.49937259610886</v>
      </c>
      <c r="Q362" s="1002">
        <f t="shared" si="155"/>
        <v>140.87771025994209</v>
      </c>
      <c r="R362" s="940"/>
    </row>
    <row r="363" spans="2:20" ht="41.25" customHeight="1">
      <c r="B363" s="2698"/>
      <c r="C363" s="2475" t="s">
        <v>1244</v>
      </c>
      <c r="D363" s="2476">
        <f t="shared" ref="D363:I363" si="174">C12</f>
        <v>785.87609315250018</v>
      </c>
      <c r="E363" s="2476">
        <f t="shared" si="174"/>
        <v>60.620920941699978</v>
      </c>
      <c r="F363" s="2476">
        <f t="shared" si="174"/>
        <v>496.38319227109992</v>
      </c>
      <c r="G363" s="2477">
        <f t="shared" si="174"/>
        <v>860</v>
      </c>
      <c r="H363" s="2476">
        <f t="shared" si="174"/>
        <v>103.98307645639997</v>
      </c>
      <c r="I363" s="2478">
        <f t="shared" si="174"/>
        <v>104.32783827040687</v>
      </c>
      <c r="J363" s="2479">
        <f t="shared" si="117"/>
        <v>0.34476181400690109</v>
      </c>
      <c r="K363" s="2479">
        <f t="shared" si="122"/>
        <v>43.706917328706893</v>
      </c>
      <c r="L363" s="2479">
        <f t="shared" si="103"/>
        <v>32.6611716037402</v>
      </c>
      <c r="M363" s="2478">
        <f>L12</f>
        <v>760.20502345371574</v>
      </c>
      <c r="N363" s="2479">
        <f t="shared" si="105"/>
        <v>263.82183118261582</v>
      </c>
      <c r="O363" s="2479">
        <f t="shared" si="106"/>
        <v>186.87169012038237</v>
      </c>
      <c r="P363" s="1002">
        <f t="shared" si="154"/>
        <v>220.11491385390894</v>
      </c>
      <c r="Q363" s="1002">
        <f t="shared" si="155"/>
        <v>154.21051851664217</v>
      </c>
      <c r="R363" s="940">
        <f t="shared" si="156"/>
        <v>0.53148824394225136</v>
      </c>
      <c r="S363" s="940">
        <f t="shared" ref="S363:S364" si="175">J363/H363</f>
        <v>3.3155569709601685E-3</v>
      </c>
      <c r="T363" s="940">
        <f t="shared" ref="T363:T364" si="176">K363/E363</f>
        <v>0.72098735304170769</v>
      </c>
    </row>
    <row r="364" spans="2:20" ht="41.25" customHeight="1">
      <c r="B364" s="2698"/>
      <c r="C364" s="2475" t="s">
        <v>1233</v>
      </c>
      <c r="D364" s="2476">
        <f t="shared" ref="D364:I365" si="177">C17</f>
        <v>111.41</v>
      </c>
      <c r="E364" s="2476">
        <f t="shared" si="177"/>
        <v>9.6590198243999996</v>
      </c>
      <c r="F364" s="2476">
        <f t="shared" si="177"/>
        <v>66.020968787000001</v>
      </c>
      <c r="G364" s="2477">
        <f t="shared" si="177"/>
        <v>167</v>
      </c>
      <c r="H364" s="2476">
        <f t="shared" si="177"/>
        <v>14.2436419807</v>
      </c>
      <c r="I364" s="2478">
        <f t="shared" si="177"/>
        <v>14.374092000000001</v>
      </c>
      <c r="J364" s="2479">
        <f t="shared" si="117"/>
        <v>0.13045001930000133</v>
      </c>
      <c r="K364" s="2479">
        <f t="shared" si="122"/>
        <v>4.7150721756000014</v>
      </c>
      <c r="L364" s="2479">
        <f t="shared" si="103"/>
        <v>0.4574253333333349</v>
      </c>
      <c r="M364" s="2478">
        <f>L17</f>
        <v>95.4691211369</v>
      </c>
      <c r="N364" s="2479">
        <f t="shared" si="105"/>
        <v>29.448152349899999</v>
      </c>
      <c r="O364" s="2479">
        <f t="shared" si="106"/>
        <v>-15.864212196433328</v>
      </c>
      <c r="P364" s="1002">
        <f t="shared" si="154"/>
        <v>24.733080174299999</v>
      </c>
      <c r="Q364" s="1002">
        <f t="shared" si="155"/>
        <v>-16.321637529766662</v>
      </c>
      <c r="R364" s="940">
        <f t="shared" si="156"/>
        <v>0.44604241487135748</v>
      </c>
      <c r="S364" s="940">
        <f t="shared" si="175"/>
        <v>9.1584736176856928E-3</v>
      </c>
      <c r="T364" s="940">
        <f t="shared" si="176"/>
        <v>0.48815224125424062</v>
      </c>
    </row>
    <row r="365" spans="2:20" ht="41.25" customHeight="1">
      <c r="B365" s="2698"/>
      <c r="C365" s="2475" t="s">
        <v>1234</v>
      </c>
      <c r="D365" s="2476">
        <f t="shared" si="177"/>
        <v>79.8</v>
      </c>
      <c r="E365" s="2476">
        <f t="shared" si="177"/>
        <v>7.2589471986999996</v>
      </c>
      <c r="F365" s="2476">
        <f t="shared" si="177"/>
        <v>50.954731237199994</v>
      </c>
      <c r="G365" s="2477">
        <f t="shared" si="177"/>
        <v>82.9</v>
      </c>
      <c r="H365" s="2476">
        <f t="shared" si="177"/>
        <v>7.6162422873999995</v>
      </c>
      <c r="I365" s="2478">
        <f t="shared" si="177"/>
        <v>8.0930999999999997</v>
      </c>
      <c r="J365" s="2479">
        <f t="shared" si="117"/>
        <v>0.47685771260000021</v>
      </c>
      <c r="K365" s="2479">
        <f t="shared" si="122"/>
        <v>0.83415280130000014</v>
      </c>
      <c r="L365" s="2479">
        <f>I365-G365/12</f>
        <v>1.1847666666666656</v>
      </c>
      <c r="M365" s="2478">
        <f>L18</f>
        <v>59.440262606399997</v>
      </c>
      <c r="N365" s="2479">
        <f t="shared" si="105"/>
        <v>8.4855313692000038</v>
      </c>
      <c r="O365" s="2479">
        <f t="shared" si="106"/>
        <v>4.1735959397333247</v>
      </c>
      <c r="P365" s="1002">
        <f t="shared" si="154"/>
        <v>7.6513785679000037</v>
      </c>
      <c r="Q365" s="1002">
        <f t="shared" si="155"/>
        <v>2.988829273066659</v>
      </c>
      <c r="R365" s="940"/>
    </row>
    <row r="366" spans="2:20" ht="41.25" customHeight="1">
      <c r="B366" s="2698" t="s">
        <v>73</v>
      </c>
      <c r="C366" s="2470" t="s">
        <v>1243</v>
      </c>
      <c r="D366" s="2471">
        <v>35.684850000000004</v>
      </c>
      <c r="E366" s="2471">
        <f>E367+E368+E369</f>
        <v>4.205110877638</v>
      </c>
      <c r="F366" s="2471">
        <f t="shared" ref="F366:G366" si="178">F367+F368+F369</f>
        <v>15.380824150857062</v>
      </c>
      <c r="G366" s="2471">
        <f t="shared" si="178"/>
        <v>45.11</v>
      </c>
      <c r="H366" s="2471">
        <f>H367+H368+H369</f>
        <v>21.816604012541006</v>
      </c>
      <c r="I366" s="2473">
        <f>I367+I368+I369</f>
        <v>21.313937042600003</v>
      </c>
      <c r="J366" s="2474">
        <f>I366-H366</f>
        <v>-0.50266696994100357</v>
      </c>
      <c r="K366" s="2479">
        <f>I366-E366</f>
        <v>17.108826164962004</v>
      </c>
      <c r="L366" s="2474">
        <f>I366-G366/12</f>
        <v>17.554770375933337</v>
      </c>
      <c r="M366" s="2473">
        <f>M367+M368+M369</f>
        <v>152.49963616941699</v>
      </c>
      <c r="N366" s="2474">
        <f t="shared" si="105"/>
        <v>137.11881201855994</v>
      </c>
      <c r="O366" s="2474">
        <f t="shared" si="106"/>
        <v>122.42630283608365</v>
      </c>
      <c r="P366" s="1002">
        <f>N366-K366</f>
        <v>120.00998585359793</v>
      </c>
      <c r="Q366" s="1002">
        <f t="shared" si="155"/>
        <v>104.87153246015032</v>
      </c>
      <c r="R366" s="940">
        <f t="shared" si="156"/>
        <v>8.9149196865968516</v>
      </c>
      <c r="S366" s="940">
        <f t="shared" ref="S366" si="179">J366/H366</f>
        <v>-2.3040568992866703E-2</v>
      </c>
      <c r="T366" s="940">
        <f t="shared" ref="T366" si="180">K366/E366</f>
        <v>4.0685790845477037</v>
      </c>
    </row>
    <row r="367" spans="2:20" ht="41.25" customHeight="1">
      <c r="B367" s="2698"/>
      <c r="C367" s="2475" t="s">
        <v>1244</v>
      </c>
      <c r="D367" s="2484">
        <v>39.334850000000003</v>
      </c>
      <c r="E367" s="2476">
        <f>SUMIFS('#经营利润'!6:6,'#经营利润'!$1:$1,$B$1-1,'#经营利润'!$2:$2,$B$2,'#经营利润'!4:4,"汇总利润")/10000</f>
        <v>4.2618514105379992</v>
      </c>
      <c r="F367" s="2476">
        <f>SUMIFS('#经营利润'!6:6,'#经营利润'!$1:$1,$B$1-1,'#经营利润'!$2:$2,"&lt;="&amp;$B$2,'#经营利润'!4:4,"汇总利润")/10000</f>
        <v>20.628712033057063</v>
      </c>
      <c r="G367" s="2485">
        <v>42.9</v>
      </c>
      <c r="H367" s="2476">
        <f>SUMIFS('#经营利润'!6:6,'#经营利润'!$1:$1,$E$1,'#经营利润'!$2:$2,$E$2,'#经营利润'!$4:$4,"汇总利润")/10000</f>
        <v>21.905962312541007</v>
      </c>
      <c r="I367" s="2478">
        <f>SUMIFS('#经营利润'!6:6,'#经营利润'!$1:$1,$B$1,'#经营利润'!$2:$2,$B$2,'#经营利润'!$4:$4,"汇总利润")/10000</f>
        <v>20.574650333100003</v>
      </c>
      <c r="J367" s="2479">
        <f t="shared" ref="J367:J369" si="181">I367-H367</f>
        <v>-1.3313119794410042</v>
      </c>
      <c r="K367" s="2479">
        <f>I367-E367</f>
        <v>16.312798922562003</v>
      </c>
      <c r="L367" s="2479">
        <f t="shared" ref="L367:L369" si="182">I367-G367/12</f>
        <v>16.999650333100004</v>
      </c>
      <c r="M367" s="2478">
        <f>'#经营利润'!BF6/10000</f>
        <v>149.03426773501698</v>
      </c>
      <c r="N367" s="2479">
        <f t="shared" si="105"/>
        <v>128.40555570195991</v>
      </c>
      <c r="O367" s="2479">
        <f t="shared" si="106"/>
        <v>120.43426773501699</v>
      </c>
      <c r="P367" s="1002">
        <f t="shared" si="154"/>
        <v>112.09275677939792</v>
      </c>
      <c r="Q367" s="1002">
        <f t="shared" si="155"/>
        <v>103.43461740191698</v>
      </c>
      <c r="R367" s="940"/>
    </row>
    <row r="368" spans="2:20" ht="41.25" customHeight="1">
      <c r="B368" s="2698"/>
      <c r="C368" s="2475" t="s">
        <v>1233</v>
      </c>
      <c r="D368" s="2484">
        <v>-5.27</v>
      </c>
      <c r="E368" s="2476">
        <f>SUMIFS('#经营利润'!44:44,'#经营利润'!$1:$1,$B$1-1,'#经营利润'!$2:$2,$B$2,'#经营利润'!4:4,"汇总利润")/10000</f>
        <v>-0.205039867499999</v>
      </c>
      <c r="F368" s="2476">
        <f>SUMIFS('#经营利润'!44:44,'#经营利润'!$1:$1,$B$1-1,'#经营利润'!$2:$2,"&lt;="&amp;$B$2,'#经营利润'!4:4,"汇总利润")/10000</f>
        <v>-5.9123268405000013</v>
      </c>
      <c r="G368" s="2476">
        <v>0.01</v>
      </c>
      <c r="H368" s="2476">
        <f>SUMIFS('#经营利润'!44:44,'#经营利润'!$1:$1,$E$1,'#经营利润'!$2:$2,$E$2,'#经营利润'!$4:$4,"汇总利润")/10000</f>
        <v>-0.44195829999999997</v>
      </c>
      <c r="I368" s="2478">
        <f>SUMIFS('#经营利润'!44:44,'#经营利润'!$1:$1,$B$1,'#经营利润'!$2:$2,$B$2,'#经营利润'!$4:$4,"汇总利润")/10000</f>
        <v>0.18310287809999901</v>
      </c>
      <c r="J368" s="2479">
        <f t="shared" si="181"/>
        <v>0.62506117809999895</v>
      </c>
      <c r="K368" s="2479">
        <f t="shared" si="122"/>
        <v>0.38814274559999801</v>
      </c>
      <c r="L368" s="2479">
        <f t="shared" si="182"/>
        <v>0.18226954476666568</v>
      </c>
      <c r="M368" s="2478">
        <f>'#经营利润'!BF44/10000</f>
        <v>0.35093142199999755</v>
      </c>
      <c r="N368" s="2479">
        <f t="shared" si="105"/>
        <v>6.2632582624999991</v>
      </c>
      <c r="O368" s="2479">
        <f t="shared" si="106"/>
        <v>0.3442647553333309</v>
      </c>
      <c r="P368" s="1002">
        <f t="shared" si="154"/>
        <v>5.8751155169000011</v>
      </c>
      <c r="Q368" s="1002">
        <f t="shared" si="155"/>
        <v>0.16199521056666522</v>
      </c>
      <c r="R368" s="940"/>
    </row>
    <row r="369" spans="2:20" ht="41.25" customHeight="1">
      <c r="B369" s="2698"/>
      <c r="C369" s="2475" t="s">
        <v>1234</v>
      </c>
      <c r="D369" s="2484">
        <v>1.62</v>
      </c>
      <c r="E369" s="2476">
        <f>SUMIFS('#经营利润'!45:45,'#经营利润'!$1:$1,$B$1-1,'#经营利润'!$2:$2,$B$2,'#经营利润'!4:4,"汇总利润")/10000</f>
        <v>0.1482993346</v>
      </c>
      <c r="F369" s="2476">
        <f>SUMIFS('#经营利润'!45:45,'#经营利润'!$1:$1,$B$1-1,'#经营利润'!$2:$2,"&lt;="&amp;$B$2,'#经营利润'!4:4,"汇总利润")/10000</f>
        <v>0.6644389583000001</v>
      </c>
      <c r="G369" s="2485">
        <v>2.2000000000000002</v>
      </c>
      <c r="H369" s="2476">
        <f>SUMIFS('#经营利润'!45:45,'#经营利润'!$1:$1,$E$1,'#经营利润'!$2:$2,$E$2,'#经营利润'!$4:$4,"汇总利润")/10000</f>
        <v>0.35260000000000002</v>
      </c>
      <c r="I369" s="2478">
        <f>SUMIFS('#经营利润'!45:45,'#经营利润'!$1:$1,$B$1,'#经营利润'!$2:$2,$B$2,'#经营利润'!$4:$4,"汇总利润")/10000</f>
        <v>0.55618383140000094</v>
      </c>
      <c r="J369" s="2479">
        <f t="shared" si="181"/>
        <v>0.20358383140000091</v>
      </c>
      <c r="K369" s="2479">
        <f t="shared" si="122"/>
        <v>0.40788449680000094</v>
      </c>
      <c r="L369" s="2479">
        <f t="shared" si="182"/>
        <v>0.37285049806666759</v>
      </c>
      <c r="M369" s="2478">
        <f>'#经营利润'!BF45/10000</f>
        <v>3.1144370124000007</v>
      </c>
      <c r="N369" s="2479">
        <f t="shared" si="105"/>
        <v>2.4499980541000008</v>
      </c>
      <c r="O369" s="2479">
        <f t="shared" si="106"/>
        <v>1.6477703457333339</v>
      </c>
      <c r="P369" s="1002">
        <f t="shared" si="154"/>
        <v>2.0421135573</v>
      </c>
      <c r="Q369" s="1002">
        <f t="shared" si="155"/>
        <v>1.2749198476666663</v>
      </c>
      <c r="R369" s="940"/>
    </row>
    <row r="370" spans="2:20" ht="41.25" customHeight="1">
      <c r="B370" s="2698"/>
      <c r="C370" s="2470" t="s">
        <v>1687</v>
      </c>
      <c r="D370" s="2486">
        <f>D371+D372+D373</f>
        <v>35.684850000000004</v>
      </c>
      <c r="E370" s="2471">
        <f t="shared" ref="E370:F370" si="183">E371+E372+E373</f>
        <v>4.2051817091000006</v>
      </c>
      <c r="F370" s="2471">
        <f t="shared" si="183"/>
        <v>15.7068855138</v>
      </c>
      <c r="G370" s="2471">
        <f>G371+G372+G373</f>
        <v>45.11</v>
      </c>
      <c r="H370" s="2471">
        <f>H371+H372+H373</f>
        <v>-8.9358299999999946E-2</v>
      </c>
      <c r="I370" s="2473">
        <f>I371+I372+I373</f>
        <v>18.313937042600003</v>
      </c>
      <c r="J370" s="2474">
        <f t="shared" si="117"/>
        <v>18.403295342600003</v>
      </c>
      <c r="K370" s="2474">
        <f t="shared" si="122"/>
        <v>14.108755333500003</v>
      </c>
      <c r="L370" s="2474">
        <f t="shared" si="103"/>
        <v>14.554770375933336</v>
      </c>
      <c r="M370" s="2473">
        <f>M371+M372+M373</f>
        <v>143.66963616941698</v>
      </c>
      <c r="N370" s="2474">
        <f>M370-F370</f>
        <v>127.96275065561697</v>
      </c>
      <c r="O370" s="2474">
        <f t="shared" si="106"/>
        <v>113.59630283608364</v>
      </c>
      <c r="P370" s="1002">
        <f t="shared" ref="P370:P373" si="184">N370-K370</f>
        <v>113.85399532211697</v>
      </c>
      <c r="Q370" s="1002">
        <f t="shared" ref="Q370:Q373" si="185">O370-L370</f>
        <v>99.041532460150307</v>
      </c>
      <c r="R370" s="940">
        <f t="shared" si="156"/>
        <v>8.146920695588534</v>
      </c>
    </row>
    <row r="371" spans="2:20" ht="41.25" customHeight="1">
      <c r="B371" s="2698"/>
      <c r="C371" s="2475" t="s">
        <v>1244</v>
      </c>
      <c r="D371" s="2484">
        <v>39.334850000000003</v>
      </c>
      <c r="E371" s="2476">
        <f>SUMIFS('利润（汇总）'!51:51,'利润（汇总）'!1:1,$B$1-1,'利润（汇总）'!2:2,$B$2)/10000</f>
        <v>4.2619222419999998</v>
      </c>
      <c r="F371" s="2476">
        <f>SUMIFS('利润（汇总）'!51:51,'利润（汇总）'!1:1,$B$1-1,'利润（汇总）'!2:2,"&lt;="&amp;$B$2)/10000</f>
        <v>20.954773396</v>
      </c>
      <c r="G371" s="2485">
        <v>42.9</v>
      </c>
      <c r="H371" s="2476">
        <f>SUMIFS('利润（汇总）'!51:51,'利润（汇总）'!1:1,$E$1,'利润（汇总）'!2:2,$E$2)/10000</f>
        <v>0</v>
      </c>
      <c r="I371" s="2478">
        <f>SUMIFS('#利润建议'!6:6,'#利润建议'!$1:$1,$B$1,'#利润建议'!$2:$2,$B$2,'#利润建议'!$4:$4,"报表")/10000</f>
        <v>17.574650333100003</v>
      </c>
      <c r="J371" s="2479">
        <f t="shared" ref="J371:J373" si="186">I371-H371</f>
        <v>17.574650333100003</v>
      </c>
      <c r="K371" s="2479">
        <f t="shared" ref="K371:K373" si="187">I371-E371</f>
        <v>13.312728091100002</v>
      </c>
      <c r="L371" s="2479">
        <f t="shared" ref="L371:L373" si="188">I371-G371/12</f>
        <v>13.999650333100004</v>
      </c>
      <c r="M371" s="2478">
        <f>'#利润建议'!CA6/10000</f>
        <v>140.20426773501697</v>
      </c>
      <c r="N371" s="2479">
        <f t="shared" ref="N371:N373" si="189">M371-F371</f>
        <v>119.24949433901696</v>
      </c>
      <c r="O371" s="2479">
        <f t="shared" ref="O371:O373" si="190">M371-G371/12*$B$2</f>
        <v>111.60426773501698</v>
      </c>
      <c r="P371" s="1002">
        <f t="shared" si="184"/>
        <v>105.93676624791696</v>
      </c>
      <c r="Q371" s="1002">
        <f t="shared" si="185"/>
        <v>97.604617401916968</v>
      </c>
      <c r="R371" s="940"/>
    </row>
    <row r="372" spans="2:20" ht="41.25" customHeight="1">
      <c r="B372" s="2698"/>
      <c r="C372" s="2475" t="s">
        <v>1233</v>
      </c>
      <c r="D372" s="2484">
        <v>-5.27</v>
      </c>
      <c r="E372" s="2476">
        <f>SUMIFS('#利润建议'!49:49,'#利润建议'!$1:$1,$B$1-1,'#利润建议'!$2:$2,$B$2,'#利润建议'!4:4,"报表")/10000</f>
        <v>-0.205039867499999</v>
      </c>
      <c r="F372" s="2476">
        <f>SUMIFS('#利润建议'!49:49,'#利润建议'!$1:$1,$B$1-1,'#利润建议'!$2:$2,"&lt;="&amp;$B$2,'#利润建议'!4:4,"报表")/10000</f>
        <v>-5.9123268405000013</v>
      </c>
      <c r="G372" s="2476">
        <v>0.01</v>
      </c>
      <c r="H372" s="2476">
        <f>SUMIFS('#利润建议'!49:49,'#利润建议'!$1:$1,$E$1,'#利润建议'!$2:$2,$E$2,'#利润建议'!$4:$4,"报表")/10000</f>
        <v>-0.44195829999999997</v>
      </c>
      <c r="I372" s="2478">
        <f>SUMIFS('#利润建议'!49:49,'#利润建议'!$1:$1,$B$1,'#利润建议'!$2:$2,$B$2,'#利润建议'!$4:$4,"报表")/10000</f>
        <v>0.18310287809999901</v>
      </c>
      <c r="J372" s="2479">
        <f>I372-H372</f>
        <v>0.62506117809999895</v>
      </c>
      <c r="K372" s="2479">
        <f t="shared" si="187"/>
        <v>0.38814274559999801</v>
      </c>
      <c r="L372" s="2479">
        <f t="shared" si="188"/>
        <v>0.18226954476666568</v>
      </c>
      <c r="M372" s="2478">
        <f>'#利润建议'!CA49/10000</f>
        <v>0.35093142199999755</v>
      </c>
      <c r="N372" s="2479">
        <f t="shared" si="189"/>
        <v>6.2632582624999991</v>
      </c>
      <c r="O372" s="2479">
        <f t="shared" si="190"/>
        <v>0.3442647553333309</v>
      </c>
      <c r="P372" s="1002">
        <f t="shared" si="184"/>
        <v>5.8751155169000011</v>
      </c>
      <c r="Q372" s="1002">
        <f t="shared" si="185"/>
        <v>0.16199521056666522</v>
      </c>
      <c r="R372" s="940"/>
    </row>
    <row r="373" spans="2:20" ht="41.25" customHeight="1">
      <c r="B373" s="2698"/>
      <c r="C373" s="2475" t="s">
        <v>1234</v>
      </c>
      <c r="D373" s="2484">
        <v>1.62</v>
      </c>
      <c r="E373" s="2476">
        <f>SUMIFS('#利润建议'!50:50,'#利润建议'!$1:$1,$B$1-1,'#利润建议'!$2:$2,$B$2,'#利润建议'!4:4,"报表")/10000</f>
        <v>0.1482993346</v>
      </c>
      <c r="F373" s="2476">
        <f>SUMIFS('#利润建议'!50:50,'#利润建议'!$1:$1,$B$1-1,'#利润建议'!$2:$2,"&lt;="&amp;$B$2,'#利润建议'!4:4,"报表")/10000</f>
        <v>0.6644389583000001</v>
      </c>
      <c r="G373" s="2485">
        <v>2.2000000000000002</v>
      </c>
      <c r="H373" s="2476">
        <f>SUMIFS('#利润建议'!50:50,'#利润建议'!$1:$1,$E$1,'#利润建议'!$2:$2,$E$2,'#利润建议'!$4:$4,"报表")/10000</f>
        <v>0.35260000000000002</v>
      </c>
      <c r="I373" s="2478">
        <f>SUMIFS('#利润建议'!50:50,'#利润建议'!$1:$1,$B$1,'#利润建议'!$2:$2,$B$2,'#利润建议'!$4:$4,"报表")/10000</f>
        <v>0.55618383140000094</v>
      </c>
      <c r="J373" s="2479">
        <f t="shared" si="186"/>
        <v>0.20358383140000091</v>
      </c>
      <c r="K373" s="2479">
        <f t="shared" si="187"/>
        <v>0.40788449680000094</v>
      </c>
      <c r="L373" s="2479">
        <f t="shared" si="188"/>
        <v>0.37285049806666759</v>
      </c>
      <c r="M373" s="2478">
        <f>'#利润建议'!CA50/10000</f>
        <v>3.1144370124000007</v>
      </c>
      <c r="N373" s="2479">
        <f t="shared" si="189"/>
        <v>2.4499980541000008</v>
      </c>
      <c r="O373" s="2479">
        <f t="shared" si="190"/>
        <v>1.6477703457333339</v>
      </c>
      <c r="P373" s="1002">
        <f t="shared" si="184"/>
        <v>2.0421135573</v>
      </c>
      <c r="Q373" s="1002">
        <f t="shared" si="185"/>
        <v>1.2749198476666663</v>
      </c>
      <c r="R373" s="940"/>
    </row>
    <row r="374" spans="2:20" ht="41.25" customHeight="1">
      <c r="B374" s="2698" t="s">
        <v>56</v>
      </c>
      <c r="C374" s="2487" t="s">
        <v>1335</v>
      </c>
      <c r="D374" s="2476">
        <f t="shared" ref="D374:F375" si="191">C76</f>
        <v>864.85689999999977</v>
      </c>
      <c r="E374" s="2476">
        <f t="shared" si="191"/>
        <v>66.599999999999994</v>
      </c>
      <c r="F374" s="2476">
        <f t="shared" si="191"/>
        <v>553.80689999999993</v>
      </c>
      <c r="G374" s="2477">
        <f>'@预测#概况#'!G193</f>
        <v>929</v>
      </c>
      <c r="H374" s="2476">
        <f>G76</f>
        <v>120.43259999999999</v>
      </c>
      <c r="I374" s="2478">
        <f>H76</f>
        <v>120.55999999999999</v>
      </c>
      <c r="J374" s="2479">
        <f t="shared" si="117"/>
        <v>0.12739999999999441</v>
      </c>
      <c r="K374" s="2479">
        <f t="shared" si="122"/>
        <v>53.959999999999994</v>
      </c>
      <c r="L374" s="2479">
        <f t="shared" si="103"/>
        <v>43.143333333333317</v>
      </c>
      <c r="M374" s="2478">
        <f>M76</f>
        <v>871.02249999999992</v>
      </c>
      <c r="N374" s="2479">
        <f>M374-F374</f>
        <v>317.21559999999999</v>
      </c>
      <c r="O374" s="2479">
        <f t="shared" si="106"/>
        <v>251.68916666666655</v>
      </c>
      <c r="P374" s="1002">
        <f>N374-K374</f>
        <v>263.25560000000002</v>
      </c>
      <c r="Q374" s="1002">
        <f t="shared" si="155"/>
        <v>208.54583333333323</v>
      </c>
      <c r="R374" s="940">
        <f t="shared" si="156"/>
        <v>0.57279098544998275</v>
      </c>
      <c r="S374" s="940">
        <f t="shared" ref="S374:S379" si="192">J374/H374</f>
        <v>1.0578531062187017E-3</v>
      </c>
      <c r="T374" s="940">
        <f t="shared" ref="T374:T379" si="193">K374/E374</f>
        <v>0.81021021021021022</v>
      </c>
    </row>
    <row r="375" spans="2:20" ht="41.25" customHeight="1">
      <c r="B375" s="2698"/>
      <c r="C375" s="2487" t="s">
        <v>1337</v>
      </c>
      <c r="D375" s="2476">
        <f t="shared" si="191"/>
        <v>729.44259999999997</v>
      </c>
      <c r="E375" s="2476">
        <f t="shared" si="191"/>
        <v>55.236699999999999</v>
      </c>
      <c r="F375" s="2476">
        <f t="shared" si="191"/>
        <v>466.83260000000001</v>
      </c>
      <c r="G375" s="2477">
        <f>'@预测#概况#'!G194</f>
        <v>800</v>
      </c>
      <c r="H375" s="2476">
        <f>G77</f>
        <v>100.1558</v>
      </c>
      <c r="I375" s="2478">
        <f>H77</f>
        <v>101.69</v>
      </c>
      <c r="J375" s="2479">
        <f t="shared" si="117"/>
        <v>1.5341999999999985</v>
      </c>
      <c r="K375" s="2479">
        <f t="shared" si="122"/>
        <v>46.453299999999999</v>
      </c>
      <c r="L375" s="2479">
        <f t="shared" si="103"/>
        <v>35.023333333333326</v>
      </c>
      <c r="M375" s="2478">
        <f>M77</f>
        <v>720.07109999999989</v>
      </c>
      <c r="N375" s="2479">
        <f t="shared" si="105"/>
        <v>253.23849999999987</v>
      </c>
      <c r="O375" s="2479">
        <f t="shared" si="106"/>
        <v>186.73776666666652</v>
      </c>
      <c r="P375" s="1002">
        <f t="shared" si="154"/>
        <v>206.78519999999986</v>
      </c>
      <c r="Q375" s="1002">
        <f t="shared" si="155"/>
        <v>151.7144333333332</v>
      </c>
      <c r="R375" s="940">
        <f t="shared" si="156"/>
        <v>0.54246104492274072</v>
      </c>
      <c r="S375" s="940">
        <f t="shared" si="192"/>
        <v>1.5318134346687846E-2</v>
      </c>
      <c r="T375" s="940">
        <f t="shared" si="193"/>
        <v>0.84098615594342163</v>
      </c>
    </row>
    <row r="376" spans="2:20" ht="41.25" customHeight="1">
      <c r="B376" s="2698"/>
      <c r="C376" s="2487" t="s">
        <v>1336</v>
      </c>
      <c r="D376" s="2476">
        <f t="shared" ref="D376:F377" si="194">C80</f>
        <v>880.75689999999997</v>
      </c>
      <c r="E376" s="2476">
        <f t="shared" si="194"/>
        <v>66.599999999999994</v>
      </c>
      <c r="F376" s="2476">
        <f t="shared" si="194"/>
        <v>562.80689999999993</v>
      </c>
      <c r="G376" s="2477">
        <f>'@预测#概况#'!G195</f>
        <v>929</v>
      </c>
      <c r="H376" s="2476">
        <f>G80</f>
        <v>120.43259999999999</v>
      </c>
      <c r="I376" s="2478">
        <f>H80</f>
        <v>123.96</v>
      </c>
      <c r="J376" s="2479">
        <f t="shared" si="117"/>
        <v>3.5274000000000001</v>
      </c>
      <c r="K376" s="2479">
        <f t="shared" si="122"/>
        <v>57.36</v>
      </c>
      <c r="L376" s="2479">
        <f t="shared" si="103"/>
        <v>46.543333333333322</v>
      </c>
      <c r="M376" s="2478">
        <f>M80</f>
        <v>872.72249999999997</v>
      </c>
      <c r="N376" s="2479">
        <f t="shared" si="105"/>
        <v>309.91560000000004</v>
      </c>
      <c r="O376" s="2479">
        <f t="shared" si="106"/>
        <v>253.3891666666666</v>
      </c>
      <c r="P376" s="1002">
        <f t="shared" si="154"/>
        <v>252.55560000000003</v>
      </c>
      <c r="Q376" s="1002">
        <f t="shared" si="155"/>
        <v>206.84583333333327</v>
      </c>
      <c r="R376" s="940">
        <f t="shared" si="156"/>
        <v>0.55066062622899625</v>
      </c>
      <c r="S376" s="940">
        <f t="shared" si="192"/>
        <v>2.9289411670926312E-2</v>
      </c>
      <c r="T376" s="940">
        <f t="shared" si="193"/>
        <v>0.86126126126126135</v>
      </c>
    </row>
    <row r="377" spans="2:20" ht="41.25" customHeight="1">
      <c r="B377" s="2698"/>
      <c r="C377" s="2487" t="s">
        <v>1338</v>
      </c>
      <c r="D377" s="2476">
        <f t="shared" si="194"/>
        <v>745.33759999999995</v>
      </c>
      <c r="E377" s="2476">
        <f t="shared" si="194"/>
        <v>55.236699999999999</v>
      </c>
      <c r="F377" s="2476">
        <f t="shared" si="194"/>
        <v>475.83260000000001</v>
      </c>
      <c r="G377" s="2477">
        <f>'@预测#概况#'!G196</f>
        <v>800</v>
      </c>
      <c r="H377" s="2476">
        <f>G81</f>
        <v>100.1558</v>
      </c>
      <c r="I377" s="2478">
        <f>H81</f>
        <v>105.09</v>
      </c>
      <c r="J377" s="2479">
        <f t="shared" si="117"/>
        <v>4.9342000000000041</v>
      </c>
      <c r="K377" s="2479">
        <f t="shared" si="122"/>
        <v>49.853300000000004</v>
      </c>
      <c r="L377" s="2479">
        <f t="shared" si="103"/>
        <v>38.423333333333332</v>
      </c>
      <c r="M377" s="2478">
        <f>M81</f>
        <v>721.77110000000005</v>
      </c>
      <c r="N377" s="2479">
        <f t="shared" si="105"/>
        <v>245.93850000000003</v>
      </c>
      <c r="O377" s="2479">
        <f t="shared" si="106"/>
        <v>188.43776666666668</v>
      </c>
      <c r="P377" s="1002">
        <f t="shared" si="154"/>
        <v>196.08520000000004</v>
      </c>
      <c r="Q377" s="1002">
        <f t="shared" si="155"/>
        <v>150.01443333333333</v>
      </c>
      <c r="R377" s="940">
        <f t="shared" si="156"/>
        <v>0.51685929043113066</v>
      </c>
      <c r="S377" s="940">
        <f t="shared" si="192"/>
        <v>4.9265244748681596E-2</v>
      </c>
      <c r="T377" s="940">
        <f t="shared" si="193"/>
        <v>0.9025394348322765</v>
      </c>
    </row>
    <row r="378" spans="2:20" ht="56.25" customHeight="1">
      <c r="B378" s="2698" t="s">
        <v>633</v>
      </c>
      <c r="C378" s="2488" t="s">
        <v>1362</v>
      </c>
      <c r="D378" s="2484">
        <f>D289</f>
        <v>32.728446374899995</v>
      </c>
      <c r="E378" s="2484">
        <f>E289</f>
        <v>3.5823830000000014</v>
      </c>
      <c r="F378" s="2484">
        <f>F289</f>
        <v>18.7740744699</v>
      </c>
      <c r="G378" s="2484">
        <f t="shared" ref="E378:G379" si="195">G289</f>
        <v>60.84</v>
      </c>
      <c r="H378" s="2484">
        <f>SUMIFS('#投资情况'!7:7,'#投资情况'!$1:$1,$B$1,'#投资情况'!$2:$2,$B$2-1)</f>
        <v>1.7154999999999985</v>
      </c>
      <c r="I378" s="2478">
        <f>I289</f>
        <v>3.34895466</v>
      </c>
      <c r="J378" s="2479">
        <f>I378-H378</f>
        <v>1.6334546600000015</v>
      </c>
      <c r="K378" s="2479">
        <f t="shared" si="122"/>
        <v>-0.23342834000000146</v>
      </c>
      <c r="L378" s="2479">
        <f>I378-G378/12</f>
        <v>-1.7210453400000003</v>
      </c>
      <c r="M378" s="2478">
        <f>K289</f>
        <v>20.384546124299998</v>
      </c>
      <c r="N378" s="2479">
        <f t="shared" si="105"/>
        <v>1.6104716543999977</v>
      </c>
      <c r="O378" s="2479">
        <f t="shared" si="106"/>
        <v>-20.175453875700004</v>
      </c>
      <c r="P378" s="1002">
        <f t="shared" si="154"/>
        <v>1.8438999943999992</v>
      </c>
      <c r="Q378" s="1002">
        <f t="shared" si="155"/>
        <v>-18.454408535700004</v>
      </c>
      <c r="R378" s="940">
        <f t="shared" si="156"/>
        <v>8.5781680315694192E-2</v>
      </c>
      <c r="S378" s="940">
        <f t="shared" si="192"/>
        <v>0.95217409501603201</v>
      </c>
      <c r="T378" s="940">
        <f t="shared" si="193"/>
        <v>-6.5160073615803046E-2</v>
      </c>
    </row>
    <row r="379" spans="2:20" ht="56.25" customHeight="1">
      <c r="B379" s="2698"/>
      <c r="C379" s="2488" t="s">
        <v>685</v>
      </c>
      <c r="D379" s="2484">
        <f>D290</f>
        <v>28.370580374900001</v>
      </c>
      <c r="E379" s="2484">
        <f t="shared" si="195"/>
        <v>3.2366830000000015</v>
      </c>
      <c r="F379" s="2484">
        <f t="shared" si="195"/>
        <v>16.247550469900002</v>
      </c>
      <c r="G379" s="2484">
        <f>G290</f>
        <v>38.9</v>
      </c>
      <c r="H379" s="2484">
        <f>SUMIFS('#投资情况'!8:8,'#投资情况'!$1:$1,$B$1,'#投资情况'!$2:$2,$B$2-1)</f>
        <v>1.6002999999999985</v>
      </c>
      <c r="I379" s="2478">
        <f>I290</f>
        <v>3.00785466</v>
      </c>
      <c r="J379" s="2479">
        <f>I379-H379</f>
        <v>1.4075546600000015</v>
      </c>
      <c r="K379" s="2479">
        <f t="shared" si="122"/>
        <v>-0.22882834000000152</v>
      </c>
      <c r="L379" s="2479">
        <f>I379-G379/12</f>
        <v>-0.23381200666666668</v>
      </c>
      <c r="M379" s="2478">
        <f>K290</f>
        <v>18.663646124300001</v>
      </c>
      <c r="N379" s="2479">
        <f t="shared" si="105"/>
        <v>2.4160956543999994</v>
      </c>
      <c r="O379" s="2479">
        <f t="shared" si="106"/>
        <v>-7.2696872090333322</v>
      </c>
      <c r="P379" s="1002">
        <f t="shared" si="154"/>
        <v>2.6449239944000009</v>
      </c>
      <c r="Q379" s="1002">
        <f t="shared" si="155"/>
        <v>-7.0358752023666655</v>
      </c>
      <c r="R379" s="940">
        <f t="shared" si="156"/>
        <v>0.14870522537388184</v>
      </c>
      <c r="S379" s="940">
        <f t="shared" si="192"/>
        <v>0.87955674561019981</v>
      </c>
      <c r="T379" s="940">
        <f t="shared" si="193"/>
        <v>-7.0698409451899188E-2</v>
      </c>
    </row>
    <row r="381" spans="2:20">
      <c r="C381" s="406" t="s">
        <v>686</v>
      </c>
      <c r="D381" s="994">
        <v>532.37</v>
      </c>
      <c r="M381" s="1003">
        <v>558.91999999999996</v>
      </c>
      <c r="N381" s="1004">
        <f>M381-D381</f>
        <v>26.549999999999955</v>
      </c>
      <c r="O381" s="871"/>
      <c r="P381" s="871"/>
      <c r="Q381" s="871"/>
    </row>
    <row r="382" spans="2:20">
      <c r="C382" s="406" t="s">
        <v>687</v>
      </c>
      <c r="D382" s="994">
        <v>57.446681133724098</v>
      </c>
      <c r="G382" s="406">
        <v>59.8</v>
      </c>
      <c r="M382" s="1003">
        <v>58.35</v>
      </c>
      <c r="N382" s="1004">
        <f>M382-D382</f>
        <v>0.90331886627590308</v>
      </c>
      <c r="O382" s="871"/>
      <c r="P382" s="871"/>
      <c r="Q382" s="871"/>
    </row>
    <row r="384" spans="2:20">
      <c r="C384" s="406" t="s">
        <v>688</v>
      </c>
      <c r="I384" s="406" t="s">
        <v>688</v>
      </c>
    </row>
    <row r="385" spans="3:9">
      <c r="C385" s="406" t="s">
        <v>689</v>
      </c>
      <c r="I385" s="406" t="str">
        <f>"现将太钢集团"&amp;B2&amp;"月收入、利润情况报告如下："</f>
        <v>现将太钢集团8月收入、利润情况报告如下：</v>
      </c>
    </row>
    <row r="386" spans="3:9">
      <c r="C386" s="406" t="s">
        <v>690</v>
      </c>
      <c r="I386" s="406" t="s">
        <v>690</v>
      </c>
    </row>
    <row r="387" spans="3:9">
      <c r="C387" s="406" t="s">
        <v>691</v>
      </c>
      <c r="I387" s="406" t="str">
        <f>B2&amp;"月份集团营业收入"&amp;ROUND(I363,2)&amp;"亿元，比上月"&amp;ROUND(H363,2)&amp;"亿元"&amp;IF(J363&gt;=0,"增加","减少")&amp;ABS(ROUND(J363,2))&amp;"亿元；"</f>
        <v>8月份集团营业收入104.33亿元，比上月103.98亿元增加0.34亿元；</v>
      </c>
    </row>
    <row r="388" spans="3:9">
      <c r="C388" s="406" t="s">
        <v>692</v>
      </c>
      <c r="I388" s="406" t="str">
        <f>"其中：钢材收入"&amp;ROUND(H14,2)&amp;"亿元，比上月"&amp;IF(I14&gt;=0,"增加","减少")&amp;ABS(ROUND(I14,2))&amp;"亿元（本月销量比上月"&amp;IF(I40&gt;=0,"增加","减少")&amp;ABS(ROUND(I40,2))&amp;"万吨)。"</f>
        <v>其中：钢材收入91.62亿元，比上月增加1.6亿元（本月销量比上月增加0.35万吨)。</v>
      </c>
    </row>
    <row r="389" spans="3:9">
      <c r="I389" s="406" t="str">
        <f>"贸易收入"&amp;ROUND(H15,2)&amp;"亿元，比上月"&amp;IF(I15&gt;=0,"增加","减少")&amp;ABS(ROUND(I15,2))&amp;"亿元。"</f>
        <v>贸易收入5.5亿元，比上月减少0.42亿元。</v>
      </c>
    </row>
    <row r="390" spans="3:9">
      <c r="I390" s="406" t="str">
        <f>"累计收入"&amp;ROUND(M364,2)&amp;"亿元，比上年同期"&amp;ROUND(F364,2)&amp;"亿元"&amp;IF(N364&gt;=0,"增加","减少")&amp;ABS(ROUND(N364,2))&amp;"亿元，"&amp;IF(R364&gt;=0,"增幅","降幅")&amp;ABS(ROUND(R364*100,2))&amp;"%。"</f>
        <v>累计收入95.47亿元，比上年同期66.02亿元增加29.45亿元，增幅44.6%。</v>
      </c>
    </row>
    <row r="391" spans="3:9">
      <c r="C391" s="406" t="s">
        <v>693</v>
      </c>
      <c r="I391" s="406" t="s">
        <v>693</v>
      </c>
    </row>
    <row r="392" spans="3:9">
      <c r="C392" s="406" t="s">
        <v>694</v>
      </c>
      <c r="I392" s="406" t="str">
        <f>"1、"&amp;B2&amp;"月份一次汇总利润"&amp;ROUND(I366,2)&amp;"亿元，比上月"&amp;ROUND(H366,2)&amp;"亿元"&amp;IF(J366&gt;=0,"增加","减少")&amp;ABS(ROUND(J366,2))&amp;"亿元。"</f>
        <v>1、8月份一次汇总利润21.31亿元，比上月21.82亿元减少0.5亿元。</v>
      </c>
    </row>
    <row r="393" spans="3:9">
      <c r="C393" s="406" t="s">
        <v>695</v>
      </c>
      <c r="I393" s="406" t="str">
        <f>"2、"&amp;B2&amp;"月份报表利润"&amp;ROUND(I370,2)&amp;"亿元，比上月"&amp;ROUND(H370,2)&amp;"亿元"&amp;IF(J370&gt;=0,"增加","减少")&amp;ABS(ROUND(J370,2))&amp;"亿元。"</f>
        <v>2、8月份报表利润18.31亿元，比上月-0.09亿元增加18.4亿元。</v>
      </c>
    </row>
    <row r="394" spans="3:9">
      <c r="C394" s="406" t="s">
        <v>696</v>
      </c>
      <c r="I394" s="406" t="str">
        <f>"累计报表利润"&amp;ROUND(M370,2)&amp;"亿元，比上年同期"&amp;ROUND(F370,2)&amp;"亿元"&amp;IF(N370&gt;=0,"增加","减少")&amp;ABS(ROUND(N370,2))&amp;"亿元，"&amp;IF(R370&gt;=0,"增幅","降幅")&amp;ABS(ROUND(R370*100,2))&amp;"%。"</f>
        <v>累计报表利润143.67亿元，比上年同期15.71亿元增加127.96亿元，增幅814.69%。</v>
      </c>
    </row>
    <row r="395" spans="3:9">
      <c r="C395" s="406" t="s">
        <v>697</v>
      </c>
      <c r="I395" s="406" t="s">
        <v>697</v>
      </c>
    </row>
    <row r="396" spans="3:9">
      <c r="C396" s="406" t="s">
        <v>698</v>
      </c>
      <c r="I396" s="406" t="str">
        <f>"1、"&amp;B2&amp;"月份产值实际"&amp;ROUND(I375,2)&amp;"亿元，比上月"&amp;IF(J375&gt;=0,"增加","减少")&amp;ABS(ROUND(J375,2))&amp;"亿元。"</f>
        <v>1、8月份产值实际101.69亿元，比上月增加1.53亿元。</v>
      </c>
    </row>
    <row r="397" spans="3:9">
      <c r="I397" s="406" t="str">
        <f>"   "&amp;B2&amp;"月报出"&amp;ROUND(I377,2)&amp;"亿元，比上年同期"&amp;IF(K377&gt;=0,"增加","减少")&amp;ABS(ROUND(K377,2))&amp;"亿元。"</f>
        <v xml:space="preserve">   8月报出105.09亿元，比上年同期增加49.85亿元。</v>
      </c>
    </row>
    <row r="398" spans="3:9">
      <c r="C398" s="406" t="s">
        <v>699</v>
      </c>
      <c r="I398" s="406" t="str">
        <f>"2、累计产值报出"&amp;ROUND(M377,2)&amp;"亿元，比上年同期"&amp;ROUND(F377,2)&amp;"亿元"&amp;IF(N377&gt;=0,"增加","减少")&amp;ABS(ROUND(N377,2))&amp;"亿元，"&amp;IF(R377&gt;=0,"增幅","降幅")&amp;ABS(ROUND(R377*100,2))&amp;"%。"</f>
        <v>2、累计产值报出721.77亿元，比上年同期475.83亿元增加245.94亿元，增幅51.69%。</v>
      </c>
    </row>
    <row r="399" spans="3:9">
      <c r="C399" s="406" t="s">
        <v>700</v>
      </c>
      <c r="I399" s="406" t="s">
        <v>700</v>
      </c>
    </row>
    <row r="400" spans="3:9">
      <c r="C400" s="406" t="s">
        <v>701</v>
      </c>
      <c r="I400" s="406" t="str">
        <f>B2&amp;"月末集团带息负债总额"&amp;ROUND(M381,2)&amp;"亿元，比年初"&amp;IF(N381&gt;=0,"增加","减少")&amp;ABS(ROUND(N381,2))&amp;"亿元。"</f>
        <v>8月末集团带息负债总额558.92亿元，比年初增加26.55亿元。</v>
      </c>
    </row>
    <row r="401" spans="3:13">
      <c r="C401" s="406" t="s">
        <v>702</v>
      </c>
      <c r="I401" s="798" t="str">
        <f>B2&amp;"月末资产负债率为"&amp;ROUND(M382,2)&amp;"%，比年初"&amp;IF(N382&gt;=0,"增加","减少")&amp;ABS(ROUND(N382,2))&amp;"%。"</f>
        <v>8月末资产负债率为58.35%，比年初增加0.9%。</v>
      </c>
    </row>
    <row r="402" spans="3:13">
      <c r="C402" s="406" t="s">
        <v>703</v>
      </c>
      <c r="I402" s="406" t="s">
        <v>703</v>
      </c>
    </row>
    <row r="403" spans="3:13">
      <c r="C403" s="406" t="s">
        <v>704</v>
      </c>
      <c r="I403" s="406" t="str">
        <f>B2&amp;"月份集团实现税金"&amp;ROUND(H213/10000,2)&amp;"亿元，比上月"&amp;IF(I213&gt;=0,"增加","减少")&amp;ABS(ROUND(I213/10000,2))&amp;"亿元。"</f>
        <v>8月份集团实现税金0亿元，比上月增加0亿元。</v>
      </c>
    </row>
    <row r="404" spans="3:13">
      <c r="C404" s="406" t="s">
        <v>705</v>
      </c>
      <c r="I404" s="406" t="str">
        <f>"累计实现"&amp;ROUND(L213/10000,2)&amp;"亿元，比上年同期"&amp;IF(M213&gt;=0,"增加","减少")&amp;ABS(ROUND(M213/10000,2))&amp;"亿元，"&amp;IF(M213&gt;=0,"增幅","降幅")&amp;ABS(ROUND(O213,2))&amp;"%。"</f>
        <v>累计实现3.94亿元，比上年同期增加1.54亿元，增幅64.06%。</v>
      </c>
    </row>
    <row r="407" spans="3:13">
      <c r="C407" s="406" t="s">
        <v>1353</v>
      </c>
      <c r="H407" s="2160">
        <f>SUMIFS('#经营利润'!15:15,'#经营利润'!$1:$1,$E$1,'#经营利润'!$2:$2,$E$2,'#经营利润'!$4:$4,"汇总利润")/10000</f>
        <v>10.494199999999999</v>
      </c>
      <c r="I407" s="406">
        <f>SUMIFS('#经营利润'!15:15,'#经营利润'!$1:$1,$B$1,'#经营利润'!$2:$2,$B$2,'#经营利润'!$4:$4,"汇总利润")/10000</f>
        <v>8.7792999999999992</v>
      </c>
      <c r="M407" s="2160">
        <f>SUMIFS('#经营利润'!15:15,'#经营利润'!$1:$1,$B$1,'#经营利润'!$2:$2,"&lt;="&amp;$B$2,'#经营利润'!$4:$4,"汇总利润")/10000</f>
        <v>77.157200000000003</v>
      </c>
    </row>
    <row r="408" spans="3:13">
      <c r="H408" s="2160"/>
      <c r="M408" s="2160"/>
    </row>
    <row r="409" spans="3:13">
      <c r="H409" s="2160"/>
      <c r="M409" s="2160"/>
    </row>
    <row r="410" spans="3:13">
      <c r="H410" s="2160"/>
      <c r="M410" s="2160"/>
    </row>
    <row r="411" spans="3:13">
      <c r="H411" s="2160"/>
      <c r="M411" s="2160"/>
    </row>
    <row r="412" spans="3:13">
      <c r="H412" s="2160"/>
      <c r="M412" s="2160"/>
    </row>
    <row r="413" spans="3:13">
      <c r="H413" s="2160"/>
      <c r="M413" s="2160"/>
    </row>
    <row r="414" spans="3:13">
      <c r="H414" s="2160"/>
      <c r="M414" s="2160"/>
    </row>
    <row r="415" spans="3:13">
      <c r="H415" s="2160"/>
      <c r="M415" s="2160"/>
    </row>
    <row r="416" spans="3:13">
      <c r="H416" s="2160"/>
      <c r="M416" s="2160"/>
    </row>
    <row r="417" spans="8:13">
      <c r="H417" s="2160"/>
      <c r="M417" s="2160"/>
    </row>
    <row r="418" spans="8:13">
      <c r="H418" s="2160"/>
      <c r="M418" s="2160"/>
    </row>
    <row r="419" spans="8:13">
      <c r="H419" s="2160"/>
      <c r="M419" s="2160"/>
    </row>
    <row r="420" spans="8:13">
      <c r="H420" s="2160"/>
      <c r="M420" s="2160"/>
    </row>
    <row r="421" spans="8:13">
      <c r="H421" s="2160"/>
      <c r="M421" s="2160"/>
    </row>
    <row r="422" spans="8:13">
      <c r="H422" s="2160"/>
      <c r="M422" s="2160"/>
    </row>
    <row r="423" spans="8:13">
      <c r="H423" s="2160"/>
      <c r="M423" s="2160"/>
    </row>
    <row r="424" spans="8:13">
      <c r="H424" s="2160"/>
      <c r="M424" s="2160"/>
    </row>
    <row r="425" spans="8:13">
      <c r="H425" s="2160"/>
      <c r="M425" s="2160"/>
    </row>
    <row r="426" spans="8:13">
      <c r="H426" s="2160"/>
      <c r="M426" s="2160"/>
    </row>
    <row r="427" spans="8:13">
      <c r="H427" s="2160"/>
      <c r="M427" s="2160"/>
    </row>
    <row r="428" spans="8:13">
      <c r="H428" s="2160"/>
      <c r="M428" s="2160"/>
    </row>
    <row r="429" spans="8:13">
      <c r="H429" s="2160"/>
      <c r="M429" s="2160"/>
    </row>
    <row r="430" spans="8:13">
      <c r="H430" s="2160"/>
      <c r="M430" s="2160"/>
    </row>
    <row r="431" spans="8:13">
      <c r="H431" s="2160"/>
      <c r="M431" s="2160"/>
    </row>
    <row r="432" spans="8:13">
      <c r="H432" s="2160"/>
      <c r="M432" s="2160"/>
    </row>
    <row r="433" spans="8:13">
      <c r="H433" s="2160"/>
      <c r="M433" s="2160"/>
    </row>
    <row r="434" spans="8:13">
      <c r="H434" s="2160"/>
      <c r="M434" s="2160"/>
    </row>
    <row r="435" spans="8:13">
      <c r="H435" s="2160"/>
      <c r="M435" s="2160"/>
    </row>
    <row r="436" spans="8:13">
      <c r="H436" s="2160"/>
      <c r="M436" s="2160"/>
    </row>
    <row r="437" spans="8:13">
      <c r="H437" s="2160"/>
      <c r="M437" s="2160"/>
    </row>
    <row r="438" spans="8:13">
      <c r="H438" s="2160"/>
      <c r="M438" s="2160"/>
    </row>
    <row r="439" spans="8:13">
      <c r="H439" s="2160"/>
      <c r="M439" s="2160"/>
    </row>
    <row r="440" spans="8:13">
      <c r="H440" s="2160"/>
      <c r="M440" s="2160"/>
    </row>
    <row r="441" spans="8:13">
      <c r="H441" s="2160"/>
      <c r="M441" s="2160"/>
    </row>
    <row r="442" spans="8:13">
      <c r="H442" s="2160"/>
      <c r="M442" s="2160"/>
    </row>
    <row r="443" spans="8:13">
      <c r="H443" s="2160"/>
      <c r="M443" s="2160"/>
    </row>
    <row r="444" spans="8:13">
      <c r="H444" s="2160"/>
      <c r="M444" s="2160"/>
    </row>
    <row r="445" spans="8:13">
      <c r="H445" s="2160"/>
      <c r="M445" s="2160"/>
    </row>
    <row r="446" spans="8:13">
      <c r="H446" s="2160"/>
      <c r="M446" s="2160"/>
    </row>
    <row r="447" spans="8:13">
      <c r="H447" s="2160"/>
      <c r="M447" s="2160"/>
    </row>
    <row r="448" spans="8:13">
      <c r="H448" s="2160"/>
      <c r="M448" s="2160"/>
    </row>
    <row r="449" spans="8:13">
      <c r="H449" s="2160"/>
      <c r="M449" s="2160"/>
    </row>
    <row r="450" spans="8:13">
      <c r="H450" s="2160"/>
      <c r="M450" s="2160"/>
    </row>
    <row r="451" spans="8:13">
      <c r="H451" s="2160"/>
      <c r="M451" s="2160"/>
    </row>
    <row r="452" spans="8:13">
      <c r="H452" s="2160"/>
      <c r="M452" s="2160"/>
    </row>
    <row r="453" spans="8:13">
      <c r="H453" s="2160"/>
      <c r="M453" s="2160"/>
    </row>
    <row r="454" spans="8:13">
      <c r="H454" s="2160"/>
      <c r="M454" s="2160"/>
    </row>
    <row r="455" spans="8:13">
      <c r="H455" s="2160"/>
      <c r="M455" s="2160"/>
    </row>
    <row r="456" spans="8:13">
      <c r="H456" s="2160"/>
      <c r="M456" s="2160"/>
    </row>
    <row r="457" spans="8:13">
      <c r="H457" s="2160"/>
      <c r="M457" s="2160"/>
    </row>
    <row r="458" spans="8:13">
      <c r="H458" s="2160"/>
      <c r="M458" s="2160"/>
    </row>
    <row r="459" spans="8:13">
      <c r="H459" s="2160"/>
      <c r="M459" s="2160"/>
    </row>
    <row r="460" spans="8:13">
      <c r="H460" s="2160"/>
      <c r="M460" s="2160"/>
    </row>
    <row r="461" spans="8:13">
      <c r="H461" s="2160"/>
      <c r="M461" s="2160"/>
    </row>
    <row r="462" spans="8:13">
      <c r="H462" s="2160"/>
      <c r="M462" s="2160"/>
    </row>
    <row r="463" spans="8:13">
      <c r="H463" s="2160"/>
      <c r="M463" s="2160"/>
    </row>
    <row r="464" spans="8:13">
      <c r="H464" s="2160"/>
      <c r="M464" s="2160"/>
    </row>
    <row r="465" spans="8:13">
      <c r="H465" s="2160"/>
      <c r="M465" s="2160"/>
    </row>
    <row r="466" spans="8:13">
      <c r="H466" s="2160"/>
      <c r="M466" s="2160"/>
    </row>
    <row r="467" spans="8:13">
      <c r="H467" s="2160"/>
      <c r="M467" s="2160"/>
    </row>
    <row r="468" spans="8:13">
      <c r="H468" s="2160"/>
      <c r="M468" s="2160"/>
    </row>
    <row r="469" spans="8:13">
      <c r="H469" s="2160"/>
      <c r="M469" s="2160"/>
    </row>
    <row r="470" spans="8:13">
      <c r="H470" s="2160"/>
      <c r="M470" s="2160"/>
    </row>
    <row r="471" spans="8:13">
      <c r="H471" s="2160"/>
      <c r="M471" s="2160"/>
    </row>
    <row r="472" spans="8:13">
      <c r="H472" s="2160"/>
      <c r="M472" s="2160"/>
    </row>
    <row r="473" spans="8:13">
      <c r="H473" s="2160"/>
      <c r="M473" s="2160"/>
    </row>
    <row r="474" spans="8:13">
      <c r="H474" s="2160"/>
      <c r="M474" s="2160"/>
    </row>
    <row r="475" spans="8:13">
      <c r="H475" s="2160"/>
      <c r="M475" s="2160"/>
    </row>
    <row r="476" spans="8:13">
      <c r="H476" s="2160"/>
      <c r="M476" s="2160"/>
    </row>
    <row r="477" spans="8:13">
      <c r="H477" s="2160"/>
      <c r="M477" s="2160"/>
    </row>
    <row r="478" spans="8:13">
      <c r="H478" s="2160"/>
      <c r="M478" s="2160"/>
    </row>
    <row r="479" spans="8:13">
      <c r="H479" s="2160"/>
      <c r="M479" s="2160"/>
    </row>
    <row r="480" spans="8:13">
      <c r="H480" s="2160"/>
      <c r="M480" s="2160"/>
    </row>
    <row r="481" spans="8:13">
      <c r="H481" s="2160"/>
      <c r="M481" s="2160"/>
    </row>
    <row r="482" spans="8:13">
      <c r="H482" s="2160"/>
      <c r="M482" s="2160"/>
    </row>
    <row r="483" spans="8:13">
      <c r="H483" s="2160"/>
      <c r="M483" s="2160"/>
    </row>
    <row r="484" spans="8:13">
      <c r="H484" s="2160"/>
      <c r="M484" s="2160"/>
    </row>
    <row r="485" spans="8:13">
      <c r="H485" s="2160"/>
      <c r="M485" s="2160"/>
    </row>
    <row r="486" spans="8:13">
      <c r="H486" s="2160"/>
      <c r="M486" s="2160"/>
    </row>
    <row r="487" spans="8:13">
      <c r="H487" s="2160"/>
      <c r="M487" s="2160"/>
    </row>
    <row r="488" spans="8:13">
      <c r="H488" s="2160"/>
      <c r="M488" s="2160"/>
    </row>
    <row r="489" spans="8:13">
      <c r="H489" s="2160"/>
      <c r="M489" s="2160"/>
    </row>
    <row r="490" spans="8:13">
      <c r="H490" s="2160"/>
      <c r="M490" s="2160"/>
    </row>
    <row r="491" spans="8:13">
      <c r="H491" s="2160"/>
      <c r="M491" s="2160"/>
    </row>
    <row r="492" spans="8:13">
      <c r="H492" s="2160"/>
      <c r="M492" s="2160"/>
    </row>
    <row r="493" spans="8:13">
      <c r="H493" s="2160"/>
      <c r="M493" s="2160"/>
    </row>
    <row r="494" spans="8:13">
      <c r="H494" s="2160"/>
      <c r="M494" s="2160"/>
    </row>
    <row r="495" spans="8:13">
      <c r="H495" s="2160"/>
      <c r="M495" s="2160"/>
    </row>
    <row r="496" spans="8:13">
      <c r="H496" s="2160"/>
      <c r="M496" s="2160"/>
    </row>
    <row r="497" spans="7:13">
      <c r="H497" s="2160"/>
      <c r="M497" s="2160"/>
    </row>
    <row r="498" spans="7:13">
      <c r="H498" s="2160"/>
      <c r="M498" s="2160"/>
    </row>
    <row r="499" spans="7:13">
      <c r="H499" s="2160"/>
      <c r="M499" s="2160"/>
    </row>
    <row r="500" spans="7:13">
      <c r="G500" s="2589" t="s">
        <v>1244</v>
      </c>
      <c r="H500" s="2588" t="str">
        <f>H514</f>
        <v>7月</v>
      </c>
      <c r="I500" s="2588" t="str">
        <f>I514</f>
        <v>8月</v>
      </c>
    </row>
    <row r="501" spans="7:13">
      <c r="G501" s="1939" t="s">
        <v>13</v>
      </c>
      <c r="H501" s="2590">
        <f>H326</f>
        <v>111.71344400000001</v>
      </c>
      <c r="I501" s="2590">
        <f>I326</f>
        <v>112.67918299999999</v>
      </c>
    </row>
    <row r="502" spans="7:13">
      <c r="G502" s="1939" t="s">
        <v>1759</v>
      </c>
      <c r="H502" s="1939">
        <f>E178/10000</f>
        <v>4.0625</v>
      </c>
      <c r="I502" s="1939">
        <f>F178/10000</f>
        <v>31.284414000000002</v>
      </c>
    </row>
    <row r="503" spans="7:13">
      <c r="G503" s="1939" t="s">
        <v>25</v>
      </c>
      <c r="H503" s="2590">
        <f>H329</f>
        <v>80.1083</v>
      </c>
      <c r="I503" s="2590">
        <f>I329</f>
        <v>78.491500000000002</v>
      </c>
    </row>
    <row r="504" spans="7:13">
      <c r="G504" s="1939" t="s">
        <v>26</v>
      </c>
      <c r="H504" s="2590">
        <f>H332</f>
        <v>109.99733669999999</v>
      </c>
      <c r="I504" s="2590">
        <f>I332</f>
        <v>108.989</v>
      </c>
    </row>
    <row r="505" spans="7:13">
      <c r="G505" s="1939" t="s">
        <v>51</v>
      </c>
      <c r="H505" s="2590">
        <f>H335</f>
        <v>38.713328499999996</v>
      </c>
      <c r="I505" s="2590">
        <f>I335</f>
        <v>37.798000000000002</v>
      </c>
    </row>
    <row r="506" spans="7:13">
      <c r="G506" s="1939" t="s">
        <v>28</v>
      </c>
      <c r="H506" s="2590">
        <f>H338</f>
        <v>103.97309213</v>
      </c>
      <c r="I506" s="2590">
        <f>I338</f>
        <v>104.3941038</v>
      </c>
    </row>
    <row r="507" spans="7:13">
      <c r="G507" s="1939" t="s">
        <v>1760</v>
      </c>
      <c r="H507" s="2590">
        <f>H354</f>
        <v>37.680016000000016</v>
      </c>
      <c r="I507" s="2590">
        <f>I354</f>
        <v>34.83624600000001</v>
      </c>
    </row>
    <row r="508" spans="7:13">
      <c r="G508" s="1939" t="s">
        <v>1761</v>
      </c>
      <c r="H508" s="2590">
        <f>H349</f>
        <v>104.29980500000002</v>
      </c>
      <c r="I508" s="2590">
        <f>I349</f>
        <v>104.647446</v>
      </c>
    </row>
    <row r="509" spans="7:13">
      <c r="G509" s="1939" t="s">
        <v>1762</v>
      </c>
      <c r="H509" s="2590">
        <f>H354</f>
        <v>37.680016000000016</v>
      </c>
      <c r="I509" s="2590">
        <f>I354</f>
        <v>34.83624600000001</v>
      </c>
    </row>
    <row r="510" spans="7:13">
      <c r="G510" s="1939" t="s">
        <v>34</v>
      </c>
      <c r="H510" s="2590">
        <f>H359</f>
        <v>4.2516999999999996</v>
      </c>
      <c r="I510" s="2590">
        <f>I359</f>
        <v>5.9028999999999998</v>
      </c>
    </row>
    <row r="511" spans="7:13">
      <c r="G511" s="1939" t="s">
        <v>1760</v>
      </c>
      <c r="H511" s="1939">
        <f>E175/10000</f>
        <v>4.7035999999999998</v>
      </c>
      <c r="I511" s="1939">
        <f>F175/10000</f>
        <v>4.0419</v>
      </c>
    </row>
    <row r="514" spans="7:9">
      <c r="G514" s="2589" t="s">
        <v>1763</v>
      </c>
      <c r="H514" s="2588" t="str">
        <f>H325</f>
        <v>7月</v>
      </c>
      <c r="I514" s="2588" t="str">
        <f>I325</f>
        <v>8月</v>
      </c>
    </row>
    <row r="515" spans="7:9">
      <c r="G515" s="1939" t="s">
        <v>25</v>
      </c>
      <c r="H515" s="2590">
        <f>H330</f>
        <v>11.936299999999999</v>
      </c>
      <c r="I515" s="2590">
        <f>I330</f>
        <v>12.5198</v>
      </c>
    </row>
    <row r="516" spans="7:9">
      <c r="G516" s="1939" t="s">
        <v>26</v>
      </c>
      <c r="H516" s="2590">
        <f>H333</f>
        <v>15.3575</v>
      </c>
      <c r="I516" s="2590">
        <f>I333</f>
        <v>15.26</v>
      </c>
    </row>
    <row r="517" spans="7:9">
      <c r="G517" s="1939" t="s">
        <v>51</v>
      </c>
      <c r="H517" s="2590">
        <f>H336</f>
        <v>13.3507</v>
      </c>
      <c r="I517" s="2590">
        <f>I336</f>
        <v>15.26</v>
      </c>
    </row>
    <row r="518" spans="7:9">
      <c r="G518" s="1939" t="s">
        <v>28</v>
      </c>
      <c r="H518" s="2590">
        <f>H339</f>
        <v>14.828799999999999</v>
      </c>
      <c r="I518" s="2590">
        <f>I339</f>
        <v>14.9666</v>
      </c>
    </row>
    <row r="519" spans="7:9">
      <c r="G519" s="1939" t="s">
        <v>1760</v>
      </c>
      <c r="H519" s="2590">
        <f>H344</f>
        <v>10.5268</v>
      </c>
      <c r="I519" s="2590">
        <f>I344</f>
        <v>14.8005</v>
      </c>
    </row>
    <row r="520" spans="7:9">
      <c r="G520" s="1939" t="s">
        <v>1761</v>
      </c>
      <c r="H520" s="2590">
        <f>H350</f>
        <v>17.38</v>
      </c>
      <c r="I520" s="2590">
        <f>I350</f>
        <v>14.07</v>
      </c>
    </row>
    <row r="521" spans="7:9">
      <c r="G521" s="1939" t="s">
        <v>1762</v>
      </c>
      <c r="H521" s="2590">
        <f>H355</f>
        <v>17.38</v>
      </c>
      <c r="I521" s="2590">
        <f>I355</f>
        <v>13.74</v>
      </c>
    </row>
    <row r="522" spans="7:9">
      <c r="G522" s="1939" t="s">
        <v>34</v>
      </c>
      <c r="H522" s="2590">
        <f>H360</f>
        <v>7.0909799999999995E-2</v>
      </c>
      <c r="I522" s="2590">
        <f>I360</f>
        <v>0.22070000000000001</v>
      </c>
    </row>
    <row r="523" spans="7:9">
      <c r="G523" s="1939" t="s">
        <v>1760</v>
      </c>
      <c r="H523" s="2590">
        <f>E176/10000</f>
        <v>5.9103987600000005E-2</v>
      </c>
      <c r="I523" s="2590">
        <f>F176/10000</f>
        <v>0.22070000000000001</v>
      </c>
    </row>
    <row r="525" spans="7:9">
      <c r="G525" s="2589" t="s">
        <v>1764</v>
      </c>
      <c r="H525" s="2588" t="str">
        <f>H514</f>
        <v>7月</v>
      </c>
      <c r="I525" s="2588" t="str">
        <f>I514</f>
        <v>8月</v>
      </c>
    </row>
    <row r="526" spans="7:9">
      <c r="G526" s="1939" t="s">
        <v>28</v>
      </c>
      <c r="H526" s="2590">
        <f>H340</f>
        <v>5.8933999999999997</v>
      </c>
      <c r="I526" s="2590">
        <f>I340</f>
        <v>5.9367999999999999</v>
      </c>
    </row>
    <row r="527" spans="7:9">
      <c r="G527" s="1939" t="s">
        <v>1760</v>
      </c>
      <c r="H527" s="2590">
        <f>H345</f>
        <v>5.8933999999999997</v>
      </c>
      <c r="I527" s="2590">
        <f>I345</f>
        <v>5.9367999999999999</v>
      </c>
    </row>
    <row r="528" spans="7:9">
      <c r="G528" s="1939" t="s">
        <v>1761</v>
      </c>
      <c r="H528" s="2590">
        <f>H351</f>
        <v>5.9</v>
      </c>
      <c r="I528" s="2590">
        <f>I351</f>
        <v>5.95</v>
      </c>
    </row>
    <row r="529" spans="7:9">
      <c r="G529" s="1939" t="s">
        <v>1762</v>
      </c>
      <c r="H529" s="2590">
        <f>H356</f>
        <v>5.9</v>
      </c>
      <c r="I529" s="2590">
        <f>I356</f>
        <v>5.95</v>
      </c>
    </row>
    <row r="530" spans="7:9">
      <c r="G530" s="1939" t="s">
        <v>34</v>
      </c>
      <c r="H530" s="2590">
        <f>H361</f>
        <v>0.47350569999999997</v>
      </c>
      <c r="I530" s="2590">
        <f>I361</f>
        <v>0.62309999999999999</v>
      </c>
    </row>
    <row r="531" spans="7:9">
      <c r="G531" s="1939" t="s">
        <v>1760</v>
      </c>
      <c r="H531" s="2590">
        <f>E177/10000</f>
        <v>0.49034911187126928</v>
      </c>
      <c r="I531" s="2590">
        <f>F177/10000</f>
        <v>0.62309999999999999</v>
      </c>
    </row>
    <row r="533" spans="7:9">
      <c r="G533" s="2589" t="s">
        <v>1765</v>
      </c>
      <c r="H533" s="2590">
        <f>H341</f>
        <v>-2.2115120000000004</v>
      </c>
      <c r="I533" s="2590">
        <f>I341</f>
        <v>-2.073966</v>
      </c>
    </row>
  </sheetData>
  <customSheetViews>
    <customSheetView guid="{1683F931-F47D-47C0-A395-D48080DC7EE6}" showPageBreaks="1" fitToPage="1" printArea="1" hiddenRows="1" topLeftCell="A34">
      <selection activeCell="H229" sqref="H229"/>
      <pageMargins left="0.69930555555555596" right="0.69930555555555596" top="0.75" bottom="0.75" header="0.3" footer="0.3"/>
      <pageSetup paperSize="9" scale="42" fitToHeight="0" orientation="landscape" r:id="rId1"/>
    </customSheetView>
    <customSheetView guid="{43897816-D2F0-4C3D-8F57-E0039BD2296B}" scale="71" showPageBreaks="1" topLeftCell="A388">
      <selection activeCell="A246" sqref="A246:XFD246"/>
      <pageMargins left="0.69930555555555596" right="0.69930555555555596" top="0.75" bottom="0.75" header="0.3" footer="0.3"/>
      <pageSetup paperSize="9" scale="10" orientation="portrait" r:id="rId2"/>
    </customSheetView>
    <customSheetView guid="{849C46E5-4ED4-41B9-BDA9-A6465B9DA9C2}" scale="25" fitToPage="1" hiddenRows="1" topLeftCell="A336">
      <selection activeCell="B326" sqref="B326:B352"/>
      <rowBreaks count="3" manualBreakCount="3">
        <brk id="234" max="16383" man="1"/>
        <brk id="348" min="1" max="14" man="1"/>
        <brk id="375" max="14" man="1"/>
      </rowBreaks>
      <colBreaks count="1" manualBreakCount="1">
        <brk id="15" max="1048575" man="1"/>
      </colBreaks>
      <pageMargins left="0.23622047244094491" right="0.23622047244094491" top="0.74803149606299213" bottom="0.74803149606299213" header="0.31496062992125984" footer="0.31496062992125984"/>
      <printOptions horizontalCentered="1"/>
      <pageSetup paperSize="8" scale="31" orientation="landscape" r:id="rId3"/>
    </customSheetView>
    <customSheetView guid="{8C09BCDE-4B8A-4469-B3F2-7F4528A2E78D}" scale="25" showPageBreaks="1" fitToPage="1" printArea="1" hiddenRows="1" topLeftCell="A336">
      <selection activeCell="B343" sqref="B343:B348"/>
      <rowBreaks count="3" manualBreakCount="3">
        <brk id="234" max="16383" man="1"/>
        <brk id="348" min="1" max="14" man="1"/>
        <brk id="375" max="14" man="1"/>
      </rowBreaks>
      <colBreaks count="1" manualBreakCount="1">
        <brk id="15" max="1048575" man="1"/>
      </colBreaks>
      <pageMargins left="0.23622047244094491" right="0.23622047244094491" top="0.74803149606299213" bottom="0.74803149606299213" header="0.31496062992125984" footer="0.31496062992125984"/>
      <printOptions horizontalCentered="1"/>
      <pageSetup paperSize="8" scale="31" orientation="landscape" r:id="rId4"/>
    </customSheetView>
    <customSheetView guid="{F4EB51F4-FD23-4D5B-8072-1AF5D59D6686}" scale="85" showPageBreaks="1" fitToPage="1" printArea="1">
      <selection activeCell="I372" sqref="I372"/>
      <pageMargins left="0.25" right="0.25" top="0.75" bottom="0.75" header="0.3" footer="0.3"/>
      <printOptions horizontalCentered="1"/>
      <pageSetup paperSize="8" scale="45" orientation="portrait" r:id="rId5"/>
    </customSheetView>
    <customSheetView guid="{D7BCFB76-2797-401D-A6F1-E020B5162DD4}" scale="85" showPageBreaks="1" fitToPage="1" printArea="1" hiddenRows="1" topLeftCell="A82">
      <selection activeCell="H90" sqref="G90:H90"/>
      <pageMargins left="0.69930555555555596" right="0.69930555555555596" top="0.75" bottom="0.75" header="0.3" footer="0.3"/>
      <pageSetup paperSize="9" scale="22" orientation="landscape" r:id="rId6"/>
    </customSheetView>
    <customSheetView guid="{C9A88430-3808-49F4-8D86-BF8C70C55441}" scale="85" showPageBreaks="1" fitToPage="1" printArea="1" hiddenRows="1" topLeftCell="A142">
      <selection activeCell="I128" sqref="I128"/>
      <pageMargins left="0.69930555555555596" right="0.69930555555555596" top="0.75" bottom="0.75" header="0.3" footer="0.3"/>
      <pageSetup paperSize="9" scale="43" fitToHeight="0" orientation="landscape" r:id="rId7"/>
    </customSheetView>
    <customSheetView guid="{E61FFED3-723E-484A-93A0-94E1A801AF06}" showPageBreaks="1">
      <selection activeCell="L39" sqref="L39"/>
      <pageMargins left="0.69930555555555596" right="0.69930555555555596" top="0.75" bottom="0.75" header="0.3" footer="0.3"/>
      <pageSetup paperSize="9" orientation="portrait" r:id="rId8"/>
    </customSheetView>
    <customSheetView guid="{6B5CCA07-2BDD-4B8E-9E3C-2111BBA97430}" fitToPage="1" hiddenRows="1" topLeftCell="A4">
      <selection activeCell="G64" sqref="G64"/>
      <pageMargins left="0.69930555555555596" right="0.69930555555555596" top="0.75" bottom="0.75" header="0.3" footer="0.3"/>
      <pageSetup paperSize="9" scale="48" orientation="landscape" r:id="rId9"/>
    </customSheetView>
    <customSheetView guid="{2F47A827-9643-4D8A-AC5D-6B09D79AACF9}" showPageBreaks="1" topLeftCell="A154">
      <selection activeCell="C139" sqref="C139"/>
      <pageMargins left="0.69930555555555596" right="0.69930555555555596" top="0.75" bottom="0.75" header="0.3" footer="0.3"/>
      <pageSetup paperSize="9" orientation="portrait" r:id="rId10"/>
    </customSheetView>
    <customSheetView guid="{B37168A1-DBAB-4BDE-9F92-6261DCDF3D92}" showPageBreaks="1" hiddenRows="1" topLeftCell="A51">
      <selection activeCell="B75" sqref="B75"/>
      <pageMargins left="0.69930555555555596" right="0.69930555555555596" top="0.75" bottom="0.75" header="0.3" footer="0.3"/>
      <pageSetup paperSize="9" orientation="portrait" r:id="rId11"/>
    </customSheetView>
    <customSheetView guid="{AE0DD889-C13C-4059-8024-0F5B234827E9}" scale="85" showPageBreaks="1" fitToPage="1" printArea="1" hiddenRows="1" topLeftCell="A79">
      <selection activeCell="M126" sqref="M126"/>
      <pageMargins left="0.69930555555555596" right="0.69930555555555596" top="0.75" bottom="0.75" header="0.3" footer="0.3"/>
      <pageSetup paperSize="9" scale="59" fitToHeight="0" orientation="landscape" r:id="rId12"/>
    </customSheetView>
    <customSheetView guid="{CCBBD9B0-4191-4D7A-9F7B-BAC044A49153}" showPageBreaks="1" hiddenRows="1" topLeftCell="A156">
      <selection activeCell="X33" sqref="X33"/>
      <pageMargins left="0.69930555555555596" right="0.69930555555555596" top="0.75" bottom="0.75" header="0.3" footer="0.3"/>
      <pageSetup paperSize="9" orientation="portrait"/>
    </customSheetView>
    <customSheetView guid="{F5F9735B-EE22-4AC6-B5AB-C856ED6C133D}" showPageBreaks="1">
      <selection activeCell="I13" sqref="I13"/>
      <pageMargins left="0.69930555555555596" right="0.69930555555555596" top="0.75" bottom="0.75" header="0.3" footer="0.3"/>
      <pageSetup paperSize="9" orientation="portrait"/>
    </customSheetView>
    <customSheetView guid="{45B4C0D1-53B6-4553-BFF9-393760B8E0CE}" showPageBreaks="1" hiddenRows="1" topLeftCell="A205">
      <selection activeCell="I225" sqref="I225"/>
      <pageMargins left="0.69930555555555596" right="0.69930555555555596" top="0.75" bottom="0.75" header="0.3" footer="0.3"/>
      <pageSetup paperSize="9" orientation="portrait"/>
    </customSheetView>
    <customSheetView guid="{1BBD1596-143E-4714-99EF-E3545231CCD1}" topLeftCell="A78">
      <selection activeCell="M165" sqref="M165"/>
      <pageMargins left="0.69930555555555596" right="0.69930555555555596" top="0.75" bottom="0.75" header="0.3" footer="0.3"/>
    </customSheetView>
    <customSheetView guid="{A8456D60-99BA-4794-8966-0CBA0A37EA6F}" topLeftCell="A121">
      <selection activeCell="N168" sqref="N168"/>
      <pageMargins left="0.69930555555555596" right="0.69930555555555596" top="0.75" bottom="0.75" header="0.3" footer="0.3"/>
    </customSheetView>
    <customSheetView guid="{500C3980-ED13-4C97-96B1-955D50509B66}" scale="85" showPageBreaks="1" hiddenRows="1">
      <selection activeCell="I12" sqref="I12"/>
      <pageMargins left="0.69930555555555596" right="0.69930555555555596" top="0.75" bottom="0.75" header="0.3" footer="0.3"/>
      <pageSetup paperSize="9" orientation="portrait"/>
    </customSheetView>
    <customSheetView guid="{3B943BAF-34C7-494A-A071-85DE0891E5A1}" hiddenRows="1" topLeftCell="A10">
      <selection activeCell="B3" sqref="B3"/>
      <pageMargins left="0.69930555555555596" right="0.69930555555555596" top="0.75" bottom="0.75" header="0.3" footer="0.3"/>
      <pageSetup paperSize="9" orientation="portrait"/>
    </customSheetView>
    <customSheetView guid="{EEE4B3DA-ADF6-49CC-9873-068FE5927B92}" showPageBreaks="1" topLeftCell="A154">
      <selection activeCell="C139" sqref="C139"/>
      <pageMargins left="0.69930555555555596" right="0.69930555555555596" top="0.75" bottom="0.75" header="0.3" footer="0.3"/>
      <pageSetup paperSize="9" orientation="portrait"/>
    </customSheetView>
    <customSheetView guid="{C52D0F53-4D1D-4D01-B833-260359FD02A5}" scale="85" showPageBreaks="1" fitToPage="1" printArea="1" hiddenRows="1" topLeftCell="B226">
      <selection activeCell="N235" sqref="N235"/>
      <pageMargins left="0.25" right="0.25" top="0.75" bottom="0.75" header="0.3" footer="0.3"/>
      <printOptions horizontalCentered="1"/>
      <pageSetup paperSize="9" scale="23" orientation="landscape" r:id="rId13"/>
    </customSheetView>
    <customSheetView guid="{6A1E79C9-91E3-4EEA-8ABB-4446083299EC}" showPageBreaks="1" fitToPage="1" printArea="1" topLeftCell="A46">
      <selection activeCell="J89" sqref="J89"/>
      <pageMargins left="0.69930555555555596" right="0.69930555555555596" top="0.75" bottom="0.75" header="0.3" footer="0.3"/>
      <pageSetup paperSize="9" scale="44" fitToHeight="0" orientation="landscape" r:id="rId14"/>
    </customSheetView>
    <customSheetView guid="{8B80B510-C931-46B1-8591-DEA916D76593}" scale="70" hiddenRows="1" topLeftCell="A169">
      <selection activeCell="E198" sqref="E198"/>
      <pageMargins left="0.69930555555555596" right="0.69930555555555596" top="0.75" bottom="0.75" header="0.3" footer="0.3"/>
      <pageSetup paperSize="9" scale="10" orientation="portrait" r:id="rId15"/>
    </customSheetView>
    <customSheetView guid="{303A9D89-611D-4504-BCAA-071C53B021F7}" showPageBreaks="1" topLeftCell="A242">
      <selection activeCell="E185" sqref="E185"/>
      <pageMargins left="0.69930555555555596" right="0.69930555555555596" top="0.75" bottom="0.75" header="0.3" footer="0.3"/>
      <pageSetup paperSize="9" orientation="portrait" horizontalDpi="1200" verticalDpi="1200" r:id="rId16"/>
    </customSheetView>
    <customSheetView guid="{4583A87D-5DFF-47BD-849A-FA4AAF2B9CE3}" scale="70" showPageBreaks="1" hiddenRows="1" hiddenColumns="1" topLeftCell="C106">
      <selection activeCell="O136" sqref="O136"/>
      <pageMargins left="0.69930555555555596" right="0.69930555555555596" top="0.75" bottom="0.75" header="0.3" footer="0.3"/>
      <pageSetup paperSize="9" scale="10" orientation="portrait" r:id="rId17"/>
    </customSheetView>
    <customSheetView guid="{EA856AC2-CDFF-46B6-B0C4-30449DF132F4}" scale="71" showPageBreaks="1" topLeftCell="A325">
      <selection activeCell="I336" sqref="I336"/>
      <pageMargins left="0.69930555555555596" right="0.69930555555555596" top="0.75" bottom="0.75" header="0.3" footer="0.3"/>
      <pageSetup paperSize="9" scale="10" orientation="portrait" r:id="rId18"/>
    </customSheetView>
    <customSheetView guid="{322A45A6-8B26-49B8-A4D9-EFB3C94A758D}" scale="85" showPageBreaks="1" fitToPage="1" printArea="1" hiddenRows="1">
      <selection activeCell="E12" sqref="E12"/>
      <pageMargins left="0.69930555555555596" right="0.69930555555555596" top="0.75" bottom="0.75" header="0.3" footer="0.3"/>
      <pageSetup paperSize="9" scale="41" fitToHeight="0" orientation="landscape" r:id="rId19"/>
    </customSheetView>
  </customSheetViews>
  <mergeCells count="89">
    <mergeCell ref="B347:B352"/>
    <mergeCell ref="B326:B346"/>
    <mergeCell ref="B353:B361"/>
    <mergeCell ref="B378:B379"/>
    <mergeCell ref="C74:C75"/>
    <mergeCell ref="C195:C196"/>
    <mergeCell ref="C215:C216"/>
    <mergeCell ref="C251:C252"/>
    <mergeCell ref="C282:C284"/>
    <mergeCell ref="B87:C88"/>
    <mergeCell ref="B324:C325"/>
    <mergeCell ref="B139:C140"/>
    <mergeCell ref="B374:B377"/>
    <mergeCell ref="B107:B136"/>
    <mergeCell ref="B298:B301"/>
    <mergeCell ref="B170:B177"/>
    <mergeCell ref="B366:B373"/>
    <mergeCell ref="B362:B365"/>
    <mergeCell ref="D324:F324"/>
    <mergeCell ref="G324:O324"/>
    <mergeCell ref="B9:B10"/>
    <mergeCell ref="B31:B32"/>
    <mergeCell ref="B51:B52"/>
    <mergeCell ref="B73:B75"/>
    <mergeCell ref="B89:B106"/>
    <mergeCell ref="B178:B180"/>
    <mergeCell ref="B195:B196"/>
    <mergeCell ref="B215:B216"/>
    <mergeCell ref="B235:B236"/>
    <mergeCell ref="B251:B252"/>
    <mergeCell ref="B282:B284"/>
    <mergeCell ref="B293:B297"/>
    <mergeCell ref="E251:J251"/>
    <mergeCell ref="B322:O322"/>
    <mergeCell ref="H283:H284"/>
    <mergeCell ref="I283:I284"/>
    <mergeCell ref="J283:J284"/>
    <mergeCell ref="D251:D252"/>
    <mergeCell ref="D283:D284"/>
    <mergeCell ref="E283:E284"/>
    <mergeCell ref="F283:F284"/>
    <mergeCell ref="G283:G284"/>
    <mergeCell ref="D282:F282"/>
    <mergeCell ref="G282:M282"/>
    <mergeCell ref="K283:M283"/>
    <mergeCell ref="D215:E215"/>
    <mergeCell ref="F215:N215"/>
    <mergeCell ref="D235:E235"/>
    <mergeCell ref="F235:G235"/>
    <mergeCell ref="H235:I235"/>
    <mergeCell ref="J235:K235"/>
    <mergeCell ref="L235:M235"/>
    <mergeCell ref="F87:N87"/>
    <mergeCell ref="D195:E195"/>
    <mergeCell ref="F195:N195"/>
    <mergeCell ref="H74:H75"/>
    <mergeCell ref="M74:M75"/>
    <mergeCell ref="B141:B169"/>
    <mergeCell ref="R51:U51"/>
    <mergeCell ref="D139:E139"/>
    <mergeCell ref="F139:G139"/>
    <mergeCell ref="H139:I139"/>
    <mergeCell ref="J139:K139"/>
    <mergeCell ref="C73:E73"/>
    <mergeCell ref="F73:O73"/>
    <mergeCell ref="I74:J74"/>
    <mergeCell ref="K74:L74"/>
    <mergeCell ref="N74:O74"/>
    <mergeCell ref="D74:D75"/>
    <mergeCell ref="E74:E75"/>
    <mergeCell ref="F74:F75"/>
    <mergeCell ref="G74:G75"/>
    <mergeCell ref="D87:E87"/>
    <mergeCell ref="C9:E9"/>
    <mergeCell ref="F9:N9"/>
    <mergeCell ref="Q13:S13"/>
    <mergeCell ref="C31:E31"/>
    <mergeCell ref="F31:H31"/>
    <mergeCell ref="I31:K31"/>
    <mergeCell ref="L31:N31"/>
    <mergeCell ref="V51:W51"/>
    <mergeCell ref="C51:E51"/>
    <mergeCell ref="L51:N51"/>
    <mergeCell ref="F51:H51"/>
    <mergeCell ref="AY31:AZ31"/>
    <mergeCell ref="AN31:AP31"/>
    <mergeCell ref="AQ31:AS31"/>
    <mergeCell ref="AT31:AV31"/>
    <mergeCell ref="I51:K51"/>
  </mergeCells>
  <phoneticPr fontId="133" type="noConversion"/>
  <pageMargins left="0.69930555555555596" right="0.69930555555555596" top="0.75" bottom="0.75" header="0.3" footer="0.3"/>
  <pageSetup paperSize="9" scale="42" fitToHeight="0" orientation="landscape" r:id="rId2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BO111"/>
  <sheetViews>
    <sheetView topLeftCell="D1" zoomScaleNormal="100" zoomScaleSheetLayoutView="100" workbookViewId="0">
      <selection activeCell="A13" sqref="A13:XFD13"/>
    </sheetView>
  </sheetViews>
  <sheetFormatPr defaultColWidth="9" defaultRowHeight="13.5"/>
  <cols>
    <col min="1" max="1" width="28.5" style="745" customWidth="1"/>
    <col min="2" max="2" width="16.375" style="745" customWidth="1"/>
    <col min="3" max="3" width="12.75" style="745" customWidth="1"/>
    <col min="4" max="5" width="11.75" style="745" customWidth="1"/>
    <col min="6" max="6" width="11.5" style="745" customWidth="1"/>
    <col min="7" max="8" width="11.125" style="745" customWidth="1"/>
    <col min="9" max="23" width="10.25" style="745" customWidth="1"/>
    <col min="24" max="24" width="10.75" style="745" customWidth="1"/>
    <col min="25" max="25" width="13.75" style="745" customWidth="1"/>
    <col min="26" max="26" width="12.25" style="745" customWidth="1"/>
    <col min="27" max="28" width="11.625" style="745" customWidth="1"/>
    <col min="29" max="29" width="10.75" style="745" customWidth="1"/>
    <col min="30" max="30" width="12.5" style="745" customWidth="1"/>
    <col min="31" max="33" width="10.75" style="745" customWidth="1"/>
    <col min="34" max="34" width="11.625" style="745" customWidth="1"/>
    <col min="35" max="53" width="10.75" style="745" customWidth="1"/>
    <col min="54" max="54" width="10.625" style="745" customWidth="1"/>
    <col min="55" max="55" width="10.75" style="745" customWidth="1"/>
    <col min="56" max="57" width="10.625" style="745" hidden="1" customWidth="1"/>
    <col min="58" max="59" width="10.75" style="745" bestFit="1" customWidth="1"/>
    <col min="60" max="60" width="13.375" style="745" bestFit="1" customWidth="1"/>
    <col min="61" max="61" width="9" style="755" customWidth="1"/>
    <col min="62" max="62" width="11.25" style="755" customWidth="1"/>
    <col min="63" max="63" width="10" style="755" customWidth="1"/>
    <col min="64" max="64" width="27.875" style="755" customWidth="1"/>
    <col min="65" max="65" width="15.375" style="745" customWidth="1"/>
    <col min="66" max="66" width="9" style="745" customWidth="1"/>
    <col min="67" max="16384" width="9" style="745"/>
  </cols>
  <sheetData>
    <row r="1" spans="1:67" s="147" customFormat="1">
      <c r="A1" s="147" t="s">
        <v>0</v>
      </c>
      <c r="B1" s="147">
        <f>'#经营概况'!B1</f>
        <v>2021</v>
      </c>
      <c r="D1" s="147">
        <f>B1-2</f>
        <v>2019</v>
      </c>
      <c r="E1" s="147">
        <f>D1</f>
        <v>2019</v>
      </c>
      <c r="F1" s="147">
        <f>B1-1</f>
        <v>2020</v>
      </c>
      <c r="G1" s="147">
        <f>F1</f>
        <v>2020</v>
      </c>
      <c r="H1" s="147">
        <f t="shared" ref="H1:AA1" si="0">G1</f>
        <v>2020</v>
      </c>
      <c r="I1" s="147">
        <f t="shared" si="0"/>
        <v>2020</v>
      </c>
      <c r="J1" s="147">
        <f t="shared" si="0"/>
        <v>2020</v>
      </c>
      <c r="K1" s="147">
        <f t="shared" si="0"/>
        <v>2020</v>
      </c>
      <c r="L1" s="147">
        <f t="shared" si="0"/>
        <v>2020</v>
      </c>
      <c r="M1" s="147">
        <f t="shared" si="0"/>
        <v>2020</v>
      </c>
      <c r="N1" s="147">
        <f t="shared" si="0"/>
        <v>2020</v>
      </c>
      <c r="O1" s="147">
        <f t="shared" si="0"/>
        <v>2020</v>
      </c>
      <c r="P1" s="147">
        <f t="shared" si="0"/>
        <v>2020</v>
      </c>
      <c r="Q1" s="147">
        <f t="shared" si="0"/>
        <v>2020</v>
      </c>
      <c r="R1" s="147">
        <f t="shared" si="0"/>
        <v>2020</v>
      </c>
      <c r="S1" s="147">
        <f t="shared" si="0"/>
        <v>2020</v>
      </c>
      <c r="T1" s="147">
        <f t="shared" si="0"/>
        <v>2020</v>
      </c>
      <c r="U1" s="147">
        <f t="shared" si="0"/>
        <v>2020</v>
      </c>
      <c r="V1" s="147">
        <f t="shared" si="0"/>
        <v>2020</v>
      </c>
      <c r="W1" s="147">
        <f t="shared" si="0"/>
        <v>2020</v>
      </c>
      <c r="X1" s="147">
        <f t="shared" si="0"/>
        <v>2020</v>
      </c>
      <c r="Y1" s="147">
        <f t="shared" si="0"/>
        <v>2020</v>
      </c>
      <c r="Z1" s="147">
        <f t="shared" si="0"/>
        <v>2020</v>
      </c>
      <c r="AA1" s="147">
        <f t="shared" si="0"/>
        <v>2020</v>
      </c>
      <c r="AB1" s="147">
        <f>$AA1</f>
        <v>2020</v>
      </c>
      <c r="AC1" s="147">
        <f>$AB1</f>
        <v>2020</v>
      </c>
      <c r="AD1" s="147">
        <v>2021</v>
      </c>
      <c r="AE1" s="147">
        <v>2021</v>
      </c>
      <c r="AF1" s="147">
        <v>2021</v>
      </c>
      <c r="AG1" s="147">
        <v>2021</v>
      </c>
      <c r="AH1" s="147">
        <v>2021</v>
      </c>
      <c r="AI1" s="147">
        <v>2021</v>
      </c>
      <c r="AJ1" s="147">
        <v>2021</v>
      </c>
      <c r="AK1" s="147">
        <v>2021</v>
      </c>
      <c r="AL1" s="147">
        <v>2021</v>
      </c>
      <c r="AM1" s="147">
        <v>2021</v>
      </c>
      <c r="AN1" s="147">
        <v>2021</v>
      </c>
      <c r="AO1" s="147">
        <v>2021</v>
      </c>
      <c r="AP1" s="147">
        <v>2021</v>
      </c>
      <c r="AQ1" s="147">
        <v>2021</v>
      </c>
      <c r="AR1" s="147">
        <v>2021</v>
      </c>
      <c r="AS1" s="147">
        <v>2021</v>
      </c>
      <c r="AT1" s="147">
        <v>2021</v>
      </c>
      <c r="AU1" s="147">
        <v>2021</v>
      </c>
      <c r="AV1" s="147">
        <v>2021</v>
      </c>
      <c r="AW1" s="147">
        <v>2021</v>
      </c>
      <c r="AX1" s="147">
        <v>2021</v>
      </c>
      <c r="AY1" s="147">
        <v>2021</v>
      </c>
      <c r="AZ1" s="147">
        <v>2021</v>
      </c>
      <c r="BA1" s="147">
        <v>2021</v>
      </c>
      <c r="BI1" s="783"/>
      <c r="BJ1" s="783"/>
      <c r="BK1" s="783"/>
      <c r="BL1" s="783"/>
    </row>
    <row r="2" spans="1:67" s="147" customFormat="1">
      <c r="A2" s="147" t="s">
        <v>1</v>
      </c>
      <c r="B2" s="1760">
        <f>'#经营概况'!B2</f>
        <v>8</v>
      </c>
      <c r="C2" s="1760"/>
      <c r="D2" s="1760">
        <v>12</v>
      </c>
      <c r="E2" s="1760">
        <v>12</v>
      </c>
      <c r="F2" s="1760">
        <v>1</v>
      </c>
      <c r="G2" s="1760">
        <v>1</v>
      </c>
      <c r="H2" s="1760">
        <v>2</v>
      </c>
      <c r="I2" s="1760">
        <v>2</v>
      </c>
      <c r="J2" s="1760">
        <v>3</v>
      </c>
      <c r="K2" s="1760">
        <v>3</v>
      </c>
      <c r="L2" s="1760">
        <v>4</v>
      </c>
      <c r="M2" s="1760">
        <v>4</v>
      </c>
      <c r="N2" s="1760">
        <v>5</v>
      </c>
      <c r="O2" s="1760">
        <v>5</v>
      </c>
      <c r="P2" s="1760">
        <v>6</v>
      </c>
      <c r="Q2" s="1760">
        <v>6</v>
      </c>
      <c r="R2" s="1760">
        <v>7</v>
      </c>
      <c r="S2" s="1760">
        <v>7</v>
      </c>
      <c r="T2" s="1760">
        <v>8</v>
      </c>
      <c r="U2" s="1760">
        <v>8</v>
      </c>
      <c r="V2" s="1760">
        <v>9</v>
      </c>
      <c r="W2" s="1760">
        <v>9</v>
      </c>
      <c r="X2" s="1760">
        <v>10</v>
      </c>
      <c r="Y2" s="1760">
        <v>10</v>
      </c>
      <c r="Z2" s="1760">
        <v>11</v>
      </c>
      <c r="AA2" s="1760">
        <v>11</v>
      </c>
      <c r="AB2" s="1760">
        <v>12</v>
      </c>
      <c r="AC2" s="1760">
        <v>12</v>
      </c>
      <c r="AD2" s="1760">
        <v>1</v>
      </c>
      <c r="AE2" s="1760">
        <v>1</v>
      </c>
      <c r="AF2" s="1760">
        <v>2</v>
      </c>
      <c r="AG2" s="1760">
        <v>2</v>
      </c>
      <c r="AH2" s="1760">
        <v>3</v>
      </c>
      <c r="AI2" s="1760">
        <v>3</v>
      </c>
      <c r="AJ2" s="1760">
        <v>4</v>
      </c>
      <c r="AK2" s="1760">
        <v>4</v>
      </c>
      <c r="AL2" s="1760">
        <v>5</v>
      </c>
      <c r="AM2" s="1760">
        <v>5</v>
      </c>
      <c r="AN2" s="1760">
        <v>6</v>
      </c>
      <c r="AO2" s="1760">
        <v>6</v>
      </c>
      <c r="AP2" s="1760">
        <v>7</v>
      </c>
      <c r="AQ2" s="1760">
        <v>7</v>
      </c>
      <c r="AR2" s="1760">
        <v>8</v>
      </c>
      <c r="AS2" s="1760">
        <v>8</v>
      </c>
      <c r="AT2" s="1760">
        <v>9</v>
      </c>
      <c r="AU2" s="1760">
        <v>9</v>
      </c>
      <c r="AV2" s="1760">
        <v>10</v>
      </c>
      <c r="AW2" s="1760">
        <v>10</v>
      </c>
      <c r="AX2" s="1760">
        <v>11</v>
      </c>
      <c r="AY2" s="1760">
        <v>11</v>
      </c>
      <c r="AZ2" s="1760">
        <v>12</v>
      </c>
      <c r="BA2" s="1760">
        <v>12</v>
      </c>
      <c r="BI2" s="783"/>
      <c r="BJ2" s="783"/>
      <c r="BK2" s="783"/>
      <c r="BL2" s="783"/>
    </row>
    <row r="3" spans="1:67" ht="20.100000000000001" customHeight="1">
      <c r="A3" s="2717" t="s">
        <v>103</v>
      </c>
      <c r="B3" s="2717" t="str">
        <f>B1&amp;"年预算"</f>
        <v>2021年预算</v>
      </c>
      <c r="C3" s="2717" t="s">
        <v>706</v>
      </c>
      <c r="D3" s="2715" t="str">
        <f>B1-1&amp;"年"&amp;"12月"</f>
        <v>2020年12月</v>
      </c>
      <c r="E3" s="2715"/>
      <c r="F3" s="2716" t="s">
        <v>707</v>
      </c>
      <c r="G3" s="2716"/>
      <c r="H3" s="2713" t="s">
        <v>708</v>
      </c>
      <c r="I3" s="2714"/>
      <c r="J3" s="2713" t="s">
        <v>709</v>
      </c>
      <c r="K3" s="2714"/>
      <c r="L3" s="2713" t="s">
        <v>710</v>
      </c>
      <c r="M3" s="2714"/>
      <c r="N3" s="2713" t="s">
        <v>711</v>
      </c>
      <c r="O3" s="2714"/>
      <c r="P3" s="2713" t="s">
        <v>712</v>
      </c>
      <c r="Q3" s="2714"/>
      <c r="R3" s="2713" t="s">
        <v>713</v>
      </c>
      <c r="S3" s="2714"/>
      <c r="T3" s="2713" t="s">
        <v>714</v>
      </c>
      <c r="U3" s="2714"/>
      <c r="V3" s="2713" t="s">
        <v>715</v>
      </c>
      <c r="W3" s="2714"/>
      <c r="X3" s="2713" t="s">
        <v>716</v>
      </c>
      <c r="Y3" s="2714"/>
      <c r="Z3" s="2713" t="s">
        <v>717</v>
      </c>
      <c r="AA3" s="2714"/>
      <c r="AB3" s="2713" t="s">
        <v>718</v>
      </c>
      <c r="AC3" s="2714"/>
      <c r="AD3" s="2716" t="s">
        <v>707</v>
      </c>
      <c r="AE3" s="2716"/>
      <c r="AF3" s="2713" t="s">
        <v>708</v>
      </c>
      <c r="AG3" s="2714"/>
      <c r="AH3" s="2713" t="s">
        <v>709</v>
      </c>
      <c r="AI3" s="2714"/>
      <c r="AJ3" s="2713" t="s">
        <v>710</v>
      </c>
      <c r="AK3" s="2714"/>
      <c r="AL3" s="2713" t="s">
        <v>711</v>
      </c>
      <c r="AM3" s="2714"/>
      <c r="AN3" s="2713" t="s">
        <v>712</v>
      </c>
      <c r="AO3" s="2714"/>
      <c r="AP3" s="2713" t="s">
        <v>713</v>
      </c>
      <c r="AQ3" s="2714"/>
      <c r="AR3" s="2713" t="s">
        <v>714</v>
      </c>
      <c r="AS3" s="2714"/>
      <c r="AT3" s="2713" t="s">
        <v>715</v>
      </c>
      <c r="AU3" s="2714"/>
      <c r="AV3" s="2713" t="s">
        <v>716</v>
      </c>
      <c r="AW3" s="2714"/>
      <c r="AX3" s="2713" t="s">
        <v>717</v>
      </c>
      <c r="AY3" s="2714"/>
      <c r="AZ3" s="2713" t="s">
        <v>718</v>
      </c>
      <c r="BA3" s="2714"/>
      <c r="BB3" s="2716" t="s">
        <v>7</v>
      </c>
      <c r="BC3" s="2716"/>
      <c r="BD3" s="2713" t="s">
        <v>9</v>
      </c>
      <c r="BE3" s="2714"/>
      <c r="BF3" s="2716" t="s">
        <v>5</v>
      </c>
      <c r="BG3" s="2716"/>
      <c r="BH3" s="1788"/>
    </row>
    <row r="4" spans="1:67" ht="20.100000000000001" customHeight="1">
      <c r="A4" s="2718"/>
      <c r="B4" s="2718"/>
      <c r="C4" s="2718"/>
      <c r="D4" s="756" t="s">
        <v>74</v>
      </c>
      <c r="E4" s="756" t="s">
        <v>75</v>
      </c>
      <c r="F4" s="757" t="s">
        <v>74</v>
      </c>
      <c r="G4" s="757" t="s">
        <v>75</v>
      </c>
      <c r="H4" s="757" t="s">
        <v>74</v>
      </c>
      <c r="I4" s="757" t="s">
        <v>75</v>
      </c>
      <c r="J4" s="757" t="s">
        <v>74</v>
      </c>
      <c r="K4" s="757" t="s">
        <v>75</v>
      </c>
      <c r="L4" s="757" t="s">
        <v>74</v>
      </c>
      <c r="M4" s="757" t="s">
        <v>75</v>
      </c>
      <c r="N4" s="757" t="s">
        <v>74</v>
      </c>
      <c r="O4" s="757" t="s">
        <v>75</v>
      </c>
      <c r="P4" s="757" t="s">
        <v>74</v>
      </c>
      <c r="Q4" s="757" t="s">
        <v>75</v>
      </c>
      <c r="R4" s="757" t="s">
        <v>74</v>
      </c>
      <c r="S4" s="757" t="s">
        <v>75</v>
      </c>
      <c r="T4" s="757" t="s">
        <v>74</v>
      </c>
      <c r="U4" s="757" t="s">
        <v>75</v>
      </c>
      <c r="V4" s="757" t="s">
        <v>74</v>
      </c>
      <c r="W4" s="757" t="s">
        <v>75</v>
      </c>
      <c r="X4" s="757" t="s">
        <v>74</v>
      </c>
      <c r="Y4" s="757" t="s">
        <v>75</v>
      </c>
      <c r="Z4" s="757" t="s">
        <v>74</v>
      </c>
      <c r="AA4" s="757" t="s">
        <v>75</v>
      </c>
      <c r="AB4" s="757" t="s">
        <v>74</v>
      </c>
      <c r="AC4" s="757" t="s">
        <v>75</v>
      </c>
      <c r="AD4" s="757" t="s">
        <v>74</v>
      </c>
      <c r="AE4" s="757" t="s">
        <v>75</v>
      </c>
      <c r="AF4" s="757" t="s">
        <v>74</v>
      </c>
      <c r="AG4" s="757" t="s">
        <v>75</v>
      </c>
      <c r="AH4" s="757" t="s">
        <v>74</v>
      </c>
      <c r="AI4" s="757" t="s">
        <v>75</v>
      </c>
      <c r="AJ4" s="757" t="s">
        <v>74</v>
      </c>
      <c r="AK4" s="757" t="s">
        <v>75</v>
      </c>
      <c r="AL4" s="757" t="s">
        <v>74</v>
      </c>
      <c r="AM4" s="757" t="s">
        <v>75</v>
      </c>
      <c r="AN4" s="757" t="s">
        <v>74</v>
      </c>
      <c r="AO4" s="757" t="s">
        <v>75</v>
      </c>
      <c r="AP4" s="757" t="s">
        <v>74</v>
      </c>
      <c r="AQ4" s="757" t="s">
        <v>75</v>
      </c>
      <c r="AR4" s="757" t="s">
        <v>74</v>
      </c>
      <c r="AS4" s="757" t="s">
        <v>75</v>
      </c>
      <c r="AT4" s="757" t="s">
        <v>74</v>
      </c>
      <c r="AU4" s="757" t="s">
        <v>75</v>
      </c>
      <c r="AV4" s="757" t="s">
        <v>74</v>
      </c>
      <c r="AW4" s="757" t="s">
        <v>75</v>
      </c>
      <c r="AX4" s="757" t="s">
        <v>74</v>
      </c>
      <c r="AY4" s="757" t="s">
        <v>75</v>
      </c>
      <c r="AZ4" s="757" t="s">
        <v>74</v>
      </c>
      <c r="BA4" s="757" t="s">
        <v>75</v>
      </c>
      <c r="BB4" s="757" t="s">
        <v>74</v>
      </c>
      <c r="BC4" s="757" t="s">
        <v>75</v>
      </c>
      <c r="BD4" s="757" t="s">
        <v>74</v>
      </c>
      <c r="BE4" s="757" t="s">
        <v>75</v>
      </c>
      <c r="BF4" s="757" t="s">
        <v>74</v>
      </c>
      <c r="BG4" s="757" t="s">
        <v>75</v>
      </c>
      <c r="BH4" s="1789"/>
      <c r="BJ4" s="2132">
        <f>BJ6-BJ15</f>
        <v>-37802.859835561569</v>
      </c>
      <c r="BM4" s="1553" t="s">
        <v>1142</v>
      </c>
      <c r="BN4" s="1553" t="s">
        <v>1143</v>
      </c>
      <c r="BO4" s="1553" t="s">
        <v>1144</v>
      </c>
    </row>
    <row r="5" spans="1:67" ht="20.100000000000001" customHeight="1">
      <c r="A5" s="1860" t="s">
        <v>1235</v>
      </c>
      <c r="B5" s="2025">
        <f>B6+B44+B45</f>
        <v>815915.5495701927</v>
      </c>
      <c r="C5" s="1955">
        <f t="shared" ref="C5:AG5" si="1">C6+C44+C45</f>
        <v>67992.96246418271</v>
      </c>
      <c r="D5" s="1955">
        <f t="shared" si="1"/>
        <v>22012.028342116599</v>
      </c>
      <c r="E5" s="1955">
        <f t="shared" si="1"/>
        <v>27007.028342116599</v>
      </c>
      <c r="F5" s="1955">
        <f t="shared" si="1"/>
        <v>19803.267612025258</v>
      </c>
      <c r="G5" s="1955">
        <f t="shared" si="1"/>
        <v>16386.267612025258</v>
      </c>
      <c r="H5" s="1955">
        <f t="shared" si="1"/>
        <v>434.93464715968207</v>
      </c>
      <c r="I5" s="1955">
        <f t="shared" si="1"/>
        <v>225.93464715968025</v>
      </c>
      <c r="J5" s="1955">
        <f t="shared" si="1"/>
        <v>7548.6373187457002</v>
      </c>
      <c r="K5" s="1955">
        <f t="shared" si="1"/>
        <v>12702.637318745705</v>
      </c>
      <c r="L5" s="1955">
        <f t="shared" si="1"/>
        <v>-1710.8409426500082</v>
      </c>
      <c r="M5" s="1955">
        <f t="shared" si="1"/>
        <v>-550.84094265000999</v>
      </c>
      <c r="N5" s="1955">
        <f t="shared" si="1"/>
        <v>7033.6184271099946</v>
      </c>
      <c r="O5" s="1955">
        <f t="shared" si="1"/>
        <v>13566.618427109988</v>
      </c>
      <c r="P5" s="1955">
        <f t="shared" si="1"/>
        <v>47483.12758084001</v>
      </c>
      <c r="Q5" s="1955">
        <f t="shared" si="1"/>
        <v>46278.127580840002</v>
      </c>
      <c r="R5" s="1955">
        <f t="shared" si="1"/>
        <v>31164.388088960008</v>
      </c>
      <c r="S5" s="1955">
        <f t="shared" si="1"/>
        <v>31229.388088960008</v>
      </c>
      <c r="T5" s="1955">
        <f t="shared" si="1"/>
        <v>42051.10877638001</v>
      </c>
      <c r="U5" s="1955">
        <f t="shared" si="1"/>
        <v>45944.435884380022</v>
      </c>
      <c r="V5" s="1955">
        <f t="shared" si="1"/>
        <v>38889.936916380022</v>
      </c>
      <c r="W5" s="1955">
        <f t="shared" si="1"/>
        <v>36227.936916380022</v>
      </c>
      <c r="X5" s="1955">
        <f t="shared" si="1"/>
        <v>60591.150380789994</v>
      </c>
      <c r="Y5" s="1955">
        <f t="shared" si="1"/>
        <v>62377.150380789994</v>
      </c>
      <c r="Z5" s="1955">
        <f t="shared" si="1"/>
        <v>32034.306324410012</v>
      </c>
      <c r="AA5" s="1955">
        <f t="shared" si="1"/>
        <v>58450.306324410019</v>
      </c>
      <c r="AB5" s="1955">
        <f t="shared" si="1"/>
        <v>23330.276938139985</v>
      </c>
      <c r="AC5" s="1955">
        <f t="shared" si="1"/>
        <v>69136.366938139981</v>
      </c>
      <c r="AD5" s="1955">
        <f t="shared" si="1"/>
        <v>95710.431894370005</v>
      </c>
      <c r="AE5" s="1955">
        <f>AE6+AE44+AE45</f>
        <v>95710.431894370005</v>
      </c>
      <c r="AF5" s="1955">
        <f t="shared" si="1"/>
        <v>137112.74407595003</v>
      </c>
      <c r="AG5" s="1955">
        <f t="shared" si="1"/>
        <v>137112.74407595003</v>
      </c>
      <c r="AH5" s="1955">
        <f t="shared" ref="AH5:BG5" si="2">AH6+AH44+AH45</f>
        <v>185559.04680189997</v>
      </c>
      <c r="AI5" s="1955">
        <f t="shared" si="2"/>
        <v>185559.04680189997</v>
      </c>
      <c r="AJ5" s="1955">
        <f t="shared" si="2"/>
        <v>226597.99381447997</v>
      </c>
      <c r="AK5" s="1955">
        <f t="shared" si="2"/>
        <v>226597.99381447997</v>
      </c>
      <c r="AL5" s="1955">
        <f>AL6+AL44+AL45</f>
        <v>236040.99474458993</v>
      </c>
      <c r="AM5" s="1955">
        <f t="shared" si="2"/>
        <v>236040.99474458993</v>
      </c>
      <c r="AN5" s="1955">
        <f t="shared" si="2"/>
        <v>212669.73981146995</v>
      </c>
      <c r="AO5" s="1955">
        <f t="shared" si="2"/>
        <v>212669.73981146995</v>
      </c>
      <c r="AP5" s="1955">
        <f t="shared" si="2"/>
        <v>218166.04012541007</v>
      </c>
      <c r="AQ5" s="1955">
        <f t="shared" si="2"/>
        <v>218166.04012541007</v>
      </c>
      <c r="AR5" s="1955">
        <f t="shared" si="2"/>
        <v>213139.37042600007</v>
      </c>
      <c r="AS5" s="1955">
        <f t="shared" si="2"/>
        <v>213139.37042600007</v>
      </c>
      <c r="AT5" s="1955">
        <f t="shared" si="2"/>
        <v>0</v>
      </c>
      <c r="AU5" s="1955">
        <f t="shared" si="2"/>
        <v>0</v>
      </c>
      <c r="AV5" s="1955">
        <f t="shared" si="2"/>
        <v>0</v>
      </c>
      <c r="AW5" s="1955">
        <f t="shared" si="2"/>
        <v>0</v>
      </c>
      <c r="AX5" s="1955">
        <f t="shared" si="2"/>
        <v>0</v>
      </c>
      <c r="AY5" s="1955">
        <f t="shared" si="2"/>
        <v>0</v>
      </c>
      <c r="AZ5" s="1955">
        <f t="shared" si="2"/>
        <v>0</v>
      </c>
      <c r="BA5" s="1955">
        <f t="shared" si="2"/>
        <v>0</v>
      </c>
      <c r="BB5" s="1992">
        <f>BB6+BB44+BB45</f>
        <v>41402.312181580011</v>
      </c>
      <c r="BC5" s="1992">
        <f>BC6+BC44+BC45</f>
        <v>41402.312181580011</v>
      </c>
      <c r="BD5" s="1955">
        <f t="shared" si="2"/>
        <v>-60335.946335270368</v>
      </c>
      <c r="BE5" s="1955">
        <f t="shared" si="2"/>
        <v>13327.251451730001</v>
      </c>
      <c r="BF5" s="1955">
        <f t="shared" si="2"/>
        <v>1524996.3616941697</v>
      </c>
      <c r="BG5" s="1955">
        <f t="shared" si="2"/>
        <v>1524996.3616941697</v>
      </c>
      <c r="BH5" s="1789" t="s">
        <v>1306</v>
      </c>
      <c r="BI5" s="2339" t="s">
        <v>1143</v>
      </c>
      <c r="BJ5" s="1628" t="s">
        <v>719</v>
      </c>
      <c r="BM5" s="1794"/>
      <c r="BN5" s="1794"/>
      <c r="BO5" s="1794"/>
    </row>
    <row r="6" spans="1:67" s="746" customFormat="1" ht="14.25">
      <c r="A6" s="1866" t="s">
        <v>1236</v>
      </c>
      <c r="B6" s="1956">
        <f>B7+SUM(B12:B42)+B46</f>
        <v>793797.5495701927</v>
      </c>
      <c r="C6" s="1949">
        <f>B6/12</f>
        <v>66149.795797516053</v>
      </c>
      <c r="D6" s="1948">
        <f t="shared" ref="D6:AB6" si="3">D7+SUM(D12:D42)+D46</f>
        <v>22012.028342116599</v>
      </c>
      <c r="E6" s="1948">
        <f t="shared" si="3"/>
        <v>27007.028342116599</v>
      </c>
      <c r="F6" s="1948">
        <f t="shared" si="3"/>
        <v>22895.75491202527</v>
      </c>
      <c r="G6" s="1950">
        <f t="shared" si="3"/>
        <v>19478.75491202527</v>
      </c>
      <c r="H6" s="1948">
        <f t="shared" si="3"/>
        <v>3124.5092581596723</v>
      </c>
      <c r="I6" s="1950">
        <f t="shared" si="3"/>
        <v>2915.5092581596705</v>
      </c>
      <c r="J6" s="1948">
        <f t="shared" si="3"/>
        <v>16087.065417745713</v>
      </c>
      <c r="K6" s="1948">
        <f t="shared" si="3"/>
        <v>21241.065417745718</v>
      </c>
      <c r="L6" s="1948">
        <f t="shared" si="3"/>
        <v>14355.942058349998</v>
      </c>
      <c r="M6" s="1950">
        <f t="shared" si="3"/>
        <v>15515.942058349996</v>
      </c>
      <c r="N6" s="1948">
        <f t="shared" si="3"/>
        <v>20039.276037109994</v>
      </c>
      <c r="O6" s="1950">
        <f t="shared" si="3"/>
        <v>26572.276037109987</v>
      </c>
      <c r="P6" s="1948">
        <f t="shared" si="3"/>
        <v>53250.102320840007</v>
      </c>
      <c r="Q6" s="1948">
        <f t="shared" si="3"/>
        <v>52045.10232084</v>
      </c>
      <c r="R6" s="1948">
        <f t="shared" si="3"/>
        <v>33915.956220960004</v>
      </c>
      <c r="S6" s="1950">
        <f t="shared" si="3"/>
        <v>33980.956220960004</v>
      </c>
      <c r="T6" s="1948">
        <f t="shared" si="3"/>
        <v>42618.514105379996</v>
      </c>
      <c r="U6" s="1950">
        <f t="shared" si="3"/>
        <v>46511.841213380008</v>
      </c>
      <c r="V6" s="1948">
        <f t="shared" si="3"/>
        <v>35262.348736380009</v>
      </c>
      <c r="W6" s="1948">
        <f t="shared" si="3"/>
        <v>32600.348736380009</v>
      </c>
      <c r="X6" s="1948">
        <f t="shared" si="3"/>
        <v>56372.336349789985</v>
      </c>
      <c r="Y6" s="1950">
        <f t="shared" si="3"/>
        <v>58158.336349789985</v>
      </c>
      <c r="Z6" s="1948">
        <f t="shared" si="3"/>
        <v>26604.959117409999</v>
      </c>
      <c r="AA6" s="1950">
        <f t="shared" si="3"/>
        <v>53020.959117410006</v>
      </c>
      <c r="AB6" s="1948">
        <f t="shared" si="3"/>
        <v>20542.120569140003</v>
      </c>
      <c r="AC6" s="1948">
        <f>AC7+SUM(AC12:AC42)+AC46+3044+2300-3938+8862+300</f>
        <v>66348.210569140007</v>
      </c>
      <c r="AD6" s="1948">
        <f t="shared" ref="AD6:BA6" si="4">AD7+SUM(AD12:AD42)+AD46</f>
        <v>92891.728899370006</v>
      </c>
      <c r="AE6" s="1948">
        <f t="shared" si="4"/>
        <v>92891.728899370006</v>
      </c>
      <c r="AF6" s="1948">
        <f>AF7+SUM(AF12:AF42)+AF46</f>
        <v>130918.29668395001</v>
      </c>
      <c r="AG6" s="1948">
        <f t="shared" si="4"/>
        <v>130918.29668395001</v>
      </c>
      <c r="AH6" s="1948">
        <f t="shared" si="4"/>
        <v>181022.86894589997</v>
      </c>
      <c r="AI6" s="1948">
        <f t="shared" si="4"/>
        <v>181022.86894589997</v>
      </c>
      <c r="AJ6" s="1948">
        <f t="shared" si="4"/>
        <v>220383.92180847996</v>
      </c>
      <c r="AK6" s="1948">
        <f t="shared" si="4"/>
        <v>220383.92180847996</v>
      </c>
      <c r="AL6" s="1948">
        <f t="shared" si="4"/>
        <v>231775.99474458993</v>
      </c>
      <c r="AM6" s="1948">
        <f t="shared" si="4"/>
        <v>231775.99474458993</v>
      </c>
      <c r="AN6" s="1948">
        <f t="shared" si="4"/>
        <v>208543.73981146995</v>
      </c>
      <c r="AO6" s="1948">
        <f t="shared" si="4"/>
        <v>208543.73981146995</v>
      </c>
      <c r="AP6" s="1948">
        <f t="shared" si="4"/>
        <v>219059.62312541009</v>
      </c>
      <c r="AQ6" s="1948">
        <f t="shared" si="4"/>
        <v>219059.62312541009</v>
      </c>
      <c r="AR6" s="1948">
        <f t="shared" si="4"/>
        <v>205746.50333100004</v>
      </c>
      <c r="AS6" s="1948">
        <f t="shared" si="4"/>
        <v>205746.50333100004</v>
      </c>
      <c r="AT6" s="1948">
        <f t="shared" si="4"/>
        <v>0</v>
      </c>
      <c r="AU6" s="1948">
        <f t="shared" si="4"/>
        <v>0</v>
      </c>
      <c r="AV6" s="1948">
        <f t="shared" si="4"/>
        <v>0</v>
      </c>
      <c r="AW6" s="1948">
        <f t="shared" si="4"/>
        <v>0</v>
      </c>
      <c r="AX6" s="1948">
        <f t="shared" si="4"/>
        <v>0</v>
      </c>
      <c r="AY6" s="1948">
        <f t="shared" si="4"/>
        <v>0</v>
      </c>
      <c r="AZ6" s="1948">
        <f t="shared" si="4"/>
        <v>0</v>
      </c>
      <c r="BA6" s="1948">
        <f t="shared" si="4"/>
        <v>0</v>
      </c>
      <c r="BB6" s="1951">
        <f>AF6-AD6</f>
        <v>38026.567784580009</v>
      </c>
      <c r="BC6" s="1951">
        <f>AG6-AE6</f>
        <v>38026.567784580009</v>
      </c>
      <c r="BD6" s="1948">
        <f>BD7+SUM(BD12:BD42)+BD46</f>
        <v>-60335.946335270368</v>
      </c>
      <c r="BE6" s="1951">
        <f>AC6-AA6</f>
        <v>13327.251451730001</v>
      </c>
      <c r="BF6" s="1948">
        <f>BF7+SUM(BF12:BF42)+BF46</f>
        <v>1490342.6773501697</v>
      </c>
      <c r="BG6" s="1948">
        <f>BG7+SUM(BG12:BG42)+BG46</f>
        <v>1490342.6773501697</v>
      </c>
      <c r="BH6" s="1790">
        <f>AI6</f>
        <v>181022.86894589997</v>
      </c>
      <c r="BI6" s="1787">
        <f>'@预测#经营利润#'!F6</f>
        <v>191806.72878146154</v>
      </c>
      <c r="BJ6" s="751">
        <f>BH6-BI6</f>
        <v>-10783.859835561569</v>
      </c>
      <c r="BK6" s="751">
        <f>AA6-'@预测#经营利润#'!F6</f>
        <v>-138785.76966405154</v>
      </c>
      <c r="BM6" s="1677">
        <f>Z6+AA63+AA64+AA59</f>
        <v>52359.959117409999</v>
      </c>
      <c r="BN6" s="1571">
        <f>'@预测#经营利润#'!E6</f>
        <v>191806.72878146151</v>
      </c>
      <c r="BO6" s="751">
        <f>BM6-BN6</f>
        <v>-139446.76966405151</v>
      </c>
    </row>
    <row r="7" spans="1:67" s="746" customFormat="1" ht="14.25">
      <c r="A7" s="374" t="s">
        <v>720</v>
      </c>
      <c r="B7" s="758">
        <f>B8+B9</f>
        <v>45945</v>
      </c>
      <c r="C7" s="373">
        <f>B7/12</f>
        <v>3828.75</v>
      </c>
      <c r="D7" s="760">
        <f>D8+D9</f>
        <v>21147.61273836</v>
      </c>
      <c r="E7" s="760">
        <f>E8+E9</f>
        <v>17993.194814359998</v>
      </c>
      <c r="F7" s="758">
        <f>F8+F9</f>
        <v>11502.311045650002</v>
      </c>
      <c r="G7" s="758">
        <f t="shared" ref="G7:L7" si="5">G8+G9</f>
        <v>7353.5337926500006</v>
      </c>
      <c r="H7" s="758">
        <f t="shared" si="5"/>
        <v>1544.5398038100002</v>
      </c>
      <c r="I7" s="758">
        <f t="shared" si="5"/>
        <v>119.15534880999985</v>
      </c>
      <c r="J7" s="758">
        <f t="shared" si="5"/>
        <v>13441.454883720004</v>
      </c>
      <c r="K7" s="758">
        <f t="shared" si="5"/>
        <v>8627.2309687200031</v>
      </c>
      <c r="L7" s="758">
        <f t="shared" si="5"/>
        <v>10069.528217149998</v>
      </c>
      <c r="M7" s="758">
        <f t="shared" ref="M7:R7" si="6">M8+M9</f>
        <v>5562.9690021499982</v>
      </c>
      <c r="N7" s="758">
        <f t="shared" si="6"/>
        <v>43853.287860719996</v>
      </c>
      <c r="O7" s="758">
        <f t="shared" si="6"/>
        <v>39770.943591719995</v>
      </c>
      <c r="P7" s="758">
        <f t="shared" si="6"/>
        <v>3095.7541218700007</v>
      </c>
      <c r="Q7" s="758">
        <f t="shared" si="6"/>
        <v>21749.307348870003</v>
      </c>
      <c r="R7" s="758">
        <f t="shared" si="6"/>
        <v>13229.03398561</v>
      </c>
      <c r="S7" s="758">
        <f t="shared" ref="S7:AC7" si="7">S8+S9</f>
        <v>8100.9201366100006</v>
      </c>
      <c r="T7" s="758">
        <f t="shared" si="7"/>
        <v>5485.7366666400003</v>
      </c>
      <c r="U7" s="758">
        <f t="shared" si="7"/>
        <v>5987.8832026400005</v>
      </c>
      <c r="V7" s="758">
        <f t="shared" si="7"/>
        <v>14071.40843994</v>
      </c>
      <c r="W7" s="758">
        <f t="shared" si="7"/>
        <v>9738.2517728160019</v>
      </c>
      <c r="X7" s="758">
        <f t="shared" si="7"/>
        <v>22390.415849469995</v>
      </c>
      <c r="Y7" s="758">
        <f t="shared" si="7"/>
        <v>22288.608557469997</v>
      </c>
      <c r="Z7" s="758">
        <f t="shared" si="7"/>
        <v>5896.0110075199991</v>
      </c>
      <c r="AA7" s="758">
        <f t="shared" si="7"/>
        <v>9285.8171575200013</v>
      </c>
      <c r="AB7" s="758">
        <f t="shared" si="7"/>
        <v>45926.363700420006</v>
      </c>
      <c r="AC7" s="758">
        <f t="shared" si="7"/>
        <v>14686.694308420016</v>
      </c>
      <c r="AD7" s="758">
        <f t="shared" ref="AD7" si="8">AD8+AD9</f>
        <v>13032.454705190001</v>
      </c>
      <c r="AE7" s="758">
        <f t="shared" ref="AE7" si="9">AE8+AE9</f>
        <v>6610.7380211900017</v>
      </c>
      <c r="AF7" s="758">
        <f t="shared" ref="AF7" si="10">AF8+AF9</f>
        <v>16940.229005890003</v>
      </c>
      <c r="AG7" s="758">
        <f t="shared" ref="AG7" si="11">AG8+AG9</f>
        <v>9994.6201198900053</v>
      </c>
      <c r="AH7" s="758">
        <f>AH8+AH9</f>
        <v>713.89248290000523</v>
      </c>
      <c r="AI7" s="758">
        <f t="shared" ref="AI7" si="12">AI8+AI9</f>
        <v>713.89248290000523</v>
      </c>
      <c r="AJ7" s="758">
        <f t="shared" ref="AJ7" si="13">AJ8+AJ9</f>
        <v>26820.236446669998</v>
      </c>
      <c r="AK7" s="758">
        <f t="shared" ref="AK7" si="14">AK8+AK9</f>
        <v>26820.236446669998</v>
      </c>
      <c r="AL7" s="758">
        <f t="shared" ref="AL7" si="15">AL8+AL9</f>
        <v>89844.753763789995</v>
      </c>
      <c r="AM7" s="758">
        <f t="shared" ref="AM7" si="16">AM8+AM9</f>
        <v>89844.753763789995</v>
      </c>
      <c r="AN7" s="758">
        <f t="shared" ref="AN7" si="17">AN8+AN9</f>
        <v>70100.584460719998</v>
      </c>
      <c r="AO7" s="758">
        <f t="shared" ref="AO7" si="18">AO8+AO9</f>
        <v>70100.584460719998</v>
      </c>
      <c r="AP7" s="758">
        <f t="shared" ref="AP7" si="19">AP8+AP9</f>
        <v>37037.363640410018</v>
      </c>
      <c r="AQ7" s="758">
        <f t="shared" ref="AQ7" si="20">AQ8+AQ9</f>
        <v>37037.363640410018</v>
      </c>
      <c r="AR7" s="758">
        <f t="shared" ref="AR7" si="21">AR8+AR9</f>
        <v>37307.989619000029</v>
      </c>
      <c r="AS7" s="758">
        <f t="shared" ref="AS7" si="22">AS8+AS9</f>
        <v>37307.989619000029</v>
      </c>
      <c r="AT7" s="758">
        <f t="shared" ref="AT7" si="23">AT8+AT9</f>
        <v>0</v>
      </c>
      <c r="AU7" s="758">
        <f t="shared" ref="AU7" si="24">AU8+AU9</f>
        <v>0</v>
      </c>
      <c r="AV7" s="758">
        <f t="shared" ref="AV7" si="25">AV8+AV9</f>
        <v>0</v>
      </c>
      <c r="AW7" s="758">
        <f t="shared" ref="AW7" si="26">AW8+AW9</f>
        <v>0</v>
      </c>
      <c r="AX7" s="758">
        <f t="shared" ref="AX7" si="27">AX8+AX9</f>
        <v>0</v>
      </c>
      <c r="AY7" s="758">
        <f t="shared" ref="AY7" si="28">AY8+AY9</f>
        <v>0</v>
      </c>
      <c r="AZ7" s="758">
        <f t="shared" ref="AZ7" si="29">AZ8+AZ9</f>
        <v>0</v>
      </c>
      <c r="BA7" s="758">
        <f t="shared" ref="BA7" si="30">BA8+BA9</f>
        <v>0</v>
      </c>
      <c r="BB7" s="781">
        <f t="shared" ref="BB7:BB45" si="31">AF7-AD7</f>
        <v>3907.7743007000026</v>
      </c>
      <c r="BC7" s="781">
        <f t="shared" ref="BC7:BC45" si="32">AG7-AE7</f>
        <v>3383.8820987000036</v>
      </c>
      <c r="BD7" s="781">
        <f>H7-C7</f>
        <v>-2284.2101961899998</v>
      </c>
      <c r="BE7" s="781"/>
      <c r="BF7" s="758">
        <f>BF8+BF9</f>
        <v>291797.50412457006</v>
      </c>
      <c r="BG7" s="758">
        <f>BG8+BG9</f>
        <v>278430.17855457007</v>
      </c>
      <c r="BH7" s="1790">
        <f t="shared" ref="BH7:BH47" si="33">AI7</f>
        <v>713.89248290000523</v>
      </c>
      <c r="BI7" s="1787">
        <f>'@预测#经营利润#'!F7</f>
        <v>27989.600243000001</v>
      </c>
      <c r="BJ7" s="751">
        <f>BH7-BI7</f>
        <v>-27275.707760099995</v>
      </c>
      <c r="BK7" s="751">
        <f>AA7-'@预测#经营利润#'!F7</f>
        <v>-18703.783085479998</v>
      </c>
      <c r="BL7" s="786"/>
      <c r="BM7" s="758">
        <f>BM8+BM9</f>
        <v>14402.011007519999</v>
      </c>
      <c r="BN7" s="1571">
        <f>'@预测#经营利润#'!E7</f>
        <v>39715.756319923079</v>
      </c>
      <c r="BO7" s="751">
        <f>BM7-BN7</f>
        <v>-25313.74531240308</v>
      </c>
    </row>
    <row r="8" spans="1:67">
      <c r="A8" s="761" t="s">
        <v>106</v>
      </c>
      <c r="B8" s="765">
        <v>-44436</v>
      </c>
      <c r="C8" s="762">
        <f t="shared" ref="C8:C42" si="34">B8/12</f>
        <v>-3703</v>
      </c>
      <c r="D8" s="763">
        <f>SUMIFS('利润（汇总）'!3:3,'利润（汇总）'!$1:$1,D$1,'利润（汇总）'!$2:$2,D$2)</f>
        <v>13405.408081</v>
      </c>
      <c r="E8" s="762">
        <f>D8+E55</f>
        <v>10250.990157</v>
      </c>
      <c r="F8" s="764">
        <f>SUMIFS('利润（汇总）'!3:3,'利润（汇总）'!$1:$1,F$1,'利润（汇总）'!$2:$2,F$2)</f>
        <v>11795.938900000001</v>
      </c>
      <c r="G8" s="765">
        <f>F8+G55</f>
        <v>7647.1616470000008</v>
      </c>
      <c r="H8" s="764">
        <f>SUMIFS('利润（汇总）'!3:3,'利润（汇总）'!$1:$1,H$1,'利润（汇总）'!$2:$2,H$2)</f>
        <v>-2759.3998120000006</v>
      </c>
      <c r="I8" s="765">
        <f>H8+I55</f>
        <v>-4184.7842670000009</v>
      </c>
      <c r="J8" s="764">
        <f>SUMIFS('利润（汇总）'!3:3,'利润（汇总）'!$1:$1,J$1,'利润（汇总）'!$2:$2,J$2)</f>
        <v>10089.166718000002</v>
      </c>
      <c r="K8" s="765">
        <f>J8+K55</f>
        <v>5274.9428030000026</v>
      </c>
      <c r="L8" s="764">
        <f>SUMIFS('利润（汇总）'!3:3,'利润（汇总）'!$1:$1,L$1,'利润（汇总）'!$2:$2,L$2)</f>
        <v>7688.2350939999997</v>
      </c>
      <c r="M8" s="765">
        <f>L8+M55</f>
        <v>3181.6758789999994</v>
      </c>
      <c r="N8" s="764">
        <f>SUMIFS('利润（汇总）'!3:3,'利润（汇总）'!$1:$1,N$1,'利润（汇总）'!$2:$2,N$2)</f>
        <v>5083.7879140000005</v>
      </c>
      <c r="O8" s="765">
        <f>N8+O55</f>
        <v>1001.4436450000003</v>
      </c>
      <c r="P8" s="764">
        <f>SUMIFS('利润（汇总）'!3:3,'利润（汇总）'!$1:$1,P$1,'利润（汇总）'!$2:$2,P$2)</f>
        <v>-4920.3347529999992</v>
      </c>
      <c r="Q8" s="764">
        <f>P8+Q55-Q75-Q57</f>
        <v>13733.218474000001</v>
      </c>
      <c r="R8" s="764">
        <f>SUMIFS('利润（汇总）'!3:3,'利润（汇总）'!$1:$1,R$1,'利润（汇总）'!$2:$2,R$2)</f>
        <v>12902.746455</v>
      </c>
      <c r="S8" s="764">
        <f>R8+S55</f>
        <v>7774.6326060000001</v>
      </c>
      <c r="T8" s="764">
        <f>SUMIFS('利润（汇总）'!3:3,'利润（汇总）'!$1:$1,T$1,'利润（汇总）'!$2:$2,T$2)</f>
        <v>6423.4330049999999</v>
      </c>
      <c r="U8" s="764">
        <f>T8+U55-U75+2436.613904</f>
        <v>6925.5795410000001</v>
      </c>
      <c r="V8" s="764">
        <f>SUMIFS('利润（汇总）'!3:3,'利润（汇总）'!$1:$1,V$1,'利润（汇总）'!$2:$2,V$2)</f>
        <v>12513.253873</v>
      </c>
      <c r="W8" s="764">
        <f>V8+W55</f>
        <v>8180.0972058760008</v>
      </c>
      <c r="X8" s="764">
        <f>SUMIFS('利润（汇总）'!3:3,'利润（汇总）'!$1:$1,X$1,'利润（汇总）'!$2:$2,X$2)</f>
        <v>8444.6839689999997</v>
      </c>
      <c r="Y8" s="764">
        <f>X8+Y55</f>
        <v>8342.8766770000002</v>
      </c>
      <c r="Z8" s="764">
        <f>SUMIFS('利润（汇总）'!3:3,'利润（汇总）'!$1:$1,Z$1,'利润（汇总）'!$2:$2,Z$2)</f>
        <v>2023.5464180000004</v>
      </c>
      <c r="AA8" s="764">
        <f>Z8+AA55</f>
        <v>5413.3525680000021</v>
      </c>
      <c r="AB8" s="764">
        <f>SUMIFS('利润（汇总）'!3:3,'利润（汇总）'!$1:$1,AB$1,'利润（汇总）'!$2:$2,AB$2)</f>
        <v>-61438.508178999989</v>
      </c>
      <c r="AC8" s="764">
        <f>AB8+AC55</f>
        <v>4534.8224290000144</v>
      </c>
      <c r="AD8" s="764">
        <f>SUMIFS('利润（汇总）'!3:3,'利润（汇总）'!$1:$1,AD$1,'利润（汇总）'!$2:$2,AD$2)</f>
        <v>11635.249755999999</v>
      </c>
      <c r="AE8" s="764">
        <f>AD8+AE55</f>
        <v>5213.5330719999993</v>
      </c>
      <c r="AF8" s="764">
        <f>SUMIFS('利润（汇总）'!3:3,'利润（汇总）'!$1:$1,AF$1,'利润（汇总）'!$2:$2,AF$2)</f>
        <v>16648.662945000004</v>
      </c>
      <c r="AG8" s="764">
        <f>AF8+AG55</f>
        <v>9703.0540590000055</v>
      </c>
      <c r="AH8" s="764">
        <f>SUMIFS('利润（汇总）'!3:3,'利润（汇总）'!$1:$1,AH$1,'利润（汇总）'!$2:$2,AH$2)</f>
        <v>-2227.5880539999962</v>
      </c>
      <c r="AI8" s="764">
        <f>AH8+AI55</f>
        <v>-2227.5880539999962</v>
      </c>
      <c r="AJ8" s="764">
        <f>SUMIFS('利润（汇总）'!3:3,'利润（汇总）'!$1:$1,AJ$1,'利润（汇总）'!$2:$2,AJ$2)</f>
        <v>25179.834978999999</v>
      </c>
      <c r="AK8" s="764">
        <f>AJ8+AK55</f>
        <v>25179.834978999999</v>
      </c>
      <c r="AL8" s="764">
        <f>SUMIFS('利润（汇总）'!3:3,'利润（汇总）'!$1:$1,AL$1,'利润（汇总）'!$2:$2,AL$2)</f>
        <v>34275.113229999995</v>
      </c>
      <c r="AM8" s="764">
        <f>AL8+AM55</f>
        <v>34275.113229999995</v>
      </c>
      <c r="AN8" s="764">
        <f>SUMIFS('利润（汇总）'!3:3,'利润（汇总）'!$1:$1,AN$1,'利润（汇总）'!$2:$2,AN$2)</f>
        <v>40089.582414999997</v>
      </c>
      <c r="AO8" s="764">
        <f>AN8+AO55</f>
        <v>40089.582414999997</v>
      </c>
      <c r="AP8" s="764">
        <f>SUMIFS('利润（汇总）'!3:3,'利润（汇总）'!$1:$1,AP$1,'利润（汇总）'!$2:$2,AP$2)</f>
        <v>34767.318359000019</v>
      </c>
      <c r="AQ8" s="764">
        <f>AP8+AQ55</f>
        <v>34767.318359000019</v>
      </c>
      <c r="AR8" s="764">
        <f>SUMIFS('利润（汇总）'!3:3,'利润（汇总）'!$1:$1,AR$1,'利润（汇总）'!$2:$2,AR$2)</f>
        <v>30673.699038000028</v>
      </c>
      <c r="AS8" s="764">
        <f>AR8+AS55</f>
        <v>30673.699038000028</v>
      </c>
      <c r="AT8" s="764">
        <f>SUMIFS('利润（汇总）'!3:3,'利润（汇总）'!$1:$1,AT$1,'利润（汇总）'!$2:$2,AT$2)</f>
        <v>0</v>
      </c>
      <c r="AU8" s="764">
        <f>AT8+AU55</f>
        <v>0</v>
      </c>
      <c r="AV8" s="764">
        <f>SUMIFS('利润（汇总）'!3:3,'利润（汇总）'!$1:$1,AV$1,'利润（汇总）'!$2:$2,AV$2)</f>
        <v>0</v>
      </c>
      <c r="AW8" s="764">
        <f>AV8+AW55</f>
        <v>0</v>
      </c>
      <c r="AX8" s="764">
        <f>SUMIFS('利润（汇总）'!3:3,'利润（汇总）'!$1:$1,AX$1,'利润（汇总）'!$2:$2,AX$2)</f>
        <v>0</v>
      </c>
      <c r="AY8" s="764">
        <f>AX8+AY55</f>
        <v>0</v>
      </c>
      <c r="AZ8" s="764">
        <f>SUMIFS('利润（汇总）'!3:3,'利润（汇总）'!$1:$1,AZ$1,'利润（汇总）'!$2:$2,AZ$2)</f>
        <v>0</v>
      </c>
      <c r="BA8" s="764">
        <f>AZ8+BA55</f>
        <v>0</v>
      </c>
      <c r="BB8" s="782">
        <f t="shared" si="31"/>
        <v>5013.4131890000044</v>
      </c>
      <c r="BC8" s="782">
        <f t="shared" si="32"/>
        <v>4489.5209870000062</v>
      </c>
      <c r="BD8" s="782">
        <f>H8-C8</f>
        <v>943.60018799999943</v>
      </c>
      <c r="BE8" s="782"/>
      <c r="BF8" s="787">
        <f>AD8+AF8+AH8+AJ8+AL8+AN8+AP8+AR8+AT8+AV8+AX8+AZ8</f>
        <v>191041.87266800003</v>
      </c>
      <c r="BG8" s="787">
        <f>AE8+AG8+AI8+AK8+AM8+AO8+AQ8+AS8+AU8+AW8+AY8+BA8</f>
        <v>177674.54709800004</v>
      </c>
      <c r="BH8" s="1790">
        <f t="shared" si="33"/>
        <v>-2227.5880539999962</v>
      </c>
      <c r="BI8" s="1787">
        <f>'@预测#经营利润#'!F8</f>
        <v>20402.530243000001</v>
      </c>
      <c r="BJ8" s="751">
        <f t="shared" ref="BJ8:BJ43" si="35">BH8-BI8</f>
        <v>-22630.118296999997</v>
      </c>
      <c r="BK8" s="1568">
        <f>AA8-'@预测#经营利润#'!F8</f>
        <v>-14989.177674999999</v>
      </c>
      <c r="BM8" s="1677">
        <f>Z8+AA59</f>
        <v>10529.546418</v>
      </c>
      <c r="BN8" s="1563">
        <f>'@预测#经营利润#'!E8</f>
        <v>32128.686319923079</v>
      </c>
      <c r="BO8" s="1568">
        <f t="shared" ref="BO8:BO42" si="36">BM8-BN8</f>
        <v>-21599.139901923081</v>
      </c>
    </row>
    <row r="9" spans="1:67">
      <c r="A9" s="766" t="s">
        <v>107</v>
      </c>
      <c r="B9" s="769">
        <v>90381</v>
      </c>
      <c r="C9" s="767">
        <f t="shared" si="34"/>
        <v>7531.75</v>
      </c>
      <c r="D9" s="763">
        <f>SUMIFS('利润（汇总）'!37:37,'利润（汇总）'!$1:$1,D$1,'利润（汇总）'!$2:$2,D$2)</f>
        <v>7742.2046573599991</v>
      </c>
      <c r="E9" s="762">
        <f>D9</f>
        <v>7742.2046573599991</v>
      </c>
      <c r="F9" s="764">
        <f>SUMIFS('利润（汇总）'!37:37,'利润（汇总）'!$1:$1,F$1,'利润（汇总）'!$2:$2,F$2)</f>
        <v>-293.62785434999995</v>
      </c>
      <c r="G9" s="764">
        <f>F9</f>
        <v>-293.62785434999995</v>
      </c>
      <c r="H9" s="764">
        <f>SUMIFS('利润（汇总）'!37:37,'利润（汇总）'!$1:$1,H$1,'利润（汇总）'!$2:$2,H$2)</f>
        <v>4303.9396158100008</v>
      </c>
      <c r="I9" s="764">
        <f>H9</f>
        <v>4303.9396158100008</v>
      </c>
      <c r="J9" s="764">
        <f>SUMIFS('利润（汇总）'!37:37,'利润（汇总）'!$1:$1,J$1,'利润（汇总）'!$2:$2,J$2)</f>
        <v>3352.288165720001</v>
      </c>
      <c r="K9" s="764">
        <f>J9</f>
        <v>3352.288165720001</v>
      </c>
      <c r="L9" s="764">
        <f>SUMIFS('利润（汇总）'!37:37,'利润（汇总）'!$1:$1,L$1,'利润（汇总）'!$2:$2,L$2)</f>
        <v>2381.2931231499988</v>
      </c>
      <c r="M9" s="764">
        <f>L9</f>
        <v>2381.2931231499988</v>
      </c>
      <c r="N9" s="764">
        <f>SUMIFS('利润（汇总）'!37:37,'利润（汇总）'!$1:$1,N$1,'利润（汇总）'!$2:$2,N$2)</f>
        <v>38769.499946719996</v>
      </c>
      <c r="O9" s="764">
        <f>O10+O11</f>
        <v>38769.499946719996</v>
      </c>
      <c r="P9" s="764">
        <f>SUMIFS('利润（汇总）'!37:37,'利润（汇总）'!$1:$1,P$1,'利润（汇总）'!$2:$2,P$2)</f>
        <v>8016.0888748699999</v>
      </c>
      <c r="Q9" s="765">
        <f>Q10+Q11</f>
        <v>8016.0888748699999</v>
      </c>
      <c r="R9" s="764">
        <f>SUMIFS('利润（汇总）'!37:37,'利润（汇总）'!$1:$1,R$1,'利润（汇总）'!$2:$2,R$2)</f>
        <v>326.28753060999998</v>
      </c>
      <c r="S9" s="765">
        <f>S10+S11</f>
        <v>326.28753060999998</v>
      </c>
      <c r="T9" s="764">
        <f>SUMIFS('利润（汇总）'!37:37,'利润（汇总）'!$1:$1,T$1,'利润（汇总）'!$2:$2,T$2)</f>
        <v>-937.6963383599998</v>
      </c>
      <c r="U9" s="765">
        <f>U10+U11</f>
        <v>-937.6963383599998</v>
      </c>
      <c r="V9" s="764">
        <f>SUMIFS('利润（汇总）'!37:37,'利润（汇总）'!$1:$1,V$1,'利润（汇总）'!$2:$2,V$2)</f>
        <v>1558.1545669400002</v>
      </c>
      <c r="W9" s="765">
        <f>W10+W11</f>
        <v>1558.1545669400002</v>
      </c>
      <c r="X9" s="764">
        <f>SUMIFS('利润（汇总）'!37:37,'利润（汇总）'!$1:$1,X$1,'利润（汇总）'!$2:$2,X$2)</f>
        <v>13945.731880469997</v>
      </c>
      <c r="Y9" s="765">
        <f>Y10+Y11</f>
        <v>13945.731880469997</v>
      </c>
      <c r="Z9" s="764">
        <f>SUMIFS('利润（汇总）'!37:37,'利润（汇总）'!$1:$1,Z$1,'利润（汇总）'!$2:$2,Z$2)</f>
        <v>3872.4645895199992</v>
      </c>
      <c r="AA9" s="765">
        <f>AA10+AA11</f>
        <v>3872.4645895199992</v>
      </c>
      <c r="AB9" s="764">
        <f>SUMIFS('利润（汇总）'!37:37,'利润（汇总）'!$1:$1,AB$1,'利润（汇总）'!$2:$2,AB$2)</f>
        <v>107364.87187942</v>
      </c>
      <c r="AC9" s="765">
        <f>AC10+AC11</f>
        <v>10151.871879420001</v>
      </c>
      <c r="AD9" s="764">
        <f>SUMIFS('利润（汇总）'!37:37,'利润（汇总）'!$1:$1,AD$1,'利润（汇总）'!$2:$2,AD$2)</f>
        <v>1397.204949190002</v>
      </c>
      <c r="AE9" s="765">
        <f>AE10+AE11</f>
        <v>1397.204949190002</v>
      </c>
      <c r="AF9" s="2133">
        <f>SUMIFS('利润（汇总）'!37:37,'利润（汇总）'!$1:$1,AF$1,'利润（汇总）'!$2:$2,AF$2)</f>
        <v>291.56606089000036</v>
      </c>
      <c r="AG9" s="765">
        <f>AG10+AG11</f>
        <v>291.56606089000036</v>
      </c>
      <c r="AH9" s="764">
        <f>SUMIFS('利润（汇总）'!37:37,'利润（汇总）'!$1:$1,AH$1,'利润（汇总）'!$2:$2,AH$2)</f>
        <v>2941.4805369000014</v>
      </c>
      <c r="AI9" s="765">
        <f t="shared" ref="AI9" si="37">AI10+AI11</f>
        <v>2941.4805369000014</v>
      </c>
      <c r="AJ9" s="764">
        <f>SUMIFS('利润（汇总）'!37:37,'利润（汇总）'!$1:$1,AJ$1,'利润（汇总）'!$2:$2,AJ$2)</f>
        <v>1640.4014676699994</v>
      </c>
      <c r="AK9" s="765">
        <f t="shared" ref="AK9" si="38">AK10+AK11</f>
        <v>1640.4014676699994</v>
      </c>
      <c r="AL9" s="764">
        <f>SUMIFS('利润（汇总）'!37:37,'利润（汇总）'!$1:$1,AL$1,'利润（汇总）'!$2:$2,AL$2)</f>
        <v>55569.64053379</v>
      </c>
      <c r="AM9" s="765">
        <f t="shared" ref="AM9" si="39">AM10+AM11</f>
        <v>55569.64053379</v>
      </c>
      <c r="AN9" s="764">
        <f>SUMIFS('利润（汇总）'!37:37,'利润（汇总）'!$1:$1,AN$1,'利润（汇总）'!$2:$2,AN$2)</f>
        <v>30011.002045720001</v>
      </c>
      <c r="AO9" s="765">
        <f t="shared" ref="AO9" si="40">AO10+AO11</f>
        <v>30011.002045720001</v>
      </c>
      <c r="AP9" s="764">
        <f>SUMIFS('利润（汇总）'!37:37,'利润（汇总）'!$1:$1,AP$1,'利润（汇总）'!$2:$2,AP$2)</f>
        <v>2270.0452814100004</v>
      </c>
      <c r="AQ9" s="765">
        <f t="shared" ref="AQ9" si="41">AQ10+AQ11</f>
        <v>2270.0452814100004</v>
      </c>
      <c r="AR9" s="764">
        <f>SUMIFS('利润（汇总）'!37:37,'利润（汇总）'!$1:$1,AR$1,'利润（汇总）'!$2:$2,AR$2)</f>
        <v>6634.2905809999993</v>
      </c>
      <c r="AS9" s="765">
        <f t="shared" ref="AS9" si="42">AS10+AS11</f>
        <v>6634.2905809999993</v>
      </c>
      <c r="AT9" s="764">
        <f>SUMIFS('利润（汇总）'!37:37,'利润（汇总）'!$1:$1,AT$1,'利润（汇总）'!$2:$2,AT$2)</f>
        <v>0</v>
      </c>
      <c r="AU9" s="765">
        <f t="shared" ref="AU9" si="43">AU10+AU11</f>
        <v>0</v>
      </c>
      <c r="AV9" s="764">
        <f>SUMIFS('利润（汇总）'!37:37,'利润（汇总）'!$1:$1,AV$1,'利润（汇总）'!$2:$2,AV$2)</f>
        <v>0</v>
      </c>
      <c r="AW9" s="765">
        <f t="shared" ref="AW9" si="44">AW10+AW11</f>
        <v>0</v>
      </c>
      <c r="AX9" s="764">
        <f>SUMIFS('利润（汇总）'!37:37,'利润（汇总）'!$1:$1,AX$1,'利润（汇总）'!$2:$2,AX$2)</f>
        <v>0</v>
      </c>
      <c r="AY9" s="765">
        <f t="shared" ref="AY9" si="45">AY10+AY11</f>
        <v>0</v>
      </c>
      <c r="AZ9" s="764">
        <f>SUMIFS('利润（汇总）'!37:37,'利润（汇总）'!$1:$1,AZ$1,'利润（汇总）'!$2:$2,AZ$2)</f>
        <v>0</v>
      </c>
      <c r="BA9" s="765">
        <f t="shared" ref="BA9" si="46">BA10+BA11</f>
        <v>0</v>
      </c>
      <c r="BB9" s="782">
        <f t="shared" si="31"/>
        <v>-1105.6388883000018</v>
      </c>
      <c r="BC9" s="782">
        <f t="shared" si="32"/>
        <v>-1105.6388883000018</v>
      </c>
      <c r="BD9" s="782">
        <f>H9-C9</f>
        <v>-3227.8103841899992</v>
      </c>
      <c r="BE9" s="782"/>
      <c r="BF9" s="787">
        <f t="shared" ref="BF9:BF43" si="47">AD9+AF9+AH9+AJ9+AL9+AN9+AP9+AR9+AT9+AV9+AX9+AZ9</f>
        <v>100755.63145657</v>
      </c>
      <c r="BG9" s="787">
        <f t="shared" ref="BG9:BG43" si="48">AE9+AG9+AI9+AK9+AM9+AO9+AQ9+AS9+AU9+AW9+AY9+BA9</f>
        <v>100755.63145657</v>
      </c>
      <c r="BH9" s="1790">
        <f t="shared" si="33"/>
        <v>2941.4805369000014</v>
      </c>
      <c r="BI9" s="1787">
        <f>'@预测#经营利润#'!F9</f>
        <v>7587.07</v>
      </c>
      <c r="BJ9" s="751">
        <f>BH9-BI9</f>
        <v>-4645.5894630999983</v>
      </c>
      <c r="BK9" s="1568">
        <f>AA9-'@预测#经营利润#'!F9</f>
        <v>-3714.6054104800005</v>
      </c>
      <c r="BM9" s="1563">
        <f>Z9</f>
        <v>3872.4645895199992</v>
      </c>
      <c r="BN9" s="1563">
        <f>'@预测#经营利润#'!E9</f>
        <v>7587.07</v>
      </c>
      <c r="BO9" s="1568">
        <f t="shared" si="36"/>
        <v>-3714.6054104800005</v>
      </c>
    </row>
    <row r="10" spans="1:67" s="753" customFormat="1" ht="15.6" customHeight="1">
      <c r="A10" s="768" t="s">
        <v>108</v>
      </c>
      <c r="B10" s="769">
        <f>B9-B11</f>
        <v>9691</v>
      </c>
      <c r="C10" s="769">
        <f t="shared" si="34"/>
        <v>807.58333333333337</v>
      </c>
      <c r="D10" s="769">
        <f>D9-D11</f>
        <v>6410.5510903599989</v>
      </c>
      <c r="E10" s="765">
        <f>D10</f>
        <v>6410.5510903599989</v>
      </c>
      <c r="F10" s="769">
        <f>F9-F11</f>
        <v>-293.62785434999995</v>
      </c>
      <c r="G10" s="764">
        <f t="shared" ref="G10:M11" si="49">F10</f>
        <v>-293.62785434999995</v>
      </c>
      <c r="H10" s="769">
        <f>H9-H11</f>
        <v>4303.9396158100008</v>
      </c>
      <c r="I10" s="764">
        <f t="shared" si="49"/>
        <v>4303.9396158100008</v>
      </c>
      <c r="J10" s="769">
        <f>J9-J11</f>
        <v>3352.288165720001</v>
      </c>
      <c r="K10" s="764">
        <f t="shared" si="49"/>
        <v>3352.288165720001</v>
      </c>
      <c r="L10" s="769">
        <f>L9-L11</f>
        <v>2381.2931231499988</v>
      </c>
      <c r="M10" s="764">
        <f t="shared" si="49"/>
        <v>2381.2931231499988</v>
      </c>
      <c r="N10" s="769">
        <f>N9-N11</f>
        <v>3055.9274267199944</v>
      </c>
      <c r="O10" s="764">
        <f>N10-O61</f>
        <v>3055.9274267199944</v>
      </c>
      <c r="P10" s="769">
        <f>P9-P11</f>
        <v>8016.0888748699999</v>
      </c>
      <c r="Q10" s="765">
        <f>P10-Q61</f>
        <v>8016.0888748699999</v>
      </c>
      <c r="R10" s="769">
        <f>R9-R11</f>
        <v>326.28753060999998</v>
      </c>
      <c r="S10" s="765">
        <f>R10-S61</f>
        <v>326.28753060999998</v>
      </c>
      <c r="T10" s="769">
        <f>T9-T11</f>
        <v>-937.6963383599998</v>
      </c>
      <c r="U10" s="765">
        <f>T10-U61</f>
        <v>-937.6963383599998</v>
      </c>
      <c r="V10" s="769">
        <f>V9-V11</f>
        <v>1558.1545669400002</v>
      </c>
      <c r="W10" s="765">
        <f>V10-W61</f>
        <v>1558.1545669400002</v>
      </c>
      <c r="X10" s="769">
        <f>X9-X11</f>
        <v>3010.654781469997</v>
      </c>
      <c r="Y10" s="765">
        <f>X10-Y61</f>
        <v>3010.654781469997</v>
      </c>
      <c r="Z10" s="769">
        <f>Z9-Z11</f>
        <v>3872.4645895199992</v>
      </c>
      <c r="AA10" s="765">
        <f>Z10-AA61</f>
        <v>3872.4645895199992</v>
      </c>
      <c r="AB10" s="769">
        <f>AB9-AB11</f>
        <v>92912.600164620002</v>
      </c>
      <c r="AC10" s="765">
        <f>AB10-AC61-97213</f>
        <v>-4300.399835379998</v>
      </c>
      <c r="AD10" s="769">
        <f>AD9-AD11</f>
        <v>1397.204949190002</v>
      </c>
      <c r="AE10" s="765">
        <f>AD10-AE61</f>
        <v>1397.204949190002</v>
      </c>
      <c r="AF10" s="769">
        <f>AF9-AF11</f>
        <v>291.56606089000036</v>
      </c>
      <c r="AG10" s="765">
        <f>AF10-AG61</f>
        <v>291.56606089000036</v>
      </c>
      <c r="AH10" s="769">
        <f t="shared" ref="AH10" si="50">AH9-AH11</f>
        <v>2941.4805369000014</v>
      </c>
      <c r="AI10" s="765">
        <f>AH10-AI61</f>
        <v>2941.4805369000014</v>
      </c>
      <c r="AJ10" s="769">
        <f t="shared" ref="AJ10" si="51">AJ9-AJ11</f>
        <v>1640.4014676699994</v>
      </c>
      <c r="AK10" s="765">
        <f>AJ10-AK61</f>
        <v>1640.4014676699994</v>
      </c>
      <c r="AL10" s="769">
        <f t="shared" ref="AL10" si="52">AL9-AL11</f>
        <v>390.88922358999844</v>
      </c>
      <c r="AM10" s="765">
        <f>AL10-AM61</f>
        <v>390.88922358999844</v>
      </c>
      <c r="AN10" s="769">
        <f t="shared" ref="AN10" si="53">AN9-AN11</f>
        <v>9119.9408357200009</v>
      </c>
      <c r="AO10" s="765">
        <f>AN10-AO61</f>
        <v>9119.9408357200009</v>
      </c>
      <c r="AP10" s="769">
        <f t="shared" ref="AP10" si="54">AP9-AP11</f>
        <v>2270.0452814100004</v>
      </c>
      <c r="AQ10" s="765">
        <f>AP10-AQ61</f>
        <v>2270.0452814100004</v>
      </c>
      <c r="AR10" s="769">
        <f t="shared" ref="AR10" si="55">AR9-AR11</f>
        <v>6634.2905809999993</v>
      </c>
      <c r="AS10" s="765">
        <f>AR10-AS61</f>
        <v>6634.2905809999993</v>
      </c>
      <c r="AT10" s="769">
        <f t="shared" ref="AT10" si="56">AT9-AT11</f>
        <v>0</v>
      </c>
      <c r="AU10" s="765">
        <f>AT10-AU61</f>
        <v>0</v>
      </c>
      <c r="AV10" s="769">
        <f t="shared" ref="AV10" si="57">AV9-AV11</f>
        <v>0</v>
      </c>
      <c r="AW10" s="765">
        <f>AV10-AW61</f>
        <v>0</v>
      </c>
      <c r="AX10" s="769">
        <f t="shared" ref="AX10" si="58">AX9-AX11</f>
        <v>0</v>
      </c>
      <c r="AY10" s="765">
        <f>AX10-AY61</f>
        <v>0</v>
      </c>
      <c r="AZ10" s="769">
        <f t="shared" ref="AZ10" si="59">AZ9-AZ11</f>
        <v>0</v>
      </c>
      <c r="BA10" s="765">
        <f>AZ10-BA61</f>
        <v>0</v>
      </c>
      <c r="BB10" s="782">
        <f t="shared" si="31"/>
        <v>-1105.6388883000018</v>
      </c>
      <c r="BC10" s="782">
        <f t="shared" si="32"/>
        <v>-1105.6388883000018</v>
      </c>
      <c r="BD10" s="782">
        <f>H10-C10</f>
        <v>3496.3562824766673</v>
      </c>
      <c r="BE10" s="782"/>
      <c r="BF10" s="787">
        <f t="shared" si="47"/>
        <v>24685.81893637</v>
      </c>
      <c r="BG10" s="787">
        <f t="shared" si="48"/>
        <v>24685.81893637</v>
      </c>
      <c r="BH10" s="1790">
        <f t="shared" si="33"/>
        <v>2941.4805369000014</v>
      </c>
      <c r="BI10" s="1787">
        <f>'@预测#经营利润#'!F10</f>
        <v>7587.07</v>
      </c>
      <c r="BJ10" s="751">
        <f>BH10-BI10</f>
        <v>-4645.5894630999983</v>
      </c>
      <c r="BK10" s="1568">
        <f>AA10-'@预测#经营利润#'!F10</f>
        <v>-3714.6054104800005</v>
      </c>
      <c r="BM10" s="787"/>
      <c r="BN10" s="1563"/>
      <c r="BO10" s="1568"/>
    </row>
    <row r="11" spans="1:67" s="753" customFormat="1" ht="15.6" customHeight="1">
      <c r="A11" s="770" t="s">
        <v>109</v>
      </c>
      <c r="B11" s="765">
        <v>80690</v>
      </c>
      <c r="C11" s="765">
        <f t="shared" si="34"/>
        <v>6724.166666666667</v>
      </c>
      <c r="D11" s="765">
        <f>SUMIFS('#投资收益'!39:39,'#投资收益'!1:1,D1,'#投资收益'!2:2,D2,'#投资收益'!3:3,"投资收益")</f>
        <v>1331.6535670000001</v>
      </c>
      <c r="E11" s="765">
        <f>D11</f>
        <v>1331.6535670000001</v>
      </c>
      <c r="F11" s="765">
        <f>SUMIFS('#投资收益'!39:39,'#投资收益'!1:1,F1,'#投资收益'!2:2,F2,'#投资收益'!3:3,"投资收益")</f>
        <v>0</v>
      </c>
      <c r="G11" s="764">
        <f t="shared" si="49"/>
        <v>0</v>
      </c>
      <c r="H11" s="765">
        <f>SUMIFS('#投资收益'!39:39,'#投资收益'!1:1,H1,'#投资收益'!2:2,H2,'#投资收益'!3:3,"投资收益")</f>
        <v>0</v>
      </c>
      <c r="I11" s="764">
        <f t="shared" si="49"/>
        <v>0</v>
      </c>
      <c r="J11" s="765">
        <f>SUMIFS('#投资收益'!39:39,'#投资收益'!1:1,J1,'#投资收益'!2:2,J2,'#投资收益'!3:3,"投资收益")</f>
        <v>0</v>
      </c>
      <c r="K11" s="764">
        <f t="shared" si="49"/>
        <v>0</v>
      </c>
      <c r="L11" s="765">
        <f>SUMIFS('#投资收益'!39:39,'#投资收益'!1:1,L1,'#投资收益'!2:2,L2,'#投资收益'!3:3,"投资收益")</f>
        <v>0</v>
      </c>
      <c r="M11" s="764">
        <f t="shared" si="49"/>
        <v>0</v>
      </c>
      <c r="N11" s="765">
        <f>SUMIFS('#投资收益'!39:39,'#投资收益'!1:1,N1,'#投资收益'!2:2,N2,'#投资收益'!3:3,"投资收益")</f>
        <v>35713.572520000002</v>
      </c>
      <c r="O11" s="765">
        <f>N11</f>
        <v>35713.572520000002</v>
      </c>
      <c r="P11" s="765">
        <f>SUMIFS('#投资收益'!39:39,'#投资收益'!1:1,P1,'#投资收益'!2:2,P2,'#投资收益'!3:3,"投资收益")</f>
        <v>0</v>
      </c>
      <c r="Q11" s="765">
        <f>P11</f>
        <v>0</v>
      </c>
      <c r="R11" s="765">
        <f>SUMIFS('#投资收益'!39:39,'#投资收益'!1:1,R1,'#投资收益'!2:2,R2,'#投资收益'!3:3,"投资收益")</f>
        <v>0</v>
      </c>
      <c r="S11" s="765">
        <f>R11</f>
        <v>0</v>
      </c>
      <c r="T11" s="765">
        <f>SUMIFS('#投资收益'!39:39,'#投资收益'!1:1,T1,'#投资收益'!2:2,T2,'#投资收益'!3:3,"投资收益")</f>
        <v>0</v>
      </c>
      <c r="U11" s="765">
        <f>T11</f>
        <v>0</v>
      </c>
      <c r="V11" s="765">
        <f>SUMIFS('#投资收益'!39:39,'#投资收益'!1:1,V1,'#投资收益'!2:2,V2,'#投资收益'!3:3,"投资收益")</f>
        <v>0</v>
      </c>
      <c r="W11" s="765">
        <f>V11</f>
        <v>0</v>
      </c>
      <c r="X11" s="765">
        <f>SUMIFS('#投资收益'!39:39,'#投资收益'!1:1,X1,'#投资收益'!2:2,X2,'#投资收益'!3:3,"投资收益")</f>
        <v>10935.077099</v>
      </c>
      <c r="Y11" s="765">
        <f>X11</f>
        <v>10935.077099</v>
      </c>
      <c r="Z11" s="765">
        <f>SUMIFS('#投资收益'!39:39,'#投资收益'!1:1,Z1,'#投资收益'!2:2,Z2,'#投资收益'!3:3,"投资收益")</f>
        <v>0</v>
      </c>
      <c r="AA11" s="765">
        <f>Z11</f>
        <v>0</v>
      </c>
      <c r="AB11" s="765">
        <f>SUMIFS('#投资收益'!39:39,'#投资收益'!1:1,AB1,'#投资收益'!2:2,AB2,'#投资收益'!3:3,"投资收益")</f>
        <v>14452.271714799999</v>
      </c>
      <c r="AC11" s="765">
        <f>AB11</f>
        <v>14452.271714799999</v>
      </c>
      <c r="AD11" s="765">
        <f>SUMIFS('#投资收益'!39:39,'#投资收益'!1:1,AD1,'#投资收益'!2:2,AD2,'#投资收益'!3:3,"投资收益")</f>
        <v>0</v>
      </c>
      <c r="AE11" s="765">
        <f>AD11</f>
        <v>0</v>
      </c>
      <c r="AF11" s="765">
        <f>SUMIFS('#投资收益'!39:39,'#投资收益'!1:1,AF1,'#投资收益'!2:2,AF2,'#投资收益'!3:3,"投资收益")</f>
        <v>0</v>
      </c>
      <c r="AG11" s="765">
        <f>AF11</f>
        <v>0</v>
      </c>
      <c r="AH11" s="765">
        <f>SUMIFS('#投资收益'!39:39,'#投资收益'!1:1,AH1,'#投资收益'!2:2,AH2,'#投资收益'!3:3,"投资收益")</f>
        <v>0</v>
      </c>
      <c r="AI11" s="765">
        <f t="shared" ref="AI11" si="60">AH11</f>
        <v>0</v>
      </c>
      <c r="AJ11" s="765">
        <f>SUMIFS('#投资收益'!39:39,'#投资收益'!1:1,AJ1,'#投资收益'!2:2,AJ2,'#投资收益'!3:3,"投资收益")</f>
        <v>0</v>
      </c>
      <c r="AK11" s="765">
        <f t="shared" ref="AK11" si="61">AJ11</f>
        <v>0</v>
      </c>
      <c r="AL11" s="765">
        <f>SUMIFS('#投资收益'!39:39,'#投资收益'!1:1,AL1,'#投资收益'!2:2,AL2,'#投资收益'!3:3,"投资收益")</f>
        <v>55178.751310200001</v>
      </c>
      <c r="AM11" s="765">
        <f t="shared" ref="AM11" si="62">AL11</f>
        <v>55178.751310200001</v>
      </c>
      <c r="AN11" s="765">
        <f>SUMIFS('#投资收益'!39:39,'#投资收益'!1:1,AN1,'#投资收益'!2:2,AN2,'#投资收益'!3:3,"投资收益")</f>
        <v>20891.06121</v>
      </c>
      <c r="AO11" s="765">
        <f t="shared" ref="AO11" si="63">AN11</f>
        <v>20891.06121</v>
      </c>
      <c r="AP11" s="765">
        <f>SUMIFS('#投资收益'!39:39,'#投资收益'!1:1,AP1,'#投资收益'!2:2,AP2,'#投资收益'!3:3,"投资收益")</f>
        <v>0</v>
      </c>
      <c r="AQ11" s="765">
        <f t="shared" ref="AQ11" si="64">AP11</f>
        <v>0</v>
      </c>
      <c r="AR11" s="765">
        <f>SUMIFS('#投资收益'!39:39,'#投资收益'!1:1,AR1,'#投资收益'!2:2,AR2,'#投资收益'!3:3,"投资收益")</f>
        <v>0</v>
      </c>
      <c r="AS11" s="765">
        <f t="shared" ref="AS11" si="65">AR11</f>
        <v>0</v>
      </c>
      <c r="AT11" s="765">
        <f>SUMIFS('#投资收益'!39:39,'#投资收益'!1:1,AT1,'#投资收益'!2:2,AT2,'#投资收益'!3:3,"投资收益")</f>
        <v>0</v>
      </c>
      <c r="AU11" s="765">
        <f t="shared" ref="AU11" si="66">AT11</f>
        <v>0</v>
      </c>
      <c r="AV11" s="765">
        <f>SUMIFS('#投资收益'!39:39,'#投资收益'!1:1,AV1,'#投资收益'!2:2,AV2,'#投资收益'!3:3,"投资收益")</f>
        <v>0</v>
      </c>
      <c r="AW11" s="765">
        <f t="shared" ref="AW11" si="67">AV11</f>
        <v>0</v>
      </c>
      <c r="AX11" s="765">
        <f>SUMIFS('#投资收益'!39:39,'#投资收益'!1:1,AX1,'#投资收益'!2:2,AX2,'#投资收益'!3:3,"投资收益")</f>
        <v>0</v>
      </c>
      <c r="AY11" s="765">
        <f t="shared" ref="AY11" si="68">AX11</f>
        <v>0</v>
      </c>
      <c r="AZ11" s="765">
        <f>SUMIFS('#投资收益'!39:39,'#投资收益'!1:1,AZ1,'#投资收益'!2:2,AZ2,'#投资收益'!3:3,"投资收益")</f>
        <v>0</v>
      </c>
      <c r="BA11" s="765">
        <f t="shared" ref="BA11" si="69">AZ11</f>
        <v>0</v>
      </c>
      <c r="BB11" s="782">
        <f t="shared" si="31"/>
        <v>0</v>
      </c>
      <c r="BC11" s="782">
        <f t="shared" si="32"/>
        <v>0</v>
      </c>
      <c r="BD11" s="782">
        <f>H11-C11</f>
        <v>-6724.166666666667</v>
      </c>
      <c r="BE11" s="782"/>
      <c r="BF11" s="787">
        <f t="shared" si="47"/>
        <v>76069.812520200008</v>
      </c>
      <c r="BG11" s="787">
        <f t="shared" si="48"/>
        <v>76069.812520200008</v>
      </c>
      <c r="BH11" s="1790">
        <f t="shared" si="33"/>
        <v>0</v>
      </c>
      <c r="BI11" s="1787">
        <f>'@预测#经营利润#'!F11</f>
        <v>0</v>
      </c>
      <c r="BJ11" s="751">
        <f t="shared" si="35"/>
        <v>0</v>
      </c>
      <c r="BK11" s="1568">
        <f>AA11-'@预测#经营利润#'!F11</f>
        <v>0</v>
      </c>
      <c r="BL11" s="755"/>
      <c r="BM11" s="1678">
        <v>0</v>
      </c>
      <c r="BN11" s="1563">
        <f>'@预测#经营利润#'!E11</f>
        <v>0</v>
      </c>
      <c r="BO11" s="1568">
        <f t="shared" si="36"/>
        <v>0</v>
      </c>
    </row>
    <row r="12" spans="1:67" s="754" customFormat="1" ht="14.25">
      <c r="A12" s="2027" t="s">
        <v>110</v>
      </c>
      <c r="B12" s="771">
        <v>62024.516129032265</v>
      </c>
      <c r="C12" s="771">
        <f t="shared" si="34"/>
        <v>5168.7096774193551</v>
      </c>
      <c r="D12" s="759">
        <f>SUMIFS('利润（汇总）'!4:4,'利润（汇总）'!$1:$1,D$1,'利润（汇总）'!$2:$2,D$2)</f>
        <v>894</v>
      </c>
      <c r="E12" s="759">
        <f>D12</f>
        <v>894</v>
      </c>
      <c r="F12" s="759">
        <f>SUMIFS('利润（汇总）'!4:4,'利润（汇总）'!$1:$1,F$1,'利润（汇总）'!$2:$2,F$2)</f>
        <v>-2.1009120000000001</v>
      </c>
      <c r="G12" s="759">
        <f>F12</f>
        <v>-2.1009120000000001</v>
      </c>
      <c r="H12" s="759">
        <f>SUMIFS('利润（汇总）'!4:4,'利润（汇总）'!$1:$1,H$1,'利润（汇总）'!$2:$2,H$2)</f>
        <v>1287.6410719999999</v>
      </c>
      <c r="I12" s="759">
        <f>H12+I57</f>
        <v>1287.6410719999999</v>
      </c>
      <c r="J12" s="759">
        <f>SUMIFS('利润（汇总）'!4:4,'利润（汇总）'!$1:$1,J$1,'利润（汇总）'!$2:$2,J$2)</f>
        <v>27.322942999999999</v>
      </c>
      <c r="K12" s="759">
        <f>J12+K57</f>
        <v>607.94219299999997</v>
      </c>
      <c r="L12" s="759">
        <f>SUMIFS('利润（汇总）'!4:4,'利润（汇总）'!$1:$1,L$1,'利润（汇总）'!$2:$2,L$2)</f>
        <v>421.55365999999998</v>
      </c>
      <c r="M12" s="759">
        <f>L12+M57</f>
        <v>618.45895999999993</v>
      </c>
      <c r="N12" s="759">
        <f>SUMIFS('利润（汇总）'!4:4,'利润（汇总）'!$1:$1,N$1,'利润（汇总）'!$2:$2,N$2)</f>
        <v>4.9976099999999999</v>
      </c>
      <c r="O12" s="759">
        <f>N12+O57</f>
        <v>202.01436000000001</v>
      </c>
      <c r="P12" s="759">
        <f>SUMIFS('利润（汇总）'!4:4,'利润（汇总）'!$1:$1,P$1,'利润（汇总）'!$2:$2,P$2)</f>
        <v>-145.544916</v>
      </c>
      <c r="Q12" s="759">
        <f>P12+Q57</f>
        <v>75.055209000000019</v>
      </c>
      <c r="R12" s="759">
        <f>SUMIFS('利润（汇总）'!4:4,'利润（汇总）'!$1:$1,R$1,'利润（汇总）'!$2:$2,R$2)</f>
        <v>-274.86767099999997</v>
      </c>
      <c r="S12" s="759">
        <f>R12+S57</f>
        <v>-77.960045999999977</v>
      </c>
      <c r="T12" s="759">
        <f>SUMIFS('利润（汇总）'!4:4,'利润（汇总）'!$1:$1,T$1,'利润（汇总）'!$2:$2,T$2)</f>
        <v>-1002.1602879999998</v>
      </c>
      <c r="U12" s="759">
        <f>T12+U57+2030.713204</f>
        <v>1219.8434160000002</v>
      </c>
      <c r="V12" s="759">
        <f>SUMIFS('利润（汇总）'!4:4,'利润（汇总）'!$1:$1,V$1,'利润（汇总）'!$2:$2,V$2)</f>
        <v>-901.37926400000003</v>
      </c>
      <c r="W12" s="759">
        <f>V12+W57</f>
        <v>-867.51451400000008</v>
      </c>
      <c r="X12" s="759">
        <f>SUMIFS('利润（汇总）'!4:4,'利润（汇总）'!$1:$1,X$1,'利润（汇总）'!$2:$2,X$2)</f>
        <v>1853.7690090000001</v>
      </c>
      <c r="Y12" s="759">
        <f>X12+Y57</f>
        <v>2092.5067290000002</v>
      </c>
      <c r="Z12" s="759">
        <f>SUMIFS('利润（汇总）'!4:4,'利润（汇总）'!$1:$1,Z$1,'利润（汇总）'!$2:$2,Z$2)</f>
        <v>-2159.2570759999999</v>
      </c>
      <c r="AA12" s="759">
        <f>Z12+AA57+AA64</f>
        <v>2142.7955040000002</v>
      </c>
      <c r="AB12" s="759">
        <f>SUMIFS('利润（汇总）'!4:4,'利润（汇总）'!$1:$1,AB$1,'利润（汇总）'!$2:$2,AB$2)</f>
        <v>-7726.4307259999996</v>
      </c>
      <c r="AC12" s="759">
        <f>AB12+AC57+AC64+3938-8862</f>
        <v>3938.3452340000003</v>
      </c>
      <c r="AD12" s="759">
        <f>SUMIFS('利润（汇总）'!4:4,'利润（汇总）'!$1:$1,AD$1,'利润（汇总）'!$2:$2,AD$2)</f>
        <v>-2336.4983710000001</v>
      </c>
      <c r="AE12" s="759">
        <f>AD12+AE57+AE64</f>
        <v>-2112.2886310000004</v>
      </c>
      <c r="AF12" s="759">
        <f>SUMIFS('利润（汇总）'!4:4,'利润（汇总）'!$1:$1,AF$1,'利润（汇总）'!$2:$2,AF$2)</f>
        <v>154.624923</v>
      </c>
      <c r="AG12" s="759">
        <f>AF12+AG57+AG64</f>
        <v>393.27750300000002</v>
      </c>
      <c r="AH12" s="759">
        <f>SUMIFS('利润（汇总）'!4:4,'利润（汇总）'!$1:$1,AH$1,'利润（汇总）'!$2:$2,AH$2)</f>
        <v>5685.3656929999997</v>
      </c>
      <c r="AI12" s="759">
        <f>AH12+AI57+AI64</f>
        <v>5685.3656929999997</v>
      </c>
      <c r="AJ12" s="759">
        <f>SUMIFS('利润（汇总）'!4:4,'利润（汇总）'!$1:$1,AJ$1,'利润（汇总）'!$2:$2,AJ$2)</f>
        <v>8157.9488350000001</v>
      </c>
      <c r="AK12" s="759">
        <f>AJ12+AK57+AK64</f>
        <v>8157.9488350000001</v>
      </c>
      <c r="AL12" s="759">
        <f>SUMIFS('利润（汇总）'!4:4,'利润（汇总）'!$1:$1,AL$1,'利润（汇总）'!$2:$2,AL$2)</f>
        <v>8700.7656700000007</v>
      </c>
      <c r="AM12" s="759">
        <f>AL12+AM57+AM64</f>
        <v>8700.7656700000007</v>
      </c>
      <c r="AN12" s="759">
        <f>SUMIFS('利润（汇总）'!4:4,'利润（汇总）'!$1:$1,AN$1,'利润（汇总）'!$2:$2,AN$2)</f>
        <v>8483.1919390000003</v>
      </c>
      <c r="AO12" s="759">
        <f>AN12+AO57+AO64</f>
        <v>8483.1919390000003</v>
      </c>
      <c r="AP12" s="759">
        <f>SUMIFS('利润（汇总）'!4:4,'利润（汇总）'!$1:$1,AP$1,'利润（汇总）'!$2:$2,AP$2)</f>
        <v>2958</v>
      </c>
      <c r="AQ12" s="759">
        <f>AP12+AQ57+AQ64</f>
        <v>2958</v>
      </c>
      <c r="AR12" s="759">
        <f>SUMIFS('利润（汇总）'!4:4,'利润（汇总）'!$1:$1,AR$1,'利润（汇总）'!$2:$2,AR$2)</f>
        <v>1172</v>
      </c>
      <c r="AS12" s="759">
        <f>AR12+AS57+AS64</f>
        <v>1172</v>
      </c>
      <c r="AT12" s="759">
        <f>SUMIFS('利润（汇总）'!4:4,'利润（汇总）'!$1:$1,AT$1,'利润（汇总）'!$2:$2,AT$2)</f>
        <v>0</v>
      </c>
      <c r="AU12" s="759">
        <f>AT12+AU57+AU64</f>
        <v>0</v>
      </c>
      <c r="AV12" s="759">
        <f>SUMIFS('利润（汇总）'!4:4,'利润（汇总）'!$1:$1,AV$1,'利润（汇总）'!$2:$2,AV$2)</f>
        <v>0</v>
      </c>
      <c r="AW12" s="759">
        <f>AV12+AW57+AW64</f>
        <v>0</v>
      </c>
      <c r="AX12" s="759">
        <f>SUMIFS('利润（汇总）'!4:4,'利润（汇总）'!$1:$1,AX$1,'利润（汇总）'!$2:$2,AX$2)</f>
        <v>0</v>
      </c>
      <c r="AY12" s="759">
        <f>AX12+AY57+AY64</f>
        <v>0</v>
      </c>
      <c r="AZ12" s="759">
        <f>SUMIFS('利润（汇总）'!4:4,'利润（汇总）'!$1:$1,AZ$1,'利润（汇总）'!$2:$2,AZ$2)</f>
        <v>0</v>
      </c>
      <c r="BA12" s="759">
        <f>AZ12+BA57+BA64</f>
        <v>0</v>
      </c>
      <c r="BB12" s="781">
        <f t="shared" si="31"/>
        <v>2491.123294</v>
      </c>
      <c r="BC12" s="781">
        <f t="shared" si="32"/>
        <v>2505.5661340000006</v>
      </c>
      <c r="BD12" s="781"/>
      <c r="BE12" s="781"/>
      <c r="BF12" s="788">
        <f t="shared" si="47"/>
        <v>32975.398689000001</v>
      </c>
      <c r="BG12" s="788">
        <f t="shared" si="48"/>
        <v>33438.261009000002</v>
      </c>
      <c r="BH12" s="1790">
        <f t="shared" si="33"/>
        <v>5685.3656929999997</v>
      </c>
      <c r="BI12" s="1787">
        <f>'@预测#经营利润#'!F12</f>
        <v>3463.675153846154</v>
      </c>
      <c r="BJ12" s="751">
        <f t="shared" si="35"/>
        <v>2221.6905391538457</v>
      </c>
      <c r="BK12" s="751">
        <f>AA12-'@预测#经营利润#'!F12</f>
        <v>-1320.8796498461538</v>
      </c>
      <c r="BL12" s="755"/>
      <c r="BM12" s="788">
        <f>Z12+AA64</f>
        <v>1955.7429240000001</v>
      </c>
      <c r="BN12" s="1571">
        <f>'@预测#经营利润#'!E12</f>
        <v>3102.717461538462</v>
      </c>
      <c r="BO12" s="751">
        <f t="shared" si="36"/>
        <v>-1146.9745375384618</v>
      </c>
    </row>
    <row r="13" spans="1:67" s="754" customFormat="1" ht="14.25">
      <c r="A13" s="2027" t="s">
        <v>111</v>
      </c>
      <c r="B13" s="771">
        <v>320294.57844116056</v>
      </c>
      <c r="C13" s="771">
        <f t="shared" si="34"/>
        <v>26691.214870096712</v>
      </c>
      <c r="D13" s="759">
        <f>SUMIFS('利润（汇总）'!5:5,'利润（汇总）'!$1:$1,D$1,'利润（汇总）'!$2:$2,D$2)</f>
        <v>1742.0248000000001</v>
      </c>
      <c r="E13" s="759">
        <f>D13+E56+E63</f>
        <v>7227.4427239999995</v>
      </c>
      <c r="F13" s="759">
        <f>SUMIFS('利润（汇总）'!5:5,'利润（汇总）'!$1:$1,F$1,'利润（汇总）'!$2:$2,F$2)</f>
        <v>3424.8373580000002</v>
      </c>
      <c r="G13" s="759">
        <f>F13+G56+G63</f>
        <v>7573.6146110000009</v>
      </c>
      <c r="H13" s="759">
        <f>SUMIFS('利润（汇总）'!5:5,'利润（汇总）'!$1:$1,H$1,'利润（汇总）'!$2:$2,H$2)</f>
        <v>2645.7785359999998</v>
      </c>
      <c r="I13" s="759">
        <f>H13+I56</f>
        <v>6721.1629909999992</v>
      </c>
      <c r="J13" s="759">
        <f>SUMIFS('利润（汇总）'!5:5,'利润（汇总）'!$1:$1,J$1,'利润（汇总）'!$2:$2,J$2)</f>
        <v>4711.3139369999999</v>
      </c>
      <c r="K13" s="759">
        <f>J13+K56</f>
        <v>8944.9186019999997</v>
      </c>
      <c r="L13" s="759">
        <f>SUMIFS('利润（汇总）'!5:5,'利润（汇总）'!$1:$1,L$1,'利润（汇总）'!$2:$2,L$2)</f>
        <v>4260.5629849999996</v>
      </c>
      <c r="M13" s="759">
        <f>L13+M56+M63</f>
        <v>8570.2168999999994</v>
      </c>
      <c r="N13" s="759">
        <f>SUMIFS('利润（汇总）'!5:5,'利润（汇总）'!$1:$1,N$1,'利润（汇总）'!$2:$2,N$2)</f>
        <v>3856.7218360000002</v>
      </c>
      <c r="O13" s="759">
        <f>N13+O56+O63</f>
        <v>7742.0493550000001</v>
      </c>
      <c r="P13" s="759">
        <f>SUMIFS('利润（汇总）'!5:5,'利润（汇总）'!$1:$1,P$1,'利润（汇总）'!$2:$2,P$2)</f>
        <v>3160.4205360000001</v>
      </c>
      <c r="Q13" s="759">
        <f>P13+Q56+Q63</f>
        <v>7553.2671840000003</v>
      </c>
      <c r="R13" s="759">
        <f>SUMIFS('利润（汇总）'!5:5,'利润（汇总）'!$1:$1,R$1,'利润（汇总）'!$2:$2,R$2)</f>
        <v>5791.973113</v>
      </c>
      <c r="S13" s="759">
        <f>R13+S56+S63</f>
        <v>10723.179337000001</v>
      </c>
      <c r="T13" s="759">
        <f>SUMIFS('利润（汇总）'!5:5,'利润（汇总）'!$1:$1,T$1,'利润（汇总）'!$2:$2,T$2)</f>
        <v>6742.4672769999997</v>
      </c>
      <c r="U13" s="759">
        <f>T13+U56+U63</f>
        <v>11485.644144999998</v>
      </c>
      <c r="V13" s="759">
        <f>SUMIFS('利润（汇总）'!5:5,'利润（汇总）'!$1:$1,V$1,'利润（汇总）'!$2:$2,V$2)</f>
        <v>3881.0874779999999</v>
      </c>
      <c r="W13" s="759">
        <f>V13+W56+W63</f>
        <v>8522.3793951239986</v>
      </c>
      <c r="X13" s="759">
        <f>SUMIFS('利润（汇总）'!5:5,'利润（汇总）'!$1:$1,X$1,'利润（汇总）'!$2:$2,X$2)</f>
        <v>7458.6827219999996</v>
      </c>
      <c r="Y13" s="759">
        <f>X13+Y56+Y63</f>
        <v>12577.752294</v>
      </c>
      <c r="Z13" s="759">
        <f>SUMIFS('利润（汇总）'!5:5,'利润（汇总）'!$1:$1,Z$1,'利润（汇总）'!$2:$2,Z$2)</f>
        <v>-2747.3947440000002</v>
      </c>
      <c r="AA13" s="759">
        <f>Z13+AA56+AA63</f>
        <v>15315.746525999999</v>
      </c>
      <c r="AB13" s="759">
        <f>SUMIFS('利润（汇总）'!5:5,'利润（汇总）'!$1:$1,AB$1,'利润（汇总）'!$2:$2,AB$2)</f>
        <v>-26211.840208000001</v>
      </c>
      <c r="AC13" s="759">
        <f>AB13+AC56+AC63</f>
        <v>11197.343223999997</v>
      </c>
      <c r="AD13" s="759">
        <f>SUMIFS('利润（汇总）'!5:5,'利润（汇总）'!$1:$1,AD$1,'利润（汇总）'!$2:$2,AD$2)</f>
        <v>12546.086181000001</v>
      </c>
      <c r="AE13" s="759">
        <f>AD13+AE56+AE63</f>
        <v>18743.593124999999</v>
      </c>
      <c r="AF13" s="759">
        <f>SUMIFS('利润（汇总）'!5:5,'利润（汇总）'!$1:$1,AF$1,'利润（汇总）'!$2:$2,AF$2)</f>
        <v>24400.142</v>
      </c>
      <c r="AG13" s="759">
        <f>AF13+AG56+AG63</f>
        <v>31107.098306</v>
      </c>
      <c r="AH13" s="759">
        <f>SUMIFS('利润（汇总）'!5:5,'利润（汇总）'!$1:$1,AH$1,'利润（汇总）'!$2:$2,AH$2)</f>
        <v>56925.744704999997</v>
      </c>
      <c r="AI13" s="759">
        <f>AH13+AI56+AI63</f>
        <v>56925.744704999997</v>
      </c>
      <c r="AJ13" s="759">
        <f>SUMIFS('利润（汇总）'!5:5,'利润（汇总）'!$1:$1,AJ$1,'利润（汇总）'!$2:$2,AJ$2)</f>
        <v>50993.592603999998</v>
      </c>
      <c r="AK13" s="759">
        <f>AJ13+AK56+AK63</f>
        <v>50993.592603999998</v>
      </c>
      <c r="AL13" s="759">
        <f>SUMIFS('利润（汇总）'!5:5,'利润（汇总）'!$1:$1,AL$1,'利润（汇总）'!$2:$2,AL$2)</f>
        <v>50109.718480000003</v>
      </c>
      <c r="AM13" s="759">
        <f>AL13+AM56+AM63</f>
        <v>50109.718480000003</v>
      </c>
      <c r="AN13" s="759">
        <f>SUMIFS('利润（汇总）'!5:5,'利润（汇总）'!$1:$1,AN$1,'利润（汇总）'!$2:$2,AN$2)</f>
        <v>54573.296918</v>
      </c>
      <c r="AO13" s="759">
        <f>AN13+AO56+AO63</f>
        <v>54573.296918</v>
      </c>
      <c r="AP13" s="759">
        <f>SUMIFS('利润（汇总）'!5:5,'利润（汇总）'!$1:$1,AP$1,'利润（汇总）'!$2:$2,AP$2)</f>
        <v>65368.601999999999</v>
      </c>
      <c r="AQ13" s="759">
        <f>AP13+AQ56+AQ63</f>
        <v>65368.601999999999</v>
      </c>
      <c r="AR13" s="759">
        <f>SUMIFS('利润（汇总）'!5:5,'利润（汇总）'!$1:$1,AR$1,'利润（汇总）'!$2:$2,AR$2)</f>
        <v>62470.785720999971</v>
      </c>
      <c r="AS13" s="759">
        <f>AR13+AS56+AS63</f>
        <v>62470.785720999971</v>
      </c>
      <c r="AT13" s="759">
        <f>SUMIFS('利润（汇总）'!5:5,'利润（汇总）'!$1:$1,AT$1,'利润（汇总）'!$2:$2,AT$2)</f>
        <v>0</v>
      </c>
      <c r="AU13" s="759">
        <f>AT13+AU56+AU63</f>
        <v>0</v>
      </c>
      <c r="AV13" s="759">
        <f>SUMIFS('利润（汇总）'!5:5,'利润（汇总）'!$1:$1,AV$1,'利润（汇总）'!$2:$2,AV$2)</f>
        <v>0</v>
      </c>
      <c r="AW13" s="759">
        <f>AV13+AW56+AW63</f>
        <v>0</v>
      </c>
      <c r="AX13" s="759">
        <f>SUMIFS('利润（汇总）'!5:5,'利润（汇总）'!$1:$1,AX$1,'利润（汇总）'!$2:$2,AX$2)</f>
        <v>0</v>
      </c>
      <c r="AY13" s="759">
        <f>AX13+AY56+AY63</f>
        <v>0</v>
      </c>
      <c r="AZ13" s="759">
        <f>SUMIFS('利润（汇总）'!5:5,'利润（汇总）'!$1:$1,AZ$1,'利润（汇总）'!$2:$2,AZ$2)</f>
        <v>0</v>
      </c>
      <c r="BA13" s="759">
        <f>AZ13+BA56+BA63</f>
        <v>0</v>
      </c>
      <c r="BB13" s="781">
        <f t="shared" si="31"/>
        <v>11854.055818999999</v>
      </c>
      <c r="BC13" s="781">
        <f t="shared" si="32"/>
        <v>12363.505181</v>
      </c>
      <c r="BD13" s="781">
        <f t="shared" ref="BD13:BD36" si="70">H13-C13</f>
        <v>-24045.43633409671</v>
      </c>
      <c r="BE13" s="781"/>
      <c r="BF13" s="788">
        <f t="shared" si="47"/>
        <v>377387.96860900003</v>
      </c>
      <c r="BG13" s="788">
        <f t="shared" si="48"/>
        <v>390292.431859</v>
      </c>
      <c r="BH13" s="1790">
        <f t="shared" si="33"/>
        <v>56925.744704999997</v>
      </c>
      <c r="BI13" s="1787">
        <f>'@预测#经营利润#'!F13</f>
        <v>72085.998384615392</v>
      </c>
      <c r="BJ13" s="751">
        <f>BH13-BI13</f>
        <v>-15160.253679615395</v>
      </c>
      <c r="BK13" s="751">
        <f>AA13-'@预测#经营利润#'!F13</f>
        <v>-56770.251858615389</v>
      </c>
      <c r="BL13" s="755"/>
      <c r="BM13" s="788">
        <f>Z13+AA63</f>
        <v>10386.605255999999</v>
      </c>
      <c r="BN13" s="1571">
        <f>'@预测#经营利润#'!E13</f>
        <v>60720.800000000003</v>
      </c>
      <c r="BO13" s="751">
        <f t="shared" si="36"/>
        <v>-50334.194744000008</v>
      </c>
    </row>
    <row r="14" spans="1:67" s="754" customFormat="1" ht="14.25">
      <c r="A14" s="2027" t="s">
        <v>112</v>
      </c>
      <c r="B14" s="771">
        <v>7124.25</v>
      </c>
      <c r="C14" s="771">
        <f t="shared" si="34"/>
        <v>593.6875</v>
      </c>
      <c r="D14" s="759">
        <f>SUMIFS('利润（汇总）'!6:6,'利润（汇总）'!$1:$1,D$1,'利润（汇总）'!$2:$2,D$2)</f>
        <v>250.33458899999999</v>
      </c>
      <c r="E14" s="759">
        <f>D14</f>
        <v>250.33458899999999</v>
      </c>
      <c r="F14" s="759">
        <f>SUMIFS('利润（汇总）'!6:6,'利润（汇总）'!$1:$1,F$1,'利润（汇总）'!$2:$2,F$2)</f>
        <v>179.18482299999999</v>
      </c>
      <c r="G14" s="759">
        <f>F14</f>
        <v>179.18482299999999</v>
      </c>
      <c r="H14" s="759">
        <f>SUMIFS('利润（汇总）'!6:6,'利润（汇总）'!$1:$1,H$1,'利润（汇总）'!$2:$2,H$2)</f>
        <v>572.32428100000004</v>
      </c>
      <c r="I14" s="759">
        <f>H14</f>
        <v>572.32428100000004</v>
      </c>
      <c r="J14" s="759">
        <f>SUMIFS('利润（汇总）'!6:6,'利润（汇总）'!$1:$1,J$1,'利润（汇总）'!$2:$2,J$2)</f>
        <v>210.86801199999999</v>
      </c>
      <c r="K14" s="759">
        <f>J14</f>
        <v>210.86801199999999</v>
      </c>
      <c r="L14" s="759">
        <f>SUMIFS('利润（汇总）'!6:6,'利润（汇总）'!$1:$1,L$1,'利润（汇总）'!$2:$2,L$2)</f>
        <v>140.93642399999999</v>
      </c>
      <c r="M14" s="759">
        <f>L14</f>
        <v>140.93642399999999</v>
      </c>
      <c r="N14" s="759">
        <f>SUMIFS('利润（汇总）'!6:6,'利润（汇总）'!$1:$1,N$1,'利润（汇总）'!$2:$2,N$2)</f>
        <v>574.971768</v>
      </c>
      <c r="O14" s="759">
        <f>N14</f>
        <v>574.971768</v>
      </c>
      <c r="P14" s="759">
        <f>SUMIFS('利润（汇总）'!6:6,'利润（汇总）'!$1:$1,P$1,'利润（汇总）'!$2:$2,P$2)</f>
        <v>408.05805700000002</v>
      </c>
      <c r="Q14" s="759">
        <f>P14</f>
        <v>408.05805700000002</v>
      </c>
      <c r="R14" s="759">
        <f>SUMIFS('利润（汇总）'!6:6,'利润（汇总）'!$1:$1,R$1,'利润（汇总）'!$2:$2,R$2)</f>
        <v>188.85313300000001</v>
      </c>
      <c r="S14" s="759">
        <f>R14</f>
        <v>188.85313300000001</v>
      </c>
      <c r="T14" s="759">
        <f>SUMIFS('利润（汇总）'!6:6,'利润（汇总）'!$1:$1,T$1,'利润（汇总）'!$2:$2,T$2)</f>
        <v>607.15622299999995</v>
      </c>
      <c r="U14" s="759">
        <f>T14</f>
        <v>607.15622299999995</v>
      </c>
      <c r="V14" s="759">
        <f>SUMIFS('利润（汇总）'!6:6,'利润（汇总）'!$1:$1,V$1,'利润（汇总）'!$2:$2,V$2)</f>
        <v>-148.86440400000001</v>
      </c>
      <c r="W14" s="759">
        <f>V14</f>
        <v>-148.86440400000001</v>
      </c>
      <c r="X14" s="759">
        <f>SUMIFS('利润（汇总）'!6:6,'利润（汇总）'!$1:$1,X$1,'利润（汇总）'!$2:$2,X$2)</f>
        <v>258.93335200000001</v>
      </c>
      <c r="Y14" s="759">
        <f>X14</f>
        <v>258.93335200000001</v>
      </c>
      <c r="Z14" s="759">
        <f>SUMIFS('利润（汇总）'!6:6,'利润（汇总）'!$1:$1,Z$1,'利润（汇总）'!$2:$2,Z$2)</f>
        <v>528.867751</v>
      </c>
      <c r="AA14" s="759">
        <f>Z14</f>
        <v>528.867751</v>
      </c>
      <c r="AB14" s="759">
        <f>SUMIFS('利润（汇总）'!6:6,'利润（汇总）'!$1:$1,AB$1,'利润（汇总）'!$2:$2,AB$2)</f>
        <v>-1915.2481640000001</v>
      </c>
      <c r="AC14" s="759">
        <f>AB14+AC65-300</f>
        <v>563.55183600000009</v>
      </c>
      <c r="AD14" s="759">
        <f>SUMIFS('利润（汇总）'!6:6,'利润（汇总）'!$1:$1,AD$1,'利润（汇总）'!$2:$2,AD$2)</f>
        <v>258.81249500000001</v>
      </c>
      <c r="AE14" s="759">
        <f>AD14+AE65</f>
        <v>258.81249500000001</v>
      </c>
      <c r="AF14" s="759">
        <f>SUMIFS('利润（汇总）'!6:6,'利润（汇总）'!$1:$1,AF$1,'利润（汇总）'!$2:$2,AF$2)</f>
        <v>440.91714000000002</v>
      </c>
      <c r="AG14" s="759">
        <f>AF14+AG65</f>
        <v>440.91714000000002</v>
      </c>
      <c r="AH14" s="759">
        <f>SUMIFS('利润（汇总）'!6:6,'利润（汇总）'!$1:$1,AH$1,'利润（汇总）'!$2:$2,AH$2)</f>
        <v>351.39330699999999</v>
      </c>
      <c r="AI14" s="759">
        <f>AH14+AI65</f>
        <v>351.39330699999999</v>
      </c>
      <c r="AJ14" s="759">
        <f>SUMIFS('利润（汇总）'!6:6,'利润（汇总）'!$1:$1,AJ$1,'利润（汇总）'!$2:$2,AJ$2)</f>
        <v>421.85190299999999</v>
      </c>
      <c r="AK14" s="759">
        <f>AJ14+AK65</f>
        <v>421.85190299999999</v>
      </c>
      <c r="AL14" s="759">
        <f>SUMIFS('利润（汇总）'!6:6,'利润（汇总）'!$1:$1,AL$1,'利润（汇总）'!$2:$2,AL$2)</f>
        <v>149.32101599999999</v>
      </c>
      <c r="AM14" s="759">
        <f>AL14+AM65</f>
        <v>149.32101599999999</v>
      </c>
      <c r="AN14" s="759">
        <f>SUMIFS('利润（汇总）'!6:6,'利润（汇总）'!$1:$1,AN$1,'利润（汇总）'!$2:$2,AN$2)</f>
        <v>109.82137400000001</v>
      </c>
      <c r="AO14" s="759">
        <f>AN14+AO65</f>
        <v>109.82137400000001</v>
      </c>
      <c r="AP14" s="759">
        <f>SUMIFS('利润（汇总）'!6:6,'利润（汇总）'!$1:$1,AP$1,'利润（汇总）'!$2:$2,AP$2)</f>
        <v>-320</v>
      </c>
      <c r="AQ14" s="759">
        <f>AP14+AQ65</f>
        <v>-320</v>
      </c>
      <c r="AR14" s="759">
        <f>SUMIFS('利润（汇总）'!6:6,'利润（汇总）'!$1:$1,AR$1,'利润（汇总）'!$2:$2,AR$2)</f>
        <v>-345.42</v>
      </c>
      <c r="AS14" s="759">
        <f>AR14+AS65</f>
        <v>-345.42</v>
      </c>
      <c r="AT14" s="759">
        <f>SUMIFS('利润（汇总）'!6:6,'利润（汇总）'!$1:$1,AT$1,'利润（汇总）'!$2:$2,AT$2)</f>
        <v>0</v>
      </c>
      <c r="AU14" s="759">
        <f>AT14+AU65</f>
        <v>0</v>
      </c>
      <c r="AV14" s="759">
        <f>SUMIFS('利润（汇总）'!6:6,'利润（汇总）'!$1:$1,AV$1,'利润（汇总）'!$2:$2,AV$2)</f>
        <v>0</v>
      </c>
      <c r="AW14" s="759">
        <f>AV14+AW65</f>
        <v>0</v>
      </c>
      <c r="AX14" s="759">
        <f>SUMIFS('利润（汇总）'!6:6,'利润（汇总）'!$1:$1,AX$1,'利润（汇总）'!$2:$2,AX$2)</f>
        <v>0</v>
      </c>
      <c r="AY14" s="759">
        <f>AX14+AY65</f>
        <v>0</v>
      </c>
      <c r="AZ14" s="759">
        <f>SUMIFS('利润（汇总）'!6:6,'利润（汇总）'!$1:$1,AZ$1,'利润（汇总）'!$2:$2,AZ$2)</f>
        <v>0</v>
      </c>
      <c r="BA14" s="759">
        <f>AZ14+BA65</f>
        <v>0</v>
      </c>
      <c r="BB14" s="781">
        <f t="shared" si="31"/>
        <v>182.104645</v>
      </c>
      <c r="BC14" s="781">
        <f t="shared" si="32"/>
        <v>182.104645</v>
      </c>
      <c r="BD14" s="781">
        <f t="shared" si="70"/>
        <v>-21.363218999999958</v>
      </c>
      <c r="BE14" s="781"/>
      <c r="BF14" s="788">
        <f t="shared" si="47"/>
        <v>1066.6972350000001</v>
      </c>
      <c r="BG14" s="788">
        <f t="shared" si="48"/>
        <v>1066.6972350000001</v>
      </c>
      <c r="BH14" s="1790">
        <f t="shared" si="33"/>
        <v>351.39330699999999</v>
      </c>
      <c r="BI14" s="1787">
        <f>'@预测#经营利润#'!F14</f>
        <v>-337</v>
      </c>
      <c r="BJ14" s="751">
        <f t="shared" si="35"/>
        <v>688.39330700000005</v>
      </c>
      <c r="BK14" s="751">
        <f>AA14-'@预测#经营利润#'!F14</f>
        <v>865.867751</v>
      </c>
      <c r="BM14" s="788">
        <f t="shared" ref="BM14:BM42" si="71">Z14</f>
        <v>528.867751</v>
      </c>
      <c r="BN14" s="1571">
        <f>'@预测#经营利润#'!E14</f>
        <v>-337</v>
      </c>
      <c r="BO14" s="751">
        <f t="shared" si="36"/>
        <v>865.867751</v>
      </c>
    </row>
    <row r="15" spans="1:67" s="754" customFormat="1" ht="14.25">
      <c r="A15" s="2027" t="s">
        <v>46</v>
      </c>
      <c r="B15" s="771">
        <v>240000</v>
      </c>
      <c r="C15" s="771">
        <f t="shared" si="34"/>
        <v>20000</v>
      </c>
      <c r="D15" s="759">
        <f>SUMIFS('利润（汇总）'!7:7,'利润（汇总）'!$1:$1,D$1,'利润（汇总）'!$2:$2,D$2)</f>
        <v>-3772</v>
      </c>
      <c r="E15" s="759">
        <f>D15+E70</f>
        <v>-1108</v>
      </c>
      <c r="F15" s="759">
        <f>SUMIFS('利润（汇总）'!7:7,'利润（汇总）'!$1:$1,F$1,'利润（汇总）'!$2:$2,F$2)</f>
        <v>4407</v>
      </c>
      <c r="G15" s="759">
        <f>F15+G70</f>
        <v>990</v>
      </c>
      <c r="H15" s="759">
        <f>SUMIFS('利润（汇总）'!7:7,'利润（汇总）'!$1:$1,H$1,'利润（汇总）'!$2:$2,H$2)</f>
        <v>-2921</v>
      </c>
      <c r="I15" s="759">
        <f>H15+I70</f>
        <v>-5780</v>
      </c>
      <c r="J15" s="759">
        <f>SUMIFS('利润（汇总）'!7:7,'利润（汇总）'!$1:$1,J$1,'利润（汇总）'!$2:$2,J$2)</f>
        <v>-5883</v>
      </c>
      <c r="K15" s="759">
        <f>J15+K70</f>
        <v>-729</v>
      </c>
      <c r="L15" s="759">
        <f>SUMIFS('利润（汇总）'!7:7,'利润（汇总）'!$1:$1,L$1,'利润（汇总）'!$2:$2,L$2)</f>
        <v>-7145</v>
      </c>
      <c r="M15" s="759">
        <f>L15+M70</f>
        <v>-5985</v>
      </c>
      <c r="N15" s="759">
        <f>SUMIFS('利润（汇总）'!7:7,'利润（汇总）'!$1:$1,N$1,'利润（汇总）'!$2:$2,N$2)</f>
        <v>1624</v>
      </c>
      <c r="O15" s="759">
        <f>N15+O70</f>
        <v>8157</v>
      </c>
      <c r="P15" s="759">
        <f>SUMIFS('利润（汇总）'!7:7,'利润（汇总）'!$1:$1,P$1,'利润（汇总）'!$2:$2,P$2)</f>
        <v>30845</v>
      </c>
      <c r="Q15" s="759">
        <f>P15+Q70-15187</f>
        <v>6373</v>
      </c>
      <c r="R15" s="759">
        <f>SUMIFS('利润（汇总）'!7:7,'利润（汇总）'!$1:$1,R$1,'利润（汇总）'!$2:$2,R$2)</f>
        <v>6466</v>
      </c>
      <c r="S15" s="759">
        <f>R15+S70</f>
        <v>6531</v>
      </c>
      <c r="T15" s="759">
        <f>SUMIFS('利润（汇总）'!7:7,'利润（汇总）'!$1:$1,T$1,'利润（汇总）'!$2:$2,T$2)</f>
        <v>24004</v>
      </c>
      <c r="U15" s="759">
        <f>T15+U70</f>
        <v>20430</v>
      </c>
      <c r="V15" s="759">
        <f>SUMIFS('利润（汇总）'!7:7,'利润（汇总）'!$1:$1,V$1,'利润（汇总）'!$2:$2,V$2)</f>
        <v>15083</v>
      </c>
      <c r="W15" s="759">
        <f>V15+W70</f>
        <v>12079</v>
      </c>
      <c r="X15" s="759">
        <f>SUMIFS('利润（汇总）'!7:7,'利润（汇总）'!$1:$1,X$1,'利润（汇总）'!$2:$2,X$2)</f>
        <v>30110</v>
      </c>
      <c r="Y15" s="759">
        <f>X15+Y70</f>
        <v>26640</v>
      </c>
      <c r="Z15" s="759">
        <f>SUMIFS('利润（汇总）'!7:7,'利润（汇总）'!$1:$1,Z$1,'利润（汇总）'!$2:$2,Z$2)</f>
        <v>18471</v>
      </c>
      <c r="AA15" s="759">
        <f>Z15+AA70</f>
        <v>19132</v>
      </c>
      <c r="AB15" s="759">
        <f>SUMIFS('利润（汇总）'!7:7,'利润（汇总）'!$1:$1,AB$1,'利润（汇总）'!$2:$2,AB$2)</f>
        <v>23985</v>
      </c>
      <c r="AC15" s="759">
        <f>AB15+AC70</f>
        <v>37500</v>
      </c>
      <c r="AD15" s="759">
        <f>SUMIFS('利润（汇总）'!7:7,'利润（汇总）'!$1:$1,AD$1,'利润（汇总）'!$2:$2,AD$2)</f>
        <v>62465</v>
      </c>
      <c r="AE15" s="759">
        <f>AD15+AE70</f>
        <v>62465</v>
      </c>
      <c r="AF15" s="759">
        <f>SUMIFS('利润（汇总）'!7:7,'利润（汇总）'!$1:$1,AF$1,'利润（汇总）'!$2:$2,AF$2)</f>
        <v>83036</v>
      </c>
      <c r="AG15" s="759">
        <f>AF15+AG70</f>
        <v>83036</v>
      </c>
      <c r="AH15" s="759">
        <f>SUMIFS('利润（汇总）'!7:7,'利润（汇总）'!$1:$1,AH$1,'利润（汇总）'!$2:$2,AH$2)</f>
        <v>105480</v>
      </c>
      <c r="AI15" s="759">
        <f>AH15+AI70</f>
        <v>105480</v>
      </c>
      <c r="AJ15" s="759">
        <f>SUMIFS('利润（汇总）'!7:7,'利润（汇总）'!$1:$1,AJ$1,'利润（汇总）'!$2:$2,AJ$2)</f>
        <v>118526</v>
      </c>
      <c r="AK15" s="759">
        <f>AJ15+AK70</f>
        <v>118526</v>
      </c>
      <c r="AL15" s="759">
        <f>SUMIFS('利润（汇总）'!7:7,'利润（汇总）'!$1:$1,AL$1,'利润（汇总）'!$2:$2,AL$2)</f>
        <v>124337</v>
      </c>
      <c r="AM15" s="759">
        <f>AL15+AM70</f>
        <v>124337</v>
      </c>
      <c r="AN15" s="759">
        <f>SUMIFS('利润（汇总）'!7:7,'利润（汇总）'!$1:$1,AN$1,'利润（汇总）'!$2:$2,AN$2)</f>
        <v>84993</v>
      </c>
      <c r="AO15" s="759">
        <f>AN15+AO70</f>
        <v>84993</v>
      </c>
      <c r="AP15" s="759">
        <f>SUMIFS('利润（汇总）'!7:7,'利润（汇总）'!$1:$1,AP$1,'利润（汇总）'!$2:$2,AP$2)</f>
        <v>104942</v>
      </c>
      <c r="AQ15" s="759">
        <f>AP15+AQ70</f>
        <v>104942</v>
      </c>
      <c r="AR15" s="759">
        <f>SUMIFS('利润（汇总）'!7:7,'利润（汇总）'!$1:$1,AR$1,'利润（汇总）'!$2:$2,AR$2)</f>
        <v>87793</v>
      </c>
      <c r="AS15" s="759">
        <f>AR15+AS70</f>
        <v>87793</v>
      </c>
      <c r="AT15" s="759">
        <f>SUMIFS('利润（汇总）'!7:7,'利润（汇总）'!$1:$1,AT$1,'利润（汇总）'!$2:$2,AT$2)</f>
        <v>0</v>
      </c>
      <c r="AU15" s="759">
        <f>AT15+AU70</f>
        <v>0</v>
      </c>
      <c r="AV15" s="759">
        <f>SUMIFS('利润（汇总）'!7:7,'利润（汇总）'!$1:$1,AV$1,'利润（汇总）'!$2:$2,AV$2)</f>
        <v>0</v>
      </c>
      <c r="AW15" s="759">
        <f>AV15+AW70</f>
        <v>0</v>
      </c>
      <c r="AX15" s="759">
        <f>SUMIFS('利润（汇总）'!7:7,'利润（汇总）'!$1:$1,AX$1,'利润（汇总）'!$2:$2,AX$2)</f>
        <v>0</v>
      </c>
      <c r="AY15" s="759">
        <f>AX15+AY70</f>
        <v>0</v>
      </c>
      <c r="AZ15" s="759">
        <f>SUMIFS('利润（汇总）'!7:7,'利润（汇总）'!$1:$1,AZ$1,'利润（汇总）'!$2:$2,AZ$2)</f>
        <v>0</v>
      </c>
      <c r="BA15" s="759">
        <f>AZ15+BA70</f>
        <v>0</v>
      </c>
      <c r="BB15" s="781">
        <f t="shared" si="31"/>
        <v>20571</v>
      </c>
      <c r="BC15" s="781">
        <f t="shared" si="32"/>
        <v>20571</v>
      </c>
      <c r="BD15" s="781">
        <f t="shared" si="70"/>
        <v>-22921</v>
      </c>
      <c r="BE15" s="781"/>
      <c r="BF15" s="788">
        <f t="shared" si="47"/>
        <v>771572</v>
      </c>
      <c r="BG15" s="788">
        <f t="shared" si="48"/>
        <v>771572</v>
      </c>
      <c r="BH15" s="1790">
        <f t="shared" si="33"/>
        <v>105480</v>
      </c>
      <c r="BI15" s="1787">
        <f>'@预测#经营利润#'!F15</f>
        <v>78461</v>
      </c>
      <c r="BJ15" s="751">
        <f t="shared" si="35"/>
        <v>27019</v>
      </c>
      <c r="BK15" s="751">
        <f>AA15-'@预测#经营利润#'!F15</f>
        <v>-59329</v>
      </c>
      <c r="BL15" s="786"/>
      <c r="BM15" s="788">
        <f t="shared" si="71"/>
        <v>18471</v>
      </c>
      <c r="BN15" s="1571">
        <f>'@预测#经营利润#'!E15</f>
        <v>78461</v>
      </c>
      <c r="BO15" s="751">
        <f>BM15-BN15</f>
        <v>-59990</v>
      </c>
    </row>
    <row r="16" spans="1:67" s="754" customFormat="1" ht="15.4" customHeight="1">
      <c r="A16" s="2027" t="s">
        <v>113</v>
      </c>
      <c r="B16" s="771">
        <v>59</v>
      </c>
      <c r="C16" s="771">
        <f t="shared" ref="C16:C22" si="72">B16/12</f>
        <v>4.916666666666667</v>
      </c>
      <c r="D16" s="759">
        <f>SUMIFS('利润（汇总）'!10:10,'利润（汇总）'!$1:$1,D$1,'利润（汇总）'!$2:$2,D$2)</f>
        <v>-3781.4600719999999</v>
      </c>
      <c r="E16" s="759">
        <f t="shared" ref="E16:E22" si="73">D16</f>
        <v>-3781.4600719999999</v>
      </c>
      <c r="F16" s="759">
        <f>SUMIFS('利润（汇总）'!10:10,'利润（汇总）'!$1:$1,F$1,'利润（汇总）'!$2:$2,F$2)</f>
        <v>-2346.7800889999999</v>
      </c>
      <c r="G16" s="759">
        <f t="shared" ref="G16:G22" si="74">F16</f>
        <v>-2346.7800889999999</v>
      </c>
      <c r="H16" s="759">
        <f>SUMIFS('利润（汇总）'!10:10,'利润（汇总）'!$1:$1,H$1,'利润（汇总）'!$2:$2,H$2)</f>
        <v>-2101.2988580000001</v>
      </c>
      <c r="I16" s="759">
        <f t="shared" ref="I16:I22" si="75">H16</f>
        <v>-2101.2988580000001</v>
      </c>
      <c r="J16" s="759">
        <f>SUMIFS('利润（汇总）'!10:10,'利润（汇总）'!$1:$1,J$1,'利润（汇总）'!$2:$2,J$2)</f>
        <v>-2690.1583959999998</v>
      </c>
      <c r="K16" s="759">
        <f t="shared" ref="K16:K22" si="76">J16</f>
        <v>-2690.1583959999998</v>
      </c>
      <c r="L16" s="759">
        <f>SUMIFS('利润（汇总）'!10:10,'利润（汇总）'!$1:$1,L$1,'利润（汇总）'!$2:$2,L$2)</f>
        <v>-1188.735353</v>
      </c>
      <c r="M16" s="759">
        <f t="shared" ref="M16:M22" si="77">L16</f>
        <v>-1188.735353</v>
      </c>
      <c r="N16" s="759">
        <f>SUMIFS('利润（汇总）'!10:10,'利润（汇总）'!$1:$1,N$1,'利润（汇总）'!$2:$2,N$2)</f>
        <v>-1442.7569229999999</v>
      </c>
      <c r="O16" s="759">
        <f t="shared" ref="O16:O22" si="78">N16</f>
        <v>-1442.7569229999999</v>
      </c>
      <c r="P16" s="759">
        <f>SUMIFS('利润（汇总）'!10:10,'利润（汇总）'!$1:$1,P$1,'利润（汇总）'!$2:$2,P$2)</f>
        <v>146.722205</v>
      </c>
      <c r="Q16" s="759">
        <f t="shared" ref="Q16:Q22" si="79">P16</f>
        <v>146.722205</v>
      </c>
      <c r="R16" s="759">
        <f>SUMIFS('利润（汇总）'!10:10,'利润（汇总）'!$1:$1,R$1,'利润（汇总）'!$2:$2,R$2)</f>
        <v>-1013.8467460000001</v>
      </c>
      <c r="S16" s="759">
        <f t="shared" ref="S16:S22" si="80">R16</f>
        <v>-1013.8467460000001</v>
      </c>
      <c r="T16" s="759">
        <f>SUMIFS('利润（汇总）'!10:10,'利润（汇总）'!$1:$1,T$1,'利润（汇总）'!$2:$2,T$2)</f>
        <v>-1454.1571489999999</v>
      </c>
      <c r="U16" s="759">
        <f t="shared" ref="U16:U22" si="81">T16</f>
        <v>-1454.1571489999999</v>
      </c>
      <c r="V16" s="759">
        <f>SUMIFS('利润（汇总）'!10:10,'利润（汇总）'!$1:$1,V$1,'利润（汇总）'!$2:$2,V$2)</f>
        <v>-956.87146700000005</v>
      </c>
      <c r="W16" s="759">
        <f t="shared" ref="W16:W22" si="82">V16</f>
        <v>-956.87146700000005</v>
      </c>
      <c r="X16" s="759">
        <f>SUMIFS('利润（汇总）'!10:10,'利润（汇总）'!$1:$1,X$1,'利润（汇总）'!$2:$2,X$2)</f>
        <v>-1620.2605779999999</v>
      </c>
      <c r="Y16" s="759">
        <f t="shared" ref="Y16:Y22" si="83">X16</f>
        <v>-1620.2605779999999</v>
      </c>
      <c r="Z16" s="759">
        <f>SUMIFS('利润（汇总）'!10:10,'利润（汇总）'!$1:$1,Z$1,'利润（汇总）'!$2:$2,Z$2)</f>
        <v>-1631.0518199999999</v>
      </c>
      <c r="AA16" s="759">
        <f t="shared" ref="AA16:AA22" si="84">Z16</f>
        <v>-1631.0518199999999</v>
      </c>
      <c r="AB16" s="759">
        <f>SUMIFS('利润（汇总）'!10:10,'利润（汇总）'!$1:$1,AB$1,'利润（汇总）'!$2:$2,AB$2)</f>
        <v>-4093.8810279999998</v>
      </c>
      <c r="AC16" s="759">
        <f>AB16+1410</f>
        <v>-2683.8810279999998</v>
      </c>
      <c r="AD16" s="759">
        <f>SUMIFS('利润（汇总）'!10:10,'利润（汇总）'!$1:$1,AD$1,'利润（汇总）'!$2:$2,AD$2)</f>
        <v>-1238.68</v>
      </c>
      <c r="AE16" s="759">
        <f>AD16</f>
        <v>-1238.68</v>
      </c>
      <c r="AF16" s="759">
        <f>SUMIFS('利润（汇总）'!10:10,'利润（汇总）'!$1:$1,AF$1,'利润（汇总）'!$2:$2,AF$2)</f>
        <v>1176.962518</v>
      </c>
      <c r="AG16" s="759">
        <f>AF16</f>
        <v>1176.962518</v>
      </c>
      <c r="AH16" s="759">
        <f>SUMIFS('利润（汇总）'!10:10,'利润（汇总）'!$1:$1,AH$1,'利润（汇总）'!$2:$2,AH$2)</f>
        <v>3262.9440300000001</v>
      </c>
      <c r="AI16" s="759">
        <f t="shared" ref="AI16:AI30" si="85">AH16</f>
        <v>3262.9440300000001</v>
      </c>
      <c r="AJ16" s="759">
        <f>SUMIFS('利润（汇总）'!10:10,'利润（汇总）'!$1:$1,AJ$1,'利润（汇总）'!$2:$2,AJ$2)</f>
        <v>4430.3485860000001</v>
      </c>
      <c r="AK16" s="759">
        <f t="shared" ref="AK16:AK30" si="86">AJ16</f>
        <v>4430.3485860000001</v>
      </c>
      <c r="AL16" s="759">
        <f>SUMIFS('利润（汇总）'!10:10,'利润（汇总）'!$1:$1,AL$1,'利润（汇总）'!$2:$2,AL$2)</f>
        <v>3107.0309120000002</v>
      </c>
      <c r="AM16" s="759">
        <f t="shared" ref="AM16:AM30" si="87">AL16</f>
        <v>3107.0309120000002</v>
      </c>
      <c r="AN16" s="759">
        <f>SUMIFS('利润（汇总）'!10:10,'利润（汇总）'!$1:$1,AN$1,'利润（汇总）'!$2:$2,AN$2)</f>
        <v>1954.463626</v>
      </c>
      <c r="AO16" s="759">
        <f t="shared" ref="AO16:AO30" si="88">AN16</f>
        <v>1954.463626</v>
      </c>
      <c r="AP16" s="759">
        <f>SUMIFS('利润（汇总）'!10:10,'利润（汇总）'!$1:$1,AP$1,'利润（汇总）'!$2:$2,AP$2)</f>
        <v>1515.6657270000001</v>
      </c>
      <c r="AQ16" s="759">
        <f t="shared" ref="AQ16:AQ30" si="89">AP16</f>
        <v>1515.6657270000001</v>
      </c>
      <c r="AR16" s="759">
        <f>SUMIFS('利润（汇总）'!10:10,'利润（汇总）'!$1:$1,AR$1,'利润（汇总）'!$2:$2,AR$2)</f>
        <v>4432.1400000000003</v>
      </c>
      <c r="AS16" s="759">
        <f t="shared" ref="AS16:AS30" si="90">AR16</f>
        <v>4432.1400000000003</v>
      </c>
      <c r="AT16" s="759">
        <f>SUMIFS('利润（汇总）'!10:10,'利润（汇总）'!$1:$1,AT$1,'利润（汇总）'!$2:$2,AT$2)</f>
        <v>0</v>
      </c>
      <c r="AU16" s="759">
        <f t="shared" ref="AU16:AU30" si="91">AT16</f>
        <v>0</v>
      </c>
      <c r="AV16" s="759">
        <f>SUMIFS('利润（汇总）'!10:10,'利润（汇总）'!$1:$1,AV$1,'利润（汇总）'!$2:$2,AV$2)</f>
        <v>0</v>
      </c>
      <c r="AW16" s="759">
        <f t="shared" ref="AW16:AW30" si="92">AV16</f>
        <v>0</v>
      </c>
      <c r="AX16" s="759">
        <f>SUMIFS('利润（汇总）'!10:10,'利润（汇总）'!$1:$1,AX$1,'利润（汇总）'!$2:$2,AX$2)</f>
        <v>0</v>
      </c>
      <c r="AY16" s="759">
        <f t="shared" ref="AY16:AY30" si="93">AX16</f>
        <v>0</v>
      </c>
      <c r="AZ16" s="759">
        <f>SUMIFS('利润（汇总）'!10:10,'利润（汇总）'!$1:$1,AZ$1,'利润（汇总）'!$2:$2,AZ$2)</f>
        <v>0</v>
      </c>
      <c r="BA16" s="759">
        <f t="shared" ref="BA16:BA42" si="94">AZ16</f>
        <v>0</v>
      </c>
      <c r="BB16" s="781">
        <f t="shared" si="31"/>
        <v>2415.6425180000001</v>
      </c>
      <c r="BC16" s="781">
        <f t="shared" si="32"/>
        <v>2415.6425180000001</v>
      </c>
      <c r="BD16" s="781">
        <f t="shared" si="70"/>
        <v>-2106.2155246666666</v>
      </c>
      <c r="BE16" s="781"/>
      <c r="BF16" s="788">
        <f t="shared" si="47"/>
        <v>18640.875399</v>
      </c>
      <c r="BG16" s="788">
        <f t="shared" si="48"/>
        <v>18640.875399</v>
      </c>
      <c r="BH16" s="1790">
        <f t="shared" si="33"/>
        <v>3262.9440300000001</v>
      </c>
      <c r="BI16" s="1787">
        <f>'@预测#经营利润#'!F16</f>
        <v>3585</v>
      </c>
      <c r="BJ16" s="751">
        <f t="shared" si="35"/>
        <v>-322.05596999999989</v>
      </c>
      <c r="BK16" s="751">
        <f>AA16-'@预测#经营利润#'!F16</f>
        <v>-5216.0518199999997</v>
      </c>
      <c r="BL16" s="786"/>
      <c r="BM16" s="788">
        <f t="shared" si="71"/>
        <v>-1631.0518199999999</v>
      </c>
      <c r="BN16" s="1571">
        <f>'@预测#经营利润#'!E16</f>
        <v>3585</v>
      </c>
      <c r="BO16" s="751">
        <f t="shared" si="36"/>
        <v>-5216.0518199999997</v>
      </c>
    </row>
    <row r="17" spans="1:67" s="754" customFormat="1" ht="14.25" hidden="1">
      <c r="A17" s="2027" t="s">
        <v>114</v>
      </c>
      <c r="B17" s="771">
        <v>1236</v>
      </c>
      <c r="C17" s="771">
        <f t="shared" si="72"/>
        <v>103</v>
      </c>
      <c r="D17" s="759">
        <f>SUMIFS('利润（汇总）'!11:11,'利润（汇总）'!$1:$1,D$1,'利润（汇总）'!$2:$2,D$2)</f>
        <v>-620.55635600000005</v>
      </c>
      <c r="E17" s="759">
        <f t="shared" si="73"/>
        <v>-620.55635600000005</v>
      </c>
      <c r="F17" s="759">
        <f>SUMIFS('利润（汇总）'!11:11,'利润（汇总）'!$1:$1,F$1,'利润（汇总）'!$2:$2,F$2)</f>
        <v>-449.27105999999998</v>
      </c>
      <c r="G17" s="759">
        <f t="shared" si="74"/>
        <v>-449.27105999999998</v>
      </c>
      <c r="H17" s="759">
        <f>SUMIFS('利润（汇总）'!11:11,'利润（汇总）'!$1:$1,H$1,'利润（汇总）'!$2:$2,H$2)</f>
        <v>419.58144600000003</v>
      </c>
      <c r="I17" s="759">
        <f t="shared" si="75"/>
        <v>419.58144600000003</v>
      </c>
      <c r="J17" s="759">
        <f>SUMIFS('利润（汇总）'!11:11,'利润（汇总）'!$1:$1,J$1,'利润（汇总）'!$2:$2,J$2)</f>
        <v>-418.779358</v>
      </c>
      <c r="K17" s="759">
        <f t="shared" si="76"/>
        <v>-418.779358</v>
      </c>
      <c r="L17" s="759">
        <f>SUMIFS('利润（汇总）'!11:11,'利润（汇总）'!$1:$1,L$1,'利润（汇总）'!$2:$2,L$2)</f>
        <v>-394.57532500000002</v>
      </c>
      <c r="M17" s="759">
        <f t="shared" si="77"/>
        <v>-394.57532500000002</v>
      </c>
      <c r="N17" s="759">
        <f>SUMIFS('利润（汇总）'!11:11,'利润（汇总）'!$1:$1,N$1,'利润（汇总）'!$2:$2,N$2)</f>
        <v>-305.05782900000003</v>
      </c>
      <c r="O17" s="759">
        <f t="shared" si="78"/>
        <v>-305.05782900000003</v>
      </c>
      <c r="P17" s="759">
        <f>SUMIFS('利润（汇总）'!11:11,'利润（汇总）'!$1:$1,P$1,'利润（汇总）'!$2:$2,P$2)</f>
        <v>1299.1330539999999</v>
      </c>
      <c r="Q17" s="759">
        <f t="shared" si="79"/>
        <v>1299.1330539999999</v>
      </c>
      <c r="R17" s="759">
        <f>SUMIFS('利润（汇总）'!11:11,'利润（汇总）'!$1:$1,R$1,'利润（汇总）'!$2:$2,R$2)</f>
        <v>-24.681778000000001</v>
      </c>
      <c r="S17" s="759">
        <f t="shared" si="80"/>
        <v>-24.681778000000001</v>
      </c>
      <c r="T17" s="759">
        <f>SUMIFS('利润（汇总）'!11:11,'利润（汇总）'!$1:$1,T$1,'利润（汇总）'!$2:$2,T$2)</f>
        <v>-80.547166000000004</v>
      </c>
      <c r="U17" s="759">
        <f t="shared" si="81"/>
        <v>-80.547166000000004</v>
      </c>
      <c r="V17" s="759">
        <f>SUMIFS('利润（汇总）'!11:11,'利润（汇总）'!$1:$1,V$1,'利润（汇总）'!$2:$2,V$2)</f>
        <v>-403.97355599999997</v>
      </c>
      <c r="W17" s="759">
        <f t="shared" si="82"/>
        <v>-403.97355599999997</v>
      </c>
      <c r="X17" s="759">
        <f>SUMIFS('利润（汇总）'!11:11,'利润（汇总）'!$1:$1,X$1,'利润（汇总）'!$2:$2,X$2)</f>
        <v>1032.484741</v>
      </c>
      <c r="Y17" s="759">
        <f t="shared" si="83"/>
        <v>1032.484741</v>
      </c>
      <c r="Z17" s="759">
        <f>SUMIFS('利润（汇总）'!11:11,'利润（汇总）'!$1:$1,Z$1,'利润（汇总）'!$2:$2,Z$2)</f>
        <v>415.997727</v>
      </c>
      <c r="AA17" s="759">
        <f t="shared" si="84"/>
        <v>415.997727</v>
      </c>
      <c r="AB17" s="759">
        <f>SUMIFS('利润（汇总）'!11:11,'利润（汇总）'!$1:$1,AB$1,'利润（汇总）'!$2:$2,AB$2)</f>
        <v>-754.02079300000003</v>
      </c>
      <c r="AC17" s="759">
        <f t="shared" ref="AC17:AE22" si="95">AB17</f>
        <v>-754.02079300000003</v>
      </c>
      <c r="AD17" s="759">
        <f>SUMIFS('利润（汇总）'!11:11,'利润（汇总）'!$1:$1,AD$1,'利润（汇总）'!$2:$2,AD$2)</f>
        <v>-409.20861000000002</v>
      </c>
      <c r="AE17" s="759">
        <f t="shared" si="95"/>
        <v>-409.20861000000002</v>
      </c>
      <c r="AF17" s="759">
        <f>SUMIFS('利润（汇总）'!11:11,'利润（汇总）'!$1:$1,AF$1,'利润（汇总）'!$2:$2,AF$2)</f>
        <v>-548.92084199999999</v>
      </c>
      <c r="AG17" s="759">
        <f t="shared" ref="AG17:AG42" si="96">AF17</f>
        <v>-548.92084199999999</v>
      </c>
      <c r="AH17" s="759">
        <f>SUMIFS('利润（汇总）'!11:11,'利润（汇总）'!$1:$1,AH$1,'利润（汇总）'!$2:$2,AH$2)</f>
        <v>1352.0602530000001</v>
      </c>
      <c r="AI17" s="759">
        <f t="shared" si="85"/>
        <v>1352.0602530000001</v>
      </c>
      <c r="AJ17" s="759">
        <f>SUMIFS('利润（汇总）'!11:11,'利润（汇总）'!$1:$1,AJ$1,'利润（汇总）'!$2:$2,AJ$2)</f>
        <v>-71.360415000000003</v>
      </c>
      <c r="AK17" s="759">
        <f t="shared" si="86"/>
        <v>-71.360415000000003</v>
      </c>
      <c r="AL17" s="759">
        <f>SUMIFS('利润（汇总）'!11:11,'利润（汇总）'!$1:$1,AL$1,'利润（汇总）'!$2:$2,AL$2)</f>
        <v>544.83111499999995</v>
      </c>
      <c r="AM17" s="759">
        <f t="shared" si="87"/>
        <v>544.83111499999995</v>
      </c>
      <c r="AN17" s="759">
        <f>SUMIFS('利润（汇总）'!11:11,'利润（汇总）'!$1:$1,AN$1,'利润（汇总）'!$2:$2,AN$2)</f>
        <v>1120.7305839999999</v>
      </c>
      <c r="AO17" s="759">
        <f t="shared" si="88"/>
        <v>1120.7305839999999</v>
      </c>
      <c r="AP17" s="759">
        <f>SUMIFS('利润（汇总）'!11:11,'利润（汇总）'!$1:$1,AP$1,'利润（汇总）'!$2:$2,AP$2)</f>
        <v>1096</v>
      </c>
      <c r="AQ17" s="759">
        <f t="shared" si="89"/>
        <v>1096</v>
      </c>
      <c r="AR17" s="759">
        <f>SUMIFS('利润（汇总）'!11:11,'利润（汇总）'!$1:$1,AR$1,'利润（汇总）'!$2:$2,AR$2)</f>
        <v>677.5</v>
      </c>
      <c r="AS17" s="759">
        <f t="shared" si="90"/>
        <v>677.5</v>
      </c>
      <c r="AT17" s="759">
        <f>SUMIFS('利润（汇总）'!11:11,'利润（汇总）'!$1:$1,AT$1,'利润（汇总）'!$2:$2,AT$2)</f>
        <v>0</v>
      </c>
      <c r="AU17" s="759">
        <f t="shared" si="91"/>
        <v>0</v>
      </c>
      <c r="AV17" s="759">
        <f>SUMIFS('利润（汇总）'!11:11,'利润（汇总）'!$1:$1,AV$1,'利润（汇总）'!$2:$2,AV$2)</f>
        <v>0</v>
      </c>
      <c r="AW17" s="759">
        <f t="shared" si="92"/>
        <v>0</v>
      </c>
      <c r="AX17" s="759">
        <f>SUMIFS('利润（汇总）'!11:11,'利润（汇总）'!$1:$1,AX$1,'利润（汇总）'!$2:$2,AX$2)</f>
        <v>0</v>
      </c>
      <c r="AY17" s="759">
        <f t="shared" si="93"/>
        <v>0</v>
      </c>
      <c r="AZ17" s="759">
        <f>SUMIFS('利润（汇总）'!11:11,'利润（汇总）'!$1:$1,AZ$1,'利润（汇总）'!$2:$2,AZ$2)</f>
        <v>0</v>
      </c>
      <c r="BA17" s="759">
        <f t="shared" si="94"/>
        <v>0</v>
      </c>
      <c r="BB17" s="781">
        <f t="shared" si="31"/>
        <v>-139.71223199999997</v>
      </c>
      <c r="BC17" s="781">
        <f t="shared" si="32"/>
        <v>-139.71223199999997</v>
      </c>
      <c r="BD17" s="781">
        <f t="shared" si="70"/>
        <v>316.58144600000003</v>
      </c>
      <c r="BE17" s="781"/>
      <c r="BF17" s="788">
        <f t="shared" si="47"/>
        <v>3761.6320850000002</v>
      </c>
      <c r="BG17" s="788">
        <f t="shared" si="48"/>
        <v>3761.6320850000002</v>
      </c>
      <c r="BH17" s="1790">
        <f t="shared" si="33"/>
        <v>1352.0602530000001</v>
      </c>
      <c r="BI17" s="1787">
        <f>'@预测#经营利润#'!F17</f>
        <v>-14</v>
      </c>
      <c r="BJ17" s="751">
        <f t="shared" si="35"/>
        <v>1366.0602530000001</v>
      </c>
      <c r="BK17" s="751">
        <f>AA17-'@预测#经营利润#'!F17</f>
        <v>429.997727</v>
      </c>
      <c r="BL17" s="786"/>
      <c r="BM17" s="788">
        <f t="shared" si="71"/>
        <v>415.997727</v>
      </c>
      <c r="BN17" s="1571">
        <f>'@预测#经营利润#'!E17</f>
        <v>-14</v>
      </c>
      <c r="BO17" s="751">
        <f t="shared" si="36"/>
        <v>429.997727</v>
      </c>
    </row>
    <row r="18" spans="1:67" s="754" customFormat="1" ht="15.6" hidden="1" customHeight="1">
      <c r="A18" s="2027" t="s">
        <v>115</v>
      </c>
      <c r="B18" s="771">
        <v>32205</v>
      </c>
      <c r="C18" s="771">
        <f t="shared" si="72"/>
        <v>2683.75</v>
      </c>
      <c r="D18" s="759">
        <f>SUMIFS('利润（汇总）'!12:12,'利润（汇总）'!$1:$1,D$1,'利润（汇总）'!$2:$2,D$2)</f>
        <v>1985.0934970000001</v>
      </c>
      <c r="E18" s="759">
        <f t="shared" si="73"/>
        <v>1985.0934970000001</v>
      </c>
      <c r="F18" s="759">
        <f>SUMIFS('利润（汇总）'!12:12,'利润（汇总）'!$1:$1,F$1,'利润（汇总）'!$2:$2,F$2)</f>
        <v>2627.0529350000002</v>
      </c>
      <c r="G18" s="759">
        <f t="shared" si="74"/>
        <v>2627.0529350000002</v>
      </c>
      <c r="H18" s="759">
        <f>SUMIFS('利润（汇总）'!12:12,'利润（汇总）'!$1:$1,H$1,'利润（汇总）'!$2:$2,H$2)</f>
        <v>2526.3494390000001</v>
      </c>
      <c r="I18" s="759">
        <f t="shared" si="75"/>
        <v>2526.3494390000001</v>
      </c>
      <c r="J18" s="759">
        <f>SUMIFS('利润（汇总）'!12:12,'利润（汇总）'!$1:$1,J$1,'利润（汇总）'!$2:$2,J$2)</f>
        <v>2815.3370519999999</v>
      </c>
      <c r="K18" s="759">
        <f t="shared" si="76"/>
        <v>2815.3370519999999</v>
      </c>
      <c r="L18" s="759">
        <f>SUMIFS('利润（汇总）'!12:12,'利润（汇总）'!$1:$1,L$1,'利润（汇总）'!$2:$2,L$2)</f>
        <v>2744.8653290000002</v>
      </c>
      <c r="M18" s="759">
        <f t="shared" si="77"/>
        <v>2744.8653290000002</v>
      </c>
      <c r="N18" s="759">
        <f>SUMIFS('利润（汇总）'!12:12,'利润（汇总）'!$1:$1,N$1,'利润（汇总）'!$2:$2,N$2)</f>
        <v>2468.09015</v>
      </c>
      <c r="O18" s="759">
        <f t="shared" si="78"/>
        <v>2468.09015</v>
      </c>
      <c r="P18" s="759">
        <f>SUMIFS('利润（汇总）'!12:12,'利润（汇总）'!$1:$1,P$1,'利润（汇总）'!$2:$2,P$2)</f>
        <v>2117.7248060000002</v>
      </c>
      <c r="Q18" s="759">
        <f t="shared" si="79"/>
        <v>2117.7248060000002</v>
      </c>
      <c r="R18" s="759">
        <f>SUMIFS('利润（汇总）'!12:12,'利润（汇总）'!$1:$1,R$1,'利润（汇总）'!$2:$2,R$2)</f>
        <v>1775.976678</v>
      </c>
      <c r="S18" s="759">
        <f t="shared" si="80"/>
        <v>1775.976678</v>
      </c>
      <c r="T18" s="759">
        <f>SUMIFS('利润（汇总）'!12:12,'利润（汇总）'!$1:$1,T$1,'利润（汇总）'!$2:$2,T$2)</f>
        <v>2346.5675689999998</v>
      </c>
      <c r="U18" s="759">
        <f t="shared" si="81"/>
        <v>2346.5675689999998</v>
      </c>
      <c r="V18" s="759">
        <f>SUMIFS('利润（汇总）'!12:12,'利润（汇总）'!$1:$1,V$1,'利润（汇总）'!$2:$2,V$2)</f>
        <v>1720.176334</v>
      </c>
      <c r="W18" s="759">
        <f t="shared" si="82"/>
        <v>1720.176334</v>
      </c>
      <c r="X18" s="759">
        <f>SUMIFS('利润（汇总）'!12:12,'利润（汇总）'!$1:$1,X$1,'利润（汇总）'!$2:$2,X$2)</f>
        <v>2591.159678</v>
      </c>
      <c r="Y18" s="759">
        <f t="shared" si="83"/>
        <v>2591.159678</v>
      </c>
      <c r="Z18" s="759">
        <f>SUMIFS('利润（汇总）'!12:12,'利润（汇总）'!$1:$1,Z$1,'利润（汇总）'!$2:$2,Z$2)</f>
        <v>2667.9805099999999</v>
      </c>
      <c r="AA18" s="759">
        <f t="shared" si="84"/>
        <v>2667.9805099999999</v>
      </c>
      <c r="AB18" s="759">
        <f>SUMIFS('利润（汇总）'!12:12,'利润（汇总）'!$1:$1,AB$1,'利润（汇总）'!$2:$2,AB$2)</f>
        <v>3431.5832380000002</v>
      </c>
      <c r="AC18" s="759">
        <f t="shared" si="95"/>
        <v>3431.5832380000002</v>
      </c>
      <c r="AD18" s="759">
        <f>SUMIFS('利润（汇总）'!12:12,'利润（汇总）'!$1:$1,AD$1,'利润（汇总）'!$2:$2,AD$2)</f>
        <v>2906.5506099999998</v>
      </c>
      <c r="AE18" s="759">
        <f t="shared" si="95"/>
        <v>2906.5506099999998</v>
      </c>
      <c r="AF18" s="759">
        <f>SUMIFS('利润（汇总）'!12:12,'利润（汇总）'!$1:$1,AF$1,'利润（汇总）'!$2:$2,AF$2)</f>
        <v>2764.8229470000001</v>
      </c>
      <c r="AG18" s="759">
        <f t="shared" si="96"/>
        <v>2764.8229470000001</v>
      </c>
      <c r="AH18" s="759">
        <f>SUMIFS('利润（汇总）'!12:12,'利润（汇总）'!$1:$1,AH$1,'利润（汇总）'!$2:$2,AH$2)</f>
        <v>2882.5464299999999</v>
      </c>
      <c r="AI18" s="759">
        <f t="shared" si="85"/>
        <v>2882.5464299999999</v>
      </c>
      <c r="AJ18" s="759">
        <f>SUMIFS('利润（汇总）'!12:12,'利润（汇总）'!$1:$1,AJ$1,'利润（汇总）'!$2:$2,AJ$2)</f>
        <v>2771</v>
      </c>
      <c r="AK18" s="759">
        <f t="shared" si="86"/>
        <v>2771</v>
      </c>
      <c r="AL18" s="759">
        <f>SUMIFS('利润（汇总）'!12:12,'利润（汇总）'!$1:$1,AL$1,'利润（汇总）'!$2:$2,AL$2)</f>
        <v>3055.9939420000001</v>
      </c>
      <c r="AM18" s="759">
        <f t="shared" si="87"/>
        <v>3055.9939420000001</v>
      </c>
      <c r="AN18" s="759">
        <f>SUMIFS('利润（汇总）'!12:12,'利润（汇总）'!$1:$1,AN$1,'利润（汇总）'!$2:$2,AN$2)</f>
        <v>3212.134881</v>
      </c>
      <c r="AO18" s="759">
        <f t="shared" si="88"/>
        <v>3212.134881</v>
      </c>
      <c r="AP18" s="759">
        <f>SUMIFS('利润（汇总）'!12:12,'利润（汇总）'!$1:$1,AP$1,'利润（汇总）'!$2:$2,AP$2)</f>
        <v>2755.5444600000001</v>
      </c>
      <c r="AQ18" s="759">
        <f t="shared" si="89"/>
        <v>2755.5444600000001</v>
      </c>
      <c r="AR18" s="759">
        <f>SUMIFS('利润（汇总）'!12:12,'利润（汇总）'!$1:$1,AR$1,'利润（汇总）'!$2:$2,AR$2)</f>
        <v>3425.2</v>
      </c>
      <c r="AS18" s="759">
        <f t="shared" si="90"/>
        <v>3425.2</v>
      </c>
      <c r="AT18" s="759">
        <f>SUMIFS('利润（汇总）'!12:12,'利润（汇总）'!$1:$1,AT$1,'利润（汇总）'!$2:$2,AT$2)</f>
        <v>0</v>
      </c>
      <c r="AU18" s="759">
        <f t="shared" si="91"/>
        <v>0</v>
      </c>
      <c r="AV18" s="759">
        <f>SUMIFS('利润（汇总）'!12:12,'利润（汇总）'!$1:$1,AV$1,'利润（汇总）'!$2:$2,AV$2)</f>
        <v>0</v>
      </c>
      <c r="AW18" s="759">
        <f t="shared" si="92"/>
        <v>0</v>
      </c>
      <c r="AX18" s="759">
        <f>SUMIFS('利润（汇总）'!12:12,'利润（汇总）'!$1:$1,AX$1,'利润（汇总）'!$2:$2,AX$2)</f>
        <v>0</v>
      </c>
      <c r="AY18" s="759">
        <f t="shared" si="93"/>
        <v>0</v>
      </c>
      <c r="AZ18" s="759">
        <f>SUMIFS('利润（汇总）'!12:12,'利润（汇总）'!$1:$1,AZ$1,'利润（汇总）'!$2:$2,AZ$2)</f>
        <v>0</v>
      </c>
      <c r="BA18" s="759">
        <f t="shared" si="94"/>
        <v>0</v>
      </c>
      <c r="BB18" s="781">
        <f t="shared" si="31"/>
        <v>-141.72766299999967</v>
      </c>
      <c r="BC18" s="781">
        <f t="shared" si="32"/>
        <v>-141.72766299999967</v>
      </c>
      <c r="BD18" s="781">
        <f t="shared" si="70"/>
        <v>-157.40056099999993</v>
      </c>
      <c r="BE18" s="781"/>
      <c r="BF18" s="788">
        <f t="shared" si="47"/>
        <v>23773.793270000002</v>
      </c>
      <c r="BG18" s="788">
        <f t="shared" si="48"/>
        <v>23773.793270000002</v>
      </c>
      <c r="BH18" s="1790">
        <f t="shared" si="33"/>
        <v>2882.5464299999999</v>
      </c>
      <c r="BI18" s="1787">
        <f>'@预测#经营利润#'!F18</f>
        <v>3036</v>
      </c>
      <c r="BJ18" s="751">
        <f t="shared" si="35"/>
        <v>-153.45357000000013</v>
      </c>
      <c r="BK18" s="751">
        <f>AA18-'@预测#经营利润#'!F18</f>
        <v>-368.01949000000013</v>
      </c>
      <c r="BM18" s="788">
        <f t="shared" si="71"/>
        <v>2667.9805099999999</v>
      </c>
      <c r="BN18" s="1571">
        <f>'@预测#经营利润#'!E18</f>
        <v>3036</v>
      </c>
      <c r="BO18" s="751">
        <f t="shared" si="36"/>
        <v>-368.01949000000013</v>
      </c>
    </row>
    <row r="19" spans="1:67" s="754" customFormat="1" ht="15.6" hidden="1" customHeight="1">
      <c r="A19" s="2027" t="s">
        <v>116</v>
      </c>
      <c r="B19" s="771">
        <v>-1500</v>
      </c>
      <c r="C19" s="771">
        <f t="shared" si="72"/>
        <v>-125</v>
      </c>
      <c r="D19" s="759">
        <f>SUMIFS('利润（汇总）'!13:13,'利润（汇总）'!$1:$1,D$1,'利润（汇总）'!$2:$2,D$2)</f>
        <v>-1154.7068240000001</v>
      </c>
      <c r="E19" s="759">
        <f t="shared" si="73"/>
        <v>-1154.7068240000001</v>
      </c>
      <c r="F19" s="759">
        <f>SUMIFS('利润（汇总）'!13:13,'利润（汇总）'!$1:$1,F$1,'利润（汇总）'!$2:$2,F$2)</f>
        <v>-322.66976099999999</v>
      </c>
      <c r="G19" s="759">
        <f t="shared" si="74"/>
        <v>-322.66976099999999</v>
      </c>
      <c r="H19" s="759">
        <f>SUMIFS('利润（汇总）'!13:13,'利润（汇总）'!$1:$1,H$1,'利润（汇总）'!$2:$2,H$2)</f>
        <v>-848.23684900000001</v>
      </c>
      <c r="I19" s="759">
        <f t="shared" si="75"/>
        <v>-848.23684900000001</v>
      </c>
      <c r="J19" s="759">
        <f>SUMIFS('利润（汇总）'!13:13,'利润（汇总）'!$1:$1,J$1,'利润（汇总）'!$2:$2,J$2)</f>
        <v>-538.53549099999998</v>
      </c>
      <c r="K19" s="759">
        <f t="shared" si="76"/>
        <v>-538.53549099999998</v>
      </c>
      <c r="L19" s="759">
        <f>SUMIFS('利润（汇总）'!13:13,'利润（汇总）'!$1:$1,L$1,'利润（汇总）'!$2:$2,L$2)</f>
        <v>-629</v>
      </c>
      <c r="M19" s="759">
        <f t="shared" si="77"/>
        <v>-629</v>
      </c>
      <c r="N19" s="759">
        <f>SUMIFS('利润（汇总）'!13:13,'利润（汇总）'!$1:$1,N$1,'利润（汇总）'!$2:$2,N$2)</f>
        <v>-383.79996499999999</v>
      </c>
      <c r="O19" s="759">
        <f t="shared" si="78"/>
        <v>-383.79996499999999</v>
      </c>
      <c r="P19" s="759">
        <f>SUMIFS('利润（汇总）'!13:13,'利润（汇总）'!$1:$1,P$1,'利润（汇总）'!$2:$2,P$2)</f>
        <v>-367.14619599999997</v>
      </c>
      <c r="Q19" s="759">
        <f t="shared" si="79"/>
        <v>-367.14619599999997</v>
      </c>
      <c r="R19" s="759">
        <f>SUMIFS('利润（汇总）'!13:13,'利润（汇总）'!$1:$1,R$1,'利润（汇总）'!$2:$2,R$2)</f>
        <v>-543.35842100000002</v>
      </c>
      <c r="S19" s="759">
        <f t="shared" si="80"/>
        <v>-543.35842100000002</v>
      </c>
      <c r="T19" s="759">
        <f>SUMIFS('利润（汇总）'!13:13,'利润（汇总）'!$1:$1,T$1,'利润（汇总）'!$2:$2,T$2)</f>
        <v>-518.39449300000001</v>
      </c>
      <c r="U19" s="759">
        <f t="shared" si="81"/>
        <v>-518.39449300000001</v>
      </c>
      <c r="V19" s="759">
        <f>SUMIFS('利润（汇总）'!13:13,'利润（汇总）'!$1:$1,V$1,'利润（汇总）'!$2:$2,V$2)</f>
        <v>-323.47433599999999</v>
      </c>
      <c r="W19" s="759">
        <f t="shared" si="82"/>
        <v>-323.47433599999999</v>
      </c>
      <c r="X19" s="759">
        <f>SUMIFS('利润（汇总）'!13:13,'利润（汇总）'!$1:$1,X$1,'利润（汇总）'!$2:$2,X$2)</f>
        <v>-401.83431100000001</v>
      </c>
      <c r="Y19" s="759">
        <f t="shared" si="83"/>
        <v>-401.83431100000001</v>
      </c>
      <c r="Z19" s="759">
        <f>SUMIFS('利润（汇总）'!13:13,'利润（汇总）'!$1:$1,Z$1,'利润（汇总）'!$2:$2,Z$2)</f>
        <v>-364.72008699999998</v>
      </c>
      <c r="AA19" s="759">
        <f t="shared" si="84"/>
        <v>-364.72008699999998</v>
      </c>
      <c r="AB19" s="759">
        <f>SUMIFS('利润（汇总）'!13:13,'利润（汇总）'!$1:$1,AB$1,'利润（汇总）'!$2:$2,AB$2)</f>
        <v>-419.74489</v>
      </c>
      <c r="AC19" s="759">
        <f t="shared" si="95"/>
        <v>-419.74489</v>
      </c>
      <c r="AD19" s="759">
        <f>SUMIFS('利润（汇总）'!13:13,'利润（汇总）'!$1:$1,AD$1,'利润（汇总）'!$2:$2,AD$2)</f>
        <v>-119.55524</v>
      </c>
      <c r="AE19" s="759">
        <f t="shared" si="95"/>
        <v>-119.55524</v>
      </c>
      <c r="AF19" s="759">
        <f>SUMIFS('利润（汇总）'!13:13,'利润（汇总）'!$1:$1,AF$1,'利润（汇总）'!$2:$2,AF$2)</f>
        <v>-636.91688499999998</v>
      </c>
      <c r="AG19" s="759">
        <f t="shared" si="96"/>
        <v>-636.91688499999998</v>
      </c>
      <c r="AH19" s="759">
        <f>SUMIFS('利润（汇总）'!13:13,'利润（汇总）'!$1:$1,AH$1,'利润（汇总）'!$2:$2,AH$2)</f>
        <v>-319.147066</v>
      </c>
      <c r="AI19" s="759">
        <f t="shared" si="85"/>
        <v>-319.147066</v>
      </c>
      <c r="AJ19" s="759">
        <f>SUMIFS('利润（汇总）'!13:13,'利润（汇总）'!$1:$1,AJ$1,'利润（汇总）'!$2:$2,AJ$2)</f>
        <v>-307.72521999999998</v>
      </c>
      <c r="AK19" s="759">
        <f t="shared" si="86"/>
        <v>-307.72521999999998</v>
      </c>
      <c r="AL19" s="759">
        <f>SUMIFS('利润（汇总）'!13:13,'利润（汇总）'!$1:$1,AL$1,'利润（汇总）'!$2:$2,AL$2)</f>
        <v>-300.82155999999998</v>
      </c>
      <c r="AM19" s="759">
        <f t="shared" si="87"/>
        <v>-300.82155999999998</v>
      </c>
      <c r="AN19" s="759">
        <f>SUMIFS('利润（汇总）'!13:13,'利润（汇总）'!$1:$1,AN$1,'利润（汇总）'!$2:$2,AN$2)</f>
        <v>-69.643562000000003</v>
      </c>
      <c r="AO19" s="759">
        <f t="shared" si="88"/>
        <v>-69.643562000000003</v>
      </c>
      <c r="AP19" s="759">
        <f>SUMIFS('利润（汇总）'!13:13,'利润（汇总）'!$1:$1,AP$1,'利润（汇总）'!$2:$2,AP$2)</f>
        <v>-276</v>
      </c>
      <c r="AQ19" s="759">
        <f t="shared" si="89"/>
        <v>-276</v>
      </c>
      <c r="AR19" s="759">
        <f>SUMIFS('利润（汇总）'!13:13,'利润（汇总）'!$1:$1,AR$1,'利润（汇总）'!$2:$2,AR$2)</f>
        <v>-201</v>
      </c>
      <c r="AS19" s="759">
        <f t="shared" si="90"/>
        <v>-201</v>
      </c>
      <c r="AT19" s="759">
        <f>SUMIFS('利润（汇总）'!13:13,'利润（汇总）'!$1:$1,AT$1,'利润（汇总）'!$2:$2,AT$2)</f>
        <v>0</v>
      </c>
      <c r="AU19" s="759">
        <f t="shared" si="91"/>
        <v>0</v>
      </c>
      <c r="AV19" s="759">
        <f>SUMIFS('利润（汇总）'!13:13,'利润（汇总）'!$1:$1,AV$1,'利润（汇总）'!$2:$2,AV$2)</f>
        <v>0</v>
      </c>
      <c r="AW19" s="759">
        <f t="shared" si="92"/>
        <v>0</v>
      </c>
      <c r="AX19" s="759">
        <f>SUMIFS('利润（汇总）'!13:13,'利润（汇总）'!$1:$1,AX$1,'利润（汇总）'!$2:$2,AX$2)</f>
        <v>0</v>
      </c>
      <c r="AY19" s="759">
        <f t="shared" si="93"/>
        <v>0</v>
      </c>
      <c r="AZ19" s="759">
        <f>SUMIFS('利润（汇总）'!13:13,'利润（汇总）'!$1:$1,AZ$1,'利润（汇总）'!$2:$2,AZ$2)</f>
        <v>0</v>
      </c>
      <c r="BA19" s="759">
        <f t="shared" si="94"/>
        <v>0</v>
      </c>
      <c r="BB19" s="781">
        <f t="shared" si="31"/>
        <v>-517.36164499999995</v>
      </c>
      <c r="BC19" s="781">
        <f t="shared" si="32"/>
        <v>-517.36164499999995</v>
      </c>
      <c r="BD19" s="781">
        <f t="shared" si="70"/>
        <v>-723.23684900000001</v>
      </c>
      <c r="BE19" s="781"/>
      <c r="BF19" s="788">
        <f t="shared" si="47"/>
        <v>-2230.8095329999996</v>
      </c>
      <c r="BG19" s="788">
        <f t="shared" si="48"/>
        <v>-2230.8095329999996</v>
      </c>
      <c r="BH19" s="1790">
        <f t="shared" si="33"/>
        <v>-319.147066</v>
      </c>
      <c r="BI19" s="1787">
        <f>'@预测#经营利润#'!F19</f>
        <v>-270</v>
      </c>
      <c r="BJ19" s="751">
        <f t="shared" si="35"/>
        <v>-49.147065999999995</v>
      </c>
      <c r="BK19" s="751">
        <f>AA19-'@预测#经营利润#'!F19</f>
        <v>-94.720086999999978</v>
      </c>
      <c r="BM19" s="788">
        <f t="shared" si="71"/>
        <v>-364.72008699999998</v>
      </c>
      <c r="BN19" s="1571">
        <f>'@预测#经营利润#'!E19</f>
        <v>-270</v>
      </c>
      <c r="BO19" s="751">
        <f t="shared" si="36"/>
        <v>-94.720086999999978</v>
      </c>
    </row>
    <row r="20" spans="1:67" s="754" customFormat="1" ht="15.6" hidden="1" customHeight="1">
      <c r="A20" s="2027" t="s">
        <v>117</v>
      </c>
      <c r="B20" s="771">
        <v>680</v>
      </c>
      <c r="C20" s="771">
        <f t="shared" si="72"/>
        <v>56.666666666666664</v>
      </c>
      <c r="D20" s="759">
        <f>SUMIFS('利润（汇总）'!14:14,'利润（汇总）'!$1:$1,D$1,'利润（汇总）'!$2:$2,D$2)</f>
        <v>-150.42948799999999</v>
      </c>
      <c r="E20" s="759">
        <f t="shared" si="73"/>
        <v>-150.42948799999999</v>
      </c>
      <c r="F20" s="759">
        <f>SUMIFS('利润（汇总）'!14:14,'利润（汇总）'!$1:$1,F$1,'利润（汇总）'!$2:$2,F$2)</f>
        <v>-111.484337</v>
      </c>
      <c r="G20" s="759">
        <f t="shared" si="74"/>
        <v>-111.484337</v>
      </c>
      <c r="H20" s="759">
        <f>SUMIFS('利润（汇总）'!14:14,'利润（汇总）'!$1:$1,H$1,'利润（汇总）'!$2:$2,H$2)</f>
        <v>-43.203899999999997</v>
      </c>
      <c r="I20" s="759">
        <f t="shared" si="75"/>
        <v>-43.203899999999997</v>
      </c>
      <c r="J20" s="759">
        <f>SUMIFS('利润（汇总）'!14:14,'利润（汇总）'!$1:$1,J$1,'利润（汇总）'!$2:$2,J$2)</f>
        <v>13.588082999999999</v>
      </c>
      <c r="K20" s="759">
        <f t="shared" si="76"/>
        <v>13.588082999999999</v>
      </c>
      <c r="L20" s="759">
        <f>SUMIFS('利润（汇总）'!14:14,'利润（汇总）'!$1:$1,L$1,'利润（汇总）'!$2:$2,L$2)</f>
        <v>17.928792999999999</v>
      </c>
      <c r="M20" s="759">
        <f t="shared" si="77"/>
        <v>17.928792999999999</v>
      </c>
      <c r="N20" s="759">
        <f>SUMIFS('利润（汇总）'!14:14,'利润（汇总）'!$1:$1,N$1,'利润（汇总）'!$2:$2,N$2)</f>
        <v>-37.908216000000003</v>
      </c>
      <c r="O20" s="759">
        <f t="shared" si="78"/>
        <v>-37.908216000000003</v>
      </c>
      <c r="P20" s="759">
        <f>SUMIFS('利润（汇总）'!14:14,'利润（汇总）'!$1:$1,P$1,'利润（汇总）'!$2:$2,P$2)</f>
        <v>15.250419000000001</v>
      </c>
      <c r="Q20" s="759">
        <f t="shared" si="79"/>
        <v>15.250419000000001</v>
      </c>
      <c r="R20" s="759">
        <f>SUMIFS('利润（汇总）'!14:14,'利润（汇总）'!$1:$1,R$1,'利润（汇总）'!$2:$2,R$2)</f>
        <v>-130.38083399999999</v>
      </c>
      <c r="S20" s="759">
        <f t="shared" si="80"/>
        <v>-130.38083399999999</v>
      </c>
      <c r="T20" s="759">
        <f>SUMIFS('利润（汇总）'!14:14,'利润（汇总）'!$1:$1,T$1,'利润（汇总）'!$2:$2,T$2)</f>
        <v>32.776932000000002</v>
      </c>
      <c r="U20" s="759">
        <f t="shared" si="81"/>
        <v>32.776932000000002</v>
      </c>
      <c r="V20" s="759">
        <f>SUMIFS('利润（汇总）'!14:14,'利润（汇总）'!$1:$1,V$1,'利润（汇总）'!$2:$2,V$2)</f>
        <v>13.493278</v>
      </c>
      <c r="W20" s="759">
        <f t="shared" si="82"/>
        <v>13.493278</v>
      </c>
      <c r="X20" s="759">
        <f>SUMIFS('利润（汇总）'!14:14,'利润（汇总）'!$1:$1,X$1,'利润（汇总）'!$2:$2,X$2)</f>
        <v>139.192283</v>
      </c>
      <c r="Y20" s="759">
        <f t="shared" si="83"/>
        <v>139.192283</v>
      </c>
      <c r="Z20" s="759">
        <f>SUMIFS('利润（汇总）'!14:14,'利润（汇总）'!$1:$1,Z$1,'利润（汇总）'!$2:$2,Z$2)</f>
        <v>33.377716999999997</v>
      </c>
      <c r="AA20" s="759">
        <f t="shared" si="84"/>
        <v>33.377716999999997</v>
      </c>
      <c r="AB20" s="759">
        <f>SUMIFS('利润（汇总）'!14:14,'利润（汇总）'!$1:$1,AB$1,'利润（汇总）'!$2:$2,AB$2)</f>
        <v>277.05381699999998</v>
      </c>
      <c r="AC20" s="759">
        <f t="shared" si="95"/>
        <v>277.05381699999998</v>
      </c>
      <c r="AD20" s="759">
        <f>SUMIFS('利润（汇总）'!14:14,'利润（汇总）'!$1:$1,AD$1,'利润（汇总）'!$2:$2,AD$2)</f>
        <v>-112.691833</v>
      </c>
      <c r="AE20" s="759">
        <f t="shared" si="95"/>
        <v>-112.691833</v>
      </c>
      <c r="AF20" s="759">
        <f>SUMIFS('利润（汇总）'!14:14,'利润（汇总）'!$1:$1,AF$1,'利润（汇总）'!$2:$2,AF$2)</f>
        <v>-182.09091699999999</v>
      </c>
      <c r="AG20" s="759">
        <f t="shared" si="96"/>
        <v>-182.09091699999999</v>
      </c>
      <c r="AH20" s="759">
        <f>SUMIFS('利润（汇总）'!14:14,'利润（汇总）'!$1:$1,AH$1,'利润（汇总）'!$2:$2,AH$2)</f>
        <v>204.75301200000001</v>
      </c>
      <c r="AI20" s="759">
        <f t="shared" si="85"/>
        <v>204.75301200000001</v>
      </c>
      <c r="AJ20" s="759">
        <f>SUMIFS('利润（汇总）'!14:14,'利润（汇总）'!$1:$1,AJ$1,'利润（汇总）'!$2:$2,AJ$2)</f>
        <v>77.980378000000002</v>
      </c>
      <c r="AK20" s="759">
        <f t="shared" si="86"/>
        <v>77.980378000000002</v>
      </c>
      <c r="AL20" s="759">
        <f>SUMIFS('利润（汇总）'!14:14,'利润（汇总）'!$1:$1,AL$1,'利润（汇总）'!$2:$2,AL$2)</f>
        <v>111.122153</v>
      </c>
      <c r="AM20" s="759">
        <f t="shared" si="87"/>
        <v>111.122153</v>
      </c>
      <c r="AN20" s="759">
        <f>SUMIFS('利润（汇总）'!14:14,'利润（汇总）'!$1:$1,AN$1,'利润（汇总）'!$2:$2,AN$2)</f>
        <v>292.25281999999999</v>
      </c>
      <c r="AO20" s="759">
        <f t="shared" si="88"/>
        <v>292.25281999999999</v>
      </c>
      <c r="AP20" s="759">
        <f>SUMIFS('利润（汇总）'!14:14,'利润（汇总）'!$1:$1,AP$1,'利润（汇总）'!$2:$2,AP$2)</f>
        <v>-210.11</v>
      </c>
      <c r="AQ20" s="759">
        <f t="shared" si="89"/>
        <v>-210.11</v>
      </c>
      <c r="AR20" s="759">
        <f>SUMIFS('利润（汇总）'!14:14,'利润（汇总）'!$1:$1,AR$1,'利润（汇总）'!$2:$2,AR$2)</f>
        <v>186.59</v>
      </c>
      <c r="AS20" s="759">
        <f t="shared" si="90"/>
        <v>186.59</v>
      </c>
      <c r="AT20" s="759">
        <f>SUMIFS('利润（汇总）'!14:14,'利润（汇总）'!$1:$1,AT$1,'利润（汇总）'!$2:$2,AT$2)</f>
        <v>0</v>
      </c>
      <c r="AU20" s="759">
        <f t="shared" si="91"/>
        <v>0</v>
      </c>
      <c r="AV20" s="759">
        <f>SUMIFS('利润（汇总）'!14:14,'利润（汇总）'!$1:$1,AV$1,'利润（汇总）'!$2:$2,AV$2)</f>
        <v>0</v>
      </c>
      <c r="AW20" s="759">
        <f t="shared" si="92"/>
        <v>0</v>
      </c>
      <c r="AX20" s="759">
        <f>SUMIFS('利润（汇总）'!14:14,'利润（汇总）'!$1:$1,AX$1,'利润（汇总）'!$2:$2,AX$2)</f>
        <v>0</v>
      </c>
      <c r="AY20" s="759">
        <f t="shared" si="93"/>
        <v>0</v>
      </c>
      <c r="AZ20" s="759">
        <f>SUMIFS('利润（汇总）'!14:14,'利润（汇总）'!$1:$1,AZ$1,'利润（汇总）'!$2:$2,AZ$2)</f>
        <v>0</v>
      </c>
      <c r="BA20" s="759">
        <f t="shared" si="94"/>
        <v>0</v>
      </c>
      <c r="BB20" s="781">
        <f t="shared" si="31"/>
        <v>-69.399083999999988</v>
      </c>
      <c r="BC20" s="781">
        <f t="shared" si="32"/>
        <v>-69.399083999999988</v>
      </c>
      <c r="BD20" s="781">
        <f t="shared" si="70"/>
        <v>-99.870566666666662</v>
      </c>
      <c r="BE20" s="781"/>
      <c r="BF20" s="788">
        <f t="shared" si="47"/>
        <v>367.80561299999999</v>
      </c>
      <c r="BG20" s="788">
        <f t="shared" si="48"/>
        <v>367.80561299999999</v>
      </c>
      <c r="BH20" s="1790">
        <f t="shared" si="33"/>
        <v>204.75301200000001</v>
      </c>
      <c r="BI20" s="1787">
        <f>'@预测#经营利润#'!F20</f>
        <v>10</v>
      </c>
      <c r="BJ20" s="751">
        <f t="shared" si="35"/>
        <v>194.75301200000001</v>
      </c>
      <c r="BK20" s="751">
        <f>AA20-'@预测#经营利润#'!F20</f>
        <v>23.377716999999997</v>
      </c>
      <c r="BM20" s="788">
        <f t="shared" si="71"/>
        <v>33.377716999999997</v>
      </c>
      <c r="BN20" s="1571">
        <f>'@预测#经营利润#'!E20</f>
        <v>10</v>
      </c>
      <c r="BO20" s="751">
        <f t="shared" si="36"/>
        <v>23.377716999999997</v>
      </c>
    </row>
    <row r="21" spans="1:67" s="754" customFormat="1" ht="15.6" hidden="1" customHeight="1">
      <c r="A21" s="2027" t="s">
        <v>118</v>
      </c>
      <c r="B21" s="771">
        <v>2000</v>
      </c>
      <c r="C21" s="771">
        <f t="shared" si="72"/>
        <v>166.66666666666666</v>
      </c>
      <c r="D21" s="759">
        <f>SUMIFS('利润（汇总）'!15:15,'利润（汇总）'!$1:$1,D$1,'利润（汇总）'!$2:$2,D$2)</f>
        <v>-154.16143099999999</v>
      </c>
      <c r="E21" s="759">
        <f t="shared" si="73"/>
        <v>-154.16143099999999</v>
      </c>
      <c r="F21" s="759">
        <f>SUMIFS('利润（汇总）'!15:15,'利润（汇总）'!$1:$1,F$1,'利润（汇总）'!$2:$2,F$2)</f>
        <v>-265.46408200000002</v>
      </c>
      <c r="G21" s="759">
        <f t="shared" si="74"/>
        <v>-265.46408200000002</v>
      </c>
      <c r="H21" s="759">
        <f>SUMIFS('利润（汇总）'!15:15,'利润（汇总）'!$1:$1,H$1,'利润（汇总）'!$2:$2,H$2)</f>
        <v>-141.496049</v>
      </c>
      <c r="I21" s="759">
        <f t="shared" si="75"/>
        <v>-141.496049</v>
      </c>
      <c r="J21" s="759">
        <f>SUMIFS('利润（汇总）'!15:15,'利润（汇总）'!$1:$1,J$1,'利润（汇总）'!$2:$2,J$2)</f>
        <v>-250.286295</v>
      </c>
      <c r="K21" s="759">
        <f t="shared" si="76"/>
        <v>-250.286295</v>
      </c>
      <c r="L21" s="759">
        <f>SUMIFS('利润（汇总）'!15:15,'利润（汇总）'!$1:$1,L$1,'利润（汇总）'!$2:$2,L$2)</f>
        <v>242.671448</v>
      </c>
      <c r="M21" s="759">
        <f t="shared" si="77"/>
        <v>242.671448</v>
      </c>
      <c r="N21" s="759">
        <f>SUMIFS('利润（汇总）'!15:15,'利润（汇总）'!$1:$1,N$1,'利润（汇总）'!$2:$2,N$2)</f>
        <v>386.76842499999998</v>
      </c>
      <c r="O21" s="759">
        <f t="shared" si="78"/>
        <v>386.76842499999998</v>
      </c>
      <c r="P21" s="759">
        <f>SUMIFS('利润（汇总）'!15:15,'利润（汇总）'!$1:$1,P$1,'利润（汇总）'!$2:$2,P$2)</f>
        <v>650.96035700000004</v>
      </c>
      <c r="Q21" s="759">
        <f t="shared" si="79"/>
        <v>650.96035700000004</v>
      </c>
      <c r="R21" s="759">
        <f>SUMIFS('利润（汇总）'!15:15,'利润（汇总）'!$1:$1,R$1,'利润（汇总）'!$2:$2,R$2)</f>
        <v>247.233439</v>
      </c>
      <c r="S21" s="759">
        <f t="shared" si="80"/>
        <v>247.233439</v>
      </c>
      <c r="T21" s="759">
        <f>SUMIFS('利润（汇总）'!15:15,'利润（汇总）'!$1:$1,T$1,'利润（汇总）'!$2:$2,T$2)</f>
        <v>211.451887</v>
      </c>
      <c r="U21" s="759">
        <f t="shared" si="81"/>
        <v>211.451887</v>
      </c>
      <c r="V21" s="759">
        <f>SUMIFS('利润（汇总）'!15:15,'利润（汇总）'!$1:$1,V$1,'利润（汇总）'!$2:$2,V$2)</f>
        <v>220.56639300000001</v>
      </c>
      <c r="W21" s="759">
        <f t="shared" si="82"/>
        <v>220.56639300000001</v>
      </c>
      <c r="X21" s="759">
        <f>SUMIFS('利润（汇总）'!15:15,'利润（汇总）'!$1:$1,X$1,'利润（汇总）'!$2:$2,X$2)</f>
        <v>146.895295</v>
      </c>
      <c r="Y21" s="759">
        <f t="shared" si="83"/>
        <v>146.895295</v>
      </c>
      <c r="Z21" s="759">
        <f>SUMIFS('利润（汇总）'!15:15,'利润（汇总）'!$1:$1,Z$1,'利润（汇总）'!$2:$2,Z$2)</f>
        <v>146.26645400000001</v>
      </c>
      <c r="AA21" s="759">
        <f t="shared" si="84"/>
        <v>146.26645400000001</v>
      </c>
      <c r="AB21" s="759">
        <f>SUMIFS('利润（汇总）'!15:15,'利润（汇总）'!$1:$1,AB$1,'利润（汇总）'!$2:$2,AB$2)</f>
        <v>-469.80387200000001</v>
      </c>
      <c r="AC21" s="759">
        <f t="shared" si="95"/>
        <v>-469.80387200000001</v>
      </c>
      <c r="AD21" s="759">
        <f>SUMIFS('利润（汇总）'!15:15,'利润（汇总）'!$1:$1,AD$1,'利润（汇总）'!$2:$2,AD$2)</f>
        <v>-148.860467</v>
      </c>
      <c r="AE21" s="759">
        <f t="shared" si="95"/>
        <v>-148.860467</v>
      </c>
      <c r="AF21" s="759">
        <f>SUMIFS('利润（汇总）'!15:15,'利润（汇总）'!$1:$1,AF$1,'利润（汇总）'!$2:$2,AF$2)</f>
        <v>-233.03101599999999</v>
      </c>
      <c r="AG21" s="759">
        <f t="shared" si="96"/>
        <v>-233.03101599999999</v>
      </c>
      <c r="AH21" s="759">
        <f>SUMIFS('利润（汇总）'!15:15,'利润（汇总）'!$1:$1,AH$1,'利润（汇总）'!$2:$2,AH$2)</f>
        <v>384.49211500000001</v>
      </c>
      <c r="AI21" s="759">
        <f t="shared" si="85"/>
        <v>384.49211500000001</v>
      </c>
      <c r="AJ21" s="759">
        <f>SUMIFS('利润（汇总）'!15:15,'利润（汇总）'!$1:$1,AJ$1,'利润（汇总）'!$2:$2,AJ$2)</f>
        <v>-297.43743899999998</v>
      </c>
      <c r="AK21" s="759">
        <f t="shared" si="86"/>
        <v>-297.43743899999998</v>
      </c>
      <c r="AL21" s="759">
        <f>SUMIFS('利润（汇总）'!15:15,'利润（汇总）'!$1:$1,AL$1,'利润（汇总）'!$2:$2,AL$2)</f>
        <v>69.141966999999994</v>
      </c>
      <c r="AM21" s="759">
        <f t="shared" si="87"/>
        <v>69.141966999999994</v>
      </c>
      <c r="AN21" s="759">
        <f>SUMIFS('利润（汇总）'!15:15,'利润（汇总）'!$1:$1,AN$1,'利润（汇总）'!$2:$2,AN$2)</f>
        <v>812.08310100000006</v>
      </c>
      <c r="AO21" s="759">
        <f t="shared" si="88"/>
        <v>812.08310100000006</v>
      </c>
      <c r="AP21" s="759">
        <f>SUMIFS('利润（汇总）'!15:15,'利润（汇总）'!$1:$1,AP$1,'利润（汇总）'!$2:$2,AP$2)</f>
        <v>-185.81</v>
      </c>
      <c r="AQ21" s="759">
        <f t="shared" si="89"/>
        <v>-185.81</v>
      </c>
      <c r="AR21" s="759">
        <f>SUMIFS('利润（汇总）'!15:15,'利润（汇总）'!$1:$1,AR$1,'利润（汇总）'!$2:$2,AR$2)</f>
        <v>-201.42</v>
      </c>
      <c r="AS21" s="759">
        <f t="shared" si="90"/>
        <v>-201.42</v>
      </c>
      <c r="AT21" s="759">
        <f>SUMIFS('利润（汇总）'!15:15,'利润（汇总）'!$1:$1,AT$1,'利润（汇总）'!$2:$2,AT$2)</f>
        <v>0</v>
      </c>
      <c r="AU21" s="759">
        <f t="shared" si="91"/>
        <v>0</v>
      </c>
      <c r="AV21" s="759">
        <f>SUMIFS('利润（汇总）'!15:15,'利润（汇总）'!$1:$1,AV$1,'利润（汇总）'!$2:$2,AV$2)</f>
        <v>0</v>
      </c>
      <c r="AW21" s="759">
        <f t="shared" si="92"/>
        <v>0</v>
      </c>
      <c r="AX21" s="759">
        <f>SUMIFS('利润（汇总）'!15:15,'利润（汇总）'!$1:$1,AX$1,'利润（汇总）'!$2:$2,AX$2)</f>
        <v>0</v>
      </c>
      <c r="AY21" s="759">
        <f t="shared" si="93"/>
        <v>0</v>
      </c>
      <c r="AZ21" s="759">
        <f>SUMIFS('利润（汇总）'!15:15,'利润（汇总）'!$1:$1,AZ$1,'利润（汇总）'!$2:$2,AZ$2)</f>
        <v>0</v>
      </c>
      <c r="BA21" s="759">
        <f t="shared" si="94"/>
        <v>0</v>
      </c>
      <c r="BB21" s="781">
        <f t="shared" si="31"/>
        <v>-84.170548999999994</v>
      </c>
      <c r="BC21" s="781">
        <f t="shared" si="32"/>
        <v>-84.170548999999994</v>
      </c>
      <c r="BD21" s="781">
        <f t="shared" si="70"/>
        <v>-308.16271566666666</v>
      </c>
      <c r="BE21" s="781"/>
      <c r="BF21" s="788">
        <f t="shared" si="47"/>
        <v>199.15826100000007</v>
      </c>
      <c r="BG21" s="788">
        <f t="shared" si="48"/>
        <v>199.15826100000007</v>
      </c>
      <c r="BH21" s="1790">
        <f t="shared" si="33"/>
        <v>384.49211500000001</v>
      </c>
      <c r="BI21" s="1787">
        <f>'@预测#经营利润#'!F21</f>
        <v>146</v>
      </c>
      <c r="BJ21" s="751">
        <f t="shared" si="35"/>
        <v>238.49211500000001</v>
      </c>
      <c r="BK21" s="751">
        <f>AA21-'@预测#经营利润#'!F21</f>
        <v>0.26645400000001018</v>
      </c>
      <c r="BM21" s="788">
        <f t="shared" si="71"/>
        <v>146.26645400000001</v>
      </c>
      <c r="BN21" s="1571">
        <f>'@预测#经营利润#'!E21</f>
        <v>146</v>
      </c>
      <c r="BO21" s="751">
        <f t="shared" si="36"/>
        <v>0.26645400000001018</v>
      </c>
    </row>
    <row r="22" spans="1:67" s="754" customFormat="1" ht="15.6" hidden="1" customHeight="1">
      <c r="A22" s="2027" t="s">
        <v>119</v>
      </c>
      <c r="B22" s="771">
        <v>80</v>
      </c>
      <c r="C22" s="771">
        <f t="shared" si="72"/>
        <v>6.666666666666667</v>
      </c>
      <c r="D22" s="759">
        <f>SUMIFS('利润（汇总）'!16:16,'利润（汇总）'!$1:$1,D$1,'利润（汇总）'!$2:$2,D$2)</f>
        <v>-268.30397199999999</v>
      </c>
      <c r="E22" s="759">
        <f t="shared" si="73"/>
        <v>-268.30397199999999</v>
      </c>
      <c r="F22" s="759">
        <f>SUMIFS('利润（汇总）'!16:16,'利润（汇总）'!$1:$1,F$1,'利润（汇总）'!$2:$2,F$2)</f>
        <v>-248.66205500000001</v>
      </c>
      <c r="G22" s="759">
        <f t="shared" si="74"/>
        <v>-248.66205500000001</v>
      </c>
      <c r="H22" s="759">
        <f>SUMIFS('利润（汇总）'!16:16,'利润（汇总）'!$1:$1,H$1,'利润（汇总）'!$2:$2,H$2)</f>
        <v>-84.564808999999997</v>
      </c>
      <c r="I22" s="759">
        <f t="shared" si="75"/>
        <v>-84.564808999999997</v>
      </c>
      <c r="J22" s="759">
        <f>SUMIFS('利润（汇总）'!16:16,'利润（汇总）'!$1:$1,J$1,'利润（汇总）'!$2:$2,J$2)</f>
        <v>-44.905551000000003</v>
      </c>
      <c r="K22" s="759">
        <f t="shared" si="76"/>
        <v>-44.905551000000003</v>
      </c>
      <c r="L22" s="759">
        <f>SUMIFS('利润（汇总）'!16:16,'利润（汇总）'!$1:$1,L$1,'利润（汇总）'!$2:$2,L$2)</f>
        <v>-38.425776999999997</v>
      </c>
      <c r="M22" s="759">
        <f t="shared" si="77"/>
        <v>-38.425776999999997</v>
      </c>
      <c r="N22" s="759">
        <f>SUMIFS('利润（汇总）'!16:16,'利润（汇总）'!$1:$1,N$1,'利润（汇总）'!$2:$2,N$2)</f>
        <v>-34.706012999999999</v>
      </c>
      <c r="O22" s="759">
        <f t="shared" si="78"/>
        <v>-34.706012999999999</v>
      </c>
      <c r="P22" s="759">
        <f>SUMIFS('利润（汇总）'!16:16,'利润（汇总）'!$1:$1,P$1,'利润（汇总）'!$2:$2,P$2)</f>
        <v>-10.648019</v>
      </c>
      <c r="Q22" s="759">
        <f t="shared" si="79"/>
        <v>-10.648019</v>
      </c>
      <c r="R22" s="759">
        <f>SUMIFS('利润（汇总）'!16:16,'利润（汇总）'!$1:$1,R$1,'利润（汇总）'!$2:$2,R$2)</f>
        <v>1.8426210000000001</v>
      </c>
      <c r="S22" s="759">
        <f t="shared" si="80"/>
        <v>1.8426210000000001</v>
      </c>
      <c r="T22" s="759">
        <f>SUMIFS('利润（汇总）'!16:16,'利润（汇总）'!$1:$1,T$1,'利润（汇总）'!$2:$2,T$2)</f>
        <v>8.1367759999999993</v>
      </c>
      <c r="U22" s="759">
        <f t="shared" si="81"/>
        <v>8.1367759999999993</v>
      </c>
      <c r="V22" s="759">
        <f>SUMIFS('利润（汇总）'!16:16,'利润（汇总）'!$1:$1,V$1,'利润（汇总）'!$2:$2,V$2)</f>
        <v>11.686394999999999</v>
      </c>
      <c r="W22" s="759">
        <f t="shared" si="82"/>
        <v>11.686394999999999</v>
      </c>
      <c r="X22" s="759">
        <f>SUMIFS('利润（汇总）'!16:16,'利润（汇总）'!$1:$1,X$1,'利润（汇总）'!$2:$2,X$2)</f>
        <v>9.4617020000000007</v>
      </c>
      <c r="Y22" s="759">
        <f t="shared" si="83"/>
        <v>9.4617020000000007</v>
      </c>
      <c r="Z22" s="759">
        <f>SUMIFS('利润（汇总）'!16:16,'利润（汇总）'!$1:$1,Z$1,'利润（汇总）'!$2:$2,Z$2)</f>
        <v>25.581301</v>
      </c>
      <c r="AA22" s="759">
        <f t="shared" si="84"/>
        <v>25.581301</v>
      </c>
      <c r="AB22" s="759">
        <f>SUMIFS('利润（汇总）'!16:16,'利润（汇总）'!$1:$1,AB$1,'利润（汇总）'!$2:$2,AB$2)</f>
        <v>-363.12925799999999</v>
      </c>
      <c r="AC22" s="759">
        <f t="shared" si="95"/>
        <v>-363.12925799999999</v>
      </c>
      <c r="AD22" s="759">
        <f>SUMIFS('利润（汇总）'!16:16,'利润（汇总）'!$1:$1,AD$1,'利润（汇总）'!$2:$2,AD$2)</f>
        <v>8.4435780000000005</v>
      </c>
      <c r="AE22" s="759">
        <f t="shared" si="95"/>
        <v>8.4435780000000005</v>
      </c>
      <c r="AF22" s="759">
        <f>SUMIFS('利润（汇总）'!16:16,'利润（汇总）'!$1:$1,AF$1,'利润（汇总）'!$2:$2,AF$2)</f>
        <v>7.3287719999999998</v>
      </c>
      <c r="AG22" s="759">
        <f t="shared" si="96"/>
        <v>7.3287719999999998</v>
      </c>
      <c r="AH22" s="759">
        <f>SUMIFS('利润（汇总）'!16:16,'利润（汇总）'!$1:$1,AH$1,'利润（汇总）'!$2:$2,AH$2)</f>
        <v>10.983580999999999</v>
      </c>
      <c r="AI22" s="759">
        <f t="shared" si="85"/>
        <v>10.983580999999999</v>
      </c>
      <c r="AJ22" s="759">
        <f>SUMIFS('利润（汇总）'!16:16,'利润（汇总）'!$1:$1,AJ$1,'利润（汇总）'!$2:$2,AJ$2)</f>
        <v>8.9534199999999995</v>
      </c>
      <c r="AK22" s="759">
        <f t="shared" si="86"/>
        <v>8.9534199999999995</v>
      </c>
      <c r="AL22" s="759">
        <f>SUMIFS('利润（汇总）'!16:16,'利润（汇总）'!$1:$1,AL$1,'利润（汇总）'!$2:$2,AL$2)</f>
        <v>10.457039999999999</v>
      </c>
      <c r="AM22" s="759">
        <f t="shared" si="87"/>
        <v>10.457039999999999</v>
      </c>
      <c r="AN22" s="759">
        <f>SUMIFS('利润（汇总）'!16:16,'利润（汇总）'!$1:$1,AN$1,'利润（汇总）'!$2:$2,AN$2)</f>
        <v>214.497873</v>
      </c>
      <c r="AO22" s="759">
        <f t="shared" si="88"/>
        <v>214.497873</v>
      </c>
      <c r="AP22" s="759">
        <f>SUMIFS('利润（汇总）'!16:16,'利润（汇总）'!$1:$1,AP$1,'利润（汇总）'!$2:$2,AP$2)</f>
        <v>14</v>
      </c>
      <c r="AQ22" s="759">
        <f t="shared" si="89"/>
        <v>14</v>
      </c>
      <c r="AR22" s="759">
        <f>SUMIFS('利润（汇总）'!16:16,'利润（汇总）'!$1:$1,AR$1,'利润（汇总）'!$2:$2,AR$2)</f>
        <v>13</v>
      </c>
      <c r="AS22" s="759">
        <f t="shared" si="90"/>
        <v>13</v>
      </c>
      <c r="AT22" s="759">
        <f>SUMIFS('利润（汇总）'!16:16,'利润（汇总）'!$1:$1,AT$1,'利润（汇总）'!$2:$2,AT$2)</f>
        <v>0</v>
      </c>
      <c r="AU22" s="759">
        <f t="shared" si="91"/>
        <v>0</v>
      </c>
      <c r="AV22" s="759">
        <f>SUMIFS('利润（汇总）'!16:16,'利润（汇总）'!$1:$1,AV$1,'利润（汇总）'!$2:$2,AV$2)</f>
        <v>0</v>
      </c>
      <c r="AW22" s="759">
        <f t="shared" si="92"/>
        <v>0</v>
      </c>
      <c r="AX22" s="759">
        <f>SUMIFS('利润（汇总）'!16:16,'利润（汇总）'!$1:$1,AX$1,'利润（汇总）'!$2:$2,AX$2)</f>
        <v>0</v>
      </c>
      <c r="AY22" s="759">
        <f t="shared" si="93"/>
        <v>0</v>
      </c>
      <c r="AZ22" s="759">
        <f>SUMIFS('利润（汇总）'!16:16,'利润（汇总）'!$1:$1,AZ$1,'利润（汇总）'!$2:$2,AZ$2)</f>
        <v>0</v>
      </c>
      <c r="BA22" s="759">
        <f t="shared" si="94"/>
        <v>0</v>
      </c>
      <c r="BB22" s="781">
        <f t="shared" si="31"/>
        <v>-1.1148060000000006</v>
      </c>
      <c r="BC22" s="781">
        <f t="shared" si="32"/>
        <v>-1.1148060000000006</v>
      </c>
      <c r="BD22" s="781">
        <f t="shared" si="70"/>
        <v>-91.231475666666668</v>
      </c>
      <c r="BE22" s="781"/>
      <c r="BF22" s="788">
        <f t="shared" si="47"/>
        <v>287.664264</v>
      </c>
      <c r="BG22" s="788">
        <f t="shared" si="48"/>
        <v>287.664264</v>
      </c>
      <c r="BH22" s="1790">
        <f t="shared" si="33"/>
        <v>10.983580999999999</v>
      </c>
      <c r="BI22" s="1787">
        <f>'@预测#经营利润#'!F22</f>
        <v>15</v>
      </c>
      <c r="BJ22" s="751">
        <f t="shared" si="35"/>
        <v>-4.0164190000000008</v>
      </c>
      <c r="BK22" s="751">
        <f>AA22-'@预测#经营利润#'!F22</f>
        <v>10.581301</v>
      </c>
      <c r="BM22" s="788">
        <f t="shared" si="71"/>
        <v>25.581301</v>
      </c>
      <c r="BN22" s="1571">
        <f>'@预测#经营利润#'!E22</f>
        <v>15</v>
      </c>
      <c r="BO22" s="751">
        <f t="shared" si="36"/>
        <v>10.581301</v>
      </c>
    </row>
    <row r="23" spans="1:67" s="754" customFormat="1" ht="14.25">
      <c r="A23" s="2027" t="s">
        <v>121</v>
      </c>
      <c r="B23" s="771">
        <v>10613</v>
      </c>
      <c r="C23" s="771">
        <f t="shared" si="34"/>
        <v>884.41666666666663</v>
      </c>
      <c r="D23" s="759">
        <f>SUMIFS('利润（汇总）'!17:17,'利润（汇总）'!$1:$1,D$1,'利润（汇总）'!$2:$2,D$2)</f>
        <v>767.92335000000003</v>
      </c>
      <c r="E23" s="759">
        <f t="shared" ref="E23:E42" si="97">D23</f>
        <v>767.92335000000003</v>
      </c>
      <c r="F23" s="759">
        <f>SUMIFS('利润（汇总）'!17:17,'利润（汇总）'!$1:$1,F$1,'利润（汇总）'!$2:$2,F$2)</f>
        <v>1285.019209</v>
      </c>
      <c r="G23" s="759">
        <f t="shared" ref="G23:G42" si="98">F23</f>
        <v>1285.019209</v>
      </c>
      <c r="H23" s="759">
        <f>SUMIFS('利润（汇总）'!17:17,'利润（汇总）'!$1:$1,H$1,'利润（汇总）'!$2:$2,H$2)</f>
        <v>-487.94154099999997</v>
      </c>
      <c r="I23" s="759">
        <f t="shared" ref="I23:I45" si="99">H23</f>
        <v>-487.94154099999997</v>
      </c>
      <c r="J23" s="759">
        <f>SUMIFS('利润（汇总）'!17:17,'利润（汇总）'!$1:$1,J$1,'利润（汇总）'!$2:$2,J$2)</f>
        <v>1199.0477880000001</v>
      </c>
      <c r="K23" s="759">
        <f t="shared" ref="K23:K42" si="100">J23</f>
        <v>1199.0477880000001</v>
      </c>
      <c r="L23" s="759">
        <f>SUMIFS('利润（汇总）'!17:17,'利润（汇总）'!$1:$1,L$1,'利润（汇总）'!$2:$2,L$2)</f>
        <v>2234.651437</v>
      </c>
      <c r="M23" s="759">
        <f t="shared" ref="M23:M42" si="101">L23</f>
        <v>2234.651437</v>
      </c>
      <c r="N23" s="759">
        <f>SUMIFS('利润（汇总）'!17:17,'利润（汇总）'!$1:$1,N$1,'利润（汇总）'!$2:$2,N$2)</f>
        <v>609.79027199999996</v>
      </c>
      <c r="O23" s="759">
        <f t="shared" ref="O23:O42" si="102">N23</f>
        <v>609.79027199999996</v>
      </c>
      <c r="P23" s="759">
        <f>SUMIFS('利润（汇总）'!17:17,'利润（汇总）'!$1:$1,P$1,'利润（汇总）'!$2:$2,P$2)</f>
        <v>3034.789538</v>
      </c>
      <c r="Q23" s="759">
        <f t="shared" ref="Q23:Q42" si="103">P23</f>
        <v>3034.789538</v>
      </c>
      <c r="R23" s="759">
        <f>SUMIFS('利润（汇总）'!17:17,'利润（汇总）'!$1:$1,R$1,'利润（汇总）'!$2:$2,R$2)</f>
        <v>2072.351893</v>
      </c>
      <c r="S23" s="759">
        <f t="shared" ref="S23:S42" si="104">R23</f>
        <v>2072.351893</v>
      </c>
      <c r="T23" s="759">
        <f>SUMIFS('利润（汇总）'!17:17,'利润（汇总）'!$1:$1,T$1,'利润（汇总）'!$2:$2,T$2)</f>
        <v>1061.027139</v>
      </c>
      <c r="U23" s="759">
        <f t="shared" ref="U23:U42" si="105">T23</f>
        <v>1061.027139</v>
      </c>
      <c r="V23" s="759">
        <f>SUMIFS('利润（汇总）'!17:17,'利润（汇总）'!$1:$1,V$1,'利润（汇总）'!$2:$2,V$2)</f>
        <v>-730.41702599999996</v>
      </c>
      <c r="W23" s="759">
        <f t="shared" ref="W23:W42" si="106">V23</f>
        <v>-730.41702599999996</v>
      </c>
      <c r="X23" s="759">
        <f>SUMIFS('利润（汇总）'!17:17,'利润（汇总）'!$1:$1,X$1,'利润（汇总）'!$2:$2,X$2)</f>
        <v>-549.77675999999997</v>
      </c>
      <c r="Y23" s="759">
        <f t="shared" ref="Y23:Y42" si="107">X23</f>
        <v>-549.77675999999997</v>
      </c>
      <c r="Z23" s="759">
        <f>SUMIFS('利润（汇总）'!17:17,'利润（汇总）'!$1:$1,Z$1,'利润（汇总）'!$2:$2,Z$2)</f>
        <v>1643.0580239999999</v>
      </c>
      <c r="AA23" s="759">
        <f t="shared" ref="AA23:AA42" si="108">Z23</f>
        <v>1643.0580239999999</v>
      </c>
      <c r="AB23" s="759">
        <f>SUMIFS('利润（汇总）'!17:17,'利润（汇总）'!$1:$1,AB$1,'利润（汇总）'!$2:$2,AB$2)</f>
        <v>315.39743700000002</v>
      </c>
      <c r="AC23" s="759">
        <f t="shared" ref="AC23:AE42" si="109">AB23</f>
        <v>315.39743700000002</v>
      </c>
      <c r="AD23" s="759">
        <f>SUMIFS('利润（汇总）'!17:17,'利润（汇总）'!$1:$1,AD$1,'利润（汇总）'!$2:$2,AD$2)</f>
        <v>2437.4471910000002</v>
      </c>
      <c r="AE23" s="759">
        <f t="shared" si="109"/>
        <v>2437.4471910000002</v>
      </c>
      <c r="AF23" s="759">
        <f>SUMIFS('利润（汇总）'!17:17,'利润（汇总）'!$1:$1,AF$1,'利润（汇总）'!$2:$2,AF$2)</f>
        <v>708.34805700000004</v>
      </c>
      <c r="AG23" s="759">
        <f t="shared" si="96"/>
        <v>708.34805700000004</v>
      </c>
      <c r="AH23" s="759">
        <f>SUMIFS('利润（汇总）'!17:17,'利润（汇总）'!$1:$1,AH$1,'利润（汇总）'!$2:$2,AH$2)</f>
        <v>-575.56233599999996</v>
      </c>
      <c r="AI23" s="759">
        <f t="shared" si="85"/>
        <v>-575.56233599999996</v>
      </c>
      <c r="AJ23" s="759">
        <f>SUMIFS('利润（汇总）'!17:17,'利润（汇总）'!$1:$1,AJ$1,'利润（汇总）'!$2:$2,AJ$2)</f>
        <v>1479.5985450000001</v>
      </c>
      <c r="AK23" s="759">
        <f t="shared" si="86"/>
        <v>1479.5985450000001</v>
      </c>
      <c r="AL23" s="759">
        <f>SUMIFS('利润（汇总）'!17:17,'利润（汇总）'!$1:$1,AL$1,'利润（汇总）'!$2:$2,AL$2)</f>
        <v>2478.5594529999998</v>
      </c>
      <c r="AM23" s="759">
        <f t="shared" si="87"/>
        <v>2478.5594529999998</v>
      </c>
      <c r="AN23" s="759">
        <f>SUMIFS('利润（汇总）'!17:17,'利润（汇总）'!$1:$1,AN$1,'利润（汇总）'!$2:$2,AN$2)</f>
        <v>-2275.893309</v>
      </c>
      <c r="AO23" s="759">
        <f t="shared" si="88"/>
        <v>-2275.893309</v>
      </c>
      <c r="AP23" s="759">
        <f>SUMIFS('利润（汇总）'!17:17,'利润（汇总）'!$1:$1,AP$1,'利润（汇总）'!$2:$2,AP$2)</f>
        <v>1635</v>
      </c>
      <c r="AQ23" s="759">
        <f t="shared" si="89"/>
        <v>1635</v>
      </c>
      <c r="AR23" s="759">
        <f>SUMIFS('利润（汇总）'!17:17,'利润（汇总）'!$1:$1,AR$1,'利润（汇总）'!$2:$2,AR$2)</f>
        <v>1012</v>
      </c>
      <c r="AS23" s="759">
        <f t="shared" si="90"/>
        <v>1012</v>
      </c>
      <c r="AT23" s="759">
        <f>SUMIFS('利润（汇总）'!17:17,'利润（汇总）'!$1:$1,AT$1,'利润（汇总）'!$2:$2,AT$2)</f>
        <v>0</v>
      </c>
      <c r="AU23" s="759">
        <f t="shared" si="91"/>
        <v>0</v>
      </c>
      <c r="AV23" s="759">
        <f>SUMIFS('利润（汇总）'!17:17,'利润（汇总）'!$1:$1,AV$1,'利润（汇总）'!$2:$2,AV$2)</f>
        <v>0</v>
      </c>
      <c r="AW23" s="759">
        <f t="shared" si="92"/>
        <v>0</v>
      </c>
      <c r="AX23" s="759">
        <f>SUMIFS('利润（汇总）'!17:17,'利润（汇总）'!$1:$1,AX$1,'利润（汇总）'!$2:$2,AX$2)</f>
        <v>0</v>
      </c>
      <c r="AY23" s="759">
        <f t="shared" si="93"/>
        <v>0</v>
      </c>
      <c r="AZ23" s="759">
        <f>SUMIFS('利润（汇总）'!17:17,'利润（汇总）'!$1:$1,AZ$1,'利润（汇总）'!$2:$2,AZ$2)</f>
        <v>0</v>
      </c>
      <c r="BA23" s="759">
        <f t="shared" si="94"/>
        <v>0</v>
      </c>
      <c r="BB23" s="781">
        <f>AF23-AD23</f>
        <v>-1729.099134</v>
      </c>
      <c r="BC23" s="781">
        <f t="shared" si="32"/>
        <v>-1729.099134</v>
      </c>
      <c r="BD23" s="781">
        <f t="shared" si="70"/>
        <v>-1372.3582076666667</v>
      </c>
      <c r="BE23" s="781"/>
      <c r="BF23" s="788">
        <f t="shared" si="47"/>
        <v>6899.497601</v>
      </c>
      <c r="BG23" s="788">
        <f t="shared" si="48"/>
        <v>6899.497601</v>
      </c>
      <c r="BH23" s="1790">
        <f t="shared" si="33"/>
        <v>-575.56233599999996</v>
      </c>
      <c r="BI23" s="1787">
        <f>'@预测#经营利润#'!F23</f>
        <v>-489</v>
      </c>
      <c r="BJ23" s="751">
        <f t="shared" si="35"/>
        <v>-86.562335999999959</v>
      </c>
      <c r="BK23" s="751">
        <f>AA23-'@预测#经营利润#'!F23</f>
        <v>2132.0580239999999</v>
      </c>
      <c r="BL23" s="786"/>
      <c r="BM23" s="788">
        <f t="shared" si="71"/>
        <v>1643.0580239999999</v>
      </c>
      <c r="BN23" s="1571">
        <f>'@预测#经营利润#'!E23</f>
        <v>-489</v>
      </c>
      <c r="BO23" s="751">
        <f t="shared" si="36"/>
        <v>2132.0580239999999</v>
      </c>
    </row>
    <row r="24" spans="1:67" s="754" customFormat="1" ht="14.25">
      <c r="A24" s="2027" t="s">
        <v>122</v>
      </c>
      <c r="B24" s="771">
        <v>15607</v>
      </c>
      <c r="C24" s="771">
        <f t="shared" si="34"/>
        <v>1300.5833333333333</v>
      </c>
      <c r="D24" s="759">
        <f>SUMIFS('利润（汇总）'!18:18,'利润（汇总）'!$1:$1,D$1,'利润（汇总）'!$2:$2,D$2)</f>
        <v>12447.457016906599</v>
      </c>
      <c r="E24" s="759">
        <f t="shared" si="97"/>
        <v>12447.457016906599</v>
      </c>
      <c r="F24" s="759">
        <f>SUMIFS('利润（汇总）'!18:18,'利润（汇总）'!$1:$1,F$1,'利润（汇总）'!$2:$2,F$2)</f>
        <v>453.61692129526602</v>
      </c>
      <c r="G24" s="759">
        <f t="shared" si="98"/>
        <v>453.61692129526602</v>
      </c>
      <c r="H24" s="759">
        <f>SUMIFS('利润（汇总）'!18:18,'利润（汇总）'!$1:$1,H$1,'利润（汇总）'!$2:$2,H$2)</f>
        <v>276.06144902967299</v>
      </c>
      <c r="I24" s="759">
        <f t="shared" si="99"/>
        <v>276.06144902967299</v>
      </c>
      <c r="J24" s="759">
        <f>SUMIFS('利润（汇总）'!18:18,'利润（汇总）'!$1:$1,J$1,'利润（汇总）'!$2:$2,J$2)</f>
        <v>386.26962214571</v>
      </c>
      <c r="K24" s="759">
        <f t="shared" si="100"/>
        <v>386.26962214571</v>
      </c>
      <c r="L24" s="759">
        <f>SUMIFS('利润（汇总）'!18:18,'利润（汇总）'!$1:$1,L$1,'利润（汇总）'!$2:$2,L$2)</f>
        <v>103.218772</v>
      </c>
      <c r="M24" s="759">
        <f t="shared" si="101"/>
        <v>103.218772</v>
      </c>
      <c r="N24" s="759">
        <f>SUMIFS('利润（汇总）'!18:18,'利润（汇总）'!$1:$1,N$1,'利润（汇总）'!$2:$2,N$2)</f>
        <v>184.63998900000001</v>
      </c>
      <c r="O24" s="759">
        <f t="shared" si="102"/>
        <v>184.63998900000001</v>
      </c>
      <c r="P24" s="759">
        <f>SUMIFS('利润（汇总）'!18:18,'利润（汇总）'!$1:$1,P$1,'利润（汇总）'!$2:$2,P$2)</f>
        <v>445.26672900000005</v>
      </c>
      <c r="Q24" s="759">
        <f t="shared" si="103"/>
        <v>445.26672900000005</v>
      </c>
      <c r="R24" s="759">
        <f>SUMIFS('利润（汇总）'!18:18,'利润（汇总）'!$1:$1,R$1,'利润（汇总）'!$2:$2,R$2)</f>
        <v>473.11568599999998</v>
      </c>
      <c r="S24" s="759">
        <f t="shared" si="104"/>
        <v>473.11568599999998</v>
      </c>
      <c r="T24" s="759">
        <f>SUMIFS('利润（汇总）'!18:18,'利润（汇总）'!$1:$1,T$1,'利润（汇总）'!$2:$2,T$2)</f>
        <v>711.49177399999996</v>
      </c>
      <c r="U24" s="759">
        <f t="shared" si="105"/>
        <v>711.49177399999996</v>
      </c>
      <c r="V24" s="759">
        <f>SUMIFS('利润（汇总）'!18:18,'利润（汇总）'!$1:$1,V$1,'利润（汇总）'!$2:$2,V$2)</f>
        <v>770.429576</v>
      </c>
      <c r="W24" s="759">
        <f t="shared" si="106"/>
        <v>770.429576</v>
      </c>
      <c r="X24" s="759">
        <f>SUMIFS('利润（汇总）'!18:18,'利润（汇总）'!$1:$1,X$1,'利润（汇总）'!$2:$2,X$2)</f>
        <v>677.19328600000017</v>
      </c>
      <c r="Y24" s="759">
        <f t="shared" si="107"/>
        <v>677.19328600000017</v>
      </c>
      <c r="Z24" s="759">
        <f>SUMIFS('利润（汇总）'!18:18,'利润（汇总）'!$1:$1,Z$1,'利润（汇总）'!$2:$2,Z$2)</f>
        <v>632.08107300000006</v>
      </c>
      <c r="AA24" s="759">
        <f t="shared" si="108"/>
        <v>632.08107300000006</v>
      </c>
      <c r="AB24" s="759">
        <f>SUMIFS('利润（汇总）'!18:18,'利润（汇总）'!$1:$1,AB$1,'利润（汇总）'!$2:$2,AB$2)-3454</f>
        <v>5018.6828079999996</v>
      </c>
      <c r="AC24" s="759">
        <f>AB24</f>
        <v>5018.6828079999996</v>
      </c>
      <c r="AD24" s="759">
        <f>SUMIFS('利润（汇总）'!18:18,'利润（汇总）'!$1:$1,AD$1,'利润（汇总）'!$2:$2,AD$2)</f>
        <v>961.83735100000013</v>
      </c>
      <c r="AE24" s="759">
        <f t="shared" si="109"/>
        <v>961.83735100000013</v>
      </c>
      <c r="AF24" s="759">
        <f>SUMIFS('利润（汇总）'!18:18,'利润（汇总）'!$1:$1,AF$1,'利润（汇总）'!$2:$2,AF$2)</f>
        <v>498.33307699999989</v>
      </c>
      <c r="AG24" s="759">
        <f t="shared" si="96"/>
        <v>498.33307699999989</v>
      </c>
      <c r="AH24" s="759">
        <f>SUMIFS('利润（汇总）'!18:18,'利润（汇总）'!$1:$1,AH$1,'利润（汇总）'!$2:$2,AH$2)</f>
        <v>179.65409599999992</v>
      </c>
      <c r="AI24" s="759">
        <f t="shared" si="85"/>
        <v>179.65409599999992</v>
      </c>
      <c r="AJ24" s="759">
        <f>SUMIFS('利润（汇总）'!18:18,'利润（汇总）'!$1:$1,AJ$1,'利润（汇总）'!$2:$2,AJ$2)</f>
        <v>766.31691499999999</v>
      </c>
      <c r="AK24" s="759">
        <f t="shared" si="86"/>
        <v>766.31691499999999</v>
      </c>
      <c r="AL24" s="759">
        <f>SUMIFS('利润（汇总）'!18:18,'利润（汇总）'!$1:$1,AL$1,'利润（汇总）'!$2:$2,AL$2)</f>
        <v>361.47663499999999</v>
      </c>
      <c r="AM24" s="759">
        <f t="shared" si="87"/>
        <v>361.47663499999999</v>
      </c>
      <c r="AN24" s="759">
        <f>SUMIFS('利润（汇总）'!18:18,'利润（汇总）'!$1:$1,AN$1,'利润（汇总）'!$2:$2,AN$2)</f>
        <v>777.99485099999993</v>
      </c>
      <c r="AO24" s="759">
        <f t="shared" si="88"/>
        <v>777.99485099999993</v>
      </c>
      <c r="AP24" s="759">
        <f>SUMIFS('利润（汇总）'!18:18,'利润（汇总）'!$1:$1,AP$1,'利润（汇总）'!$2:$2,AP$2)</f>
        <v>1029</v>
      </c>
      <c r="AQ24" s="759">
        <f t="shared" si="89"/>
        <v>1029</v>
      </c>
      <c r="AR24" s="759">
        <f>SUMIFS('利润（汇总）'!18:18,'利润（汇总）'!$1:$1,AR$1,'利润（汇总）'!$2:$2,AR$2)</f>
        <v>595</v>
      </c>
      <c r="AS24" s="759">
        <f t="shared" si="90"/>
        <v>595</v>
      </c>
      <c r="AT24" s="759">
        <f>SUMIFS('利润（汇总）'!18:18,'利润（汇总）'!$1:$1,AT$1,'利润（汇总）'!$2:$2,AT$2)</f>
        <v>0</v>
      </c>
      <c r="AU24" s="759">
        <f t="shared" si="91"/>
        <v>0</v>
      </c>
      <c r="AV24" s="759">
        <f>SUMIFS('利润（汇总）'!18:18,'利润（汇总）'!$1:$1,AV$1,'利润（汇总）'!$2:$2,AV$2)</f>
        <v>0</v>
      </c>
      <c r="AW24" s="759">
        <f t="shared" si="92"/>
        <v>0</v>
      </c>
      <c r="AX24" s="759">
        <f>SUMIFS('利润（汇总）'!18:18,'利润（汇总）'!$1:$1,AX$1,'利润（汇总）'!$2:$2,AX$2)</f>
        <v>0</v>
      </c>
      <c r="AY24" s="759">
        <f t="shared" si="93"/>
        <v>0</v>
      </c>
      <c r="AZ24" s="759">
        <f>SUMIFS('利润（汇总）'!18:18,'利润（汇总）'!$1:$1,AZ$1,'利润（汇总）'!$2:$2,AZ$2)</f>
        <v>0</v>
      </c>
      <c r="BA24" s="759">
        <f t="shared" si="94"/>
        <v>0</v>
      </c>
      <c r="BB24" s="781">
        <f t="shared" si="31"/>
        <v>-463.50427400000024</v>
      </c>
      <c r="BC24" s="781">
        <f t="shared" si="32"/>
        <v>-463.50427400000024</v>
      </c>
      <c r="BD24" s="781">
        <f t="shared" si="70"/>
        <v>-1024.5218843036603</v>
      </c>
      <c r="BE24" s="781"/>
      <c r="BF24" s="788">
        <f t="shared" si="47"/>
        <v>5169.6129249999994</v>
      </c>
      <c r="BG24" s="788">
        <f t="shared" si="48"/>
        <v>5169.6129249999994</v>
      </c>
      <c r="BH24" s="1790">
        <f t="shared" si="33"/>
        <v>179.65409599999992</v>
      </c>
      <c r="BI24" s="1787">
        <f>'@预测#经营利润#'!F24</f>
        <v>342</v>
      </c>
      <c r="BJ24" s="751">
        <f t="shared" si="35"/>
        <v>-162.34590400000008</v>
      </c>
      <c r="BK24" s="751">
        <f>AA24-'@预测#经营利润#'!F24</f>
        <v>290.08107300000006</v>
      </c>
      <c r="BL24" s="786"/>
      <c r="BM24" s="788">
        <f t="shared" si="71"/>
        <v>632.08107300000006</v>
      </c>
      <c r="BN24" s="1571">
        <f>'@预测#经营利润#'!E24</f>
        <v>342</v>
      </c>
      <c r="BO24" s="751">
        <f t="shared" si="36"/>
        <v>290.08107300000006</v>
      </c>
    </row>
    <row r="25" spans="1:67" s="754" customFormat="1" ht="15.6" hidden="1" customHeight="1">
      <c r="A25" s="2027" t="s">
        <v>123</v>
      </c>
      <c r="B25" s="771">
        <v>400</v>
      </c>
      <c r="C25" s="771">
        <f t="shared" si="34"/>
        <v>33.333333333333336</v>
      </c>
      <c r="D25" s="759">
        <f>SUMIFS('利润（汇总）'!21:21,'利润（汇总）'!$1:$1,D$1,'利润（汇总）'!$2:$2,D$2)</f>
        <v>-398.38890400000003</v>
      </c>
      <c r="E25" s="759">
        <f t="shared" si="97"/>
        <v>-398.38890400000003</v>
      </c>
      <c r="F25" s="759">
        <f>SUMIFS('利润（汇总）'!21:21,'利润（汇总）'!$1:$1,F$1,'利润（汇总）'!$2:$2,F$2)</f>
        <v>-320.088548</v>
      </c>
      <c r="G25" s="759">
        <f t="shared" si="98"/>
        <v>-320.088548</v>
      </c>
      <c r="H25" s="759">
        <f>SUMIFS('利润（汇总）'!21:21,'利润（汇总）'!$1:$1,H$1,'利润（汇总）'!$2:$2,H$2)</f>
        <v>-434.05604299999999</v>
      </c>
      <c r="I25" s="759">
        <f t="shared" si="99"/>
        <v>-434.05604299999999</v>
      </c>
      <c r="J25" s="759">
        <f>SUMIFS('利润（汇总）'!21:21,'利润（汇总）'!$1:$1,J$1,'利润（汇总）'!$2:$2,J$2)</f>
        <v>-322.10717</v>
      </c>
      <c r="K25" s="759">
        <f t="shared" si="100"/>
        <v>-322.10717</v>
      </c>
      <c r="L25" s="759">
        <f>SUMIFS('利润（汇总）'!21:21,'利润（汇总）'!$1:$1,L$1,'利润（汇总）'!$2:$2,L$2)</f>
        <v>-358.80783400000001</v>
      </c>
      <c r="M25" s="759">
        <f t="shared" si="101"/>
        <v>-358.80783400000001</v>
      </c>
      <c r="N25" s="759">
        <f>SUMIFS('利润（汇总）'!21:21,'利润（汇总）'!$1:$1,N$1,'利润（汇总）'!$2:$2,N$2)</f>
        <v>-321.58685600000001</v>
      </c>
      <c r="O25" s="759">
        <f t="shared" si="102"/>
        <v>-321.58685600000001</v>
      </c>
      <c r="P25" s="759">
        <f>SUMIFS('利润（汇总）'!21:21,'利润（汇总）'!$1:$1,P$1,'利润（汇总）'!$2:$2,P$2)</f>
        <v>-304.48615000000001</v>
      </c>
      <c r="Q25" s="759">
        <f t="shared" si="103"/>
        <v>-304.48615000000001</v>
      </c>
      <c r="R25" s="759">
        <f>SUMIFS('利润（汇总）'!21:21,'利润（汇总）'!$1:$1,R$1,'利润（汇总）'!$2:$2,R$2)</f>
        <v>-169.46757099999999</v>
      </c>
      <c r="S25" s="759">
        <f t="shared" si="104"/>
        <v>-169.46757099999999</v>
      </c>
      <c r="T25" s="759">
        <f>SUMIFS('利润（汇总）'!21:21,'利润（汇总）'!$1:$1,T$1,'利润（汇总）'!$2:$2,T$2)</f>
        <v>-146.13381699999999</v>
      </c>
      <c r="U25" s="759">
        <f t="shared" si="105"/>
        <v>-146.13381699999999</v>
      </c>
      <c r="V25" s="759">
        <f>SUMIFS('利润（汇总）'!21:21,'利润（汇总）'!$1:$1,V$1,'利润（汇总）'!$2:$2,V$2)</f>
        <v>-112.542896</v>
      </c>
      <c r="W25" s="759">
        <f t="shared" si="106"/>
        <v>-112.542896</v>
      </c>
      <c r="X25" s="759">
        <f>SUMIFS('利润（汇总）'!21:21,'利润（汇总）'!$1:$1,X$1,'利润（汇总）'!$2:$2,X$2)</f>
        <v>-7.5195740000000004</v>
      </c>
      <c r="Y25" s="759">
        <f t="shared" si="107"/>
        <v>-7.5195740000000004</v>
      </c>
      <c r="Z25" s="759">
        <f>SUMIFS('利润（汇总）'!21:21,'利润（汇总）'!$1:$1,Z$1,'利润（汇总）'!$2:$2,Z$2)</f>
        <v>-271.16096900000002</v>
      </c>
      <c r="AA25" s="759">
        <f t="shared" si="108"/>
        <v>-271.16096900000002</v>
      </c>
      <c r="AB25" s="759">
        <f>SUMIFS('利润（汇总）'!21:21,'利润（汇总）'!$1:$1,AB$1,'利润（汇总）'!$2:$2,AB$2)</f>
        <v>-371.21701100000001</v>
      </c>
      <c r="AC25" s="759">
        <f t="shared" si="109"/>
        <v>-371.21701100000001</v>
      </c>
      <c r="AD25" s="759">
        <f>SUMIFS('利润（汇总）'!21:21,'利润（汇总）'!$1:$1,AD$1,'利润（汇总）'!$2:$2,AD$2)</f>
        <v>-193.70460499999999</v>
      </c>
      <c r="AE25" s="759">
        <f t="shared" si="109"/>
        <v>-193.70460499999999</v>
      </c>
      <c r="AF25" s="759">
        <f>SUMIFS('利润（汇总）'!21:21,'利润（汇总）'!$1:$1,AF$1,'利润（汇总）'!$2:$2,AF$2)</f>
        <v>-189.22141199999999</v>
      </c>
      <c r="AG25" s="759">
        <f t="shared" si="96"/>
        <v>-189.22141199999999</v>
      </c>
      <c r="AH25" s="759">
        <f>SUMIFS('利润（汇总）'!21:21,'利润（汇总）'!$1:$1,AH$1,'利润（汇总）'!$2:$2,AH$2)</f>
        <v>48.653168000000001</v>
      </c>
      <c r="AI25" s="759">
        <f t="shared" si="85"/>
        <v>48.653168000000001</v>
      </c>
      <c r="AJ25" s="759">
        <f>SUMIFS('利润（汇总）'!21:21,'利润（汇总）'!$1:$1,AJ$1,'利润（汇总）'!$2:$2,AJ$2)</f>
        <v>55.17651</v>
      </c>
      <c r="AK25" s="759">
        <f t="shared" si="86"/>
        <v>55.17651</v>
      </c>
      <c r="AL25" s="759">
        <f>SUMIFS('利润（汇总）'!21:21,'利润（汇总）'!$1:$1,AL$1,'利润（汇总）'!$2:$2,AL$2)</f>
        <v>151.96728300000001</v>
      </c>
      <c r="AM25" s="759">
        <f t="shared" si="87"/>
        <v>151.96728300000001</v>
      </c>
      <c r="AN25" s="759">
        <f>SUMIFS('利润（汇总）'!21:21,'利润（汇总）'!$1:$1,AN$1,'利润（汇总）'!$2:$2,AN$2)</f>
        <v>134.92921000000001</v>
      </c>
      <c r="AO25" s="759">
        <f t="shared" si="88"/>
        <v>134.92921000000001</v>
      </c>
      <c r="AP25" s="759">
        <f>SUMIFS('利润（汇总）'!21:21,'利润（汇总）'!$1:$1,AP$1,'利润（汇总）'!$2:$2,AP$2)</f>
        <v>58</v>
      </c>
      <c r="AQ25" s="759">
        <f t="shared" si="89"/>
        <v>58</v>
      </c>
      <c r="AR25" s="759">
        <f>SUMIFS('利润（汇总）'!21:21,'利润（汇总）'!$1:$1,AR$1,'利润（汇总）'!$2:$2,AR$2)</f>
        <v>-61.28</v>
      </c>
      <c r="AS25" s="759">
        <f t="shared" si="90"/>
        <v>-61.28</v>
      </c>
      <c r="AT25" s="759">
        <f>SUMIFS('利润（汇总）'!21:21,'利润（汇总）'!$1:$1,AT$1,'利润（汇总）'!$2:$2,AT$2)</f>
        <v>0</v>
      </c>
      <c r="AU25" s="759">
        <f t="shared" si="91"/>
        <v>0</v>
      </c>
      <c r="AV25" s="759">
        <f>SUMIFS('利润（汇总）'!21:21,'利润（汇总）'!$1:$1,AV$1,'利润（汇总）'!$2:$2,AV$2)</f>
        <v>0</v>
      </c>
      <c r="AW25" s="759">
        <f t="shared" si="92"/>
        <v>0</v>
      </c>
      <c r="AX25" s="759">
        <f>SUMIFS('利润（汇总）'!21:21,'利润（汇总）'!$1:$1,AX$1,'利润（汇总）'!$2:$2,AX$2)</f>
        <v>0</v>
      </c>
      <c r="AY25" s="759">
        <f t="shared" si="93"/>
        <v>0</v>
      </c>
      <c r="AZ25" s="759">
        <f>SUMIFS('利润（汇总）'!21:21,'利润（汇总）'!$1:$1,AZ$1,'利润（汇总）'!$2:$2,AZ$2)</f>
        <v>0</v>
      </c>
      <c r="BA25" s="759">
        <f t="shared" si="94"/>
        <v>0</v>
      </c>
      <c r="BB25" s="781">
        <f t="shared" si="31"/>
        <v>4.483193</v>
      </c>
      <c r="BC25" s="781">
        <f t="shared" si="32"/>
        <v>4.483193</v>
      </c>
      <c r="BD25" s="781">
        <f t="shared" si="70"/>
        <v>-467.3893763333333</v>
      </c>
      <c r="BE25" s="781"/>
      <c r="BF25" s="788">
        <f t="shared" si="47"/>
        <v>4.5201540000000193</v>
      </c>
      <c r="BG25" s="788">
        <f t="shared" si="48"/>
        <v>4.5201540000000193</v>
      </c>
      <c r="BH25" s="1790">
        <f t="shared" si="33"/>
        <v>48.653168000000001</v>
      </c>
      <c r="BI25" s="1787">
        <f>'@预测#经营利润#'!F25</f>
        <v>-237</v>
      </c>
      <c r="BJ25" s="751">
        <f t="shared" si="35"/>
        <v>285.65316799999999</v>
      </c>
      <c r="BK25" s="751">
        <f>AA25-'@预测#经营利润#'!F25</f>
        <v>-34.160969000000023</v>
      </c>
      <c r="BL25" s="786"/>
      <c r="BM25" s="788">
        <f t="shared" si="71"/>
        <v>-271.16096900000002</v>
      </c>
      <c r="BN25" s="1571">
        <f>'@预测#经营利润#'!E25</f>
        <v>-237</v>
      </c>
      <c r="BO25" s="751">
        <f t="shared" si="36"/>
        <v>-34.160969000000023</v>
      </c>
    </row>
    <row r="26" spans="1:67" s="754" customFormat="1" ht="15.6" customHeight="1">
      <c r="A26" s="2027" t="s">
        <v>124</v>
      </c>
      <c r="B26" s="771">
        <v>41785</v>
      </c>
      <c r="C26" s="771">
        <f t="shared" si="34"/>
        <v>3482.0833333333335</v>
      </c>
      <c r="D26" s="759">
        <f>SUMIFS('利润（汇总）'!22:22,'利润（汇总）'!$1:$1,D$1,'利润（汇总）'!$2:$2,D$2)</f>
        <v>1884.8390440000001</v>
      </c>
      <c r="E26" s="759">
        <f t="shared" si="97"/>
        <v>1884.8390440000001</v>
      </c>
      <c r="F26" s="759">
        <f>SUMIFS('利润（汇总）'!22:22,'利润（汇总）'!$1:$1,F$1,'利润（汇总）'!$2:$2,F$2)</f>
        <v>3168.0865439999998</v>
      </c>
      <c r="G26" s="759">
        <f t="shared" si="98"/>
        <v>3168.0865439999998</v>
      </c>
      <c r="H26" s="759">
        <f>SUMIFS('利润（汇总）'!22:22,'利润（汇总）'!$1:$1,H$1,'利润（汇总）'!$2:$2,H$2)</f>
        <v>3290.0564429999999</v>
      </c>
      <c r="I26" s="759">
        <f t="shared" si="99"/>
        <v>3290.0564429999999</v>
      </c>
      <c r="J26" s="759">
        <f>SUMIFS('利润（汇总）'!22:22,'利润（汇总）'!$1:$1,J$1,'利润（汇总）'!$2:$2,J$2)</f>
        <v>1040.347718</v>
      </c>
      <c r="K26" s="759">
        <f t="shared" si="100"/>
        <v>1040.347718</v>
      </c>
      <c r="L26" s="759">
        <f>SUMIFS('利润（汇总）'!22:22,'利润（汇总）'!$1:$1,L$1,'利润（汇总）'!$2:$2,L$2)</f>
        <v>3458.5318940000002</v>
      </c>
      <c r="M26" s="759">
        <f t="shared" si="101"/>
        <v>3458.5318940000002</v>
      </c>
      <c r="N26" s="759">
        <f>SUMIFS('利润（汇总）'!22:22,'利润（汇总）'!$1:$1,N$1,'利润（汇总）'!$2:$2,N$2)</f>
        <v>4222.9314510000004</v>
      </c>
      <c r="O26" s="759">
        <f t="shared" si="102"/>
        <v>4222.9314510000004</v>
      </c>
      <c r="P26" s="759">
        <f>SUMIFS('利润（汇总）'!22:22,'利润（汇总）'!$1:$1,P$1,'利润（汇总）'!$2:$2,P$2)</f>
        <v>4063.8221960000001</v>
      </c>
      <c r="Q26" s="759">
        <f t="shared" si="103"/>
        <v>4063.8221960000001</v>
      </c>
      <c r="R26" s="759">
        <f>SUMIFS('利润（汇总）'!22:22,'利润（汇总）'!$1:$1,R$1,'利润（汇总）'!$2:$2,R$2)</f>
        <v>4002.8270470000002</v>
      </c>
      <c r="S26" s="759">
        <f t="shared" si="104"/>
        <v>4002.8270470000002</v>
      </c>
      <c r="T26" s="759">
        <f>SUMIFS('利润（汇总）'!22:22,'利润（汇总）'!$1:$1,T$1,'利润（汇总）'!$2:$2,T$2)</f>
        <v>4199.1183650000003</v>
      </c>
      <c r="U26" s="759">
        <f t="shared" si="105"/>
        <v>4199.1183650000003</v>
      </c>
      <c r="V26" s="759">
        <f>SUMIFS('利润（汇总）'!22:22,'利润（汇总）'!$1:$1,V$1,'利润（汇总）'!$2:$2,V$2)</f>
        <v>1630.531925</v>
      </c>
      <c r="W26" s="759">
        <f t="shared" si="106"/>
        <v>1630.531925</v>
      </c>
      <c r="X26" s="759">
        <f>SUMIFS('利润（汇总）'!22:22,'利润（汇总）'!$1:$1,X$1,'利润（汇总）'!$2:$2,X$2)</f>
        <v>3680.1204429999998</v>
      </c>
      <c r="Y26" s="759">
        <f t="shared" si="107"/>
        <v>3680.1204429999998</v>
      </c>
      <c r="Z26" s="759">
        <f>SUMIFS('利润（汇总）'!22:22,'利润（汇总）'!$1:$1,Z$1,'利润（汇总）'!$2:$2,Z$2)</f>
        <v>3240.2936519999998</v>
      </c>
      <c r="AA26" s="759">
        <f t="shared" si="108"/>
        <v>3240.2936519999998</v>
      </c>
      <c r="AB26" s="759">
        <f>SUMIFS('利润（汇总）'!22:22,'利润（汇总）'!$1:$1,AB$1,'利润（汇总）'!$2:$2,AB$2)</f>
        <v>5021.9971699999996</v>
      </c>
      <c r="AC26" s="759">
        <f>AB26</f>
        <v>5021.9971699999996</v>
      </c>
      <c r="AD26" s="759">
        <f>SUMIFS('利润（汇总）'!22:22,'利润（汇总）'!$1:$1,AD$1,'利润（汇总）'!$2:$2,AD$2)</f>
        <v>3606.7266909999998</v>
      </c>
      <c r="AE26" s="759">
        <f t="shared" si="109"/>
        <v>3606.7266909999998</v>
      </c>
      <c r="AF26" s="759">
        <f>SUMIFS('利润（汇总）'!22:22,'利润（汇总）'!$1:$1,AF$1,'利润（汇总）'!$2:$2,AF$2)</f>
        <v>2241.679208</v>
      </c>
      <c r="AG26" s="759">
        <f t="shared" si="96"/>
        <v>2241.679208</v>
      </c>
      <c r="AH26" s="759">
        <f>SUMIFS('利润（汇总）'!22:22,'利润（汇总）'!$1:$1,AH$1,'利润（汇总）'!$2:$2,AH$2)</f>
        <v>1126.4697289999999</v>
      </c>
      <c r="AI26" s="759">
        <f t="shared" si="85"/>
        <v>1126.4697289999999</v>
      </c>
      <c r="AJ26" s="759">
        <f>SUMIFS('利润（汇总）'!22:22,'利润（汇总）'!$1:$1,AJ$1,'利润（汇总）'!$2:$2,AJ$2)</f>
        <v>4911.0933750000004</v>
      </c>
      <c r="AK26" s="759">
        <f t="shared" si="86"/>
        <v>4911.0933750000004</v>
      </c>
      <c r="AL26" s="759">
        <f>SUMIFS('利润（汇总）'!22:22,'利润（汇总）'!$1:$1,AL$1,'利润（汇总）'!$2:$2,AL$2)</f>
        <v>4965.2447089999996</v>
      </c>
      <c r="AM26" s="759">
        <f t="shared" si="87"/>
        <v>4965.2447089999996</v>
      </c>
      <c r="AN26" s="759">
        <f>SUMIFS('利润（汇总）'!22:22,'利润（汇总）'!$1:$1,AN$1,'利润（汇总）'!$2:$2,AN$2)</f>
        <v>2218.5712330000001</v>
      </c>
      <c r="AO26" s="759">
        <f t="shared" si="88"/>
        <v>2218.5712330000001</v>
      </c>
      <c r="AP26" s="759">
        <f>SUMIFS('利润（汇总）'!22:22,'利润（汇总）'!$1:$1,AP$1,'利润（汇总）'!$2:$2,AP$2)</f>
        <v>2995.2456000000002</v>
      </c>
      <c r="AQ26" s="759">
        <f t="shared" si="89"/>
        <v>2995.2456000000002</v>
      </c>
      <c r="AR26" s="759">
        <f>SUMIFS('利润（汇总）'!22:22,'利润（汇总）'!$1:$1,AR$1,'利润（汇总）'!$2:$2,AR$2)</f>
        <v>4040.4353660000002</v>
      </c>
      <c r="AS26" s="759">
        <f t="shared" si="90"/>
        <v>4040.4353660000002</v>
      </c>
      <c r="AT26" s="759">
        <f>SUMIFS('利润（汇总）'!22:22,'利润（汇总）'!$1:$1,AT$1,'利润（汇总）'!$2:$2,AT$2)</f>
        <v>0</v>
      </c>
      <c r="AU26" s="759">
        <f t="shared" si="91"/>
        <v>0</v>
      </c>
      <c r="AV26" s="759">
        <f>SUMIFS('利润（汇总）'!22:22,'利润（汇总）'!$1:$1,AV$1,'利润（汇总）'!$2:$2,AV$2)</f>
        <v>0</v>
      </c>
      <c r="AW26" s="759">
        <f t="shared" si="92"/>
        <v>0</v>
      </c>
      <c r="AX26" s="759">
        <f>SUMIFS('利润（汇总）'!22:22,'利润（汇总）'!$1:$1,AX$1,'利润（汇总）'!$2:$2,AX$2)</f>
        <v>0</v>
      </c>
      <c r="AY26" s="759">
        <f t="shared" si="93"/>
        <v>0</v>
      </c>
      <c r="AZ26" s="759">
        <f>SUMIFS('利润（汇总）'!22:22,'利润（汇总）'!$1:$1,AZ$1,'利润（汇总）'!$2:$2,AZ$2)</f>
        <v>0</v>
      </c>
      <c r="BA26" s="759">
        <f t="shared" si="94"/>
        <v>0</v>
      </c>
      <c r="BB26" s="781">
        <f t="shared" si="31"/>
        <v>-1365.0474829999998</v>
      </c>
      <c r="BC26" s="781">
        <f t="shared" si="32"/>
        <v>-1365.0474829999998</v>
      </c>
      <c r="BD26" s="781">
        <f t="shared" si="70"/>
        <v>-192.02689033333354</v>
      </c>
      <c r="BE26" s="781"/>
      <c r="BF26" s="788">
        <f t="shared" si="47"/>
        <v>26105.465911000003</v>
      </c>
      <c r="BG26" s="788">
        <f t="shared" si="48"/>
        <v>26105.465911000003</v>
      </c>
      <c r="BH26" s="1790">
        <f t="shared" si="33"/>
        <v>1126.4697289999999</v>
      </c>
      <c r="BI26" s="1787">
        <f>'@预测#经营利润#'!F26</f>
        <v>3894</v>
      </c>
      <c r="BJ26" s="751">
        <f t="shared" si="35"/>
        <v>-2767.5302710000001</v>
      </c>
      <c r="BK26" s="751">
        <f>AA26-'@预测#经营利润#'!F26</f>
        <v>-653.70634800000016</v>
      </c>
      <c r="BL26" s="786"/>
      <c r="BM26" s="788">
        <f t="shared" si="71"/>
        <v>3240.2936519999998</v>
      </c>
      <c r="BN26" s="1571">
        <f>'@预测#经营利润#'!E26</f>
        <v>3894</v>
      </c>
      <c r="BO26" s="751">
        <f t="shared" si="36"/>
        <v>-653.70634800000016</v>
      </c>
    </row>
    <row r="27" spans="1:67" s="754" customFormat="1" ht="15.6" hidden="1" customHeight="1">
      <c r="A27" s="2027" t="s">
        <v>125</v>
      </c>
      <c r="B27" s="771">
        <v>265</v>
      </c>
      <c r="C27" s="771">
        <f t="shared" si="34"/>
        <v>22.083333333333332</v>
      </c>
      <c r="D27" s="759">
        <f>SUMIFS('利润（汇总）'!23:23,'利润（汇总）'!$1:$1,D$1,'利润（汇总）'!$2:$2,D$2)</f>
        <v>45.95637</v>
      </c>
      <c r="E27" s="759">
        <f t="shared" si="97"/>
        <v>45.95637</v>
      </c>
      <c r="F27" s="759">
        <f>SUMIFS('利润（汇总）'!23:23,'利润（汇总）'!$1:$1,F$1,'利润（汇总）'!$2:$2,F$2)</f>
        <v>52.814207000000003</v>
      </c>
      <c r="G27" s="759">
        <f t="shared" si="98"/>
        <v>52.814207000000003</v>
      </c>
      <c r="H27" s="759">
        <f>SUMIFS('利润（汇总）'!23:23,'利润（汇总）'!$1:$1,H$1,'利润（汇总）'!$2:$2,H$2)</f>
        <v>2.3128679999999999</v>
      </c>
      <c r="I27" s="759">
        <f t="shared" si="99"/>
        <v>2.3128679999999999</v>
      </c>
      <c r="J27" s="759">
        <f>SUMIFS('利润（汇总）'!23:23,'利润（汇总）'!$1:$1,J$1,'利润（汇总）'!$2:$2,J$2)</f>
        <v>-2.1759620000000002</v>
      </c>
      <c r="K27" s="759">
        <f t="shared" si="100"/>
        <v>-2.1759620000000002</v>
      </c>
      <c r="L27" s="759">
        <f>SUMIFS('利润（汇总）'!23:23,'利润（汇总）'!$1:$1,L$1,'利润（汇总）'!$2:$2,L$2)</f>
        <v>68.988294999999994</v>
      </c>
      <c r="M27" s="759">
        <f t="shared" si="101"/>
        <v>68.988294999999994</v>
      </c>
      <c r="N27" s="759">
        <f>SUMIFS('利润（汇总）'!23:23,'利润（汇总）'!$1:$1,N$1,'利润（汇总）'!$2:$2,N$2)</f>
        <v>4.0659470000000004</v>
      </c>
      <c r="O27" s="759">
        <f t="shared" si="102"/>
        <v>4.0659470000000004</v>
      </c>
      <c r="P27" s="759">
        <f>SUMIFS('利润（汇总）'!23:23,'利润（汇总）'!$1:$1,P$1,'利润（汇总）'!$2:$2,P$2)</f>
        <v>5.1747810000000003</v>
      </c>
      <c r="Q27" s="759">
        <f t="shared" si="103"/>
        <v>5.1747810000000003</v>
      </c>
      <c r="R27" s="759">
        <f>SUMIFS('利润（汇总）'!23:23,'利润（汇总）'!$1:$1,R$1,'利润（汇总）'!$2:$2,R$2)</f>
        <v>47.411870999999998</v>
      </c>
      <c r="S27" s="759">
        <f t="shared" si="104"/>
        <v>47.411870999999998</v>
      </c>
      <c r="T27" s="759">
        <f>SUMIFS('利润（汇总）'!23:23,'利润（汇总）'!$1:$1,T$1,'利润（汇总）'!$2:$2,T$2)</f>
        <v>-4.4739930000000001</v>
      </c>
      <c r="U27" s="759">
        <f t="shared" si="105"/>
        <v>-4.4739930000000001</v>
      </c>
      <c r="V27" s="759">
        <f>SUMIFS('利润（汇总）'!23:23,'利润（汇总）'!$1:$1,V$1,'利润（汇总）'!$2:$2,V$2)</f>
        <v>2.0921850000000002</v>
      </c>
      <c r="W27" s="759">
        <f t="shared" si="106"/>
        <v>2.0921850000000002</v>
      </c>
      <c r="X27" s="759">
        <f>SUMIFS('利润（汇总）'!23:23,'利润（汇总）'!$1:$1,X$1,'利润（汇总）'!$2:$2,X$2)</f>
        <v>46.765946</v>
      </c>
      <c r="Y27" s="759">
        <f t="shared" si="107"/>
        <v>46.765946</v>
      </c>
      <c r="Z27" s="759">
        <f>SUMIFS('利润（汇总）'!23:23,'利润（汇总）'!$1:$1,Z$1,'利润（汇总）'!$2:$2,Z$2)</f>
        <v>14.342822999999999</v>
      </c>
      <c r="AA27" s="759">
        <f t="shared" si="108"/>
        <v>14.342822999999999</v>
      </c>
      <c r="AB27" s="759">
        <f>SUMIFS('利润（汇总）'!23:23,'利润（汇总）'!$1:$1,AB$1,'利润（汇总）'!$2:$2,AB$2)</f>
        <v>25.415958</v>
      </c>
      <c r="AC27" s="759">
        <f t="shared" si="109"/>
        <v>25.415958</v>
      </c>
      <c r="AD27" s="759">
        <f>SUMIFS('利润（汇总）'!23:23,'利润（汇总）'!$1:$1,AD$1,'利润（汇总）'!$2:$2,AD$2)</f>
        <v>56.241615000000003</v>
      </c>
      <c r="AE27" s="759">
        <f t="shared" si="109"/>
        <v>56.241615000000003</v>
      </c>
      <c r="AF27" s="759">
        <f>SUMIFS('利润（汇总）'!23:23,'利润（汇总）'!$1:$1,AF$1,'利润（汇总）'!$2:$2,AF$2)</f>
        <v>2.1511900000000002</v>
      </c>
      <c r="AG27" s="759">
        <f t="shared" si="96"/>
        <v>2.1511900000000002</v>
      </c>
      <c r="AH27" s="759">
        <f>SUMIFS('利润（汇总）'!23:23,'利润（汇总）'!$1:$1,AH$1,'利润（汇总）'!$2:$2,AH$2)</f>
        <v>12.298685000000001</v>
      </c>
      <c r="AI27" s="759">
        <f t="shared" si="85"/>
        <v>12.298685000000001</v>
      </c>
      <c r="AJ27" s="759">
        <f>SUMIFS('利润（汇总）'!23:23,'利润（汇总）'!$1:$1,AJ$1,'利润（汇总）'!$2:$2,AJ$2)</f>
        <v>38.654693999999999</v>
      </c>
      <c r="AK27" s="759">
        <f t="shared" si="86"/>
        <v>38.654693999999999</v>
      </c>
      <c r="AL27" s="759">
        <f>SUMIFS('利润（汇总）'!23:23,'利润（汇总）'!$1:$1,AL$1,'利润（汇总）'!$2:$2,AL$2)</f>
        <v>33.121088999999998</v>
      </c>
      <c r="AM27" s="759">
        <f t="shared" si="87"/>
        <v>33.121088999999998</v>
      </c>
      <c r="AN27" s="759">
        <f>SUMIFS('利润（汇总）'!23:23,'利润（汇总）'!$1:$1,AN$1,'利润（汇总）'!$2:$2,AN$2)</f>
        <v>8.6148430000000005</v>
      </c>
      <c r="AO27" s="759">
        <f t="shared" si="88"/>
        <v>8.6148430000000005</v>
      </c>
      <c r="AP27" s="759">
        <f>SUMIFS('利润（汇总）'!23:23,'利润（汇总）'!$1:$1,AP$1,'利润（汇总）'!$2:$2,AP$2)</f>
        <v>5.79</v>
      </c>
      <c r="AQ27" s="759">
        <f t="shared" si="89"/>
        <v>5.79</v>
      </c>
      <c r="AR27" s="759">
        <f>SUMIFS('利润（汇总）'!23:23,'利润（汇总）'!$1:$1,AR$1,'利润（汇总）'!$2:$2,AR$2)</f>
        <v>38.24</v>
      </c>
      <c r="AS27" s="759">
        <f t="shared" si="90"/>
        <v>38.24</v>
      </c>
      <c r="AT27" s="759">
        <f>SUMIFS('利润（汇总）'!23:23,'利润（汇总）'!$1:$1,AT$1,'利润（汇总）'!$2:$2,AT$2)</f>
        <v>0</v>
      </c>
      <c r="AU27" s="759">
        <f t="shared" si="91"/>
        <v>0</v>
      </c>
      <c r="AV27" s="759">
        <f>SUMIFS('利润（汇总）'!23:23,'利润（汇总）'!$1:$1,AV$1,'利润（汇总）'!$2:$2,AV$2)</f>
        <v>0</v>
      </c>
      <c r="AW27" s="759">
        <f t="shared" si="92"/>
        <v>0</v>
      </c>
      <c r="AX27" s="759">
        <f>SUMIFS('利润（汇总）'!23:23,'利润（汇总）'!$1:$1,AX$1,'利润（汇总）'!$2:$2,AX$2)</f>
        <v>0</v>
      </c>
      <c r="AY27" s="759">
        <f t="shared" si="93"/>
        <v>0</v>
      </c>
      <c r="AZ27" s="759">
        <f>SUMIFS('利润（汇总）'!23:23,'利润（汇总）'!$1:$1,AZ$1,'利润（汇总）'!$2:$2,AZ$2)</f>
        <v>0</v>
      </c>
      <c r="BA27" s="759">
        <f t="shared" si="94"/>
        <v>0</v>
      </c>
      <c r="BB27" s="781">
        <f t="shared" si="31"/>
        <v>-54.090425000000003</v>
      </c>
      <c r="BC27" s="781">
        <f t="shared" si="32"/>
        <v>-54.090425000000003</v>
      </c>
      <c r="BD27" s="781">
        <f t="shared" si="70"/>
        <v>-19.770465333333334</v>
      </c>
      <c r="BE27" s="781"/>
      <c r="BF27" s="788">
        <f t="shared" si="47"/>
        <v>195.11211599999999</v>
      </c>
      <c r="BG27" s="788">
        <f t="shared" si="48"/>
        <v>195.11211599999999</v>
      </c>
      <c r="BH27" s="1790">
        <f t="shared" si="33"/>
        <v>12.298685000000001</v>
      </c>
      <c r="BI27" s="1787">
        <f>'@预测#经营利润#'!F27</f>
        <v>34.5</v>
      </c>
      <c r="BJ27" s="751">
        <f t="shared" si="35"/>
        <v>-22.201315000000001</v>
      </c>
      <c r="BK27" s="751">
        <f>AA27-'@预测#经营利润#'!F27</f>
        <v>-20.157177000000001</v>
      </c>
      <c r="BL27" s="786"/>
      <c r="BM27" s="788">
        <f t="shared" si="71"/>
        <v>14.342822999999999</v>
      </c>
      <c r="BN27" s="1571">
        <f>'@预测#经营利润#'!E27</f>
        <v>34.5</v>
      </c>
      <c r="BO27" s="751">
        <f t="shared" si="36"/>
        <v>-20.157177000000001</v>
      </c>
    </row>
    <row r="28" spans="1:67" s="754" customFormat="1" ht="15.6" hidden="1" customHeight="1">
      <c r="A28" s="2027" t="s">
        <v>126</v>
      </c>
      <c r="B28" s="771">
        <v>8200</v>
      </c>
      <c r="C28" s="771">
        <f t="shared" si="34"/>
        <v>683.33333333333337</v>
      </c>
      <c r="D28" s="759">
        <f>SUMIFS('利润（汇总）'!24:24,'利润（汇总）'!$1:$1,D$1,'利润（汇总）'!$2:$2,D$2)</f>
        <v>-46.789994</v>
      </c>
      <c r="E28" s="759">
        <f t="shared" si="97"/>
        <v>-46.789994</v>
      </c>
      <c r="F28" s="759">
        <f>SUMIFS('利润（汇总）'!24:24,'利润（汇总）'!$1:$1,F$1,'利润（汇总）'!$2:$2,F$2)</f>
        <v>375.11237799999998</v>
      </c>
      <c r="G28" s="759">
        <f t="shared" si="98"/>
        <v>375.11237799999998</v>
      </c>
      <c r="H28" s="759">
        <f>SUMIFS('利润（汇总）'!24:24,'利润（汇总）'!$1:$1,H$1,'利润（汇总）'!$2:$2,H$2)</f>
        <v>270.54330199999998</v>
      </c>
      <c r="I28" s="759">
        <f t="shared" si="99"/>
        <v>270.54330199999998</v>
      </c>
      <c r="J28" s="759">
        <f>SUMIFS('利润（汇总）'!24:24,'利润（汇总）'!$1:$1,J$1,'利润（汇总）'!$2:$2,J$2)</f>
        <v>576.86713799999995</v>
      </c>
      <c r="K28" s="759">
        <f t="shared" si="100"/>
        <v>576.86713799999995</v>
      </c>
      <c r="L28" s="759">
        <f>SUMIFS('利润（汇总）'!24:24,'利润（汇总）'!$1:$1,L$1,'利润（汇总）'!$2:$2,L$2)</f>
        <v>329.79532799999998</v>
      </c>
      <c r="M28" s="759">
        <f t="shared" si="101"/>
        <v>329.79532799999998</v>
      </c>
      <c r="N28" s="759">
        <f>SUMIFS('利润（汇总）'!24:24,'利润（汇总）'!$1:$1,N$1,'利润（汇总）'!$2:$2,N$2)</f>
        <v>252.44380799999999</v>
      </c>
      <c r="O28" s="759">
        <f t="shared" si="102"/>
        <v>252.44380799999999</v>
      </c>
      <c r="P28" s="759">
        <f>SUMIFS('利润（汇总）'!24:24,'利润（汇总）'!$1:$1,P$1,'利润（汇总）'!$2:$2,P$2)</f>
        <v>2008.3571159999999</v>
      </c>
      <c r="Q28" s="759">
        <f t="shared" si="103"/>
        <v>2008.3571159999999</v>
      </c>
      <c r="R28" s="759">
        <f>SUMIFS('利润（汇总）'!24:24,'利润（汇总）'!$1:$1,R$1,'利润（汇总）'!$2:$2,R$2)</f>
        <v>1780.2439589999999</v>
      </c>
      <c r="S28" s="759">
        <f t="shared" si="104"/>
        <v>1780.2439589999999</v>
      </c>
      <c r="T28" s="759">
        <f>SUMIFS('利润（汇总）'!24:24,'利润（汇总）'!$1:$1,T$1,'利润（汇总）'!$2:$2,T$2)</f>
        <v>388.041043</v>
      </c>
      <c r="U28" s="759">
        <f t="shared" si="105"/>
        <v>388.041043</v>
      </c>
      <c r="V28" s="759">
        <f>SUMIFS('利润（汇总）'!24:24,'利润（汇总）'!$1:$1,V$1,'利润（汇总）'!$2:$2,V$2)</f>
        <v>132.45702800000001</v>
      </c>
      <c r="W28" s="759">
        <f t="shared" si="106"/>
        <v>132.45702800000001</v>
      </c>
      <c r="X28" s="759">
        <f>SUMIFS('利润（汇总）'!24:24,'利润（汇总）'!$1:$1,X$1,'利润（汇总）'!$2:$2,X$2)</f>
        <v>268.95093500000002</v>
      </c>
      <c r="Y28" s="759">
        <f t="shared" si="107"/>
        <v>268.95093500000002</v>
      </c>
      <c r="Z28" s="759">
        <f>SUMIFS('利润（汇总）'!24:24,'利润（汇总）'!$1:$1,Z$1,'利润（汇总）'!$2:$2,Z$2)</f>
        <v>58.153092000000001</v>
      </c>
      <c r="AA28" s="759">
        <f t="shared" si="108"/>
        <v>58.153092000000001</v>
      </c>
      <c r="AB28" s="759">
        <f>SUMIFS('利润（汇总）'!24:24,'利润（汇总）'!$1:$1,AB$1,'利润（汇总）'!$2:$2,AB$2)</f>
        <v>342.648459</v>
      </c>
      <c r="AC28" s="759">
        <f t="shared" si="109"/>
        <v>342.648459</v>
      </c>
      <c r="AD28" s="759">
        <f>SUMIFS('利润（汇总）'!24:24,'利润（汇总）'!$1:$1,AD$1,'利润（汇总）'!$2:$2,AD$2)</f>
        <v>-265.93599</v>
      </c>
      <c r="AE28" s="759">
        <f t="shared" si="109"/>
        <v>-265.93599</v>
      </c>
      <c r="AF28" s="759">
        <f>SUMIFS('利润（汇总）'!24:24,'利润（汇总）'!$1:$1,AF$1,'利润（汇总）'!$2:$2,AF$2)</f>
        <v>537.73547799999994</v>
      </c>
      <c r="AG28" s="759">
        <f t="shared" si="96"/>
        <v>537.73547799999994</v>
      </c>
      <c r="AH28" s="759">
        <f>SUMIFS('利润（汇总）'!24:24,'利润（汇总）'!$1:$1,AH$1,'利润（汇总）'!$2:$2,AH$2)</f>
        <v>1670.6422669999999</v>
      </c>
      <c r="AI28" s="759">
        <f t="shared" si="85"/>
        <v>1670.6422669999999</v>
      </c>
      <c r="AJ28" s="759">
        <f>SUMIFS('利润（汇总）'!24:24,'利润（汇总）'!$1:$1,AJ$1,'利润（汇总）'!$2:$2,AJ$2)</f>
        <v>2391.9278490000002</v>
      </c>
      <c r="AK28" s="759">
        <f t="shared" si="86"/>
        <v>2391.9278490000002</v>
      </c>
      <c r="AL28" s="759">
        <f>SUMIFS('利润（汇总）'!24:24,'利润（汇总）'!$1:$1,AL$1,'利润（汇总）'!$2:$2,AL$2)</f>
        <v>-442.463841</v>
      </c>
      <c r="AM28" s="759">
        <f t="shared" si="87"/>
        <v>-442.463841</v>
      </c>
      <c r="AN28" s="759">
        <f>SUMIFS('利润（汇总）'!24:24,'利润（汇总）'!$1:$1,AN$1,'利润（汇总）'!$2:$2,AN$2)</f>
        <v>671.60530200000005</v>
      </c>
      <c r="AO28" s="759">
        <f t="shared" si="88"/>
        <v>671.60530200000005</v>
      </c>
      <c r="AP28" s="759">
        <f>SUMIFS('利润（汇总）'!24:24,'利润（汇总）'!$1:$1,AP$1,'利润（汇总）'!$2:$2,AP$2)</f>
        <v>-467</v>
      </c>
      <c r="AQ28" s="759">
        <f t="shared" si="89"/>
        <v>-467</v>
      </c>
      <c r="AR28" s="759">
        <f>SUMIFS('利润（汇总）'!24:24,'利润（汇总）'!$1:$1,AR$1,'利润（汇总）'!$2:$2,AR$2)</f>
        <v>2484</v>
      </c>
      <c r="AS28" s="759">
        <f t="shared" si="90"/>
        <v>2484</v>
      </c>
      <c r="AT28" s="759">
        <f>SUMIFS('利润（汇总）'!24:24,'利润（汇总）'!$1:$1,AT$1,'利润（汇总）'!$2:$2,AT$2)</f>
        <v>0</v>
      </c>
      <c r="AU28" s="759">
        <f t="shared" si="91"/>
        <v>0</v>
      </c>
      <c r="AV28" s="759">
        <f>SUMIFS('利润（汇总）'!24:24,'利润（汇总）'!$1:$1,AV$1,'利润（汇总）'!$2:$2,AV$2)</f>
        <v>0</v>
      </c>
      <c r="AW28" s="759">
        <f t="shared" si="92"/>
        <v>0</v>
      </c>
      <c r="AX28" s="759">
        <f>SUMIFS('利润（汇总）'!24:24,'利润（汇总）'!$1:$1,AX$1,'利润（汇总）'!$2:$2,AX$2)</f>
        <v>0</v>
      </c>
      <c r="AY28" s="759">
        <f t="shared" si="93"/>
        <v>0</v>
      </c>
      <c r="AZ28" s="759">
        <f>SUMIFS('利润（汇总）'!24:24,'利润（汇总）'!$1:$1,AZ$1,'利润（汇总）'!$2:$2,AZ$2)</f>
        <v>0</v>
      </c>
      <c r="BA28" s="759">
        <f t="shared" si="94"/>
        <v>0</v>
      </c>
      <c r="BB28" s="781">
        <f t="shared" si="31"/>
        <v>803.671468</v>
      </c>
      <c r="BC28" s="781">
        <f t="shared" si="32"/>
        <v>803.671468</v>
      </c>
      <c r="BD28" s="781">
        <f t="shared" si="70"/>
        <v>-412.79003133333339</v>
      </c>
      <c r="BE28" s="781"/>
      <c r="BF28" s="788">
        <f t="shared" si="47"/>
        <v>6580.5110649999997</v>
      </c>
      <c r="BG28" s="788">
        <f t="shared" si="48"/>
        <v>6580.5110649999997</v>
      </c>
      <c r="BH28" s="1790">
        <f t="shared" si="33"/>
        <v>1670.6422669999999</v>
      </c>
      <c r="BI28" s="1787">
        <f>'@预测#经营利润#'!F28</f>
        <v>460</v>
      </c>
      <c r="BJ28" s="751">
        <f t="shared" si="35"/>
        <v>1210.6422669999999</v>
      </c>
      <c r="BK28" s="751">
        <f>AA28-'@预测#经营利润#'!F28</f>
        <v>-401.84690799999998</v>
      </c>
      <c r="BL28" s="786"/>
      <c r="BM28" s="788">
        <f t="shared" si="71"/>
        <v>58.153092000000001</v>
      </c>
      <c r="BN28" s="1571">
        <f>'@预测#经营利润#'!E28</f>
        <v>460</v>
      </c>
      <c r="BO28" s="751">
        <f t="shared" si="36"/>
        <v>-401.84690799999998</v>
      </c>
    </row>
    <row r="29" spans="1:67" s="754" customFormat="1" ht="15.6" hidden="1" customHeight="1">
      <c r="A29" s="2027" t="s">
        <v>127</v>
      </c>
      <c r="B29" s="771">
        <v>7693</v>
      </c>
      <c r="C29" s="771">
        <f t="shared" si="34"/>
        <v>641.08333333333337</v>
      </c>
      <c r="D29" s="759">
        <f>SUMIFS('利润（汇总）'!19:19,'利润（汇总）'!$1:$1,D$1,'利润（汇总）'!$2:$2,D$2)</f>
        <v>681.92395199999999</v>
      </c>
      <c r="E29" s="759">
        <f t="shared" si="97"/>
        <v>681.92395199999999</v>
      </c>
      <c r="F29" s="759">
        <f>SUMIFS('利润（汇总）'!19:19,'利润（汇总）'!$1:$1,F$1,'利润（汇总）'!$2:$2,F$2)</f>
        <v>536.69909599999994</v>
      </c>
      <c r="G29" s="759">
        <f t="shared" si="98"/>
        <v>536.69909599999994</v>
      </c>
      <c r="H29" s="759">
        <f>SUMIFS('利润（汇总）'!19:19,'利润（汇总）'!$1:$1,H$1,'利润（汇总）'!$2:$2,H$2)</f>
        <v>392.50344100000001</v>
      </c>
      <c r="I29" s="759">
        <f t="shared" si="99"/>
        <v>392.50344100000001</v>
      </c>
      <c r="J29" s="759">
        <f>SUMIFS('利润（汇总）'!19:19,'利润（汇总）'!$1:$1,J$1,'利润（汇总）'!$2:$2,J$2)</f>
        <v>542.45188399999995</v>
      </c>
      <c r="K29" s="759">
        <f t="shared" si="100"/>
        <v>542.45188399999995</v>
      </c>
      <c r="L29" s="759">
        <f>SUMIFS('利润（汇总）'!19:19,'利润（汇总）'!$1:$1,L$1,'利润（汇总）'!$2:$2,L$2)</f>
        <v>545.63442699999996</v>
      </c>
      <c r="M29" s="759">
        <f t="shared" si="101"/>
        <v>545.63442699999996</v>
      </c>
      <c r="N29" s="759">
        <f>SUMIFS('利润（汇总）'!19:19,'利润（汇总）'!$1:$1,N$1,'利润（汇总）'!$2:$2,N$2)</f>
        <v>589.56273600000009</v>
      </c>
      <c r="O29" s="759">
        <f t="shared" si="102"/>
        <v>589.56273600000009</v>
      </c>
      <c r="P29" s="759">
        <f>SUMIFS('利润（汇总）'!19:19,'利润（汇总）'!$1:$1,P$1,'利润（汇总）'!$2:$2,P$2)</f>
        <v>621.46024299999999</v>
      </c>
      <c r="Q29" s="759">
        <f t="shared" si="103"/>
        <v>621.46024299999999</v>
      </c>
      <c r="R29" s="759">
        <f>SUMIFS('利润（汇总）'!19:19,'利润（汇总）'!$1:$1,R$1,'利润（汇总）'!$2:$2,R$2)</f>
        <v>529.67913899999996</v>
      </c>
      <c r="S29" s="759">
        <f t="shared" si="104"/>
        <v>529.67913899999996</v>
      </c>
      <c r="T29" s="759">
        <f>SUMIFS('利润（汇总）'!19:19,'利润（汇总）'!$1:$1,T$1,'利润（汇总）'!$2:$2,T$2)</f>
        <v>586.548495</v>
      </c>
      <c r="U29" s="759">
        <f t="shared" si="105"/>
        <v>586.548495</v>
      </c>
      <c r="V29" s="759">
        <f>SUMIFS('利润（汇总）'!19:19,'利润（汇总）'!$1:$1,V$1,'利润（汇总）'!$2:$2,V$2)</f>
        <v>534.47716600000012</v>
      </c>
      <c r="W29" s="759">
        <f t="shared" si="106"/>
        <v>534.47716600000012</v>
      </c>
      <c r="X29" s="759">
        <f>SUMIFS('利润（汇总）'!19:19,'利润（汇总）'!$1:$1,X$1,'利润（汇总）'!$2:$2,X$2)</f>
        <v>1056.2750429999999</v>
      </c>
      <c r="Y29" s="759">
        <f t="shared" si="107"/>
        <v>1056.2750429999999</v>
      </c>
      <c r="Z29" s="759">
        <f>SUMIFS('利润（汇总）'!19:19,'利润（汇总）'!$1:$1,Z$1,'利润（汇总）'!$2:$2,Z$2)</f>
        <v>683.79876300000001</v>
      </c>
      <c r="AA29" s="759">
        <f t="shared" si="108"/>
        <v>683.79876300000001</v>
      </c>
      <c r="AB29" s="759">
        <f>SUMIFS('利润（汇总）'!19:19,'利润（汇总）'!$1:$1,AB$1,'利润（汇总）'!$2:$2,AB$2)</f>
        <v>487.17062400000003</v>
      </c>
      <c r="AC29" s="759">
        <f t="shared" si="109"/>
        <v>487.17062400000003</v>
      </c>
      <c r="AD29" s="759">
        <f>SUMIFS('利润（汇总）'!19:19,'利润（汇总）'!$1:$1,AD$1,'利润（汇总）'!$2:$2,AD$2)</f>
        <v>590.66995799999995</v>
      </c>
      <c r="AE29" s="759">
        <f t="shared" si="109"/>
        <v>590.66995799999995</v>
      </c>
      <c r="AF29" s="759">
        <f>SUMIFS('利润（汇总）'!19:19,'利润（汇总）'!$1:$1,AF$1,'利润（汇总）'!$2:$2,AF$2)</f>
        <v>541.288951</v>
      </c>
      <c r="AG29" s="759">
        <f t="shared" si="96"/>
        <v>541.288951</v>
      </c>
      <c r="AH29" s="759">
        <f>SUMIFS('利润（汇总）'!19:19,'利润（汇总）'!$1:$1,AH$1,'利润（汇总）'!$2:$2,AH$2)</f>
        <v>606.97677800000008</v>
      </c>
      <c r="AI29" s="759">
        <f t="shared" si="85"/>
        <v>606.97677800000008</v>
      </c>
      <c r="AJ29" s="759">
        <f>SUMIFS('利润（汇总）'!19:19,'利润（汇总）'!$1:$1,AJ$1,'利润（汇总）'!$2:$2,AJ$2)</f>
        <v>514.768824</v>
      </c>
      <c r="AK29" s="759">
        <f t="shared" si="86"/>
        <v>514.768824</v>
      </c>
      <c r="AL29" s="759">
        <f>SUMIFS('利润（汇总）'!19:19,'利润（汇总）'!$1:$1,AL$1,'利润（汇总）'!$2:$2,AL$2)</f>
        <v>528.25696000000016</v>
      </c>
      <c r="AM29" s="759">
        <f t="shared" si="87"/>
        <v>528.25696000000016</v>
      </c>
      <c r="AN29" s="759">
        <f>SUMIFS('利润（汇总）'!19:19,'利润（汇总）'!$1:$1,AN$1,'利润（汇总）'!$2:$2,AN$2)</f>
        <v>509.53975499999996</v>
      </c>
      <c r="AO29" s="759">
        <f t="shared" si="88"/>
        <v>509.53975499999996</v>
      </c>
      <c r="AP29" s="759">
        <f>SUMIFS('利润（汇总）'!19:19,'利润（汇总）'!$1:$1,AP$1,'利润（汇总）'!$2:$2,AP$2)</f>
        <v>519.64996300000007</v>
      </c>
      <c r="AQ29" s="759">
        <f t="shared" si="89"/>
        <v>519.64996300000007</v>
      </c>
      <c r="AR29" s="759">
        <f>SUMIFS('利润（汇总）'!19:19,'利润（汇总）'!$1:$1,AR$1,'利润（汇总）'!$2:$2,AR$2)</f>
        <v>1246.7662150000001</v>
      </c>
      <c r="AS29" s="759">
        <f t="shared" si="90"/>
        <v>1246.7662150000001</v>
      </c>
      <c r="AT29" s="759">
        <f>SUMIFS('利润（汇总）'!19:19,'利润（汇总）'!$1:$1,AT$1,'利润（汇总）'!$2:$2,AT$2)</f>
        <v>0</v>
      </c>
      <c r="AU29" s="759">
        <f t="shared" si="91"/>
        <v>0</v>
      </c>
      <c r="AV29" s="759">
        <f>SUMIFS('利润（汇总）'!19:19,'利润（汇总）'!$1:$1,AV$1,'利润（汇总）'!$2:$2,AV$2)</f>
        <v>0</v>
      </c>
      <c r="AW29" s="759">
        <f t="shared" si="92"/>
        <v>0</v>
      </c>
      <c r="AX29" s="759">
        <f>SUMIFS('利润（汇总）'!19:19,'利润（汇总）'!$1:$1,AX$1,'利润（汇总）'!$2:$2,AX$2)</f>
        <v>0</v>
      </c>
      <c r="AY29" s="759">
        <f t="shared" si="93"/>
        <v>0</v>
      </c>
      <c r="AZ29" s="759">
        <f>SUMIFS('利润（汇总）'!19:19,'利润（汇总）'!$1:$1,AZ$1,'利润（汇总）'!$2:$2,AZ$2)</f>
        <v>0</v>
      </c>
      <c r="BA29" s="759">
        <f t="shared" si="94"/>
        <v>0</v>
      </c>
      <c r="BB29" s="781">
        <f t="shared" si="31"/>
        <v>-49.381006999999954</v>
      </c>
      <c r="BC29" s="781">
        <f t="shared" si="32"/>
        <v>-49.381006999999954</v>
      </c>
      <c r="BD29" s="781">
        <f t="shared" si="70"/>
        <v>-248.57989233333336</v>
      </c>
      <c r="BE29" s="781"/>
      <c r="BF29" s="788">
        <f t="shared" si="47"/>
        <v>5057.9174039999998</v>
      </c>
      <c r="BG29" s="788">
        <f t="shared" si="48"/>
        <v>5057.9174039999998</v>
      </c>
      <c r="BH29" s="1790">
        <f t="shared" si="33"/>
        <v>606.97677800000008</v>
      </c>
      <c r="BI29" s="1787">
        <f>'@预测#经营利润#'!F29</f>
        <v>532</v>
      </c>
      <c r="BJ29" s="751">
        <f t="shared" si="35"/>
        <v>74.976778000000081</v>
      </c>
      <c r="BK29" s="751">
        <f>AA29-'@预测#经营利润#'!F29</f>
        <v>151.79876300000001</v>
      </c>
      <c r="BL29" s="786"/>
      <c r="BM29" s="788">
        <f t="shared" si="71"/>
        <v>683.79876300000001</v>
      </c>
      <c r="BN29" s="1571">
        <f>'@预测#经营利润#'!E29</f>
        <v>532</v>
      </c>
      <c r="BO29" s="751">
        <f t="shared" si="36"/>
        <v>151.79876300000001</v>
      </c>
    </row>
    <row r="30" spans="1:67" s="754" customFormat="1" ht="15.6" hidden="1" customHeight="1">
      <c r="A30" s="2027" t="s">
        <v>128</v>
      </c>
      <c r="B30" s="771">
        <v>2790</v>
      </c>
      <c r="C30" s="771">
        <f t="shared" si="34"/>
        <v>232.5</v>
      </c>
      <c r="D30" s="759">
        <f>SUMIFS('利润（汇总）'!20:20,'利润（汇总）'!$1:$1,D$1,'利润（汇总）'!$2:$2,D$2)</f>
        <v>218.18092899999999</v>
      </c>
      <c r="E30" s="759">
        <f t="shared" si="97"/>
        <v>218.18092899999999</v>
      </c>
      <c r="F30" s="759">
        <f>SUMIFS('利润（汇总）'!20:20,'利润（汇总）'!$1:$1,F$1,'利润（汇总）'!$2:$2,F$2)</f>
        <v>199.15781200000001</v>
      </c>
      <c r="G30" s="759">
        <f t="shared" si="98"/>
        <v>199.15781200000001</v>
      </c>
      <c r="H30" s="759">
        <f>SUMIFS('利润（汇总）'!20:20,'利润（汇总）'!$1:$1,H$1,'利润（汇总）'!$2:$2,H$2)</f>
        <v>188.17043600000002</v>
      </c>
      <c r="I30" s="759">
        <f t="shared" si="99"/>
        <v>188.17043600000002</v>
      </c>
      <c r="J30" s="759">
        <f>SUMIFS('利润（汇总）'!20:20,'利润（汇总）'!$1:$1,J$1,'利润（汇总）'!$2:$2,J$2)</f>
        <v>200.992952</v>
      </c>
      <c r="K30" s="759">
        <f t="shared" si="100"/>
        <v>200.992952</v>
      </c>
      <c r="L30" s="759">
        <f>SUMIFS('利润（汇总）'!20:20,'利润（汇总）'!$1:$1,L$1,'利润（汇总）'!$2:$2,L$2)</f>
        <v>189.66840400000001</v>
      </c>
      <c r="M30" s="759">
        <f t="shared" si="101"/>
        <v>189.66840400000001</v>
      </c>
      <c r="N30" s="759">
        <f>SUMIFS('利润（汇总）'!20:20,'利润（汇总）'!$1:$1,N$1,'利润（汇总）'!$2:$2,N$2)</f>
        <v>203.69722400000001</v>
      </c>
      <c r="O30" s="759">
        <f t="shared" si="102"/>
        <v>203.69722400000001</v>
      </c>
      <c r="P30" s="759">
        <f>SUMIFS('利润（汇总）'!20:20,'利润（汇总）'!$1:$1,P$1,'利润（汇总）'!$2:$2,P$2)</f>
        <v>192.715114</v>
      </c>
      <c r="Q30" s="759">
        <f t="shared" si="103"/>
        <v>192.715114</v>
      </c>
      <c r="R30" s="759">
        <f>SUMIFS('利润（汇总）'!20:20,'利润（汇总）'!$1:$1,R$1,'利润（汇总）'!$2:$2,R$2)</f>
        <v>447.58292799999992</v>
      </c>
      <c r="S30" s="759">
        <f t="shared" si="104"/>
        <v>447.58292799999992</v>
      </c>
      <c r="T30" s="759">
        <f>SUMIFS('利润（汇总）'!20:20,'利润（汇总）'!$1:$1,T$1,'利润（汇总）'!$2:$2,T$2)</f>
        <v>200.41324699999998</v>
      </c>
      <c r="U30" s="759">
        <f t="shared" si="105"/>
        <v>200.41324699999998</v>
      </c>
      <c r="V30" s="759">
        <f>SUMIFS('利润（汇总）'!20:20,'利润（汇总）'!$1:$1,V$1,'利润（汇总）'!$2:$2,V$2)</f>
        <v>193.19665800000001</v>
      </c>
      <c r="W30" s="759">
        <f t="shared" si="106"/>
        <v>193.19665800000001</v>
      </c>
      <c r="X30" s="759">
        <f>SUMIFS('利润（汇总）'!20:20,'利润（汇总）'!$1:$1,X$1,'利润（汇总）'!$2:$2,X$2)</f>
        <v>194.209633</v>
      </c>
      <c r="Y30" s="759">
        <f t="shared" si="107"/>
        <v>194.209633</v>
      </c>
      <c r="Z30" s="759">
        <f>SUMIFS('利润（汇总）'!20:20,'利润（汇总）'!$1:$1,Z$1,'利润（汇总）'!$2:$2,Z$2)</f>
        <v>196.69546</v>
      </c>
      <c r="AA30" s="759">
        <f t="shared" si="108"/>
        <v>196.69546</v>
      </c>
      <c r="AB30" s="759">
        <f>SUMIFS('利润（汇总）'!20:20,'利润（汇总）'!$1:$1,AB$1,'利润（汇总）'!$2:$2,AB$2)</f>
        <v>201.57822800000002</v>
      </c>
      <c r="AC30" s="759">
        <f t="shared" si="109"/>
        <v>201.57822800000002</v>
      </c>
      <c r="AD30" s="759">
        <f>SUMIFS('利润（汇总）'!20:20,'利润（汇总）'!$1:$1,AD$1,'利润（汇总）'!$2:$2,AD$2)</f>
        <v>189.013588</v>
      </c>
      <c r="AE30" s="759">
        <f t="shared" si="109"/>
        <v>189.013588</v>
      </c>
      <c r="AF30" s="759">
        <f>SUMIFS('利润（汇总）'!20:20,'利润（汇总）'!$1:$1,AF$1,'利润（汇总）'!$2:$2,AF$2)</f>
        <v>184.031507</v>
      </c>
      <c r="AG30" s="759">
        <f t="shared" si="96"/>
        <v>184.031507</v>
      </c>
      <c r="AH30" s="759">
        <f>SUMIFS('利润（汇总）'!20:20,'利润（汇总）'!$1:$1,AH$1,'利润（汇总）'!$2:$2,AH$2)</f>
        <v>203.36912599999999</v>
      </c>
      <c r="AI30" s="759">
        <f t="shared" si="85"/>
        <v>203.36912599999999</v>
      </c>
      <c r="AJ30" s="759">
        <f>SUMIFS('利润（汇总）'!20:20,'利润（汇总）'!$1:$1,AJ$1,'利润（汇总）'!$2:$2,AJ$2)</f>
        <v>188.644261</v>
      </c>
      <c r="AK30" s="759">
        <f t="shared" si="86"/>
        <v>188.644261</v>
      </c>
      <c r="AL30" s="759">
        <f>SUMIFS('利润（汇总）'!20:20,'利润（汇总）'!$1:$1,AL$1,'利润（汇总）'!$2:$2,AL$2)</f>
        <v>208.046953</v>
      </c>
      <c r="AM30" s="759">
        <f t="shared" si="87"/>
        <v>208.046953</v>
      </c>
      <c r="AN30" s="759">
        <f>SUMIFS('利润（汇总）'!20:20,'利润（汇总）'!$1:$1,AN$1,'利润（汇总）'!$2:$2,AN$2)</f>
        <v>206.61284599999999</v>
      </c>
      <c r="AO30" s="759">
        <f t="shared" si="88"/>
        <v>206.61284599999999</v>
      </c>
      <c r="AP30" s="759">
        <f>SUMIFS('利润（汇总）'!20:20,'利润（汇总）'!$1:$1,AP$1,'利润（汇总）'!$2:$2,AP$2)</f>
        <v>195.67499799999999</v>
      </c>
      <c r="AQ30" s="759">
        <f t="shared" si="89"/>
        <v>195.67499799999999</v>
      </c>
      <c r="AR30" s="759">
        <f>SUMIFS('利润（汇总）'!20:20,'利润（汇总）'!$1:$1,AR$1,'利润（汇总）'!$2:$2,AR$2)</f>
        <v>472.78586899999993</v>
      </c>
      <c r="AS30" s="759">
        <f t="shared" si="90"/>
        <v>472.78586899999993</v>
      </c>
      <c r="AT30" s="759">
        <f>SUMIFS('利润（汇总）'!20:20,'利润（汇总）'!$1:$1,AT$1,'利润（汇总）'!$2:$2,AT$2)</f>
        <v>0</v>
      </c>
      <c r="AU30" s="759">
        <f t="shared" si="91"/>
        <v>0</v>
      </c>
      <c r="AV30" s="759">
        <f>SUMIFS('利润（汇总）'!20:20,'利润（汇总）'!$1:$1,AV$1,'利润（汇总）'!$2:$2,AV$2)</f>
        <v>0</v>
      </c>
      <c r="AW30" s="759">
        <f t="shared" si="92"/>
        <v>0</v>
      </c>
      <c r="AX30" s="759">
        <f>SUMIFS('利润（汇总）'!20:20,'利润（汇总）'!$1:$1,AX$1,'利润（汇总）'!$2:$2,AX$2)</f>
        <v>0</v>
      </c>
      <c r="AY30" s="759">
        <f t="shared" si="93"/>
        <v>0</v>
      </c>
      <c r="AZ30" s="759">
        <f>SUMIFS('利润（汇总）'!20:20,'利润（汇总）'!$1:$1,AZ$1,'利润（汇总）'!$2:$2,AZ$2)</f>
        <v>0</v>
      </c>
      <c r="BA30" s="759">
        <f t="shared" si="94"/>
        <v>0</v>
      </c>
      <c r="BB30" s="781">
        <f t="shared" si="31"/>
        <v>-4.9820809999999938</v>
      </c>
      <c r="BC30" s="781">
        <f t="shared" si="32"/>
        <v>-4.9820809999999938</v>
      </c>
      <c r="BD30" s="781">
        <f t="shared" si="70"/>
        <v>-44.329563999999976</v>
      </c>
      <c r="BE30" s="781"/>
      <c r="BF30" s="788">
        <f t="shared" si="47"/>
        <v>1848.1791479999997</v>
      </c>
      <c r="BG30" s="788">
        <f t="shared" si="48"/>
        <v>1848.1791479999997</v>
      </c>
      <c r="BH30" s="1790">
        <f t="shared" si="33"/>
        <v>203.36912599999999</v>
      </c>
      <c r="BI30" s="1787">
        <f>'@预测#经营利润#'!F30</f>
        <v>205</v>
      </c>
      <c r="BJ30" s="751">
        <f t="shared" si="35"/>
        <v>-1.6308740000000057</v>
      </c>
      <c r="BK30" s="751">
        <f>AA30-'@预测#经营利润#'!F30</f>
        <v>-8.3045400000000029</v>
      </c>
      <c r="BL30" s="786"/>
      <c r="BM30" s="788">
        <f t="shared" si="71"/>
        <v>196.69546</v>
      </c>
      <c r="BN30" s="1571">
        <f>'@预测#经营利润#'!E30</f>
        <v>205</v>
      </c>
      <c r="BO30" s="751">
        <f t="shared" si="36"/>
        <v>-8.3045400000000029</v>
      </c>
    </row>
    <row r="31" spans="1:67" s="754" customFormat="1" ht="15.6" hidden="1" customHeight="1">
      <c r="A31" s="2027" t="s">
        <v>129</v>
      </c>
      <c r="B31" s="771">
        <v>2065</v>
      </c>
      <c r="C31" s="771">
        <f t="shared" si="34"/>
        <v>172.08333333333334</v>
      </c>
      <c r="D31" s="759">
        <f>SUMIFS('利润（汇总）'!25:25,'利润（汇总）'!$1:$1,D$1,'利润（汇总）'!$2:$2,D$2)</f>
        <v>107.844399</v>
      </c>
      <c r="E31" s="759">
        <f t="shared" si="97"/>
        <v>107.844399</v>
      </c>
      <c r="F31" s="759">
        <f>SUMIFS('利润（汇总）'!25:25,'利润（汇总）'!$1:$1,F$1,'利润（汇总）'!$2:$2,F$2)</f>
        <v>25.613965</v>
      </c>
      <c r="G31" s="759">
        <f t="shared" si="98"/>
        <v>25.613965</v>
      </c>
      <c r="H31" s="759">
        <f>SUMIFS('利润（汇总）'!25:25,'利润（汇总）'!$1:$1,H$1,'利润（汇总）'!$2:$2,H$2)</f>
        <v>-83.89</v>
      </c>
      <c r="I31" s="759">
        <f t="shared" si="99"/>
        <v>-83.89</v>
      </c>
      <c r="J31" s="759">
        <f>SUMIFS('利润（汇总）'!25:25,'利润（汇总）'!$1:$1,J$1,'利润（汇总）'!$2:$2,J$2)</f>
        <v>-182.09481400000001</v>
      </c>
      <c r="K31" s="759">
        <f t="shared" si="100"/>
        <v>-182.09481400000001</v>
      </c>
      <c r="L31" s="759">
        <f>SUMIFS('利润（汇总）'!25:25,'利润（汇总）'!$1:$1,L$1,'利润（汇总）'!$2:$2,L$2)</f>
        <v>-17.245183000000001</v>
      </c>
      <c r="M31" s="759">
        <f t="shared" si="101"/>
        <v>-17.245183000000001</v>
      </c>
      <c r="N31" s="759">
        <f>SUMIFS('利润（汇总）'!25:25,'利润（汇总）'!$1:$1,N$1,'利润（汇总）'!$2:$2,N$2)</f>
        <v>308.76119299999999</v>
      </c>
      <c r="O31" s="759">
        <f t="shared" si="102"/>
        <v>308.76119299999999</v>
      </c>
      <c r="P31" s="759">
        <f>SUMIFS('利润（汇总）'!25:25,'利润（汇总）'!$1:$1,P$1,'利润（汇总）'!$2:$2,P$2)</f>
        <v>1997.784095</v>
      </c>
      <c r="Q31" s="759">
        <f t="shared" si="103"/>
        <v>1997.784095</v>
      </c>
      <c r="R31" s="759">
        <f>SUMIFS('利润（汇总）'!25:25,'利润（汇总）'!$1:$1,R$1,'利润（汇总）'!$2:$2,R$2)</f>
        <v>26.059640999999999</v>
      </c>
      <c r="S31" s="759">
        <f t="shared" si="104"/>
        <v>26.059640999999999</v>
      </c>
      <c r="T31" s="759">
        <f>SUMIFS('利润（汇总）'!25:25,'利润（汇总）'!$1:$1,T$1,'利润（汇总）'!$2:$2,T$2)</f>
        <v>17.294067999999999</v>
      </c>
      <c r="U31" s="759">
        <f t="shared" si="105"/>
        <v>17.294067999999999</v>
      </c>
      <c r="V31" s="759">
        <f>SUMIFS('利润（汇总）'!25:25,'利润（汇总）'!$1:$1,V$1,'利润（汇总）'!$2:$2,V$2)</f>
        <v>31.401654000000001</v>
      </c>
      <c r="W31" s="759">
        <f t="shared" si="106"/>
        <v>31.401654000000001</v>
      </c>
      <c r="X31" s="759">
        <f>SUMIFS('利润（汇总）'!25:25,'利润（汇总）'!$1:$1,X$1,'利润（汇总）'!$2:$2,X$2)</f>
        <v>8.4818750000000005</v>
      </c>
      <c r="Y31" s="759">
        <f t="shared" si="107"/>
        <v>8.4818750000000005</v>
      </c>
      <c r="Z31" s="759">
        <f>SUMIFS('利润（汇总）'!25:25,'利润（汇总）'!$1:$1,Z$1,'利润（汇总）'!$2:$2,Z$2)</f>
        <v>16.22268</v>
      </c>
      <c r="AA31" s="759">
        <f t="shared" si="108"/>
        <v>16.22268</v>
      </c>
      <c r="AB31" s="759">
        <f>SUMIFS('利润（汇总）'!25:25,'利润（汇总）'!$1:$1,AB$1,'利润（汇总）'!$2:$2,AB$2)</f>
        <v>-323.93014699999998</v>
      </c>
      <c r="AC31" s="759">
        <f t="shared" si="109"/>
        <v>-323.93014699999998</v>
      </c>
      <c r="AD31" s="759">
        <f>SUMIFS('利润（汇总）'!25:25,'利润（汇总）'!$1:$1,AD$1,'利润（汇总）'!$2:$2,AD$2)</f>
        <v>18.403973000000001</v>
      </c>
      <c r="AE31" s="759">
        <f t="shared" si="109"/>
        <v>18.403973000000001</v>
      </c>
      <c r="AF31" s="759">
        <f>SUMIFS('利润（汇总）'!25:25,'利润（汇总）'!$1:$1,AF$1,'利润（汇总）'!$2:$2,AF$2)</f>
        <v>8.3671229999999994</v>
      </c>
      <c r="AG31" s="759">
        <f t="shared" si="96"/>
        <v>8.3671229999999994</v>
      </c>
      <c r="AH31" s="759">
        <f>SUMIFS('利润（汇总）'!25:25,'利润（汇总）'!$1:$1,AH$1,'利润（汇总）'!$2:$2,AH$2)</f>
        <v>277.39925499999998</v>
      </c>
      <c r="AI31" s="759">
        <f t="shared" ref="AI31:AI42" si="110">AH31</f>
        <v>277.39925499999998</v>
      </c>
      <c r="AJ31" s="759">
        <f>SUMIFS('利润（汇总）'!25:25,'利润（汇总）'!$1:$1,AJ$1,'利润（汇总）'!$2:$2,AJ$2)</f>
        <v>87.752548000000004</v>
      </c>
      <c r="AK31" s="759">
        <f t="shared" ref="AK31:AK42" si="111">AJ31</f>
        <v>87.752548000000004</v>
      </c>
      <c r="AL31" s="759">
        <f>SUMIFS('利润（汇总）'!25:25,'利润（汇总）'!$1:$1,AL$1,'利润（汇总）'!$2:$2,AL$2)</f>
        <v>197.06245999999999</v>
      </c>
      <c r="AM31" s="759">
        <f t="shared" ref="AM31:AM42" si="112">AL31</f>
        <v>197.06245999999999</v>
      </c>
      <c r="AN31" s="759">
        <f>SUMIFS('利润（汇总）'!25:25,'利润（汇总）'!$1:$1,AN$1,'利润（汇总）'!$2:$2,AN$2)</f>
        <v>623.22992199999999</v>
      </c>
      <c r="AO31" s="759">
        <f t="shared" ref="AO31:AO42" si="113">AN31</f>
        <v>623.22992199999999</v>
      </c>
      <c r="AP31" s="759">
        <f>SUMIFS('利润（汇总）'!25:25,'利润（汇总）'!$1:$1,AP$1,'利润（汇总）'!$2:$2,AP$2)</f>
        <v>130.30000000000001</v>
      </c>
      <c r="AQ31" s="759">
        <f t="shared" ref="AQ31:AQ42" si="114">AP31</f>
        <v>130.30000000000001</v>
      </c>
      <c r="AR31" s="759">
        <f>SUMIFS('利润（汇总）'!25:25,'利润（汇总）'!$1:$1,AR$1,'利润（汇总）'!$2:$2,AR$2)</f>
        <v>48.7</v>
      </c>
      <c r="AS31" s="759">
        <f t="shared" ref="AS31:AS42" si="115">AR31</f>
        <v>48.7</v>
      </c>
      <c r="AT31" s="759">
        <f>SUMIFS('利润（汇总）'!25:25,'利润（汇总）'!$1:$1,AT$1,'利润（汇总）'!$2:$2,AT$2)</f>
        <v>0</v>
      </c>
      <c r="AU31" s="759">
        <f t="shared" ref="AU31:AU42" si="116">AT31</f>
        <v>0</v>
      </c>
      <c r="AV31" s="759">
        <f>SUMIFS('利润（汇总）'!25:25,'利润（汇总）'!$1:$1,AV$1,'利润（汇总）'!$2:$2,AV$2)</f>
        <v>0</v>
      </c>
      <c r="AW31" s="759">
        <f t="shared" ref="AW31:AW42" si="117">AV31</f>
        <v>0</v>
      </c>
      <c r="AX31" s="759">
        <f>SUMIFS('利润（汇总）'!25:25,'利润（汇总）'!$1:$1,AX$1,'利润（汇总）'!$2:$2,AX$2)</f>
        <v>0</v>
      </c>
      <c r="AY31" s="759">
        <f t="shared" ref="AY31:AY42" si="118">AX31</f>
        <v>0</v>
      </c>
      <c r="AZ31" s="759">
        <f>SUMIFS('利润（汇总）'!25:25,'利润（汇总）'!$1:$1,AZ$1,'利润（汇总）'!$2:$2,AZ$2)</f>
        <v>0</v>
      </c>
      <c r="BA31" s="759">
        <f t="shared" si="94"/>
        <v>0</v>
      </c>
      <c r="BB31" s="781">
        <f t="shared" si="31"/>
        <v>-10.036850000000001</v>
      </c>
      <c r="BC31" s="781">
        <f t="shared" si="32"/>
        <v>-10.036850000000001</v>
      </c>
      <c r="BD31" s="781">
        <f t="shared" si="70"/>
        <v>-255.97333333333336</v>
      </c>
      <c r="BE31" s="781"/>
      <c r="BF31" s="788">
        <f t="shared" si="47"/>
        <v>1391.215281</v>
      </c>
      <c r="BG31" s="788">
        <f t="shared" si="48"/>
        <v>1391.215281</v>
      </c>
      <c r="BH31" s="1790">
        <f t="shared" si="33"/>
        <v>277.39925499999998</v>
      </c>
      <c r="BI31" s="1787">
        <f>'@预测#经营利润#'!F31</f>
        <v>30</v>
      </c>
      <c r="BJ31" s="751">
        <f t="shared" si="35"/>
        <v>247.39925499999998</v>
      </c>
      <c r="BK31" s="751">
        <f>AA31-'@预测#经营利润#'!F31</f>
        <v>-13.77732</v>
      </c>
      <c r="BL31" s="786"/>
      <c r="BM31" s="788">
        <f t="shared" si="71"/>
        <v>16.22268</v>
      </c>
      <c r="BN31" s="1571">
        <f>'@预测#经营利润#'!E31</f>
        <v>30</v>
      </c>
      <c r="BO31" s="751">
        <f t="shared" si="36"/>
        <v>-13.77732</v>
      </c>
    </row>
    <row r="32" spans="1:67" s="754" customFormat="1" ht="15.6" hidden="1" customHeight="1">
      <c r="A32" s="2027" t="s">
        <v>130</v>
      </c>
      <c r="B32" s="771">
        <v>1700</v>
      </c>
      <c r="C32" s="771">
        <f t="shared" si="34"/>
        <v>141.66666666666666</v>
      </c>
      <c r="D32" s="759">
        <f>SUMIFS('利润（汇总）'!26:26,'利润（汇总）'!$1:$1,D$1,'利润（汇总）'!$2:$2,D$2)</f>
        <v>312.885267</v>
      </c>
      <c r="E32" s="759">
        <f t="shared" si="97"/>
        <v>312.885267</v>
      </c>
      <c r="F32" s="759">
        <f>SUMIFS('利润（汇总）'!26:26,'利润（汇总）'!$1:$1,F$1,'利润（汇总）'!$2:$2,F$2)</f>
        <v>156.51006000000001</v>
      </c>
      <c r="G32" s="759">
        <f t="shared" si="98"/>
        <v>156.51006000000001</v>
      </c>
      <c r="H32" s="759">
        <f>SUMIFS('利润（汇总）'!26:26,'利润（汇总）'!$1:$1,H$1,'利润（汇总）'!$2:$2,H$2)</f>
        <v>-137.509118</v>
      </c>
      <c r="I32" s="759">
        <f t="shared" si="99"/>
        <v>-137.509118</v>
      </c>
      <c r="J32" s="759">
        <f>SUMIFS('利润（汇总）'!26:26,'利润（汇总）'!$1:$1,J$1,'利润（汇总）'!$2:$2,J$2)</f>
        <v>-93.540043999999995</v>
      </c>
      <c r="K32" s="759">
        <f t="shared" si="100"/>
        <v>-93.540043999999995</v>
      </c>
      <c r="L32" s="759">
        <f>SUMIFS('利润（汇总）'!26:26,'利润（汇总）'!$1:$1,L$1,'利润（汇总）'!$2:$2,L$2)</f>
        <v>-4.7230569999999998</v>
      </c>
      <c r="M32" s="759">
        <f t="shared" si="101"/>
        <v>-4.7230569999999998</v>
      </c>
      <c r="N32" s="759">
        <f>SUMIFS('利润（汇总）'!26:26,'利润（汇总）'!$1:$1,N$1,'利润（汇总）'!$2:$2,N$2)</f>
        <v>125.585503</v>
      </c>
      <c r="O32" s="759">
        <f t="shared" si="102"/>
        <v>125.585503</v>
      </c>
      <c r="P32" s="759">
        <f>SUMIFS('利润（汇总）'!26:26,'利润（汇总）'!$1:$1,P$1,'利润（汇总）'!$2:$2,P$2)</f>
        <v>204.125685</v>
      </c>
      <c r="Q32" s="759">
        <f t="shared" si="103"/>
        <v>204.125685</v>
      </c>
      <c r="R32" s="759">
        <f>SUMIFS('利润（汇总）'!26:26,'利润（汇总）'!$1:$1,R$1,'利润（汇总）'!$2:$2,R$2)</f>
        <v>133.208212</v>
      </c>
      <c r="S32" s="759">
        <f t="shared" si="104"/>
        <v>133.208212</v>
      </c>
      <c r="T32" s="759">
        <f>SUMIFS('利润（汇总）'!26:26,'利润（汇总）'!$1:$1,T$1,'利润（汇总）'!$2:$2,T$2)</f>
        <v>121.278504</v>
      </c>
      <c r="U32" s="759">
        <f t="shared" si="105"/>
        <v>121.278504</v>
      </c>
      <c r="V32" s="759">
        <f>SUMIFS('利润（汇总）'!26:26,'利润（汇总）'!$1:$1,V$1,'利润（汇总）'!$2:$2,V$2)</f>
        <v>213.29401799999999</v>
      </c>
      <c r="W32" s="759">
        <f t="shared" si="106"/>
        <v>213.29401799999999</v>
      </c>
      <c r="X32" s="759">
        <f>SUMIFS('利润（汇总）'!26:26,'利润（汇总）'!$1:$1,X$1,'利润（汇总）'!$2:$2,X$2)</f>
        <v>81.092710999999994</v>
      </c>
      <c r="Y32" s="759">
        <f t="shared" si="107"/>
        <v>81.092710999999994</v>
      </c>
      <c r="Z32" s="759">
        <f>SUMIFS('利润（汇总）'!26:26,'利润（汇总）'!$1:$1,Z$1,'利润（汇总）'!$2:$2,Z$2)</f>
        <v>108.880985</v>
      </c>
      <c r="AA32" s="759">
        <f t="shared" si="108"/>
        <v>108.880985</v>
      </c>
      <c r="AB32" s="759">
        <f>SUMIFS('利润（汇总）'!26:26,'利润（汇总）'!$1:$1,AB$1,'利润（汇总）'!$2:$2,AB$2)</f>
        <v>-2901.8508430000002</v>
      </c>
      <c r="AC32" s="759">
        <f t="shared" si="109"/>
        <v>-2901.8508430000002</v>
      </c>
      <c r="AD32" s="759">
        <f>SUMIFS('利润（汇总）'!26:26,'利润（汇总）'!$1:$1,AD$1,'利润（汇总）'!$2:$2,AD$2)</f>
        <v>125.468863</v>
      </c>
      <c r="AE32" s="759">
        <f t="shared" si="109"/>
        <v>125.468863</v>
      </c>
      <c r="AF32" s="759">
        <f>SUMIFS('利润（汇总）'!26:26,'利润（汇总）'!$1:$1,AF$1,'利润（汇总）'!$2:$2,AF$2)</f>
        <v>129.352586</v>
      </c>
      <c r="AG32" s="759">
        <f t="shared" si="96"/>
        <v>129.352586</v>
      </c>
      <c r="AH32" s="759">
        <f>SUMIFS('利润（汇总）'!26:26,'利润（汇总）'!$1:$1,AH$1,'利润（汇总）'!$2:$2,AH$2)</f>
        <v>192.22763800000001</v>
      </c>
      <c r="AI32" s="759">
        <f t="shared" si="110"/>
        <v>192.22763800000001</v>
      </c>
      <c r="AJ32" s="759">
        <f>SUMIFS('利润（汇总）'!26:26,'利润（汇总）'!$1:$1,AJ$1,'利润（汇总）'!$2:$2,AJ$2)</f>
        <v>168.53474399999999</v>
      </c>
      <c r="AK32" s="759">
        <f t="shared" si="111"/>
        <v>168.53474399999999</v>
      </c>
      <c r="AL32" s="759">
        <f>SUMIFS('利润（汇总）'!26:26,'利润（汇总）'!$1:$1,AL$1,'利润（汇总）'!$2:$2,AL$2)</f>
        <v>151.22020499999999</v>
      </c>
      <c r="AM32" s="759">
        <f t="shared" si="112"/>
        <v>151.22020499999999</v>
      </c>
      <c r="AN32" s="759">
        <f>SUMIFS('利润（汇总）'!26:26,'利润（汇总）'!$1:$1,AN$1,'利润（汇总）'!$2:$2,AN$2)</f>
        <v>281.73851300000001</v>
      </c>
      <c r="AO32" s="759">
        <f t="shared" si="113"/>
        <v>281.73851300000001</v>
      </c>
      <c r="AP32" s="759">
        <f>SUMIFS('利润（汇总）'!26:26,'利润（汇总）'!$1:$1,AP$1,'利润（汇总）'!$2:$2,AP$2)</f>
        <v>112.7</v>
      </c>
      <c r="AQ32" s="759">
        <f t="shared" si="114"/>
        <v>112.7</v>
      </c>
      <c r="AR32" s="759">
        <f>SUMIFS('利润（汇总）'!26:26,'利润（汇总）'!$1:$1,AR$1,'利润（汇总）'!$2:$2,AR$2)</f>
        <v>197</v>
      </c>
      <c r="AS32" s="759">
        <f t="shared" si="115"/>
        <v>197</v>
      </c>
      <c r="AT32" s="759">
        <f>SUMIFS('利润（汇总）'!26:26,'利润（汇总）'!$1:$1,AT$1,'利润（汇总）'!$2:$2,AT$2)</f>
        <v>0</v>
      </c>
      <c r="AU32" s="759">
        <f t="shared" si="116"/>
        <v>0</v>
      </c>
      <c r="AV32" s="759">
        <f>SUMIFS('利润（汇总）'!26:26,'利润（汇总）'!$1:$1,AV$1,'利润（汇总）'!$2:$2,AV$2)</f>
        <v>0</v>
      </c>
      <c r="AW32" s="759">
        <f t="shared" si="117"/>
        <v>0</v>
      </c>
      <c r="AX32" s="759">
        <f>SUMIFS('利润（汇总）'!26:26,'利润（汇总）'!$1:$1,AX$1,'利润（汇总）'!$2:$2,AX$2)</f>
        <v>0</v>
      </c>
      <c r="AY32" s="759">
        <f t="shared" si="118"/>
        <v>0</v>
      </c>
      <c r="AZ32" s="759">
        <f>SUMIFS('利润（汇总）'!26:26,'利润（汇总）'!$1:$1,AZ$1,'利润（汇总）'!$2:$2,AZ$2)</f>
        <v>0</v>
      </c>
      <c r="BA32" s="759">
        <f t="shared" si="94"/>
        <v>0</v>
      </c>
      <c r="BB32" s="781">
        <f t="shared" si="31"/>
        <v>3.8837230000000034</v>
      </c>
      <c r="BC32" s="781">
        <f t="shared" si="32"/>
        <v>3.8837230000000034</v>
      </c>
      <c r="BD32" s="781">
        <f t="shared" si="70"/>
        <v>-279.17578466666669</v>
      </c>
      <c r="BE32" s="781"/>
      <c r="BF32" s="788">
        <f t="shared" si="47"/>
        <v>1358.2425489999998</v>
      </c>
      <c r="BG32" s="788">
        <f t="shared" si="48"/>
        <v>1358.2425489999998</v>
      </c>
      <c r="BH32" s="1790">
        <f t="shared" si="33"/>
        <v>192.22763800000001</v>
      </c>
      <c r="BI32" s="1787">
        <f>'@预测#经营利润#'!F32</f>
        <v>176</v>
      </c>
      <c r="BJ32" s="751">
        <f t="shared" si="35"/>
        <v>16.227638000000013</v>
      </c>
      <c r="BK32" s="751">
        <f>AA32-'@预测#经营利润#'!F32</f>
        <v>-67.119015000000005</v>
      </c>
      <c r="BL32" s="786"/>
      <c r="BM32" s="788">
        <f t="shared" si="71"/>
        <v>108.880985</v>
      </c>
      <c r="BN32" s="1571">
        <f>'@预测#经营利润#'!E32</f>
        <v>176</v>
      </c>
      <c r="BO32" s="751">
        <f t="shared" si="36"/>
        <v>-67.119015000000005</v>
      </c>
    </row>
    <row r="33" spans="1:67" s="754" customFormat="1" ht="15.6" hidden="1" customHeight="1">
      <c r="A33" s="2027" t="s">
        <v>131</v>
      </c>
      <c r="B33" s="771">
        <v>1118</v>
      </c>
      <c r="C33" s="771">
        <f t="shared" si="34"/>
        <v>93.166666666666671</v>
      </c>
      <c r="D33" s="759">
        <f>SUMIFS('利润（汇总）'!27:27,'利润（汇总）'!$1:$1,D$1,'利润（汇总）'!$2:$2,D$2)</f>
        <v>-585.08149400000002</v>
      </c>
      <c r="E33" s="759">
        <f t="shared" si="97"/>
        <v>-585.08149400000002</v>
      </c>
      <c r="F33" s="759">
        <f>SUMIFS('利润（汇总）'!27:27,'利润（汇总）'!$1:$1,F$1,'利润（汇总）'!$2:$2,F$2)</f>
        <v>-205.53807599999999</v>
      </c>
      <c r="G33" s="759">
        <f t="shared" si="98"/>
        <v>-205.53807599999999</v>
      </c>
      <c r="H33" s="759">
        <f>SUMIFS('利润（汇总）'!27:27,'利润（汇总）'!$1:$1,H$1,'利润（汇总）'!$2:$2,H$2)</f>
        <v>-277.82237400000002</v>
      </c>
      <c r="I33" s="759">
        <f t="shared" si="99"/>
        <v>-277.82237400000002</v>
      </c>
      <c r="J33" s="759">
        <f>SUMIFS('利润（汇总）'!27:27,'利润（汇总）'!$1:$1,J$1,'利润（汇总）'!$2:$2,J$2)</f>
        <v>274.806622</v>
      </c>
      <c r="K33" s="759">
        <f t="shared" si="100"/>
        <v>274.806622</v>
      </c>
      <c r="L33" s="759">
        <f>SUMIFS('利润（汇总）'!27:27,'利润（汇总）'!$1:$1,L$1,'利润（汇总）'!$2:$2,L$2)</f>
        <v>-105.27981699999999</v>
      </c>
      <c r="M33" s="759">
        <f t="shared" si="101"/>
        <v>-105.27981699999999</v>
      </c>
      <c r="N33" s="759">
        <f>SUMIFS('利润（汇总）'!27:27,'利润（汇总）'!$1:$1,N$1,'利润（汇总）'!$2:$2,N$2)</f>
        <v>-93.286597999999998</v>
      </c>
      <c r="O33" s="759">
        <f t="shared" si="102"/>
        <v>-93.286597999999998</v>
      </c>
      <c r="P33" s="759">
        <f>SUMIFS('利润（汇总）'!27:27,'利润（汇总）'!$1:$1,P$1,'利润（汇总）'!$2:$2,P$2)</f>
        <v>0.49211700000000003</v>
      </c>
      <c r="Q33" s="759">
        <f t="shared" si="103"/>
        <v>0.49211700000000003</v>
      </c>
      <c r="R33" s="759">
        <f>SUMIFS('利润（汇总）'!27:27,'利润（汇总）'!$1:$1,R$1,'利润（汇总）'!$2:$2,R$2)</f>
        <v>73.594469000000004</v>
      </c>
      <c r="S33" s="759">
        <f t="shared" si="104"/>
        <v>73.594469000000004</v>
      </c>
      <c r="T33" s="759">
        <f>SUMIFS('利润（汇总）'!27:27,'利润（汇总）'!$1:$1,T$1,'利润（汇总）'!$2:$2,T$2)</f>
        <v>-69.551568000000003</v>
      </c>
      <c r="U33" s="759">
        <f t="shared" si="105"/>
        <v>-69.551568000000003</v>
      </c>
      <c r="V33" s="759">
        <f>SUMIFS('利润（汇总）'!27:27,'利润（汇总）'!$1:$1,V$1,'利润（汇总）'!$2:$2,V$2)</f>
        <v>-63.262107</v>
      </c>
      <c r="W33" s="759">
        <f t="shared" si="106"/>
        <v>-63.262107</v>
      </c>
      <c r="X33" s="759">
        <f>SUMIFS('利润（汇总）'!27:27,'利润（汇总）'!$1:$1,X$1,'利润（汇总）'!$2:$2,X$2)</f>
        <v>-304.07730099999998</v>
      </c>
      <c r="Y33" s="759">
        <f t="shared" si="107"/>
        <v>-304.07730099999998</v>
      </c>
      <c r="Z33" s="759">
        <f>SUMIFS('利润（汇总）'!27:27,'利润（汇总）'!$1:$1,Z$1,'利润（汇总）'!$2:$2,Z$2)</f>
        <v>-196.49483699999999</v>
      </c>
      <c r="AA33" s="759">
        <f t="shared" si="108"/>
        <v>-196.49483699999999</v>
      </c>
      <c r="AB33" s="759">
        <f>SUMIFS('利润（汇总）'!27:27,'利润（汇总）'!$1:$1,AB$1,'利润（汇总）'!$2:$2,AB$2)</f>
        <v>-675.92640900000004</v>
      </c>
      <c r="AC33" s="759">
        <f t="shared" si="109"/>
        <v>-675.92640900000004</v>
      </c>
      <c r="AD33" s="759">
        <f>SUMIFS('利润（汇总）'!27:27,'利润（汇总）'!$1:$1,AD$1,'利润（汇总）'!$2:$2,AD$2)</f>
        <v>41.265281000000002</v>
      </c>
      <c r="AE33" s="759">
        <f t="shared" si="109"/>
        <v>41.265281000000002</v>
      </c>
      <c r="AF33" s="759">
        <f>SUMIFS('利润（汇总）'!27:27,'利润（汇总）'!$1:$1,AF$1,'利润（汇总）'!$2:$2,AF$2)</f>
        <v>-38.247683000000002</v>
      </c>
      <c r="AG33" s="759">
        <f t="shared" si="96"/>
        <v>-38.247683000000002</v>
      </c>
      <c r="AH33" s="759">
        <f>SUMIFS('利润（汇总）'!27:27,'利润（汇总）'!$1:$1,AH$1,'利润（汇总）'!$2:$2,AH$2)</f>
        <v>80.685404000000005</v>
      </c>
      <c r="AI33" s="759">
        <f t="shared" si="110"/>
        <v>80.685404000000005</v>
      </c>
      <c r="AJ33" s="759">
        <f>SUMIFS('利润（汇总）'!27:27,'利润（汇总）'!$1:$1,AJ$1,'利润（汇总）'!$2:$2,AJ$2)</f>
        <v>38.475476999999998</v>
      </c>
      <c r="AK33" s="759">
        <f t="shared" si="111"/>
        <v>38.475476999999998</v>
      </c>
      <c r="AL33" s="759">
        <f>SUMIFS('利润（汇总）'!27:27,'利润（汇总）'!$1:$1,AL$1,'利润（汇总）'!$2:$2,AL$2)</f>
        <v>24.764901999999999</v>
      </c>
      <c r="AM33" s="759">
        <f t="shared" si="112"/>
        <v>24.764901999999999</v>
      </c>
      <c r="AN33" s="759">
        <f>SUMIFS('利润（汇总）'!27:27,'利润（汇总）'!$1:$1,AN$1,'利润（汇总）'!$2:$2,AN$2)</f>
        <v>108.696984</v>
      </c>
      <c r="AO33" s="759">
        <f t="shared" si="113"/>
        <v>108.696984</v>
      </c>
      <c r="AP33" s="759">
        <f>SUMIFS('利润（汇总）'!27:27,'利润（汇总）'!$1:$1,AP$1,'利润（汇总）'!$2:$2,AP$2)</f>
        <v>-101.637</v>
      </c>
      <c r="AQ33" s="759">
        <f t="shared" si="114"/>
        <v>-101.637</v>
      </c>
      <c r="AR33" s="759">
        <f>SUMIFS('利润（汇总）'!27:27,'利润（汇总）'!$1:$1,AR$1,'利润（汇总）'!$2:$2,AR$2)</f>
        <v>13</v>
      </c>
      <c r="AS33" s="759">
        <f t="shared" si="115"/>
        <v>13</v>
      </c>
      <c r="AT33" s="759">
        <f>SUMIFS('利润（汇总）'!27:27,'利润（汇总）'!$1:$1,AT$1,'利润（汇总）'!$2:$2,AT$2)</f>
        <v>0</v>
      </c>
      <c r="AU33" s="759">
        <f t="shared" si="116"/>
        <v>0</v>
      </c>
      <c r="AV33" s="759">
        <f>SUMIFS('利润（汇总）'!27:27,'利润（汇总）'!$1:$1,AV$1,'利润（汇总）'!$2:$2,AV$2)</f>
        <v>0</v>
      </c>
      <c r="AW33" s="759">
        <f t="shared" si="117"/>
        <v>0</v>
      </c>
      <c r="AX33" s="759">
        <f>SUMIFS('利润（汇总）'!27:27,'利润（汇总）'!$1:$1,AX$1,'利润（汇总）'!$2:$2,AX$2)</f>
        <v>0</v>
      </c>
      <c r="AY33" s="759">
        <f t="shared" si="118"/>
        <v>0</v>
      </c>
      <c r="AZ33" s="759">
        <f>SUMIFS('利润（汇总）'!27:27,'利润（汇总）'!$1:$1,AZ$1,'利润（汇总）'!$2:$2,AZ$2)</f>
        <v>0</v>
      </c>
      <c r="BA33" s="759">
        <f t="shared" si="94"/>
        <v>0</v>
      </c>
      <c r="BB33" s="781">
        <f t="shared" si="31"/>
        <v>-79.512964000000011</v>
      </c>
      <c r="BC33" s="781">
        <f t="shared" si="32"/>
        <v>-79.512964000000011</v>
      </c>
      <c r="BD33" s="781">
        <f t="shared" si="70"/>
        <v>-370.98904066666671</v>
      </c>
      <c r="BE33" s="781"/>
      <c r="BF33" s="788">
        <f t="shared" si="47"/>
        <v>167.00336499999997</v>
      </c>
      <c r="BG33" s="788">
        <f t="shared" si="48"/>
        <v>167.00336499999997</v>
      </c>
      <c r="BH33" s="1790">
        <f t="shared" si="33"/>
        <v>80.685404000000005</v>
      </c>
      <c r="BI33" s="1787">
        <f>'@预测#经营利润#'!F33</f>
        <v>151</v>
      </c>
      <c r="BJ33" s="751">
        <f t="shared" si="35"/>
        <v>-70.314595999999995</v>
      </c>
      <c r="BK33" s="751">
        <f>AA33-'@预测#经营利润#'!F33</f>
        <v>-347.49483699999996</v>
      </c>
      <c r="BL33" s="786"/>
      <c r="BM33" s="788">
        <f t="shared" si="71"/>
        <v>-196.49483699999999</v>
      </c>
      <c r="BN33" s="1571">
        <f>'@预测#经营利润#'!E33</f>
        <v>151</v>
      </c>
      <c r="BO33" s="751">
        <f t="shared" si="36"/>
        <v>-347.49483699999996</v>
      </c>
    </row>
    <row r="34" spans="1:67" s="754" customFormat="1" ht="15.6" hidden="1" customHeight="1">
      <c r="A34" s="2027" t="s">
        <v>132</v>
      </c>
      <c r="B34" s="771">
        <v>3350</v>
      </c>
      <c r="C34" s="771">
        <f t="shared" si="34"/>
        <v>279.16666666666669</v>
      </c>
      <c r="D34" s="759">
        <f>SUMIFS('利润（汇总）'!28:28,'利润（汇总）'!$1:$1,D$1,'利润（汇总）'!$2:$2,D$2)</f>
        <v>393.97587600000003</v>
      </c>
      <c r="E34" s="759">
        <f t="shared" si="97"/>
        <v>393.97587600000003</v>
      </c>
      <c r="F34" s="759">
        <f>SUMIFS('利润（汇总）'!28:28,'利润（汇总）'!$1:$1,F$1,'利润（汇总）'!$2:$2,F$2)</f>
        <v>315.11504500000001</v>
      </c>
      <c r="G34" s="759">
        <f t="shared" si="98"/>
        <v>315.11504500000001</v>
      </c>
      <c r="H34" s="759">
        <f>SUMIFS('利润（汇总）'!28:28,'利润（汇总）'!$1:$1,H$1,'利润（汇总）'!$2:$2,H$2)</f>
        <v>-386.85790400000002</v>
      </c>
      <c r="I34" s="759">
        <f t="shared" si="99"/>
        <v>-386.85790400000002</v>
      </c>
      <c r="J34" s="759">
        <f>SUMIFS('利润（汇总）'!28:28,'利润（汇总）'!$1:$1,J$1,'利润（汇总）'!$2:$2,J$2)</f>
        <v>-370.43370900000002</v>
      </c>
      <c r="K34" s="759">
        <f t="shared" si="100"/>
        <v>-370.43370900000002</v>
      </c>
      <c r="L34" s="759">
        <f>SUMIFS('利润（汇总）'!28:28,'利润（汇总）'!$1:$1,L$1,'利润（汇总）'!$2:$2,L$2)</f>
        <v>62.205525999999999</v>
      </c>
      <c r="M34" s="759">
        <f t="shared" si="101"/>
        <v>62.205525999999999</v>
      </c>
      <c r="N34" s="759">
        <f>SUMIFS('利润（汇总）'!28:28,'利润（汇总）'!$1:$1,N$1,'利润（汇总）'!$2:$2,N$2)</f>
        <v>612.194388</v>
      </c>
      <c r="O34" s="759">
        <f t="shared" si="102"/>
        <v>612.194388</v>
      </c>
      <c r="P34" s="759">
        <f>SUMIFS('利润（汇总）'!28:28,'利润（汇总）'!$1:$1,P$1,'利润（汇总）'!$2:$2,P$2)</f>
        <v>637.24973599999998</v>
      </c>
      <c r="Q34" s="759">
        <f t="shared" si="103"/>
        <v>637.24973599999998</v>
      </c>
      <c r="R34" s="759">
        <f>SUMIFS('利润（汇总）'!28:28,'利润（汇总）'!$1:$1,R$1,'利润（汇总）'!$2:$2,R$2)</f>
        <v>227.208459</v>
      </c>
      <c r="S34" s="759">
        <f t="shared" si="104"/>
        <v>227.208459</v>
      </c>
      <c r="T34" s="759">
        <f>SUMIFS('利润（汇总）'!28:28,'利润（汇总）'!$1:$1,T$1,'利润（汇总）'!$2:$2,T$2)</f>
        <v>87.828836999999993</v>
      </c>
      <c r="U34" s="759">
        <f t="shared" si="105"/>
        <v>87.828836999999993</v>
      </c>
      <c r="V34" s="759">
        <f>SUMIFS('利润（汇总）'!28:28,'利润（汇总）'!$1:$1,V$1,'利润（汇总）'!$2:$2,V$2)</f>
        <v>291.86843800000003</v>
      </c>
      <c r="W34" s="759">
        <f t="shared" si="106"/>
        <v>291.86843800000003</v>
      </c>
      <c r="X34" s="759">
        <f>SUMIFS('利润（汇总）'!28:28,'利润（汇总）'!$1:$1,X$1,'利润（汇总）'!$2:$2,X$2)</f>
        <v>386.92460199999999</v>
      </c>
      <c r="Y34" s="759">
        <f t="shared" si="107"/>
        <v>386.92460199999999</v>
      </c>
      <c r="Z34" s="759">
        <f>SUMIFS('利润（汇总）'!28:28,'利润（汇总）'!$1:$1,Z$1,'利润（汇总）'!$2:$2,Z$2)</f>
        <v>260.810858</v>
      </c>
      <c r="AA34" s="759">
        <f t="shared" si="108"/>
        <v>260.810858</v>
      </c>
      <c r="AB34" s="759">
        <f>SUMIFS('利润（汇总）'!28:28,'利润（汇总）'!$1:$1,AB$1,'利润（汇总）'!$2:$2,AB$2)</f>
        <v>-68.039482000000007</v>
      </c>
      <c r="AC34" s="759">
        <f t="shared" si="109"/>
        <v>-68.039482000000007</v>
      </c>
      <c r="AD34" s="759">
        <f>SUMIFS('利润（汇总）'!28:28,'利润（汇总）'!$1:$1,AD$1,'利润（汇总）'!$2:$2,AD$2)</f>
        <v>-104.16</v>
      </c>
      <c r="AE34" s="759">
        <f t="shared" si="109"/>
        <v>-104.16</v>
      </c>
      <c r="AF34" s="759">
        <f>SUMIFS('利润（汇总）'!28:28,'利润（汇总）'!$1:$1,AF$1,'利润（汇总）'!$2:$2,AF$2)</f>
        <v>-167.04862600000001</v>
      </c>
      <c r="AG34" s="759">
        <f t="shared" si="96"/>
        <v>-167.04862600000001</v>
      </c>
      <c r="AH34" s="759">
        <f>SUMIFS('利润（汇总）'!28:28,'利润（汇总）'!$1:$1,AH$1,'利润（汇总）'!$2:$2,AH$2)</f>
        <v>560.68390399999998</v>
      </c>
      <c r="AI34" s="759">
        <f t="shared" si="110"/>
        <v>560.68390399999998</v>
      </c>
      <c r="AJ34" s="759">
        <f>SUMIFS('利润（汇总）'!28:28,'利润（汇总）'!$1:$1,AJ$1,'利润（汇总）'!$2:$2,AJ$2)</f>
        <v>-86.663319999999999</v>
      </c>
      <c r="AK34" s="759">
        <f t="shared" si="111"/>
        <v>-86.663319999999999</v>
      </c>
      <c r="AL34" s="759">
        <f>SUMIFS('利润（汇总）'!28:28,'利润（汇总）'!$1:$1,AL$1,'利润（汇总）'!$2:$2,AL$2)</f>
        <v>392.07484599999998</v>
      </c>
      <c r="AM34" s="759">
        <f t="shared" si="112"/>
        <v>392.07484599999998</v>
      </c>
      <c r="AN34" s="759">
        <f>SUMIFS('利润（汇总）'!28:28,'利润（汇总）'!$1:$1,AN$1,'利润（汇总）'!$2:$2,AN$2)</f>
        <v>601.29879200000005</v>
      </c>
      <c r="AO34" s="759">
        <f t="shared" si="113"/>
        <v>601.29879200000005</v>
      </c>
      <c r="AP34" s="759">
        <f>SUMIFS('利润（汇总）'!28:28,'利润（汇总）'!$1:$1,AP$1,'利润（汇总）'!$2:$2,AP$2)</f>
        <v>-191.368336</v>
      </c>
      <c r="AQ34" s="759">
        <f t="shared" si="114"/>
        <v>-191.368336</v>
      </c>
      <c r="AR34" s="759">
        <f>SUMIFS('利润（汇总）'!28:28,'利润（汇总）'!$1:$1,AR$1,'利润（汇总）'!$2:$2,AR$2)</f>
        <v>61.28</v>
      </c>
      <c r="AS34" s="759">
        <f t="shared" si="115"/>
        <v>61.28</v>
      </c>
      <c r="AT34" s="759">
        <f>SUMIFS('利润（汇总）'!28:28,'利润（汇总）'!$1:$1,AT$1,'利润（汇总）'!$2:$2,AT$2)</f>
        <v>0</v>
      </c>
      <c r="AU34" s="759">
        <f t="shared" si="116"/>
        <v>0</v>
      </c>
      <c r="AV34" s="759">
        <f>SUMIFS('利润（汇总）'!28:28,'利润（汇总）'!$1:$1,AV$1,'利润（汇总）'!$2:$2,AV$2)</f>
        <v>0</v>
      </c>
      <c r="AW34" s="759">
        <f t="shared" si="117"/>
        <v>0</v>
      </c>
      <c r="AX34" s="759">
        <f>SUMIFS('利润（汇总）'!28:28,'利润（汇总）'!$1:$1,AX$1,'利润（汇总）'!$2:$2,AX$2)</f>
        <v>0</v>
      </c>
      <c r="AY34" s="759">
        <f t="shared" si="118"/>
        <v>0</v>
      </c>
      <c r="AZ34" s="759">
        <f>SUMIFS('利润（汇总）'!28:28,'利润（汇总）'!$1:$1,AZ$1,'利润（汇总）'!$2:$2,AZ$2)</f>
        <v>0</v>
      </c>
      <c r="BA34" s="759">
        <f t="shared" si="94"/>
        <v>0</v>
      </c>
      <c r="BB34" s="781">
        <f t="shared" si="31"/>
        <v>-62.888626000000016</v>
      </c>
      <c r="BC34" s="781">
        <f t="shared" si="32"/>
        <v>-62.888626000000016</v>
      </c>
      <c r="BD34" s="781">
        <f t="shared" si="70"/>
        <v>-666.0245706666667</v>
      </c>
      <c r="BE34" s="781"/>
      <c r="BF34" s="788">
        <f t="shared" si="47"/>
        <v>1066.09726</v>
      </c>
      <c r="BG34" s="788">
        <f t="shared" si="48"/>
        <v>1066.09726</v>
      </c>
      <c r="BH34" s="1790">
        <f t="shared" si="33"/>
        <v>560.68390399999998</v>
      </c>
      <c r="BI34" s="1787">
        <f>'@预测#经营利润#'!F34</f>
        <v>0</v>
      </c>
      <c r="BJ34" s="751">
        <f t="shared" si="35"/>
        <v>560.68390399999998</v>
      </c>
      <c r="BK34" s="751">
        <f>AA34-'@预测#经营利润#'!F34</f>
        <v>260.810858</v>
      </c>
      <c r="BL34" s="786"/>
      <c r="BM34" s="788">
        <f t="shared" si="71"/>
        <v>260.810858</v>
      </c>
      <c r="BN34" s="1571">
        <f>'@预测#经营利润#'!E34</f>
        <v>0</v>
      </c>
      <c r="BO34" s="751">
        <f t="shared" si="36"/>
        <v>260.810858</v>
      </c>
    </row>
    <row r="35" spans="1:67" s="754" customFormat="1" ht="15.6" hidden="1" customHeight="1">
      <c r="A35" s="2027" t="s">
        <v>133</v>
      </c>
      <c r="B35" s="771">
        <v>-110</v>
      </c>
      <c r="C35" s="771">
        <f t="shared" si="34"/>
        <v>-9.1666666666666661</v>
      </c>
      <c r="D35" s="759">
        <f>SUMIFS('利润（汇总）'!29:29,'利润（汇总）'!$1:$1,D$1,'利润（汇总）'!$2:$2,D$2)</f>
        <v>3.666658</v>
      </c>
      <c r="E35" s="759">
        <f t="shared" si="97"/>
        <v>3.666658</v>
      </c>
      <c r="F35" s="759">
        <f>SUMIFS('利润（汇总）'!29:29,'利润（汇总）'!$1:$1,F$1,'利润（汇总）'!$2:$2,F$2)</f>
        <v>-5.7838159999999998</v>
      </c>
      <c r="G35" s="759">
        <f t="shared" si="98"/>
        <v>-5.7838159999999998</v>
      </c>
      <c r="H35" s="759">
        <f>SUMIFS('利润（汇总）'!29:29,'利润（汇总）'!$1:$1,H$1,'利润（汇总）'!$2:$2,H$2)</f>
        <v>-4.8523969999999998</v>
      </c>
      <c r="I35" s="759">
        <f t="shared" si="99"/>
        <v>-4.8523969999999998</v>
      </c>
      <c r="J35" s="759">
        <f>SUMIFS('利润（汇总）'!29:29,'利润（汇总）'!$1:$1,J$1,'利润（汇总）'!$2:$2,J$2)</f>
        <v>-3.6798649999999999</v>
      </c>
      <c r="K35" s="759">
        <f t="shared" si="100"/>
        <v>-3.6798649999999999</v>
      </c>
      <c r="L35" s="759">
        <f>SUMIFS('利润（汇总）'!29:29,'利润（汇总）'!$1:$1,L$1,'利润（汇总）'!$2:$2,L$2)</f>
        <v>-4.7737970000000001</v>
      </c>
      <c r="M35" s="759">
        <f t="shared" si="101"/>
        <v>-4.7737970000000001</v>
      </c>
      <c r="N35" s="759">
        <f>SUMIFS('利润（汇总）'!29:29,'利润（汇总）'!$1:$1,N$1,'利润（汇总）'!$2:$2,N$2)</f>
        <v>-15.255862</v>
      </c>
      <c r="O35" s="759">
        <f t="shared" si="102"/>
        <v>-15.255862</v>
      </c>
      <c r="P35" s="759">
        <f>SUMIFS('利润（汇总）'!29:29,'利润（汇总）'!$1:$1,P$1,'利润（汇总）'!$2:$2,P$2)</f>
        <v>-5.089226</v>
      </c>
      <c r="Q35" s="759">
        <f t="shared" si="103"/>
        <v>-5.089226</v>
      </c>
      <c r="R35" s="759">
        <f>SUMIFS('利润（汇总）'!29:29,'利润（汇总）'!$1:$1,R$1,'利润（汇总）'!$2:$2,R$2)</f>
        <v>-4.9840400000000002</v>
      </c>
      <c r="S35" s="759">
        <f t="shared" si="104"/>
        <v>-4.9840400000000002</v>
      </c>
      <c r="T35" s="759">
        <f>SUMIFS('利润（汇总）'!29:29,'利润（汇总）'!$1:$1,T$1,'利润（汇总）'!$2:$2,T$2)</f>
        <v>36.799373000000003</v>
      </c>
      <c r="U35" s="759">
        <f t="shared" si="105"/>
        <v>36.799373000000003</v>
      </c>
      <c r="V35" s="759">
        <f>SUMIFS('利润（汇总）'!29:29,'利润（汇总）'!$1:$1,V$1,'利润（汇总）'!$2:$2,V$2)</f>
        <v>-6.7343310000000001</v>
      </c>
      <c r="W35" s="759">
        <f t="shared" si="106"/>
        <v>-6.7343310000000001</v>
      </c>
      <c r="X35" s="759">
        <f>SUMIFS('利润（汇总）'!29:29,'利润（汇总）'!$1:$1,X$1,'利润（汇总）'!$2:$2,X$2)</f>
        <v>34.939337999999999</v>
      </c>
      <c r="Y35" s="759">
        <f t="shared" si="107"/>
        <v>34.939337999999999</v>
      </c>
      <c r="Z35" s="759">
        <f>SUMIFS('利润（汇总）'!29:29,'利润（汇总）'!$1:$1,Z$1,'利润（汇总）'!$2:$2,Z$2)</f>
        <v>-7.7051179999999997</v>
      </c>
      <c r="AA35" s="759">
        <f t="shared" si="108"/>
        <v>-7.7051179999999997</v>
      </c>
      <c r="AB35" s="759">
        <f>SUMIFS('利润（汇总）'!29:29,'利润（汇总）'!$1:$1,AB$1,'利润（汇总）'!$2:$2,AB$2)</f>
        <v>42.263787000000001</v>
      </c>
      <c r="AC35" s="759">
        <f t="shared" si="109"/>
        <v>42.263787000000001</v>
      </c>
      <c r="AD35" s="759">
        <f>SUMIFS('利润（汇总）'!29:29,'利润（汇总）'!$1:$1,AD$1,'利润（汇总）'!$2:$2,AD$2)</f>
        <v>-6.4329010000000002</v>
      </c>
      <c r="AE35" s="759">
        <f t="shared" si="109"/>
        <v>-6.4329010000000002</v>
      </c>
      <c r="AF35" s="759">
        <f>SUMIFS('利润（汇总）'!29:29,'利润（汇总）'!$1:$1,AF$1,'利润（汇总）'!$2:$2,AF$2)</f>
        <v>-14.593318</v>
      </c>
      <c r="AG35" s="759">
        <f t="shared" si="96"/>
        <v>-14.593318</v>
      </c>
      <c r="AH35" s="759">
        <f>SUMIFS('利润（汇总）'!29:29,'利润（汇总）'!$1:$1,AH$1,'利润（汇总）'!$2:$2,AH$2)</f>
        <v>40.043320999999999</v>
      </c>
      <c r="AI35" s="759">
        <f t="shared" si="110"/>
        <v>40.043320999999999</v>
      </c>
      <c r="AJ35" s="759">
        <f>SUMIFS('利润（汇总）'!29:29,'利润（汇总）'!$1:$1,AJ$1,'利润（汇总）'!$2:$2,AJ$2)</f>
        <v>-6.6555900000000001</v>
      </c>
      <c r="AK35" s="759">
        <f t="shared" si="111"/>
        <v>-6.6555900000000001</v>
      </c>
      <c r="AL35" s="759">
        <f>SUMIFS('利润（汇总）'!29:29,'利润（汇总）'!$1:$1,AL$1,'利润（汇总）'!$2:$2,AL$2)</f>
        <v>-6.342028</v>
      </c>
      <c r="AM35" s="759">
        <f t="shared" si="112"/>
        <v>-6.342028</v>
      </c>
      <c r="AN35" s="759">
        <f>SUMIFS('利润（汇总）'!29:29,'利润（汇总）'!$1:$1,AN$1,'利润（汇总）'!$2:$2,AN$2)</f>
        <v>33.676141999999999</v>
      </c>
      <c r="AO35" s="759">
        <f t="shared" si="113"/>
        <v>33.676141999999999</v>
      </c>
      <c r="AP35" s="759">
        <f>SUMIFS('利润（汇总）'!29:29,'利润（汇总）'!$1:$1,AP$1,'利润（汇总）'!$2:$2,AP$2)</f>
        <v>-9</v>
      </c>
      <c r="AQ35" s="759">
        <f t="shared" si="114"/>
        <v>-9</v>
      </c>
      <c r="AR35" s="759">
        <f>SUMIFS('利润（汇总）'!29:29,'利润（汇总）'!$1:$1,AR$1,'利润（汇总）'!$2:$2,AR$2)</f>
        <v>-7</v>
      </c>
      <c r="AS35" s="759">
        <f t="shared" si="115"/>
        <v>-7</v>
      </c>
      <c r="AT35" s="759">
        <f>SUMIFS('利润（汇总）'!29:29,'利润（汇总）'!$1:$1,AT$1,'利润（汇总）'!$2:$2,AT$2)</f>
        <v>0</v>
      </c>
      <c r="AU35" s="759">
        <f t="shared" si="116"/>
        <v>0</v>
      </c>
      <c r="AV35" s="759">
        <f>SUMIFS('利润（汇总）'!29:29,'利润（汇总）'!$1:$1,AV$1,'利润（汇总）'!$2:$2,AV$2)</f>
        <v>0</v>
      </c>
      <c r="AW35" s="759">
        <f t="shared" si="117"/>
        <v>0</v>
      </c>
      <c r="AX35" s="759">
        <f>SUMIFS('利润（汇总）'!29:29,'利润（汇总）'!$1:$1,AX$1,'利润（汇总）'!$2:$2,AX$2)</f>
        <v>0</v>
      </c>
      <c r="AY35" s="759">
        <f t="shared" si="118"/>
        <v>0</v>
      </c>
      <c r="AZ35" s="759">
        <f>SUMIFS('利润（汇总）'!29:29,'利润（汇总）'!$1:$1,AZ$1,'利润（汇总）'!$2:$2,AZ$2)</f>
        <v>0</v>
      </c>
      <c r="BA35" s="759">
        <f t="shared" si="94"/>
        <v>0</v>
      </c>
      <c r="BB35" s="781">
        <f t="shared" si="31"/>
        <v>-8.1604169999999989</v>
      </c>
      <c r="BC35" s="781">
        <f t="shared" si="32"/>
        <v>-8.1604169999999989</v>
      </c>
      <c r="BD35" s="781">
        <f t="shared" si="70"/>
        <v>4.3142696666666662</v>
      </c>
      <c r="BE35" s="781"/>
      <c r="BF35" s="788">
        <f t="shared" si="47"/>
        <v>23.695625999999997</v>
      </c>
      <c r="BG35" s="788">
        <f t="shared" si="48"/>
        <v>23.695625999999997</v>
      </c>
      <c r="BH35" s="1790">
        <f t="shared" si="33"/>
        <v>40.043320999999999</v>
      </c>
      <c r="BI35" s="1787">
        <f>'@预测#经营利润#'!F35</f>
        <v>-9</v>
      </c>
      <c r="BJ35" s="751">
        <f t="shared" si="35"/>
        <v>49.043320999999999</v>
      </c>
      <c r="BK35" s="751">
        <f>AA35-'@预测#经营利润#'!F35</f>
        <v>1.2948820000000003</v>
      </c>
      <c r="BL35" s="786"/>
      <c r="BM35" s="788">
        <f t="shared" si="71"/>
        <v>-7.7051179999999997</v>
      </c>
      <c r="BN35" s="1571">
        <f>'@预测#经营利润#'!E35</f>
        <v>-9</v>
      </c>
      <c r="BO35" s="751">
        <f t="shared" si="36"/>
        <v>1.2948820000000003</v>
      </c>
    </row>
    <row r="36" spans="1:67" s="754" customFormat="1" ht="15.6" hidden="1" customHeight="1">
      <c r="A36" s="2027" t="s">
        <v>134</v>
      </c>
      <c r="B36" s="771">
        <v>290</v>
      </c>
      <c r="C36" s="771">
        <f t="shared" si="34"/>
        <v>24.166666666666668</v>
      </c>
      <c r="D36" s="759">
        <f>SUMIFS('利润（汇总）'!30:30,'利润（汇总）'!$1:$1,D$1,'利润（汇总）'!$2:$2,D$2)</f>
        <v>174.00177400000001</v>
      </c>
      <c r="E36" s="759">
        <f t="shared" si="97"/>
        <v>174.00177400000001</v>
      </c>
      <c r="F36" s="759">
        <f>SUMIFS('利润（汇总）'!30:30,'利润（汇总）'!$1:$1,F$1,'利润（汇总）'!$2:$2,F$2)</f>
        <v>-47.226939999999999</v>
      </c>
      <c r="G36" s="759">
        <f t="shared" si="98"/>
        <v>-47.226939999999999</v>
      </c>
      <c r="H36" s="759">
        <f>SUMIFS('利润（汇总）'!30:30,'利润（汇总）'!$1:$1,H$1,'利润（汇总）'!$2:$2,H$2)</f>
        <v>-35.331696000000001</v>
      </c>
      <c r="I36" s="759">
        <f t="shared" si="99"/>
        <v>-35.331696000000001</v>
      </c>
      <c r="J36" s="759">
        <f>SUMIFS('利润（汇总）'!30:30,'利润（汇总）'!$1:$1,J$1,'利润（汇总）'!$2:$2,J$2)</f>
        <v>105.44641799999999</v>
      </c>
      <c r="K36" s="759">
        <f t="shared" si="100"/>
        <v>105.44641799999999</v>
      </c>
      <c r="L36" s="759">
        <f>SUMIFS('利润（汇总）'!30:30,'利润（汇总）'!$1:$1,L$1,'利润（汇总）'!$2:$2,L$2)</f>
        <v>-60.384177000000001</v>
      </c>
      <c r="M36" s="759">
        <f t="shared" si="101"/>
        <v>-60.384177000000001</v>
      </c>
      <c r="N36" s="759">
        <f>SUMIFS('利润（汇总）'!30:30,'利润（汇总）'!$1:$1,N$1,'利润（汇总）'!$2:$2,N$2)</f>
        <v>-47.835399000000002</v>
      </c>
      <c r="O36" s="759">
        <f t="shared" si="102"/>
        <v>-47.835399000000002</v>
      </c>
      <c r="P36" s="759">
        <f>SUMIFS('利润（汇总）'!30:30,'利润（汇总）'!$1:$1,P$1,'利润（汇总）'!$2:$2,P$2)</f>
        <v>186.893269</v>
      </c>
      <c r="Q36" s="759">
        <f t="shared" si="103"/>
        <v>186.893269</v>
      </c>
      <c r="R36" s="759">
        <f>SUMIFS('利润（汇总）'!30:30,'利润（汇总）'!$1:$1,R$1,'利润（汇总）'!$2:$2,R$2)</f>
        <v>-55.842272000000001</v>
      </c>
      <c r="S36" s="759">
        <f t="shared" si="104"/>
        <v>-55.842272000000001</v>
      </c>
      <c r="T36" s="759">
        <f>SUMIFS('利润（汇总）'!30:30,'利润（汇总）'!$1:$1,T$1,'利润（汇总）'!$2:$2,T$2)</f>
        <v>-46.611995999999998</v>
      </c>
      <c r="U36" s="759">
        <f t="shared" si="105"/>
        <v>-46.611995999999998</v>
      </c>
      <c r="V36" s="759">
        <f>SUMIFS('利润（汇总）'!30:30,'利润（汇总）'!$1:$1,V$1,'利润（汇总）'!$2:$2,V$2)</f>
        <v>139.74879200000001</v>
      </c>
      <c r="W36" s="759">
        <f t="shared" si="106"/>
        <v>139.74879200000001</v>
      </c>
      <c r="X36" s="759">
        <f>SUMIFS('利润（汇总）'!30:30,'利润（汇总）'!$1:$1,X$1,'利润（汇总）'!$2:$2,X$2)</f>
        <v>-62.490957000000002</v>
      </c>
      <c r="Y36" s="759">
        <f t="shared" si="107"/>
        <v>-62.490957000000002</v>
      </c>
      <c r="Z36" s="759">
        <f>SUMIFS('利润（汇总）'!30:30,'利润（汇总）'!$1:$1,Z$1,'利润（汇总）'!$2:$2,Z$2)</f>
        <v>-17.439831999999999</v>
      </c>
      <c r="AA36" s="759">
        <f t="shared" si="108"/>
        <v>-17.439831999999999</v>
      </c>
      <c r="AB36" s="759">
        <f>SUMIFS('利润（汇总）'!30:30,'利润（汇总）'!$1:$1,AB$1,'利润（汇总）'!$2:$2,AB$2)</f>
        <v>189.486392</v>
      </c>
      <c r="AC36" s="759">
        <f t="shared" si="109"/>
        <v>189.486392</v>
      </c>
      <c r="AD36" s="759">
        <f>SUMIFS('利润（汇总）'!30:30,'利润（汇总）'!$1:$1,AD$1,'利润（汇总）'!$2:$2,AD$2)</f>
        <v>-56</v>
      </c>
      <c r="AE36" s="759">
        <f t="shared" si="109"/>
        <v>-56</v>
      </c>
      <c r="AF36" s="759">
        <f>SUMIFS('利润（汇总）'!30:30,'利润（汇总）'!$1:$1,AF$1,'利润（汇总）'!$2:$2,AF$2)</f>
        <v>15.951878000000001</v>
      </c>
      <c r="AG36" s="759">
        <f t="shared" si="96"/>
        <v>15.951878000000001</v>
      </c>
      <c r="AH36" s="759">
        <f>SUMIFS('利润（汇总）'!30:30,'利润（汇总）'!$1:$1,AH$1,'利润（汇总）'!$2:$2,AH$2)</f>
        <v>81.304754000000003</v>
      </c>
      <c r="AI36" s="759">
        <f t="shared" si="110"/>
        <v>81.304754000000003</v>
      </c>
      <c r="AJ36" s="759">
        <f>SUMIFS('利润（汇总）'!30:30,'利润（汇总）'!$1:$1,AJ$1,'利润（汇总）'!$2:$2,AJ$2)</f>
        <v>42.541024</v>
      </c>
      <c r="AK36" s="759">
        <f t="shared" si="111"/>
        <v>42.541024</v>
      </c>
      <c r="AL36" s="759">
        <f>SUMIFS('利润（汇总）'!30:30,'利润（汇总）'!$1:$1,AL$1,'利润（汇总）'!$2:$2,AL$2)</f>
        <v>29.296185999999999</v>
      </c>
      <c r="AM36" s="759">
        <f t="shared" si="112"/>
        <v>29.296185999999999</v>
      </c>
      <c r="AN36" s="759">
        <f>SUMIFS('利润（汇总）'!30:30,'利润（汇总）'!$1:$1,AN$1,'利润（汇总）'!$2:$2,AN$2)</f>
        <v>66.397098</v>
      </c>
      <c r="AO36" s="759">
        <f t="shared" si="113"/>
        <v>66.397098</v>
      </c>
      <c r="AP36" s="759">
        <f>SUMIFS('利润（汇总）'!30:30,'利润（汇总）'!$1:$1,AP$1,'利润（汇总）'!$2:$2,AP$2)</f>
        <v>1.73327899999999</v>
      </c>
      <c r="AQ36" s="759">
        <f t="shared" si="114"/>
        <v>1.73327899999999</v>
      </c>
      <c r="AR36" s="759">
        <f>SUMIFS('利润（汇总）'!30:30,'利润（汇总）'!$1:$1,AR$1,'利润（汇总）'!$2:$2,AR$2)</f>
        <v>27</v>
      </c>
      <c r="AS36" s="759">
        <f t="shared" si="115"/>
        <v>27</v>
      </c>
      <c r="AT36" s="759">
        <f>SUMIFS('利润（汇总）'!30:30,'利润（汇总）'!$1:$1,AT$1,'利润（汇总）'!$2:$2,AT$2)</f>
        <v>0</v>
      </c>
      <c r="AU36" s="759">
        <f t="shared" si="116"/>
        <v>0</v>
      </c>
      <c r="AV36" s="759">
        <f>SUMIFS('利润（汇总）'!30:30,'利润（汇总）'!$1:$1,AV$1,'利润（汇总）'!$2:$2,AV$2)</f>
        <v>0</v>
      </c>
      <c r="AW36" s="759">
        <f t="shared" si="117"/>
        <v>0</v>
      </c>
      <c r="AX36" s="759">
        <f>SUMIFS('利润（汇总）'!30:30,'利润（汇总）'!$1:$1,AX$1,'利润（汇总）'!$2:$2,AX$2)</f>
        <v>0</v>
      </c>
      <c r="AY36" s="759">
        <f t="shared" si="118"/>
        <v>0</v>
      </c>
      <c r="AZ36" s="759">
        <f>SUMIFS('利润（汇总）'!30:30,'利润（汇总）'!$1:$1,AZ$1,'利润（汇总）'!$2:$2,AZ$2)</f>
        <v>0</v>
      </c>
      <c r="BA36" s="759">
        <f t="shared" si="94"/>
        <v>0</v>
      </c>
      <c r="BB36" s="781">
        <f t="shared" si="31"/>
        <v>71.951877999999994</v>
      </c>
      <c r="BC36" s="781">
        <f t="shared" si="32"/>
        <v>71.951877999999994</v>
      </c>
      <c r="BD36" s="781">
        <f t="shared" si="70"/>
        <v>-59.498362666666665</v>
      </c>
      <c r="BE36" s="781"/>
      <c r="BF36" s="788">
        <f t="shared" si="47"/>
        <v>208.22421899999998</v>
      </c>
      <c r="BG36" s="788">
        <f t="shared" si="48"/>
        <v>208.22421899999998</v>
      </c>
      <c r="BH36" s="1790">
        <f t="shared" si="33"/>
        <v>81.304754000000003</v>
      </c>
      <c r="BI36" s="1787">
        <f>'@预测#经营利润#'!F36</f>
        <v>15</v>
      </c>
      <c r="BJ36" s="751">
        <f t="shared" si="35"/>
        <v>66.304754000000003</v>
      </c>
      <c r="BK36" s="751">
        <f>AA36-'@预测#经营利润#'!F36</f>
        <v>-32.439831999999996</v>
      </c>
      <c r="BL36" s="786"/>
      <c r="BM36" s="788">
        <f t="shared" si="71"/>
        <v>-17.439831999999999</v>
      </c>
      <c r="BN36" s="1571">
        <f>'@预测#经营利润#'!E36</f>
        <v>15</v>
      </c>
      <c r="BO36" s="751">
        <f t="shared" si="36"/>
        <v>-32.439831999999996</v>
      </c>
    </row>
    <row r="37" spans="1:67" s="754" customFormat="1" ht="15.6" hidden="1" customHeight="1">
      <c r="A37" s="2027" t="s">
        <v>135</v>
      </c>
      <c r="B37" s="771">
        <v>-142</v>
      </c>
      <c r="C37" s="771">
        <f t="shared" si="34"/>
        <v>-11.833333333333334</v>
      </c>
      <c r="D37" s="759">
        <f>SUMIFS('利润（汇总）'!31:31,'利润（汇总）'!$1:$1,D$1,'利润（汇总）'!$2:$2,D$2)</f>
        <v>-89.182543999999993</v>
      </c>
      <c r="E37" s="759">
        <f t="shared" si="97"/>
        <v>-89.182543999999993</v>
      </c>
      <c r="F37" s="759">
        <f>SUMIFS('利润（汇总）'!31:31,'利润（汇总）'!$1:$1,F$1,'利润（汇总）'!$2:$2,F$2)</f>
        <v>-10.208774999999999</v>
      </c>
      <c r="G37" s="759">
        <f t="shared" si="98"/>
        <v>-10.208774999999999</v>
      </c>
      <c r="H37" s="759">
        <f>SUMIFS('利润（汇总）'!31:31,'利润（汇总）'!$1:$1,H$1,'利润（汇总）'!$2:$2,H$2)</f>
        <v>-8.1711819999999999</v>
      </c>
      <c r="I37" s="759">
        <f t="shared" si="99"/>
        <v>-8.1711819999999999</v>
      </c>
      <c r="J37" s="759">
        <f>SUMIFS('利润（汇总）'!31:31,'利润（汇总）'!$1:$1,J$1,'利润（汇总）'!$2:$2,J$2)</f>
        <v>-10.115099000000001</v>
      </c>
      <c r="K37" s="759">
        <f t="shared" si="100"/>
        <v>-10.115099000000001</v>
      </c>
      <c r="L37" s="759">
        <f>SUMIFS('利润（汇总）'!31:31,'利润（汇总）'!$1:$1,L$1,'利润（汇总）'!$2:$2,L$2)</f>
        <v>-7.766635</v>
      </c>
      <c r="M37" s="759">
        <f t="shared" si="101"/>
        <v>-7.766635</v>
      </c>
      <c r="N37" s="759">
        <f>SUMIFS('利润（汇总）'!31:31,'利润（汇总）'!$1:$1,N$1,'利润（汇总）'!$2:$2,N$2)</f>
        <v>-30.236944000000001</v>
      </c>
      <c r="O37" s="759">
        <f t="shared" si="102"/>
        <v>-30.236944000000001</v>
      </c>
      <c r="P37" s="759">
        <f>SUMIFS('利润（汇总）'!31:31,'利润（汇总）'!$1:$1,P$1,'利润（汇总）'!$2:$2,P$2)</f>
        <v>-7.7676369999999997</v>
      </c>
      <c r="Q37" s="759">
        <f t="shared" si="103"/>
        <v>-7.7676369999999997</v>
      </c>
      <c r="R37" s="759">
        <f>SUMIFS('利润（汇总）'!31:31,'利润（汇总）'!$1:$1,R$1,'利润（汇总）'!$2:$2,R$2)</f>
        <v>-12.800133000000001</v>
      </c>
      <c r="S37" s="759">
        <f t="shared" si="104"/>
        <v>-12.800133000000001</v>
      </c>
      <c r="T37" s="759">
        <f>SUMIFS('利润（汇总）'!31:31,'利润（汇总）'!$1:$1,T$1,'利润（汇总）'!$2:$2,T$2)</f>
        <v>-7.4362649999999997</v>
      </c>
      <c r="U37" s="759">
        <f t="shared" si="105"/>
        <v>-7.4362649999999997</v>
      </c>
      <c r="V37" s="759">
        <f>SUMIFS('利润（汇总）'!31:31,'利润（汇总）'!$1:$1,V$1,'利润（汇总）'!$2:$2,V$2)</f>
        <v>-12.280146</v>
      </c>
      <c r="W37" s="759">
        <f t="shared" si="106"/>
        <v>-12.280146</v>
      </c>
      <c r="X37" s="759">
        <f>SUMIFS('利润（汇总）'!31:31,'利润（汇总）'!$1:$1,X$1,'利润（汇总）'!$2:$2,X$2)</f>
        <v>-11.183685000000001</v>
      </c>
      <c r="Y37" s="759">
        <f t="shared" si="107"/>
        <v>-11.183685000000001</v>
      </c>
      <c r="Z37" s="759">
        <f>SUMIFS('利润（汇总）'!31:31,'利润（汇总）'!$1:$1,Z$1,'利润（汇总）'!$2:$2,Z$2)</f>
        <v>-6.6625759999999996</v>
      </c>
      <c r="AA37" s="759">
        <f t="shared" si="108"/>
        <v>-6.6625759999999996</v>
      </c>
      <c r="AB37" s="759">
        <f>SUMIFS('利润（汇总）'!31:31,'利润（汇总）'!$1:$1,AB$1,'利润（汇总）'!$2:$2,AB$2)</f>
        <v>-11.282322000000001</v>
      </c>
      <c r="AC37" s="759">
        <f t="shared" si="109"/>
        <v>-11.282322000000001</v>
      </c>
      <c r="AD37" s="759">
        <f>SUMIFS('利润（汇总）'!31:31,'利润（汇总）'!$1:$1,AD$1,'利润（汇总）'!$2:$2,AD$2)</f>
        <v>-8.2128130000000006</v>
      </c>
      <c r="AE37" s="759">
        <f t="shared" si="109"/>
        <v>-8.2128130000000006</v>
      </c>
      <c r="AF37" s="759">
        <f>SUMIFS('利润（汇总）'!31:31,'利润（汇总）'!$1:$1,AF$1,'利润（汇总）'!$2:$2,AF$2)</f>
        <v>-7.4755820000000002</v>
      </c>
      <c r="AG37" s="759">
        <f t="shared" si="96"/>
        <v>-7.4755820000000002</v>
      </c>
      <c r="AH37" s="759">
        <f>SUMIFS('利润（汇总）'!31:31,'利润（汇总）'!$1:$1,AH$1,'利润（汇总）'!$2:$2,AH$2)</f>
        <v>-10.885730000000001</v>
      </c>
      <c r="AI37" s="759">
        <f t="shared" si="110"/>
        <v>-10.885730000000001</v>
      </c>
      <c r="AJ37" s="759">
        <f>SUMIFS('利润（汇总）'!31:31,'利润（汇总）'!$1:$1,AJ$1,'利润（汇总）'!$2:$2,AJ$2)</f>
        <v>-15.747343000000001</v>
      </c>
      <c r="AK37" s="759">
        <f t="shared" si="111"/>
        <v>-15.747343000000001</v>
      </c>
      <c r="AL37" s="759">
        <f>SUMIFS('利润（汇总）'!31:31,'利润（汇总）'!$1:$1,AL$1,'利润（汇总）'!$2:$2,AL$2)</f>
        <v>-4.6607770000000004</v>
      </c>
      <c r="AM37" s="759">
        <f t="shared" si="112"/>
        <v>-4.6607770000000004</v>
      </c>
      <c r="AN37" s="759">
        <f>SUMIFS('利润（汇总）'!31:31,'利润（汇总）'!$1:$1,AN$1,'利润（汇总）'!$2:$2,AN$2)</f>
        <v>-15.500119</v>
      </c>
      <c r="AO37" s="759">
        <f t="shared" si="113"/>
        <v>-15.500119</v>
      </c>
      <c r="AP37" s="759">
        <f>SUMIFS('利润（汇总）'!31:31,'利润（汇总）'!$1:$1,AP$1,'利润（汇总）'!$2:$2,AP$2)</f>
        <v>-11.501206</v>
      </c>
      <c r="AQ37" s="759">
        <f t="shared" si="114"/>
        <v>-11.501206</v>
      </c>
      <c r="AR37" s="759">
        <f>SUMIFS('利润（汇总）'!31:31,'利润（汇总）'!$1:$1,AR$1,'利润（汇总）'!$2:$2,AR$2)</f>
        <v>-7.3065769999999999</v>
      </c>
      <c r="AS37" s="759">
        <f t="shared" si="115"/>
        <v>-7.3065769999999999</v>
      </c>
      <c r="AT37" s="759">
        <f>SUMIFS('利润（汇总）'!31:31,'利润（汇总）'!$1:$1,AT$1,'利润（汇总）'!$2:$2,AT$2)</f>
        <v>0</v>
      </c>
      <c r="AU37" s="759">
        <f t="shared" si="116"/>
        <v>0</v>
      </c>
      <c r="AV37" s="759">
        <f>SUMIFS('利润（汇总）'!31:31,'利润（汇总）'!$1:$1,AV$1,'利润（汇总）'!$2:$2,AV$2)</f>
        <v>0</v>
      </c>
      <c r="AW37" s="759">
        <f t="shared" si="117"/>
        <v>0</v>
      </c>
      <c r="AX37" s="759">
        <f>SUMIFS('利润（汇总）'!31:31,'利润（汇总）'!$1:$1,AX$1,'利润（汇总）'!$2:$2,AX$2)</f>
        <v>0</v>
      </c>
      <c r="AY37" s="759">
        <f t="shared" si="118"/>
        <v>0</v>
      </c>
      <c r="AZ37" s="759">
        <f>SUMIFS('利润（汇总）'!31:31,'利润（汇总）'!$1:$1,AZ$1,'利润（汇总）'!$2:$2,AZ$2)</f>
        <v>0</v>
      </c>
      <c r="BA37" s="759">
        <f t="shared" si="94"/>
        <v>0</v>
      </c>
      <c r="BB37" s="781">
        <f t="shared" si="31"/>
        <v>0.73723100000000041</v>
      </c>
      <c r="BC37" s="781">
        <f t="shared" si="32"/>
        <v>0.73723100000000041</v>
      </c>
      <c r="BD37" s="781"/>
      <c r="BE37" s="781"/>
      <c r="BF37" s="788">
        <f t="shared" si="47"/>
        <v>-81.290147000000005</v>
      </c>
      <c r="BG37" s="788">
        <f t="shared" si="48"/>
        <v>-81.290147000000005</v>
      </c>
      <c r="BH37" s="1790">
        <f t="shared" si="33"/>
        <v>-10.885730000000001</v>
      </c>
      <c r="BI37" s="1787">
        <f>'@预测#经营利润#'!F37</f>
        <v>-12</v>
      </c>
      <c r="BJ37" s="751">
        <f t="shared" si="35"/>
        <v>1.1142699999999994</v>
      </c>
      <c r="BK37" s="751">
        <f>AA37-'@预测#经营利润#'!F37</f>
        <v>5.3374240000000004</v>
      </c>
      <c r="BL37" s="786"/>
      <c r="BM37" s="788">
        <f t="shared" si="71"/>
        <v>-6.6625759999999996</v>
      </c>
      <c r="BN37" s="1571">
        <f>'@预测#经营利润#'!E37</f>
        <v>-12</v>
      </c>
      <c r="BO37" s="751">
        <f t="shared" si="36"/>
        <v>5.3374240000000004</v>
      </c>
    </row>
    <row r="38" spans="1:67" s="754" customFormat="1" ht="15.6" hidden="1" customHeight="1">
      <c r="A38" s="2027" t="s">
        <v>136</v>
      </c>
      <c r="B38" s="771">
        <v>-17</v>
      </c>
      <c r="C38" s="771">
        <f t="shared" si="34"/>
        <v>-1.4166666666666667</v>
      </c>
      <c r="D38" s="759">
        <f>SUMIFS('利润（汇总）'!32:32,'利润（汇总）'!$1:$1,D$1,'利润（汇总）'!$2:$2,D$2)</f>
        <v>-1.701643</v>
      </c>
      <c r="E38" s="759">
        <f t="shared" si="97"/>
        <v>-1.701643</v>
      </c>
      <c r="F38" s="759">
        <f>SUMIFS('利润（汇总）'!32:32,'利润（汇总）'!$1:$1,F$1,'利润（汇总）'!$2:$2,F$2)</f>
        <v>-1.2224969999999999</v>
      </c>
      <c r="G38" s="759">
        <f t="shared" si="98"/>
        <v>-1.2224969999999999</v>
      </c>
      <c r="H38" s="759">
        <f>SUMIFS('利润（汇总）'!32:32,'利润（汇总）'!$1:$1,H$1,'利润（汇总）'!$2:$2,H$2)</f>
        <v>-1.222496</v>
      </c>
      <c r="I38" s="759">
        <f t="shared" si="99"/>
        <v>-1.222496</v>
      </c>
      <c r="J38" s="759">
        <f>SUMIFS('利润（汇总）'!32:32,'利润（汇总）'!$1:$1,J$1,'利润（汇总）'!$2:$2,J$2)</f>
        <v>-1.235528</v>
      </c>
      <c r="K38" s="759">
        <f t="shared" si="100"/>
        <v>-1.235528</v>
      </c>
      <c r="L38" s="759">
        <f>SUMIFS('利润（汇总）'!32:32,'利润（汇总）'!$1:$1,L$1,'利润（汇总）'!$2:$2,L$2)</f>
        <v>-1.2224969999999999</v>
      </c>
      <c r="M38" s="759">
        <f t="shared" si="101"/>
        <v>-1.2224969999999999</v>
      </c>
      <c r="N38" s="759">
        <f>SUMIFS('利润（汇总）'!32:32,'利润（汇总）'!$1:$1,N$1,'利润（汇总）'!$2:$2,N$2)</f>
        <v>-1.2524960000000001</v>
      </c>
      <c r="O38" s="759">
        <f t="shared" si="102"/>
        <v>-1.2524960000000001</v>
      </c>
      <c r="P38" s="759">
        <f>SUMIFS('利润（汇总）'!32:32,'利润（汇总）'!$1:$1,P$1,'利润（汇总）'!$2:$2,P$2)</f>
        <v>-1.9820340000000001</v>
      </c>
      <c r="Q38" s="759">
        <f t="shared" si="103"/>
        <v>-1.9820340000000001</v>
      </c>
      <c r="R38" s="759">
        <f>SUMIFS('利润（汇总）'!32:32,'利润（汇总）'!$1:$1,R$1,'利润（汇总）'!$2:$2,R$2)</f>
        <v>-1.2224969999999999</v>
      </c>
      <c r="S38" s="759">
        <f t="shared" si="104"/>
        <v>-1.2224969999999999</v>
      </c>
      <c r="T38" s="759">
        <f>SUMIFS('利润（汇总）'!32:32,'利润（汇总）'!$1:$1,T$1,'利润（汇总）'!$2:$2,T$2)</f>
        <v>-1.2604960000000001</v>
      </c>
      <c r="U38" s="759">
        <f t="shared" si="105"/>
        <v>-1.2604960000000001</v>
      </c>
      <c r="V38" s="759">
        <f>SUMIFS('利润（汇总）'!32:32,'利润（汇总）'!$1:$1,V$1,'利润（汇总）'!$2:$2,V$2)</f>
        <v>-1.1214230000000001</v>
      </c>
      <c r="W38" s="759">
        <f t="shared" si="106"/>
        <v>-1.1214230000000001</v>
      </c>
      <c r="X38" s="759">
        <f>SUMIFS('利润（汇总）'!32:32,'利润（汇总）'!$1:$1,X$1,'利润（汇总）'!$2:$2,X$2)</f>
        <v>-1.2224969999999999</v>
      </c>
      <c r="Y38" s="759">
        <f t="shared" si="107"/>
        <v>-1.2224969999999999</v>
      </c>
      <c r="Z38" s="759">
        <f>SUMIFS('利润（汇总）'!32:32,'利润（汇总）'!$1:$1,Z$1,'利润（汇总）'!$2:$2,Z$2)</f>
        <v>-1.222496</v>
      </c>
      <c r="AA38" s="759">
        <f t="shared" si="108"/>
        <v>-1.222496</v>
      </c>
      <c r="AB38" s="759">
        <f>SUMIFS('利润（汇总）'!32:32,'利润（汇总）'!$1:$1,AB$1,'利润（汇总）'!$2:$2,AB$2)</f>
        <v>-39.435268999999998</v>
      </c>
      <c r="AC38" s="759">
        <f t="shared" si="109"/>
        <v>-39.435268999999998</v>
      </c>
      <c r="AD38" s="759">
        <f>SUMIFS('利润（汇总）'!32:32,'利润（汇总）'!$1:$1,AD$1,'利润（汇总）'!$2:$2,AD$2)</f>
        <v>-1.245101</v>
      </c>
      <c r="AE38" s="759">
        <f t="shared" si="109"/>
        <v>-1.245101</v>
      </c>
      <c r="AF38" s="759">
        <f>SUMIFS('利润（汇总）'!32:32,'利润（汇总）'!$1:$1,AF$1,'利润（汇总）'!$2:$2,AF$2)</f>
        <v>-1.2784960000000001</v>
      </c>
      <c r="AG38" s="759">
        <f t="shared" si="96"/>
        <v>-1.2784960000000001</v>
      </c>
      <c r="AH38" s="759">
        <f>SUMIFS('利润（汇总）'!32:32,'利润（汇总）'!$1:$1,AH$1,'利润（汇总）'!$2:$2,AH$2)</f>
        <v>-1.1664209999999999</v>
      </c>
      <c r="AI38" s="759">
        <f t="shared" si="110"/>
        <v>-1.1664209999999999</v>
      </c>
      <c r="AJ38" s="759">
        <f>SUMIFS('利润（汇总）'!32:32,'利润（汇总）'!$1:$1,AJ$1,'利润（汇总）'!$2:$2,AJ$2)</f>
        <v>-1.2224969999999999</v>
      </c>
      <c r="AK38" s="759">
        <f t="shared" si="111"/>
        <v>-1.2224969999999999</v>
      </c>
      <c r="AL38" s="759">
        <f>SUMIFS('利润（汇总）'!32:32,'利润（汇总）'!$1:$1,AL$1,'利润（汇总）'!$2:$2,AL$2)</f>
        <v>-1.232496</v>
      </c>
      <c r="AM38" s="759">
        <f t="shared" si="112"/>
        <v>-1.232496</v>
      </c>
      <c r="AN38" s="759">
        <f>SUMIFS('利润（汇总）'!32:32,'利润（汇总）'!$1:$1,AN$1,'利润（汇总）'!$2:$2,AN$2)</f>
        <v>-2.1882999999999999</v>
      </c>
      <c r="AO38" s="759">
        <f t="shared" si="113"/>
        <v>-2.1882999999999999</v>
      </c>
      <c r="AP38" s="759">
        <f>SUMIFS('利润（汇总）'!32:32,'利润（汇总）'!$1:$1,AP$1,'利润（汇总）'!$2:$2,AP$2)</f>
        <v>-1.22</v>
      </c>
      <c r="AQ38" s="759">
        <f t="shared" si="114"/>
        <v>-1.22</v>
      </c>
      <c r="AR38" s="759">
        <f>SUMIFS('利润（汇总）'!32:32,'利润（汇总）'!$1:$1,AR$1,'利润（汇总）'!$2:$2,AR$2)</f>
        <v>-1.3644670000000001</v>
      </c>
      <c r="AS38" s="759">
        <f t="shared" si="115"/>
        <v>-1.3644670000000001</v>
      </c>
      <c r="AT38" s="759">
        <f>SUMIFS('利润（汇总）'!32:32,'利润（汇总）'!$1:$1,AT$1,'利润（汇总）'!$2:$2,AT$2)</f>
        <v>0</v>
      </c>
      <c r="AU38" s="759">
        <f t="shared" si="116"/>
        <v>0</v>
      </c>
      <c r="AV38" s="759">
        <f>SUMIFS('利润（汇总）'!32:32,'利润（汇总）'!$1:$1,AV$1,'利润（汇总）'!$2:$2,AV$2)</f>
        <v>0</v>
      </c>
      <c r="AW38" s="759">
        <f t="shared" si="117"/>
        <v>0</v>
      </c>
      <c r="AX38" s="759">
        <f>SUMIFS('利润（汇总）'!32:32,'利润（汇总）'!$1:$1,AX$1,'利润（汇总）'!$2:$2,AX$2)</f>
        <v>0</v>
      </c>
      <c r="AY38" s="759">
        <f t="shared" si="118"/>
        <v>0</v>
      </c>
      <c r="AZ38" s="759">
        <f>SUMIFS('利润（汇总）'!32:32,'利润（汇总）'!$1:$1,AZ$1,'利润（汇总）'!$2:$2,AZ$2)</f>
        <v>0</v>
      </c>
      <c r="BA38" s="759">
        <f t="shared" si="94"/>
        <v>0</v>
      </c>
      <c r="BB38" s="781">
        <f t="shared" si="31"/>
        <v>-3.3395000000000064E-2</v>
      </c>
      <c r="BC38" s="781">
        <f t="shared" si="32"/>
        <v>-3.3395000000000064E-2</v>
      </c>
      <c r="BD38" s="781">
        <f t="shared" ref="BD38:BD43" si="119">H38-C38</f>
        <v>0.19417066666666671</v>
      </c>
      <c r="BE38" s="781"/>
      <c r="BF38" s="788">
        <f t="shared" si="47"/>
        <v>-10.917778</v>
      </c>
      <c r="BG38" s="788">
        <f t="shared" si="48"/>
        <v>-10.917778</v>
      </c>
      <c r="BH38" s="1790">
        <f t="shared" si="33"/>
        <v>-1.1664209999999999</v>
      </c>
      <c r="BI38" s="1787">
        <f>'@预测#经营利润#'!F38</f>
        <v>-1</v>
      </c>
      <c r="BJ38" s="751">
        <f t="shared" si="35"/>
        <v>-0.16642099999999993</v>
      </c>
      <c r="BK38" s="751">
        <f>AA38-'@预测#经营利润#'!F38</f>
        <v>-0.22249600000000003</v>
      </c>
      <c r="BL38" s="786"/>
      <c r="BM38" s="788">
        <f t="shared" si="71"/>
        <v>-1.222496</v>
      </c>
      <c r="BN38" s="1571">
        <f>'@预测#经营利润#'!E38</f>
        <v>-1</v>
      </c>
      <c r="BO38" s="751">
        <f t="shared" si="36"/>
        <v>-0.22249600000000003</v>
      </c>
    </row>
    <row r="39" spans="1:67" s="754" customFormat="1" ht="15.6" hidden="1" customHeight="1">
      <c r="A39" s="2027" t="s">
        <v>137</v>
      </c>
      <c r="B39" s="771">
        <v>1500</v>
      </c>
      <c r="C39" s="771">
        <f t="shared" si="34"/>
        <v>125</v>
      </c>
      <c r="D39" s="759">
        <f>SUMIFS('利润（汇总）'!33:33,'利润（汇总）'!$1:$1,D$1,'利润（汇总）'!$2:$2,D$2)</f>
        <v>-0.40506199999999998</v>
      </c>
      <c r="E39" s="759">
        <f t="shared" si="97"/>
        <v>-0.40506199999999998</v>
      </c>
      <c r="F39" s="759">
        <f>SUMIFS('利润（汇总）'!33:33,'利润（汇总）'!$1:$1,F$1,'利润（汇总）'!$2:$2,F$2)</f>
        <v>-284.86500599999999</v>
      </c>
      <c r="G39" s="759">
        <f t="shared" si="98"/>
        <v>-284.86500599999999</v>
      </c>
      <c r="H39" s="759">
        <f>SUMIFS('利润（汇总）'!33:33,'利润（汇总）'!$1:$1,H$1,'利润（汇总）'!$2:$2,H$2)</f>
        <v>-1060.510094</v>
      </c>
      <c r="I39" s="759">
        <f t="shared" si="99"/>
        <v>-1060.510094</v>
      </c>
      <c r="J39" s="759">
        <f>SUMIFS('利润（汇总）'!33:33,'利润（汇总）'!$1:$1,J$1,'利润（汇总）'!$2:$2,J$2)</f>
        <v>283.95622600000002</v>
      </c>
      <c r="K39" s="759">
        <f t="shared" si="100"/>
        <v>283.95622600000002</v>
      </c>
      <c r="L39" s="759">
        <f>SUMIFS('利润（汇总）'!33:33,'利润（汇总）'!$1:$1,L$1,'利润（汇总）'!$2:$2,L$2)</f>
        <v>717.06893300000002</v>
      </c>
      <c r="M39" s="759">
        <f t="shared" si="101"/>
        <v>717.06893300000002</v>
      </c>
      <c r="N39" s="759">
        <f>SUMIFS('利润（汇总）'!33:33,'利润（汇总）'!$1:$1,N$1,'利润（汇总）'!$2:$2,N$2)</f>
        <v>162.11648199999999</v>
      </c>
      <c r="O39" s="759">
        <f t="shared" si="102"/>
        <v>162.11648199999999</v>
      </c>
      <c r="P39" s="759">
        <f>SUMIFS('利润（汇总）'!33:33,'利润（汇总）'!$1:$1,P$1,'利润（汇总）'!$2:$2,P$2)</f>
        <v>386.01950699999998</v>
      </c>
      <c r="Q39" s="759">
        <f t="shared" si="103"/>
        <v>386.01950699999998</v>
      </c>
      <c r="R39" s="759">
        <f>SUMIFS('利润（汇总）'!33:33,'利润（汇总）'!$1:$1,R$1,'利润（汇总）'!$2:$2,R$2)</f>
        <v>132.024641</v>
      </c>
      <c r="S39" s="759">
        <f t="shared" si="104"/>
        <v>132.024641</v>
      </c>
      <c r="T39" s="759">
        <f>SUMIFS('利润（汇总）'!33:33,'利润（汇总）'!$1:$1,T$1,'利润（汇总）'!$2:$2,T$2)</f>
        <v>667.70675100000005</v>
      </c>
      <c r="U39" s="759">
        <f t="shared" si="105"/>
        <v>667.70675100000005</v>
      </c>
      <c r="V39" s="759">
        <f>SUMIFS('利润（汇总）'!33:33,'利润（汇总）'!$1:$1,V$1,'利润（汇总）'!$2:$2,V$2)</f>
        <v>173.337267</v>
      </c>
      <c r="W39" s="759">
        <f t="shared" si="106"/>
        <v>173.337267</v>
      </c>
      <c r="X39" s="759">
        <f>SUMIFS('利润（汇总）'!33:33,'利润（汇总）'!$1:$1,X$1,'利润（汇总）'!$2:$2,X$2)</f>
        <v>-777.72407799999996</v>
      </c>
      <c r="Y39" s="759">
        <f t="shared" si="107"/>
        <v>-777.72407799999996</v>
      </c>
      <c r="Z39" s="759">
        <f>SUMIFS('利润（汇总）'!33:33,'利润（汇总）'!$1:$1,Z$1,'利润（汇总）'!$2:$2,Z$2)</f>
        <v>189.44671199999999</v>
      </c>
      <c r="AA39" s="759">
        <f t="shared" si="108"/>
        <v>189.44671199999999</v>
      </c>
      <c r="AB39" s="759">
        <f>SUMIFS('利润（汇总）'!33:33,'利润（汇总）'!$1:$1,AB$1,'利润（汇总）'!$2:$2,AB$2)</f>
        <v>368.65194600000001</v>
      </c>
      <c r="AC39" s="759">
        <f t="shared" si="109"/>
        <v>368.65194600000001</v>
      </c>
      <c r="AD39" s="759">
        <f>SUMIFS('利润（汇总）'!33:33,'利润（汇总）'!$1:$1,AD$1,'利润（汇总）'!$2:$2,AD$2)</f>
        <v>0</v>
      </c>
      <c r="AE39" s="759">
        <f t="shared" si="109"/>
        <v>0</v>
      </c>
      <c r="AF39" s="759">
        <f>SUMIFS('利润（汇总）'!33:33,'利润（汇总）'!$1:$1,AF$1,'利润（汇总）'!$2:$2,AF$2)</f>
        <v>0</v>
      </c>
      <c r="AG39" s="759">
        <f t="shared" si="96"/>
        <v>0</v>
      </c>
      <c r="AH39" s="759">
        <f>SUMIFS('利润（汇总）'!33:33,'利润（汇总）'!$1:$1,AH$1,'利润（汇总）'!$2:$2,AH$2)</f>
        <v>0</v>
      </c>
      <c r="AI39" s="759">
        <f t="shared" si="110"/>
        <v>0</v>
      </c>
      <c r="AJ39" s="759">
        <f>SUMIFS('利润（汇总）'!33:33,'利润（汇总）'!$1:$1,AJ$1,'利润（汇总）'!$2:$2,AJ$2)</f>
        <v>0</v>
      </c>
      <c r="AK39" s="759">
        <f t="shared" si="111"/>
        <v>0</v>
      </c>
      <c r="AL39" s="759">
        <f>SUMIFS('利润（汇总）'!33:33,'利润（汇总）'!$1:$1,AL$1,'利润（汇总）'!$2:$2,AL$2)</f>
        <v>0</v>
      </c>
      <c r="AM39" s="759">
        <f t="shared" si="112"/>
        <v>0</v>
      </c>
      <c r="AN39" s="759">
        <f>SUMIFS('利润（汇总）'!33:33,'利润（汇总）'!$1:$1,AN$1,'利润（汇总）'!$2:$2,AN$2)</f>
        <v>0</v>
      </c>
      <c r="AO39" s="759">
        <f t="shared" si="113"/>
        <v>0</v>
      </c>
      <c r="AP39" s="759">
        <f>SUMIFS('利润（汇总）'!33:33,'利润（汇总）'!$1:$1,AP$1,'利润（汇总）'!$2:$2,AP$2)</f>
        <v>0</v>
      </c>
      <c r="AQ39" s="759">
        <f t="shared" si="114"/>
        <v>0</v>
      </c>
      <c r="AR39" s="759">
        <f>SUMIFS('利润（汇总）'!33:33,'利润（汇总）'!$1:$1,AR$1,'利润（汇总）'!$2:$2,AR$2)</f>
        <v>0</v>
      </c>
      <c r="AS39" s="759">
        <f t="shared" si="115"/>
        <v>0</v>
      </c>
      <c r="AT39" s="759">
        <f>SUMIFS('利润（汇总）'!33:33,'利润（汇总）'!$1:$1,AT$1,'利润（汇总）'!$2:$2,AT$2)</f>
        <v>0</v>
      </c>
      <c r="AU39" s="759">
        <f t="shared" si="116"/>
        <v>0</v>
      </c>
      <c r="AV39" s="759">
        <f>SUMIFS('利润（汇总）'!33:33,'利润（汇总）'!$1:$1,AV$1,'利润（汇总）'!$2:$2,AV$2)</f>
        <v>0</v>
      </c>
      <c r="AW39" s="759">
        <f t="shared" si="117"/>
        <v>0</v>
      </c>
      <c r="AX39" s="759">
        <f>SUMIFS('利润（汇总）'!33:33,'利润（汇总）'!$1:$1,AX$1,'利润（汇总）'!$2:$2,AX$2)</f>
        <v>0</v>
      </c>
      <c r="AY39" s="759">
        <f t="shared" si="118"/>
        <v>0</v>
      </c>
      <c r="AZ39" s="759">
        <f>SUMIFS('利润（汇总）'!33:33,'利润（汇总）'!$1:$1,AZ$1,'利润（汇总）'!$2:$2,AZ$2)</f>
        <v>0</v>
      </c>
      <c r="BA39" s="759">
        <f t="shared" si="94"/>
        <v>0</v>
      </c>
      <c r="BB39" s="781">
        <f t="shared" si="31"/>
        <v>0</v>
      </c>
      <c r="BC39" s="781">
        <f t="shared" si="32"/>
        <v>0</v>
      </c>
      <c r="BD39" s="781">
        <f t="shared" si="119"/>
        <v>-1185.510094</v>
      </c>
      <c r="BE39" s="781"/>
      <c r="BF39" s="788">
        <f t="shared" si="47"/>
        <v>0</v>
      </c>
      <c r="BG39" s="788">
        <f t="shared" si="48"/>
        <v>0</v>
      </c>
      <c r="BH39" s="1790">
        <f t="shared" si="33"/>
        <v>0</v>
      </c>
      <c r="BI39" s="1787">
        <f>'@预测#经营利润#'!F39</f>
        <v>0</v>
      </c>
      <c r="BJ39" s="751">
        <f t="shared" si="35"/>
        <v>0</v>
      </c>
      <c r="BK39" s="751">
        <f>AA39-'@预测#经营利润#'!F39</f>
        <v>189.44671199999999</v>
      </c>
      <c r="BL39" s="786"/>
      <c r="BM39" s="788">
        <f t="shared" si="71"/>
        <v>189.44671199999999</v>
      </c>
      <c r="BN39" s="1571">
        <f>'@预测#经营利润#'!E39</f>
        <v>0</v>
      </c>
      <c r="BO39" s="751">
        <f t="shared" si="36"/>
        <v>189.44671199999999</v>
      </c>
    </row>
    <row r="40" spans="1:67" s="754" customFormat="1" ht="15.6" hidden="1" customHeight="1">
      <c r="A40" s="2027" t="s">
        <v>138</v>
      </c>
      <c r="B40" s="771">
        <v>-57</v>
      </c>
      <c r="C40" s="771">
        <f t="shared" si="34"/>
        <v>-4.75</v>
      </c>
      <c r="D40" s="759">
        <f>SUMIFS('利润（汇总）'!34:34,'利润（汇总）'!$1:$1,D$1,'利润（汇总）'!$2:$2,D$2)</f>
        <v>-3.6476660000000001</v>
      </c>
      <c r="E40" s="759">
        <f t="shared" si="97"/>
        <v>-3.6476660000000001</v>
      </c>
      <c r="F40" s="759">
        <f>SUMIFS('利润（汇总）'!34:34,'利润（汇总）'!$1:$1,F$1,'利润（汇总）'!$2:$2,F$2)</f>
        <v>-5.2371999999999996</v>
      </c>
      <c r="G40" s="759">
        <f t="shared" si="98"/>
        <v>-5.2371999999999996</v>
      </c>
      <c r="H40" s="759">
        <f>SUMIFS('利润（汇总）'!34:34,'利润（汇总）'!$1:$1,H$1,'利润（汇总）'!$2:$2,H$2)</f>
        <v>-4.0110999999999999</v>
      </c>
      <c r="I40" s="759">
        <f t="shared" si="99"/>
        <v>-4.0110999999999999</v>
      </c>
      <c r="J40" s="759">
        <f>SUMIFS('利润（汇总）'!34:34,'利润（汇总）'!$1:$1,J$1,'利润（汇总）'!$2:$2,J$2)</f>
        <v>-1.595756</v>
      </c>
      <c r="K40" s="759">
        <f t="shared" si="100"/>
        <v>-1.595756</v>
      </c>
      <c r="L40" s="759">
        <f>SUMIFS('利润（汇总）'!34:34,'利润（汇总）'!$1:$1,L$1,'利润（汇总）'!$2:$2,L$2)</f>
        <v>-4.8472999999999997</v>
      </c>
      <c r="M40" s="759">
        <f t="shared" si="101"/>
        <v>-4.8472999999999997</v>
      </c>
      <c r="N40" s="759">
        <f>SUMIFS('利润（汇总）'!34:34,'利润（汇总）'!$1:$1,N$1,'利润（汇总）'!$2:$2,N$2)</f>
        <v>-4.7225000000000001</v>
      </c>
      <c r="O40" s="759">
        <f t="shared" si="102"/>
        <v>-4.7225000000000001</v>
      </c>
      <c r="P40" s="759">
        <f>SUMIFS('利润（汇总）'!34:34,'利润（汇总）'!$1:$1,P$1,'利润（汇总）'!$2:$2,P$2)</f>
        <v>-2.3049780000000002</v>
      </c>
      <c r="Q40" s="759">
        <f t="shared" si="103"/>
        <v>-2.3049780000000002</v>
      </c>
      <c r="R40" s="759">
        <f>SUMIFS('利润（汇总）'!34:34,'利润（汇总）'!$1:$1,R$1,'利润（汇总）'!$2:$2,R$2)</f>
        <v>-4.9619</v>
      </c>
      <c r="S40" s="759">
        <f t="shared" si="104"/>
        <v>-4.9619</v>
      </c>
      <c r="T40" s="759">
        <f>SUMIFS('利润（汇总）'!34:34,'利润（汇总）'!$1:$1,T$1,'利润（汇总）'!$2:$2,T$2)</f>
        <v>-2.8738000000000001</v>
      </c>
      <c r="U40" s="759">
        <f t="shared" si="105"/>
        <v>-2.8738000000000001</v>
      </c>
      <c r="V40" s="759">
        <f>SUMIFS('利润（汇总）'!34:34,'利润（汇总）'!$1:$1,V$1,'利润（汇总）'!$2:$2,V$2)</f>
        <v>-1.7374069999999999</v>
      </c>
      <c r="W40" s="759">
        <f t="shared" si="106"/>
        <v>-1.7374069999999999</v>
      </c>
      <c r="X40" s="759">
        <f>SUMIFS('利润（汇总）'!34:34,'利润（汇总）'!$1:$1,X$1,'利润（汇总）'!$2:$2,X$2)</f>
        <v>-5.9638</v>
      </c>
      <c r="Y40" s="759">
        <f t="shared" si="107"/>
        <v>-5.9638</v>
      </c>
      <c r="Z40" s="759">
        <f>SUMIFS('利润（汇总）'!34:34,'利润（汇总）'!$1:$1,Z$1,'利润（汇总）'!$2:$2,Z$2)</f>
        <v>-5.96</v>
      </c>
      <c r="AA40" s="759">
        <f t="shared" si="108"/>
        <v>-5.96</v>
      </c>
      <c r="AB40" s="759">
        <f>SUMIFS('利润（汇总）'!34:34,'利润（汇总）'!$1:$1,AB$1,'利润（汇总）'!$2:$2,AB$2)</f>
        <v>-1.837467</v>
      </c>
      <c r="AC40" s="759">
        <f t="shared" si="109"/>
        <v>-1.837467</v>
      </c>
      <c r="AD40" s="759">
        <f>SUMIFS('利润（汇总）'!34:34,'利润（汇总）'!$1:$1,AD$1,'利润（汇总）'!$2:$2,AD$2)</f>
        <v>-4.4115000000000002</v>
      </c>
      <c r="AE40" s="759">
        <f t="shared" si="109"/>
        <v>-4.4115000000000002</v>
      </c>
      <c r="AF40" s="759">
        <f>SUMIFS('利润（汇总）'!34:34,'利润（汇总）'!$1:$1,AF$1,'利润（汇总）'!$2:$2,AF$2)</f>
        <v>-4.9753999999999996</v>
      </c>
      <c r="AG40" s="759">
        <f t="shared" si="96"/>
        <v>-4.9753999999999996</v>
      </c>
      <c r="AH40" s="759">
        <f>SUMIFS('利润（汇总）'!34:34,'利润（汇总）'!$1:$1,AH$1,'利润（汇总）'!$2:$2,AH$2)</f>
        <v>-2.5652650000000001</v>
      </c>
      <c r="AI40" s="759">
        <f t="shared" si="110"/>
        <v>-2.5652650000000001</v>
      </c>
      <c r="AJ40" s="759">
        <f>SUMIFS('利润（汇总）'!34:34,'利润（汇总）'!$1:$1,AJ$1,'利润（汇总）'!$2:$2,AJ$2)</f>
        <v>-4.1337999999999999</v>
      </c>
      <c r="AK40" s="759">
        <f t="shared" si="111"/>
        <v>-4.1337999999999999</v>
      </c>
      <c r="AL40" s="759">
        <f>SUMIFS('利润（汇总）'!34:34,'利润（汇总）'!$1:$1,AL$1,'利润（汇总）'!$2:$2,AL$2)</f>
        <v>-4.3236920000000003</v>
      </c>
      <c r="AM40" s="759">
        <f t="shared" si="112"/>
        <v>-4.3236920000000003</v>
      </c>
      <c r="AN40" s="759">
        <f>SUMIFS('利润（汇总）'!34:34,'利润（汇总）'!$1:$1,AN$1,'利润（汇总）'!$2:$2,AN$2)</f>
        <v>1.8188359999999999</v>
      </c>
      <c r="AO40" s="759">
        <f t="shared" si="113"/>
        <v>1.8188359999999999</v>
      </c>
      <c r="AP40" s="759">
        <f>SUMIFS('利润（汇总）'!34:34,'利润（汇总）'!$1:$1,AP$1,'利润（汇总）'!$2:$2,AP$2)</f>
        <v>0</v>
      </c>
      <c r="AQ40" s="759">
        <f t="shared" si="114"/>
        <v>0</v>
      </c>
      <c r="AR40" s="759">
        <f>SUMIFS('利润（汇总）'!34:34,'利润（汇总）'!$1:$1,AR$1,'利润（汇总）'!$2:$2,AR$2)</f>
        <v>0.99154300000000006</v>
      </c>
      <c r="AS40" s="759">
        <f t="shared" si="115"/>
        <v>0.99154300000000006</v>
      </c>
      <c r="AT40" s="759">
        <f>SUMIFS('利润（汇总）'!34:34,'利润（汇总）'!$1:$1,AT$1,'利润（汇总）'!$2:$2,AT$2)</f>
        <v>0</v>
      </c>
      <c r="AU40" s="759">
        <f t="shared" si="116"/>
        <v>0</v>
      </c>
      <c r="AV40" s="759">
        <f>SUMIFS('利润（汇总）'!34:34,'利润（汇总）'!$1:$1,AV$1,'利润（汇总）'!$2:$2,AV$2)</f>
        <v>0</v>
      </c>
      <c r="AW40" s="759">
        <f t="shared" si="117"/>
        <v>0</v>
      </c>
      <c r="AX40" s="759">
        <f>SUMIFS('利润（汇总）'!34:34,'利润（汇总）'!$1:$1,AX$1,'利润（汇总）'!$2:$2,AX$2)</f>
        <v>0</v>
      </c>
      <c r="AY40" s="759">
        <f t="shared" si="118"/>
        <v>0</v>
      </c>
      <c r="AZ40" s="759">
        <f>SUMIFS('利润（汇总）'!34:34,'利润（汇总）'!$1:$1,AZ$1,'利润（汇总）'!$2:$2,AZ$2)</f>
        <v>0</v>
      </c>
      <c r="BA40" s="759">
        <f t="shared" si="94"/>
        <v>0</v>
      </c>
      <c r="BB40" s="781">
        <f t="shared" si="31"/>
        <v>-0.5638999999999994</v>
      </c>
      <c r="BC40" s="781">
        <f t="shared" si="32"/>
        <v>-0.5638999999999994</v>
      </c>
      <c r="BD40" s="781">
        <f t="shared" si="119"/>
        <v>0.73890000000000011</v>
      </c>
      <c r="BE40" s="781"/>
      <c r="BF40" s="788">
        <f t="shared" si="47"/>
        <v>-17.599278000000002</v>
      </c>
      <c r="BG40" s="788">
        <f t="shared" si="48"/>
        <v>-17.599278000000002</v>
      </c>
      <c r="BH40" s="1790">
        <f t="shared" si="33"/>
        <v>-2.5652650000000001</v>
      </c>
      <c r="BI40" s="1787">
        <f>'@预测#经营利润#'!F40</f>
        <v>0</v>
      </c>
      <c r="BJ40" s="751">
        <f t="shared" si="35"/>
        <v>-2.5652650000000001</v>
      </c>
      <c r="BK40" s="751">
        <f>AA40-'@预测#经营利润#'!F40</f>
        <v>-5.96</v>
      </c>
      <c r="BL40" s="786"/>
      <c r="BM40" s="788">
        <f t="shared" si="71"/>
        <v>-5.96</v>
      </c>
      <c r="BN40" s="1571">
        <f>'@预测#经营利润#'!E40</f>
        <v>0</v>
      </c>
      <c r="BO40" s="751">
        <f t="shared" si="36"/>
        <v>-5.96</v>
      </c>
    </row>
    <row r="41" spans="1:67" s="754" customFormat="1" ht="15.6" hidden="1" customHeight="1">
      <c r="A41" s="2027" t="s">
        <v>139</v>
      </c>
      <c r="B41" s="771">
        <v>586</v>
      </c>
      <c r="C41" s="771">
        <f t="shared" si="34"/>
        <v>48.833333333333336</v>
      </c>
      <c r="D41" s="759">
        <f>SUMIFS('利润（汇总）'!35:35,'利润（汇总）'!$1:$1,D$1,'利润（汇总）'!$2:$2,D$2)</f>
        <v>-14.660551</v>
      </c>
      <c r="E41" s="759">
        <f t="shared" si="97"/>
        <v>-14.660551</v>
      </c>
      <c r="F41" s="759">
        <f>SUMIFS('利润（汇总）'!35:35,'利润（汇总）'!$1:$1,F$1,'利润（汇总）'!$2:$2,F$2)</f>
        <v>-14.562013</v>
      </c>
      <c r="G41" s="759">
        <f t="shared" si="98"/>
        <v>-14.562013</v>
      </c>
      <c r="H41" s="759">
        <f>SUMIFS('利润（汇总）'!35:35,'利润（汇总）'!$1:$1,H$1,'利润（汇总）'!$2:$2,H$2)</f>
        <v>-14.409791</v>
      </c>
      <c r="I41" s="759">
        <f t="shared" si="99"/>
        <v>-14.409791</v>
      </c>
      <c r="J41" s="759">
        <f>SUMIFS('利润（汇总）'!35:35,'利润（汇总）'!$1:$1,J$1,'利润（汇总）'!$2:$2,J$2)</f>
        <v>-13.727679999999999</v>
      </c>
      <c r="K41" s="759">
        <f t="shared" si="100"/>
        <v>-13.727679999999999</v>
      </c>
      <c r="L41" s="759">
        <f>SUMIFS('利润（汇总）'!35:35,'利润（汇总）'!$1:$1,L$1,'利润（汇总）'!$2:$2,L$2)</f>
        <v>-14.356890999999999</v>
      </c>
      <c r="M41" s="759">
        <f t="shared" si="101"/>
        <v>-14.356890999999999</v>
      </c>
      <c r="N41" s="759">
        <f>SUMIFS('利润（汇总）'!35:35,'利润（汇总）'!$1:$1,N$1,'利润（汇总）'!$2:$2,N$2)</f>
        <v>-14.901991000000001</v>
      </c>
      <c r="O41" s="759">
        <f t="shared" si="102"/>
        <v>-14.901991000000001</v>
      </c>
      <c r="P41" s="759">
        <f>SUMIFS('利润（汇总）'!35:35,'利润（汇总）'!$1:$1,P$1,'利润（汇总）'!$2:$2,P$2)</f>
        <v>-13.801304</v>
      </c>
      <c r="Q41" s="759">
        <f t="shared" si="103"/>
        <v>-13.801304</v>
      </c>
      <c r="R41" s="759">
        <f>SUMIFS('利润（汇总）'!35:35,'利润（汇总）'!$1:$1,R$1,'利润（汇总）'!$2:$2,R$2)</f>
        <v>-15.951091</v>
      </c>
      <c r="S41" s="759">
        <f t="shared" si="104"/>
        <v>-15.951091</v>
      </c>
      <c r="T41" s="759">
        <f>SUMIFS('利润（汇总）'!35:35,'利润（汇总）'!$1:$1,T$1,'利润（汇总）'!$2:$2,T$2)</f>
        <v>-14.475991</v>
      </c>
      <c r="U41" s="759">
        <f t="shared" si="105"/>
        <v>-14.475991</v>
      </c>
      <c r="V41" s="759">
        <f>SUMIFS('利润（汇总）'!35:35,'利润（汇总）'!$1:$1,V$1,'利润（汇总）'!$2:$2,V$2)</f>
        <v>-14.984086</v>
      </c>
      <c r="W41" s="759">
        <f t="shared" si="106"/>
        <v>-14.984086</v>
      </c>
      <c r="X41" s="759">
        <f>SUMIFS('利润（汇总）'!35:35,'利润（汇总）'!$1:$1,X$1,'利润（汇总）'!$2:$2,X$2)</f>
        <v>-15.674991</v>
      </c>
      <c r="Y41" s="759">
        <f t="shared" si="107"/>
        <v>-15.674991</v>
      </c>
      <c r="Z41" s="759">
        <f>SUMIFS('利润（汇总）'!35:35,'利润（汇总）'!$1:$1,Z$1,'利润（汇总）'!$2:$2,Z$2)</f>
        <v>-15.67</v>
      </c>
      <c r="AA41" s="759">
        <f t="shared" si="108"/>
        <v>-15.67</v>
      </c>
      <c r="AB41" s="759">
        <f>SUMIFS('利润（汇总）'!35:35,'利润（汇总）'!$1:$1,AB$1,'利润（汇总）'!$2:$2,AB$2)</f>
        <v>-14.9808</v>
      </c>
      <c r="AC41" s="759">
        <f t="shared" si="109"/>
        <v>-14.9808</v>
      </c>
      <c r="AD41" s="759">
        <f>SUMIFS('利润（汇总）'!35:35,'利润（汇总）'!$1:$1,AD$1,'利润（汇总）'!$2:$2,AD$2)</f>
        <v>-15.750291000000001</v>
      </c>
      <c r="AE41" s="759">
        <f t="shared" si="109"/>
        <v>-15.750291000000001</v>
      </c>
      <c r="AF41" s="759">
        <f>SUMIFS('利润（汇总）'!35:35,'利润（汇总）'!$1:$1,AF$1,'利润（汇总）'!$2:$2,AF$2)</f>
        <v>-14.975891000000001</v>
      </c>
      <c r="AG41" s="759">
        <f t="shared" si="96"/>
        <v>-14.975891000000001</v>
      </c>
      <c r="AH41" s="759">
        <f>SUMIFS('利润（汇总）'!35:35,'利润（汇总）'!$1:$1,AH$1,'利润（汇总）'!$2:$2,AH$2)</f>
        <v>-15.028878000000001</v>
      </c>
      <c r="AI41" s="759">
        <f t="shared" si="110"/>
        <v>-15.028878000000001</v>
      </c>
      <c r="AJ41" s="759">
        <f>SUMIFS('利润（汇总）'!35:35,'利润（汇总）'!$1:$1,AJ$1,'利润（汇总）'!$2:$2,AJ$2)</f>
        <v>-15.061691</v>
      </c>
      <c r="AK41" s="759">
        <f t="shared" si="111"/>
        <v>-15.061691</v>
      </c>
      <c r="AL41" s="759">
        <f>SUMIFS('利润（汇总）'!35:35,'利润（汇总）'!$1:$1,AL$1,'利润（汇总）'!$2:$2,AL$2)</f>
        <v>-15.090391</v>
      </c>
      <c r="AM41" s="759">
        <f t="shared" si="112"/>
        <v>-15.090391</v>
      </c>
      <c r="AN41" s="759">
        <f>SUMIFS('利润（汇总）'!35:35,'利润（汇总）'!$1:$1,AN$1,'利润（汇总）'!$2:$2,AN$2)</f>
        <v>-14.929835000000001</v>
      </c>
      <c r="AO41" s="759">
        <f t="shared" si="113"/>
        <v>-14.929835000000001</v>
      </c>
      <c r="AP41" s="759">
        <f>SUMIFS('利润（汇总）'!35:35,'利润（汇总）'!$1:$1,AP$1,'利润（汇总）'!$2:$2,AP$2)</f>
        <v>-17</v>
      </c>
      <c r="AQ41" s="759">
        <f t="shared" si="114"/>
        <v>-17</v>
      </c>
      <c r="AR41" s="759">
        <f>SUMIFS('利润（汇总）'!35:35,'利润（汇总）'!$1:$1,AR$1,'利润（汇总）'!$2:$2,AR$2)</f>
        <v>-17.068158</v>
      </c>
      <c r="AS41" s="759">
        <f t="shared" si="115"/>
        <v>-17.068158</v>
      </c>
      <c r="AT41" s="759">
        <f>SUMIFS('利润（汇总）'!35:35,'利润（汇总）'!$1:$1,AT$1,'利润（汇总）'!$2:$2,AT$2)</f>
        <v>0</v>
      </c>
      <c r="AU41" s="759">
        <f t="shared" si="116"/>
        <v>0</v>
      </c>
      <c r="AV41" s="759">
        <f>SUMIFS('利润（汇总）'!35:35,'利润（汇总）'!$1:$1,AV$1,'利润（汇总）'!$2:$2,AV$2)</f>
        <v>0</v>
      </c>
      <c r="AW41" s="759">
        <f t="shared" si="117"/>
        <v>0</v>
      </c>
      <c r="AX41" s="759">
        <f>SUMIFS('利润（汇总）'!35:35,'利润（汇总）'!$1:$1,AX$1,'利润（汇总）'!$2:$2,AX$2)</f>
        <v>0</v>
      </c>
      <c r="AY41" s="759">
        <f t="shared" si="118"/>
        <v>0</v>
      </c>
      <c r="AZ41" s="759">
        <f>SUMIFS('利润（汇总）'!35:35,'利润（汇总）'!$1:$1,AZ$1,'利润（汇总）'!$2:$2,AZ$2)</f>
        <v>0</v>
      </c>
      <c r="BA41" s="759">
        <f t="shared" si="94"/>
        <v>0</v>
      </c>
      <c r="BB41" s="781">
        <f t="shared" si="31"/>
        <v>0.77439999999999998</v>
      </c>
      <c r="BC41" s="781">
        <f t="shared" si="32"/>
        <v>0.77439999999999998</v>
      </c>
      <c r="BD41" s="781">
        <f t="shared" si="119"/>
        <v>-63.243124333333334</v>
      </c>
      <c r="BE41" s="781"/>
      <c r="BF41" s="788">
        <f t="shared" si="47"/>
        <v>-124.90513499999999</v>
      </c>
      <c r="BG41" s="788">
        <f t="shared" si="48"/>
        <v>-124.90513499999999</v>
      </c>
      <c r="BH41" s="1790">
        <f t="shared" si="33"/>
        <v>-15.028878000000001</v>
      </c>
      <c r="BI41" s="1787">
        <f>'@预测#经营利润#'!F41</f>
        <v>-17</v>
      </c>
      <c r="BJ41" s="751">
        <f t="shared" si="35"/>
        <v>1.9711219999999994</v>
      </c>
      <c r="BK41" s="751">
        <f>AA41-'@预测#经营利润#'!F41</f>
        <v>1.33</v>
      </c>
      <c r="BL41" s="786"/>
      <c r="BM41" s="788">
        <f t="shared" si="71"/>
        <v>-15.67</v>
      </c>
      <c r="BN41" s="1571">
        <f>'@预测#经营利润#'!E41</f>
        <v>-17</v>
      </c>
      <c r="BO41" s="751">
        <f t="shared" si="36"/>
        <v>1.33</v>
      </c>
    </row>
    <row r="42" spans="1:67" s="754" customFormat="1" ht="15.6" hidden="1" customHeight="1">
      <c r="A42" s="2027" t="s">
        <v>140</v>
      </c>
      <c r="B42" s="771">
        <v>270</v>
      </c>
      <c r="C42" s="771">
        <f t="shared" si="34"/>
        <v>22.5</v>
      </c>
      <c r="D42" s="759">
        <f>SUMIFS('利润（汇总）'!36:36,'利润（汇总）'!$1:$1,D$1,'利润（汇总）'!$2:$2,D$2)</f>
        <v>-6.2618840000000002</v>
      </c>
      <c r="E42" s="759">
        <f t="shared" si="97"/>
        <v>-6.2618840000000002</v>
      </c>
      <c r="F42" s="759">
        <f>SUMIFS('利润（汇总）'!36:36,'利润（汇总）'!$1:$1,F$1,'利润（汇总）'!$2:$2,F$2)</f>
        <v>-6.9395150000000001</v>
      </c>
      <c r="G42" s="759">
        <f t="shared" si="98"/>
        <v>-6.9395150000000001</v>
      </c>
      <c r="H42" s="759">
        <f>SUMIFS('利润（汇总）'!36:36,'利润（汇总）'!$1:$1,H$1,'利润（汇总）'!$2:$2,H$2)</f>
        <v>-5.8713150000000001</v>
      </c>
      <c r="I42" s="759">
        <f t="shared" si="99"/>
        <v>-5.8713150000000001</v>
      </c>
      <c r="J42" s="759">
        <f>SUMIFS('利润（汇总）'!36:36,'利润（汇总）'!$1:$1,J$1,'利润（汇总）'!$2:$2,J$2)</f>
        <v>-5.2973569999999999</v>
      </c>
      <c r="K42" s="759">
        <f t="shared" si="100"/>
        <v>-5.2973569999999999</v>
      </c>
      <c r="L42" s="759">
        <f>SUMIFS('利润（汇总）'!36:36,'利润（汇总）'!$1:$1,L$1,'利润（汇总）'!$2:$2,L$2)</f>
        <v>-5.7137000000000002</v>
      </c>
      <c r="M42" s="759">
        <f t="shared" si="101"/>
        <v>-5.7137000000000002</v>
      </c>
      <c r="N42" s="759">
        <f>SUMIFS('利润（汇总）'!36:36,'利润（汇总）'!$1:$1,N$1,'利润（汇总）'!$2:$2,N$2)</f>
        <v>-6.8780999999999999</v>
      </c>
      <c r="O42" s="759">
        <f t="shared" si="102"/>
        <v>-6.8780999999999999</v>
      </c>
      <c r="P42" s="759">
        <f>SUMIFS('利润（汇总）'!36:36,'利润（汇总）'!$1:$1,P$1,'利润（汇总）'!$2:$2,P$2)</f>
        <v>-4.8462440000000004</v>
      </c>
      <c r="Q42" s="759">
        <f t="shared" si="103"/>
        <v>-4.8462440000000004</v>
      </c>
      <c r="R42" s="759">
        <f>SUMIFS('利润（汇总）'!36:36,'利润（汇总）'!$1:$1,R$1,'利润（汇总）'!$2:$2,R$2)</f>
        <v>-6.8608000000000002</v>
      </c>
      <c r="S42" s="759">
        <f t="shared" si="104"/>
        <v>-6.8608000000000002</v>
      </c>
      <c r="T42" s="759">
        <f>SUMIFS('利润（汇总）'!36:36,'利润（汇总）'!$1:$1,T$1,'利润（汇总）'!$2:$2,T$2)</f>
        <v>-6.0738000000000003</v>
      </c>
      <c r="U42" s="759">
        <f t="shared" si="105"/>
        <v>-6.0738000000000003</v>
      </c>
      <c r="V42" s="759">
        <f>SUMIFS('利润（汇总）'!36:36,'利润（汇总）'!$1:$1,V$1,'利润（汇总）'!$2:$2,V$2)</f>
        <v>-6.0413569999999996</v>
      </c>
      <c r="W42" s="759">
        <f t="shared" si="106"/>
        <v>-6.0413569999999996</v>
      </c>
      <c r="X42" s="759">
        <f>SUMIFS('利润（汇总）'!36:36,'利润（汇总）'!$1:$1,X$1,'利润（汇总）'!$2:$2,X$2)</f>
        <v>-8.3621999999999996</v>
      </c>
      <c r="Y42" s="759">
        <f t="shared" si="107"/>
        <v>-8.3621999999999996</v>
      </c>
      <c r="Z42" s="759">
        <f>SUMIFS('利润（汇总）'!36:36,'利润（汇总）'!$1:$1,Z$1,'利润（汇总）'!$2:$2,Z$2)</f>
        <v>-8.36</v>
      </c>
      <c r="AA42" s="759">
        <f t="shared" si="108"/>
        <v>-8.36</v>
      </c>
      <c r="AB42" s="759">
        <f>SUMIFS('利润（汇总）'!36:36,'利润（汇总）'!$1:$1,AB$1,'利润（汇总）'!$2:$2,AB$2)</f>
        <v>-5.1322890000000001</v>
      </c>
      <c r="AC42" s="759">
        <f t="shared" si="109"/>
        <v>-5.1322890000000001</v>
      </c>
      <c r="AD42" s="759">
        <f>SUMIFS('利润（汇总）'!36:36,'利润（汇总）'!$1:$1,AD$1,'利润（汇总）'!$2:$2,AD$2)</f>
        <v>-5.8734000000000002</v>
      </c>
      <c r="AE42" s="759">
        <f t="shared" si="109"/>
        <v>-5.8734000000000002</v>
      </c>
      <c r="AF42" s="759">
        <f>SUMIFS('利润（汇总）'!36:36,'利润（汇总）'!$1:$1,AF$1,'利润（汇总）'!$2:$2,AF$2)</f>
        <v>-7.3765000000000001</v>
      </c>
      <c r="AG42" s="759">
        <f t="shared" si="96"/>
        <v>-7.3765000000000001</v>
      </c>
      <c r="AH42" s="759">
        <f>SUMIFS('利润（汇总）'!36:36,'利润（汇总）'!$1:$1,AH$1,'利润（汇总）'!$2:$2,AH$2)</f>
        <v>-5.1390919999999998</v>
      </c>
      <c r="AI42" s="759">
        <f t="shared" si="110"/>
        <v>-5.1390919999999998</v>
      </c>
      <c r="AJ42" s="759">
        <f>SUMIFS('利润（汇总）'!36:36,'利润（汇总）'!$1:$1,AJ$1,'利润（汇总）'!$2:$2,AJ$2)</f>
        <v>-6.641</v>
      </c>
      <c r="AK42" s="759">
        <f t="shared" si="111"/>
        <v>-6.641</v>
      </c>
      <c r="AL42" s="759">
        <f>SUMIFS('利润（汇总）'!36:36,'利润（汇总）'!$1:$1,AL$1,'利润（汇总）'!$2:$2,AL$2)</f>
        <v>-6.5468999999999999</v>
      </c>
      <c r="AM42" s="759">
        <f t="shared" si="112"/>
        <v>-6.5468999999999999</v>
      </c>
      <c r="AN42" s="759">
        <f>SUMIFS('利润（汇总）'!36:36,'利润（汇总）'!$1:$1,AN$1,'利润（汇总）'!$2:$2,AN$2)</f>
        <v>-11.513377</v>
      </c>
      <c r="AO42" s="759">
        <f t="shared" si="113"/>
        <v>-11.513377</v>
      </c>
      <c r="AP42" s="759">
        <f>SUMIFS('利润（汇总）'!36:36,'利润（汇总）'!$1:$1,AP$1,'利润（汇总）'!$2:$2,AP$2)</f>
        <v>-8</v>
      </c>
      <c r="AQ42" s="759">
        <f t="shared" si="114"/>
        <v>-8</v>
      </c>
      <c r="AR42" s="759">
        <f>SUMIFS('利润（汇总）'!36:36,'利润（汇总）'!$1:$1,AR$1,'利润（汇总）'!$2:$2,AR$2)</f>
        <v>-8.1818000000000008</v>
      </c>
      <c r="AS42" s="759">
        <f t="shared" si="115"/>
        <v>-8.1818000000000008</v>
      </c>
      <c r="AT42" s="759">
        <f>SUMIFS('利润（汇总）'!36:36,'利润（汇总）'!$1:$1,AT$1,'利润（汇总）'!$2:$2,AT$2)</f>
        <v>0</v>
      </c>
      <c r="AU42" s="759">
        <f t="shared" si="116"/>
        <v>0</v>
      </c>
      <c r="AV42" s="759">
        <f>SUMIFS('利润（汇总）'!36:36,'利润（汇总）'!$1:$1,AV$1,'利润（汇总）'!$2:$2,AV$2)</f>
        <v>0</v>
      </c>
      <c r="AW42" s="759">
        <f t="shared" si="117"/>
        <v>0</v>
      </c>
      <c r="AX42" s="759">
        <f>SUMIFS('利润（汇总）'!36:36,'利润（汇总）'!$1:$1,AX$1,'利润（汇总）'!$2:$2,AX$2)</f>
        <v>0</v>
      </c>
      <c r="AY42" s="759">
        <f t="shared" si="118"/>
        <v>0</v>
      </c>
      <c r="AZ42" s="759">
        <f>SUMIFS('利润（汇总）'!36:36,'利润（汇总）'!$1:$1,AZ$1,'利润（汇总）'!$2:$2,AZ$2)</f>
        <v>0</v>
      </c>
      <c r="BA42" s="759">
        <f t="shared" si="94"/>
        <v>0</v>
      </c>
      <c r="BB42" s="781">
        <f t="shared" si="31"/>
        <v>-1.5030999999999999</v>
      </c>
      <c r="BC42" s="781">
        <f t="shared" si="32"/>
        <v>-1.5030999999999999</v>
      </c>
      <c r="BD42" s="781">
        <f t="shared" si="119"/>
        <v>-28.371314999999999</v>
      </c>
      <c r="BE42" s="781"/>
      <c r="BF42" s="788">
        <f t="shared" si="47"/>
        <v>-59.272069000000002</v>
      </c>
      <c r="BG42" s="788">
        <f t="shared" si="48"/>
        <v>-59.272069000000002</v>
      </c>
      <c r="BH42" s="1790">
        <f t="shared" si="33"/>
        <v>-5.1390919999999998</v>
      </c>
      <c r="BI42" s="1787">
        <f>'@预测#经营利润#'!F42</f>
        <v>-8</v>
      </c>
      <c r="BJ42" s="751">
        <f t="shared" si="35"/>
        <v>2.8609080000000002</v>
      </c>
      <c r="BK42" s="751">
        <f>AA42-'@预测#经营利润#'!F42</f>
        <v>-0.35999999999999943</v>
      </c>
      <c r="BL42" s="786"/>
      <c r="BM42" s="788">
        <f t="shared" si="71"/>
        <v>-8.36</v>
      </c>
      <c r="BN42" s="1571">
        <f>'@预测#经营利润#'!E42</f>
        <v>-8</v>
      </c>
      <c r="BO42" s="751">
        <f t="shared" si="36"/>
        <v>-0.35999999999999943</v>
      </c>
    </row>
    <row r="43" spans="1:67" s="754" customFormat="1" ht="14.25">
      <c r="A43" s="2027" t="s">
        <v>141</v>
      </c>
      <c r="B43" s="771">
        <f>B6-B7-SUBTOTAL(109,B12:B42)-B46</f>
        <v>64601.999999999956</v>
      </c>
      <c r="C43" s="771">
        <f>C6-C7-SUBTOTAL(109,C15:C42)-C46</f>
        <v>36649.045797516053</v>
      </c>
      <c r="D43" s="772">
        <f t="shared" ref="D43:AI43" si="120">D6-D7-SUBTOTAL(109,D12:D42)-D46</f>
        <v>429.2509089999985</v>
      </c>
      <c r="E43" s="772">
        <f t="shared" si="120"/>
        <v>429.25090900000214</v>
      </c>
      <c r="F43" s="772">
        <f t="shared" si="120"/>
        <v>1988.8518170000013</v>
      </c>
      <c r="G43" s="772">
        <f t="shared" si="120"/>
        <v>1988.8518170000032</v>
      </c>
      <c r="H43" s="772">
        <f t="shared" si="120"/>
        <v>227.44381499999963</v>
      </c>
      <c r="I43" s="772">
        <f t="shared" si="120"/>
        <v>227.44381499999918</v>
      </c>
      <c r="J43" s="772">
        <f t="shared" si="120"/>
        <v>2554.9366959999988</v>
      </c>
      <c r="K43" s="772">
        <f t="shared" si="120"/>
        <v>2554.9366960000034</v>
      </c>
      <c r="L43" s="772">
        <f t="shared" si="120"/>
        <v>3271.7044929999993</v>
      </c>
      <c r="M43" s="772">
        <f t="shared" si="120"/>
        <v>3271.7044929999975</v>
      </c>
      <c r="N43" s="772">
        <f t="shared" si="120"/>
        <v>3815.8570869999967</v>
      </c>
      <c r="O43" s="772">
        <f t="shared" si="120"/>
        <v>3815.8570869999967</v>
      </c>
      <c r="P43" s="772">
        <f t="shared" si="120"/>
        <v>9605.2685110000093</v>
      </c>
      <c r="Q43" s="772">
        <f t="shared" si="120"/>
        <v>9605.2685109999984</v>
      </c>
      <c r="R43" s="772">
        <f t="shared" si="120"/>
        <v>4451.5547200000037</v>
      </c>
      <c r="S43" s="772">
        <f t="shared" si="120"/>
        <v>4451.5547200000001</v>
      </c>
      <c r="T43" s="772">
        <f t="shared" si="120"/>
        <v>3807.0100970000003</v>
      </c>
      <c r="U43" s="772">
        <f t="shared" si="120"/>
        <v>3807.0100970000076</v>
      </c>
      <c r="V43" s="772">
        <f t="shared" si="120"/>
        <v>2731.6439610000107</v>
      </c>
      <c r="W43" s="772">
        <f t="shared" si="120"/>
        <v>2731.6439610000107</v>
      </c>
      <c r="X43" s="772">
        <f t="shared" si="120"/>
        <v>4400.7803879999883</v>
      </c>
      <c r="Y43" s="772">
        <f t="shared" si="120"/>
        <v>4400.7803879999883</v>
      </c>
      <c r="Z43" s="772">
        <f t="shared" si="120"/>
        <v>3922.1591670000016</v>
      </c>
      <c r="AA43" s="772">
        <f t="shared" si="120"/>
        <v>3922.1591670000016</v>
      </c>
      <c r="AB43" s="772">
        <f t="shared" si="120"/>
        <v>-1054.4784030000046</v>
      </c>
      <c r="AC43" s="772">
        <f>AC6-AC7-SUBTOTAL(109,AC12:AC42)-AC46-3044-2300</f>
        <v>4169.5215969999917</v>
      </c>
      <c r="AD43" s="772">
        <f t="shared" si="120"/>
        <v>2484.0147149999975</v>
      </c>
      <c r="AE43" s="772">
        <f t="shared" si="120"/>
        <v>2484.0147149999975</v>
      </c>
      <c r="AF43" s="772">
        <f t="shared" si="120"/>
        <v>2144.877864000011</v>
      </c>
      <c r="AG43" s="772">
        <f t="shared" si="120"/>
        <v>2144.877864000011</v>
      </c>
      <c r="AH43" s="772">
        <f t="shared" si="120"/>
        <v>8255.1872389999608</v>
      </c>
      <c r="AI43" s="772">
        <f t="shared" si="120"/>
        <v>8255.1872389999608</v>
      </c>
      <c r="AJ43" s="772">
        <f t="shared" ref="AJ43:BA43" si="121">AJ6-AJ7-SUBTOTAL(109,AJ12:AJ42)-AJ46</f>
        <v>5571.7614139999814</v>
      </c>
      <c r="AK43" s="772">
        <f t="shared" si="121"/>
        <v>5571.7614139999814</v>
      </c>
      <c r="AL43" s="772">
        <f t="shared" si="121"/>
        <v>4725.8754159999735</v>
      </c>
      <c r="AM43" s="772">
        <f t="shared" si="121"/>
        <v>4725.8754159999735</v>
      </c>
      <c r="AN43" s="772">
        <f t="shared" si="121"/>
        <v>8786.0823089999576</v>
      </c>
      <c r="AO43" s="772">
        <f t="shared" si="121"/>
        <v>8786.0823089999576</v>
      </c>
      <c r="AP43" s="772">
        <f t="shared" si="121"/>
        <v>3410.7461580000527</v>
      </c>
      <c r="AQ43" s="772">
        <f t="shared" si="121"/>
        <v>3410.7461580000527</v>
      </c>
      <c r="AR43" s="772">
        <f t="shared" si="121"/>
        <v>8387.4326250000304</v>
      </c>
      <c r="AS43" s="772">
        <f t="shared" si="121"/>
        <v>8387.4326250000304</v>
      </c>
      <c r="AT43" s="772">
        <f t="shared" si="121"/>
        <v>0</v>
      </c>
      <c r="AU43" s="772">
        <f t="shared" si="121"/>
        <v>0</v>
      </c>
      <c r="AV43" s="772">
        <f t="shared" si="121"/>
        <v>0</v>
      </c>
      <c r="AW43" s="772">
        <f t="shared" si="121"/>
        <v>0</v>
      </c>
      <c r="AX43" s="772">
        <f t="shared" si="121"/>
        <v>0</v>
      </c>
      <c r="AY43" s="772">
        <f t="shared" si="121"/>
        <v>0</v>
      </c>
      <c r="AZ43" s="772">
        <f t="shared" si="121"/>
        <v>0</v>
      </c>
      <c r="BA43" s="772">
        <f t="shared" si="121"/>
        <v>0</v>
      </c>
      <c r="BB43" s="781">
        <f t="shared" si="31"/>
        <v>-339.13685099998656</v>
      </c>
      <c r="BC43" s="781">
        <f t="shared" si="32"/>
        <v>-339.13685099998656</v>
      </c>
      <c r="BD43" s="781">
        <f t="shared" si="119"/>
        <v>-36421.601982516055</v>
      </c>
      <c r="BE43" s="781"/>
      <c r="BF43" s="788">
        <f t="shared" si="47"/>
        <v>43765.977739999966</v>
      </c>
      <c r="BG43" s="788">
        <f t="shared" si="48"/>
        <v>43765.977739999966</v>
      </c>
      <c r="BH43" s="1790">
        <f t="shared" si="33"/>
        <v>8255.1872389999608</v>
      </c>
      <c r="BI43" s="1787">
        <f>'@预测#经营利润#'!F43</f>
        <v>-1.2732925824820995E-11</v>
      </c>
      <c r="BJ43" s="751">
        <f t="shared" si="35"/>
        <v>8255.1872389999735</v>
      </c>
      <c r="BK43" s="751">
        <f>AA43-'@预测#经营利润#'!F43</f>
        <v>3922.1591670000143</v>
      </c>
      <c r="BL43" s="786"/>
      <c r="BM43" s="1676"/>
      <c r="BN43" s="785"/>
      <c r="BO43" s="785"/>
    </row>
    <row r="44" spans="1:67" s="754" customFormat="1" ht="14.25">
      <c r="A44" s="1866" t="s">
        <v>1237</v>
      </c>
      <c r="B44" s="1952">
        <v>118</v>
      </c>
      <c r="C44" s="1952">
        <f>B44/12</f>
        <v>9.8333333333333339</v>
      </c>
      <c r="D44" s="1870"/>
      <c r="E44" s="1870"/>
      <c r="F44" s="1870">
        <f>SUMIFS('利润（汇总）'!8:8,'利润（汇总）'!$1:$1,F$1,'利润（汇总）'!$2:$2,F$2)</f>
        <v>-4697.6055230000002</v>
      </c>
      <c r="G44" s="1870">
        <f t="shared" ref="G44:G45" si="122">F44</f>
        <v>-4697.6055230000002</v>
      </c>
      <c r="H44" s="1870">
        <f>SUMIFS('利润（汇总）'!8:8,'利润（汇总）'!$1:$1,H$1,'利润（汇总）'!$2:$2,H$2)</f>
        <v>-4409.7433970000002</v>
      </c>
      <c r="I44" s="1870">
        <f t="shared" si="99"/>
        <v>-4409.7433970000002</v>
      </c>
      <c r="J44" s="1870">
        <f>SUMIFS('利润（汇总）'!8:8,'利润（汇总）'!$1:$1,J$1,'利润（汇总）'!$2:$2,J$2)</f>
        <v>-8595.719653000011</v>
      </c>
      <c r="K44" s="1870">
        <f t="shared" ref="K44:K45" si="123">J44</f>
        <v>-8595.719653000011</v>
      </c>
      <c r="L44" s="1870">
        <f>SUMIFS('利润（汇总）'!8:8,'利润（汇总）'!$1:$1,L$1,'利润（汇总）'!$2:$2,L$2)</f>
        <v>-15868.998259</v>
      </c>
      <c r="M44" s="1870">
        <f t="shared" ref="M44:M45" si="124">L44</f>
        <v>-15868.998259</v>
      </c>
      <c r="N44" s="1870">
        <f>SUMIFS('利润（汇总）'!8:8,'利润（汇总）'!$1:$1,N$1,'利润（汇总）'!$2:$2,N$2)</f>
        <v>-11704.132868999999</v>
      </c>
      <c r="O44" s="1870">
        <f t="shared" ref="O44:O45" si="125">N44</f>
        <v>-11704.132868999999</v>
      </c>
      <c r="P44" s="1870">
        <f>SUMIFS('利润（汇总）'!8:8,'利润（汇总）'!$1:$1,P$1,'利润（汇总）'!$2:$2,P$2)</f>
        <v>-7935.232062000011</v>
      </c>
      <c r="Q44" s="1870">
        <f t="shared" ref="Q44:Q45" si="126">P44</f>
        <v>-7935.232062000011</v>
      </c>
      <c r="R44" s="1870">
        <f>SUMIFS('利润（汇总）'!8:8,'利润（汇总）'!$1:$1,R$1,'利润（汇总）'!$2:$2,R$2)</f>
        <v>-3861.4379669999998</v>
      </c>
      <c r="S44" s="1870">
        <f t="shared" ref="S44:S45" si="127">R44</f>
        <v>-3861.4379669999998</v>
      </c>
      <c r="T44" s="1870">
        <f>SUMIFS('利润（汇总）'!8:8,'利润（汇总）'!$1:$1,T$1,'利润（汇总）'!$2:$2,T$2)</f>
        <v>-2050.3986749999899</v>
      </c>
      <c r="U44" s="1870">
        <f t="shared" ref="U44:U45" si="128">T44</f>
        <v>-2050.3986749999899</v>
      </c>
      <c r="V44" s="1870">
        <f>SUMIFS('利润（汇总）'!8:8,'利润（汇总）'!$1:$1,V$1,'利润（汇总）'!$2:$2,V$2)</f>
        <v>1204.7858650000101</v>
      </c>
      <c r="W44" s="1870">
        <f t="shared" ref="W44:W45" si="129">V44</f>
        <v>1204.7858650000101</v>
      </c>
      <c r="X44" s="1870">
        <f>SUMIFS('利润（汇总）'!8:8,'利润（汇总）'!$1:$1,X$1,'利润（汇总）'!$2:$2,X$2)</f>
        <v>1551.2050750000001</v>
      </c>
      <c r="Y44" s="1870">
        <f t="shared" ref="Y44:Y45" si="130">X44</f>
        <v>1551.2050750000001</v>
      </c>
      <c r="Z44" s="1870">
        <f>SUMIFS('利润（汇总）'!8:8,'利润（汇总）'!$1:$1,Z$1,'利润（汇总）'!$2:$2,Z$2)</f>
        <v>2579.2019399999899</v>
      </c>
      <c r="AA44" s="1870">
        <f t="shared" ref="AA44:AA45" si="131">Z44</f>
        <v>2579.2019399999899</v>
      </c>
      <c r="AB44" s="1870">
        <f>SUMIFS('利润（汇总）'!8:8,'利润（汇总）'!$1:$1,AB$1,'利润（汇总）'!$2:$2,AB$2)</f>
        <v>1097.44297799998</v>
      </c>
      <c r="AC44" s="1870">
        <f>AB44</f>
        <v>1097.44297799998</v>
      </c>
      <c r="AD44" s="1870">
        <f>SUMIFS('利润（汇总）'!8:8,'利润（汇总）'!$1:$1,AD$1,'利润（汇总）'!$2:$2,AD$2)</f>
        <v>1485.978609</v>
      </c>
      <c r="AE44" s="1870">
        <f>AD44</f>
        <v>1485.978609</v>
      </c>
      <c r="AF44" s="1870">
        <f>SUMIFS('利润（汇总）'!8:8,'利润（汇总）'!$1:$1,AF$1,'利润（汇总）'!$2:$2,AF$2)</f>
        <v>1492.3743449999999</v>
      </c>
      <c r="AG44" s="1870">
        <f>AF44</f>
        <v>1492.3743449999999</v>
      </c>
      <c r="AH44" s="1870">
        <f>SUMIFS('利润（汇总）'!8:8,'利润（汇总）'!$1:$1,AH$1,'利润（汇总）'!$2:$2,AH$2)</f>
        <v>995.02528599999619</v>
      </c>
      <c r="AI44" s="1870">
        <f t="shared" ref="AI44" si="132">AH44</f>
        <v>995.02528599999619</v>
      </c>
      <c r="AJ44" s="1870">
        <f>SUMIFS('利润（汇总）'!8:8,'利润（汇总）'!$1:$1,AJ$1,'利润（汇总）'!$2:$2,AJ$2)</f>
        <v>547.49019899998871</v>
      </c>
      <c r="AK44" s="1870">
        <f t="shared" ref="AK44" si="133">AJ44</f>
        <v>547.49019899998871</v>
      </c>
      <c r="AL44" s="1870">
        <f>SUMIFS('利润（汇总）'!8:8,'利润（汇总）'!$1:$1,AL$1,'利润（汇总）'!$2:$2,AL$2)</f>
        <v>468</v>
      </c>
      <c r="AM44" s="1870">
        <f t="shared" ref="AM44" si="134">AL44</f>
        <v>468</v>
      </c>
      <c r="AN44" s="1870">
        <f>SUMIFS('利润（汇总）'!8:8,'利润（汇总）'!$1:$1,AN$1,'利润（汇总）'!$2:$2,AN$2)</f>
        <v>1109</v>
      </c>
      <c r="AO44" s="1870">
        <f t="shared" ref="AO44" si="135">AN44</f>
        <v>1109</v>
      </c>
      <c r="AP44" s="1870">
        <f>SUMIFS('利润（汇总）'!8:8,'利润（汇总）'!$1:$1,AP$1,'利润（汇总）'!$2:$2,AP$2)</f>
        <v>-4419.5829999999996</v>
      </c>
      <c r="AQ44" s="1870">
        <f t="shared" ref="AQ44" si="136">AP44</f>
        <v>-4419.5829999999996</v>
      </c>
      <c r="AR44" s="1870">
        <f>SUMIFS('利润（汇总）'!8:8,'利润（汇总）'!$1:$1,AR$1,'利润（汇总）'!$2:$2,AR$2)</f>
        <v>1831.02878099999</v>
      </c>
      <c r="AS44" s="1870">
        <f t="shared" ref="AS44" si="137">AR44</f>
        <v>1831.02878099999</v>
      </c>
      <c r="AT44" s="1870">
        <f>SUMIFS('利润（汇总）'!8:8,'利润（汇总）'!$1:$1,AT$1,'利润（汇总）'!$2:$2,AT$2)</f>
        <v>0</v>
      </c>
      <c r="AU44" s="1870">
        <f t="shared" ref="AU44" si="138">AT44</f>
        <v>0</v>
      </c>
      <c r="AV44" s="1870">
        <f>SUMIFS('利润（汇总）'!8:8,'利润（汇总）'!$1:$1,AV$1,'利润（汇总）'!$2:$2,AV$2)</f>
        <v>0</v>
      </c>
      <c r="AW44" s="1870">
        <f t="shared" ref="AW44" si="139">AV44</f>
        <v>0</v>
      </c>
      <c r="AX44" s="1870">
        <f>SUMIFS('利润（汇总）'!8:8,'利润（汇总）'!$1:$1,AX$1,'利润（汇总）'!$2:$2,AX$2)</f>
        <v>0</v>
      </c>
      <c r="AY44" s="1870">
        <f t="shared" ref="AY44" si="140">AX44</f>
        <v>0</v>
      </c>
      <c r="AZ44" s="1870">
        <f>SUMIFS('利润（汇总）'!8:8,'利润（汇总）'!$1:$1,AZ$1,'利润（汇总）'!$2:$2,AZ$2)</f>
        <v>0</v>
      </c>
      <c r="BA44" s="1870">
        <f t="shared" ref="BA44:BA45" si="141">AZ44</f>
        <v>0</v>
      </c>
      <c r="BB44" s="1953">
        <f t="shared" si="31"/>
        <v>6.3957359999999426</v>
      </c>
      <c r="BC44" s="1953">
        <f t="shared" si="32"/>
        <v>6.3957359999999426</v>
      </c>
      <c r="BD44" s="1953"/>
      <c r="BE44" s="1953"/>
      <c r="BF44" s="1954">
        <f>AD44+AF44+AH44+AJ44+AL44+AN44+AP44+AR44+AT44+AV44+AX44+AZ44</f>
        <v>3509.3142199999756</v>
      </c>
      <c r="BG44" s="1954">
        <f>AE44+AG44+AI44+AK44+AM44+AO44+AQ44+AS44+AU44+AW44+AY44+BA44</f>
        <v>3509.3142199999756</v>
      </c>
      <c r="BH44" s="1790">
        <f t="shared" si="33"/>
        <v>995.02528599999619</v>
      </c>
      <c r="BI44" s="1787">
        <f>'@预测#经营利润#'!F44</f>
        <v>-1431.0450000000001</v>
      </c>
      <c r="BJ44" s="1946">
        <f>BH44-BI44</f>
        <v>2426.0702859999965</v>
      </c>
      <c r="BK44" s="1947"/>
      <c r="BL44" s="786"/>
      <c r="BM44" s="1676"/>
      <c r="BN44" s="785"/>
      <c r="BO44" s="785"/>
    </row>
    <row r="45" spans="1:67" s="754" customFormat="1" ht="14.25">
      <c r="A45" s="1866" t="s">
        <v>1238</v>
      </c>
      <c r="B45" s="1952">
        <v>22000</v>
      </c>
      <c r="C45" s="1952">
        <f>B45/12</f>
        <v>1833.3333333333333</v>
      </c>
      <c r="D45" s="1870"/>
      <c r="E45" s="1870"/>
      <c r="F45" s="1870">
        <f>SUMIFS('利润（汇总）'!9:9,'利润（汇总）'!$1:$1,F$1,'利润（汇总）'!$2:$2,F$2)</f>
        <v>1605.1182229999899</v>
      </c>
      <c r="G45" s="1870">
        <f t="shared" si="122"/>
        <v>1605.1182229999899</v>
      </c>
      <c r="H45" s="1870">
        <f>SUMIFS('利润（汇总）'!9:9,'利润（汇总）'!$1:$1,H$1,'利润（汇总）'!$2:$2,H$2)</f>
        <v>1720.16878600001</v>
      </c>
      <c r="I45" s="1870">
        <f t="shared" si="99"/>
        <v>1720.16878600001</v>
      </c>
      <c r="J45" s="1870">
        <f>SUMIFS('利润（汇总）'!9:9,'利润（汇总）'!$1:$1,J$1,'利润（汇总）'!$2:$2,J$2)</f>
        <v>57.291553999998101</v>
      </c>
      <c r="K45" s="1870">
        <f t="shared" si="123"/>
        <v>57.291553999998101</v>
      </c>
      <c r="L45" s="1870">
        <f>SUMIFS('利润（汇总）'!9:9,'利润（汇总）'!$1:$1,L$1,'利润（汇总）'!$2:$2,L$2)</f>
        <v>-197.78474200000599</v>
      </c>
      <c r="M45" s="1870">
        <f t="shared" si="124"/>
        <v>-197.78474200000599</v>
      </c>
      <c r="N45" s="1870">
        <f>SUMIFS('利润（汇总）'!9:9,'利润（汇总）'!$1:$1,N$1,'利润（汇总）'!$2:$2,N$2)</f>
        <v>-1301.5247409999999</v>
      </c>
      <c r="O45" s="1870">
        <f t="shared" si="125"/>
        <v>-1301.5247409999999</v>
      </c>
      <c r="P45" s="1870">
        <f>SUMIFS('利润（汇总）'!9:9,'利润（汇总）'!$1:$1,P$1,'利润（汇总）'!$2:$2,P$2)</f>
        <v>2168.2573220000099</v>
      </c>
      <c r="Q45" s="1870">
        <f t="shared" si="126"/>
        <v>2168.2573220000099</v>
      </c>
      <c r="R45" s="1870">
        <f>SUMIFS('利润（汇总）'!9:9,'利润（汇总）'!$1:$1,R$1,'利润（汇总）'!$2:$2,R$2)</f>
        <v>1109.869835</v>
      </c>
      <c r="S45" s="1870">
        <f t="shared" si="127"/>
        <v>1109.869835</v>
      </c>
      <c r="T45" s="1870">
        <f>SUMIFS('利润（汇总）'!9:9,'利润（汇总）'!$1:$1,T$1,'利润（汇总）'!$2:$2,T$2)</f>
        <v>1482.993346</v>
      </c>
      <c r="U45" s="1870">
        <f t="shared" si="128"/>
        <v>1482.993346</v>
      </c>
      <c r="V45" s="1870">
        <f>SUMIFS('利润（汇总）'!9:9,'利润（汇总）'!$1:$1,V$1,'利润（汇总）'!$2:$2,V$2)</f>
        <v>2422.8023149999999</v>
      </c>
      <c r="W45" s="1870">
        <f t="shared" si="129"/>
        <v>2422.8023149999999</v>
      </c>
      <c r="X45" s="1870">
        <f>SUMIFS('利润（汇总）'!9:9,'利润（汇总）'!$1:$1,X$1,'利润（汇总）'!$2:$2,X$2)</f>
        <v>2667.60895600001</v>
      </c>
      <c r="Y45" s="1870">
        <f t="shared" si="130"/>
        <v>2667.60895600001</v>
      </c>
      <c r="Z45" s="1870">
        <f>SUMIFS('利润（汇总）'!9:9,'利润（汇总）'!$1:$1,Z$1,'利润（汇总）'!$2:$2,Z$2)</f>
        <v>2850.1452670000199</v>
      </c>
      <c r="AA45" s="1870">
        <f t="shared" si="131"/>
        <v>2850.1452670000199</v>
      </c>
      <c r="AB45" s="1870">
        <f>SUMIFS('利润（汇总）'!9:9,'利润（汇总）'!$1:$1,AB$1,'利润（汇总）'!$2:$2,AB$2)</f>
        <v>1690.713391</v>
      </c>
      <c r="AC45" s="1870">
        <f>AB45</f>
        <v>1690.713391</v>
      </c>
      <c r="AD45" s="1870">
        <f>SUMIFS('利润（汇总）'!9:9,'利润（汇总）'!$1:$1,AD$1,'利润（汇总）'!$2:$2,AD$2)</f>
        <v>1332.7243859999999</v>
      </c>
      <c r="AE45" s="1870">
        <f>AD45</f>
        <v>1332.7243859999999</v>
      </c>
      <c r="AF45" s="1870">
        <f>SUMIFS('利润（汇总）'!9:9,'利润（汇总）'!$1:$1,AF$1,'利润（汇总）'!$2:$2,AF$2)</f>
        <v>4702.0730469999999</v>
      </c>
      <c r="AG45" s="1870">
        <f>AF45</f>
        <v>4702.0730469999999</v>
      </c>
      <c r="AH45" s="1870">
        <f>SUMIFS('利润（汇总）'!9:9,'利润（汇总）'!$1:$1,AH$1,'利润（汇总）'!$2:$2,AH$2)</f>
        <v>3541.1525700000047</v>
      </c>
      <c r="AI45" s="1870">
        <f t="shared" ref="AI45" si="142">AH45</f>
        <v>3541.1525700000047</v>
      </c>
      <c r="AJ45" s="1870">
        <f>SUMIFS('利润（汇总）'!9:9,'利润（汇总）'!$1:$1,AJ$1,'利润（汇总）'!$2:$2,AJ$2)</f>
        <v>5666.581806999995</v>
      </c>
      <c r="AK45" s="1870">
        <f t="shared" ref="AK45" si="143">AJ45</f>
        <v>5666.581806999995</v>
      </c>
      <c r="AL45" s="1870">
        <f>SUMIFS('利润（汇总）'!9:9,'利润（汇总）'!$1:$1,AL$1,'利润（汇总）'!$2:$2,AL$2)</f>
        <v>3797</v>
      </c>
      <c r="AM45" s="1870">
        <f t="shared" ref="AM45" si="144">AL45</f>
        <v>3797</v>
      </c>
      <c r="AN45" s="1870">
        <f>SUMIFS('利润（汇总）'!9:9,'利润（汇总）'!$1:$1,AN$1,'利润（汇总）'!$2:$2,AN$2)</f>
        <v>3017</v>
      </c>
      <c r="AO45" s="1870">
        <f t="shared" ref="AO45" si="145">AN45</f>
        <v>3017</v>
      </c>
      <c r="AP45" s="1870">
        <f>SUMIFS('利润（汇总）'!9:9,'利润（汇总）'!$1:$1,AP$1,'利润（汇总）'!$2:$2,AP$2)</f>
        <v>3526</v>
      </c>
      <c r="AQ45" s="1870">
        <f t="shared" ref="AQ45" si="146">AP45</f>
        <v>3526</v>
      </c>
      <c r="AR45" s="1870">
        <f>SUMIFS('利润（汇总）'!9:9,'利润（汇总）'!$1:$1,AR$1,'利润（汇总）'!$2:$2,AR$2)</f>
        <v>5561.8383140000096</v>
      </c>
      <c r="AS45" s="1870">
        <f t="shared" ref="AS45" si="147">AR45</f>
        <v>5561.8383140000096</v>
      </c>
      <c r="AT45" s="1870">
        <f>SUMIFS('利润（汇总）'!9:9,'利润（汇总）'!$1:$1,AT$1,'利润（汇总）'!$2:$2,AT$2)</f>
        <v>0</v>
      </c>
      <c r="AU45" s="1870">
        <f t="shared" ref="AU45" si="148">AT45</f>
        <v>0</v>
      </c>
      <c r="AV45" s="1870">
        <f>SUMIFS('利润（汇总）'!9:9,'利润（汇总）'!$1:$1,AV$1,'利润（汇总）'!$2:$2,AV$2)</f>
        <v>0</v>
      </c>
      <c r="AW45" s="1870">
        <f t="shared" ref="AW45" si="149">AV45</f>
        <v>0</v>
      </c>
      <c r="AX45" s="1870">
        <f>SUMIFS('利润（汇总）'!9:9,'利润（汇总）'!$1:$1,AX$1,'利润（汇总）'!$2:$2,AX$2)</f>
        <v>0</v>
      </c>
      <c r="AY45" s="1870">
        <f t="shared" ref="AY45" si="150">AX45</f>
        <v>0</v>
      </c>
      <c r="AZ45" s="1870">
        <f>SUMIFS('利润（汇总）'!9:9,'利润（汇总）'!$1:$1,AZ$1,'利润（汇总）'!$2:$2,AZ$2)</f>
        <v>0</v>
      </c>
      <c r="BA45" s="1870">
        <f t="shared" si="141"/>
        <v>0</v>
      </c>
      <c r="BB45" s="1953">
        <f t="shared" si="31"/>
        <v>3369.348661</v>
      </c>
      <c r="BC45" s="1953">
        <f t="shared" si="32"/>
        <v>3369.348661</v>
      </c>
      <c r="BD45" s="1953"/>
      <c r="BE45" s="1953"/>
      <c r="BF45" s="1954">
        <f>AD45+AF45+AH45+AJ45+AL45+AN45+AP45+AR45+AT45+AV45+AX45+AZ45</f>
        <v>31144.370124000008</v>
      </c>
      <c r="BG45" s="1954">
        <f>AE45+AG45+AI45+AK45+AM45+AO45+AQ45+AS45+AU45+AW45+AY45+BA45</f>
        <v>31144.370124000008</v>
      </c>
      <c r="BH45" s="1790">
        <f t="shared" si="33"/>
        <v>3541.1525700000047</v>
      </c>
      <c r="BI45" s="1787">
        <f>'@预测#经营利润#'!F45</f>
        <v>0</v>
      </c>
      <c r="BJ45" s="1946">
        <f>BH45-BI45</f>
        <v>3541.1525700000047</v>
      </c>
      <c r="BK45" s="1947"/>
      <c r="BL45" s="786"/>
      <c r="BM45" s="1676"/>
      <c r="BN45" s="785"/>
      <c r="BO45" s="785"/>
    </row>
    <row r="46" spans="1:67" ht="14.25">
      <c r="A46" s="773" t="s">
        <v>164</v>
      </c>
      <c r="B46" s="774">
        <f>B47+B48+B49+B50</f>
        <v>-14256.795</v>
      </c>
      <c r="C46" s="773"/>
      <c r="D46" s="774">
        <f>D47+D48+D49+D50</f>
        <v>-9997.9540331499993</v>
      </c>
      <c r="E46" s="774">
        <f>D46</f>
        <v>-9997.9540331499993</v>
      </c>
      <c r="F46" s="774">
        <f>F47+F48+F49+F50</f>
        <v>-1164.27180492</v>
      </c>
      <c r="G46" s="774">
        <f>F46</f>
        <v>-1164.27180492</v>
      </c>
      <c r="H46" s="774">
        <f>H47+H48+H49+H50</f>
        <v>-1209.0957426800001</v>
      </c>
      <c r="I46" s="774">
        <f>H46</f>
        <v>-1209.0957426800001</v>
      </c>
      <c r="J46" s="774">
        <f>J47+J48+J49+J50</f>
        <v>1088.6622138800001</v>
      </c>
      <c r="K46" s="774">
        <f>J46</f>
        <v>1088.6622138800001</v>
      </c>
      <c r="L46" s="774">
        <f>L47+L48+L49+L50</f>
        <v>-1271.0104707999999</v>
      </c>
      <c r="M46" s="774">
        <f>L46</f>
        <v>-1271.0104707999999</v>
      </c>
      <c r="N46" s="774">
        <f>N47+N48+N49+N50</f>
        <v>-37265.164913610002</v>
      </c>
      <c r="O46" s="774">
        <f>N46</f>
        <v>-37265.164913610002</v>
      </c>
      <c r="P46" s="774">
        <f>P47+P48+P49+P50</f>
        <v>-1409.4546570299999</v>
      </c>
      <c r="Q46" s="774">
        <f t="shared" ref="Q46:U46" si="151">P46</f>
        <v>-1409.4546570299999</v>
      </c>
      <c r="R46" s="774">
        <f>R47+R48+R49+R50</f>
        <v>-1471.03893965</v>
      </c>
      <c r="S46" s="774">
        <f t="shared" si="151"/>
        <v>-1471.03893965</v>
      </c>
      <c r="T46" s="774">
        <f>T47+T48+T49+T50</f>
        <v>-1543.17599926</v>
      </c>
      <c r="U46" s="774">
        <f t="shared" si="151"/>
        <v>-1543.17599926</v>
      </c>
      <c r="V46" s="774">
        <f>V47+V48+V49+V50</f>
        <v>-168.22048256000005</v>
      </c>
      <c r="W46" s="774">
        <f t="shared" ref="W46:AE46" si="152">V46</f>
        <v>-168.22048256000005</v>
      </c>
      <c r="X46" s="774">
        <f>X47+X48+X49+X50</f>
        <v>-12287.521361679999</v>
      </c>
      <c r="Y46" s="774">
        <f t="shared" si="152"/>
        <v>-12287.521361679999</v>
      </c>
      <c r="Z46" s="774">
        <f>Z47+Z48+Z49+Z50</f>
        <v>-1190.8079171100001</v>
      </c>
      <c r="AA46" s="774">
        <f t="shared" si="152"/>
        <v>-1190.8079171100001</v>
      </c>
      <c r="AB46" s="774">
        <f>AB47+AB48+AB49+AB50</f>
        <v>-18723.442017280002</v>
      </c>
      <c r="AC46" s="774">
        <f t="shared" si="152"/>
        <v>-18723.442017280002</v>
      </c>
      <c r="AD46" s="774">
        <f>AD47+AD48+AD49+AD50</f>
        <v>-1325.47205882</v>
      </c>
      <c r="AE46" s="774">
        <f t="shared" si="152"/>
        <v>-1325.47205882</v>
      </c>
      <c r="AF46" s="774">
        <f>AF47+AF48+AF49+AF50</f>
        <v>-823.81710894000003</v>
      </c>
      <c r="AG46" s="774">
        <f t="shared" ref="AG46" si="153">AF46</f>
        <v>-823.81710894000003</v>
      </c>
      <c r="AH46" s="774">
        <f t="shared" ref="AH46" si="154">AH47+AH48+AH49+AH50</f>
        <v>-382.22</v>
      </c>
      <c r="AI46" s="774">
        <f t="shared" ref="AI46" si="155">AH46</f>
        <v>-382.22</v>
      </c>
      <c r="AJ46" s="774">
        <f t="shared" ref="AJ46" si="156">AJ47+AJ48+AJ49+AJ50</f>
        <v>-1694.8268151899999</v>
      </c>
      <c r="AK46" s="774">
        <f t="shared" ref="AK46" si="157">AJ46</f>
        <v>-1694.8268151899999</v>
      </c>
      <c r="AL46" s="774">
        <f t="shared" ref="AL46" si="158">AL47+AL48+AL49+AL50</f>
        <v>-57003.751310200001</v>
      </c>
      <c r="AM46" s="774">
        <f t="shared" ref="AM46" si="159">AL46</f>
        <v>-57003.751310200001</v>
      </c>
      <c r="AN46" s="774">
        <f t="shared" ref="AN46" si="160">AN47+AN48+AN49+AN50</f>
        <v>-21177.373590250001</v>
      </c>
      <c r="AO46" s="774">
        <f t="shared" ref="AO46" si="161">AN46</f>
        <v>-21177.373590250001</v>
      </c>
      <c r="AP46" s="774">
        <f t="shared" ref="AP46" si="162">AP47+AP48+AP49+AP50</f>
        <v>-1512</v>
      </c>
      <c r="AQ46" s="774">
        <f t="shared" ref="AQ46" si="163">AP46</f>
        <v>-1512</v>
      </c>
      <c r="AR46" s="774">
        <f t="shared" ref="AR46" si="164">AR47+AR48+AR49+AR50</f>
        <v>-1118.8599999999999</v>
      </c>
      <c r="AS46" s="774">
        <f t="shared" ref="AS46" si="165">AR46</f>
        <v>-1118.8599999999999</v>
      </c>
      <c r="AT46" s="774">
        <f t="shared" ref="AT46" si="166">AT47+AT48+AT49+AT50</f>
        <v>0</v>
      </c>
      <c r="AU46" s="774">
        <f t="shared" ref="AU46" si="167">AT46</f>
        <v>0</v>
      </c>
      <c r="AV46" s="774">
        <f t="shared" ref="AV46" si="168">AV47+AV48+AV49+AV50</f>
        <v>0</v>
      </c>
      <c r="AW46" s="774">
        <f t="shared" ref="AW46" si="169">AV46</f>
        <v>0</v>
      </c>
      <c r="AX46" s="774">
        <f t="shared" ref="AX46" si="170">AX47+AX48+AX49+AX50</f>
        <v>0</v>
      </c>
      <c r="AY46" s="774">
        <f t="shared" ref="AY46" si="171">AX46</f>
        <v>0</v>
      </c>
      <c r="AZ46" s="774">
        <f t="shared" ref="AZ46" si="172">AZ47+AZ48+AZ49+AZ50</f>
        <v>0</v>
      </c>
      <c r="BA46" s="774">
        <f t="shared" ref="BA46" si="173">AZ46</f>
        <v>0</v>
      </c>
      <c r="BB46" s="774"/>
      <c r="BC46" s="774"/>
      <c r="BD46" s="775">
        <f t="shared" ref="BD46:BD50" si="174">H46-C46</f>
        <v>-1209.0957426800001</v>
      </c>
      <c r="BE46" s="775"/>
      <c r="BF46" s="1994">
        <f t="shared" ref="BF46:BF50" si="175">AD46+AF46+AH46+AJ46+AL46+AN46+AP46+AR46+AT46+AV46+AX46+AZ46</f>
        <v>-85038.320883400011</v>
      </c>
      <c r="BG46" s="1994">
        <f t="shared" ref="BG46" si="176">AE46+AG46+AI46+AK46+AM46+AO46+AQ46+AS46+AU46+AW46+AY46+BA46</f>
        <v>-85038.320883400011</v>
      </c>
      <c r="BH46" s="1790">
        <f t="shared" si="33"/>
        <v>-382.22</v>
      </c>
      <c r="BI46" s="755">
        <f>'@预测#经营利润#'!F46</f>
        <v>0</v>
      </c>
      <c r="BJ46" s="751">
        <f>BH46-BI46</f>
        <v>-382.22</v>
      </c>
      <c r="BL46" s="784"/>
    </row>
    <row r="47" spans="1:67">
      <c r="A47" s="775" t="s">
        <v>143</v>
      </c>
      <c r="B47" s="776">
        <v>-14256.795</v>
      </c>
      <c r="C47" s="775"/>
      <c r="D47" s="777">
        <f>SUMIFS('利润（汇总）'!38:38,'利润（汇总）'!$1:$1,D$1,'利润（汇总）'!$2:$2,D$2)</f>
        <v>-771.73046614999998</v>
      </c>
      <c r="E47" s="777">
        <f>SUMIFS('利润（汇总）'!38:38,'利润（汇总）'!$1:$1,E$1,'利润（汇总）'!$2:$2,E$2)</f>
        <v>-771.73046614999998</v>
      </c>
      <c r="F47" s="777">
        <f>SUMIFS('利润（汇总）'!38:38,'利润（汇总）'!$1:$1,F$1,'利润（汇总）'!$2:$2,F$2)</f>
        <v>-1164.27180492</v>
      </c>
      <c r="G47" s="777">
        <f>SUMIFS('利润（汇总）'!38:38,'利润（汇总）'!$1:$1,G$1,'利润（汇总）'!$2:$2,G$2)</f>
        <v>-1164.27180492</v>
      </c>
      <c r="H47" s="777">
        <f>SUMIFS('利润（汇总）'!38:38,'利润（汇总）'!$1:$1,H$1,'利润（汇总）'!$2:$2,H$2)</f>
        <v>-1209.0957426800001</v>
      </c>
      <c r="I47" s="777">
        <f>SUMIFS('利润（汇总）'!38:38,'利润（汇总）'!$1:$1,I$1,'利润（汇总）'!$2:$2,I$2)</f>
        <v>-1209.0957426800001</v>
      </c>
      <c r="J47" s="777">
        <f>SUMIFS('利润（汇总）'!38:38,'利润（汇总）'!$1:$1,J$1,'利润（汇总）'!$2:$2,J$2)</f>
        <v>-382.32778611999998</v>
      </c>
      <c r="K47" s="777">
        <f>SUMIFS('利润（汇总）'!38:38,'利润（汇总）'!$1:$1,K$1,'利润（汇总）'!$2:$2,K$2)</f>
        <v>-382.32778611999998</v>
      </c>
      <c r="L47" s="777">
        <f>SUMIFS('利润（汇总）'!38:38,'利润（汇总）'!$1:$1,L$1,'利润（汇总）'!$2:$2,L$2)</f>
        <v>-1271.0104707999999</v>
      </c>
      <c r="M47" s="777">
        <f>SUMIFS('利润（汇总）'!38:38,'利润（汇总）'!$1:$1,M$1,'利润（汇总）'!$2:$2,M$2)</f>
        <v>-1271.0104707999999</v>
      </c>
      <c r="N47" s="777">
        <f>SUMIFS('利润（汇总）'!38:38,'利润（汇总）'!$1:$1,N$1,'利润（汇总）'!$2:$2,N$2)</f>
        <v>-1551.59239361</v>
      </c>
      <c r="O47" s="777">
        <f>SUMIFS('利润（汇总）'!38:38,'利润（汇总）'!$1:$1,O$1,'利润（汇总）'!$2:$2,O$2)</f>
        <v>-1551.59239361</v>
      </c>
      <c r="P47" s="777">
        <f>SUMIFS('利润（汇总）'!38:38,'利润（汇总）'!$1:$1,P$1,'利润（汇总）'!$2:$2,P$2)</f>
        <v>-1493.4546570299999</v>
      </c>
      <c r="Q47" s="777">
        <f>SUMIFS('利润（汇总）'!38:38,'利润（汇总）'!$1:$1,Q$1,'利润（汇总）'!$2:$2,Q$2)</f>
        <v>-1493.4546570299999</v>
      </c>
      <c r="R47" s="777">
        <f>SUMIFS('利润（汇总）'!38:38,'利润（汇总）'!$1:$1,R$1,'利润（汇总）'!$2:$2,R$2)</f>
        <v>-1471.03893965</v>
      </c>
      <c r="S47" s="777">
        <f>SUMIFS('利润（汇总）'!38:38,'利润（汇总）'!$1:$1,S$1,'利润（汇总）'!$2:$2,S$2)</f>
        <v>-1471.03893965</v>
      </c>
      <c r="T47" s="777">
        <f>SUMIFS('利润（汇总）'!38:38,'利润（汇总）'!$1:$1,T$1,'利润（汇总）'!$2:$2,T$2)</f>
        <v>-1543.17599926</v>
      </c>
      <c r="U47" s="777">
        <f>SUMIFS('利润（汇总）'!38:38,'利润（汇总）'!$1:$1,U$1,'利润（汇总）'!$2:$2,U$2)</f>
        <v>-1543.17599926</v>
      </c>
      <c r="V47" s="777">
        <f>SUMIFS('利润（汇总）'!38:38,'利润（汇总）'!$1:$1,V$1,'利润（汇总）'!$2:$2,V$2)</f>
        <v>-599.22048256000005</v>
      </c>
      <c r="W47" s="777">
        <f>SUMIFS('利润（汇总）'!38:38,'利润（汇总）'!$1:$1,W$1,'利润（汇总）'!$2:$2,W$2)</f>
        <v>-599.22048256000005</v>
      </c>
      <c r="X47" s="777">
        <f>SUMIFS('利润（汇总）'!38:38,'利润（汇总）'!$1:$1,X$1,'利润（汇总）'!$2:$2,X$2)</f>
        <v>-1352.4442626800001</v>
      </c>
      <c r="Y47" s="777">
        <f>SUMIFS('利润（汇总）'!38:38,'利润（汇总）'!$1:$1,Y$1,'利润（汇总）'!$2:$2,Y$2)</f>
        <v>-1352.4442626800001</v>
      </c>
      <c r="Z47" s="777">
        <f>SUMIFS('利润（汇总）'!38:38,'利润（汇总）'!$1:$1,Z$1,'利润（汇总）'!$2:$2,Z$2)</f>
        <v>-1190.8079171100001</v>
      </c>
      <c r="AA47" s="777">
        <f>SUMIFS('利润（汇总）'!38:38,'利润（汇总）'!$1:$1,AA$1,'利润（汇总）'!$2:$2,AA$2)</f>
        <v>-1190.8079171100001</v>
      </c>
      <c r="AB47" s="777">
        <f>SUMIFS('利润（汇总）'!38:38,'利润（汇总）'!$1:$1,AB$1,'利润（汇总）'!$2:$2,AB$2)</f>
        <v>-2060.3703024800002</v>
      </c>
      <c r="AC47" s="777">
        <f>SUMIFS('利润（汇总）'!38:38,'利润（汇总）'!$1:$1,AC$1,'利润（汇总）'!$2:$2,AC$2)</f>
        <v>-2060.3703024800002</v>
      </c>
      <c r="AD47" s="777">
        <f>SUMIFS('利润（汇总）'!38:38,'利润（汇总）'!$1:$1,AD$1,'利润（汇总）'!$2:$2,AD$2)</f>
        <v>-1325.47205882</v>
      </c>
      <c r="AE47" s="777">
        <f>SUMIFS('利润（汇总）'!38:38,'利润（汇总）'!$1:$1,AE$1,'利润（汇总）'!$2:$2,AE$2)</f>
        <v>-1325.47205882</v>
      </c>
      <c r="AF47" s="777">
        <f>SUMIFS('利润（汇总）'!38:38,'利润（汇总）'!$1:$1,AF$1,'利润（汇总）'!$2:$2,AF$2)</f>
        <v>-823.81710894000003</v>
      </c>
      <c r="AG47" s="777">
        <f>SUMIFS('利润（汇总）'!38:38,'利润（汇总）'!$1:$1,AG$1,'利润（汇总）'!$2:$2,AG$2)</f>
        <v>-823.81710894000003</v>
      </c>
      <c r="AH47" s="777">
        <f>SUMIFS('利润（汇总）'!38:38,'利润（汇总）'!$1:$1,AH$1,'利润（汇总）'!$2:$2,AH$2)</f>
        <v>-551.74</v>
      </c>
      <c r="AI47" s="777">
        <f>SUMIFS('利润（汇总）'!38:38,'利润（汇总）'!$1:$1,AI$1,'利润（汇总）'!$2:$2,AI$2)</f>
        <v>-551.74</v>
      </c>
      <c r="AJ47" s="777">
        <f>SUMIFS('利润（汇总）'!38:38,'利润（汇总）'!$1:$1,AJ$1,'利润（汇总）'!$2:$2,AJ$2)</f>
        <v>-1694.8268151899999</v>
      </c>
      <c r="AK47" s="777">
        <f>SUMIFS('利润（汇总）'!38:38,'利润（汇总）'!$1:$1,AK$1,'利润（汇总）'!$2:$2,AK$2)</f>
        <v>-1694.8268151899999</v>
      </c>
      <c r="AL47" s="777">
        <f>SUMIFS('利润（汇总）'!38:38,'利润（汇总）'!$1:$1,AL$1,'利润（汇总）'!$2:$2,AL$2)</f>
        <v>-1825</v>
      </c>
      <c r="AM47" s="777">
        <f>SUMIFS('利润（汇总）'!38:38,'利润（汇总）'!$1:$1,AM$1,'利润（汇总）'!$2:$2,AM$2)</f>
        <v>-1825</v>
      </c>
      <c r="AN47" s="777">
        <f>SUMIFS('利润（汇总）'!38:38,'利润（汇总）'!$1:$1,AN$1,'利润（汇总）'!$2:$2,AN$2)</f>
        <v>-815.32492824999997</v>
      </c>
      <c r="AO47" s="777">
        <f>SUMIFS('利润（汇总）'!38:38,'利润（汇总）'!$1:$1,AO$1,'利润（汇总）'!$2:$2,AO$2)</f>
        <v>-815.32492824999997</v>
      </c>
      <c r="AP47" s="777">
        <f>SUMIFS('利润（汇总）'!38:38,'利润（汇总）'!$1:$1,AP$1,'利润（汇总）'!$2:$2,AP$2)</f>
        <v>-1101</v>
      </c>
      <c r="AQ47" s="777">
        <f>SUMIFS('利润（汇总）'!38:38,'利润（汇总）'!$1:$1,AQ$1,'利润（汇总）'!$2:$2,AQ$2)</f>
        <v>-1101</v>
      </c>
      <c r="AR47" s="777">
        <f>SUMIFS('利润（汇总）'!38:38,'利润（汇总）'!$1:$1,AR$1,'利润（汇总）'!$2:$2,AR$2)</f>
        <v>-1118.8599999999999</v>
      </c>
      <c r="AS47" s="777">
        <f>SUMIFS('利润（汇总）'!38:38,'利润（汇总）'!$1:$1,AS$1,'利润（汇总）'!$2:$2,AS$2)</f>
        <v>-1118.8599999999999</v>
      </c>
      <c r="AT47" s="777">
        <f>SUMIFS('利润（汇总）'!38:38,'利润（汇总）'!$1:$1,AT$1,'利润（汇总）'!$2:$2,AT$2)</f>
        <v>0</v>
      </c>
      <c r="AU47" s="777">
        <f>SUMIFS('利润（汇总）'!38:38,'利润（汇总）'!$1:$1,AU$1,'利润（汇总）'!$2:$2,AU$2)</f>
        <v>0</v>
      </c>
      <c r="AV47" s="777">
        <f>SUMIFS('利润（汇总）'!38:38,'利润（汇总）'!$1:$1,AV$1,'利润（汇总）'!$2:$2,AV$2)</f>
        <v>0</v>
      </c>
      <c r="AW47" s="777">
        <f>SUMIFS('利润（汇总）'!38:38,'利润（汇总）'!$1:$1,AW$1,'利润（汇总）'!$2:$2,AW$2)</f>
        <v>0</v>
      </c>
      <c r="AX47" s="777">
        <f>SUMIFS('利润（汇总）'!38:38,'利润（汇总）'!$1:$1,AX$1,'利润（汇总）'!$2:$2,AX$2)</f>
        <v>0</v>
      </c>
      <c r="AY47" s="777">
        <f>SUMIFS('利润（汇总）'!38:38,'利润（汇总）'!$1:$1,AY$1,'利润（汇总）'!$2:$2,AY$2)</f>
        <v>0</v>
      </c>
      <c r="AZ47" s="777">
        <f>SUMIFS('利润（汇总）'!38:38,'利润（汇总）'!$1:$1,AZ$1,'利润（汇总）'!$2:$2,AZ$2)</f>
        <v>0</v>
      </c>
      <c r="BA47" s="777">
        <f>SUMIFS('利润（汇总）'!38:38,'利润（汇总）'!$1:$1,BA$1,'利润（汇总）'!$2:$2,BA$2)</f>
        <v>0</v>
      </c>
      <c r="BB47" s="777"/>
      <c r="BC47" s="777"/>
      <c r="BD47" s="775">
        <f t="shared" si="174"/>
        <v>-1209.0957426800001</v>
      </c>
      <c r="BE47" s="775"/>
      <c r="BF47" s="789">
        <f t="shared" si="175"/>
        <v>-9256.0409111999998</v>
      </c>
      <c r="BG47" s="789">
        <f>AE47+AG47+AI47+AK47+AM47+AO47+AQ47+AS47+AU47+AW47+AY47+BA47</f>
        <v>-9256.0409111999998</v>
      </c>
      <c r="BH47" s="1790">
        <f t="shared" si="33"/>
        <v>-551.74</v>
      </c>
      <c r="BJ47" s="751"/>
    </row>
    <row r="48" spans="1:67">
      <c r="A48" s="775" t="s">
        <v>144</v>
      </c>
      <c r="B48" s="775"/>
      <c r="C48" s="775"/>
      <c r="D48" s="777">
        <f>SUMIFS('利润（汇总）'!39:39,'利润（汇总）'!$1:$1,D$1,'利润（汇总）'!$2:$2,D$2)</f>
        <v>-5338.66</v>
      </c>
      <c r="E48" s="777">
        <f>SUMIFS('利润（汇总）'!39:39,'利润（汇总）'!$1:$1,E$1,'利润（汇总）'!$2:$2,E$2)</f>
        <v>-5338.66</v>
      </c>
      <c r="F48" s="777">
        <f>SUMIFS('利润（汇总）'!39:39,'利润（汇总）'!$1:$1,F$1,'利润（汇总）'!$2:$2,F$2)</f>
        <v>0</v>
      </c>
      <c r="G48" s="777">
        <f>SUMIFS('利润（汇总）'!39:39,'利润（汇总）'!$1:$1,G$1,'利润（汇总）'!$2:$2,G$2)</f>
        <v>0</v>
      </c>
      <c r="H48" s="777">
        <f>SUMIFS('利润（汇总）'!39:39,'利润（汇总）'!$1:$1,H$1,'利润（汇总）'!$2:$2,H$2)</f>
        <v>0</v>
      </c>
      <c r="I48" s="777">
        <f>SUMIFS('利润（汇总）'!39:39,'利润（汇总）'!$1:$1,I$1,'利润（汇总）'!$2:$2,I$2)</f>
        <v>0</v>
      </c>
      <c r="J48" s="777">
        <f>SUMIFS('利润（汇总）'!39:39,'利润（汇总）'!$1:$1,J$1,'利润（汇总）'!$2:$2,J$2)</f>
        <v>1470.99</v>
      </c>
      <c r="K48" s="777">
        <f>SUMIFS('利润（汇总）'!39:39,'利润（汇总）'!$1:$1,K$1,'利润（汇总）'!$2:$2,K$2)</f>
        <v>1470.99</v>
      </c>
      <c r="L48" s="777">
        <f>SUMIFS('利润（汇总）'!39:39,'利润（汇总）'!$1:$1,L$1,'利润（汇总）'!$2:$2,L$2)</f>
        <v>0</v>
      </c>
      <c r="M48" s="777">
        <f>SUMIFS('利润（汇总）'!39:39,'利润（汇总）'!$1:$1,M$1,'利润（汇总）'!$2:$2,M$2)</f>
        <v>0</v>
      </c>
      <c r="N48" s="777">
        <f>SUMIFS('利润（汇总）'!39:39,'利润（汇总）'!$1:$1,N$1,'利润（汇总）'!$2:$2,N$2)</f>
        <v>0</v>
      </c>
      <c r="O48" s="777">
        <f>SUMIFS('利润（汇总）'!39:39,'利润（汇总）'!$1:$1,O$1,'利润（汇总）'!$2:$2,O$2)</f>
        <v>0</v>
      </c>
      <c r="P48" s="777">
        <f>SUMIFS('利润（汇总）'!39:39,'利润（汇总）'!$1:$1,P$1,'利润（汇总）'!$2:$2,P$2)</f>
        <v>84</v>
      </c>
      <c r="Q48" s="777">
        <f>SUMIFS('利润（汇总）'!39:39,'利润（汇总）'!$1:$1,Q$1,'利润（汇总）'!$2:$2,Q$2)</f>
        <v>84</v>
      </c>
      <c r="R48" s="777">
        <f>SUMIFS('利润（汇总）'!39:39,'利润（汇总）'!$1:$1,R$1,'利润（汇总）'!$2:$2,R$2)</f>
        <v>0</v>
      </c>
      <c r="S48" s="777">
        <f>SUMIFS('利润（汇总）'!39:39,'利润（汇总）'!$1:$1,S$1,'利润（汇总）'!$2:$2,S$2)</f>
        <v>0</v>
      </c>
      <c r="T48" s="777">
        <f>SUMIFS('利润（汇总）'!39:39,'利润（汇总）'!$1:$1,T$1,'利润（汇总）'!$2:$2,T$2)</f>
        <v>0</v>
      </c>
      <c r="U48" s="777">
        <f>SUMIFS('利润（汇总）'!39:39,'利润（汇总）'!$1:$1,U$1,'利润（汇总）'!$2:$2,U$2)</f>
        <v>0</v>
      </c>
      <c r="V48" s="777">
        <f>SUMIFS('利润（汇总）'!39:39,'利润（汇总）'!$1:$1,V$1,'利润（汇总）'!$2:$2,V$2)</f>
        <v>431</v>
      </c>
      <c r="W48" s="777">
        <f>SUMIFS('利润（汇总）'!39:39,'利润（汇总）'!$1:$1,W$1,'利润（汇总）'!$2:$2,W$2)</f>
        <v>431</v>
      </c>
      <c r="X48" s="777">
        <f>SUMIFS('利润（汇总）'!39:39,'利润（汇总）'!$1:$1,X$1,'利润（汇总）'!$2:$2,X$2)</f>
        <v>0</v>
      </c>
      <c r="Y48" s="777">
        <f>SUMIFS('利润（汇总）'!39:39,'利润（汇总）'!$1:$1,Y$1,'利润（汇总）'!$2:$2,Y$2)</f>
        <v>0</v>
      </c>
      <c r="Z48" s="777">
        <f>SUMIFS('利润（汇总）'!39:39,'利润（汇总）'!$1:$1,Z$1,'利润（汇总）'!$2:$2,Z$2)</f>
        <v>0</v>
      </c>
      <c r="AA48" s="777">
        <f>SUMIFS('利润（汇总）'!39:39,'利润（汇总）'!$1:$1,AA$1,'利润（汇总）'!$2:$2,AA$2)</f>
        <v>0</v>
      </c>
      <c r="AB48" s="777">
        <f>SUMIFS('利润（汇总）'!39:39,'利润（汇总）'!$1:$1,AB$1,'利润（汇总）'!$2:$2,AB$2)</f>
        <v>-2210.8000000000002</v>
      </c>
      <c r="AC48" s="777">
        <f>SUMIFS('利润（汇总）'!39:39,'利润（汇总）'!$1:$1,AC$1,'利润（汇总）'!$2:$2,AC$2)</f>
        <v>-2210.8000000000002</v>
      </c>
      <c r="AD48" s="777">
        <f>SUMIFS('利润（汇总）'!39:39,'利润（汇总）'!$1:$1,AD$1,'利润（汇总）'!$2:$2,AD$2)</f>
        <v>0</v>
      </c>
      <c r="AE48" s="777">
        <f>SUMIFS('利润（汇总）'!39:39,'利润（汇总）'!$1:$1,AE$1,'利润（汇总）'!$2:$2,AE$2)</f>
        <v>0</v>
      </c>
      <c r="AF48" s="777">
        <f>SUMIFS('利润（汇总）'!39:39,'利润（汇总）'!$1:$1,AF$1,'利润（汇总）'!$2:$2,AF$2)</f>
        <v>0</v>
      </c>
      <c r="AG48" s="777">
        <f>SUMIFS('利润（汇总）'!39:39,'利润（汇总）'!$1:$1,AG$1,'利润（汇总）'!$2:$2,AG$2)</f>
        <v>0</v>
      </c>
      <c r="AH48" s="777">
        <f>SUMIFS('利润（汇总）'!39:39,'利润（汇总）'!$1:$1,AH$1,'利润（汇总）'!$2:$2,AH$2)</f>
        <v>169.52</v>
      </c>
      <c r="AI48" s="777">
        <f>SUMIFS('利润（汇总）'!39:39,'利润（汇总）'!$1:$1,AI$1,'利润（汇总）'!$2:$2,AI$2)</f>
        <v>169.52</v>
      </c>
      <c r="AJ48" s="777">
        <f>SUMIFS('利润（汇总）'!39:39,'利润（汇总）'!$1:$1,AJ$1,'利润（汇总）'!$2:$2,AJ$2)</f>
        <v>0</v>
      </c>
      <c r="AK48" s="777">
        <f>SUMIFS('利润（汇总）'!39:39,'利润（汇总）'!$1:$1,AK$1,'利润（汇总）'!$2:$2,AK$2)</f>
        <v>0</v>
      </c>
      <c r="AL48" s="777">
        <f>SUMIFS('利润（汇总）'!39:39,'利润（汇总）'!$1:$1,AL$1,'利润（汇总）'!$2:$2,AL$2)</f>
        <v>0</v>
      </c>
      <c r="AM48" s="777">
        <f>SUMIFS('利润（汇总）'!39:39,'利润（汇总）'!$1:$1,AM$1,'利润（汇总）'!$2:$2,AM$2)</f>
        <v>0</v>
      </c>
      <c r="AN48" s="777">
        <f>SUMIFS('利润（汇总）'!39:39,'利润（汇总）'!$1:$1,AN$1,'利润（汇总）'!$2:$2,AN$2)</f>
        <v>529.01254800000004</v>
      </c>
      <c r="AO48" s="777">
        <f>SUMIFS('利润（汇总）'!39:39,'利润（汇总）'!$1:$1,AO$1,'利润（汇总）'!$2:$2,AO$2)</f>
        <v>529.01254800000004</v>
      </c>
      <c r="AP48" s="777">
        <f>SUMIFS('利润（汇总）'!39:39,'利润（汇总）'!$1:$1,AP$1,'利润（汇总）'!$2:$2,AP$2)</f>
        <v>0</v>
      </c>
      <c r="AQ48" s="777">
        <f>SUMIFS('利润（汇总）'!39:39,'利润（汇总）'!$1:$1,AQ$1,'利润（汇总）'!$2:$2,AQ$2)</f>
        <v>0</v>
      </c>
      <c r="AR48" s="777">
        <f>SUMIFS('利润（汇总）'!39:39,'利润（汇总）'!$1:$1,AR$1,'利润（汇总）'!$2:$2,AR$2)</f>
        <v>0</v>
      </c>
      <c r="AS48" s="777">
        <f>SUMIFS('利润（汇总）'!39:39,'利润（汇总）'!$1:$1,AS$1,'利润（汇总）'!$2:$2,AS$2)</f>
        <v>0</v>
      </c>
      <c r="AT48" s="777">
        <f>SUMIFS('利润（汇总）'!39:39,'利润（汇总）'!$1:$1,AT$1,'利润（汇总）'!$2:$2,AT$2)</f>
        <v>0</v>
      </c>
      <c r="AU48" s="777">
        <f>SUMIFS('利润（汇总）'!39:39,'利润（汇总）'!$1:$1,AU$1,'利润（汇总）'!$2:$2,AU$2)</f>
        <v>0</v>
      </c>
      <c r="AV48" s="777">
        <f>SUMIFS('利润（汇总）'!39:39,'利润（汇总）'!$1:$1,AV$1,'利润（汇总）'!$2:$2,AV$2)</f>
        <v>0</v>
      </c>
      <c r="AW48" s="777">
        <f>SUMIFS('利润（汇总）'!39:39,'利润（汇总）'!$1:$1,AW$1,'利润（汇总）'!$2:$2,AW$2)</f>
        <v>0</v>
      </c>
      <c r="AX48" s="777">
        <f>SUMIFS('利润（汇总）'!39:39,'利润（汇总）'!$1:$1,AX$1,'利润（汇总）'!$2:$2,AX$2)</f>
        <v>0</v>
      </c>
      <c r="AY48" s="777">
        <f>SUMIFS('利润（汇总）'!39:39,'利润（汇总）'!$1:$1,AY$1,'利润（汇总）'!$2:$2,AY$2)</f>
        <v>0</v>
      </c>
      <c r="AZ48" s="777">
        <f>SUMIFS('利润（汇总）'!39:39,'利润（汇总）'!$1:$1,AZ$1,'利润（汇总）'!$2:$2,AZ$2)</f>
        <v>0</v>
      </c>
      <c r="BA48" s="777">
        <f>SUMIFS('利润（汇总）'!39:39,'利润（汇总）'!$1:$1,BA$1,'利润（汇总）'!$2:$2,BA$2)</f>
        <v>0</v>
      </c>
      <c r="BB48" s="777"/>
      <c r="BC48" s="777"/>
      <c r="BD48" s="775">
        <f t="shared" si="174"/>
        <v>0</v>
      </c>
      <c r="BE48" s="775"/>
      <c r="BF48" s="789">
        <f t="shared" si="175"/>
        <v>698.53254800000002</v>
      </c>
      <c r="BG48" s="789">
        <f>AE48+AG48+AI48+AK48+AM48+AO48+AQ48+AS48+AU48+AW48+AY48+BA48</f>
        <v>698.53254800000002</v>
      </c>
      <c r="BH48" s="775"/>
      <c r="BL48" s="790"/>
      <c r="BM48" s="748"/>
    </row>
    <row r="49" spans="1:64">
      <c r="A49" s="775" t="s">
        <v>145</v>
      </c>
      <c r="B49" s="776"/>
      <c r="C49" s="775"/>
      <c r="D49" s="777">
        <f>SUMIFS('利润（汇总）'!40:40,'利润（汇总）'!$1:$1,D$1,'利润（汇总）'!$2:$2,D$2)</f>
        <v>-1331.6535670000001</v>
      </c>
      <c r="E49" s="777">
        <f>SUMIFS('利润（汇总）'!40:40,'利润（汇总）'!$1:$1,E$1,'利润（汇总）'!$2:$2,E$2)</f>
        <v>-1331.6535670000001</v>
      </c>
      <c r="F49" s="777">
        <f>SUMIFS('利润（汇总）'!40:40,'利润（汇总）'!$1:$1,F$1,'利润（汇总）'!$2:$2,F$2)</f>
        <v>0</v>
      </c>
      <c r="G49" s="777">
        <f>SUMIFS('利润（汇总）'!40:40,'利润（汇总）'!$1:$1,G$1,'利润（汇总）'!$2:$2,G$2)</f>
        <v>0</v>
      </c>
      <c r="H49" s="777">
        <f>SUMIFS('利润（汇总）'!40:40,'利润（汇总）'!$1:$1,H$1,'利润（汇总）'!$2:$2,H$2)</f>
        <v>0</v>
      </c>
      <c r="I49" s="777">
        <f>SUMIFS('利润（汇总）'!40:40,'利润（汇总）'!$1:$1,I$1,'利润（汇总）'!$2:$2,I$2)</f>
        <v>0</v>
      </c>
      <c r="J49" s="777">
        <f>SUMIFS('利润（汇总）'!40:40,'利润（汇总）'!$1:$1,J$1,'利润（汇总）'!$2:$2,J$2)</f>
        <v>0</v>
      </c>
      <c r="K49" s="777">
        <f>SUMIFS('利润（汇总）'!40:40,'利润（汇总）'!$1:$1,K$1,'利润（汇总）'!$2:$2,K$2)</f>
        <v>0</v>
      </c>
      <c r="L49" s="777">
        <f>SUMIFS('利润（汇总）'!40:40,'利润（汇总）'!$1:$1,L$1,'利润（汇总）'!$2:$2,L$2)</f>
        <v>0</v>
      </c>
      <c r="M49" s="777">
        <f>SUMIFS('利润（汇总）'!40:40,'利润（汇总）'!$1:$1,M$1,'利润（汇总）'!$2:$2,M$2)</f>
        <v>0</v>
      </c>
      <c r="N49" s="777">
        <f>SUMIFS('利润（汇总）'!40:40,'利润（汇总）'!$1:$1,N$1,'利润（汇总）'!$2:$2,N$2)</f>
        <v>-35713.572520000002</v>
      </c>
      <c r="O49" s="777">
        <f>SUMIFS('利润（汇总）'!40:40,'利润（汇总）'!$1:$1,O$1,'利润（汇总）'!$2:$2,O$2)</f>
        <v>-35713.572520000002</v>
      </c>
      <c r="P49" s="777">
        <f>SUMIFS('利润（汇总）'!40:40,'利润（汇总）'!$1:$1,P$1,'利润（汇总）'!$2:$2,P$2)</f>
        <v>0</v>
      </c>
      <c r="Q49" s="777">
        <f>SUMIFS('利润（汇总）'!40:40,'利润（汇总）'!$1:$1,Q$1,'利润（汇总）'!$2:$2,Q$2)</f>
        <v>0</v>
      </c>
      <c r="R49" s="777">
        <f>SUMIFS('利润（汇总）'!40:40,'利润（汇总）'!$1:$1,R$1,'利润（汇总）'!$2:$2,R$2)</f>
        <v>0</v>
      </c>
      <c r="S49" s="777">
        <f>SUMIFS('利润（汇总）'!40:40,'利润（汇总）'!$1:$1,S$1,'利润（汇总）'!$2:$2,S$2)</f>
        <v>0</v>
      </c>
      <c r="T49" s="777">
        <f>SUMIFS('利润（汇总）'!40:40,'利润（汇总）'!$1:$1,T$1,'利润（汇总）'!$2:$2,T$2)</f>
        <v>0</v>
      </c>
      <c r="U49" s="777">
        <f>SUMIFS('利润（汇总）'!40:40,'利润（汇总）'!$1:$1,U$1,'利润（汇总）'!$2:$2,U$2)</f>
        <v>0</v>
      </c>
      <c r="V49" s="777">
        <f>SUMIFS('利润（汇总）'!40:40,'利润（汇总）'!$1:$1,V$1,'利润（汇总）'!$2:$2,V$2)</f>
        <v>0</v>
      </c>
      <c r="W49" s="777">
        <f>SUMIFS('利润（汇总）'!40:40,'利润（汇总）'!$1:$1,W$1,'利润（汇总）'!$2:$2,W$2)</f>
        <v>0</v>
      </c>
      <c r="X49" s="777">
        <f>SUMIFS('利润（汇总）'!40:40,'利润（汇总）'!$1:$1,X$1,'利润（汇总）'!$2:$2,X$2)</f>
        <v>-10935.077099</v>
      </c>
      <c r="Y49" s="777">
        <f>SUMIFS('利润（汇总）'!40:40,'利润（汇总）'!$1:$1,Y$1,'利润（汇总）'!$2:$2,Y$2)</f>
        <v>-10935.077099</v>
      </c>
      <c r="Z49" s="777">
        <f>SUMIFS('利润（汇总）'!40:40,'利润（汇总）'!$1:$1,Z$1,'利润（汇总）'!$2:$2,Z$2)</f>
        <v>0</v>
      </c>
      <c r="AA49" s="777">
        <f>SUMIFS('利润（汇总）'!40:40,'利润（汇总）'!$1:$1,AA$1,'利润（汇总）'!$2:$2,AA$2)</f>
        <v>0</v>
      </c>
      <c r="AB49" s="777">
        <f>SUMIFS('利润（汇总）'!40:40,'利润（汇总）'!$1:$1,AB$1,'利润（汇总）'!$2:$2,AB$2)+3454</f>
        <v>-14452.271714800001</v>
      </c>
      <c r="AC49" s="777">
        <f>SUMIFS('利润（汇总）'!40:40,'利润（汇总）'!$1:$1,AC$1,'利润（汇总）'!$2:$2,AC$2)+3454</f>
        <v>-14452.271714800001</v>
      </c>
      <c r="AD49" s="777">
        <f>SUMIFS('利润（汇总）'!40:40,'利润（汇总）'!$1:$1,AD$1,'利润（汇总）'!$2:$2,AD$2)</f>
        <v>0</v>
      </c>
      <c r="AE49" s="777">
        <f>SUMIFS('利润（汇总）'!40:40,'利润（汇总）'!$1:$1,AE$1,'利润（汇总）'!$2:$2,AE$2)</f>
        <v>0</v>
      </c>
      <c r="AF49" s="777">
        <f>SUMIFS('利润（汇总）'!40:40,'利润（汇总）'!$1:$1,AF$1,'利润（汇总）'!$2:$2,AF$2)</f>
        <v>0</v>
      </c>
      <c r="AG49" s="777">
        <f>SUMIFS('利润（汇总）'!40:40,'利润（汇总）'!$1:$1,AG$1,'利润（汇总）'!$2:$2,AG$2)</f>
        <v>0</v>
      </c>
      <c r="AH49" s="777">
        <f>SUMIFS('利润（汇总）'!40:40,'利润（汇总）'!$1:$1,AH$1,'利润（汇总）'!$2:$2,AH$2)</f>
        <v>0</v>
      </c>
      <c r="AI49" s="777">
        <f>SUMIFS('利润（汇总）'!40:40,'利润（汇总）'!$1:$1,AI$1,'利润（汇总）'!$2:$2,AI$2)</f>
        <v>0</v>
      </c>
      <c r="AJ49" s="777">
        <f>SUMIFS('利润（汇总）'!40:40,'利润（汇总）'!$1:$1,AJ$1,'利润（汇总）'!$2:$2,AJ$2)</f>
        <v>0</v>
      </c>
      <c r="AK49" s="777">
        <f>SUMIFS('利润（汇总）'!40:40,'利润（汇总）'!$1:$1,AK$1,'利润（汇总）'!$2:$2,AK$2)</f>
        <v>0</v>
      </c>
      <c r="AL49" s="777">
        <f>SUMIFS('利润（汇总）'!40:40,'利润（汇总）'!$1:$1,AL$1,'利润（汇总）'!$2:$2,AL$2)</f>
        <v>-55178.751310200001</v>
      </c>
      <c r="AM49" s="777">
        <f>SUMIFS('利润（汇总）'!40:40,'利润（汇总）'!$1:$1,AM$1,'利润（汇总）'!$2:$2,AM$2)</f>
        <v>-55178.751310200001</v>
      </c>
      <c r="AN49" s="777">
        <f>SUMIFS('利润（汇总）'!40:40,'利润（汇总）'!$1:$1,AN$1,'利润（汇总）'!$2:$2,AN$2)</f>
        <v>-20891.06121</v>
      </c>
      <c r="AO49" s="777">
        <f>SUMIFS('利润（汇总）'!40:40,'利润（汇总）'!$1:$1,AO$1,'利润（汇总）'!$2:$2,AO$2)</f>
        <v>-20891.06121</v>
      </c>
      <c r="AP49" s="777">
        <f>SUMIFS('利润（汇总）'!40:40,'利润（汇总）'!$1:$1,AP$1,'利润（汇总）'!$2:$2,AP$2)</f>
        <v>0</v>
      </c>
      <c r="AQ49" s="777">
        <f>SUMIFS('利润（汇总）'!40:40,'利润（汇总）'!$1:$1,AQ$1,'利润（汇总）'!$2:$2,AQ$2)</f>
        <v>0</v>
      </c>
      <c r="AR49" s="777">
        <f>SUMIFS('利润（汇总）'!40:40,'利润（汇总）'!$1:$1,AR$1,'利润（汇总）'!$2:$2,AR$2)</f>
        <v>0</v>
      </c>
      <c r="AS49" s="777">
        <f>SUMIFS('利润（汇总）'!40:40,'利润（汇总）'!$1:$1,AS$1,'利润（汇总）'!$2:$2,AS$2)</f>
        <v>0</v>
      </c>
      <c r="AT49" s="777">
        <f>SUMIFS('利润（汇总）'!40:40,'利润（汇总）'!$1:$1,AT$1,'利润（汇总）'!$2:$2,AT$2)</f>
        <v>0</v>
      </c>
      <c r="AU49" s="777">
        <f>SUMIFS('利润（汇总）'!40:40,'利润（汇总）'!$1:$1,AU$1,'利润（汇总）'!$2:$2,AU$2)</f>
        <v>0</v>
      </c>
      <c r="AV49" s="777">
        <f>SUMIFS('利润（汇总）'!40:40,'利润（汇总）'!$1:$1,AV$1,'利润（汇总）'!$2:$2,AV$2)</f>
        <v>0</v>
      </c>
      <c r="AW49" s="777">
        <f>SUMIFS('利润（汇总）'!40:40,'利润（汇总）'!$1:$1,AW$1,'利润（汇总）'!$2:$2,AW$2)</f>
        <v>0</v>
      </c>
      <c r="AX49" s="777">
        <f>SUMIFS('利润（汇总）'!40:40,'利润（汇总）'!$1:$1,AX$1,'利润（汇总）'!$2:$2,AX$2)</f>
        <v>0</v>
      </c>
      <c r="AY49" s="777">
        <f>SUMIFS('利润（汇总）'!40:40,'利润（汇总）'!$1:$1,AY$1,'利润（汇总）'!$2:$2,AY$2)</f>
        <v>0</v>
      </c>
      <c r="AZ49" s="777">
        <f>SUMIFS('利润（汇总）'!40:40,'利润（汇总）'!$1:$1,AZ$1,'利润（汇总）'!$2:$2,AZ$2)</f>
        <v>0</v>
      </c>
      <c r="BA49" s="777">
        <f>SUMIFS('利润（汇总）'!40:40,'利润（汇总）'!$1:$1,BA$1,'利润（汇总）'!$2:$2,BA$2)</f>
        <v>0</v>
      </c>
      <c r="BB49" s="777"/>
      <c r="BC49" s="777"/>
      <c r="BD49" s="775">
        <f t="shared" si="174"/>
        <v>0</v>
      </c>
      <c r="BE49" s="775"/>
      <c r="BF49" s="775">
        <f t="shared" si="175"/>
        <v>-76069.812520200008</v>
      </c>
      <c r="BG49" s="775">
        <f>AE49+AG49+AI49+AK49+AM49+AO49+AQ49+AS49+AU49+AW49+AY49+BA49</f>
        <v>-76069.812520200008</v>
      </c>
      <c r="BH49" s="775"/>
    </row>
    <row r="50" spans="1:64">
      <c r="A50" s="775" t="s">
        <v>146</v>
      </c>
      <c r="B50" s="775"/>
      <c r="C50" s="775"/>
      <c r="D50" s="777">
        <f>SUMIFS('利润（汇总）'!41:41,'利润（汇总）'!$1:$1,D$1,'利润（汇总）'!$2:$2,D$2)</f>
        <v>-2555.91</v>
      </c>
      <c r="E50" s="777">
        <f>SUMIFS('利润（汇总）'!41:41,'利润（汇总）'!$1:$1,E$1,'利润（汇总）'!$2:$2,E$2)</f>
        <v>-2555.91</v>
      </c>
      <c r="F50" s="777">
        <f>SUMIFS('利润（汇总）'!41:41,'利润（汇总）'!$1:$1,F$1,'利润（汇总）'!$2:$2,F$2)</f>
        <v>0</v>
      </c>
      <c r="G50" s="777">
        <f>SUMIFS('利润（汇总）'!41:41,'利润（汇总）'!$1:$1,G$1,'利润（汇总）'!$2:$2,G$2)</f>
        <v>0</v>
      </c>
      <c r="H50" s="777">
        <f>SUMIFS('利润（汇总）'!41:41,'利润（汇总）'!$1:$1,H$1,'利润（汇总）'!$2:$2,H$2)</f>
        <v>0</v>
      </c>
      <c r="I50" s="777">
        <f>SUMIFS('利润（汇总）'!41:41,'利润（汇总）'!$1:$1,I$1,'利润（汇总）'!$2:$2,I$2)</f>
        <v>0</v>
      </c>
      <c r="J50" s="777">
        <f>SUMIFS('利润（汇总）'!41:41,'利润（汇总）'!$1:$1,J$1,'利润（汇总）'!$2:$2,J$2)</f>
        <v>0</v>
      </c>
      <c r="K50" s="777">
        <f>SUMIFS('利润（汇总）'!41:41,'利润（汇总）'!$1:$1,K$1,'利润（汇总）'!$2:$2,K$2)</f>
        <v>0</v>
      </c>
      <c r="L50" s="777">
        <f>SUMIFS('利润（汇总）'!41:41,'利润（汇总）'!$1:$1,L$1,'利润（汇总）'!$2:$2,L$2)</f>
        <v>0</v>
      </c>
      <c r="M50" s="777">
        <f>SUMIFS('利润（汇总）'!41:41,'利润（汇总）'!$1:$1,M$1,'利润（汇总）'!$2:$2,M$2)</f>
        <v>0</v>
      </c>
      <c r="N50" s="777">
        <f>SUMIFS('利润（汇总）'!41:41,'利润（汇总）'!$1:$1,N$1,'利润（汇总）'!$2:$2,N$2)</f>
        <v>0</v>
      </c>
      <c r="O50" s="777">
        <f>SUMIFS('利润（汇总）'!41:41,'利润（汇总）'!$1:$1,O$1,'利润（汇总）'!$2:$2,O$2)</f>
        <v>0</v>
      </c>
      <c r="P50" s="777">
        <f>SUMIFS('利润（汇总）'!41:41,'利润（汇总）'!$1:$1,P$1,'利润（汇总）'!$2:$2,P$2)</f>
        <v>0</v>
      </c>
      <c r="Q50" s="777">
        <f>SUMIFS('利润（汇总）'!41:41,'利润（汇总）'!$1:$1,Q$1,'利润（汇总）'!$2:$2,Q$2)</f>
        <v>0</v>
      </c>
      <c r="R50" s="777">
        <f>SUMIFS('利润（汇总）'!41:41,'利润（汇总）'!$1:$1,R$1,'利润（汇总）'!$2:$2,R$2)</f>
        <v>0</v>
      </c>
      <c r="S50" s="777">
        <f>SUMIFS('利润（汇总）'!41:41,'利润（汇总）'!$1:$1,S$1,'利润（汇总）'!$2:$2,S$2)</f>
        <v>0</v>
      </c>
      <c r="T50" s="777">
        <f>SUMIFS('利润（汇总）'!41:41,'利润（汇总）'!$1:$1,T$1,'利润（汇总）'!$2:$2,T$2)</f>
        <v>0</v>
      </c>
      <c r="U50" s="777">
        <f>SUMIFS('利润（汇总）'!41:41,'利润（汇总）'!$1:$1,U$1,'利润（汇总）'!$2:$2,U$2)</f>
        <v>0</v>
      </c>
      <c r="V50" s="777">
        <f>SUMIFS('利润（汇总）'!41:41,'利润（汇总）'!$1:$1,V$1,'利润（汇总）'!$2:$2,V$2)</f>
        <v>0</v>
      </c>
      <c r="W50" s="777">
        <f>SUMIFS('利润（汇总）'!41:41,'利润（汇总）'!$1:$1,W$1,'利润（汇总）'!$2:$2,W$2)</f>
        <v>0</v>
      </c>
      <c r="X50" s="777">
        <f>SUMIFS('利润（汇总）'!41:41,'利润（汇总）'!$1:$1,X$1,'利润（汇总）'!$2:$2,X$2)</f>
        <v>0</v>
      </c>
      <c r="Y50" s="777">
        <f>SUMIFS('利润（汇总）'!41:41,'利润（汇总）'!$1:$1,Y$1,'利润（汇总）'!$2:$2,Y$2)</f>
        <v>0</v>
      </c>
      <c r="Z50" s="777">
        <f>SUMIFS('利润（汇总）'!41:41,'利润（汇总）'!$1:$1,Z$1,'利润（汇总）'!$2:$2,Z$2)</f>
        <v>0</v>
      </c>
      <c r="AA50" s="777">
        <f>SUMIFS('利润（汇总）'!41:41,'利润（汇总）'!$1:$1,AA$1,'利润（汇总）'!$2:$2,AA$2)</f>
        <v>0</v>
      </c>
      <c r="AB50" s="777">
        <f>SUMIFS('利润（汇总）'!41:41,'利润（汇总）'!$1:$1,AB$1,'利润（汇总）'!$2:$2,AB$2)</f>
        <v>0</v>
      </c>
      <c r="AC50" s="777">
        <f>SUMIFS('利润（汇总）'!41:41,'利润（汇总）'!$1:$1,AC$1,'利润（汇总）'!$2:$2,AC$2)</f>
        <v>0</v>
      </c>
      <c r="AD50" s="777">
        <f>SUMIFS('利润（汇总）'!41:41,'利润（汇总）'!$1:$1,AD$1,'利润（汇总）'!$2:$2,AD$2)</f>
        <v>0</v>
      </c>
      <c r="AE50" s="777">
        <f>SUMIFS('利润（汇总）'!41:41,'利润（汇总）'!$1:$1,AE$1,'利润（汇总）'!$2:$2,AE$2)</f>
        <v>0</v>
      </c>
      <c r="AF50" s="777">
        <f>SUMIFS('利润（汇总）'!41:41,'利润（汇总）'!$1:$1,AF$1,'利润（汇总）'!$2:$2,AF$2)</f>
        <v>0</v>
      </c>
      <c r="AG50" s="777">
        <f>SUMIFS('利润（汇总）'!41:41,'利润（汇总）'!$1:$1,AG$1,'利润（汇总）'!$2:$2,AG$2)</f>
        <v>0</v>
      </c>
      <c r="AH50" s="777">
        <f>SUMIFS('利润（汇总）'!41:41,'利润（汇总）'!$1:$1,AH$1,'利润（汇总）'!$2:$2,AH$2)</f>
        <v>0</v>
      </c>
      <c r="AI50" s="777">
        <f>SUMIFS('利润（汇总）'!41:41,'利润（汇总）'!$1:$1,AI$1,'利润（汇总）'!$2:$2,AI$2)</f>
        <v>0</v>
      </c>
      <c r="AJ50" s="777">
        <f>SUMIFS('利润（汇总）'!41:41,'利润（汇总）'!$1:$1,AJ$1,'利润（汇总）'!$2:$2,AJ$2)</f>
        <v>0</v>
      </c>
      <c r="AK50" s="777">
        <f>SUMIFS('利润（汇总）'!41:41,'利润（汇总）'!$1:$1,AK$1,'利润（汇总）'!$2:$2,AK$2)</f>
        <v>0</v>
      </c>
      <c r="AL50" s="777">
        <f>SUMIFS('利润（汇总）'!41:41,'利润（汇总）'!$1:$1,AL$1,'利润（汇总）'!$2:$2,AL$2)</f>
        <v>0</v>
      </c>
      <c r="AM50" s="777">
        <f>SUMIFS('利润（汇总）'!41:41,'利润（汇总）'!$1:$1,AM$1,'利润（汇总）'!$2:$2,AM$2)</f>
        <v>0</v>
      </c>
      <c r="AN50" s="777">
        <f>SUMIFS('利润（汇总）'!41:41,'利润（汇总）'!$1:$1,AN$1,'利润（汇总）'!$2:$2,AN$2)</f>
        <v>0</v>
      </c>
      <c r="AO50" s="777">
        <f>SUMIFS('利润（汇总）'!41:41,'利润（汇总）'!$1:$1,AO$1,'利润（汇总）'!$2:$2,AO$2)</f>
        <v>0</v>
      </c>
      <c r="AP50" s="777">
        <f>SUMIFS('利润（汇总）'!41:41,'利润（汇总）'!$1:$1,AP$1,'利润（汇总）'!$2:$2,AP$2)</f>
        <v>-411</v>
      </c>
      <c r="AQ50" s="777">
        <f>SUMIFS('利润（汇总）'!41:41,'利润（汇总）'!$1:$1,AQ$1,'利润（汇总）'!$2:$2,AQ$2)</f>
        <v>-411</v>
      </c>
      <c r="AR50" s="777">
        <f>SUMIFS('利润（汇总）'!41:41,'利润（汇总）'!$1:$1,AR$1,'利润（汇总）'!$2:$2,AR$2)</f>
        <v>0</v>
      </c>
      <c r="AS50" s="777">
        <f>SUMIFS('利润（汇总）'!41:41,'利润（汇总）'!$1:$1,AS$1,'利润（汇总）'!$2:$2,AS$2)</f>
        <v>0</v>
      </c>
      <c r="AT50" s="777">
        <f>SUMIFS('利润（汇总）'!41:41,'利润（汇总）'!$1:$1,AT$1,'利润（汇总）'!$2:$2,AT$2)</f>
        <v>0</v>
      </c>
      <c r="AU50" s="777">
        <f>SUMIFS('利润（汇总）'!41:41,'利润（汇总）'!$1:$1,AU$1,'利润（汇总）'!$2:$2,AU$2)</f>
        <v>0</v>
      </c>
      <c r="AV50" s="777">
        <f>SUMIFS('利润（汇总）'!41:41,'利润（汇总）'!$1:$1,AV$1,'利润（汇总）'!$2:$2,AV$2)</f>
        <v>0</v>
      </c>
      <c r="AW50" s="777">
        <f>SUMIFS('利润（汇总）'!41:41,'利润（汇总）'!$1:$1,AW$1,'利润（汇总）'!$2:$2,AW$2)</f>
        <v>0</v>
      </c>
      <c r="AX50" s="777">
        <f>SUMIFS('利润（汇总）'!41:41,'利润（汇总）'!$1:$1,AX$1,'利润（汇总）'!$2:$2,AX$2)</f>
        <v>0</v>
      </c>
      <c r="AY50" s="777">
        <f>SUMIFS('利润（汇总）'!41:41,'利润（汇总）'!$1:$1,AY$1,'利润（汇总）'!$2:$2,AY$2)</f>
        <v>0</v>
      </c>
      <c r="AZ50" s="777">
        <f>SUMIFS('利润（汇总）'!41:41,'利润（汇总）'!$1:$1,AZ$1,'利润（汇总）'!$2:$2,AZ$2)</f>
        <v>0</v>
      </c>
      <c r="BA50" s="777">
        <f>SUMIFS('利润（汇总）'!41:41,'利润（汇总）'!$1:$1,BA$1,'利润（汇总）'!$2:$2,BA$2)</f>
        <v>0</v>
      </c>
      <c r="BB50" s="777"/>
      <c r="BC50" s="777"/>
      <c r="BD50" s="775">
        <f t="shared" si="174"/>
        <v>0</v>
      </c>
      <c r="BE50" s="775"/>
      <c r="BF50" s="775">
        <f t="shared" si="175"/>
        <v>-411</v>
      </c>
      <c r="BG50" s="775">
        <f>AE50+AG50+AI50+AK50+AM50+AO50+AQ50+AS50+AU50+AW50+AY50+BA50</f>
        <v>-411</v>
      </c>
      <c r="BH50" s="775"/>
    </row>
    <row r="51" spans="1:64">
      <c r="D51" s="778"/>
      <c r="F51" s="778"/>
      <c r="H51" s="778"/>
      <c r="J51" s="778"/>
      <c r="L51" s="778"/>
      <c r="N51" s="778"/>
      <c r="P51" s="778"/>
      <c r="R51" s="778"/>
      <c r="T51" s="778"/>
      <c r="V51" s="778"/>
      <c r="X51" s="778"/>
      <c r="Z51" s="778"/>
      <c r="AB51" s="778"/>
      <c r="BB51" s="745">
        <v>1000</v>
      </c>
      <c r="BC51" s="745">
        <f>SUM(BB51:BB75)</f>
        <v>46109.09</v>
      </c>
    </row>
    <row r="52" spans="1:64">
      <c r="AF52" s="748"/>
      <c r="BB52" s="745">
        <v>2300</v>
      </c>
      <c r="BC52" s="748">
        <f>AC6-AB6</f>
        <v>45806.090000000004</v>
      </c>
    </row>
    <row r="53" spans="1:64">
      <c r="BB53" s="748">
        <v>3044</v>
      </c>
      <c r="BC53" s="748">
        <f>BC52-BC51</f>
        <v>-302.99999999999272</v>
      </c>
    </row>
    <row r="54" spans="1:64">
      <c r="AF54" s="748"/>
      <c r="AG54" s="748"/>
      <c r="BB54" s="745">
        <v>-97161</v>
      </c>
      <c r="BC54" s="748"/>
    </row>
    <row r="55" spans="1:64">
      <c r="A55" s="745" t="s">
        <v>721</v>
      </c>
      <c r="E55" s="748">
        <f>-E56+E59+E58-E60+E62</f>
        <v>-3154.4179239999994</v>
      </c>
      <c r="G55" s="748">
        <f>-G56+G59+G58-G60</f>
        <v>-4148.7772530000002</v>
      </c>
      <c r="I55" s="748">
        <f>-I56-I57+I59+I58+I60</f>
        <v>-1425.3844549999999</v>
      </c>
      <c r="K55" s="748">
        <f>-K56-K57+K59+K58-K60</f>
        <v>-4814.2239149999996</v>
      </c>
      <c r="M55" s="748">
        <f>-M56-M57+M59+M58-M60</f>
        <v>-4506.5592150000002</v>
      </c>
      <c r="O55" s="748">
        <f>-O56-O57+O59+O58-O60</f>
        <v>-4082.3442690000002</v>
      </c>
      <c r="Q55" s="748">
        <f>-Q56+Q59+Q58-Q60+Q62</f>
        <v>9707.1533520000012</v>
      </c>
      <c r="S55" s="748">
        <f>-S56+S59+S58-S60+S62-S57</f>
        <v>-5128.1138490000003</v>
      </c>
      <c r="U55" s="748">
        <f>-U56+U59+U58-U60+U62-U57</f>
        <v>-4934.4673679999996</v>
      </c>
      <c r="W55" s="748">
        <f>-W56+W59+W58+W60+W62-W57</f>
        <v>-4333.1566671239989</v>
      </c>
      <c r="Y55" s="748">
        <f>-Y56-Y57+Y59+Y58-Y60+Y62</f>
        <v>-101.80729200000042</v>
      </c>
      <c r="AA55" s="748">
        <f>-AA56-AA57+AA59+AA58-AA60+AA62</f>
        <v>3389.8061500000013</v>
      </c>
      <c r="AC55" s="748">
        <f>-AC56+AC59+AC58+AC60+AC62-AC57</f>
        <v>65973.330608000004</v>
      </c>
      <c r="AD55" s="748"/>
      <c r="AE55" s="748">
        <f>-AE56+AE59+AE58+AE60+AE62-AE57</f>
        <v>-6421.716684</v>
      </c>
      <c r="AF55" s="748"/>
      <c r="AG55" s="748">
        <f>-AG56+AG59+AG58+AG60+AG62-AG57</f>
        <v>-6945.6088859999991</v>
      </c>
      <c r="AH55" s="748"/>
      <c r="AI55" s="748"/>
      <c r="AJ55" s="748"/>
      <c r="AK55" s="748"/>
      <c r="AL55" s="748"/>
      <c r="AM55" s="748"/>
      <c r="AN55" s="748"/>
      <c r="AO55" s="748"/>
      <c r="AP55" s="748"/>
      <c r="AQ55" s="748"/>
      <c r="AR55" s="748"/>
      <c r="AS55" s="748"/>
      <c r="AT55" s="748"/>
      <c r="AU55" s="748"/>
      <c r="AV55" s="748"/>
      <c r="AW55" s="748"/>
      <c r="AX55" s="748"/>
      <c r="AY55" s="748"/>
      <c r="AZ55" s="748"/>
      <c r="BA55" s="748"/>
      <c r="BB55" s="745">
        <v>10000</v>
      </c>
      <c r="BC55" s="748">
        <f>AB8</f>
        <v>-61438.508178999989</v>
      </c>
      <c r="BF55" s="748">
        <f>AC8</f>
        <v>4534.8224290000144</v>
      </c>
    </row>
    <row r="56" spans="1:64">
      <c r="A56" s="745" t="s">
        <v>148</v>
      </c>
      <c r="E56" s="748">
        <f>SUMIFS('#需填写'!16:16,'#需填写'!1:1,E1,'#需填写'!2:2,E2)/10000</f>
        <v>3894.4179239999994</v>
      </c>
      <c r="G56" s="748">
        <f>SUMIFS('#需填写'!16:16,'#需填写'!1:1,G1,'#需填写'!2:2,G2)/10000</f>
        <v>4148.7772530000002</v>
      </c>
      <c r="I56" s="748">
        <f>SUMIFS('#需填写'!16:16,'#需填写'!1:1,I1,'#需填写'!2:2,I2)/10000</f>
        <v>4075.3844549999999</v>
      </c>
      <c r="K56" s="748">
        <f>SUMIFS('#需填写'!16:16,'#需填写'!1:1,K1,'#需填写'!2:2,K2)/10000</f>
        <v>4233.6046649999998</v>
      </c>
      <c r="M56" s="748">
        <f>SUMIFS('#需填写'!16:16,'#需填写'!1:1,M1,'#需填写'!2:2,M2)/10000</f>
        <v>4309.6539149999999</v>
      </c>
      <c r="O56" s="748">
        <f>SUMIFS('#需填写'!16:16,'#需填写'!1:1,O1,'#需填写'!2:2,O2)/10000</f>
        <v>3885.3275189999999</v>
      </c>
      <c r="Q56" s="748">
        <f>SUMIFS('#需填写'!16:16,'#需填写'!1:1,Q1,'#需填写'!2:2,Q2)/10000</f>
        <v>4392.8466479999997</v>
      </c>
      <c r="S56" s="748">
        <f>SUMIFS('#需填写'!16:16,'#需填写'!1:1,S1,'#需填写'!2:2,S2)/10000</f>
        <v>4931.2062240000005</v>
      </c>
      <c r="U56" s="748">
        <f>SUMIFS('#需填写'!16:16,'#需填写'!1:1,U1,'#需填写'!2:2,U2)/10000</f>
        <v>4743.1768679999996</v>
      </c>
      <c r="W56" s="748">
        <f>SUMIFS('#需填写'!16:16,'#需填写'!1:1,W1,'#需填写'!2:2,W2)/10000</f>
        <v>4641.2919171239992</v>
      </c>
      <c r="Y56" s="748">
        <f>SUMIFS('#需填写'!16:16,'#需填写'!1:1,Y1,'#需填写'!2:2,Y2)/10000</f>
        <v>5119.0695720000003</v>
      </c>
      <c r="AA56" s="748">
        <f>SUMIFS('#需填写'!16:16,'#需填写'!1:1,AA1,'#需填写'!2:2,AA2)/10000</f>
        <v>4929.1412699999992</v>
      </c>
      <c r="AC56" s="748">
        <f>SUMIFS('#需填写'!16:16,'#需填写'!1:1,AC1,'#需填写'!2:2,AC2)/10000</f>
        <v>4653.1834319999998</v>
      </c>
      <c r="AD56" s="748"/>
      <c r="AE56" s="748">
        <f>SUMIFS('#需填写'!16:16,'#需填写'!1:1,AE1,'#需填写'!2:2,AE2)/10000</f>
        <v>6197.5069439999997</v>
      </c>
      <c r="AF56" s="748"/>
      <c r="AG56" s="748">
        <f>SUMIFS('#需填写'!16:16,'#需填写'!1:1,AG1,'#需填写'!2:2,AG2)/10000</f>
        <v>6706.9563059999991</v>
      </c>
      <c r="AH56" s="748"/>
      <c r="AI56" s="748"/>
      <c r="AJ56" s="748"/>
      <c r="AK56" s="748"/>
      <c r="AL56" s="748"/>
      <c r="AM56" s="748"/>
      <c r="AN56" s="748"/>
      <c r="AO56" s="748"/>
      <c r="AP56" s="748"/>
      <c r="AQ56" s="748"/>
      <c r="AR56" s="748"/>
      <c r="AS56" s="748"/>
      <c r="AT56" s="748"/>
      <c r="AU56" s="748"/>
      <c r="AV56" s="748"/>
      <c r="AW56" s="748"/>
      <c r="AX56" s="748"/>
      <c r="AY56" s="748"/>
      <c r="AZ56" s="748"/>
      <c r="BA56" s="748"/>
      <c r="BC56" s="745">
        <v>-56512</v>
      </c>
      <c r="BF56" s="748">
        <v>4373</v>
      </c>
    </row>
    <row r="57" spans="1:64">
      <c r="A57" s="745" t="s">
        <v>149</v>
      </c>
      <c r="E57" s="748"/>
      <c r="G57" s="748"/>
      <c r="I57" s="748">
        <f>SUMIFS('#需填写'!21:21,'#需填写'!1:1,I1,'#需填写'!2:2,I2)/10000+SUMIFS('#需填写'!23:23,'#需填写'!1:1,I1,'#需填写'!2:2,I2)/10000</f>
        <v>0</v>
      </c>
      <c r="K57" s="748">
        <f>SUMIFS('#需填写'!21:21,'#需填写'!1:1,K1,'#需填写'!2:2,K2)/10000+SUMIFS('#需填写'!23:23,'#需填写'!1:1,K1,'#需填写'!2:2,K2)/10000</f>
        <v>580.61924999999997</v>
      </c>
      <c r="M57" s="748">
        <f>SUMIFS('#需填写'!21:21,'#需填写'!1:1,M1,'#需填写'!2:2,M2)/10000+SUMIFS('#需填写'!23:23,'#需填写'!1:1,M1,'#需填写'!2:2,M2)/10000</f>
        <v>196.90529999999998</v>
      </c>
      <c r="O57" s="748">
        <f>SUMIFS('#需填写'!21:21,'#需填写'!1:1,O1,'#需填写'!2:2,O2)/10000+SUMIFS('#需填写'!23:23,'#需填写'!1:1,O1,'#需填写'!2:2,O2)/10000</f>
        <v>197.01675</v>
      </c>
      <c r="Q57" s="748">
        <f>SUMIFS('#需填写'!21:21,'#需填写'!1:1,Q1,'#需填写'!2:2,Q2)/10000+SUMIFS('#需填写'!23:23,'#需填写'!1:1,Q1,'#需填写'!2:2,Q2)/10000</f>
        <v>220.60012500000002</v>
      </c>
      <c r="S57" s="748">
        <f>SUMIFS('#需填写'!21:21,'#需填写'!1:1,S1,'#需填写'!2:2,S2)/10000+SUMIFS('#需填写'!23:23,'#需填写'!1:1,S1,'#需填写'!2:2,S2)/10000</f>
        <v>196.907625</v>
      </c>
      <c r="U57" s="748">
        <f>SUMIFS('#需填写'!21:21,'#需填写'!1:1,U1,'#需填写'!2:2,U2)/10000+SUMIFS('#需填写'!23:23,'#需填写'!1:1,U1,'#需填写'!2:2,U2)/10000</f>
        <v>191.29050000000001</v>
      </c>
      <c r="W57" s="748">
        <f>SUMIFS('#需填写'!21:21,'#需填写'!1:1,W1,'#需填写'!2:2,W2)/10000+SUMIFS('#需填写'!23:23,'#需填写'!1:1,W1,'#需填写'!2:2,W2)/10000</f>
        <v>33.864750000000001</v>
      </c>
      <c r="Y57" s="748">
        <f>SUMIFS('#需填写'!21:21,'#需填写'!1:1,Y1,'#需填写'!2:2,Y2)/10000+SUMIFS('#需填写'!23:23,'#需填写'!1:1,Y1,'#需填写'!2:2,Y2)/10000</f>
        <v>238.73772</v>
      </c>
      <c r="AA57" s="748">
        <f>SUMIFS('#需填写'!21:21,'#需填写'!1:1,AA1,'#需填写'!2:2,AA2)/10000+SUMIFS('#需填写'!23:23,'#需填写'!1:1,AA1,'#需填写'!2:2,AA2)/10000</f>
        <v>187.05257999999998</v>
      </c>
      <c r="AC57" s="748">
        <f>SUMIFS('#需填写'!21:21,'#需填写'!1:1,AC1,'#需填写'!2:2,AC2)/10000+SUMIFS('#需填写'!23:23,'#需填写'!1:1,AC1,'#需填写'!2:2,AC2)/10000</f>
        <v>244.48595999999998</v>
      </c>
      <c r="AD57" s="748"/>
      <c r="AE57" s="748">
        <f>SUMIFS('#需填写'!21:21,'#需填写'!1:1,AE1,'#需填写'!2:2,AE2)/10000+SUMIFS('#需填写'!23:23,'#需填写'!1:1,AE1,'#需填写'!2:2,AE2)/10000</f>
        <v>224.20973999999995</v>
      </c>
      <c r="AF57" s="748"/>
      <c r="AG57" s="748">
        <f>SUMIFS('#需填写'!21:21,'#需填写'!1:1,AG1,'#需填写'!2:2,AG2)/10000+SUMIFS('#需填写'!23:23,'#需填写'!1:1,AG1,'#需填写'!2:2,AG2)/10000</f>
        <v>238.65258</v>
      </c>
      <c r="AH57" s="748"/>
      <c r="AI57" s="748"/>
      <c r="AJ57" s="748"/>
      <c r="AK57" s="748"/>
      <c r="AL57" s="748"/>
      <c r="AM57" s="748"/>
      <c r="AN57" s="748"/>
      <c r="AO57" s="748"/>
      <c r="AP57" s="748"/>
      <c r="AQ57" s="748"/>
      <c r="AR57" s="748"/>
      <c r="AS57" s="748"/>
      <c r="AT57" s="748"/>
      <c r="AU57" s="748"/>
      <c r="AV57" s="748"/>
      <c r="AW57" s="748"/>
      <c r="AX57" s="748"/>
      <c r="AY57" s="748"/>
      <c r="AZ57" s="748"/>
      <c r="BA57" s="748"/>
      <c r="BC57" s="748">
        <f>BC56-BC55</f>
        <v>4926.5081789999895</v>
      </c>
      <c r="BD57" s="748">
        <f>BD56-BD55</f>
        <v>0</v>
      </c>
      <c r="BE57" s="748">
        <f>BE56-BE55</f>
        <v>0</v>
      </c>
      <c r="BF57" s="748">
        <f>BF56-BF55</f>
        <v>-161.82242900001438</v>
      </c>
    </row>
    <row r="58" spans="1:64">
      <c r="A58" s="745" t="s">
        <v>150</v>
      </c>
      <c r="E58" s="747"/>
      <c r="Q58" s="745">
        <f>5400+3000+5700</f>
        <v>14100</v>
      </c>
      <c r="W58" s="748"/>
      <c r="AA58" s="748"/>
      <c r="BC58" s="745">
        <f>(5124+5317)</f>
        <v>10441</v>
      </c>
      <c r="BF58" s="748">
        <f>BC57-BF57</f>
        <v>5088.3306080000038</v>
      </c>
    </row>
    <row r="59" spans="1:64">
      <c r="A59" s="745" t="s">
        <v>722</v>
      </c>
      <c r="E59" s="747"/>
      <c r="G59" s="747"/>
      <c r="W59" s="748"/>
      <c r="AA59" s="748">
        <f>6814+955+733+4</f>
        <v>8506</v>
      </c>
      <c r="AC59" s="745">
        <f>(1317+26586+133)</f>
        <v>28036</v>
      </c>
      <c r="BB59" s="745">
        <f>AC59</f>
        <v>28036</v>
      </c>
    </row>
    <row r="60" spans="1:64">
      <c r="A60" s="745" t="s">
        <v>723</v>
      </c>
      <c r="I60" s="745">
        <v>2650</v>
      </c>
      <c r="W60" s="745">
        <v>342</v>
      </c>
      <c r="Y60" s="745">
        <f>-5256</f>
        <v>-5256</v>
      </c>
      <c r="AC60" s="745">
        <f>(5124+5317)+(3756+590+602)+(5162)+(2416+174+1179)+8515+10000</f>
        <v>42835</v>
      </c>
      <c r="BB60" s="745">
        <f>(5124+5317)+(3756+590+602)+(5162)+(2416+174+1179)</f>
        <v>24320</v>
      </c>
      <c r="BL60" s="786"/>
    </row>
    <row r="61" spans="1:64">
      <c r="A61" s="745" t="s">
        <v>151</v>
      </c>
      <c r="BL61" s="786"/>
    </row>
    <row r="62" spans="1:64">
      <c r="A62" s="745" t="s">
        <v>724</v>
      </c>
      <c r="E62" s="745">
        <v>740</v>
      </c>
      <c r="BB62" s="745">
        <v>8515</v>
      </c>
      <c r="BL62" s="786"/>
    </row>
    <row r="63" spans="1:64">
      <c r="A63" s="745" t="s">
        <v>1141</v>
      </c>
      <c r="E63" s="745">
        <v>1591</v>
      </c>
      <c r="Q63" s="748"/>
      <c r="S63" s="748"/>
      <c r="U63" s="748"/>
      <c r="AA63" s="745">
        <v>13134</v>
      </c>
      <c r="AC63" s="1778">
        <f>4541+4240+150+22804+1021</f>
        <v>32756</v>
      </c>
      <c r="AD63" s="1778"/>
      <c r="AE63" s="1778"/>
      <c r="AF63" s="1778"/>
      <c r="AG63" s="1778"/>
      <c r="AH63" s="1778"/>
      <c r="AI63" s="1778"/>
      <c r="AJ63" s="1778"/>
      <c r="AK63" s="1778"/>
      <c r="AL63" s="1778"/>
      <c r="AM63" s="1778"/>
      <c r="AN63" s="1778"/>
      <c r="AO63" s="1778"/>
      <c r="AP63" s="1778"/>
      <c r="AQ63" s="1778"/>
      <c r="AR63" s="1778"/>
      <c r="AS63" s="1778"/>
      <c r="AT63" s="1778"/>
      <c r="AU63" s="1778"/>
      <c r="AV63" s="1778"/>
      <c r="AW63" s="1778"/>
      <c r="AX63" s="1778"/>
      <c r="AY63" s="1778"/>
      <c r="AZ63" s="1778"/>
      <c r="BA63" s="1778"/>
      <c r="BB63" s="748">
        <f>AC63</f>
        <v>32756</v>
      </c>
      <c r="BL63" s="786"/>
    </row>
    <row r="64" spans="1:64">
      <c r="A64" s="745" t="s">
        <v>1139</v>
      </c>
      <c r="AA64" s="745">
        <f>4115</f>
        <v>4115</v>
      </c>
      <c r="AC64" s="748">
        <f>(10724.5+3150+1409.79)+1060</f>
        <v>16344.29</v>
      </c>
      <c r="AD64" s="748"/>
      <c r="AE64" s="748"/>
      <c r="AF64" s="748"/>
      <c r="AG64" s="748"/>
      <c r="AH64" s="748"/>
      <c r="AI64" s="748"/>
      <c r="AJ64" s="748"/>
      <c r="AK64" s="748"/>
      <c r="AL64" s="748"/>
      <c r="AM64" s="748"/>
      <c r="AN64" s="748"/>
      <c r="AO64" s="748"/>
      <c r="AP64" s="748"/>
      <c r="AQ64" s="748"/>
      <c r="AR64" s="748"/>
      <c r="AS64" s="748"/>
      <c r="AT64" s="748"/>
      <c r="AU64" s="748"/>
      <c r="AV64" s="748"/>
      <c r="AW64" s="748"/>
      <c r="AX64" s="748"/>
      <c r="AY64" s="748"/>
      <c r="AZ64" s="748"/>
      <c r="BA64" s="748"/>
      <c r="BB64" s="748">
        <f>AC64</f>
        <v>16344.29</v>
      </c>
      <c r="BJ64" s="784">
        <f>(10724.5+3150+1409.79)*0.34</f>
        <v>5196.6586000000007</v>
      </c>
      <c r="BL64" s="786"/>
    </row>
    <row r="65" spans="1:64">
      <c r="A65" s="745" t="s">
        <v>1212</v>
      </c>
      <c r="AC65" s="745">
        <f>499+796+12.8+749+722</f>
        <v>2778.8</v>
      </c>
      <c r="BB65" s="745">
        <f>AC65</f>
        <v>2778.8</v>
      </c>
      <c r="BL65" s="786"/>
    </row>
    <row r="66" spans="1:64">
      <c r="A66" s="745" t="s">
        <v>1214</v>
      </c>
      <c r="BL66" s="786"/>
    </row>
    <row r="67" spans="1:64" ht="14.25">
      <c r="A67" s="745" t="s">
        <v>152</v>
      </c>
      <c r="E67" s="745">
        <v>327</v>
      </c>
      <c r="G67" s="745">
        <v>852</v>
      </c>
      <c r="I67" s="745">
        <v>486</v>
      </c>
      <c r="K67" s="745">
        <v>-747</v>
      </c>
      <c r="M67" s="745">
        <v>1705</v>
      </c>
      <c r="O67" s="779">
        <v>2198</v>
      </c>
      <c r="Q67" s="780">
        <v>1951</v>
      </c>
      <c r="S67" s="780">
        <v>2434</v>
      </c>
      <c r="U67" s="780">
        <v>2273</v>
      </c>
      <c r="W67" s="780">
        <v>603</v>
      </c>
      <c r="Y67" s="780">
        <v>652</v>
      </c>
      <c r="AA67" s="780">
        <v>14</v>
      </c>
      <c r="AC67" s="780">
        <v>1837</v>
      </c>
      <c r="AD67"/>
      <c r="AE67" s="780">
        <v>1662</v>
      </c>
      <c r="AF67" s="780"/>
      <c r="AG67" s="780">
        <v>1153</v>
      </c>
      <c r="AH67" s="780"/>
      <c r="AI67" s="780"/>
      <c r="AJ67" s="780"/>
      <c r="AK67" s="780"/>
      <c r="AL67" s="780"/>
      <c r="AM67" s="780"/>
      <c r="AN67" s="780"/>
      <c r="AO67" s="780"/>
      <c r="AP67" s="780"/>
      <c r="AQ67" s="780"/>
      <c r="AR67" s="780"/>
      <c r="AS67" s="780"/>
      <c r="AT67" s="780"/>
      <c r="AU67" s="780"/>
      <c r="AV67" s="780"/>
      <c r="AW67" s="780"/>
      <c r="AX67" s="780"/>
      <c r="AY67" s="780"/>
      <c r="AZ67" s="780"/>
      <c r="BA67" s="780"/>
      <c r="BL67" s="790">
        <f>BL48+Q46</f>
        <v>-1409.4546570299999</v>
      </c>
    </row>
    <row r="68" spans="1:64">
      <c r="A68" s="745" t="s">
        <v>153</v>
      </c>
      <c r="E68" s="748">
        <f>E15-E67</f>
        <v>-1435</v>
      </c>
      <c r="G68" s="748">
        <f>G15-G67</f>
        <v>138</v>
      </c>
      <c r="I68" s="748">
        <f>I15-I67</f>
        <v>-6266</v>
      </c>
      <c r="K68" s="748">
        <f>K15-K67</f>
        <v>18</v>
      </c>
      <c r="M68" s="748">
        <f>M15-M67</f>
        <v>-7690</v>
      </c>
      <c r="O68" s="748">
        <f>O15-O67</f>
        <v>5959</v>
      </c>
      <c r="Q68" s="748">
        <f>Q15-Q67</f>
        <v>4422</v>
      </c>
      <c r="S68" s="748">
        <f>S15-S67</f>
        <v>4097</v>
      </c>
      <c r="U68" s="748">
        <f>U15-U67</f>
        <v>18157</v>
      </c>
      <c r="W68" s="748">
        <f>W15-W67</f>
        <v>11476</v>
      </c>
      <c r="Y68" s="748">
        <f>Y15-Y67</f>
        <v>25988</v>
      </c>
      <c r="AA68" s="748">
        <f>$AA15-AA67</f>
        <v>19118</v>
      </c>
      <c r="AC68" s="748">
        <f>$AC15-AC67</f>
        <v>35663</v>
      </c>
      <c r="AD68" s="748"/>
      <c r="AE68" s="748">
        <f>AE15-AE67</f>
        <v>60803</v>
      </c>
      <c r="AF68" s="748"/>
      <c r="AG68" s="748">
        <f>AG15-AG67</f>
        <v>81883</v>
      </c>
      <c r="AH68" s="748"/>
      <c r="AI68" s="748"/>
      <c r="AJ68" s="748"/>
      <c r="AK68" s="748"/>
      <c r="AL68" s="748"/>
      <c r="AM68" s="748"/>
      <c r="AN68" s="748"/>
      <c r="AO68" s="748"/>
      <c r="AP68" s="748"/>
      <c r="AQ68" s="748"/>
      <c r="AR68" s="748"/>
      <c r="AS68" s="748"/>
      <c r="AT68" s="748"/>
      <c r="AU68" s="748"/>
      <c r="AV68" s="748"/>
      <c r="AW68" s="748"/>
      <c r="AX68" s="748"/>
      <c r="AY68" s="748"/>
      <c r="AZ68" s="748"/>
      <c r="BA68" s="748"/>
      <c r="BL68" s="790">
        <f>BL67-Q6</f>
        <v>-53454.556977870001</v>
      </c>
    </row>
    <row r="70" spans="1:64" s="746" customFormat="1" ht="14.25">
      <c r="A70" s="746" t="s">
        <v>154</v>
      </c>
      <c r="E70" s="746">
        <f>E71-E72+E73-E74</f>
        <v>2664</v>
      </c>
      <c r="G70" s="746">
        <f>G71-G72+G73</f>
        <v>-3417</v>
      </c>
      <c r="I70" s="746">
        <f>I71-I72+I73-I74</f>
        <v>-2859</v>
      </c>
      <c r="K70" s="746">
        <f>K71-K72+K73-K74</f>
        <v>5154</v>
      </c>
      <c r="M70" s="746">
        <f>M71-M72+M73-M74+M75</f>
        <v>1160</v>
      </c>
      <c r="O70" s="793">
        <f>O71-O72+O73-O74</f>
        <v>6533</v>
      </c>
      <c r="P70" s="793"/>
      <c r="Q70" s="793">
        <f>Q71-Q72+Q73-Q74+Q75</f>
        <v>-9285</v>
      </c>
      <c r="R70" s="793"/>
      <c r="S70" s="793">
        <f>S71-S72+S73-S74+S75</f>
        <v>65</v>
      </c>
      <c r="U70" s="746">
        <f>U71-U72+U73-U74+U75</f>
        <v>-3574</v>
      </c>
      <c r="W70" s="746">
        <f>W71-W72+W73-W74+W75</f>
        <v>-3004</v>
      </c>
      <c r="Y70" s="746">
        <f>Y71-Y72+Y73-Y74+Y75</f>
        <v>-3470</v>
      </c>
      <c r="AA70" s="746">
        <f>$AA71-AA72+AA73-AA74+AA75</f>
        <v>661</v>
      </c>
      <c r="AC70" s="746">
        <f>$AC71-AC72+AC73-AC74+AC75</f>
        <v>13515</v>
      </c>
      <c r="AE70" s="746">
        <f>AE71-AE72+AE73-AE74+AE75</f>
        <v>0</v>
      </c>
      <c r="AG70" s="746">
        <f>AG71-AG72+AG73-AG74+AG75</f>
        <v>0</v>
      </c>
      <c r="AI70" s="746">
        <f>AI71-AI72+AI73-AI74+AI75</f>
        <v>0</v>
      </c>
      <c r="AK70" s="746">
        <f>AK71-AK72+AK73-AK74+AK75</f>
        <v>0</v>
      </c>
      <c r="AM70" s="746">
        <f>AM71-AM72+AM73-AM74+AM75</f>
        <v>0</v>
      </c>
      <c r="AO70" s="746">
        <f>AO71-AO72+AO73-AO74+AO75</f>
        <v>0</v>
      </c>
      <c r="AQ70" s="746">
        <f>AQ71-AQ72+AQ73-AQ74+AQ75</f>
        <v>0</v>
      </c>
      <c r="AS70" s="746">
        <f>AS71-AS72+AS73-AS74+AS75</f>
        <v>0</v>
      </c>
      <c r="AU70" s="746">
        <f>AU71-AU72+AU73-AU74+AU75</f>
        <v>0</v>
      </c>
      <c r="AW70" s="746">
        <f>AW71-AW72+AW73-AW74+AW75</f>
        <v>0</v>
      </c>
      <c r="AY70" s="746">
        <f>AY71-AY72+AY73-AY74+AY75</f>
        <v>0</v>
      </c>
      <c r="BA70" s="746">
        <f>BA71-BA72+BA73-BA74+BA75</f>
        <v>0</v>
      </c>
      <c r="BB70"/>
      <c r="BC70"/>
      <c r="BD70"/>
      <c r="BE70"/>
      <c r="BF70"/>
      <c r="BG70"/>
      <c r="BH70"/>
      <c r="BI70" s="783"/>
      <c r="BJ70" s="783"/>
      <c r="BK70" s="783"/>
      <c r="BL70" s="783"/>
    </row>
    <row r="71" spans="1:64" ht="14.25">
      <c r="A71" s="745" t="s">
        <v>155</v>
      </c>
      <c r="E71" s="745">
        <v>7780</v>
      </c>
      <c r="G71" s="745">
        <v>2195</v>
      </c>
      <c r="I71" s="745">
        <v>4585</v>
      </c>
      <c r="K71" s="745">
        <v>12149</v>
      </c>
      <c r="M71" s="745">
        <v>10571</v>
      </c>
      <c r="O71" s="794">
        <v>9742</v>
      </c>
      <c r="P71" s="795"/>
      <c r="Q71" s="796">
        <v>3632</v>
      </c>
      <c r="R71" s="795"/>
      <c r="S71" s="796">
        <v>3535</v>
      </c>
      <c r="U71" s="745">
        <v>2387</v>
      </c>
      <c r="W71" s="745">
        <v>2257</v>
      </c>
      <c r="Y71" s="745">
        <v>4107</v>
      </c>
      <c r="AA71" s="745">
        <v>6633</v>
      </c>
      <c r="AC71" s="745">
        <v>12466</v>
      </c>
      <c r="AE71" s="745">
        <v>0</v>
      </c>
      <c r="BB71">
        <f>AC71-AC72</f>
        <v>11469</v>
      </c>
      <c r="BC71"/>
      <c r="BD71"/>
      <c r="BE71"/>
      <c r="BF71"/>
      <c r="BG71"/>
      <c r="BH71"/>
    </row>
    <row r="72" spans="1:64" ht="14.25">
      <c r="A72" s="745" t="s">
        <v>156</v>
      </c>
      <c r="E72" s="745">
        <v>5116</v>
      </c>
      <c r="G72" s="745">
        <v>5612</v>
      </c>
      <c r="I72" s="745">
        <v>7444</v>
      </c>
      <c r="K72" s="745">
        <v>6995</v>
      </c>
      <c r="M72" s="745">
        <v>9411</v>
      </c>
      <c r="O72" s="794">
        <v>3209</v>
      </c>
      <c r="P72" s="795"/>
      <c r="Q72" s="796">
        <v>3750</v>
      </c>
      <c r="R72" s="795"/>
      <c r="S72" s="796">
        <v>3470</v>
      </c>
      <c r="U72" s="745">
        <v>2961</v>
      </c>
      <c r="W72" s="745">
        <v>4919</v>
      </c>
      <c r="Y72" s="745">
        <v>7577</v>
      </c>
      <c r="AA72" s="370">
        <v>5972</v>
      </c>
      <c r="AC72" s="745">
        <v>997</v>
      </c>
      <c r="AE72" s="745">
        <v>0</v>
      </c>
      <c r="BB72" s="188">
        <f>AA71-AA72</f>
        <v>661</v>
      </c>
      <c r="BC72"/>
      <c r="BD72"/>
      <c r="BE72"/>
      <c r="BF72"/>
      <c r="BG72"/>
      <c r="BH72"/>
    </row>
    <row r="73" spans="1:64" ht="14.25">
      <c r="A73" s="745" t="s">
        <v>157</v>
      </c>
      <c r="O73" s="795"/>
      <c r="P73" s="795"/>
      <c r="Q73" s="796"/>
      <c r="R73" s="795"/>
      <c r="S73" s="796"/>
      <c r="AA73" s="370"/>
      <c r="BB73" s="186"/>
      <c r="BC73"/>
      <c r="BD73"/>
      <c r="BE73"/>
      <c r="BF73"/>
      <c r="BG73"/>
      <c r="BH73"/>
    </row>
    <row r="74" spans="1:64" ht="14.25">
      <c r="A74" s="745" t="s">
        <v>158</v>
      </c>
      <c r="O74" s="795"/>
      <c r="P74" s="795"/>
      <c r="Q74" s="796"/>
      <c r="R74" s="795"/>
      <c r="S74" s="796"/>
      <c r="BB74" s="186"/>
      <c r="BC74"/>
      <c r="BD74"/>
      <c r="BE74"/>
      <c r="BF74"/>
      <c r="BG74"/>
      <c r="BH74"/>
    </row>
    <row r="75" spans="1:64" ht="14.25">
      <c r="A75" s="745" t="s">
        <v>160</v>
      </c>
      <c r="O75" s="795"/>
      <c r="P75" s="795"/>
      <c r="Q75" s="796">
        <f>-9167</f>
        <v>-9167</v>
      </c>
      <c r="R75" s="795"/>
      <c r="S75" s="796"/>
      <c r="U75" s="745">
        <v>-3000</v>
      </c>
      <c r="W75" s="745">
        <v>-342</v>
      </c>
      <c r="AC75" s="745">
        <f>2046</f>
        <v>2046</v>
      </c>
      <c r="BB75">
        <f>AC75</f>
        <v>2046</v>
      </c>
      <c r="BC75"/>
      <c r="BD75"/>
      <c r="BE75"/>
      <c r="BF75"/>
      <c r="BG75"/>
      <c r="BH75"/>
    </row>
    <row r="80" spans="1:64" ht="60" customHeight="1">
      <c r="D80" s="791"/>
      <c r="F80" s="791" t="str">
        <f>"（五）太钢不锈（合并）经营利润"&amp;ROUND(G15,2)&amp;"万元,比上月"&amp;ROUND(E15,2)&amp;"万元"&amp;IF(G15-E15&gt;=0,"增利","减利")&amp;ABS(ROUND(G15-E15,2))&amp;"万元，分析如下："</f>
        <v>（五）太钢不锈（合并）经营利润990万元,比上月-1108万元增利2098万元，分析如下：</v>
      </c>
      <c r="G80" s="791"/>
      <c r="H80" s="791" t="str">
        <f>"（五）太钢不锈（合并）经营利润"&amp;ROUND(I15,2)&amp;"万元,比上月"&amp;ROUND(G15,2)&amp;"万元"&amp;IF(I15-G15&gt;=0,"增利","减利")&amp;ABS(ROUND(I15-G15,2))&amp;"万元，分析如下："</f>
        <v>（五）太钢不锈（合并）经营利润-5780万元,比上月990万元减利6770万元，分析如下：</v>
      </c>
      <c r="J80" s="791" t="str">
        <f>"（五）太钢不锈（合并）经营利润"&amp;ROUND(K15,2)&amp;"万元,比上月"&amp;ROUND(I15,2)&amp;"万元"&amp;IF(K15-I15&gt;=0,"增利","减利")&amp;ABS(ROUND(K15-I15,2))&amp;"万元，分析如下："</f>
        <v>（五）太钢不锈（合并）经营利润-729万元,比上月-5780万元增利5051万元，分析如下：</v>
      </c>
      <c r="L80" s="791" t="str">
        <f>"（五）太钢不锈（合并）经营利润"&amp;ROUND(M15,2)&amp;"万元,比上月"&amp;ROUND(K15,2)&amp;"万元"&amp;IF(M15-K15&gt;=0,"增利","减利")&amp;ABS(ROUND(M15-K15,2))&amp;"万元，分析如下："</f>
        <v>（五）太钢不锈（合并）经营利润-5985万元,比上月-729万元减利5256万元，分析如下：</v>
      </c>
      <c r="N80" s="791" t="str">
        <f>"（五）太钢不锈（合并）经营利润"&amp;ROUND(O15,2)&amp;"万元,比上月"&amp;ROUND(M15,2)&amp;"万元"&amp;IF(O15-M15&gt;=0,"增利","减利")&amp;ABS(ROUND(O15-M15,2))&amp;"万元，分析如下："</f>
        <v>（五）太钢不锈（合并）经营利润8157万元,比上月-5985万元增利14142万元，分析如下：</v>
      </c>
      <c r="P80" s="791" t="str">
        <f>"（五）太钢不锈（合并）经营利润"&amp;ROUND(Q15,2)&amp;"万元,比上月"&amp;ROUND(O15,2)&amp;"万元"&amp;IF(Q15-O15&gt;=0,"增利","减利")&amp;ABS(ROUND(Q15-O15,2))&amp;"万元，分析如下："</f>
        <v>（五）太钢不锈（合并）经营利润6373万元,比上月8157万元减利1784万元，分析如下：</v>
      </c>
      <c r="R80" s="791" t="str">
        <f>"（五）太钢不锈（合并）经营利润"&amp;ROUND(S15,2)&amp;"万元,比上月"&amp;ROUND(Q15,2)&amp;"万元"&amp;IF(S15-Q15&gt;=0,"增利","减利")&amp;ABS(ROUND(S15-Q15,2))&amp;"万元，分析如下："</f>
        <v>（五）太钢不锈（合并）经营利润6531万元,比上月6373万元增利158万元，分析如下：</v>
      </c>
      <c r="T80" s="791" t="str">
        <f>"（五）太钢不锈（合并）经营利润"&amp;ROUND(U15,2)&amp;"万元,比上月"&amp;ROUND(S15,2)&amp;"万元"&amp;IF(U15-S15&gt;=0,"增利","减利")&amp;ABS(ROUND(U15-S15,2))&amp;"万元，分析如下："</f>
        <v>（五）太钢不锈（合并）经营利润20430万元,比上月6531万元增利13899万元，分析如下：</v>
      </c>
      <c r="U80" s="791"/>
      <c r="V80" s="791" t="str">
        <f>"（五）太钢不锈（合并）经营利润"&amp;ROUND(W15,2)&amp;"万元,比上月"&amp;ROUND(U15,2)&amp;"万元"&amp;IF(W15-U15&gt;=0,"增利","减利")&amp;ABS(ROUND(W15-U15,2))&amp;"万元，分析如下："</f>
        <v>（五）太钢不锈（合并）经营利润12079万元,比上月20430万元减利8351万元，分析如下：</v>
      </c>
      <c r="W80" s="791"/>
      <c r="X80" s="791" t="str">
        <f>"（五）太钢不锈（合并）经营利润"&amp;ROUND(Y15,2)&amp;"万元,比上月"&amp;ROUND(W15,2)&amp;"万元"&amp;IF(Y15-W15&gt;=0,"增利","减利")&amp;ABS(ROUND(Y15-W15,2))&amp;"万元，分析如下："</f>
        <v>（五）太钢不锈（合并）经营利润26640万元,比上月12079万元增利14561万元，分析如下：</v>
      </c>
      <c r="Z80" s="791" t="str">
        <f>"（五）太钢不锈（合并）经营利润"&amp;ROUND(AA15,2)&amp;"万元,比上月"&amp;ROUND(Y15,2)&amp;"万元"&amp;IF(AA15-Y15&gt;=0,"增利","减利")&amp;ABS(ROUND(AA15-Y15,2))&amp;"万元，分析如下："</f>
        <v>（五）太钢不锈（合并）经营利润19132万元,比上月26640万元减利7508万元，分析如下：</v>
      </c>
      <c r="AB80" s="791" t="str">
        <f>"（五）太钢不锈（合并）经营利润"&amp;ROUND(AC15,2)&amp;"万元,比上月"&amp;ROUND(AA15,2)&amp;"万元"&amp;IF(AC15-AA15&gt;=0,"增利","减利")&amp;ABS(ROUND(AC15-AA15,2))&amp;"万元，分析如下："</f>
        <v>（五）太钢不锈（合并）经营利润37500万元,比上月19132万元增利18368万元，分析如下：</v>
      </c>
      <c r="AD80" s="791" t="str">
        <f>"（五）太钢不锈（合并）经营利润"&amp;ROUND(AE15,2)&amp;"万元,比上月"&amp;ROUND(AC15,2)&amp;"万元"&amp;IF(AE15-AC15&gt;=0,"增利","减利")&amp;ABS(ROUND(AE15-AC15,2))&amp;"万元，分析如下："</f>
        <v>（五）太钢不锈（合并）经营利润62465万元,比上月37500万元增利24965万元，分析如下：</v>
      </c>
      <c r="AF80" s="791" t="str">
        <f>"（五）太钢不锈（合并）经营利润"&amp;ROUND(AG15,2)&amp;"万元,比上月"&amp;ROUND(AE15,2)&amp;"万元"&amp;IF(AG15-AE15&gt;=0,"增利","减利")&amp;ABS(ROUND(AG15-AE15,2))&amp;"万元，分析如下："</f>
        <v>（五）太钢不锈（合并）经营利润83036万元,比上月62465万元增利20571万元，分析如下：</v>
      </c>
      <c r="AH80" s="791" t="str">
        <f>"（五）太钢不锈（合并）经营利润"&amp;ROUND(AI15,2)&amp;"万元,比上月"&amp;ROUND(AG15,2)&amp;"万元"&amp;IF(AI15-AG15&gt;=0,"增利","减利")&amp;ABS(ROUND(AI15-AG15,2))&amp;"万元，分析如下："</f>
        <v>（五）太钢不锈（合并）经营利润105480万元,比上月83036万元增利22444万元，分析如下：</v>
      </c>
      <c r="BB80" s="791"/>
    </row>
    <row r="81" spans="1:64" ht="60" customHeight="1">
      <c r="D81" s="792"/>
      <c r="F81" s="792" t="str">
        <f>"太钢不锈母公司经营利润为"&amp;ROUND(G68,2)&amp;"万元,比上月"&amp;ROUND(E68,2)&amp;"万元"&amp;IF(G68-E68&gt;=0,"增利","减利")&amp;ABS(ROUND(G68-E68,2))&amp;"万元；子公司实现利润"&amp;ROUND(G67,2)&amp;"万元，比上月"&amp;ROUND(E67,2)&amp;"万元"&amp;IF(G67-E67&gt;=0,"增利","减利")&amp;ABS(ROUND(G67-E67,2))&amp;"万元，分析如下："</f>
        <v>太钢不锈母公司经营利润为138万元,比上月-1435万元增利1573万元；子公司实现利润852万元，比上月327万元增利525万元，分析如下：</v>
      </c>
      <c r="G81" s="792"/>
      <c r="H81" s="792" t="str">
        <f>"太钢不锈母公司经营利润为"&amp;ROUND(I68,2)&amp;"万元,比上月"&amp;ROUND(G68,2)&amp;"万元"&amp;IF(I68-G68&gt;=0,"增利","减利")&amp;ABS(ROUND(I68-G68,2))&amp;"万元；子公司实现利润"&amp;ROUND(I67,2)&amp;"万元，比上月"&amp;ROUND(G67,2)&amp;"万元"&amp;IF(I67-G67&gt;=0,"增利","减利")&amp;ABS(ROUND(I67-G67,2))&amp;"万元，分析如下："</f>
        <v>太钢不锈母公司经营利润为-6266万元,比上月138万元减利6404万元；子公司实现利润486万元，比上月852万元减利366万元，分析如下：</v>
      </c>
      <c r="J81" s="792" t="str">
        <f>"太钢不锈母公司经营利润为"&amp;ROUND(K68,2)&amp;"万元,比上月"&amp;ROUND(I68,2)&amp;"万元"&amp;IF(K68-I68&gt;=0,"增利","减利")&amp;ABS(ROUND(K68-I68,2))&amp;"万元；子公司实现利润"&amp;ROUND(K67,2)&amp;"万元，比上月"&amp;ROUND(I67,2)&amp;"万元"&amp;IF(K67-I67&gt;=0,"增利","减利")&amp;ABS(ROUND(K67-I67,2))&amp;"万元，分析如下："</f>
        <v>太钢不锈母公司经营利润为18万元,比上月-6266万元增利6284万元；子公司实现利润-747万元，比上月486万元减利1233万元，分析如下：</v>
      </c>
      <c r="L81" s="792" t="str">
        <f>"太钢不锈母公司经营利润为"&amp;ROUND(M68,2)&amp;"万元,比上月"&amp;ROUND(K68,2)&amp;"万元"&amp;IF(M68-K68&gt;=0,"增利","减利")&amp;ABS(ROUND(M68-K68,2))&amp;"万元；子公司实现利润"&amp;ROUND(M67,2)&amp;"万元，比上月"&amp;ROUND(K67,2)&amp;"万元"&amp;IF(M67-K67&gt;=0,"增利","减利")&amp;ABS(ROUND(M67-K67,2))&amp;"万元，分析如下："</f>
        <v>太钢不锈母公司经营利润为-7690万元,比上月18万元减利7708万元；子公司实现利润1705万元，比上月-747万元增利2452万元，分析如下：</v>
      </c>
      <c r="N81" s="792" t="str">
        <f>"太钢不锈母公司经营利润为"&amp;ROUND(O68,2)&amp;"万元,比上月"&amp;ROUND(M68,2)&amp;"万元"&amp;IF(O68-M68&gt;=0,"增利","减利")&amp;ABS(ROUND(O68-M68,2))&amp;"万元；子公司实现利润"&amp;ROUND(O67,2)&amp;"万元，比上月"&amp;ROUND(M67,2)&amp;"万元"&amp;IF(O67-M67&gt;=0,"增利","减利")&amp;ABS(ROUND(O67-M67,2))&amp;"万元，分析如下："</f>
        <v>太钢不锈母公司经营利润为5959万元,比上月-7690万元增利13649万元；子公司实现利润2198万元，比上月1705万元增利493万元，分析如下：</v>
      </c>
      <c r="P81" s="792" t="str">
        <f>"太钢不锈母公司经营利润为"&amp;ROUND(Q68,2)&amp;"万元,比上月"&amp;ROUND(O68,2)&amp;"万元"&amp;IF(Q68-O68&gt;=0,"增利","减利")&amp;ABS(ROUND(Q68-O68,2))&amp;"万元；子公司实现利润"&amp;ROUND(Q67,2)&amp;"万元，比上月"&amp;ROUND(O67,2)&amp;"万元"&amp;IF(Q67-O67&gt;=0,"增利","减利")&amp;ABS(ROUND(Q67-O67,2))&amp;"万元，分析如下："</f>
        <v>太钢不锈母公司经营利润为4422万元,比上月5959万元减利1537万元；子公司实现利润1951万元，比上月2198万元减利247万元，分析如下：</v>
      </c>
      <c r="R81" s="792" t="str">
        <f>"太钢不锈母公司经营利润为"&amp;ROUND(S68,2)&amp;"万元,比上月"&amp;ROUND(Q68,2)&amp;"万元"&amp;IF(S68-Q68&gt;=0,"增利","减利")&amp;ABS(ROUND(S68-Q68,2))&amp;"万元；子公司实现利润"&amp;ROUND(S67,2)&amp;"万元，比上月"&amp;ROUND(Q67,2)&amp;"万元"&amp;IF(S67-Q67&gt;=0,"增利","减利")&amp;ABS(ROUND(S67-Q67,2))&amp;"万元，分析如下："</f>
        <v>太钢不锈母公司经营利润为4097万元,比上月4422万元减利325万元；子公司实现利润2434万元，比上月1951万元增利483万元，分析如下：</v>
      </c>
      <c r="T81" s="792" t="str">
        <f>"太钢不锈母公司经营利润为"&amp;ROUND(U68,2)&amp;"万元,比上月"&amp;ROUND(S68,2)&amp;"万元"&amp;IF(U68-S68&gt;=0,"增利","减利")&amp;ABS(ROUND(U68-S68,2))&amp;"万元；子公司实现利润"&amp;ROUND(U67,2)&amp;"万元，比上月"&amp;ROUND(S67,2)&amp;"万元"&amp;IF(U67-S67&gt;=0,"增利","减利")&amp;ABS(ROUND(U67-S67,2))&amp;"万元，分析如下："</f>
        <v>太钢不锈母公司经营利润为18157万元,比上月4097万元增利14060万元；子公司实现利润2273万元，比上月2434万元减利161万元，分析如下：</v>
      </c>
      <c r="U81" s="792"/>
      <c r="V81" s="792" t="str">
        <f>"太钢不锈母公司经营利润为"&amp;ROUND(W68,2)&amp;"万元,比上月"&amp;ROUND(U68,2)&amp;"万元"&amp;IF(W68-U68&gt;=0,"增利","减利")&amp;ABS(ROUND(W68-U68,2))&amp;"万元；子公司实现利润"&amp;ROUND(W67,2)&amp;"万元，比上月"&amp;ROUND(U67,2)&amp;"万元"&amp;IF(W67-U67&gt;=0,"增利","减利")&amp;ABS(ROUND(W67-U67,2))&amp;"万元，分析如下："</f>
        <v>太钢不锈母公司经营利润为11476万元,比上月18157万元减利6681万元；子公司实现利润603万元，比上月2273万元减利1670万元，分析如下：</v>
      </c>
      <c r="W81" s="792"/>
      <c r="X81" s="792" t="str">
        <f>"太钢不锈母公司经营利润为"&amp;ROUND(Y68,2)&amp;"万元,比上月"&amp;ROUND(W68,2)&amp;"万元"&amp;IF(Y68-W68&gt;=0,"增利","减利")&amp;ABS(ROUND(Y68-W68,2))&amp;"万元；子公司实现利润"&amp;ROUND(Y67,2)&amp;"万元，比上月"&amp;ROUND(W67,2)&amp;"万元"&amp;IF(Y67-W67&gt;=0,"增利","减利")&amp;ABS(ROUND(Y67-W67,2))&amp;"万元，分析如下："</f>
        <v>太钢不锈母公司经营利润为25988万元,比上月11476万元增利14512万元；子公司实现利润652万元，比上月603万元增利49万元，分析如下：</v>
      </c>
      <c r="Z81" s="792" t="str">
        <f>"太钢不锈母公司经营利润为"&amp;ROUND(AA68,2)&amp;"万元,比上月"&amp;ROUND(Y68,2)&amp;"万元"&amp;IF(AA68-Y68&gt;=0,"增利","减利")&amp;ABS(ROUND(AA68-Y68,2))&amp;"万元；子公司实现利润"&amp;ROUND(AA67,2)&amp;"万元，比上月"&amp;ROUND(Y67,2)&amp;"万元"&amp;IF(AA67-Y67&gt;=0,"增利","减利")&amp;ABS(ROUND(AA67-Y67,2))&amp;"万元，分析如下："</f>
        <v>太钢不锈母公司经营利润为19118万元,比上月25988万元减利6870万元；子公司实现利润14万元，比上月652万元减利638万元，分析如下：</v>
      </c>
      <c r="AB81" s="792" t="str">
        <f>"太钢不锈母公司经营利润为"&amp;ROUND(AC68,2)&amp;"万元,比上月"&amp;ROUND(AA68,2)&amp;"万元"&amp;IF(AC68-AA68&gt;=0,"增利","减利")&amp;ABS(ROUND(AC68-AA68,2))&amp;"万元；子公司实现利润"&amp;ROUND(AC67,2)&amp;"万元，比上月"&amp;ROUND(AA67,2)&amp;"万元"&amp;IF(AC67-AA67&gt;=0,"增利","减利")&amp;ABS(ROUND(AC67-AA67,2))&amp;"万元，分析如下："</f>
        <v>太钢不锈母公司经营利润为35663万元,比上月19118万元增利16545万元；子公司实现利润1837万元，比上月14万元增利1823万元，分析如下：</v>
      </c>
      <c r="AD81" s="792" t="str">
        <f>"太钢不锈母公司经营利润为"&amp;ROUND(AE68,2)&amp;"万元,比上月"&amp;ROUND(AC68,2)&amp;"万元"&amp;IF(AE68-AC68&gt;=0,"增利","减利")&amp;ABS(ROUND(AE68-AC68,2))&amp;"万元；子公司实现利润"&amp;ROUND(AE67,2)&amp;"万元，比上月"&amp;ROUND(AC67,2)&amp;"万元"&amp;IF(AE67-AC67&gt;=0,"增利","减利")&amp;ABS(ROUND(AE67-AC67,2))&amp;"万元，分析如下："</f>
        <v>太钢不锈母公司经营利润为60803万元,比上月35663万元增利25140万元；子公司实现利润1662万元，比上月1837万元减利175万元，分析如下：</v>
      </c>
      <c r="AF81" s="792" t="str">
        <f>"太钢不锈母公司经营利润为"&amp;ROUND(AG68,2)&amp;"万元,比上月"&amp;ROUND(AE68,2)&amp;"万元"&amp;IF(AG68-AE68&gt;=0,"增利","减利")&amp;ABS(ROUND(AG68-AE68,2))&amp;"万元；子公司实现利润"&amp;ROUND(AG67,2)&amp;"万元，比上月"&amp;ROUND(AE67,2)&amp;"万元"&amp;IF(AG67-AE67&gt;=0,"增利","减利")&amp;ABS(ROUND(AG67-AE67,2))&amp;"万元，分析如下："</f>
        <v>太钢不锈母公司经营利润为81883万元,比上月60803万元增利21080万元；子公司实现利润1153万元，比上月1662万元减利509万元，分析如下：</v>
      </c>
      <c r="AH81" s="792">
        <v>0</v>
      </c>
      <c r="BB81" s="792"/>
    </row>
    <row r="82" spans="1:64">
      <c r="AH82" s="745">
        <v>0</v>
      </c>
    </row>
    <row r="83" spans="1:64">
      <c r="AH83" s="745">
        <v>0</v>
      </c>
    </row>
    <row r="84" spans="1:64">
      <c r="AH84" s="745">
        <v>0</v>
      </c>
    </row>
    <row r="85" spans="1:64">
      <c r="A85" s="745" t="s">
        <v>1130</v>
      </c>
      <c r="AH85" s="745">
        <v>0</v>
      </c>
      <c r="BB85" s="1624">
        <f>BB15</f>
        <v>20571</v>
      </c>
    </row>
    <row r="86" spans="1:64">
      <c r="A86" s="745" t="s">
        <v>1114</v>
      </c>
      <c r="AH86" s="745">
        <v>0</v>
      </c>
      <c r="BB86" s="1624">
        <f>BB8+BB12+BB13+BB14</f>
        <v>19540.696947000004</v>
      </c>
    </row>
    <row r="87" spans="1:64">
      <c r="A87" s="745" t="s">
        <v>1129</v>
      </c>
      <c r="AH87" s="745">
        <v>0</v>
      </c>
      <c r="BB87" s="1624">
        <f>BB24+BB23</f>
        <v>-2192.6034080000004</v>
      </c>
    </row>
    <row r="88" spans="1:64">
      <c r="A88" s="745" t="s">
        <v>1131</v>
      </c>
      <c r="AH88" s="745">
        <v>0</v>
      </c>
      <c r="BB88" s="1624">
        <f>BB10</f>
        <v>-1105.6388883000018</v>
      </c>
    </row>
    <row r="89" spans="1:64">
      <c r="AH89" s="745">
        <v>0</v>
      </c>
    </row>
    <row r="90" spans="1:64">
      <c r="AH90" s="745">
        <v>0</v>
      </c>
    </row>
    <row r="91" spans="1:64">
      <c r="C91" s="1800"/>
      <c r="D91" s="1800"/>
      <c r="E91" s="1800"/>
      <c r="F91" s="1800"/>
      <c r="G91" s="1800"/>
      <c r="H91" s="1800"/>
      <c r="I91" s="1800"/>
      <c r="J91" s="1800"/>
      <c r="K91" s="1800"/>
      <c r="L91" s="1800"/>
      <c r="M91" s="1800"/>
      <c r="N91" s="1800"/>
      <c r="O91" s="1800"/>
      <c r="P91" s="1800"/>
      <c r="Q91" s="1800"/>
      <c r="R91" s="1800"/>
      <c r="S91" s="1800"/>
      <c r="T91" s="1800"/>
      <c r="U91" s="1800"/>
      <c r="V91" s="1800"/>
      <c r="W91" s="1800"/>
      <c r="X91" s="1800"/>
      <c r="Y91" s="1800"/>
      <c r="AH91" s="745">
        <v>0</v>
      </c>
      <c r="BH91" s="1794"/>
      <c r="BI91" s="1794" t="s">
        <v>1215</v>
      </c>
      <c r="BJ91" s="1794" t="s">
        <v>1143</v>
      </c>
      <c r="BK91" s="1794" t="s">
        <v>1102</v>
      </c>
      <c r="BL91" s="1792"/>
    </row>
    <row r="92" spans="1:64">
      <c r="C92" s="1800"/>
      <c r="D92" s="1801"/>
      <c r="E92" s="1801"/>
      <c r="F92" s="1801"/>
      <c r="G92" s="1801"/>
      <c r="H92" s="1801"/>
      <c r="I92" s="1801"/>
      <c r="J92" s="1801"/>
      <c r="K92" s="1801"/>
      <c r="L92" s="1801"/>
      <c r="M92" s="1801"/>
      <c r="N92" s="1801"/>
      <c r="O92" s="1801"/>
      <c r="P92" s="1801"/>
      <c r="Q92" s="1801"/>
      <c r="R92" s="1801"/>
      <c r="S92" s="1801"/>
      <c r="T92" s="1801"/>
      <c r="U92" s="1801"/>
      <c r="V92" s="1801"/>
      <c r="W92" s="1801"/>
      <c r="X92" s="1801"/>
      <c r="Y92" s="1800"/>
      <c r="AH92" s="745">
        <v>0</v>
      </c>
      <c r="BH92" s="1794" t="s">
        <v>1198</v>
      </c>
      <c r="BI92" s="1795">
        <f>BH6</f>
        <v>181022.86894589997</v>
      </c>
      <c r="BJ92" s="1795">
        <f>BI6</f>
        <v>191806.72878146154</v>
      </c>
      <c r="BK92" s="1796">
        <f>BJ6</f>
        <v>-10783.859835561569</v>
      </c>
      <c r="BL92" s="1791"/>
    </row>
    <row r="93" spans="1:64">
      <c r="C93" s="1800"/>
      <c r="D93" s="1801"/>
      <c r="E93" s="1801"/>
      <c r="F93" s="1801"/>
      <c r="G93" s="1801"/>
      <c r="H93" s="1801"/>
      <c r="I93" s="1801"/>
      <c r="J93" s="1801"/>
      <c r="K93" s="1801"/>
      <c r="L93" s="1801"/>
      <c r="M93" s="1801"/>
      <c r="N93" s="1801"/>
      <c r="O93" s="1801"/>
      <c r="P93" s="1801"/>
      <c r="Q93" s="1801"/>
      <c r="R93" s="1801"/>
      <c r="S93" s="1801"/>
      <c r="T93" s="1801"/>
      <c r="U93" s="1801"/>
      <c r="V93" s="1801"/>
      <c r="W93" s="1801"/>
      <c r="X93" s="1801"/>
      <c r="Y93" s="1800"/>
      <c r="AH93" s="745">
        <v>0</v>
      </c>
      <c r="BH93" s="1797" t="s">
        <v>1130</v>
      </c>
      <c r="BI93" s="1793">
        <f>BH15</f>
        <v>105480</v>
      </c>
      <c r="BJ93" s="1793">
        <f>BI15</f>
        <v>78461</v>
      </c>
      <c r="BK93" s="1798">
        <f>BJ15</f>
        <v>27019</v>
      </c>
      <c r="BL93" s="1791"/>
    </row>
    <row r="94" spans="1:64">
      <c r="C94" s="1800"/>
      <c r="D94" s="1800"/>
      <c r="E94" s="1800"/>
      <c r="F94" s="1800"/>
      <c r="G94" s="1800"/>
      <c r="H94" s="1800"/>
      <c r="I94" s="1800"/>
      <c r="J94" s="1800"/>
      <c r="K94" s="1800"/>
      <c r="L94" s="1800"/>
      <c r="M94" s="1800"/>
      <c r="N94" s="1800"/>
      <c r="O94" s="1800"/>
      <c r="P94" s="1800"/>
      <c r="Q94" s="1800"/>
      <c r="R94" s="1800"/>
      <c r="S94" s="1800"/>
      <c r="T94" s="1800"/>
      <c r="U94" s="1800"/>
      <c r="V94" s="1800"/>
      <c r="W94" s="1800"/>
      <c r="X94" s="1800"/>
      <c r="Y94" s="1800"/>
      <c r="AH94" s="745">
        <v>0</v>
      </c>
      <c r="BH94" s="1797" t="s">
        <v>1216</v>
      </c>
      <c r="BI94" s="1793">
        <f>BH13</f>
        <v>56925.744704999997</v>
      </c>
      <c r="BJ94" s="1793">
        <f>BI13</f>
        <v>72085.998384615392</v>
      </c>
      <c r="BK94" s="1798">
        <f>BJ13</f>
        <v>-15160.253679615395</v>
      </c>
      <c r="BL94" s="1791"/>
    </row>
    <row r="95" spans="1:64">
      <c r="C95" s="1800"/>
      <c r="D95" s="1800"/>
      <c r="E95" s="1800"/>
      <c r="F95" s="1800"/>
      <c r="G95" s="1800"/>
      <c r="H95" s="1800"/>
      <c r="I95" s="1800"/>
      <c r="J95" s="1800"/>
      <c r="K95" s="1800"/>
      <c r="L95" s="1800"/>
      <c r="M95" s="1800"/>
      <c r="N95" s="1800"/>
      <c r="O95" s="1800"/>
      <c r="P95" s="1800"/>
      <c r="Q95" s="1800"/>
      <c r="R95" s="1800"/>
      <c r="S95" s="1800"/>
      <c r="T95" s="1800"/>
      <c r="U95" s="1800"/>
      <c r="V95" s="1800"/>
      <c r="W95" s="1800"/>
      <c r="X95" s="1800"/>
      <c r="Y95" s="1800"/>
      <c r="AH95" s="745">
        <v>0</v>
      </c>
      <c r="BH95" s="1797" t="s">
        <v>1217</v>
      </c>
      <c r="BI95" s="1793">
        <f>BH12</f>
        <v>5685.3656929999997</v>
      </c>
      <c r="BJ95" s="1793">
        <f>BI12</f>
        <v>3463.675153846154</v>
      </c>
      <c r="BK95" s="1798">
        <f>BJ12</f>
        <v>2221.6905391538457</v>
      </c>
      <c r="BL95" s="1802"/>
    </row>
    <row r="96" spans="1:64" ht="32.25" customHeight="1">
      <c r="C96" s="1800"/>
      <c r="D96" s="1800"/>
      <c r="E96" s="1800"/>
      <c r="F96" s="1800"/>
      <c r="G96" s="1800"/>
      <c r="H96" s="1800"/>
      <c r="I96" s="1800"/>
      <c r="J96" s="1800"/>
      <c r="K96" s="1800"/>
      <c r="L96" s="1800"/>
      <c r="M96" s="1800"/>
      <c r="N96" s="1800"/>
      <c r="O96" s="1800"/>
      <c r="P96" s="1800"/>
      <c r="Q96" s="1800"/>
      <c r="R96" s="1800"/>
      <c r="S96" s="1800"/>
      <c r="T96" s="1800"/>
      <c r="U96" s="1800"/>
      <c r="V96" s="1800"/>
      <c r="W96" s="1800"/>
      <c r="X96" s="1800"/>
      <c r="Y96" s="1800"/>
      <c r="AH96" s="745">
        <v>0</v>
      </c>
      <c r="BH96" s="1797" t="s">
        <v>1302</v>
      </c>
      <c r="BI96" s="1793">
        <f>BH23</f>
        <v>-575.56233599999996</v>
      </c>
      <c r="BJ96" s="1793">
        <f>BI23</f>
        <v>-489</v>
      </c>
      <c r="BK96" s="1798">
        <f>BJ23+BJ24</f>
        <v>-248.90824000000003</v>
      </c>
      <c r="BL96" s="1802"/>
    </row>
    <row r="97" spans="3:64" ht="27">
      <c r="C97" s="1800"/>
      <c r="D97" s="1800"/>
      <c r="E97" s="1800"/>
      <c r="F97" s="1800"/>
      <c r="G97" s="1800"/>
      <c r="H97" s="1800"/>
      <c r="I97" s="1800"/>
      <c r="J97" s="1800"/>
      <c r="K97" s="1800"/>
      <c r="L97" s="1800"/>
      <c r="M97" s="1800"/>
      <c r="N97" s="1800"/>
      <c r="O97" s="1800"/>
      <c r="P97" s="1800"/>
      <c r="Q97" s="1800"/>
      <c r="R97" s="1800"/>
      <c r="S97" s="1800"/>
      <c r="T97" s="1800"/>
      <c r="U97" s="1800"/>
      <c r="V97" s="1800"/>
      <c r="W97" s="1800"/>
      <c r="X97" s="1800"/>
      <c r="Y97" s="1800"/>
      <c r="AH97" s="745">
        <v>0</v>
      </c>
      <c r="BH97" s="1797" t="s">
        <v>1218</v>
      </c>
      <c r="BI97" s="1793"/>
      <c r="BJ97" s="1793"/>
      <c r="BK97" s="1798">
        <f>BK92-BK93-BK94-BK95-BK96-BK98-BK99</f>
        <v>2660.3193049999763</v>
      </c>
      <c r="BL97" s="1802" t="s">
        <v>1303</v>
      </c>
    </row>
    <row r="98" spans="3:64" ht="27">
      <c r="C98" s="1800"/>
      <c r="D98" s="1800"/>
      <c r="E98" s="1800"/>
      <c r="F98" s="1800"/>
      <c r="G98" s="1800"/>
      <c r="H98" s="1800"/>
      <c r="I98" s="1800"/>
      <c r="J98" s="1800"/>
      <c r="K98" s="1800"/>
      <c r="L98" s="1800"/>
      <c r="M98" s="1800"/>
      <c r="N98" s="1800"/>
      <c r="O98" s="1800"/>
      <c r="P98" s="1800"/>
      <c r="Q98" s="1800"/>
      <c r="R98" s="1800"/>
      <c r="S98" s="1800"/>
      <c r="T98" s="1800"/>
      <c r="U98" s="1800"/>
      <c r="V98" s="1800"/>
      <c r="W98" s="1800"/>
      <c r="X98" s="1800"/>
      <c r="Y98" s="1800"/>
      <c r="AH98" s="745">
        <v>0</v>
      </c>
      <c r="BH98" s="1797" t="s">
        <v>1199</v>
      </c>
      <c r="BI98" s="1793">
        <f>BH8</f>
        <v>-2227.5880539999962</v>
      </c>
      <c r="BJ98" s="1793">
        <f>BI8</f>
        <v>20402.530243000001</v>
      </c>
      <c r="BK98" s="1798">
        <f>BJ8</f>
        <v>-22630.118296999997</v>
      </c>
      <c r="BL98" s="1802" t="s">
        <v>1304</v>
      </c>
    </row>
    <row r="99" spans="3:64" ht="25.5" customHeight="1">
      <c r="C99" s="1800"/>
      <c r="D99" s="1800"/>
      <c r="E99" s="1800"/>
      <c r="F99" s="1800"/>
      <c r="G99" s="1800"/>
      <c r="H99" s="1800"/>
      <c r="I99" s="1800"/>
      <c r="J99" s="1800"/>
      <c r="K99" s="1800"/>
      <c r="L99" s="1800"/>
      <c r="M99" s="1800"/>
      <c r="N99" s="1800"/>
      <c r="O99" s="1800"/>
      <c r="P99" s="1800"/>
      <c r="Q99" s="1800"/>
      <c r="R99" s="1800"/>
      <c r="S99" s="1800"/>
      <c r="T99" s="1800"/>
      <c r="U99" s="1800"/>
      <c r="V99" s="1800"/>
      <c r="W99" s="1800"/>
      <c r="X99" s="1800"/>
      <c r="Y99" s="1800"/>
      <c r="AH99" s="745">
        <v>0</v>
      </c>
      <c r="BH99" s="1797" t="s">
        <v>1131</v>
      </c>
      <c r="BI99" s="1793">
        <f>BH10</f>
        <v>2941.4805369000014</v>
      </c>
      <c r="BJ99" s="1793">
        <f>BI10</f>
        <v>7587.07</v>
      </c>
      <c r="BK99" s="1798">
        <f>BJ10</f>
        <v>-4645.5894630999983</v>
      </c>
      <c r="BL99" s="1791"/>
    </row>
    <row r="100" spans="3:64">
      <c r="C100" s="1800"/>
      <c r="D100" s="1800"/>
      <c r="E100" s="1800"/>
      <c r="F100" s="1800"/>
      <c r="G100" s="1800"/>
      <c r="H100" s="1800"/>
      <c r="I100" s="1800"/>
      <c r="J100" s="1800"/>
      <c r="K100" s="1800"/>
      <c r="L100" s="1800"/>
      <c r="M100" s="1800"/>
      <c r="N100" s="1800"/>
      <c r="O100" s="1800"/>
      <c r="P100" s="1800"/>
      <c r="Q100" s="1800"/>
      <c r="R100" s="1800"/>
      <c r="S100" s="1800"/>
      <c r="T100" s="1800"/>
      <c r="U100" s="1800"/>
      <c r="V100" s="1800"/>
      <c r="W100" s="1800"/>
      <c r="X100" s="1800"/>
      <c r="Y100" s="1800"/>
      <c r="AH100" s="745">
        <v>0</v>
      </c>
    </row>
    <row r="101" spans="3:64" customFormat="1" ht="14.25">
      <c r="C101" s="516"/>
      <c r="D101" s="516"/>
      <c r="E101" s="516"/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/>
      <c r="Q101" s="516"/>
      <c r="R101" s="516"/>
      <c r="S101" s="516"/>
      <c r="T101" s="516"/>
      <c r="U101" s="516"/>
      <c r="V101" s="516"/>
      <c r="W101" s="516"/>
      <c r="X101" s="516"/>
      <c r="Y101" s="516"/>
      <c r="AH101">
        <v>0</v>
      </c>
    </row>
    <row r="102" spans="3:64" customFormat="1" ht="28.5" customHeight="1">
      <c r="AH102">
        <v>0</v>
      </c>
      <c r="BH102" s="745"/>
      <c r="BI102" s="755"/>
      <c r="BJ102" s="1803" t="s">
        <v>1140</v>
      </c>
      <c r="BK102" s="1806">
        <f>BC6</f>
        <v>38026.567784580009</v>
      </c>
      <c r="BL102" s="1799"/>
    </row>
    <row r="103" spans="3:64" customFormat="1" ht="28.5" customHeight="1">
      <c r="AH103">
        <v>0</v>
      </c>
      <c r="BH103" s="745"/>
      <c r="BI103" s="755"/>
      <c r="BJ103" s="1804" t="s">
        <v>1219</v>
      </c>
      <c r="BK103" s="1807">
        <f>BC15</f>
        <v>20571</v>
      </c>
      <c r="BL103" s="1799"/>
    </row>
    <row r="104" spans="3:64" customFormat="1" ht="28.5" customHeight="1">
      <c r="AH104">
        <v>0</v>
      </c>
      <c r="BH104" s="745"/>
      <c r="BI104" s="755"/>
      <c r="BJ104" s="1805" t="s">
        <v>1220</v>
      </c>
      <c r="BK104" s="1808">
        <f>BK102-BK103</f>
        <v>17455.567784580009</v>
      </c>
      <c r="BL104" s="1802"/>
    </row>
    <row r="105" spans="3:64" ht="28.5" customHeight="1">
      <c r="AH105" s="745">
        <v>0</v>
      </c>
      <c r="BJ105" s="1797" t="s">
        <v>1131</v>
      </c>
      <c r="BK105" s="1809">
        <f>BC10</f>
        <v>-1105.6388883000018</v>
      </c>
      <c r="BL105" s="1802" t="s">
        <v>1316</v>
      </c>
    </row>
    <row r="106" spans="3:64" ht="32.25" customHeight="1">
      <c r="AH106" s="745">
        <v>0</v>
      </c>
      <c r="BJ106" s="1797" t="s">
        <v>1199</v>
      </c>
      <c r="BK106" s="1809">
        <f>BC8</f>
        <v>4489.5209870000062</v>
      </c>
      <c r="BL106" s="2055">
        <f>BK106+BK107+BK108+BK109</f>
        <v>19540.696947000008</v>
      </c>
    </row>
    <row r="107" spans="3:64" ht="54" customHeight="1">
      <c r="BJ107" s="1797" t="s">
        <v>1217</v>
      </c>
      <c r="BK107" s="1809">
        <f>BC12</f>
        <v>2505.5661340000006</v>
      </c>
      <c r="BL107" s="2711" t="s">
        <v>1315</v>
      </c>
    </row>
    <row r="108" spans="3:64" ht="54" customHeight="1">
      <c r="BJ108" s="1797" t="s">
        <v>1216</v>
      </c>
      <c r="BK108" s="1809">
        <f>BC13</f>
        <v>12363.505181</v>
      </c>
      <c r="BL108" s="2711"/>
    </row>
    <row r="109" spans="3:64" ht="28.5" customHeight="1">
      <c r="BJ109" s="1797" t="s">
        <v>1222</v>
      </c>
      <c r="BK109" s="1809">
        <f>BC14</f>
        <v>182.104645</v>
      </c>
      <c r="BL109" s="2712"/>
    </row>
    <row r="110" spans="3:64" ht="28.5" customHeight="1">
      <c r="BJ110" s="1797" t="s">
        <v>1129</v>
      </c>
      <c r="BK110" s="1809">
        <f>BC23+BC24</f>
        <v>-2192.6034080000004</v>
      </c>
      <c r="BL110" s="1802"/>
    </row>
    <row r="111" spans="3:64" ht="28.5" customHeight="1">
      <c r="BJ111" s="1797" t="s">
        <v>1220</v>
      </c>
      <c r="BK111" s="1809">
        <f>BK104-BK105-BK106-BK107-BK108-BK110-BK109</f>
        <v>1213.1131338800051</v>
      </c>
      <c r="BL111" s="1802" t="s">
        <v>1305</v>
      </c>
    </row>
  </sheetData>
  <customSheetViews>
    <customSheetView guid="{1683F931-F47D-47C0-A395-D48080DC7EE6}" showPageBreaks="1" fitToPage="1" printArea="1" hiddenRows="1" hiddenColumns="1" topLeftCell="D1">
      <selection activeCell="A13" sqref="A13:XFD13"/>
      <pageMargins left="0.70763888888888904" right="0.70763888888888904" top="0.74791666666666701" bottom="0.74791666666666701" header="0.31388888888888899" footer="0.31388888888888899"/>
      <pageSetup paperSize="9" scale="12" fitToHeight="0" orientation="portrait" r:id="rId1"/>
    </customSheetView>
    <customSheetView guid="{43897816-D2F0-4C3D-8F57-E0039BD2296B}" showPageBreaks="1" fitToPage="1" printArea="1" hiddenColumns="1">
      <pane xSplit="4" ySplit="4" topLeftCell="F17" activePane="bottomRight" state="frozen"/>
      <selection pane="bottomRight" activeCell="X32" sqref="X32"/>
      <pageMargins left="0.70763888888888904" right="0.70763888888888904" top="0.74791666666666701" bottom="0.74791666666666701" header="0.31388888888888899" footer="0.31388888888888899"/>
      <pageSetup paperSize="9" scale="32" orientation="landscape" r:id="rId2"/>
    </customSheetView>
    <customSheetView guid="{849C46E5-4ED4-41B9-BDA9-A6465B9DA9C2}" fitToPage="1" hiddenColumns="1">
      <selection activeCell="AI29" sqref="AI29"/>
      <pageMargins left="0.70763888888888904" right="0.70763888888888904" top="0.74791666666666701" bottom="0.74791666666666701" header="0.31388888888888899" footer="0.31388888888888899"/>
      <pageSetup paperSize="9" scale="81" orientation="landscape" r:id="rId3"/>
    </customSheetView>
    <customSheetView guid="{8C09BCDE-4B8A-4469-B3F2-7F4528A2E78D}" showPageBreaks="1" fitToPage="1" printArea="1" hiddenColumns="1">
      <selection activeCell="AI29" sqref="AI29"/>
      <pageMargins left="0.70763888888888904" right="0.70763888888888904" top="0.74791666666666701" bottom="0.74791666666666701" header="0.31388888888888899" footer="0.31388888888888899"/>
      <pageSetup paperSize="9" scale="81" orientation="landscape" r:id="rId4"/>
    </customSheetView>
    <customSheetView guid="{F4EB51F4-FD23-4D5B-8072-1AF5D59D6686}" showPageBreaks="1" fitToPage="1" printArea="1" hiddenRows="1" hiddenColumns="1" topLeftCell="A55">
      <selection activeCell="AD59" sqref="AD59"/>
      <pageMargins left="0.70763888888888904" right="0.70763888888888904" top="0.74791666666666701" bottom="0.74791666666666701" header="0.31388888888888899" footer="0.31388888888888899"/>
      <pageSetup paperSize="9" scale="26" orientation="landscape" r:id="rId5"/>
    </customSheetView>
    <customSheetView guid="{D7BCFB76-2797-401D-A6F1-E020B5162DD4}" showPageBreaks="1" fitToPage="1" printArea="1" hiddenColumns="1">
      <pane xSplit="24" ySplit="1" topLeftCell="AB11" activePane="bottomRight" state="frozen"/>
      <selection pane="bottomRight" activeCell="AO22" sqref="AO22"/>
      <pageMargins left="0.70763888888888904" right="0.70763888888888904" top="0.74791666666666701" bottom="0.74791666666666701" header="0.31388888888888899" footer="0.31388888888888899"/>
      <pageSetup paperSize="9" scale="35" orientation="landscape" r:id="rId6"/>
    </customSheetView>
    <customSheetView guid="{C9A88430-3808-49F4-8D86-BF8C70C55441}" showPageBreaks="1" fitToPage="1" printArea="1" hiddenColumns="1" state="hidden">
      <selection activeCell="O30" sqref="O30"/>
      <pageMargins left="0.70763888888888904" right="0.70763888888888904" top="0.74791666666666701" bottom="0.74791666666666701" header="0.31388888888888899" footer="0.31388888888888899"/>
      <pageSetup paperSize="9" scale="15" fitToHeight="0" orientation="portrait" r:id="rId7"/>
    </customSheetView>
    <customSheetView guid="{E61FFED3-723E-484A-93A0-94E1A801AF06}" showPageBreaks="1" fitToPage="1" printArea="1" hiddenRows="1" hiddenColumns="1">
      <pane xSplit="6" ySplit="4" topLeftCell="H5" activePane="bottomRight" state="frozen"/>
      <selection pane="bottomRight" activeCell="AK60" sqref="AK60"/>
      <pageMargins left="0.70763888888888904" right="0.70763888888888904" top="0.74791666666666701" bottom="0.74791666666666701" header="0.31388888888888899" footer="0.31388888888888899"/>
      <pageSetup paperSize="9" scale="36" orientation="landscape" r:id="rId8"/>
    </customSheetView>
    <customSheetView guid="{6B5CCA07-2BDD-4B8E-9E3C-2111BBA97430}" fitToPage="1" printArea="1" hiddenRows="1" hiddenColumns="1">
      <selection activeCell="AD50" sqref="AD50"/>
      <pageMargins left="0.70763888888888904" right="0.70763888888888904" top="0.74791666666666701" bottom="0.74791666666666701" header="0.31388888888888899" footer="0.31388888888888899"/>
      <pageSetup paperSize="9" scale="82" orientation="landscape" r:id="rId9"/>
    </customSheetView>
    <customSheetView guid="{2F47A827-9643-4D8A-AC5D-6B09D79AACF9}" showPageBreaks="1" fitToPage="1" printArea="1" hiddenRows="1" hiddenColumns="1">
      <pane xSplit="4" ySplit="4" topLeftCell="G5" activePane="bottomRight" state="frozen"/>
      <selection pane="bottomRight" activeCell="J19" sqref="J19"/>
      <pageMargins left="0.70763888888888904" right="0.70763888888888904" top="0.74791666666666701" bottom="0.74791666666666701" header="0.31388888888888899" footer="0.31388888888888899"/>
      <pageSetup paperSize="9" orientation="landscape" r:id="rId10"/>
    </customSheetView>
    <customSheetView guid="{B37168A1-DBAB-4BDE-9F92-6261DCDF3D92}" scale="115" showPageBreaks="1" fitToPage="1" printArea="1" hiddenRows="1" hiddenColumns="1" view="pageBreakPreview">
      <selection activeCell="C47" sqref="C47"/>
      <pageMargins left="0.70763888888888904" right="0.70763888888888904" top="0.74791666666666701" bottom="0.74791666666666701" header="0.31388888888888899" footer="0.31388888888888899"/>
      <pageSetup paperSize="9" scale="80" orientation="landscape" r:id="rId11"/>
    </customSheetView>
    <customSheetView guid="{AE0DD889-C13C-4059-8024-0F5B234827E9}" showPageBreaks="1" fitToPage="1" printArea="1" hiddenColumns="1" topLeftCell="P1">
      <selection activeCell="AI14" sqref="AI14"/>
      <pageMargins left="0.70763888888888904" right="0.70763888888888904" top="0.74791666666666701" bottom="0.74791666666666701" header="0.31388888888888899" footer="0.31388888888888899"/>
      <pageSetup paperSize="9" scale="43" fitToHeight="0" orientation="landscape" r:id="rId12"/>
    </customSheetView>
    <customSheetView guid="{CCBBD9B0-4191-4D7A-9F7B-BAC044A49153}" showPageBreaks="1" fitToPage="1" printArea="1" hiddenRows="1" hiddenColumns="1">
      <selection activeCell="J64" sqref="J64"/>
      <pageMargins left="0.70763888888888904" right="0.70763888888888904" top="0.74791666666666701" bottom="0.74791666666666701" header="0.31388888888888899" footer="0.31388888888888899"/>
      <pageSetup paperSize="9" scale="56" orientation="portrait"/>
    </customSheetView>
    <customSheetView guid="{F5F9735B-EE22-4AC6-B5AB-C856ED6C133D}" showPageBreaks="1" fitToPage="1" printArea="1" hiddenRows="1" hiddenColumns="1" topLeftCell="B1">
      <selection activeCell="AI7" sqref="AI7"/>
      <pageMargins left="0.70763888888888904" right="0.70763888888888904" top="0.74791666666666701" bottom="0.74791666666666701" header="0.31388888888888899" footer="0.31388888888888899"/>
      <pageSetup paperSize="9" scale="83" orientation="landscape"/>
    </customSheetView>
    <customSheetView guid="{45B4C0D1-53B6-4553-BFF9-393760B8E0CE}" scale="85" showPageBreaks="1" fitToPage="1" printArea="1" hiddenRows="1" hiddenColumns="1">
      <selection activeCell="N7" sqref="N7"/>
      <pageMargins left="0.70763888888888904" right="0.70763888888888904" top="0.74791666666666701" bottom="0.74791666666666701" header="0.31388888888888899" footer="0.31388888888888899"/>
      <pageSetup paperSize="9" scale="23" fitToHeight="0" orientation="portrait"/>
    </customSheetView>
    <customSheetView guid="{1BBD1596-143E-4714-99EF-E3545231CCD1}" showPageBreaks="1" fitToPage="1" printArea="1" hiddenRows="1" hiddenColumns="1">
      <pane xSplit="2" ySplit="4" topLeftCell="D36" state="frozen"/>
      <selection activeCell="B55" sqref="B55"/>
      <pageMargins left="0.70763888888888904" right="0.70763888888888904" top="0.74791666666666701" bottom="0.74791666666666701" header="0.31388888888888899" footer="0.31388888888888899"/>
      <pageSetup paperSize="9" scale="76" orientation="landscape"/>
    </customSheetView>
    <customSheetView guid="{A8456D60-99BA-4794-8966-0CBA0A37EA6F}" fitToPage="1" hiddenRows="1" hiddenColumns="1">
      <pane xSplit="2" ySplit="4" topLeftCell="D26" state="frozen"/>
      <selection activeCell="B55" sqref="B55"/>
      <pageMargins left="0.70763888888888904" right="0.70763888888888904" top="0.74791666666666701" bottom="0.74791666666666701" header="0.31388888888888899" footer="0.31388888888888899"/>
      <pageSetup paperSize="9" scale="93" orientation="landscape"/>
    </customSheetView>
    <customSheetView guid="{500C3980-ED13-4C97-96B1-955D50509B66}" showPageBreaks="1" fitToPage="1" printArea="1" hiddenColumns="1" topLeftCell="A10">
      <selection activeCell="G51" sqref="G51"/>
      <pageMargins left="0.70763888888888904" right="0.70763888888888904" top="0.74791666666666701" bottom="0.74791666666666701" header="0.31388888888888899" footer="0.31388888888888899"/>
      <pageSetup paperSize="9" scale="88" orientation="landscape"/>
    </customSheetView>
    <customSheetView guid="{3B943BAF-34C7-494A-A071-85DE0891E5A1}" showPageBreaks="1" fitToPage="1" printArea="1" hiddenColumns="1">
      <selection activeCell="AO25" sqref="AO25"/>
      <pageMargins left="0.70763888888888904" right="0.70763888888888904" top="0.74791666666666701" bottom="0.74791666666666701" header="0.31388888888888899" footer="0.31388888888888899"/>
      <pageSetup paperSize="9" scale="58" orientation="landscape"/>
    </customSheetView>
    <customSheetView guid="{EEE4B3DA-ADF6-49CC-9873-068FE5927B92}" showPageBreaks="1" fitToPage="1" printArea="1" hiddenRows="1" hiddenColumns="1">
      <pane xSplit="4" ySplit="4" topLeftCell="G5" state="frozen"/>
      <selection activeCell="J19" sqref="J19"/>
      <pageMargins left="0.70763888888888904" right="0.70763888888888904" top="0.74791666666666701" bottom="0.74791666666666701" header="0.31388888888888899" footer="0.31388888888888899"/>
      <pageSetup paperSize="9" orientation="landscape"/>
    </customSheetView>
    <customSheetView guid="{C52D0F53-4D1D-4D01-B833-260359FD02A5}" showPageBreaks="1" fitToPage="1" printArea="1" hiddenColumns="1">
      <selection activeCell="B13" sqref="B13"/>
      <pageMargins left="0.70763888888888904" right="0.70763888888888904" top="0.74791666666666701" bottom="0.74791666666666701" header="0.31388888888888899" footer="0.31388888888888899"/>
      <pageSetup paperSize="9" scale="29" orientation="landscape" r:id="rId13"/>
    </customSheetView>
    <customSheetView guid="{6A1E79C9-91E3-4EEA-8ABB-4446083299EC}" showPageBreaks="1" fitToPage="1" printArea="1" hiddenColumns="1">
      <pane xSplit="7.98876404494382" ySplit="4" topLeftCell="I5"/>
      <selection activeCell="O30" sqref="O30"/>
      <pageMargins left="0.70763888888888904" right="0.70763888888888904" top="0.74791666666666701" bottom="0.74791666666666701" header="0.31388888888888899" footer="0.31388888888888899"/>
      <pageSetup paperSize="9" scale="15" fitToHeight="0" orientation="portrait" r:id="rId14"/>
    </customSheetView>
    <customSheetView guid="{8B80B510-C931-46B1-8591-DEA916D76593}" fitToPage="1" hiddenColumns="1" topLeftCell="AD10">
      <selection activeCell="AN13" sqref="AN13"/>
      <pageMargins left="0.70763888888888904" right="0.70763888888888904" top="0.74791666666666701" bottom="0.74791666666666701" header="0.31388888888888899" footer="0.31388888888888899"/>
      <pageSetup paperSize="9" scale="25" orientation="landscape" r:id="rId15"/>
    </customSheetView>
    <customSheetView guid="{303A9D89-611D-4504-BCAA-071C53B021F7}" showPageBreaks="1" fitToPage="1" printArea="1" hiddenColumns="1">
      <pane xSplit="2" ySplit="4" topLeftCell="C44" activePane="bottomRight" state="frozen"/>
      <selection pane="bottomRight" activeCell="G64" sqref="G64"/>
      <pageMargins left="0.70763888888888904" right="0.70763888888888904" top="0.74791666666666701" bottom="0.74791666666666701" header="0.31388888888888899" footer="0.31388888888888899"/>
      <pageSetup paperSize="9" scale="29" orientation="landscape" r:id="rId16"/>
    </customSheetView>
    <customSheetView guid="{4583A87D-5DFF-47BD-849A-FA4AAF2B9CE3}" showPageBreaks="1" fitToPage="1" printArea="1" hiddenColumns="1">
      <selection activeCell="AO25" sqref="AO25"/>
      <pageMargins left="0.70763888888888904" right="0.70763888888888904" top="0.74791666666666701" bottom="0.74791666666666701" header="0.31388888888888899" footer="0.31388888888888899"/>
      <pageSetup paperSize="9" scale="25" orientation="landscape" r:id="rId17"/>
    </customSheetView>
    <customSheetView guid="{EA856AC2-CDFF-46B6-B0C4-30449DF132F4}" showPageBreaks="1" fitToPage="1" printArea="1" hiddenColumns="1">
      <pane xSplit="4" ySplit="4" topLeftCell="F17" activePane="bottomRight" state="frozen"/>
      <selection pane="bottomRight" activeCell="X32" sqref="X32"/>
      <pageMargins left="0.70763888888888904" right="0.70763888888888904" top="0.74791666666666701" bottom="0.74791666666666701" header="0.31388888888888899" footer="0.31388888888888899"/>
      <pageSetup paperSize="9" scale="32" orientation="landscape" r:id="rId18"/>
    </customSheetView>
    <customSheetView guid="{322A45A6-8B26-49B8-A4D9-EFB3C94A758D}" showPageBreaks="1" fitToPage="1" printArea="1" hiddenRows="1" hiddenColumns="1" topLeftCell="Z1">
      <selection activeCell="AJ52" sqref="AJ52"/>
      <pageMargins left="0.70763888888888904" right="0.70763888888888904" top="0.74791666666666701" bottom="0.74791666666666701" header="0.31388888888888899" footer="0.31388888888888899"/>
      <pageSetup paperSize="9" scale="13" fitToHeight="0" orientation="portrait" r:id="rId19"/>
    </customSheetView>
  </customSheetViews>
  <mergeCells count="32">
    <mergeCell ref="AX3:AY3"/>
    <mergeCell ref="AZ3:BA3"/>
    <mergeCell ref="AJ3:AK3"/>
    <mergeCell ref="AL3:AM3"/>
    <mergeCell ref="AN3:AO3"/>
    <mergeCell ref="AP3:AQ3"/>
    <mergeCell ref="AR3:AS3"/>
    <mergeCell ref="A3:A4"/>
    <mergeCell ref="B3:B4"/>
    <mergeCell ref="C3:C4"/>
    <mergeCell ref="X3:Y3"/>
    <mergeCell ref="Z3:AA3"/>
    <mergeCell ref="N3:O3"/>
    <mergeCell ref="P3:Q3"/>
    <mergeCell ref="R3:S3"/>
    <mergeCell ref="T3:U3"/>
    <mergeCell ref="BL107:BL109"/>
    <mergeCell ref="V3:W3"/>
    <mergeCell ref="D3:E3"/>
    <mergeCell ref="F3:G3"/>
    <mergeCell ref="H3:I3"/>
    <mergeCell ref="J3:K3"/>
    <mergeCell ref="L3:M3"/>
    <mergeCell ref="BF3:BG3"/>
    <mergeCell ref="AB3:AC3"/>
    <mergeCell ref="BB3:BC3"/>
    <mergeCell ref="BD3:BE3"/>
    <mergeCell ref="AD3:AE3"/>
    <mergeCell ref="AF3:AG3"/>
    <mergeCell ref="AH3:AI3"/>
    <mergeCell ref="AT3:AU3"/>
    <mergeCell ref="AV3:AW3"/>
  </mergeCells>
  <phoneticPr fontId="133" type="noConversion"/>
  <pageMargins left="0.70763888888888904" right="0.70763888888888904" top="0.74791666666666701" bottom="0.74791666666666701" header="0.31388888888888899" footer="0.31388888888888899"/>
  <pageSetup paperSize="9" scale="12" fitToHeight="0" orientation="portrait" r:id="rId20"/>
  <ignoredErrors>
    <ignoredError sqref="E8" formula="1"/>
  </ignoredErrors>
  <legacyDrawing r:id="rId2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V117"/>
  <sheetViews>
    <sheetView zoomScaleNormal="85" workbookViewId="0">
      <pane xSplit="10" topLeftCell="BD1" activePane="topRight" state="frozen"/>
      <selection pane="topRight" activeCell="BL6" sqref="BL6"/>
    </sheetView>
  </sheetViews>
  <sheetFormatPr defaultColWidth="9" defaultRowHeight="14.25"/>
  <cols>
    <col min="1" max="1" width="25.25" style="370" customWidth="1"/>
    <col min="2" max="2" width="10.75" style="370" hidden="1" customWidth="1"/>
    <col min="3" max="3" width="10" style="370" hidden="1" customWidth="1"/>
    <col min="4" max="4" width="10.75" style="370" hidden="1" customWidth="1"/>
    <col min="5" max="5" width="11.125" style="370" hidden="1" customWidth="1"/>
    <col min="6" max="6" width="10.125" style="370" hidden="1" customWidth="1"/>
    <col min="7" max="7" width="10.75" style="370" hidden="1" customWidth="1"/>
    <col min="8" max="8" width="11.375" style="370" hidden="1" customWidth="1"/>
    <col min="9" max="9" width="9" style="370" hidden="1" customWidth="1"/>
    <col min="10" max="10" width="12.625" style="370" hidden="1" customWidth="1"/>
    <col min="11" max="11" width="9.5" style="370" customWidth="1"/>
    <col min="12" max="12" width="11.375" style="370" customWidth="1"/>
    <col min="13" max="13" width="10.125" style="370" customWidth="1"/>
    <col min="14" max="16" width="9" style="370" customWidth="1"/>
    <col min="17" max="17" width="9.25" style="371" customWidth="1"/>
    <col min="18" max="18" width="9" style="370" customWidth="1"/>
    <col min="19" max="19" width="12.75" style="370" customWidth="1"/>
    <col min="20" max="20" width="10.5" style="370" customWidth="1"/>
    <col min="21" max="21" width="12.75" style="370" customWidth="1"/>
    <col min="22" max="22" width="16.25" style="370" customWidth="1"/>
    <col min="23" max="24" width="9.5" style="370" customWidth="1"/>
    <col min="25" max="25" width="13.625" style="370" customWidth="1"/>
    <col min="26" max="26" width="10.75" style="370" customWidth="1"/>
    <col min="27" max="28" width="9.5" style="370" customWidth="1"/>
    <col min="29" max="29" width="12.75" style="370" customWidth="1"/>
    <col min="30" max="30" width="10.75" style="370" customWidth="1"/>
    <col min="31" max="31" width="12.375" style="370" customWidth="1"/>
    <col min="32" max="32" width="19.125" style="370" customWidth="1"/>
    <col min="33" max="33" width="11.625" style="370" customWidth="1"/>
    <col min="34" max="34" width="10.75" style="370" customWidth="1"/>
    <col min="35" max="35" width="10.875" style="370" customWidth="1"/>
    <col min="36" max="36" width="12.625" style="370" customWidth="1"/>
    <col min="37" max="37" width="12" style="370" customWidth="1"/>
    <col min="38" max="38" width="12.25" style="370" customWidth="1"/>
    <col min="39" max="39" width="15.625" style="370" customWidth="1"/>
    <col min="40" max="40" width="16.25" style="370" customWidth="1"/>
    <col min="41" max="41" width="13.125" style="370" customWidth="1"/>
    <col min="42" max="42" width="12.625" style="370" customWidth="1"/>
    <col min="43" max="43" width="11.25" style="370" customWidth="1"/>
    <col min="44" max="44" width="13.75" style="370" customWidth="1"/>
    <col min="45" max="47" width="10" style="370" customWidth="1"/>
    <col min="48" max="48" width="11.5" style="370" customWidth="1"/>
    <col min="49" max="49" width="14.375" style="370" customWidth="1"/>
    <col min="50" max="50" width="11.5" style="370" customWidth="1"/>
    <col min="51" max="51" width="10.875" style="370" customWidth="1"/>
    <col min="52" max="52" width="13.625" style="370" customWidth="1"/>
    <col min="53" max="60" width="10" style="370" customWidth="1"/>
    <col min="61" max="61" width="10.625" style="370" customWidth="1"/>
    <col min="62" max="64" width="10" style="370" customWidth="1"/>
    <col min="65" max="76" width="10" style="370" hidden="1" customWidth="1"/>
    <col min="77" max="77" width="12" style="370" customWidth="1"/>
    <col min="78" max="78" width="12.75" style="370" customWidth="1"/>
    <col min="79" max="79" width="13.5" style="370" customWidth="1"/>
    <col min="80" max="80" width="9" style="370" customWidth="1"/>
    <col min="81" max="81" width="10.125" style="372" customWidth="1"/>
    <col min="82" max="82" width="9.25" style="372" customWidth="1"/>
    <col min="83" max="83" width="11.625" style="370" customWidth="1"/>
    <col min="84" max="84" width="22.375" style="1772" customWidth="1"/>
    <col min="85" max="86" width="10.875" style="1772" customWidth="1"/>
    <col min="87" max="87" width="11" style="370" bestFit="1" customWidth="1"/>
    <col min="88" max="88" width="52.625" style="370" customWidth="1"/>
    <col min="89" max="89" width="7.5" style="370" bestFit="1" customWidth="1"/>
    <col min="90" max="90" width="9" style="370" customWidth="1"/>
    <col min="91" max="91" width="7" style="370" customWidth="1"/>
    <col min="92" max="92" width="7.5" style="370" bestFit="1" customWidth="1"/>
    <col min="93" max="93" width="6.5" style="370" bestFit="1" customWidth="1"/>
    <col min="94" max="94" width="9.5" style="370" bestFit="1" customWidth="1"/>
    <col min="95" max="95" width="8.125" style="370" customWidth="1"/>
    <col min="96" max="96" width="11.625" style="370" bestFit="1" customWidth="1"/>
    <col min="97" max="99" width="9" style="370"/>
    <col min="100" max="100" width="9.5" style="370" bestFit="1" customWidth="1"/>
    <col min="101" max="16384" width="9" style="370"/>
  </cols>
  <sheetData>
    <row r="1" spans="1:100" s="368" customFormat="1">
      <c r="A1" s="368">
        <f>'#经营概况'!B1</f>
        <v>2021</v>
      </c>
      <c r="B1" s="368">
        <f>A1-2</f>
        <v>2019</v>
      </c>
      <c r="C1" s="368">
        <f>B1</f>
        <v>2019</v>
      </c>
      <c r="D1" s="368">
        <f>C1</f>
        <v>2019</v>
      </c>
      <c r="E1" s="368">
        <f>A1-1</f>
        <v>2020</v>
      </c>
      <c r="F1" s="368">
        <f t="shared" ref="F1:Y1" si="0">E1</f>
        <v>2020</v>
      </c>
      <c r="G1" s="368">
        <f t="shared" si="0"/>
        <v>2020</v>
      </c>
      <c r="H1" s="368">
        <f t="shared" si="0"/>
        <v>2020</v>
      </c>
      <c r="I1" s="368">
        <f t="shared" si="0"/>
        <v>2020</v>
      </c>
      <c r="J1" s="368">
        <f t="shared" si="0"/>
        <v>2020</v>
      </c>
      <c r="K1" s="368">
        <f t="shared" si="0"/>
        <v>2020</v>
      </c>
      <c r="L1" s="368">
        <f t="shared" si="0"/>
        <v>2020</v>
      </c>
      <c r="M1" s="368">
        <f t="shared" si="0"/>
        <v>2020</v>
      </c>
      <c r="N1" s="368">
        <f t="shared" si="0"/>
        <v>2020</v>
      </c>
      <c r="O1" s="368">
        <f t="shared" si="0"/>
        <v>2020</v>
      </c>
      <c r="P1" s="368">
        <f t="shared" si="0"/>
        <v>2020</v>
      </c>
      <c r="Q1" s="379">
        <f t="shared" si="0"/>
        <v>2020</v>
      </c>
      <c r="R1" s="368">
        <f t="shared" si="0"/>
        <v>2020</v>
      </c>
      <c r="S1" s="368">
        <f t="shared" si="0"/>
        <v>2020</v>
      </c>
      <c r="T1" s="368">
        <f t="shared" si="0"/>
        <v>2020</v>
      </c>
      <c r="U1" s="368">
        <f t="shared" si="0"/>
        <v>2020</v>
      </c>
      <c r="V1" s="368">
        <f t="shared" si="0"/>
        <v>2020</v>
      </c>
      <c r="W1" s="368">
        <f t="shared" si="0"/>
        <v>2020</v>
      </c>
      <c r="X1" s="368">
        <f t="shared" si="0"/>
        <v>2020</v>
      </c>
      <c r="Y1" s="368">
        <f t="shared" si="0"/>
        <v>2020</v>
      </c>
      <c r="Z1" s="368">
        <f>$Y1</f>
        <v>2020</v>
      </c>
      <c r="AA1" s="368">
        <f>$Z1</f>
        <v>2020</v>
      </c>
      <c r="AB1" s="368">
        <f t="shared" ref="AB1:AN1" si="1">$Z1</f>
        <v>2020</v>
      </c>
      <c r="AC1" s="368">
        <f t="shared" si="1"/>
        <v>2020</v>
      </c>
      <c r="AD1" s="368">
        <f t="shared" si="1"/>
        <v>2020</v>
      </c>
      <c r="AE1" s="368">
        <f t="shared" si="1"/>
        <v>2020</v>
      </c>
      <c r="AF1" s="368">
        <f t="shared" si="1"/>
        <v>2020</v>
      </c>
      <c r="AG1" s="368">
        <f t="shared" si="1"/>
        <v>2020</v>
      </c>
      <c r="AH1" s="368">
        <f t="shared" si="1"/>
        <v>2020</v>
      </c>
      <c r="AI1" s="368">
        <f t="shared" si="1"/>
        <v>2020</v>
      </c>
      <c r="AJ1" s="368">
        <f t="shared" si="1"/>
        <v>2020</v>
      </c>
      <c r="AK1" s="368">
        <f t="shared" si="1"/>
        <v>2020</v>
      </c>
      <c r="AL1" s="368">
        <f t="shared" si="1"/>
        <v>2020</v>
      </c>
      <c r="AM1" s="368">
        <f t="shared" si="1"/>
        <v>2020</v>
      </c>
      <c r="AN1" s="368">
        <f t="shared" si="1"/>
        <v>2020</v>
      </c>
      <c r="AO1" s="368">
        <f>$A1</f>
        <v>2021</v>
      </c>
      <c r="AP1" s="368">
        <f>$A1</f>
        <v>2021</v>
      </c>
      <c r="AQ1" s="368">
        <f>$A1</f>
        <v>2021</v>
      </c>
      <c r="AR1" s="368">
        <f t="shared" ref="AR1:BX1" si="2">$A1</f>
        <v>2021</v>
      </c>
      <c r="AS1" s="368">
        <f t="shared" si="2"/>
        <v>2021</v>
      </c>
      <c r="AT1" s="368">
        <f t="shared" si="2"/>
        <v>2021</v>
      </c>
      <c r="AU1" s="368">
        <f t="shared" si="2"/>
        <v>2021</v>
      </c>
      <c r="AV1" s="368">
        <f t="shared" si="2"/>
        <v>2021</v>
      </c>
      <c r="AW1" s="368">
        <f t="shared" si="2"/>
        <v>2021</v>
      </c>
      <c r="AX1" s="368">
        <f t="shared" si="2"/>
        <v>2021</v>
      </c>
      <c r="AY1" s="368">
        <f t="shared" si="2"/>
        <v>2021</v>
      </c>
      <c r="AZ1" s="368">
        <f t="shared" si="2"/>
        <v>2021</v>
      </c>
      <c r="BA1" s="368">
        <f t="shared" si="2"/>
        <v>2021</v>
      </c>
      <c r="BB1" s="368">
        <f t="shared" si="2"/>
        <v>2021</v>
      </c>
      <c r="BC1" s="368">
        <f t="shared" si="2"/>
        <v>2021</v>
      </c>
      <c r="BD1" s="368">
        <f t="shared" si="2"/>
        <v>2021</v>
      </c>
      <c r="BE1" s="368">
        <f t="shared" si="2"/>
        <v>2021</v>
      </c>
      <c r="BF1" s="368">
        <f t="shared" si="2"/>
        <v>2021</v>
      </c>
      <c r="BG1" s="368">
        <f t="shared" si="2"/>
        <v>2021</v>
      </c>
      <c r="BH1" s="368">
        <f t="shared" si="2"/>
        <v>2021</v>
      </c>
      <c r="BI1" s="368">
        <f t="shared" si="2"/>
        <v>2021</v>
      </c>
      <c r="BJ1" s="368">
        <f t="shared" si="2"/>
        <v>2021</v>
      </c>
      <c r="BK1" s="368">
        <f t="shared" si="2"/>
        <v>2021</v>
      </c>
      <c r="BL1" s="368">
        <f t="shared" si="2"/>
        <v>2021</v>
      </c>
      <c r="BM1" s="368">
        <f t="shared" si="2"/>
        <v>2021</v>
      </c>
      <c r="BN1" s="368">
        <f t="shared" si="2"/>
        <v>2021</v>
      </c>
      <c r="BO1" s="368">
        <f t="shared" si="2"/>
        <v>2021</v>
      </c>
      <c r="BP1" s="368">
        <f t="shared" si="2"/>
        <v>2021</v>
      </c>
      <c r="BQ1" s="368">
        <f t="shared" si="2"/>
        <v>2021</v>
      </c>
      <c r="BR1" s="368">
        <f t="shared" si="2"/>
        <v>2021</v>
      </c>
      <c r="BS1" s="368">
        <f t="shared" si="2"/>
        <v>2021</v>
      </c>
      <c r="BT1" s="368">
        <f t="shared" si="2"/>
        <v>2021</v>
      </c>
      <c r="BU1" s="368">
        <f t="shared" si="2"/>
        <v>2021</v>
      </c>
      <c r="BV1" s="368">
        <f t="shared" si="2"/>
        <v>2021</v>
      </c>
      <c r="BW1" s="368">
        <f t="shared" si="2"/>
        <v>2021</v>
      </c>
      <c r="BX1" s="368">
        <f t="shared" si="2"/>
        <v>2021</v>
      </c>
      <c r="BY1" s="1771">
        <v>2021</v>
      </c>
      <c r="BZ1" s="1771">
        <v>2021</v>
      </c>
      <c r="CA1" s="1930">
        <v>2021</v>
      </c>
      <c r="CC1" s="384"/>
      <c r="CD1" s="384"/>
      <c r="CF1" s="188" t="s">
        <v>1247</v>
      </c>
      <c r="CG1" s="188" t="s">
        <v>1370</v>
      </c>
      <c r="CH1" s="188" t="s">
        <v>1371</v>
      </c>
      <c r="CI1" s="188" t="s">
        <v>1372</v>
      </c>
      <c r="CJ1" s="368" t="s">
        <v>1485</v>
      </c>
      <c r="CK1" s="368" t="s">
        <v>1484</v>
      </c>
      <c r="CL1" s="368" t="s">
        <v>1486</v>
      </c>
    </row>
    <row r="2" spans="1:100" s="368" customFormat="1">
      <c r="A2" s="368">
        <f>'#经营概况'!B2</f>
        <v>8</v>
      </c>
      <c r="B2" s="368">
        <v>12</v>
      </c>
      <c r="C2" s="368">
        <v>12</v>
      </c>
      <c r="D2" s="368">
        <v>12</v>
      </c>
      <c r="E2" s="368">
        <v>1</v>
      </c>
      <c r="F2" s="368">
        <v>1</v>
      </c>
      <c r="G2" s="368">
        <v>1</v>
      </c>
      <c r="H2" s="368">
        <v>2</v>
      </c>
      <c r="I2" s="368">
        <v>2</v>
      </c>
      <c r="J2" s="368">
        <v>2</v>
      </c>
      <c r="K2" s="368">
        <v>3</v>
      </c>
      <c r="L2" s="368">
        <v>3</v>
      </c>
      <c r="M2" s="368">
        <v>3</v>
      </c>
      <c r="N2" s="368">
        <v>4</v>
      </c>
      <c r="O2" s="368">
        <v>4</v>
      </c>
      <c r="P2" s="368">
        <v>4</v>
      </c>
      <c r="Q2" s="379">
        <v>5</v>
      </c>
      <c r="R2" s="368">
        <v>5</v>
      </c>
      <c r="S2" s="368">
        <v>5</v>
      </c>
      <c r="T2" s="368">
        <v>6</v>
      </c>
      <c r="U2" s="368">
        <v>6</v>
      </c>
      <c r="V2" s="368">
        <v>6</v>
      </c>
      <c r="W2" s="368">
        <v>7</v>
      </c>
      <c r="X2" s="368">
        <v>7</v>
      </c>
      <c r="Y2" s="368">
        <v>7</v>
      </c>
      <c r="Z2" s="368">
        <v>8</v>
      </c>
      <c r="AA2" s="368">
        <v>8</v>
      </c>
      <c r="AB2" s="368">
        <v>8</v>
      </c>
      <c r="AC2" s="368">
        <v>9</v>
      </c>
      <c r="AD2" s="368">
        <v>9</v>
      </c>
      <c r="AE2" s="368">
        <v>9</v>
      </c>
      <c r="AF2" s="368">
        <v>10</v>
      </c>
      <c r="AG2" s="368">
        <v>10</v>
      </c>
      <c r="AH2" s="368">
        <v>10</v>
      </c>
      <c r="AI2" s="368">
        <v>11</v>
      </c>
      <c r="AJ2" s="368">
        <v>11</v>
      </c>
      <c r="AK2" s="368">
        <v>11</v>
      </c>
      <c r="AL2" s="368">
        <v>12</v>
      </c>
      <c r="AM2" s="368">
        <v>12</v>
      </c>
      <c r="AN2" s="368">
        <v>12</v>
      </c>
      <c r="AO2" s="368">
        <v>1</v>
      </c>
      <c r="AP2" s="368">
        <v>1</v>
      </c>
      <c r="AQ2" s="368">
        <v>1</v>
      </c>
      <c r="AR2" s="368">
        <v>2</v>
      </c>
      <c r="AS2" s="368">
        <v>2</v>
      </c>
      <c r="AT2" s="368">
        <v>2</v>
      </c>
      <c r="AU2" s="368">
        <v>3</v>
      </c>
      <c r="AV2" s="368">
        <v>3</v>
      </c>
      <c r="AW2" s="368">
        <v>3</v>
      </c>
      <c r="AX2" s="1771">
        <v>4</v>
      </c>
      <c r="AY2" s="1771">
        <v>4</v>
      </c>
      <c r="AZ2" s="1771">
        <v>4</v>
      </c>
      <c r="BA2" s="368">
        <v>5</v>
      </c>
      <c r="BB2" s="368">
        <v>5</v>
      </c>
      <c r="BC2" s="368">
        <v>5</v>
      </c>
      <c r="BD2" s="368">
        <v>6</v>
      </c>
      <c r="BE2" s="368">
        <v>6</v>
      </c>
      <c r="BF2" s="368">
        <v>6</v>
      </c>
      <c r="BG2" s="368">
        <v>7</v>
      </c>
      <c r="BH2" s="368">
        <v>7</v>
      </c>
      <c r="BI2" s="368">
        <v>7</v>
      </c>
      <c r="BJ2" s="368">
        <v>8</v>
      </c>
      <c r="BK2" s="368">
        <v>8</v>
      </c>
      <c r="BL2" s="368">
        <v>8</v>
      </c>
      <c r="BM2" s="368">
        <v>9</v>
      </c>
      <c r="BN2" s="368">
        <v>9</v>
      </c>
      <c r="BO2" s="368">
        <v>9</v>
      </c>
      <c r="BP2" s="368">
        <v>10</v>
      </c>
      <c r="BQ2" s="368">
        <v>10</v>
      </c>
      <c r="BR2" s="368">
        <v>10</v>
      </c>
      <c r="BS2" s="368">
        <v>11</v>
      </c>
      <c r="BT2" s="368">
        <v>11</v>
      </c>
      <c r="BU2" s="368">
        <v>11</v>
      </c>
      <c r="BV2" s="368">
        <v>12</v>
      </c>
      <c r="BW2" s="368">
        <v>12</v>
      </c>
      <c r="BX2" s="368">
        <v>12</v>
      </c>
      <c r="CC2" s="384"/>
      <c r="CD2" s="384"/>
      <c r="CF2"/>
      <c r="CG2"/>
      <c r="CH2"/>
      <c r="CI2"/>
      <c r="CJ2"/>
    </row>
    <row r="3" spans="1:100" ht="19.5" customHeight="1">
      <c r="A3" s="2719" t="s">
        <v>103</v>
      </c>
      <c r="B3" s="2722" t="str">
        <f>B1&amp;"年"&amp;C2&amp;"月利润"</f>
        <v>2019年12月利润</v>
      </c>
      <c r="C3" s="2722"/>
      <c r="D3" s="2722"/>
      <c r="E3" s="2722" t="s">
        <v>913</v>
      </c>
      <c r="F3" s="2722"/>
      <c r="G3" s="2722"/>
      <c r="H3" s="2719" t="s">
        <v>914</v>
      </c>
      <c r="I3" s="2719"/>
      <c r="J3" s="2719"/>
      <c r="K3" s="2719" t="s">
        <v>709</v>
      </c>
      <c r="L3" s="2719"/>
      <c r="M3" s="2719"/>
      <c r="N3" s="2719" t="s">
        <v>710</v>
      </c>
      <c r="O3" s="2719"/>
      <c r="P3" s="2719"/>
      <c r="Q3" s="2719" t="s">
        <v>711</v>
      </c>
      <c r="R3" s="2719"/>
      <c r="S3" s="2719"/>
      <c r="T3" s="2719" t="s">
        <v>712</v>
      </c>
      <c r="U3" s="2719"/>
      <c r="V3" s="2719"/>
      <c r="W3" s="2719" t="s">
        <v>713</v>
      </c>
      <c r="X3" s="2719"/>
      <c r="Y3" s="2719"/>
      <c r="Z3" s="2719" t="s">
        <v>714</v>
      </c>
      <c r="AA3" s="2719"/>
      <c r="AB3" s="2719"/>
      <c r="AC3" s="2719" t="s">
        <v>715</v>
      </c>
      <c r="AD3" s="2719"/>
      <c r="AE3" s="2719"/>
      <c r="AF3" s="2719" t="s">
        <v>716</v>
      </c>
      <c r="AG3" s="2719"/>
      <c r="AH3" s="2719"/>
      <c r="AI3" s="2719" t="s">
        <v>717</v>
      </c>
      <c r="AJ3" s="2719"/>
      <c r="AK3" s="2719"/>
      <c r="AL3" s="2719" t="s">
        <v>718</v>
      </c>
      <c r="AM3" s="2719"/>
      <c r="AN3" s="2719"/>
      <c r="AO3" s="2719" t="str">
        <f>AO2&amp;"月利润"</f>
        <v>1月利润</v>
      </c>
      <c r="AP3" s="2719"/>
      <c r="AQ3" s="2719"/>
      <c r="AR3" s="2719" t="str">
        <f>AR2&amp;"月利润"</f>
        <v>2月利润</v>
      </c>
      <c r="AS3" s="2719"/>
      <c r="AT3" s="2719"/>
      <c r="AU3" s="2719" t="str">
        <f>AU2&amp;"月利润"</f>
        <v>3月利润</v>
      </c>
      <c r="AV3" s="2719"/>
      <c r="AW3" s="2719"/>
      <c r="AX3" s="2719" t="str">
        <f>AX2&amp;"月利润"</f>
        <v>4月利润</v>
      </c>
      <c r="AY3" s="2719"/>
      <c r="AZ3" s="2719"/>
      <c r="BA3" s="2719" t="str">
        <f>BA2&amp;"月利润"</f>
        <v>5月利润</v>
      </c>
      <c r="BB3" s="2719"/>
      <c r="BC3" s="2719"/>
      <c r="BD3" s="2719" t="str">
        <f>BD2&amp;"月利润"</f>
        <v>6月利润</v>
      </c>
      <c r="BE3" s="2719"/>
      <c r="BF3" s="2719"/>
      <c r="BG3" s="2719" t="str">
        <f>BG2&amp;"月利润"</f>
        <v>7月利润</v>
      </c>
      <c r="BH3" s="2719"/>
      <c r="BI3" s="2719"/>
      <c r="BJ3" s="2719" t="str">
        <f>BJ2&amp;"月利润"</f>
        <v>8月利润</v>
      </c>
      <c r="BK3" s="2719"/>
      <c r="BL3" s="2719"/>
      <c r="BM3" s="2719" t="str">
        <f>BM2&amp;"月利润"</f>
        <v>9月利润</v>
      </c>
      <c r="BN3" s="2719"/>
      <c r="BO3" s="2719"/>
      <c r="BP3" s="2719" t="str">
        <f>BP2&amp;"月利润"</f>
        <v>10月利润</v>
      </c>
      <c r="BQ3" s="2719"/>
      <c r="BR3" s="2719"/>
      <c r="BS3" s="2719" t="str">
        <f>BS2&amp;"月利润"</f>
        <v>11月利润</v>
      </c>
      <c r="BT3" s="2719"/>
      <c r="BU3" s="2719"/>
      <c r="BV3" s="2719" t="str">
        <f>BV2&amp;"月利润"</f>
        <v>12月利润</v>
      </c>
      <c r="BW3" s="2719"/>
      <c r="BX3" s="2719"/>
      <c r="BY3" s="2719" t="s">
        <v>915</v>
      </c>
      <c r="BZ3" s="2719"/>
      <c r="CA3" s="2719"/>
      <c r="CB3" s="1535"/>
      <c r="CC3" s="1535"/>
      <c r="CD3" s="1536"/>
      <c r="CF3"/>
      <c r="CG3"/>
      <c r="CH3"/>
      <c r="CI3"/>
      <c r="CJ3"/>
    </row>
    <row r="4" spans="1:100" ht="19.5" customHeight="1">
      <c r="A4" s="2719"/>
      <c r="B4" s="2134" t="s">
        <v>162</v>
      </c>
      <c r="C4" s="2134" t="s">
        <v>54</v>
      </c>
      <c r="D4" s="2134" t="s">
        <v>163</v>
      </c>
      <c r="E4" s="2134" t="s">
        <v>162</v>
      </c>
      <c r="F4" s="2134" t="s">
        <v>54</v>
      </c>
      <c r="G4" s="2134" t="s">
        <v>163</v>
      </c>
      <c r="H4" s="2134" t="s">
        <v>162</v>
      </c>
      <c r="I4" s="2134" t="s">
        <v>54</v>
      </c>
      <c r="J4" s="2134" t="s">
        <v>163</v>
      </c>
      <c r="K4" s="2134" t="s">
        <v>162</v>
      </c>
      <c r="L4" s="2134" t="s">
        <v>54</v>
      </c>
      <c r="M4" s="2134" t="s">
        <v>163</v>
      </c>
      <c r="N4" s="2134" t="s">
        <v>162</v>
      </c>
      <c r="O4" s="2134" t="s">
        <v>54</v>
      </c>
      <c r="P4" s="2134" t="s">
        <v>163</v>
      </c>
      <c r="Q4" s="2135" t="s">
        <v>162</v>
      </c>
      <c r="R4" s="2134" t="s">
        <v>54</v>
      </c>
      <c r="S4" s="2134" t="s">
        <v>163</v>
      </c>
      <c r="T4" s="2134" t="s">
        <v>162</v>
      </c>
      <c r="U4" s="2134" t="s">
        <v>54</v>
      </c>
      <c r="V4" s="2134" t="s">
        <v>163</v>
      </c>
      <c r="W4" s="2134" t="s">
        <v>162</v>
      </c>
      <c r="X4" s="2134" t="s">
        <v>54</v>
      </c>
      <c r="Y4" s="2134" t="s">
        <v>163</v>
      </c>
      <c r="Z4" s="2134" t="s">
        <v>162</v>
      </c>
      <c r="AA4" s="2134" t="s">
        <v>54</v>
      </c>
      <c r="AB4" s="2134" t="s">
        <v>163</v>
      </c>
      <c r="AC4" s="2136" t="s">
        <v>162</v>
      </c>
      <c r="AD4" s="2136" t="s">
        <v>54</v>
      </c>
      <c r="AE4" s="2136" t="s">
        <v>163</v>
      </c>
      <c r="AF4" s="2136" t="s">
        <v>162</v>
      </c>
      <c r="AG4" s="2136" t="s">
        <v>54</v>
      </c>
      <c r="AH4" s="2136" t="s">
        <v>163</v>
      </c>
      <c r="AI4" s="2136" t="s">
        <v>162</v>
      </c>
      <c r="AJ4" s="2136" t="s">
        <v>54</v>
      </c>
      <c r="AK4" s="2136" t="s">
        <v>163</v>
      </c>
      <c r="AL4" s="2136" t="s">
        <v>162</v>
      </c>
      <c r="AM4" s="2136" t="s">
        <v>54</v>
      </c>
      <c r="AN4" s="2136" t="s">
        <v>163</v>
      </c>
      <c r="AO4" s="2136" t="s">
        <v>162</v>
      </c>
      <c r="AP4" s="2136" t="s">
        <v>54</v>
      </c>
      <c r="AQ4" s="2136" t="s">
        <v>163</v>
      </c>
      <c r="AR4" s="2136" t="s">
        <v>162</v>
      </c>
      <c r="AS4" s="2136" t="s">
        <v>54</v>
      </c>
      <c r="AT4" s="2136" t="s">
        <v>163</v>
      </c>
      <c r="AU4" s="2136" t="s">
        <v>162</v>
      </c>
      <c r="AV4" s="2136" t="s">
        <v>54</v>
      </c>
      <c r="AW4" s="2136" t="s">
        <v>163</v>
      </c>
      <c r="AX4" s="2136" t="s">
        <v>162</v>
      </c>
      <c r="AY4" s="2136" t="s">
        <v>54</v>
      </c>
      <c r="AZ4" s="2136" t="s">
        <v>163</v>
      </c>
      <c r="BA4" s="2136" t="s">
        <v>162</v>
      </c>
      <c r="BB4" s="2136" t="s">
        <v>54</v>
      </c>
      <c r="BC4" s="2136" t="s">
        <v>163</v>
      </c>
      <c r="BD4" s="2136" t="s">
        <v>162</v>
      </c>
      <c r="BE4" s="2136" t="s">
        <v>54</v>
      </c>
      <c r="BF4" s="2136" t="s">
        <v>163</v>
      </c>
      <c r="BG4" s="2136" t="s">
        <v>162</v>
      </c>
      <c r="BH4" s="2136" t="s">
        <v>54</v>
      </c>
      <c r="BI4" s="2136" t="s">
        <v>163</v>
      </c>
      <c r="BJ4" s="2136" t="s">
        <v>162</v>
      </c>
      <c r="BK4" s="2136" t="s">
        <v>54</v>
      </c>
      <c r="BL4" s="2136" t="s">
        <v>163</v>
      </c>
      <c r="BM4" s="2136" t="s">
        <v>162</v>
      </c>
      <c r="BN4" s="2136" t="s">
        <v>54</v>
      </c>
      <c r="BO4" s="2136" t="s">
        <v>163</v>
      </c>
      <c r="BP4" s="2136" t="s">
        <v>162</v>
      </c>
      <c r="BQ4" s="2136" t="s">
        <v>54</v>
      </c>
      <c r="BR4" s="2136" t="s">
        <v>163</v>
      </c>
      <c r="BS4" s="2136" t="s">
        <v>162</v>
      </c>
      <c r="BT4" s="2136" t="s">
        <v>54</v>
      </c>
      <c r="BU4" s="2136" t="s">
        <v>163</v>
      </c>
      <c r="BV4" s="2136" t="s">
        <v>162</v>
      </c>
      <c r="BW4" s="2136" t="s">
        <v>54</v>
      </c>
      <c r="BX4" s="2136" t="s">
        <v>163</v>
      </c>
      <c r="BY4" s="2134" t="s">
        <v>162</v>
      </c>
      <c r="BZ4" s="2134" t="s">
        <v>54</v>
      </c>
      <c r="CA4" s="2134" t="s">
        <v>163</v>
      </c>
      <c r="CB4" s="372"/>
      <c r="CC4" s="1539" t="s">
        <v>916</v>
      </c>
      <c r="CD4" s="2147" t="s">
        <v>1102</v>
      </c>
      <c r="CF4"/>
      <c r="CG4" s="1774" t="s">
        <v>1426</v>
      </c>
      <c r="CH4"/>
      <c r="CI4"/>
      <c r="CJ4"/>
    </row>
    <row r="5" spans="1:100" ht="19.5" customHeight="1">
      <c r="A5" s="1860" t="s">
        <v>1314</v>
      </c>
      <c r="B5" s="1826">
        <f>B6+B49+B50</f>
        <v>22012.028342116599</v>
      </c>
      <c r="C5" s="1826">
        <f>C6+C49+C50</f>
        <v>-37679</v>
      </c>
      <c r="D5" s="1928">
        <f t="shared" ref="D5:D42" si="3">B5-C5</f>
        <v>59691.028342116595</v>
      </c>
      <c r="E5" s="1826">
        <f>E6+E49+E50</f>
        <v>19803.267612025258</v>
      </c>
      <c r="F5" s="1826">
        <f>F6+F49+F50</f>
        <v>2398</v>
      </c>
      <c r="G5" s="1928">
        <f t="shared" ref="G5" si="4">E5-F5</f>
        <v>17405.267612025258</v>
      </c>
      <c r="H5" s="1826">
        <f t="shared" ref="H5:I5" si="5">H6+H49+H50</f>
        <v>434.93464715968207</v>
      </c>
      <c r="I5" s="1826">
        <f t="shared" si="5"/>
        <v>-423</v>
      </c>
      <c r="J5" s="1928">
        <f t="shared" ref="J5" si="6">H5-I5</f>
        <v>857.93464715968207</v>
      </c>
      <c r="K5" s="1826">
        <f t="shared" ref="K5:L5" si="7">K6+K49+K50</f>
        <v>7548.6373187457002</v>
      </c>
      <c r="L5" s="1826">
        <f t="shared" si="7"/>
        <v>-1114.3796129999992</v>
      </c>
      <c r="M5" s="1928">
        <f>K5-L5</f>
        <v>8663.0169317457003</v>
      </c>
      <c r="N5" s="1826">
        <f t="shared" ref="N5:O5" si="8">N6+N49+N50</f>
        <v>-1710.8409426500082</v>
      </c>
      <c r="O5" s="1826">
        <f t="shared" si="8"/>
        <v>-5028</v>
      </c>
      <c r="P5" s="1928">
        <f t="shared" ref="P5" si="9">N5-O5</f>
        <v>3317.1590573499916</v>
      </c>
      <c r="Q5" s="1826">
        <f t="shared" ref="Q5:R5" si="10">Q6+Q49+Q50</f>
        <v>7033.6184271099946</v>
      </c>
      <c r="R5" s="1826">
        <f t="shared" si="10"/>
        <v>2046</v>
      </c>
      <c r="S5" s="1928">
        <f t="shared" ref="S5" si="11">Q5-R5</f>
        <v>4987.6184271099946</v>
      </c>
      <c r="T5" s="1826">
        <f t="shared" ref="T5:U5" si="12">T6+T49+T50</f>
        <v>57850.12758084001</v>
      </c>
      <c r="U5" s="1826">
        <f t="shared" si="12"/>
        <v>7777</v>
      </c>
      <c r="V5" s="1928">
        <f t="shared" ref="V5" si="13">T5-U5</f>
        <v>50073.12758084001</v>
      </c>
      <c r="W5" s="1826">
        <f t="shared" ref="W5:X5" si="14">W6+W49+W50</f>
        <v>31164.388088960008</v>
      </c>
      <c r="X5" s="1826">
        <f t="shared" si="14"/>
        <v>3800</v>
      </c>
      <c r="Y5" s="1928">
        <f t="shared" ref="Y5" si="15">W5-X5</f>
        <v>27364.388088960008</v>
      </c>
      <c r="Z5" s="1826">
        <f t="shared" ref="Z5:AA5" si="16">Z6+Z49+Z50</f>
        <v>42051.10877638001</v>
      </c>
      <c r="AA5" s="1826">
        <f t="shared" si="16"/>
        <v>0</v>
      </c>
      <c r="AB5" s="1928">
        <f t="shared" ref="AB5" si="17">Z5-AA5</f>
        <v>42051.10877638001</v>
      </c>
      <c r="AC5" s="1826">
        <f t="shared" ref="AC5:AD5" si="18">AC6+AC49+AC50</f>
        <v>38889.936916380022</v>
      </c>
      <c r="AD5" s="1826">
        <f t="shared" si="18"/>
        <v>-3479</v>
      </c>
      <c r="AE5" s="1928">
        <f t="shared" ref="AE5" si="19">AC5-AD5</f>
        <v>42368.936916380022</v>
      </c>
      <c r="AF5" s="1826">
        <f t="shared" ref="AF5:AG5" si="20">AF6+AF49+AF50</f>
        <v>100559.15038079</v>
      </c>
      <c r="AG5" s="1826">
        <f t="shared" si="20"/>
        <v>53724</v>
      </c>
      <c r="AH5" s="1928">
        <f t="shared" ref="AH5" si="21">AF5-AG5</f>
        <v>46835.150380790001</v>
      </c>
      <c r="AI5" s="1826">
        <f t="shared" ref="AI5:AJ5" si="22">AI6+AI49+AI50</f>
        <v>32034.306324410012</v>
      </c>
      <c r="AJ5" s="1826">
        <f t="shared" si="22"/>
        <v>3878</v>
      </c>
      <c r="AK5" s="1928">
        <f t="shared" ref="AK5" si="23">AI5-AJ5</f>
        <v>28156.306324410012</v>
      </c>
      <c r="AL5" s="1826">
        <f t="shared" ref="AL5:AM5" si="24">AL6+AL49+AL50</f>
        <v>23330.276938139985</v>
      </c>
      <c r="AM5" s="1826">
        <f t="shared" si="24"/>
        <v>-54973</v>
      </c>
      <c r="AN5" s="1928">
        <f>AL5-AM5</f>
        <v>78303.276938139985</v>
      </c>
      <c r="AO5" s="1826">
        <f t="shared" ref="AO5:AP5" si="25">AO6+AO49+AO50</f>
        <v>95710.431894370005</v>
      </c>
      <c r="AP5" s="1826">
        <f t="shared" si="25"/>
        <v>12303</v>
      </c>
      <c r="AQ5" s="1928">
        <f t="shared" ref="AQ5" si="26">AO5-AP5</f>
        <v>83407.431894370005</v>
      </c>
      <c r="AR5" s="1826">
        <f t="shared" ref="AR5:AS5" si="27">AR6+AR49+AR50</f>
        <v>137112.74407595003</v>
      </c>
      <c r="AS5" s="1826">
        <f t="shared" si="27"/>
        <v>10000</v>
      </c>
      <c r="AT5" s="1928">
        <f t="shared" ref="AT5" si="28">AR5-AS5</f>
        <v>127112.74407595003</v>
      </c>
      <c r="AU5" s="1826">
        <f t="shared" ref="AU5:AV5" si="29">AU6+AU49+AU50</f>
        <v>185559.04680189997</v>
      </c>
      <c r="AV5" s="1826">
        <f t="shared" si="29"/>
        <v>30000</v>
      </c>
      <c r="AW5" s="1928">
        <f t="shared" ref="AW5" si="30">AU5-AV5</f>
        <v>155559.04680189997</v>
      </c>
      <c r="AX5" s="1826">
        <f t="shared" ref="AX5:AY5" si="31">AX6+AX49+AX50</f>
        <v>227900.99381447997</v>
      </c>
      <c r="AY5" s="1826">
        <f t="shared" si="31"/>
        <v>39300</v>
      </c>
      <c r="AZ5" s="1928">
        <f t="shared" ref="AZ5" si="32">AX5-AY5</f>
        <v>188600.99381447997</v>
      </c>
      <c r="BA5" s="1826">
        <f t="shared" ref="BA5:BB5" si="33">BA6+BA49+BA50</f>
        <v>236040.99474458993</v>
      </c>
      <c r="BB5" s="1826">
        <f t="shared" si="33"/>
        <v>0</v>
      </c>
      <c r="BC5" s="1928">
        <f t="shared" ref="BC5" si="34">BA5-BB5</f>
        <v>236040.99474458993</v>
      </c>
      <c r="BD5" s="1826">
        <f t="shared" ref="BD5:BE5" si="35">BD6+BD49+BD50</f>
        <v>212669.73981146995</v>
      </c>
      <c r="BE5" s="1826">
        <f t="shared" si="35"/>
        <v>-32000</v>
      </c>
      <c r="BF5" s="1928">
        <f t="shared" ref="BF5" si="36">BD5-BE5</f>
        <v>244669.73981146995</v>
      </c>
      <c r="BG5" s="1826">
        <f t="shared" ref="BG5:BH5" si="37">BG6+BG49+BG50</f>
        <v>218166.04012541007</v>
      </c>
      <c r="BH5" s="1826">
        <f t="shared" si="37"/>
        <v>0</v>
      </c>
      <c r="BI5" s="1928">
        <f t="shared" ref="BI5" si="38">BG5-BH5</f>
        <v>218166.04012541007</v>
      </c>
      <c r="BJ5" s="1826">
        <f t="shared" ref="BJ5:BK5" si="39">BJ6+BJ49+BJ50</f>
        <v>213139.37042600007</v>
      </c>
      <c r="BK5" s="1826">
        <f t="shared" si="39"/>
        <v>30000</v>
      </c>
      <c r="BL5" s="1928">
        <f t="shared" ref="BL5" si="40">BJ5-BK5</f>
        <v>183139.37042600007</v>
      </c>
      <c r="BM5" s="1826">
        <f t="shared" ref="BM5:BN5" si="41">BM6+BM49+BM50</f>
        <v>0</v>
      </c>
      <c r="BN5" s="1826">
        <f t="shared" si="41"/>
        <v>0</v>
      </c>
      <c r="BO5" s="1928">
        <f t="shared" ref="BO5" si="42">BM5-BN5</f>
        <v>0</v>
      </c>
      <c r="BP5" s="1826">
        <f t="shared" ref="BP5:BQ5" si="43">BP6+BP49+BP50</f>
        <v>0</v>
      </c>
      <c r="BQ5" s="1826">
        <f t="shared" si="43"/>
        <v>0</v>
      </c>
      <c r="BR5" s="1928">
        <f t="shared" ref="BR5" si="44">BP5-BQ5</f>
        <v>0</v>
      </c>
      <c r="BS5" s="1826">
        <f t="shared" ref="BS5:BT5" si="45">BS6+BS49+BS50</f>
        <v>0</v>
      </c>
      <c r="BT5" s="1826">
        <f t="shared" si="45"/>
        <v>0</v>
      </c>
      <c r="BU5" s="1928">
        <f t="shared" ref="BU5" si="46">BS5-BT5</f>
        <v>0</v>
      </c>
      <c r="BV5" s="1826">
        <f t="shared" ref="BV5:BW5" si="47">BV6+BV49+BV50</f>
        <v>0</v>
      </c>
      <c r="BW5" s="1826">
        <f t="shared" si="47"/>
        <v>0</v>
      </c>
      <c r="BX5" s="1928">
        <f t="shared" ref="BX5" si="48">BV5-BW5</f>
        <v>0</v>
      </c>
      <c r="BY5" s="1826">
        <f>BY6+BY49+BY50</f>
        <v>1526299.3616941697</v>
      </c>
      <c r="BZ5" s="1826">
        <f t="shared" ref="BZ5" si="49">BZ6+BZ49+BZ50</f>
        <v>89603</v>
      </c>
      <c r="CA5" s="1928">
        <f>BY5-BZ5</f>
        <v>1436696.3616941697</v>
      </c>
      <c r="CB5" s="372"/>
      <c r="CD5" s="1537"/>
      <c r="CE5" s="2053">
        <f t="shared" ref="CE5:CE49" si="50">AT5-AQ5</f>
        <v>43705.312181580026</v>
      </c>
      <c r="CF5" s="2350" t="s">
        <v>1243</v>
      </c>
      <c r="CG5" s="1772" t="s">
        <v>1215</v>
      </c>
      <c r="CH5" s="1774" t="s">
        <v>1483</v>
      </c>
      <c r="CK5" s="1774" t="s">
        <v>1381</v>
      </c>
      <c r="CL5" s="1774"/>
      <c r="CM5" s="1772" t="s">
        <v>1386</v>
      </c>
      <c r="CN5" s="1772" t="str">
        <f>$A$2-1&amp;"月"</f>
        <v>7月</v>
      </c>
      <c r="CO5" s="1772"/>
      <c r="CP5" s="1772" t="s">
        <v>1140</v>
      </c>
      <c r="CQ5" s="1772" t="s">
        <v>1133</v>
      </c>
      <c r="CR5" s="1772" t="s">
        <v>1382</v>
      </c>
      <c r="CS5" s="1772"/>
      <c r="CT5" s="1772" t="s">
        <v>1386</v>
      </c>
    </row>
    <row r="6" spans="1:100" s="369" customFormat="1" ht="19.5" customHeight="1">
      <c r="A6" s="1869" t="s">
        <v>1236</v>
      </c>
      <c r="B6" s="1952">
        <f>B7+SUM(B12:B42)+B44</f>
        <v>22012.028342116599</v>
      </c>
      <c r="C6" s="1952">
        <f>C7+SUM(C15:C42)+C44</f>
        <v>-37679</v>
      </c>
      <c r="D6" s="2137">
        <f t="shared" si="3"/>
        <v>59691.028342116595</v>
      </c>
      <c r="E6" s="1952">
        <f>E7+SUM(E12:E42)+E44</f>
        <v>22895.75491202527</v>
      </c>
      <c r="F6" s="1952">
        <f>F7+SUM(F15:F42)+F44</f>
        <v>2398</v>
      </c>
      <c r="G6" s="2137">
        <f>E6-F6</f>
        <v>20497.75491202527</v>
      </c>
      <c r="H6" s="1952">
        <f>H7+SUM(H12:H42)+H44</f>
        <v>3124.5092581596723</v>
      </c>
      <c r="I6" s="1952">
        <f>I7+SUM(I15:I42)+I44</f>
        <v>-423</v>
      </c>
      <c r="J6" s="2137">
        <f>H6-I6</f>
        <v>3547.5092581596723</v>
      </c>
      <c r="K6" s="1952">
        <f>K7+SUM(K12:K42)+K44</f>
        <v>16087.065417745713</v>
      </c>
      <c r="L6" s="1952">
        <f>L7+SUM(L15:L42)+L44</f>
        <v>-1114.3796129999992</v>
      </c>
      <c r="M6" s="2137">
        <f>K6-L6</f>
        <v>17201.445030745712</v>
      </c>
      <c r="N6" s="1952">
        <f>N7+SUM(N12:N42)+N44</f>
        <v>14355.942058349998</v>
      </c>
      <c r="O6" s="1952">
        <f>O7+SUM(O15:O42)+O44</f>
        <v>-5028</v>
      </c>
      <c r="P6" s="2137">
        <f>N6-O6</f>
        <v>19383.942058349996</v>
      </c>
      <c r="Q6" s="1952">
        <f>Q7+SUM(Q12:Q42)+Q44</f>
        <v>20039.276037109994</v>
      </c>
      <c r="R6" s="2137">
        <f>R7+SUM(R15:R42)+R44</f>
        <v>2046</v>
      </c>
      <c r="S6" s="2137">
        <f t="shared" ref="S6:S42" si="51">Q6-R6</f>
        <v>17993.276037109994</v>
      </c>
      <c r="T6" s="1952">
        <f>T7+SUM(T12:T42)+T44+10367</f>
        <v>63617.102320840007</v>
      </c>
      <c r="U6" s="2137">
        <f>U7+SUM(U15:U42)+U44</f>
        <v>7777</v>
      </c>
      <c r="V6" s="2137">
        <f>T6-U6</f>
        <v>55840.102320840007</v>
      </c>
      <c r="W6" s="1952">
        <f>W7+SUM(W12:W42)+W44</f>
        <v>33915.956220960004</v>
      </c>
      <c r="X6" s="2137">
        <f>X7+SUM(X15:X42)+X44</f>
        <v>3800</v>
      </c>
      <c r="Y6" s="2137">
        <f t="shared" ref="Y6:Y42" si="52">W6-X6</f>
        <v>30115.956220960004</v>
      </c>
      <c r="Z6" s="1952">
        <f>Z7+SUM(Z12:Z42)+Z44</f>
        <v>42618.514105379996</v>
      </c>
      <c r="AA6" s="2137">
        <f>AA7+SUM(AA15:AA42)+AA44</f>
        <v>0</v>
      </c>
      <c r="AB6" s="2137">
        <f t="shared" ref="AB6:AB42" si="53">Z6-AA6</f>
        <v>42618.514105379996</v>
      </c>
      <c r="AC6" s="1952">
        <f>AC7+SUM(AC12:AC42)+AC44</f>
        <v>35262.348736380009</v>
      </c>
      <c r="AD6" s="2137">
        <f>AD7+SUM(AD15:AD42)+AD44</f>
        <v>-3479</v>
      </c>
      <c r="AE6" s="2137">
        <f t="shared" ref="AE6:AE42" si="54">AC6-AD6</f>
        <v>38741.348736380009</v>
      </c>
      <c r="AF6" s="1952">
        <f>AF7+SUM(AF12:AF42)+AF44</f>
        <v>96340.336349789985</v>
      </c>
      <c r="AG6" s="2137">
        <f>AG7+SUM(AG15:AG42)+AG44</f>
        <v>53724</v>
      </c>
      <c r="AH6" s="2137">
        <f t="shared" ref="AH6:AH42" si="55">AF6-AG6</f>
        <v>42616.336349789985</v>
      </c>
      <c r="AI6" s="1952">
        <f>AI7+SUM(AI12:AI42)+AI44</f>
        <v>26604.959117409999</v>
      </c>
      <c r="AJ6" s="2137">
        <f>AJ7+SUM(AJ15:AJ42)+AJ44</f>
        <v>3878</v>
      </c>
      <c r="AK6" s="2137">
        <f t="shared" ref="AK6:AK42" si="56">AI6-AJ6</f>
        <v>22726.959117409999</v>
      </c>
      <c r="AL6" s="1952">
        <f>AL7+SUM(AL12:AL42)+AL44</f>
        <v>20542.120569140003</v>
      </c>
      <c r="AM6" s="2137">
        <f>AM7+SUM(AM13:AM42)+AM44</f>
        <v>-54973</v>
      </c>
      <c r="AN6" s="2137">
        <f>AL6-AM6</f>
        <v>75515.12056914001</v>
      </c>
      <c r="AO6" s="1952">
        <f>AO7+SUM(AO12:AO42)+AO44</f>
        <v>92891.728899370006</v>
      </c>
      <c r="AP6" s="2137">
        <f>AP7+SUM(AP13:AP42)+AP44</f>
        <v>12303</v>
      </c>
      <c r="AQ6" s="2137">
        <f t="shared" ref="AQ6:AQ42" si="57">AO6-AP6</f>
        <v>80588.728899370006</v>
      </c>
      <c r="AR6" s="1952">
        <f>AR7+SUM(AR12:AR42)+AR44</f>
        <v>130918.29668395001</v>
      </c>
      <c r="AS6" s="2137">
        <f>AS7+SUM(AS13:AS42)+AS44</f>
        <v>10000</v>
      </c>
      <c r="AT6" s="2137">
        <f t="shared" ref="AT6:AT42" si="58">AR6-AS6</f>
        <v>120918.29668395001</v>
      </c>
      <c r="AU6" s="1952">
        <f>AU7+SUM(AU12:AU42)+AU44</f>
        <v>181022.86894589997</v>
      </c>
      <c r="AV6" s="2137">
        <f>AV7+SUM(AV13:AV42)+AV44</f>
        <v>30000</v>
      </c>
      <c r="AW6" s="2137">
        <f t="shared" ref="AW6:AW42" si="59">AU6-AV6</f>
        <v>151022.86894589997</v>
      </c>
      <c r="AX6" s="1952">
        <f>AX7+SUM(AX12:AX42)+AX44</f>
        <v>221686.92180847996</v>
      </c>
      <c r="AY6" s="2137">
        <f>AY7+SUM(AY13:AY42)+AY44</f>
        <v>39300</v>
      </c>
      <c r="AZ6" s="2137">
        <f t="shared" ref="AZ6:AZ42" si="60">AX6-AY6</f>
        <v>182386.92180847996</v>
      </c>
      <c r="BA6" s="1952">
        <f>BA7+SUM(BA12:BA42)+BA44</f>
        <v>231775.99474458993</v>
      </c>
      <c r="BB6" s="2137">
        <f>BB7+SUM(BB13:BB42)+BB44</f>
        <v>0</v>
      </c>
      <c r="BC6" s="2137">
        <f t="shared" ref="BC6:BC42" si="61">BA6-BB6</f>
        <v>231775.99474458993</v>
      </c>
      <c r="BD6" s="1952">
        <f>BD7+SUM(BD12:BD42)+BD44</f>
        <v>208543.73981146995</v>
      </c>
      <c r="BE6" s="2137">
        <f>BE7+SUM(BE13:BE42)+BE44</f>
        <v>-32000</v>
      </c>
      <c r="BF6" s="2137">
        <f t="shared" ref="BF6:BF42" si="62">BD6-BE6</f>
        <v>240543.73981146995</v>
      </c>
      <c r="BG6" s="1952">
        <f>BG7+SUM(BG12:BG42)+BG44</f>
        <v>219059.62312541009</v>
      </c>
      <c r="BH6" s="2137">
        <f>BH7+SUM(BH13:BH42)+BH44</f>
        <v>0</v>
      </c>
      <c r="BI6" s="2137">
        <f t="shared" ref="BI6:BI42" si="63">BG6-BH6</f>
        <v>219059.62312541009</v>
      </c>
      <c r="BJ6" s="1952">
        <f>BJ7+SUM(BJ12:BJ42)+BJ44</f>
        <v>205746.50333100004</v>
      </c>
      <c r="BK6" s="2137">
        <f>BK7+SUM(BK13:BK42)+BK44</f>
        <v>30000</v>
      </c>
      <c r="BL6" s="2137">
        <f t="shared" ref="BL6:BL42" si="64">BJ6-BK6</f>
        <v>175746.50333100004</v>
      </c>
      <c r="BM6" s="1952">
        <f>BM7+SUM(BM12:BM42)+BM44</f>
        <v>0</v>
      </c>
      <c r="BN6" s="2137">
        <f>BN7+SUM(BN13:BN42)+BN44</f>
        <v>0</v>
      </c>
      <c r="BO6" s="2137">
        <f t="shared" ref="BO6:BO42" si="65">BM6-BN6</f>
        <v>0</v>
      </c>
      <c r="BP6" s="1952">
        <f>BP7+SUM(BP12:BP42)+BP44</f>
        <v>0</v>
      </c>
      <c r="BQ6" s="2137">
        <f>BQ7+SUM(BQ13:BQ42)+BQ44</f>
        <v>0</v>
      </c>
      <c r="BR6" s="2137">
        <f t="shared" ref="BR6:BR42" si="66">BP6-BQ6</f>
        <v>0</v>
      </c>
      <c r="BS6" s="1952">
        <f>BS7+SUM(BS12:BS42)+BS44</f>
        <v>0</v>
      </c>
      <c r="BT6" s="2137">
        <f>BT7+SUM(BT13:BT42)+BT44</f>
        <v>0</v>
      </c>
      <c r="BU6" s="2137">
        <f t="shared" ref="BU6:BU42" si="67">BS6-BT6</f>
        <v>0</v>
      </c>
      <c r="BV6" s="1952">
        <f>BV7+SUM(BV12:BV42)+BV44</f>
        <v>0</v>
      </c>
      <c r="BW6" s="2137">
        <f>BW7+SUM(BW13:BW42)+BW44</f>
        <v>0</v>
      </c>
      <c r="BX6" s="2137">
        <f t="shared" ref="BX6:BX42" si="68">BV6-BW6</f>
        <v>0</v>
      </c>
      <c r="BY6" s="2137">
        <f>BY7+SUM(BY12:BY42)+BY44</f>
        <v>1491645.6773501697</v>
      </c>
      <c r="BZ6" s="2137">
        <f>BZ7+SUM(BZ13:BZ42)+BZ44</f>
        <v>89603</v>
      </c>
      <c r="CA6" s="2137">
        <f>BY6-BZ6</f>
        <v>1402042.6773501697</v>
      </c>
      <c r="CB6" s="387"/>
      <c r="CC6" s="387" t="e">
        <f>VLOOKUP('#利润建议'!A6,'@预测#利润建议# '!$A$6:$J$43,10,0)</f>
        <v>#N/A</v>
      </c>
      <c r="CD6" s="1538" t="e">
        <f>CA6-CC6</f>
        <v>#N/A</v>
      </c>
      <c r="CE6" s="2053">
        <f t="shared" si="50"/>
        <v>40329.567784580009</v>
      </c>
      <c r="CF6" s="2053" t="s">
        <v>1244</v>
      </c>
      <c r="CG6" s="2350">
        <f>ROUND(SUMIFS(6:6,$1:$1,$A$1,$2:$2,$A$2,$4:$4,CG5)/10000,2)</f>
        <v>20.57</v>
      </c>
      <c r="CH6" s="2350">
        <f>ROUND(SUMIFS(6:6,$1:$1,$A$1,$2:$2,$A$2,$4:$4,CH5)/10000,2)</f>
        <v>17.57</v>
      </c>
      <c r="CI6" s="2350">
        <f>CG6-CH6</f>
        <v>3</v>
      </c>
      <c r="CJ6" s="369" t="str">
        <f>IF(CI6&gt;0,"当月留存"&amp;ABS(CI6)&amp;$CF$1&amp;$CG$1&amp;"按照"&amp;CH6&amp;$CF$1&amp;"报出"&amp;$CG$1,IF(CI6=0,"当月按照"&amp;CH6&amp;$CF$1&amp;"报出"&amp;$CG$1,"使用前期留存"&amp;ABS(CI6)&amp;$CF$1&amp;$CG$1&amp;"当月按照"&amp;CH6&amp;$CF$1&amp;"报出"&amp;$CG$1))</f>
        <v>当月留存3亿元，按照17.57亿元报出，</v>
      </c>
      <c r="CK6" s="2350">
        <f>ROUND(SUMIFS('利润（汇总）'!51:51,'利润（汇总）'!$1:$1,$A$1-1,'利润（汇总）'!$2:$2,$A$2)/10000,2)</f>
        <v>4.26</v>
      </c>
      <c r="CL6" s="1774" t="str">
        <f>IF(CM6&gt;=0,"增加","减少")</f>
        <v>增加</v>
      </c>
      <c r="CM6" s="2350">
        <f>CH6-CK6</f>
        <v>13.31</v>
      </c>
      <c r="CN6" s="2350">
        <f>ROUND(SUMIFS(6:6,$1:$1,$A$1,$2:$2,$A$2-1,$4:$4,"实际")/10000,2)</f>
        <v>21.91</v>
      </c>
      <c r="CO6" s="1774" t="str">
        <f>IF(CP6&gt;=0,"增加","减少")</f>
        <v>减少</v>
      </c>
      <c r="CP6" s="2350">
        <f>CH6-CN6</f>
        <v>-4.34</v>
      </c>
      <c r="CQ6" s="2350">
        <f>ROUND(CA6/10000,2)</f>
        <v>140.19999999999999</v>
      </c>
      <c r="CR6" s="2350">
        <f>ROUND(SUMIFS('利润（汇总）'!51:51,'利润（汇总）'!$1:$1,$A$1-1,'利润（汇总）'!$2:$2,"&lt;="&amp;$A$2)/10000,2)</f>
        <v>20.95</v>
      </c>
      <c r="CS6" s="1774" t="str">
        <f>IF(CT6&gt;=0,"增加","减少")</f>
        <v>增加</v>
      </c>
      <c r="CT6" s="2350">
        <f>CQ6-CR6</f>
        <v>119.24999999999999</v>
      </c>
      <c r="CU6" s="1774" t="str">
        <f>IF(CV6&gt;=0,"增幅","降幅")</f>
        <v>增幅</v>
      </c>
      <c r="CV6" s="2351" t="str">
        <f>ROUND(CT6/CR6*100,0)&amp;"%"</f>
        <v>569%</v>
      </c>
    </row>
    <row r="7" spans="1:100" s="369" customFormat="1" ht="28.5" customHeight="1">
      <c r="A7" s="2138" t="s">
        <v>1101</v>
      </c>
      <c r="B7" s="1826">
        <f>B8+B9</f>
        <v>21147.61273836</v>
      </c>
      <c r="C7" s="1826">
        <f>SUM(C8:C11)</f>
        <v>-27279</v>
      </c>
      <c r="D7" s="1928">
        <f t="shared" si="3"/>
        <v>48426.612738359996</v>
      </c>
      <c r="E7" s="1826">
        <f>E8+E9</f>
        <v>11502.311045650002</v>
      </c>
      <c r="F7" s="1826">
        <f>SUM(F8:F11)</f>
        <v>2398</v>
      </c>
      <c r="G7" s="1928">
        <f t="shared" ref="G7:G42" si="69">E7-F7</f>
        <v>9104.3110456500017</v>
      </c>
      <c r="H7" s="1826">
        <f>H8+H9</f>
        <v>1544.5398038100002</v>
      </c>
      <c r="I7" s="1826">
        <f>SUM(I8:I11)</f>
        <v>3570</v>
      </c>
      <c r="J7" s="1928">
        <f t="shared" ref="J7:J42" si="70">H7-I7</f>
        <v>-2025.4601961899998</v>
      </c>
      <c r="K7" s="1826">
        <f>K8+K9</f>
        <v>13441.454883720004</v>
      </c>
      <c r="L7" s="1826">
        <f>SUM(L8:L11)</f>
        <v>13043.620387000001</v>
      </c>
      <c r="M7" s="1928">
        <f t="shared" ref="M7:M42" si="71">K7-L7</f>
        <v>397.83449672000279</v>
      </c>
      <c r="N7" s="1826">
        <f>N8+N9</f>
        <v>10069.528217149998</v>
      </c>
      <c r="O7" s="1826">
        <f>SUM(O8:O11)</f>
        <v>2565</v>
      </c>
      <c r="P7" s="1928">
        <f t="shared" ref="P7:P42" si="72">N7-O7</f>
        <v>7504.5282171499985</v>
      </c>
      <c r="Q7" s="1826">
        <f>Q8+Q9</f>
        <v>43853.287860719996</v>
      </c>
      <c r="R7" s="1928">
        <f>R8+R9</f>
        <v>8546</v>
      </c>
      <c r="S7" s="1928">
        <f>S8+S9</f>
        <v>35307.287860719996</v>
      </c>
      <c r="T7" s="1826">
        <f>T8+T9</f>
        <v>3095.7541218700007</v>
      </c>
      <c r="U7" s="1928">
        <f>U8+U9</f>
        <v>12022</v>
      </c>
      <c r="V7" s="1928">
        <f t="shared" ref="V7:V42" si="73">T7-U7</f>
        <v>-8926.2458781299993</v>
      </c>
      <c r="W7" s="1826">
        <f>W8+W9</f>
        <v>13229.03398561</v>
      </c>
      <c r="X7" s="1928">
        <f>X8+X9</f>
        <v>3800</v>
      </c>
      <c r="Y7" s="1928">
        <f t="shared" si="52"/>
        <v>9429.0339856099999</v>
      </c>
      <c r="Z7" s="1826">
        <f>Z8+Z9</f>
        <v>5485.7366666400003</v>
      </c>
      <c r="AA7" s="1928">
        <f>AA8+AA9</f>
        <v>0</v>
      </c>
      <c r="AB7" s="1928">
        <f t="shared" si="53"/>
        <v>5485.7366666400003</v>
      </c>
      <c r="AC7" s="1826">
        <f>AC8+AC9</f>
        <v>14071.40843994</v>
      </c>
      <c r="AD7" s="1928">
        <f>AD8+AD9</f>
        <v>0</v>
      </c>
      <c r="AE7" s="1928">
        <f t="shared" si="54"/>
        <v>14071.40843994</v>
      </c>
      <c r="AF7" s="1826">
        <f>AF8+AF9</f>
        <v>22390.415849469995</v>
      </c>
      <c r="AG7" s="1928">
        <f>AG8+AG9</f>
        <v>13756</v>
      </c>
      <c r="AH7" s="1928">
        <f t="shared" si="55"/>
        <v>8634.415849469995</v>
      </c>
      <c r="AI7" s="1826">
        <f>AI8+AI9</f>
        <v>5896.0110075199991</v>
      </c>
      <c r="AJ7" s="1928">
        <f>AJ8+AJ9</f>
        <v>3878</v>
      </c>
      <c r="AK7" s="1928">
        <f t="shared" si="56"/>
        <v>2018.0110075199991</v>
      </c>
      <c r="AL7" s="1826">
        <f>AL8+AL9</f>
        <v>45926.363700420006</v>
      </c>
      <c r="AM7" s="1928">
        <f>AM8+AM9</f>
        <v>-68261</v>
      </c>
      <c r="AN7" s="1928">
        <f t="shared" ref="AN7:AN42" si="74">AL7-AM7</f>
        <v>114187.36370042001</v>
      </c>
      <c r="AO7" s="1826">
        <f>AO8+AO9</f>
        <v>13032.454705190001</v>
      </c>
      <c r="AP7" s="1928">
        <f>AP8+AP9</f>
        <v>0</v>
      </c>
      <c r="AQ7" s="1928">
        <f t="shared" si="57"/>
        <v>13032.454705190001</v>
      </c>
      <c r="AR7" s="1826">
        <f>AR8+AR9</f>
        <v>16940.229005890003</v>
      </c>
      <c r="AS7" s="1928">
        <f>AS8+AS9</f>
        <v>0</v>
      </c>
      <c r="AT7" s="1928">
        <f t="shared" si="58"/>
        <v>16940.229005890003</v>
      </c>
      <c r="AU7" s="1826">
        <f>AU8+AU9</f>
        <v>713.89248290000523</v>
      </c>
      <c r="AV7" s="1928">
        <f>AV8+AV9</f>
        <v>10000</v>
      </c>
      <c r="AW7" s="1928">
        <f t="shared" si="59"/>
        <v>-9286.1075170999939</v>
      </c>
      <c r="AX7" s="1826">
        <f>AX8+AX9</f>
        <v>28123.236446669998</v>
      </c>
      <c r="AY7" s="1928">
        <f>AY8+AY9</f>
        <v>1300</v>
      </c>
      <c r="AZ7" s="1928">
        <f t="shared" si="60"/>
        <v>26823.236446669998</v>
      </c>
      <c r="BA7" s="1826">
        <f>BA8+BA9</f>
        <v>89844.753763789995</v>
      </c>
      <c r="BB7" s="1928">
        <f>BB8+BB9</f>
        <v>0</v>
      </c>
      <c r="BC7" s="1928">
        <f t="shared" si="61"/>
        <v>89844.753763789995</v>
      </c>
      <c r="BD7" s="1826">
        <f>BD8+BD9</f>
        <v>70100.584460719998</v>
      </c>
      <c r="BE7" s="1928">
        <f>BE8+BE9</f>
        <v>0</v>
      </c>
      <c r="BF7" s="1928">
        <f t="shared" si="62"/>
        <v>70100.584460719998</v>
      </c>
      <c r="BG7" s="1826">
        <f>BG8+BG9</f>
        <v>37037.363640410018</v>
      </c>
      <c r="BH7" s="1928">
        <f>BH8+BH9</f>
        <v>0</v>
      </c>
      <c r="BI7" s="1928">
        <f t="shared" si="63"/>
        <v>37037.363640410018</v>
      </c>
      <c r="BJ7" s="1826">
        <f>BJ8+BJ9</f>
        <v>37307.989619000029</v>
      </c>
      <c r="BK7" s="1928">
        <f>BK8+BK9</f>
        <v>0</v>
      </c>
      <c r="BL7" s="1928">
        <f t="shared" si="64"/>
        <v>37307.989619000029</v>
      </c>
      <c r="BM7" s="1826">
        <f>BM8+BM9</f>
        <v>0</v>
      </c>
      <c r="BN7" s="1928">
        <f>BN8+BN9</f>
        <v>0</v>
      </c>
      <c r="BO7" s="1928">
        <f t="shared" si="65"/>
        <v>0</v>
      </c>
      <c r="BP7" s="1826">
        <f>BP8+BP9</f>
        <v>0</v>
      </c>
      <c r="BQ7" s="1928">
        <f>BQ8+BQ9</f>
        <v>0</v>
      </c>
      <c r="BR7" s="1928">
        <f t="shared" si="66"/>
        <v>0</v>
      </c>
      <c r="BS7" s="1826">
        <f>BS8+BS9</f>
        <v>0</v>
      </c>
      <c r="BT7" s="1928">
        <f>BT8+BT9</f>
        <v>0</v>
      </c>
      <c r="BU7" s="1928">
        <f t="shared" si="67"/>
        <v>0</v>
      </c>
      <c r="BV7" s="1826">
        <f>BV8+BV9</f>
        <v>0</v>
      </c>
      <c r="BW7" s="1928">
        <f>BW8+BW9</f>
        <v>0</v>
      </c>
      <c r="BX7" s="1928">
        <f t="shared" si="68"/>
        <v>0</v>
      </c>
      <c r="BY7" s="1928">
        <f>AO7+AR7+AU7+AX7+BA7+BD7+BG7+BJ7+BM7+BP7+BS7+BV7</f>
        <v>293100.50412457006</v>
      </c>
      <c r="BZ7" s="1928">
        <f>AP7+AS7+AV7+AY7+BB7+BE7+BH7+BK7+BN7+BQ7+BT7+BW7</f>
        <v>11300</v>
      </c>
      <c r="CA7" s="1928">
        <f t="shared" ref="CA7:CA42" si="75">BY7-BZ7</f>
        <v>281800.50412457006</v>
      </c>
      <c r="CB7" s="387"/>
      <c r="CC7" s="387">
        <f>VLOOKUP('#利润建议'!A7,'@预测#利润建议# '!$A$6:$J$43,10,0)</f>
        <v>284208.27082549309</v>
      </c>
      <c r="CD7" s="1538">
        <f t="shared" ref="CD7:CD43" si="76">CA7-CC7</f>
        <v>-2407.7667009230354</v>
      </c>
      <c r="CE7" s="2053">
        <f t="shared" si="50"/>
        <v>3907.7743007000026</v>
      </c>
      <c r="CF7" s="2053" t="s">
        <v>1130</v>
      </c>
      <c r="CG7" s="2350">
        <f>ROUND(SUMIFS(15:15,$1:$1,$A$1,$2:$2,$A$2,$4:$4,CG5)/10000,2)</f>
        <v>8.7799999999999994</v>
      </c>
      <c r="CH7" s="2350">
        <f>ROUND(SUMIFS(15:15,$1:$1,$A$1,$2:$2,$A$2,$4:$4,CH5)/10000,2)</f>
        <v>5.78</v>
      </c>
      <c r="CI7" s="2350">
        <f t="shared" ref="CI7:CI9" si="77">CG7-CH7</f>
        <v>2.9999999999999991</v>
      </c>
      <c r="CJ7" s="369" t="str">
        <f>IF(CI7&gt;0,"当月留存"&amp;ABS(CI7)&amp;$CF$1&amp;$CG$1&amp;"按照"&amp;CH7&amp;$CF$1&amp;"报出"&amp;$CG$1,IF(CI7=0,"当月按照"&amp;CH7&amp;$CF$1&amp;"报出"&amp;$CG$1,"使用前期留存"&amp;ABS(CI7)&amp;$CF$1&amp;$CG$1&amp;"当月按照"&amp;CH7&amp;$CF$1&amp;"报出"&amp;$CG$1))</f>
        <v>当月留存3亿元，按照5.78亿元报出，</v>
      </c>
      <c r="CK7" s="2350">
        <f>ROUND(SUMIFS('利润（汇总）'!52:52,'利润（汇总）'!$1:$1,$A$1-1,'利润（汇总）'!$2:$2,$A$2)/10000,2)</f>
        <v>2.4</v>
      </c>
      <c r="CL7" s="1774" t="str">
        <f t="shared" ref="CL7:CL9" si="78">IF(CM7&gt;=0,"增加","减少")</f>
        <v>增加</v>
      </c>
      <c r="CM7" s="2350">
        <f>CH7-CK7</f>
        <v>3.3800000000000003</v>
      </c>
      <c r="CN7" s="2350">
        <f>ROUND(SUMIFS(15:15,$1:$1,$A$1,$2:$2,$A$2-1,$4:$4,"实际")/10000,2)</f>
        <v>10.49</v>
      </c>
      <c r="CO7" s="1774" t="str">
        <f t="shared" ref="CO7:CO9" si="79">IF(CP7&gt;=0,"增加","减少")</f>
        <v>减少</v>
      </c>
      <c r="CP7" s="2350">
        <f>CH7-CN7</f>
        <v>-4.71</v>
      </c>
      <c r="CQ7" s="2350">
        <f>ROUND(CA15/10000,2)</f>
        <v>69.33</v>
      </c>
      <c r="CR7" s="2350">
        <f>ROUND(SUMIFS('利润（汇总）'!52:52,'利润（汇总）'!$1:$1,$A$1-1,'利润（汇总）'!$2:$2,"&lt;="&amp;$A$2)/10000,2)</f>
        <v>8.7899999999999991</v>
      </c>
      <c r="CS7" s="1774" t="str">
        <f t="shared" ref="CS7:CS9" si="80">IF(CT7&gt;=0,"增加","减少")</f>
        <v>增加</v>
      </c>
      <c r="CT7" s="2350">
        <f t="shared" ref="CT7:CT9" si="81">CQ7-CR7</f>
        <v>60.54</v>
      </c>
      <c r="CU7" s="1774" t="str">
        <f t="shared" ref="CU7:CU9" si="82">IF(CV7&gt;=0,"增幅","降幅")</f>
        <v>增幅</v>
      </c>
      <c r="CV7" s="2351" t="str">
        <f t="shared" ref="CV7:CV9" si="83">ROUND(CT7/CR7*100,0)&amp;"%"</f>
        <v>689%</v>
      </c>
    </row>
    <row r="8" spans="1:100" ht="23.25" customHeight="1">
      <c r="A8" s="2139" t="s">
        <v>106</v>
      </c>
      <c r="B8" s="2140">
        <f>SUMIFS('利润（汇总）'!3:3,'利润（汇总）'!$1:$1,B$1,'利润（汇总）'!$2:$2,B$2)+B54</f>
        <v>13405.408081</v>
      </c>
      <c r="C8" s="2141">
        <v>-27279</v>
      </c>
      <c r="D8" s="1929">
        <f t="shared" si="3"/>
        <v>40684.408081000001</v>
      </c>
      <c r="E8" s="2140">
        <f>SUMIFS('利润（汇总）'!3:3,'利润（汇总）'!$1:$1,E$1,'利润（汇总）'!$2:$2,E$2)</f>
        <v>11795.938900000001</v>
      </c>
      <c r="F8" s="1929">
        <v>2398</v>
      </c>
      <c r="G8" s="1929">
        <f t="shared" si="69"/>
        <v>9397.938900000001</v>
      </c>
      <c r="H8" s="2140">
        <f>SUMIFS('利润（汇总）'!3:3,'利润（汇总）'!$1:$1,H$1,'利润（汇总）'!$2:$2,H$2)</f>
        <v>-2759.3998120000006</v>
      </c>
      <c r="I8" s="1929">
        <f>3019+551</f>
        <v>3570</v>
      </c>
      <c r="J8" s="1929">
        <f t="shared" si="70"/>
        <v>-6329.3998120000006</v>
      </c>
      <c r="K8" s="2140">
        <f>SUMIFS('利润（汇总）'!3:3,'利润（汇总）'!$1:$1,K$1,'利润（汇总）'!$2:$2,K$2)</f>
        <v>10089.166718000002</v>
      </c>
      <c r="L8" s="1929">
        <v>13043.620387000001</v>
      </c>
      <c r="M8" s="1929">
        <f t="shared" si="71"/>
        <v>-2954.4536689999986</v>
      </c>
      <c r="N8" s="2140">
        <f>SUMIFS('利润（汇总）'!3:3,'利润（汇总）'!$1:$1,N$1,'利润（汇总）'!$2:$2,N$2)</f>
        <v>7688.2350939999997</v>
      </c>
      <c r="O8" s="1929">
        <f>2411+154</f>
        <v>2565</v>
      </c>
      <c r="P8" s="1929">
        <f t="shared" si="72"/>
        <v>5123.2350939999997</v>
      </c>
      <c r="Q8" s="2140">
        <f>SUMIFS('利润（汇总）'!3:3,'利润（汇总）'!$1:$1,Q$1,'利润（汇总）'!$2:$2,Q$2)</f>
        <v>5083.7879140000005</v>
      </c>
      <c r="R8" s="1929">
        <v>8546</v>
      </c>
      <c r="S8" s="1929">
        <f t="shared" si="51"/>
        <v>-3462.2120859999995</v>
      </c>
      <c r="T8" s="2140">
        <f>SUMIFS('利润（汇总）'!3:3,'利润（汇总）'!$1:$1,T$1,'利润（汇总）'!$2:$2,T$2)</f>
        <v>-4920.3347529999992</v>
      </c>
      <c r="U8" s="1929">
        <f>7356+10367-1-5700</f>
        <v>12022</v>
      </c>
      <c r="V8" s="1929">
        <f>T8-U8</f>
        <v>-16942.334752999999</v>
      </c>
      <c r="W8" s="2140">
        <f>SUMIFS('利润（汇总）'!3:3,'利润（汇总）'!$1:$1,W$1,'利润（汇总）'!$2:$2,W$2)</f>
        <v>12902.746455</v>
      </c>
      <c r="X8" s="1929">
        <v>3800</v>
      </c>
      <c r="Y8" s="1929">
        <f t="shared" si="52"/>
        <v>9102.7464550000004</v>
      </c>
      <c r="Z8" s="2140">
        <f>SUMIFS('利润（汇总）'!3:3,'利润（汇总）'!$1:$1,Z$1,'利润（汇总）'!$2:$2,Z$2)</f>
        <v>6423.4330049999999</v>
      </c>
      <c r="AA8" s="1929">
        <v>0</v>
      </c>
      <c r="AB8" s="1929">
        <f t="shared" si="53"/>
        <v>6423.4330049999999</v>
      </c>
      <c r="AC8" s="2140">
        <f>SUMIFS('利润（汇总）'!3:3,'利润（汇总）'!$1:$1,AC$1,'利润（汇总）'!$2:$2,AC$2)</f>
        <v>12513.253873</v>
      </c>
      <c r="AD8" s="1929">
        <v>0</v>
      </c>
      <c r="AE8" s="1929">
        <f t="shared" si="54"/>
        <v>12513.253873</v>
      </c>
      <c r="AF8" s="2140">
        <f>SUMIFS('利润（汇总）'!3:3,'利润（汇总）'!$1:$1,AF$1,'利润（汇总）'!$2:$2,AF$2)</f>
        <v>8444.6839689999997</v>
      </c>
      <c r="AG8" s="1929">
        <v>13756</v>
      </c>
      <c r="AH8" s="1929">
        <f t="shared" si="55"/>
        <v>-5311.3160310000003</v>
      </c>
      <c r="AI8" s="2140">
        <f>SUMIFS('利润（汇总）'!3:3,'利润（汇总）'!$1:$1,AI$1,'利润（汇总）'!$2:$2,AI$2)</f>
        <v>2023.5464180000004</v>
      </c>
      <c r="AJ8" s="2141">
        <v>3878</v>
      </c>
      <c r="AK8" s="1929">
        <f t="shared" si="56"/>
        <v>-1854.4535819999996</v>
      </c>
      <c r="AL8" s="2140">
        <f>SUMIFS('利润（汇总）'!3:3,'利润（汇总）'!$1:$1,AL$1,'利润（汇总）'!$2:$2,AL$2)</f>
        <v>-61438.508178999989</v>
      </c>
      <c r="AM8" s="2142">
        <f>-63579-28454+14143+3629+6000</f>
        <v>-68261</v>
      </c>
      <c r="AN8" s="1929">
        <f t="shared" si="74"/>
        <v>6822.4918210000105</v>
      </c>
      <c r="AO8" s="2140">
        <f>SUMIFS('利润（汇总）'!3:3,'利润（汇总）'!$1:$1,AO$1,'利润（汇总）'!$2:$2,AO$2)</f>
        <v>11635.249755999999</v>
      </c>
      <c r="AP8" s="1929"/>
      <c r="AQ8" s="1929">
        <f t="shared" si="57"/>
        <v>11635.249755999999</v>
      </c>
      <c r="AR8" s="2140">
        <f>SUMIFS('利润（汇总）'!3:3,'利润（汇总）'!$1:$1,AR$1,'利润（汇总）'!$2:$2,AR$2)</f>
        <v>16648.662945000004</v>
      </c>
      <c r="AS8" s="1929"/>
      <c r="AT8" s="1929">
        <f t="shared" si="58"/>
        <v>16648.662945000004</v>
      </c>
      <c r="AU8" s="2140">
        <f>SUMIFS('利润（汇总）'!3:3,'利润（汇总）'!$1:$1,AU$1,'利润（汇总）'!$2:$2,AU$2)</f>
        <v>-2227.5880539999962</v>
      </c>
      <c r="AV8" s="1929">
        <v>10000</v>
      </c>
      <c r="AW8" s="1929">
        <f t="shared" si="59"/>
        <v>-12227.588053999996</v>
      </c>
      <c r="AX8" s="2512">
        <f>SUMIFS('利润（汇总）'!3:3,'利润（汇总）'!$1:$1,AX$1,'利润（汇总）'!$2:$2,AX$2)+1303</f>
        <v>26482.834978999999</v>
      </c>
      <c r="AY8" s="1929">
        <v>1300</v>
      </c>
      <c r="AZ8" s="1929">
        <f t="shared" si="60"/>
        <v>25182.834978999999</v>
      </c>
      <c r="BA8" s="2140">
        <f>SUMIFS('利润（汇总）'!3:3,'利润（汇总）'!$1:$1,BA$1,'利润（汇总）'!$2:$2,BA$2)</f>
        <v>34275.113229999995</v>
      </c>
      <c r="BB8" s="1929"/>
      <c r="BC8" s="1929">
        <f t="shared" si="61"/>
        <v>34275.113229999995</v>
      </c>
      <c r="BD8" s="2140">
        <f>SUMIFS('利润（汇总）'!3:3,'利润（汇总）'!$1:$1,BD$1,'利润（汇总）'!$2:$2,BD$2)</f>
        <v>40089.582414999997</v>
      </c>
      <c r="BE8" s="1929"/>
      <c r="BF8" s="1929">
        <f t="shared" si="62"/>
        <v>40089.582414999997</v>
      </c>
      <c r="BG8" s="2140">
        <f>SUMIFS('利润（汇总）'!3:3,'利润（汇总）'!$1:$1,BG$1,'利润（汇总）'!$2:$2,BG$2)</f>
        <v>34767.318359000019</v>
      </c>
      <c r="BH8" s="1929"/>
      <c r="BI8" s="1929">
        <f t="shared" si="63"/>
        <v>34767.318359000019</v>
      </c>
      <c r="BJ8" s="2140">
        <f>SUMIFS('利润（汇总）'!3:3,'利润（汇总）'!$1:$1,BJ$1,'利润（汇总）'!$2:$2,BJ$2)</f>
        <v>30673.699038000028</v>
      </c>
      <c r="BK8" s="1929"/>
      <c r="BL8" s="1929">
        <f t="shared" si="64"/>
        <v>30673.699038000028</v>
      </c>
      <c r="BM8" s="2140">
        <f>SUMIFS('利润（汇总）'!3:3,'利润（汇总）'!$1:$1,BM$1,'利润（汇总）'!$2:$2,BM$2)</f>
        <v>0</v>
      </c>
      <c r="BN8" s="1929"/>
      <c r="BO8" s="1929">
        <f t="shared" si="65"/>
        <v>0</v>
      </c>
      <c r="BP8" s="2140">
        <f>SUMIFS('利润（汇总）'!3:3,'利润（汇总）'!$1:$1,BP$1,'利润（汇总）'!$2:$2,BP$2)</f>
        <v>0</v>
      </c>
      <c r="BQ8" s="1929"/>
      <c r="BR8" s="1929">
        <f t="shared" si="66"/>
        <v>0</v>
      </c>
      <c r="BS8" s="2140">
        <f>SUMIFS('利润（汇总）'!3:3,'利润（汇总）'!$1:$1,BS$1,'利润（汇总）'!$2:$2,BS$2)</f>
        <v>0</v>
      </c>
      <c r="BT8" s="1929"/>
      <c r="BU8" s="1929">
        <f t="shared" si="67"/>
        <v>0</v>
      </c>
      <c r="BV8" s="2140">
        <f>SUMIFS('利润（汇总）'!3:3,'利润（汇总）'!$1:$1,BV$1,'利润（汇总）'!$2:$2,BV$2)</f>
        <v>0</v>
      </c>
      <c r="BW8" s="1929"/>
      <c r="BX8" s="1929">
        <f t="shared" si="68"/>
        <v>0</v>
      </c>
      <c r="BY8" s="1929">
        <f t="shared" ref="BY8:BY49" si="84">AO8+AR8+AU8+AX8+BA8+BD8+BG8+BJ8+BM8+BP8+BS8+BV8</f>
        <v>192344.87266800003</v>
      </c>
      <c r="BZ8" s="2141">
        <f t="shared" ref="BZ8:CA44" si="85">AP8+AS8+AV8+AY8+BB8+BE8+BH8+BK8+BN8+BQ8+BT8+BW8</f>
        <v>11300</v>
      </c>
      <c r="CA8" s="1929">
        <f t="shared" si="75"/>
        <v>181044.87266800003</v>
      </c>
      <c r="CB8" s="385"/>
      <c r="CC8" s="385">
        <f>VLOOKUP('#利润建议'!A8,'@预测#利润建议# '!$A$6:$J$43,10,0)</f>
        <v>182499.85994992309</v>
      </c>
      <c r="CD8" s="1768">
        <f t="shared" si="76"/>
        <v>-1454.9872819230659</v>
      </c>
      <c r="CE8" s="2053">
        <f>AT8-AQ8</f>
        <v>5013.4131890000044</v>
      </c>
      <c r="CF8" s="2053" t="s">
        <v>1199</v>
      </c>
      <c r="CG8" s="2350">
        <f>ROUND(SUMIFS(7:7,$1:$1,$A$1,$2:$2,$A$2,$4:$4,CG5)/10000,2)</f>
        <v>3.73</v>
      </c>
      <c r="CH8" s="2350">
        <f>ROUND(SUMIFS(7:7,$1:$1,$A$1,$2:$2,$A$2,$4:$4,CH5)/10000,2)</f>
        <v>3.73</v>
      </c>
      <c r="CI8" s="2350">
        <f t="shared" si="77"/>
        <v>0</v>
      </c>
      <c r="CJ8" s="369" t="str">
        <f>IF(CI8&gt;0,"当月留存"&amp;ABS(CI8)&amp;$CF$1&amp;$CG$1&amp;"按照"&amp;CH8&amp;$CF$1&amp;"报出"&amp;$CG$1,IF(CI8=0,"当月按照"&amp;CH8&amp;$CF$1&amp;"报出"&amp;$CG$1,"使用前期留存"&amp;ABS(CI8)&amp;$CF$1&amp;$CG$1&amp;"当月按照"&amp;CH8&amp;$CF$1&amp;"报出"&amp;$CG$1))</f>
        <v>当月按照3.73亿元报出，</v>
      </c>
      <c r="CK8" s="2350">
        <f>ROUND(SUMIFS('利润（汇总）'!53:53,'利润（汇总）'!$1:$1,$A$1-1,'利润（汇总）'!$2:$2,$A$2)/10000,2)</f>
        <v>0.55000000000000004</v>
      </c>
      <c r="CL8" s="1774" t="str">
        <f t="shared" si="78"/>
        <v>增加</v>
      </c>
      <c r="CM8" s="2350">
        <f>CH8-CK8</f>
        <v>3.1799999999999997</v>
      </c>
      <c r="CN8" s="2350">
        <f>ROUND(SUMIFS(7:7,$1:$1,$A$1,$2:$2,$A$2-1,$4:$4,"实际")/10000,2)</f>
        <v>3.7</v>
      </c>
      <c r="CO8" s="1774" t="str">
        <f t="shared" si="79"/>
        <v>增加</v>
      </c>
      <c r="CP8" s="2350">
        <f>CH8-CN8</f>
        <v>2.9999999999999805E-2</v>
      </c>
      <c r="CQ8" s="2350">
        <f>ROUND(CA7/10000,2)</f>
        <v>28.18</v>
      </c>
      <c r="CR8" s="2350">
        <f>ROUND(SUMIFS('利润（汇总）'!53:53,'利润（汇总）'!$1:$1,$A$1-1,'利润（汇总）'!$2:$2,"&lt;="&amp;$A$2)/10000,2)</f>
        <v>5.91</v>
      </c>
      <c r="CS8" s="1774" t="str">
        <f t="shared" si="80"/>
        <v>增加</v>
      </c>
      <c r="CT8" s="2350">
        <f t="shared" si="81"/>
        <v>22.27</v>
      </c>
      <c r="CU8" s="1774" t="str">
        <f t="shared" si="82"/>
        <v>增幅</v>
      </c>
      <c r="CV8" s="2351" t="str">
        <f t="shared" si="83"/>
        <v>377%</v>
      </c>
    </row>
    <row r="9" spans="1:100" ht="27" customHeight="1">
      <c r="A9" s="2139" t="s">
        <v>107</v>
      </c>
      <c r="B9" s="2140">
        <f>SUMIFS('利润（汇总）'!37:37,'利润（汇总）'!$1:$1,B$1,'利润（汇总）'!$2:$2,B$2)</f>
        <v>7742.2046573599991</v>
      </c>
      <c r="C9" s="2141"/>
      <c r="D9" s="1929">
        <f t="shared" si="3"/>
        <v>7742.2046573599991</v>
      </c>
      <c r="E9" s="2140">
        <f>SUMIFS('利润（汇总）'!37:37,'利润（汇总）'!$1:$1,E$1,'利润（汇总）'!$2:$2,E$2)</f>
        <v>-293.62785434999995</v>
      </c>
      <c r="F9" s="1929"/>
      <c r="G9" s="1929">
        <f t="shared" si="69"/>
        <v>-293.62785434999995</v>
      </c>
      <c r="H9" s="2140">
        <f>SUMIFS('利润（汇总）'!37:37,'利润（汇总）'!$1:$1,H$1,'利润（汇总）'!$2:$2,H$2)</f>
        <v>4303.9396158100008</v>
      </c>
      <c r="I9" s="1929"/>
      <c r="J9" s="1929">
        <f t="shared" si="70"/>
        <v>4303.9396158100008</v>
      </c>
      <c r="K9" s="2140">
        <f>SUMIFS('利润（汇总）'!37:37,'利润（汇总）'!$1:$1,K$1,'利润（汇总）'!$2:$2,K$2)</f>
        <v>3352.288165720001</v>
      </c>
      <c r="L9" s="1929"/>
      <c r="M9" s="1929">
        <f t="shared" si="71"/>
        <v>3352.288165720001</v>
      </c>
      <c r="N9" s="2140">
        <f>SUMIFS('利润（汇总）'!37:37,'利润（汇总）'!$1:$1,N$1,'利润（汇总）'!$2:$2,N$2)</f>
        <v>2381.2931231499988</v>
      </c>
      <c r="O9" s="1929"/>
      <c r="P9" s="1929">
        <f t="shared" si="72"/>
        <v>2381.2931231499988</v>
      </c>
      <c r="Q9" s="2140">
        <f>SUMIFS('利润（汇总）'!37:37,'利润（汇总）'!$1:$1,Q$1,'利润（汇总）'!$2:$2,Q$2)</f>
        <v>38769.499946719996</v>
      </c>
      <c r="R9" s="1929"/>
      <c r="S9" s="1929">
        <f t="shared" si="51"/>
        <v>38769.499946719996</v>
      </c>
      <c r="T9" s="2140">
        <f>SUMIFS('利润（汇总）'!37:37,'利润（汇总）'!$1:$1,T$1,'利润（汇总）'!$2:$2,T$2)</f>
        <v>8016.0888748699999</v>
      </c>
      <c r="U9" s="1929"/>
      <c r="V9" s="1929">
        <f t="shared" si="73"/>
        <v>8016.0888748699999</v>
      </c>
      <c r="W9" s="2140">
        <f>SUMIFS('利润（汇总）'!37:37,'利润（汇总）'!$1:$1,W$1,'利润（汇总）'!$2:$2,W$2)</f>
        <v>326.28753060999998</v>
      </c>
      <c r="X9" s="1929"/>
      <c r="Y9" s="1929">
        <f t="shared" si="52"/>
        <v>326.28753060999998</v>
      </c>
      <c r="Z9" s="2140">
        <f>SUMIFS('利润（汇总）'!37:37,'利润（汇总）'!$1:$1,Z$1,'利润（汇总）'!$2:$2,Z$2)</f>
        <v>-937.6963383599998</v>
      </c>
      <c r="AA9" s="1929"/>
      <c r="AB9" s="1929">
        <f t="shared" si="53"/>
        <v>-937.6963383599998</v>
      </c>
      <c r="AC9" s="2140">
        <f>SUMIFS('利润（汇总）'!37:37,'利润（汇总）'!$1:$1,AC$1,'利润（汇总）'!$2:$2,AC$2)</f>
        <v>1558.1545669400002</v>
      </c>
      <c r="AD9" s="1929"/>
      <c r="AE9" s="1929">
        <f t="shared" si="54"/>
        <v>1558.1545669400002</v>
      </c>
      <c r="AF9" s="2140">
        <f>SUMIFS('利润（汇总）'!37:37,'利润（汇总）'!$1:$1,AF$1,'利润（汇总）'!$2:$2,AF$2)</f>
        <v>13945.731880469997</v>
      </c>
      <c r="AG9" s="1929"/>
      <c r="AH9" s="1929">
        <f t="shared" si="55"/>
        <v>13945.731880469997</v>
      </c>
      <c r="AI9" s="2140">
        <f>SUMIFS('利润（汇总）'!37:37,'利润（汇总）'!$1:$1,AI$1,'利润（汇总）'!$2:$2,AI$2)</f>
        <v>3872.4645895199992</v>
      </c>
      <c r="AJ9" s="2141"/>
      <c r="AK9" s="1929">
        <f t="shared" si="56"/>
        <v>3872.4645895199992</v>
      </c>
      <c r="AL9" s="2140">
        <f>SUMIFS('利润（汇总）'!37:37,'利润（汇总）'!$1:$1,AL$1,'利润（汇总）'!$2:$2,AL$2)</f>
        <v>107364.87187942</v>
      </c>
      <c r="AM9" s="2141"/>
      <c r="AN9" s="1929">
        <f t="shared" si="74"/>
        <v>107364.87187942</v>
      </c>
      <c r="AO9" s="2140">
        <f>SUMIFS('利润（汇总）'!37:37,'利润（汇总）'!$1:$1,AO$1,'利润（汇总）'!$2:$2,AO$2)</f>
        <v>1397.204949190002</v>
      </c>
      <c r="AP9" s="1929"/>
      <c r="AQ9" s="1929">
        <f t="shared" si="57"/>
        <v>1397.204949190002</v>
      </c>
      <c r="AR9" s="2140">
        <f>SUMIFS('利润（汇总）'!37:37,'利润（汇总）'!$1:$1,AR$1,'利润（汇总）'!$2:$2,AR$2)</f>
        <v>291.56606089000036</v>
      </c>
      <c r="AS9" s="1929"/>
      <c r="AT9" s="1929">
        <f t="shared" si="58"/>
        <v>291.56606089000036</v>
      </c>
      <c r="AU9" s="2140">
        <f>SUMIFS('利润（汇总）'!37:37,'利润（汇总）'!$1:$1,AU$1,'利润（汇总）'!$2:$2,AU$2)</f>
        <v>2941.4805369000014</v>
      </c>
      <c r="AV9" s="1929"/>
      <c r="AW9" s="1929">
        <f t="shared" si="59"/>
        <v>2941.4805369000014</v>
      </c>
      <c r="AX9" s="2140">
        <f>SUMIFS('利润（汇总）'!37:37,'利润（汇总）'!$1:$1,AX$1,'利润（汇总）'!$2:$2,AX$2)</f>
        <v>1640.4014676699994</v>
      </c>
      <c r="AY9" s="1929"/>
      <c r="AZ9" s="1929">
        <f t="shared" si="60"/>
        <v>1640.4014676699994</v>
      </c>
      <c r="BA9" s="2140">
        <f>SUMIFS('利润（汇总）'!37:37,'利润（汇总）'!$1:$1,BA$1,'利润（汇总）'!$2:$2,BA$2)</f>
        <v>55569.64053379</v>
      </c>
      <c r="BB9" s="1929"/>
      <c r="BC9" s="1929">
        <f t="shared" si="61"/>
        <v>55569.64053379</v>
      </c>
      <c r="BD9" s="2140">
        <f>SUMIFS('利润（汇总）'!37:37,'利润（汇总）'!$1:$1,BD$1,'利润（汇总）'!$2:$2,BD$2)</f>
        <v>30011.002045720001</v>
      </c>
      <c r="BE9" s="1929"/>
      <c r="BF9" s="1929">
        <f t="shared" si="62"/>
        <v>30011.002045720001</v>
      </c>
      <c r="BG9" s="2140">
        <f>SUMIFS('利润（汇总）'!37:37,'利润（汇总）'!$1:$1,BG$1,'利润（汇总）'!$2:$2,BG$2)</f>
        <v>2270.0452814100004</v>
      </c>
      <c r="BH9" s="1929"/>
      <c r="BI9" s="1929">
        <f t="shared" si="63"/>
        <v>2270.0452814100004</v>
      </c>
      <c r="BJ9" s="2140">
        <f>SUMIFS('利润（汇总）'!37:37,'利润（汇总）'!$1:$1,BJ$1,'利润（汇总）'!$2:$2,BJ$2)</f>
        <v>6634.2905809999993</v>
      </c>
      <c r="BK9" s="1929"/>
      <c r="BL9" s="1929">
        <f t="shared" si="64"/>
        <v>6634.2905809999993</v>
      </c>
      <c r="BM9" s="2140">
        <f>SUMIFS('利润（汇总）'!37:37,'利润（汇总）'!$1:$1,BM$1,'利润（汇总）'!$2:$2,BM$2)</f>
        <v>0</v>
      </c>
      <c r="BN9" s="1929"/>
      <c r="BO9" s="1929">
        <f t="shared" si="65"/>
        <v>0</v>
      </c>
      <c r="BP9" s="2140">
        <f>SUMIFS('利润（汇总）'!37:37,'利润（汇总）'!$1:$1,BP$1,'利润（汇总）'!$2:$2,BP$2)</f>
        <v>0</v>
      </c>
      <c r="BQ9" s="1929"/>
      <c r="BR9" s="1929">
        <f t="shared" si="66"/>
        <v>0</v>
      </c>
      <c r="BS9" s="2140">
        <f>SUMIFS('利润（汇总）'!37:37,'利润（汇总）'!$1:$1,BS$1,'利润（汇总）'!$2:$2,BS$2)</f>
        <v>0</v>
      </c>
      <c r="BT9" s="1929"/>
      <c r="BU9" s="1929">
        <f t="shared" si="67"/>
        <v>0</v>
      </c>
      <c r="BV9" s="2140">
        <f>SUMIFS('利润（汇总）'!37:37,'利润（汇总）'!$1:$1,BV$1,'利润（汇总）'!$2:$2,BV$2)</f>
        <v>0</v>
      </c>
      <c r="BW9" s="1929"/>
      <c r="BX9" s="1929">
        <f t="shared" si="68"/>
        <v>0</v>
      </c>
      <c r="BY9" s="1929">
        <f t="shared" si="84"/>
        <v>100755.63145657</v>
      </c>
      <c r="BZ9" s="2141">
        <f t="shared" si="85"/>
        <v>0</v>
      </c>
      <c r="CA9" s="1929">
        <f t="shared" si="75"/>
        <v>100755.63145657</v>
      </c>
      <c r="CB9" s="385"/>
      <c r="CC9" s="385">
        <f>VLOOKUP('#利润建议'!A9,'@预测#利润建议# '!$A$6:$J$43,10,0)</f>
        <v>101708.41087557</v>
      </c>
      <c r="CD9" s="1768">
        <f t="shared" si="76"/>
        <v>-952.7794189999986</v>
      </c>
      <c r="CE9" s="2053">
        <f t="shared" si="50"/>
        <v>-1105.6388883000018</v>
      </c>
      <c r="CF9" s="381" t="s">
        <v>1314</v>
      </c>
      <c r="CG9" s="2349">
        <f>ROUND(SUMIFS(5:5,$1:$1,$A$1,$2:$2,$A$2,$4:$4,CG5)/10000,2)</f>
        <v>21.31</v>
      </c>
      <c r="CH9" s="2349">
        <f>ROUND(SUMIFS(5:5,$1:$1,$A$1,$2:$2,$A$2,$4:$4,CH5)/10000,2)</f>
        <v>18.309999999999999</v>
      </c>
      <c r="CI9" s="2350">
        <f t="shared" si="77"/>
        <v>3</v>
      </c>
      <c r="CJ9" s="369" t="str">
        <f>"当月按照"&amp;CH9&amp;$CF$1&amp;"报出"&amp;$CG$1</f>
        <v>当月按照18.31亿元报出，</v>
      </c>
      <c r="CK9" s="2350">
        <f>ROUND(CK6+(SUMIFS('利润（汇总）'!8:8,'利润（汇总）'!$1:$1,$A$1-1,'利润（汇总）'!$2:$2,$A$2)+SUMIFS('利润（汇总）'!9:9,'利润（汇总）'!$1:$1,$A$1-1,'利润（汇总）'!$2:$2,$A$2))/10000,2)</f>
        <v>4.2</v>
      </c>
      <c r="CL9" s="1774" t="str">
        <f t="shared" si="78"/>
        <v>增加</v>
      </c>
      <c r="CM9" s="2350">
        <f>CH9-CK9</f>
        <v>14.11</v>
      </c>
      <c r="CN9" s="2349">
        <f>ROUND(SUMIFS(5:5,$1:$1,$A$1,$2:$2,$A$2-1,$4:$4,"实际")/10000,2)</f>
        <v>21.82</v>
      </c>
      <c r="CO9" s="1774" t="str">
        <f t="shared" si="79"/>
        <v>减少</v>
      </c>
      <c r="CP9" s="2350">
        <f>CH9-CN9</f>
        <v>-3.5100000000000016</v>
      </c>
      <c r="CQ9" s="2349">
        <f>ROUND(CA5/10000,2)</f>
        <v>143.66999999999999</v>
      </c>
      <c r="CR9" s="2350">
        <f>ROUND(CR6+(SUMIFS('利润（汇总）'!8:8,'利润（汇总）'!$1:$1,$A$1-1,'利润（汇总）'!$2:$2,"&lt;="&amp;$A$2)+SUMIFS('利润（汇总）'!9:9,'利润（汇总）'!$1:$1,$A$1-1,'利润（汇总）'!$2:$2,"&lt;="&amp;$A$2))/10000,2)</f>
        <v>15.7</v>
      </c>
      <c r="CS9" s="1774" t="str">
        <f t="shared" si="80"/>
        <v>增加</v>
      </c>
      <c r="CT9" s="2350">
        <f t="shared" si="81"/>
        <v>127.96999999999998</v>
      </c>
      <c r="CU9" s="1774" t="str">
        <f t="shared" si="82"/>
        <v>增幅</v>
      </c>
      <c r="CV9" s="2351" t="str">
        <f t="shared" si="83"/>
        <v>815%</v>
      </c>
    </row>
    <row r="10" spans="1:100" ht="26.25" customHeight="1">
      <c r="A10" s="2139" t="s">
        <v>108</v>
      </c>
      <c r="B10" s="2140">
        <f>B9-B11</f>
        <v>6410.5510903599989</v>
      </c>
      <c r="C10" s="2141"/>
      <c r="D10" s="1929">
        <f t="shared" si="3"/>
        <v>6410.5510903599989</v>
      </c>
      <c r="E10" s="2140">
        <f>E9-E11</f>
        <v>-293.62785434999995</v>
      </c>
      <c r="F10" s="1929"/>
      <c r="G10" s="1929">
        <f t="shared" si="69"/>
        <v>-293.62785434999995</v>
      </c>
      <c r="H10" s="2140">
        <f>H9-H11</f>
        <v>4303.9396158100008</v>
      </c>
      <c r="I10" s="1929"/>
      <c r="J10" s="1929">
        <f t="shared" si="70"/>
        <v>4303.9396158100008</v>
      </c>
      <c r="K10" s="2140">
        <f>K9-K11</f>
        <v>3352.288165720001</v>
      </c>
      <c r="L10" s="1929"/>
      <c r="M10" s="1929">
        <f t="shared" si="71"/>
        <v>3352.288165720001</v>
      </c>
      <c r="N10" s="2140">
        <f>N9-N11</f>
        <v>2381.2931231499988</v>
      </c>
      <c r="O10" s="1929"/>
      <c r="P10" s="1929">
        <f t="shared" si="72"/>
        <v>2381.2931231499988</v>
      </c>
      <c r="Q10" s="2140">
        <f>Q9-Q11</f>
        <v>3055.9274267199944</v>
      </c>
      <c r="R10" s="1929"/>
      <c r="S10" s="1929">
        <f t="shared" si="51"/>
        <v>3055.9274267199944</v>
      </c>
      <c r="T10" s="2140">
        <f>T9-T11</f>
        <v>8016.0888748699999</v>
      </c>
      <c r="U10" s="1929"/>
      <c r="V10" s="1929">
        <f t="shared" si="73"/>
        <v>8016.0888748699999</v>
      </c>
      <c r="W10" s="2140">
        <f>W9-W11</f>
        <v>326.28753060999998</v>
      </c>
      <c r="X10" s="1929"/>
      <c r="Y10" s="1929">
        <f t="shared" si="52"/>
        <v>326.28753060999998</v>
      </c>
      <c r="Z10" s="2140">
        <f>Z9-Z11</f>
        <v>-937.6963383599998</v>
      </c>
      <c r="AA10" s="1929"/>
      <c r="AB10" s="1929">
        <f t="shared" si="53"/>
        <v>-937.6963383599998</v>
      </c>
      <c r="AC10" s="2140">
        <f>AC9-AC11</f>
        <v>1558.1545669400002</v>
      </c>
      <c r="AD10" s="1929"/>
      <c r="AE10" s="1929">
        <f t="shared" si="54"/>
        <v>1558.1545669400002</v>
      </c>
      <c r="AF10" s="2140">
        <f>AF9-AF11</f>
        <v>3010.654781469997</v>
      </c>
      <c r="AG10" s="1929"/>
      <c r="AH10" s="1929">
        <f t="shared" si="55"/>
        <v>3010.654781469997</v>
      </c>
      <c r="AI10" s="2140">
        <f>AI9-AI11</f>
        <v>3872.4645895199992</v>
      </c>
      <c r="AJ10" s="2141"/>
      <c r="AK10" s="1929">
        <f t="shared" si="56"/>
        <v>3872.4645895199992</v>
      </c>
      <c r="AL10" s="2140">
        <f>AL9-AL11</f>
        <v>92912.600164620002</v>
      </c>
      <c r="AM10" s="2141"/>
      <c r="AN10" s="1929">
        <f t="shared" si="74"/>
        <v>92912.600164620002</v>
      </c>
      <c r="AO10" s="2140">
        <f>AO9-AO11</f>
        <v>1397.204949190002</v>
      </c>
      <c r="AP10" s="1929"/>
      <c r="AQ10" s="1929">
        <f t="shared" si="57"/>
        <v>1397.204949190002</v>
      </c>
      <c r="AR10" s="2140">
        <f>AR9-AR11</f>
        <v>291.56606089000036</v>
      </c>
      <c r="AS10" s="1929"/>
      <c r="AT10" s="1929">
        <f t="shared" si="58"/>
        <v>291.56606089000036</v>
      </c>
      <c r="AU10" s="2140">
        <f>AU9-AU11</f>
        <v>2941.4805369000014</v>
      </c>
      <c r="AV10" s="1929"/>
      <c r="AW10" s="1929">
        <f t="shared" si="59"/>
        <v>2941.4805369000014</v>
      </c>
      <c r="AX10" s="2140">
        <f>AX9-AX11</f>
        <v>1640.4014676699994</v>
      </c>
      <c r="AY10" s="1929"/>
      <c r="AZ10" s="1929">
        <f t="shared" si="60"/>
        <v>1640.4014676699994</v>
      </c>
      <c r="BA10" s="2140">
        <f>BA9-BA11</f>
        <v>390.88922358999844</v>
      </c>
      <c r="BB10" s="1929"/>
      <c r="BC10" s="1929">
        <f t="shared" si="61"/>
        <v>390.88922358999844</v>
      </c>
      <c r="BD10" s="2140">
        <f>BD9-BD11</f>
        <v>9119.9408357200009</v>
      </c>
      <c r="BE10" s="1929"/>
      <c r="BF10" s="1929">
        <f t="shared" si="62"/>
        <v>9119.9408357200009</v>
      </c>
      <c r="BG10" s="2140">
        <f>BG9-BG11</f>
        <v>2270.0452814100004</v>
      </c>
      <c r="BH10" s="1929"/>
      <c r="BI10" s="1929">
        <f t="shared" si="63"/>
        <v>2270.0452814100004</v>
      </c>
      <c r="BJ10" s="2140">
        <f>BJ9-BJ11</f>
        <v>6634.2905809999993</v>
      </c>
      <c r="BK10" s="1929"/>
      <c r="BL10" s="1929">
        <f t="shared" si="64"/>
        <v>6634.2905809999993</v>
      </c>
      <c r="BM10" s="2140">
        <f>BM9-BM11</f>
        <v>0</v>
      </c>
      <c r="BN10" s="1929"/>
      <c r="BO10" s="1929">
        <f t="shared" si="65"/>
        <v>0</v>
      </c>
      <c r="BP10" s="2140">
        <f>BP9-BP11</f>
        <v>0</v>
      </c>
      <c r="BQ10" s="1929"/>
      <c r="BR10" s="1929">
        <f t="shared" si="66"/>
        <v>0</v>
      </c>
      <c r="BS10" s="2140">
        <f>BS9-BS11</f>
        <v>0</v>
      </c>
      <c r="BT10" s="1929"/>
      <c r="BU10" s="1929">
        <f t="shared" si="67"/>
        <v>0</v>
      </c>
      <c r="BV10" s="2140">
        <f>BV9-BV11</f>
        <v>0</v>
      </c>
      <c r="BW10" s="1929"/>
      <c r="BX10" s="1929">
        <f t="shared" si="68"/>
        <v>0</v>
      </c>
      <c r="BY10" s="1929">
        <f t="shared" si="84"/>
        <v>24685.81893637</v>
      </c>
      <c r="BZ10" s="2141">
        <f t="shared" si="85"/>
        <v>0</v>
      </c>
      <c r="CA10" s="1929">
        <f t="shared" si="75"/>
        <v>24685.81893637</v>
      </c>
      <c r="CB10" s="385"/>
      <c r="CC10" s="385">
        <f>VLOOKUP('#利润建议'!A10,'@预测#利润建议# '!$A$6:$J$43,10,0)</f>
        <v>25638.598355370003</v>
      </c>
      <c r="CD10" s="1768">
        <f t="shared" si="76"/>
        <v>-952.77941900000224</v>
      </c>
      <c r="CE10" s="2053">
        <f t="shared" si="50"/>
        <v>-1105.6388883000018</v>
      </c>
      <c r="CF10"/>
      <c r="CG10"/>
      <c r="CH10"/>
      <c r="CI10"/>
      <c r="CJ10"/>
      <c r="CK10"/>
      <c r="CL10"/>
      <c r="CM10"/>
      <c r="CN10"/>
      <c r="CO10"/>
    </row>
    <row r="11" spans="1:100" ht="25.5" customHeight="1">
      <c r="A11" s="2139" t="s">
        <v>109</v>
      </c>
      <c r="B11" s="2143">
        <f>SUMIFS('#投资收益'!39:39,'#投资收益'!1:1,B1,'#投资收益'!2:2,B2,'#投资收益'!3:3,"投资收益")</f>
        <v>1331.6535670000001</v>
      </c>
      <c r="C11" s="2141"/>
      <c r="D11" s="1929">
        <f t="shared" si="3"/>
        <v>1331.6535670000001</v>
      </c>
      <c r="E11" s="2143">
        <f>SUMIFS('#投资收益'!39:39,'#投资收益'!1:1,E1,'#投资收益'!2:2,E2,'#投资收益'!3:3,"投资收益")</f>
        <v>0</v>
      </c>
      <c r="F11" s="1929"/>
      <c r="G11" s="1929">
        <f t="shared" si="69"/>
        <v>0</v>
      </c>
      <c r="H11" s="2143">
        <f>SUMIFS('#投资收益'!39:39,'#投资收益'!1:1,H1,'#投资收益'!2:2,H2,'#投资收益'!3:3,"投资收益")</f>
        <v>0</v>
      </c>
      <c r="I11" s="1929"/>
      <c r="J11" s="1929">
        <f t="shared" si="70"/>
        <v>0</v>
      </c>
      <c r="K11" s="2143">
        <f>SUMIFS('#投资收益'!39:39,'#投资收益'!1:1,K1,'#投资收益'!2:2,K2,'#投资收益'!3:3,"投资收益")</f>
        <v>0</v>
      </c>
      <c r="L11" s="1929"/>
      <c r="M11" s="1929">
        <f t="shared" si="71"/>
        <v>0</v>
      </c>
      <c r="N11" s="2143">
        <f>SUMIFS('#投资收益'!39:39,'#投资收益'!1:1,N1,'#投资收益'!2:2,N2,'#投资收益'!3:3,"投资收益")</f>
        <v>0</v>
      </c>
      <c r="O11" s="1929"/>
      <c r="P11" s="1929">
        <f t="shared" si="72"/>
        <v>0</v>
      </c>
      <c r="Q11" s="2143">
        <f>SUMIFS('#投资收益'!39:39,'#投资收益'!1:1,Q1,'#投资收益'!2:2,Q2,'#投资收益'!3:3,"投资收益")</f>
        <v>35713.572520000002</v>
      </c>
      <c r="R11" s="1929"/>
      <c r="S11" s="1929">
        <f t="shared" si="51"/>
        <v>35713.572520000002</v>
      </c>
      <c r="T11" s="2143">
        <f>SUMIFS('#投资收益'!39:39,'#投资收益'!1:1,T1,'#投资收益'!2:2,T2,'#投资收益'!3:3,"投资收益")</f>
        <v>0</v>
      </c>
      <c r="U11" s="1929"/>
      <c r="V11" s="1929">
        <f t="shared" si="73"/>
        <v>0</v>
      </c>
      <c r="W11" s="2143">
        <f>SUMIFS('#投资收益'!39:39,'#投资收益'!1:1,W1,'#投资收益'!2:2,W2,'#投资收益'!3:3,"投资收益")</f>
        <v>0</v>
      </c>
      <c r="X11" s="1929"/>
      <c r="Y11" s="1929">
        <f t="shared" si="52"/>
        <v>0</v>
      </c>
      <c r="Z11" s="2143">
        <f>SUMIFS('#投资收益'!39:39,'#投资收益'!1:1,Z1,'#投资收益'!2:2,Z2,'#投资收益'!3:3,"投资收益")</f>
        <v>0</v>
      </c>
      <c r="AA11" s="1929"/>
      <c r="AB11" s="1929">
        <f t="shared" si="53"/>
        <v>0</v>
      </c>
      <c r="AC11" s="2143">
        <f>SUMIFS('#投资收益'!39:39,'#投资收益'!1:1,AC1,'#投资收益'!2:2,AC2,'#投资收益'!3:3,"投资收益")</f>
        <v>0</v>
      </c>
      <c r="AD11" s="1929"/>
      <c r="AE11" s="1929">
        <f t="shared" si="54"/>
        <v>0</v>
      </c>
      <c r="AF11" s="2143">
        <f>SUMIFS('#投资收益'!39:39,'#投资收益'!1:1,AF1,'#投资收益'!2:2,AF2,'#投资收益'!3:3,"投资收益")</f>
        <v>10935.077099</v>
      </c>
      <c r="AG11" s="1929"/>
      <c r="AH11" s="1929">
        <f t="shared" si="55"/>
        <v>10935.077099</v>
      </c>
      <c r="AI11" s="2143">
        <f>SUMIFS('#投资收益'!39:39,'#投资收益'!1:1,AI1,'#投资收益'!2:2,AI2,'#投资收益'!3:3,"投资收益")</f>
        <v>0</v>
      </c>
      <c r="AJ11" s="2141"/>
      <c r="AK11" s="1929">
        <f t="shared" si="56"/>
        <v>0</v>
      </c>
      <c r="AL11" s="2143">
        <f>SUMIFS('#投资收益'!39:39,'#投资收益'!1:1,AL1,'#投资收益'!2:2,AL2,'#投资收益'!3:3,"投资收益")</f>
        <v>14452.271714799999</v>
      </c>
      <c r="AM11" s="2141"/>
      <c r="AN11" s="1929">
        <f t="shared" si="74"/>
        <v>14452.271714799999</v>
      </c>
      <c r="AO11" s="2143">
        <f>SUMIFS('#投资收益'!39:39,'#投资收益'!1:1,AO1,'#投资收益'!2:2,AO2,'#投资收益'!3:3,"投资收益")</f>
        <v>0</v>
      </c>
      <c r="AP11" s="1929"/>
      <c r="AQ11" s="1929">
        <f t="shared" si="57"/>
        <v>0</v>
      </c>
      <c r="AR11" s="2143">
        <f>SUMIFS('#投资收益'!39:39,'#投资收益'!1:1,AR1,'#投资收益'!2:2,AR2,'#投资收益'!3:3,"投资收益")</f>
        <v>0</v>
      </c>
      <c r="AS11" s="1929"/>
      <c r="AT11" s="1929">
        <f t="shared" si="58"/>
        <v>0</v>
      </c>
      <c r="AU11" s="2143">
        <f>SUMIFS('#投资收益'!39:39,'#投资收益'!1:1,AU1,'#投资收益'!2:2,AU2,'#投资收益'!3:3,"投资收益")</f>
        <v>0</v>
      </c>
      <c r="AV11" s="1929"/>
      <c r="AW11" s="1929">
        <f t="shared" si="59"/>
        <v>0</v>
      </c>
      <c r="AX11" s="2143">
        <f>SUMIFS('#投资收益'!39:39,'#投资收益'!1:1,AX1,'#投资收益'!2:2,AX2,'#投资收益'!3:3,"投资收益")</f>
        <v>0</v>
      </c>
      <c r="AY11" s="1929"/>
      <c r="AZ11" s="1929">
        <f t="shared" si="60"/>
        <v>0</v>
      </c>
      <c r="BA11" s="2143">
        <f>SUMIFS('#投资收益'!39:39,'#投资收益'!1:1,BA1,'#投资收益'!2:2,BA2,'#投资收益'!3:3,"投资收益")</f>
        <v>55178.751310200001</v>
      </c>
      <c r="BB11" s="1929"/>
      <c r="BC11" s="1929">
        <f t="shared" si="61"/>
        <v>55178.751310200001</v>
      </c>
      <c r="BD11" s="2143">
        <f>SUMIFS('#投资收益'!39:39,'#投资收益'!1:1,BD1,'#投资收益'!2:2,BD2,'#投资收益'!3:3,"投资收益")</f>
        <v>20891.06121</v>
      </c>
      <c r="BE11" s="1929"/>
      <c r="BF11" s="1929">
        <f t="shared" si="62"/>
        <v>20891.06121</v>
      </c>
      <c r="BG11" s="2143">
        <f>SUMIFS('#投资收益'!39:39,'#投资收益'!1:1,BG1,'#投资收益'!2:2,BG2,'#投资收益'!3:3,"投资收益")</f>
        <v>0</v>
      </c>
      <c r="BH11" s="1929"/>
      <c r="BI11" s="1929">
        <f t="shared" si="63"/>
        <v>0</v>
      </c>
      <c r="BJ11" s="2143">
        <f>SUMIFS('#投资收益'!39:39,'#投资收益'!1:1,BJ1,'#投资收益'!2:2,BJ2,'#投资收益'!3:3,"投资收益")</f>
        <v>0</v>
      </c>
      <c r="BK11" s="1929"/>
      <c r="BL11" s="1929">
        <f t="shared" si="64"/>
        <v>0</v>
      </c>
      <c r="BM11" s="2143">
        <f>SUMIFS('#投资收益'!39:39,'#投资收益'!1:1,BM1,'#投资收益'!2:2,BM2,'#投资收益'!3:3,"投资收益")</f>
        <v>0</v>
      </c>
      <c r="BN11" s="1929"/>
      <c r="BO11" s="1929">
        <f t="shared" si="65"/>
        <v>0</v>
      </c>
      <c r="BP11" s="2143">
        <f>SUMIFS('#投资收益'!39:39,'#投资收益'!1:1,BP1,'#投资收益'!2:2,BP2,'#投资收益'!3:3,"投资收益")</f>
        <v>0</v>
      </c>
      <c r="BQ11" s="1929"/>
      <c r="BR11" s="1929">
        <f t="shared" si="66"/>
        <v>0</v>
      </c>
      <c r="BS11" s="2143">
        <f>SUMIFS('#投资收益'!39:39,'#投资收益'!1:1,BS1,'#投资收益'!2:2,BS2,'#投资收益'!3:3,"投资收益")</f>
        <v>0</v>
      </c>
      <c r="BT11" s="1929"/>
      <c r="BU11" s="1929">
        <f t="shared" si="67"/>
        <v>0</v>
      </c>
      <c r="BV11" s="2143">
        <f>SUMIFS('#投资收益'!39:39,'#投资收益'!1:1,BV1,'#投资收益'!2:2,BV2,'#投资收益'!3:3,"投资收益")</f>
        <v>0</v>
      </c>
      <c r="BW11" s="1929"/>
      <c r="BX11" s="1929">
        <f t="shared" si="68"/>
        <v>0</v>
      </c>
      <c r="BY11" s="1929">
        <f t="shared" si="84"/>
        <v>76069.812520200008</v>
      </c>
      <c r="BZ11" s="2141">
        <f t="shared" si="85"/>
        <v>0</v>
      </c>
      <c r="CA11" s="1929">
        <f t="shared" si="75"/>
        <v>76069.812520200008</v>
      </c>
      <c r="CB11" s="385"/>
      <c r="CC11" s="385">
        <f>VLOOKUP('#利润建议'!A11,'@预测#利润建议# '!$A$6:$J$43,10,0)</f>
        <v>76069.812520200008</v>
      </c>
      <c r="CD11" s="1768">
        <f t="shared" si="76"/>
        <v>0</v>
      </c>
      <c r="CE11" s="2053">
        <f t="shared" si="50"/>
        <v>0</v>
      </c>
      <c r="CF11"/>
      <c r="CG11"/>
      <c r="CH11"/>
      <c r="CI11"/>
      <c r="CJ11"/>
      <c r="CK11"/>
      <c r="CL11"/>
      <c r="CM11"/>
      <c r="CN11"/>
      <c r="CO11"/>
    </row>
    <row r="12" spans="1:100" s="369" customFormat="1" ht="27" customHeight="1">
      <c r="A12" s="2144" t="s">
        <v>110</v>
      </c>
      <c r="B12" s="2145">
        <f>SUMIFS('利润（汇总）'!4:4,'利润（汇总）'!$1:$1,B$1,'利润（汇总）'!$2:$2,B$2)</f>
        <v>894</v>
      </c>
      <c r="C12" s="1928"/>
      <c r="D12" s="1928">
        <f t="shared" si="3"/>
        <v>894</v>
      </c>
      <c r="E12" s="2145">
        <f>SUMIFS('利润（汇总）'!4:4,'利润（汇总）'!$1:$1,E$1,'利润（汇总）'!$2:$2,E$2)</f>
        <v>-2.1009120000000001</v>
      </c>
      <c r="F12" s="1928"/>
      <c r="G12" s="1928">
        <f t="shared" si="69"/>
        <v>-2.1009120000000001</v>
      </c>
      <c r="H12" s="2145">
        <f>SUMIFS('利润（汇总）'!4:4,'利润（汇总）'!$1:$1,H$1,'利润（汇总）'!$2:$2,H$2)</f>
        <v>1287.6410719999999</v>
      </c>
      <c r="I12" s="1928"/>
      <c r="J12" s="1928">
        <f t="shared" si="70"/>
        <v>1287.6410719999999</v>
      </c>
      <c r="K12" s="2145">
        <f>SUMIFS('利润（汇总）'!4:4,'利润（汇总）'!$1:$1,K$1,'利润（汇总）'!$2:$2,K$2)</f>
        <v>27.322942999999999</v>
      </c>
      <c r="L12" s="1928"/>
      <c r="M12" s="1928">
        <f t="shared" si="71"/>
        <v>27.322942999999999</v>
      </c>
      <c r="N12" s="2145">
        <f>SUMIFS('利润（汇总）'!4:4,'利润（汇总）'!$1:$1,N$1,'利润（汇总）'!$2:$2,N$2)</f>
        <v>421.55365999999998</v>
      </c>
      <c r="O12" s="1928"/>
      <c r="P12" s="1928">
        <f t="shared" si="72"/>
        <v>421.55365999999998</v>
      </c>
      <c r="Q12" s="2145">
        <f>SUMIFS('利润（汇总）'!4:4,'利润（汇总）'!$1:$1,Q$1,'利润（汇总）'!$2:$2,Q$2)</f>
        <v>4.9976099999999999</v>
      </c>
      <c r="R12" s="1928"/>
      <c r="S12" s="1928">
        <f t="shared" si="51"/>
        <v>4.9976099999999999</v>
      </c>
      <c r="T12" s="2145">
        <f>SUMIFS('利润（汇总）'!4:4,'利润（汇总）'!$1:$1,T$1,'利润（汇总）'!$2:$2,T$2)</f>
        <v>-145.544916</v>
      </c>
      <c r="U12" s="1928"/>
      <c r="V12" s="1928">
        <f t="shared" si="73"/>
        <v>-145.544916</v>
      </c>
      <c r="W12" s="2145">
        <f>SUMIFS('利润（汇总）'!4:4,'利润（汇总）'!$1:$1,W$1,'利润（汇总）'!$2:$2,W$2)</f>
        <v>-274.86767099999997</v>
      </c>
      <c r="X12" s="1928"/>
      <c r="Y12" s="1928">
        <f t="shared" si="52"/>
        <v>-274.86767099999997</v>
      </c>
      <c r="Z12" s="2145">
        <f>SUMIFS('利润（汇总）'!4:4,'利润（汇总）'!$1:$1,Z$1,'利润（汇总）'!$2:$2,Z$2)</f>
        <v>-1002.1602879999998</v>
      </c>
      <c r="AA12" s="1928"/>
      <c r="AB12" s="1928">
        <f>Z12-AA12</f>
        <v>-1002.1602879999998</v>
      </c>
      <c r="AC12" s="2145">
        <f>SUMIFS('利润（汇总）'!4:4,'利润（汇总）'!$1:$1,AC$1,'利润（汇总）'!$2:$2,AC$2)</f>
        <v>-901.37926400000003</v>
      </c>
      <c r="AD12" s="1928"/>
      <c r="AE12" s="1928">
        <f t="shared" si="54"/>
        <v>-901.37926400000003</v>
      </c>
      <c r="AF12" s="2145">
        <f>SUMIFS('利润（汇总）'!4:4,'利润（汇总）'!$1:$1,AF$1,'利润（汇总）'!$2:$2,AF$2)</f>
        <v>1853.7690090000001</v>
      </c>
      <c r="AG12" s="1928"/>
      <c r="AH12" s="1928">
        <f t="shared" si="55"/>
        <v>1853.7690090000001</v>
      </c>
      <c r="AI12" s="2145">
        <f>SUMIFS('利润（汇总）'!4:4,'利润（汇总）'!$1:$1,AI$1,'利润（汇总）'!$2:$2,AI$2)</f>
        <v>-2159.2570759999999</v>
      </c>
      <c r="AJ12" s="2146"/>
      <c r="AK12" s="1928">
        <f>AI12-AJ12</f>
        <v>-2159.2570759999999</v>
      </c>
      <c r="AL12" s="2145">
        <f>SUMIFS('利润（汇总）'!4:4,'利润（汇总）'!$1:$1,AL$1,'利润（汇总）'!$2:$2,AL$2)</f>
        <v>-7726.4307259999996</v>
      </c>
      <c r="AM12" s="2146"/>
      <c r="AN12" s="1928">
        <f>AL12-AM12</f>
        <v>-7726.4307259999996</v>
      </c>
      <c r="AO12" s="2145">
        <f>SUMIFS('利润（汇总）'!4:4,'利润（汇总）'!$1:$1,AO$1,'利润（汇总）'!$2:$2,AO$2)</f>
        <v>-2336.4983710000001</v>
      </c>
      <c r="AP12" s="1928"/>
      <c r="AQ12" s="1928">
        <f>AO12-AP12</f>
        <v>-2336.4983710000001</v>
      </c>
      <c r="AR12" s="2145">
        <f>SUMIFS('利润（汇总）'!4:4,'利润（汇总）'!$1:$1,AR$1,'利润（汇总）'!$2:$2,AR$2)</f>
        <v>154.624923</v>
      </c>
      <c r="AS12" s="1928"/>
      <c r="AT12" s="1928">
        <f>AR12-AS12</f>
        <v>154.624923</v>
      </c>
      <c r="AU12" s="2145">
        <f>SUMIFS('利润（汇总）'!4:4,'利润（汇总）'!$1:$1,AU$1,'利润（汇总）'!$2:$2,AU$2)</f>
        <v>5685.3656929999997</v>
      </c>
      <c r="AV12" s="1928"/>
      <c r="AW12" s="1928">
        <f>AU12-AV12</f>
        <v>5685.3656929999997</v>
      </c>
      <c r="AX12" s="2145">
        <f>SUMIFS('利润（汇总）'!4:4,'利润（汇总）'!$1:$1,AX$1,'利润（汇总）'!$2:$2,AX$2)</f>
        <v>8157.9488350000001</v>
      </c>
      <c r="AY12" s="1928"/>
      <c r="AZ12" s="1928">
        <f>AX12-AY12</f>
        <v>8157.9488350000001</v>
      </c>
      <c r="BA12" s="2145">
        <f>SUMIFS('利润（汇总）'!4:4,'利润（汇总）'!$1:$1,BA$1,'利润（汇总）'!$2:$2,BA$2)</f>
        <v>8700.7656700000007</v>
      </c>
      <c r="BB12" s="1928"/>
      <c r="BC12" s="1928">
        <f>BA12-BB12</f>
        <v>8700.7656700000007</v>
      </c>
      <c r="BD12" s="2145">
        <f>SUMIFS('利润（汇总）'!4:4,'利润（汇总）'!$1:$1,BD$1,'利润（汇总）'!$2:$2,BD$2)</f>
        <v>8483.1919390000003</v>
      </c>
      <c r="BE12" s="1928"/>
      <c r="BF12" s="1928">
        <f>BD12-BE12</f>
        <v>8483.1919390000003</v>
      </c>
      <c r="BG12" s="2145">
        <f>SUMIFS('利润（汇总）'!4:4,'利润（汇总）'!$1:$1,BG$1,'利润（汇总）'!$2:$2,BG$2)</f>
        <v>2958</v>
      </c>
      <c r="BH12" s="1928"/>
      <c r="BI12" s="1928">
        <f>BG12-BH12</f>
        <v>2958</v>
      </c>
      <c r="BJ12" s="2145">
        <f>SUMIFS('利润（汇总）'!4:4,'利润（汇总）'!$1:$1,BJ$1,'利润（汇总）'!$2:$2,BJ$2)</f>
        <v>1172</v>
      </c>
      <c r="BK12" s="1928"/>
      <c r="BL12" s="1928">
        <f>BJ12-BK12</f>
        <v>1172</v>
      </c>
      <c r="BM12" s="2145">
        <f>SUMIFS('利润（汇总）'!4:4,'利润（汇总）'!$1:$1,BM$1,'利润（汇总）'!$2:$2,BM$2)</f>
        <v>0</v>
      </c>
      <c r="BN12" s="1928"/>
      <c r="BO12" s="1928">
        <f>BM12-BN12</f>
        <v>0</v>
      </c>
      <c r="BP12" s="2145">
        <f>SUMIFS('利润（汇总）'!4:4,'利润（汇总）'!$1:$1,BP$1,'利润（汇总）'!$2:$2,BP$2)</f>
        <v>0</v>
      </c>
      <c r="BQ12" s="1928"/>
      <c r="BR12" s="1928">
        <f>BP12-BQ12</f>
        <v>0</v>
      </c>
      <c r="BS12" s="2145">
        <f>SUMIFS('利润（汇总）'!4:4,'利润（汇总）'!$1:$1,BS$1,'利润（汇总）'!$2:$2,BS$2)</f>
        <v>0</v>
      </c>
      <c r="BT12" s="1928"/>
      <c r="BU12" s="1928">
        <f>BS12-BT12</f>
        <v>0</v>
      </c>
      <c r="BV12" s="2145">
        <f>SUMIFS('利润（汇总）'!4:4,'利润（汇总）'!$1:$1,BV$1,'利润（汇总）'!$2:$2,BV$2)</f>
        <v>0</v>
      </c>
      <c r="BW12" s="1928"/>
      <c r="BX12" s="1928">
        <f>BV12-BW12</f>
        <v>0</v>
      </c>
      <c r="BY12" s="2146">
        <f t="shared" si="84"/>
        <v>32975.398689000001</v>
      </c>
      <c r="BZ12" s="2146">
        <f t="shared" si="85"/>
        <v>0</v>
      </c>
      <c r="CA12" s="1928">
        <f t="shared" si="75"/>
        <v>32975.398689000001</v>
      </c>
      <c r="CB12" s="387"/>
      <c r="CC12" s="387">
        <f>VLOOKUP('#利润建议'!A12,'@预测#利润建议# '!$A$6:$J$43,10,0)</f>
        <v>34906.116150538466</v>
      </c>
      <c r="CD12" s="1538">
        <f t="shared" si="76"/>
        <v>-1930.7174615384647</v>
      </c>
      <c r="CE12" s="2053">
        <f t="shared" si="50"/>
        <v>2491.123294</v>
      </c>
      <c r="CF12" s="2520" t="str">
        <f>$CG$4&amp;CF9&amp;$CF$5&amp;CG9&amp;$CF$1&amp;$CG$1&amp;CK1&amp;CF6&amp;CG6&amp;$CF$1&amp;CG1&amp;$CL$1&amp;$CJ$1</f>
        <v>本月太钢集团（管理口径）汇总利润21.31亿元，其中太钢本部20.57亿元，建议：</v>
      </c>
      <c r="CG12" s="2521"/>
      <c r="CH12" s="2521"/>
      <c r="CI12" s="2521"/>
      <c r="CJ12" s="2521"/>
      <c r="CK12" s="2521"/>
      <c r="CL12" s="2521"/>
      <c r="CM12" s="2521"/>
      <c r="CN12" s="2521"/>
      <c r="CO12" s="2521"/>
      <c r="CP12" s="2522"/>
      <c r="CQ12" s="386"/>
    </row>
    <row r="13" spans="1:100" s="369" customFormat="1" ht="27" customHeight="1">
      <c r="A13" s="2144" t="s">
        <v>111</v>
      </c>
      <c r="B13" s="2145">
        <f>SUMIFS('利润（汇总）'!5:5,'利润（汇总）'!$1:$1,B$1,'利润（汇总）'!$2:$2,B$2)+B55</f>
        <v>1742.0248000000001</v>
      </c>
      <c r="C13" s="1928"/>
      <c r="D13" s="1928">
        <f t="shared" si="3"/>
        <v>1742.0248000000001</v>
      </c>
      <c r="E13" s="2145">
        <f>SUMIFS('利润（汇总）'!5:5,'利润（汇总）'!$1:$1,E$1,'利润（汇总）'!$2:$2,E$2)</f>
        <v>3424.8373580000002</v>
      </c>
      <c r="F13" s="1928"/>
      <c r="G13" s="1928">
        <f t="shared" si="69"/>
        <v>3424.8373580000002</v>
      </c>
      <c r="H13" s="2145">
        <f>SUMIFS('利润（汇总）'!5:5,'利润（汇总）'!$1:$1,H$1,'利润（汇总）'!$2:$2,H$2)</f>
        <v>2645.7785359999998</v>
      </c>
      <c r="I13" s="1928"/>
      <c r="J13" s="1928">
        <f t="shared" si="70"/>
        <v>2645.7785359999998</v>
      </c>
      <c r="K13" s="2145">
        <f>SUMIFS('利润（汇总）'!5:5,'利润（汇总）'!$1:$1,K$1,'利润（汇总）'!$2:$2,K$2)</f>
        <v>4711.3139369999999</v>
      </c>
      <c r="L13" s="1928"/>
      <c r="M13" s="1928">
        <f t="shared" si="71"/>
        <v>4711.3139369999999</v>
      </c>
      <c r="N13" s="2145">
        <f>SUMIFS('利润（汇总）'!5:5,'利润（汇总）'!$1:$1,N$1,'利润（汇总）'!$2:$2,N$2)</f>
        <v>4260.5629849999996</v>
      </c>
      <c r="O13" s="1928"/>
      <c r="P13" s="1928">
        <f t="shared" si="72"/>
        <v>4260.5629849999996</v>
      </c>
      <c r="Q13" s="2145">
        <f>SUMIFS('利润（汇总）'!5:5,'利润（汇总）'!$1:$1,Q$1,'利润（汇总）'!$2:$2,Q$2)</f>
        <v>3856.7218360000002</v>
      </c>
      <c r="R13" s="1928"/>
      <c r="S13" s="1928">
        <f t="shared" si="51"/>
        <v>3856.7218360000002</v>
      </c>
      <c r="T13" s="2145">
        <f>SUMIFS('利润（汇总）'!5:5,'利润（汇总）'!$1:$1,T$1,'利润（汇总）'!$2:$2,T$2)</f>
        <v>3160.4205360000001</v>
      </c>
      <c r="U13" s="1928"/>
      <c r="V13" s="1928">
        <f t="shared" si="73"/>
        <v>3160.4205360000001</v>
      </c>
      <c r="W13" s="2145">
        <f>SUMIFS('利润（汇总）'!5:5,'利润（汇总）'!$1:$1,W$1,'利润（汇总）'!$2:$2,W$2)</f>
        <v>5791.973113</v>
      </c>
      <c r="X13" s="1928"/>
      <c r="Y13" s="1928">
        <f>W13-X13</f>
        <v>5791.973113</v>
      </c>
      <c r="Z13" s="2145">
        <f>SUMIFS('利润（汇总）'!5:5,'利润（汇总）'!$1:$1,Z$1,'利润（汇总）'!$2:$2,Z$2)</f>
        <v>6742.4672769999997</v>
      </c>
      <c r="AA13" s="1928"/>
      <c r="AB13" s="1928">
        <f>Z13-AA13</f>
        <v>6742.4672769999997</v>
      </c>
      <c r="AC13" s="2145">
        <f>SUMIFS('利润（汇总）'!5:5,'利润（汇总）'!$1:$1,AC$1,'利润（汇总）'!$2:$2,AC$2)</f>
        <v>3881.0874779999999</v>
      </c>
      <c r="AD13" s="1928"/>
      <c r="AE13" s="1928">
        <f>AC13-AD13</f>
        <v>3881.0874779999999</v>
      </c>
      <c r="AF13" s="2145">
        <f>SUMIFS('利润（汇总）'!5:5,'利润（汇总）'!$1:$1,AF$1,'利润（汇总）'!$2:$2,AF$2)</f>
        <v>7458.6827219999996</v>
      </c>
      <c r="AG13" s="1928"/>
      <c r="AH13" s="1928">
        <f>AF13-AG13</f>
        <v>7458.6827219999996</v>
      </c>
      <c r="AI13" s="2145">
        <f>SUMIFS('利润（汇总）'!5:5,'利润（汇总）'!$1:$1,AI$1,'利润（汇总）'!$2:$2,AI$2)</f>
        <v>-2747.3947440000002</v>
      </c>
      <c r="AJ13" s="2146"/>
      <c r="AK13" s="1928">
        <f>AI13-AJ13</f>
        <v>-2747.3947440000002</v>
      </c>
      <c r="AL13" s="2145">
        <f>SUMIFS('利润（汇总）'!5:5,'利润（汇总）'!$1:$1,AL$1,'利润（汇总）'!$2:$2,AL$2)</f>
        <v>-26211.840208000001</v>
      </c>
      <c r="AM13" s="2146"/>
      <c r="AN13" s="1928">
        <f>AL13-AM13</f>
        <v>-26211.840208000001</v>
      </c>
      <c r="AO13" s="2145">
        <f>SUMIFS('利润（汇总）'!5:5,'利润（汇总）'!$1:$1,AO$1,'利润（汇总）'!$2:$2,AO$2)</f>
        <v>12546.086181000001</v>
      </c>
      <c r="AP13" s="1928"/>
      <c r="AQ13" s="1928">
        <f>AO13-AP13</f>
        <v>12546.086181000001</v>
      </c>
      <c r="AR13" s="2145">
        <f>SUMIFS('利润（汇总）'!5:5,'利润（汇总）'!$1:$1,AR$1,'利润（汇总）'!$2:$2,AR$2)</f>
        <v>24400.142</v>
      </c>
      <c r="AS13" s="1928"/>
      <c r="AT13" s="1928">
        <f>AR13-AS13</f>
        <v>24400.142</v>
      </c>
      <c r="AU13" s="2145">
        <f>SUMIFS('利润（汇总）'!5:5,'利润（汇总）'!$1:$1,AU$1,'利润（汇总）'!$2:$2,AU$2)</f>
        <v>56925.744704999997</v>
      </c>
      <c r="AV13" s="1928"/>
      <c r="AW13" s="1928">
        <f>AU13-AV13</f>
        <v>56925.744704999997</v>
      </c>
      <c r="AX13" s="2145">
        <f>SUMIFS('利润（汇总）'!5:5,'利润（汇总）'!$1:$1,AX$1,'利润（汇总）'!$2:$2,AX$2)</f>
        <v>50993.592603999998</v>
      </c>
      <c r="AY13" s="1928"/>
      <c r="AZ13" s="1928">
        <f>AX13-AY13</f>
        <v>50993.592603999998</v>
      </c>
      <c r="BA13" s="2145">
        <f>SUMIFS('利润（汇总）'!5:5,'利润（汇总）'!$1:$1,BA$1,'利润（汇总）'!$2:$2,BA$2)</f>
        <v>50109.718480000003</v>
      </c>
      <c r="BB13" s="1928"/>
      <c r="BC13" s="1928">
        <f>BA13-BB13</f>
        <v>50109.718480000003</v>
      </c>
      <c r="BD13" s="2145">
        <f>SUMIFS('利润（汇总）'!5:5,'利润（汇总）'!$1:$1,BD$1,'利润（汇总）'!$2:$2,BD$2)</f>
        <v>54573.296918</v>
      </c>
      <c r="BE13" s="1928"/>
      <c r="BF13" s="1928">
        <f>BD13-BE13</f>
        <v>54573.296918</v>
      </c>
      <c r="BG13" s="2145">
        <f>SUMIFS('利润（汇总）'!5:5,'利润（汇总）'!$1:$1,BG$1,'利润（汇总）'!$2:$2,BG$2)</f>
        <v>65368.601999999999</v>
      </c>
      <c r="BH13" s="1928"/>
      <c r="BI13" s="1928">
        <f>BG13-BH13</f>
        <v>65368.601999999999</v>
      </c>
      <c r="BJ13" s="2145">
        <f>SUMIFS('利润（汇总）'!5:5,'利润（汇总）'!$1:$1,BJ$1,'利润（汇总）'!$2:$2,BJ$2)</f>
        <v>62470.785720999971</v>
      </c>
      <c r="BK13" s="1928"/>
      <c r="BL13" s="1928">
        <f>BJ13-BK13</f>
        <v>62470.785720999971</v>
      </c>
      <c r="BM13" s="2145">
        <f>SUMIFS('利润（汇总）'!5:5,'利润（汇总）'!$1:$1,BM$1,'利润（汇总）'!$2:$2,BM$2)</f>
        <v>0</v>
      </c>
      <c r="BN13" s="1928"/>
      <c r="BO13" s="1928">
        <f>BM13-BN13</f>
        <v>0</v>
      </c>
      <c r="BP13" s="2145">
        <f>SUMIFS('利润（汇总）'!5:5,'利润（汇总）'!$1:$1,BP$1,'利润（汇总）'!$2:$2,BP$2)</f>
        <v>0</v>
      </c>
      <c r="BQ13" s="1928"/>
      <c r="BR13" s="1928">
        <f>BP13-BQ13</f>
        <v>0</v>
      </c>
      <c r="BS13" s="2145">
        <f>SUMIFS('利润（汇总）'!5:5,'利润（汇总）'!$1:$1,BS$1,'利润（汇总）'!$2:$2,BS$2)</f>
        <v>0</v>
      </c>
      <c r="BT13" s="1928"/>
      <c r="BU13" s="1928">
        <f>BS13-BT13</f>
        <v>0</v>
      </c>
      <c r="BV13" s="2145">
        <f>SUMIFS('利润（汇总）'!5:5,'利润（汇总）'!$1:$1,BV$1,'利润（汇总）'!$2:$2,BV$2)</f>
        <v>0</v>
      </c>
      <c r="BW13" s="1928"/>
      <c r="BX13" s="1928">
        <f>BV13-BW13</f>
        <v>0</v>
      </c>
      <c r="BY13" s="2146">
        <f t="shared" si="84"/>
        <v>377387.96860900003</v>
      </c>
      <c r="BZ13" s="2146">
        <f t="shared" si="85"/>
        <v>0</v>
      </c>
      <c r="CA13" s="1928">
        <f t="shared" si="75"/>
        <v>377387.96860900003</v>
      </c>
      <c r="CB13" s="387"/>
      <c r="CC13" s="387">
        <f>VLOOKUP('#利润建议'!A13,'@预测#利润建议# '!$A$6:$J$43,10,0)</f>
        <v>375637.98288800003</v>
      </c>
      <c r="CD13" s="1538">
        <f t="shared" si="76"/>
        <v>1749.9857210000046</v>
      </c>
      <c r="CE13" s="2053">
        <f t="shared" si="50"/>
        <v>11854.055818999999</v>
      </c>
      <c r="CF13" s="2520" t="str">
        <f>"1、"&amp;CF6&amp;"当月按照"&amp;CH6&amp;$CF$1&amp;"报出，"&amp;$CM$5&amp;CK6&amp;$CF$1&amp;CL6&amp;ABS(CM6)&amp;$CF$1&amp;$CG$1&amp;$CQ$5&amp;"报出"&amp;CQ6&amp;$CF$1&amp;$CG$1&amp;$CT$5&amp;CR6&amp;$CF$1&amp;CS6&amp;ABS(CT6)&amp;$CF$1&amp;$CG$1&amp;CU6&amp;ABS(CV6)*100&amp;"%"&amp;CI1</f>
        <v>1、太钢本部当月按照17.57亿元报出，比同期4.26亿元增加13.31亿元，累计报出140.2亿元，比同期20.95亿元增加119.25亿元，增幅569%。</v>
      </c>
      <c r="CG13" s="2521"/>
      <c r="CH13" s="2521"/>
      <c r="CI13" s="2521"/>
      <c r="CJ13" s="2521"/>
      <c r="CK13" s="2521"/>
      <c r="CL13" s="2521"/>
      <c r="CM13" s="2521"/>
      <c r="CN13" s="2521"/>
      <c r="CO13" s="2521"/>
      <c r="CP13" s="2522"/>
      <c r="CQ13" s="386"/>
    </row>
    <row r="14" spans="1:100" s="369" customFormat="1" ht="27" customHeight="1">
      <c r="A14" s="2144" t="s">
        <v>112</v>
      </c>
      <c r="B14" s="2145">
        <f>SUMIFS('利润（汇总）'!6:6,'利润（汇总）'!$1:$1,B$1,'利润（汇总）'!$2:$2,B$2)+B56</f>
        <v>250.33458899999999</v>
      </c>
      <c r="C14" s="1928"/>
      <c r="D14" s="1928">
        <f t="shared" si="3"/>
        <v>250.33458899999999</v>
      </c>
      <c r="E14" s="2145">
        <f>SUMIFS('利润（汇总）'!6:6,'利润（汇总）'!$1:$1,E$1,'利润（汇总）'!$2:$2,E$2)</f>
        <v>179.18482299999999</v>
      </c>
      <c r="F14" s="1928"/>
      <c r="G14" s="1928">
        <f t="shared" si="69"/>
        <v>179.18482299999999</v>
      </c>
      <c r="H14" s="2145">
        <f>SUMIFS('利润（汇总）'!6:6,'利润（汇总）'!$1:$1,H$1,'利润（汇总）'!$2:$2,H$2)</f>
        <v>572.32428100000004</v>
      </c>
      <c r="I14" s="1928"/>
      <c r="J14" s="1928">
        <f t="shared" si="70"/>
        <v>572.32428100000004</v>
      </c>
      <c r="K14" s="2145">
        <f>SUMIFS('利润（汇总）'!6:6,'利润（汇总）'!$1:$1,K$1,'利润（汇总）'!$2:$2,K$2)</f>
        <v>210.86801199999999</v>
      </c>
      <c r="L14" s="1928"/>
      <c r="M14" s="1928">
        <f t="shared" si="71"/>
        <v>210.86801199999999</v>
      </c>
      <c r="N14" s="2145">
        <f>SUMIFS('利润（汇总）'!6:6,'利润（汇总）'!$1:$1,N$1,'利润（汇总）'!$2:$2,N$2)</f>
        <v>140.93642399999999</v>
      </c>
      <c r="O14" s="1928"/>
      <c r="P14" s="1928">
        <f t="shared" si="72"/>
        <v>140.93642399999999</v>
      </c>
      <c r="Q14" s="2145">
        <f>SUMIFS('利润（汇总）'!6:6,'利润（汇总）'!$1:$1,Q$1,'利润（汇总）'!$2:$2,Q$2)</f>
        <v>574.971768</v>
      </c>
      <c r="R14" s="1928"/>
      <c r="S14" s="1928">
        <f t="shared" si="51"/>
        <v>574.971768</v>
      </c>
      <c r="T14" s="2145">
        <f>SUMIFS('利润（汇总）'!6:6,'利润（汇总）'!$1:$1,T$1,'利润（汇总）'!$2:$2,T$2)</f>
        <v>408.05805700000002</v>
      </c>
      <c r="U14" s="1928"/>
      <c r="V14" s="1928">
        <f t="shared" si="73"/>
        <v>408.05805700000002</v>
      </c>
      <c r="W14" s="2145">
        <f>SUMIFS('利润（汇总）'!6:6,'利润（汇总）'!$1:$1,W$1,'利润（汇总）'!$2:$2,W$2)</f>
        <v>188.85313300000001</v>
      </c>
      <c r="X14" s="1928"/>
      <c r="Y14" s="1928">
        <f>W14-X14</f>
        <v>188.85313300000001</v>
      </c>
      <c r="Z14" s="2145">
        <f>SUMIFS('利润（汇总）'!6:6,'利润（汇总）'!$1:$1,Z$1,'利润（汇总）'!$2:$2,Z$2)</f>
        <v>607.15622299999995</v>
      </c>
      <c r="AA14" s="1928"/>
      <c r="AB14" s="1928">
        <f>Z14-AA14</f>
        <v>607.15622299999995</v>
      </c>
      <c r="AC14" s="2145">
        <f>SUMIFS('利润（汇总）'!6:6,'利润（汇总）'!$1:$1,AC$1,'利润（汇总）'!$2:$2,AC$2)</f>
        <v>-148.86440400000001</v>
      </c>
      <c r="AD14" s="1928"/>
      <c r="AE14" s="1928">
        <f>AC14-AD14</f>
        <v>-148.86440400000001</v>
      </c>
      <c r="AF14" s="2145">
        <f>SUMIFS('利润（汇总）'!6:6,'利润（汇总）'!$1:$1,AF$1,'利润（汇总）'!$2:$2,AF$2)</f>
        <v>258.93335200000001</v>
      </c>
      <c r="AG14" s="1928"/>
      <c r="AH14" s="1928">
        <f>AF14-AG14</f>
        <v>258.93335200000001</v>
      </c>
      <c r="AI14" s="2145">
        <f>SUMIFS('利润（汇总）'!6:6,'利润（汇总）'!$1:$1,AI$1,'利润（汇总）'!$2:$2,AI$2)</f>
        <v>528.867751</v>
      </c>
      <c r="AJ14" s="1928"/>
      <c r="AK14" s="1928">
        <f>AI14-AJ14</f>
        <v>528.867751</v>
      </c>
      <c r="AL14" s="2145">
        <f>SUMIFS('利润（汇总）'!6:6,'利润（汇总）'!$1:$1,AL$1,'利润（汇总）'!$2:$2,AL$2)</f>
        <v>-1915.2481640000001</v>
      </c>
      <c r="AM14" s="1928"/>
      <c r="AN14" s="1928">
        <f>AL14-AM14</f>
        <v>-1915.2481640000001</v>
      </c>
      <c r="AO14" s="2145">
        <f>SUMIFS('利润（汇总）'!6:6,'利润（汇总）'!$1:$1,AO$1,'利润（汇总）'!$2:$2,AO$2)</f>
        <v>258.81249500000001</v>
      </c>
      <c r="AP14" s="1928"/>
      <c r="AQ14" s="1928">
        <f>AO14-AP14</f>
        <v>258.81249500000001</v>
      </c>
      <c r="AR14" s="2145">
        <f>SUMIFS('利润（汇总）'!6:6,'利润（汇总）'!$1:$1,AR$1,'利润（汇总）'!$2:$2,AR$2)</f>
        <v>440.91714000000002</v>
      </c>
      <c r="AS14" s="1928"/>
      <c r="AT14" s="1928">
        <f>AR14-AS14</f>
        <v>440.91714000000002</v>
      </c>
      <c r="AU14" s="2145">
        <f>SUMIFS('利润（汇总）'!6:6,'利润（汇总）'!$1:$1,AU$1,'利润（汇总）'!$2:$2,AU$2)</f>
        <v>351.39330699999999</v>
      </c>
      <c r="AV14" s="1928"/>
      <c r="AW14" s="1928">
        <f>AU14-AV14</f>
        <v>351.39330699999999</v>
      </c>
      <c r="AX14" s="2145">
        <f>SUMIFS('利润（汇总）'!6:6,'利润（汇总）'!$1:$1,AX$1,'利润（汇总）'!$2:$2,AX$2)</f>
        <v>421.85190299999999</v>
      </c>
      <c r="AY14" s="1928"/>
      <c r="AZ14" s="1928">
        <f>AX14-AY14</f>
        <v>421.85190299999999</v>
      </c>
      <c r="BA14" s="2145">
        <f>SUMIFS('利润（汇总）'!6:6,'利润（汇总）'!$1:$1,BA$1,'利润（汇总）'!$2:$2,BA$2)</f>
        <v>149.32101599999999</v>
      </c>
      <c r="BB14" s="1928"/>
      <c r="BC14" s="1928">
        <f>BA14-BB14</f>
        <v>149.32101599999999</v>
      </c>
      <c r="BD14" s="2145">
        <f>SUMIFS('利润（汇总）'!6:6,'利润（汇总）'!$1:$1,BD$1,'利润（汇总）'!$2:$2,BD$2)</f>
        <v>109.82137400000001</v>
      </c>
      <c r="BE14" s="1928"/>
      <c r="BF14" s="1928">
        <f>BD14-BE14</f>
        <v>109.82137400000001</v>
      </c>
      <c r="BG14" s="2145">
        <f>SUMIFS('利润（汇总）'!6:6,'利润（汇总）'!$1:$1,BG$1,'利润（汇总）'!$2:$2,BG$2)</f>
        <v>-320</v>
      </c>
      <c r="BH14" s="1928"/>
      <c r="BI14" s="1928">
        <f>BG14-BH14</f>
        <v>-320</v>
      </c>
      <c r="BJ14" s="2145">
        <f>SUMIFS('利润（汇总）'!6:6,'利润（汇总）'!$1:$1,BJ$1,'利润（汇总）'!$2:$2,BJ$2)</f>
        <v>-345.42</v>
      </c>
      <c r="BK14" s="1928"/>
      <c r="BL14" s="1928">
        <f>BJ14-BK14</f>
        <v>-345.42</v>
      </c>
      <c r="BM14" s="2145">
        <f>SUMIFS('利润（汇总）'!6:6,'利润（汇总）'!$1:$1,BM$1,'利润（汇总）'!$2:$2,BM$2)</f>
        <v>0</v>
      </c>
      <c r="BN14" s="1928"/>
      <c r="BO14" s="1928">
        <f>BM14-BN14</f>
        <v>0</v>
      </c>
      <c r="BP14" s="2145">
        <f>SUMIFS('利润（汇总）'!6:6,'利润（汇总）'!$1:$1,BP$1,'利润（汇总）'!$2:$2,BP$2)</f>
        <v>0</v>
      </c>
      <c r="BQ14" s="1928"/>
      <c r="BR14" s="1928">
        <f>BP14-BQ14</f>
        <v>0</v>
      </c>
      <c r="BS14" s="2145">
        <f>SUMIFS('利润（汇总）'!6:6,'利润（汇总）'!$1:$1,BS$1,'利润（汇总）'!$2:$2,BS$2)</f>
        <v>0</v>
      </c>
      <c r="BT14" s="1928"/>
      <c r="BU14" s="1928">
        <f>BS14-BT14</f>
        <v>0</v>
      </c>
      <c r="BV14" s="2145">
        <f>SUMIFS('利润（汇总）'!6:6,'利润（汇总）'!$1:$1,BV$1,'利润（汇总）'!$2:$2,BV$2)</f>
        <v>0</v>
      </c>
      <c r="BW14" s="1928"/>
      <c r="BX14" s="1928">
        <f>BV14-BW14</f>
        <v>0</v>
      </c>
      <c r="BY14" s="2146">
        <f t="shared" si="84"/>
        <v>1066.6972350000001</v>
      </c>
      <c r="BZ14" s="2146">
        <f t="shared" si="85"/>
        <v>0</v>
      </c>
      <c r="CA14" s="1928">
        <f t="shared" si="75"/>
        <v>1066.6972350000001</v>
      </c>
      <c r="CB14" s="387"/>
      <c r="CC14" s="387">
        <f>VLOOKUP('#利润建议'!A14,'@预测#利润建议# '!$A$6:$J$43,10,0)</f>
        <v>1075.1172350000002</v>
      </c>
      <c r="CD14" s="1538">
        <f t="shared" si="76"/>
        <v>-8.4200000000000728</v>
      </c>
      <c r="CE14" s="2053">
        <f t="shared" si="50"/>
        <v>182.104645</v>
      </c>
      <c r="CF14" s="2520" t="str">
        <f>$CG$4&amp;CF7&amp;$CF$5&amp;CG7&amp;$CF$1&amp;$CG$1&amp;$CL$1&amp;$CJ$1&amp;CJ7&amp;$CM$5&amp;CK7&amp;$CF$1&amp;CL7&amp;ABS(CM7)&amp;$CF$1&amp;$CI$1&amp;$CQ$5&amp;"报出"&amp;CQ7&amp;$CF$1&amp;$CG$1&amp;$CT$5&amp;CR7&amp;$CF$1&amp;CS7&amp;ABS(CT7)&amp;$CF$1&amp;$CG$1&amp;CU7&amp;ABS(CV7)*100&amp;"%"&amp;$CI$1</f>
        <v>本月太钢不锈汇总利润8.78亿元，建议：当月留存3亿元，按照5.78亿元报出，比同期2.4亿元增加3.38亿元。累计报出69.33亿元，比同期8.79亿元增加60.54亿元，增幅689%。</v>
      </c>
      <c r="CG14" s="2521"/>
      <c r="CH14" s="2521"/>
      <c r="CI14" s="2521"/>
      <c r="CJ14" s="2521"/>
      <c r="CK14" s="2521"/>
      <c r="CL14" s="2521"/>
      <c r="CM14" s="2521"/>
      <c r="CN14" s="2521"/>
      <c r="CO14" s="2521"/>
      <c r="CP14" s="2522"/>
      <c r="CQ14" s="386"/>
    </row>
    <row r="15" spans="1:100" s="369" customFormat="1" ht="24" customHeight="1">
      <c r="A15" s="2144" t="s">
        <v>46</v>
      </c>
      <c r="B15" s="2145">
        <f>SUMIFS('利润（汇总）'!7:7,'利润（汇总）'!$1:$1,B$1,'利润（汇总）'!$2:$2,B$2)</f>
        <v>-3772</v>
      </c>
      <c r="C15" s="1928">
        <v>-10400</v>
      </c>
      <c r="D15" s="1928">
        <f t="shared" si="3"/>
        <v>6628</v>
      </c>
      <c r="E15" s="2145">
        <f>SUMIFS('利润（汇总）'!7:7,'利润（汇总）'!$1:$1,E$1,'利润（汇总）'!$2:$2,E$2)</f>
        <v>4407</v>
      </c>
      <c r="F15" s="1928"/>
      <c r="G15" s="1928">
        <f t="shared" si="69"/>
        <v>4407</v>
      </c>
      <c r="H15" s="2145">
        <f>SUMIFS('利润（汇总）'!7:7,'利润（汇总）'!$1:$1,H$1,'利润（汇总）'!$2:$2,H$2)</f>
        <v>-2921</v>
      </c>
      <c r="I15" s="1928">
        <v>-3993</v>
      </c>
      <c r="J15" s="1928">
        <f t="shared" si="70"/>
        <v>1072</v>
      </c>
      <c r="K15" s="2145">
        <f>SUMIFS('利润（汇总）'!7:7,'利润（汇总）'!$1:$1,K$1,'利润（汇总）'!$2:$2,K$2)</f>
        <v>-5883</v>
      </c>
      <c r="L15" s="1928">
        <v>-14158</v>
      </c>
      <c r="M15" s="1928">
        <f t="shared" si="71"/>
        <v>8275</v>
      </c>
      <c r="N15" s="2145">
        <f>SUMIFS('利润（汇总）'!7:7,'利润（汇总）'!$1:$1,N$1,'利润（汇总）'!$2:$2,N$2)</f>
        <v>-7145</v>
      </c>
      <c r="O15" s="1928">
        <v>-7593</v>
      </c>
      <c r="P15" s="1928">
        <f t="shared" si="72"/>
        <v>448</v>
      </c>
      <c r="Q15" s="2145">
        <f>SUMIFS('利润（汇总）'!7:7,'利润（汇总）'!$1:$1,Q$1,'利润（汇总）'!$2:$2,Q$2)</f>
        <v>1624</v>
      </c>
      <c r="R15" s="1928">
        <v>-6500</v>
      </c>
      <c r="S15" s="1928">
        <f t="shared" si="51"/>
        <v>8124</v>
      </c>
      <c r="T15" s="2145">
        <f>SUMIFS('利润（汇总）'!7:7,'利润（汇总）'!$1:$1,T$1,'利润（汇总）'!$2:$2,T$2)</f>
        <v>30845</v>
      </c>
      <c r="U15" s="1928">
        <f>-19432+15187</f>
        <v>-4245</v>
      </c>
      <c r="V15" s="1928">
        <f t="shared" si="73"/>
        <v>35090</v>
      </c>
      <c r="W15" s="2145">
        <f>SUMIFS('利润（汇总）'!7:7,'利润（汇总）'!$1:$1,W$1,'利润（汇总）'!$2:$2,W$2)</f>
        <v>6466</v>
      </c>
      <c r="X15" s="1928"/>
      <c r="Y15" s="1928">
        <f t="shared" si="52"/>
        <v>6466</v>
      </c>
      <c r="Z15" s="2145">
        <f>SUMIFS('利润（汇总）'!7:7,'利润（汇总）'!$1:$1,Z$1,'利润（汇总）'!$2:$2,Z$2)</f>
        <v>24004</v>
      </c>
      <c r="AA15" s="1928"/>
      <c r="AB15" s="1928">
        <f t="shared" si="53"/>
        <v>24004</v>
      </c>
      <c r="AC15" s="2145">
        <f>SUMIFS('利润（汇总）'!7:7,'利润（汇总）'!$1:$1,AC$1,'利润（汇总）'!$2:$2,AC$2)</f>
        <v>15083</v>
      </c>
      <c r="AD15" s="1928">
        <v>-3479</v>
      </c>
      <c r="AE15" s="1928">
        <f t="shared" si="54"/>
        <v>18562</v>
      </c>
      <c r="AF15" s="2145">
        <f>SUMIFS('利润（汇总）'!7:7,'利润（汇总）'!$1:$1,AF$1,'利润（汇总）'!$2:$2,AF$2)+39968</f>
        <v>70078</v>
      </c>
      <c r="AG15" s="1928">
        <v>39968</v>
      </c>
      <c r="AH15" s="1928">
        <f t="shared" si="55"/>
        <v>30110</v>
      </c>
      <c r="AI15" s="2145">
        <f>SUMIFS('利润（汇总）'!7:7,'利润（汇总）'!$1:$1,AI$1,'利润（汇总）'!$2:$2,AI$2)</f>
        <v>18471</v>
      </c>
      <c r="AJ15" s="2146"/>
      <c r="AK15" s="1928">
        <f t="shared" si="56"/>
        <v>18471</v>
      </c>
      <c r="AL15" s="2145">
        <f>SUMIFS('利润（汇总）'!7:7,'利润（汇总）'!$1:$1,AL$1,'利润（汇总）'!$2:$2,AL$2)</f>
        <v>23985</v>
      </c>
      <c r="AM15" s="2146">
        <v>6434</v>
      </c>
      <c r="AN15" s="1928">
        <f t="shared" si="74"/>
        <v>17551</v>
      </c>
      <c r="AO15" s="2145">
        <f>SUMIFS('利润（汇总）'!7:7,'利润（汇总）'!$1:$1,AO$1,'利润（汇总）'!$2:$2,AO$2)</f>
        <v>62465</v>
      </c>
      <c r="AP15" s="1928">
        <v>12303</v>
      </c>
      <c r="AQ15" s="1928">
        <f t="shared" si="57"/>
        <v>50162</v>
      </c>
      <c r="AR15" s="2145">
        <f>SUMIFS('利润（汇总）'!7:7,'利润（汇总）'!$1:$1,AR$1,'利润（汇总）'!$2:$2,AR$2)</f>
        <v>83036</v>
      </c>
      <c r="AS15" s="1928">
        <v>10000</v>
      </c>
      <c r="AT15" s="1928">
        <f t="shared" si="58"/>
        <v>73036</v>
      </c>
      <c r="AU15" s="2145">
        <f>SUMIFS('利润（汇总）'!7:7,'利润（汇总）'!$1:$1,AU$1,'利润（汇总）'!$2:$2,AU$2)</f>
        <v>105480</v>
      </c>
      <c r="AV15" s="1928">
        <v>20000</v>
      </c>
      <c r="AW15" s="1928">
        <f t="shared" si="59"/>
        <v>85480</v>
      </c>
      <c r="AX15" s="2145">
        <f>SUMIFS('利润（汇总）'!7:7,'利润（汇总）'!$1:$1,AX$1,'利润（汇总）'!$2:$2,AX$2)</f>
        <v>118526</v>
      </c>
      <c r="AY15" s="1928">
        <v>38000</v>
      </c>
      <c r="AZ15" s="1928">
        <f t="shared" si="60"/>
        <v>80526</v>
      </c>
      <c r="BA15" s="2145">
        <f>SUMIFS('利润（汇总）'!7:7,'利润（汇总）'!$1:$1,BA$1,'利润（汇总）'!$2:$2,BA$2)</f>
        <v>124337</v>
      </c>
      <c r="BB15" s="1928"/>
      <c r="BC15" s="1928">
        <f t="shared" si="61"/>
        <v>124337</v>
      </c>
      <c r="BD15" s="2145">
        <f>SUMIFS('利润（汇总）'!7:7,'利润（汇总）'!$1:$1,BD$1,'利润（汇总）'!$2:$2,BD$2)</f>
        <v>84993</v>
      </c>
      <c r="BE15" s="1928">
        <v>-32000</v>
      </c>
      <c r="BF15" s="1928">
        <f t="shared" si="62"/>
        <v>116993</v>
      </c>
      <c r="BG15" s="2145">
        <f>SUMIFS('利润（汇总）'!7:7,'利润（汇总）'!$1:$1,BG$1,'利润（汇总）'!$2:$2,BG$2)</f>
        <v>104942</v>
      </c>
      <c r="BH15" s="1928"/>
      <c r="BI15" s="1928">
        <f t="shared" si="63"/>
        <v>104942</v>
      </c>
      <c r="BJ15" s="2145">
        <f>SUMIFS('利润（汇总）'!7:7,'利润（汇总）'!$1:$1,BJ$1,'利润（汇总）'!$2:$2,BJ$2)</f>
        <v>87793</v>
      </c>
      <c r="BK15" s="1928">
        <v>30000</v>
      </c>
      <c r="BL15" s="1928">
        <f t="shared" si="64"/>
        <v>57793</v>
      </c>
      <c r="BM15" s="2145">
        <f>SUMIFS('利润（汇总）'!7:7,'利润（汇总）'!$1:$1,BM$1,'利润（汇总）'!$2:$2,BM$2)</f>
        <v>0</v>
      </c>
      <c r="BN15" s="1928"/>
      <c r="BO15" s="1928">
        <f t="shared" si="65"/>
        <v>0</v>
      </c>
      <c r="BP15" s="2145">
        <f>SUMIFS('利润（汇总）'!7:7,'利润（汇总）'!$1:$1,BP$1,'利润（汇总）'!$2:$2,BP$2)</f>
        <v>0</v>
      </c>
      <c r="BQ15" s="1928"/>
      <c r="BR15" s="1928">
        <f t="shared" si="66"/>
        <v>0</v>
      </c>
      <c r="BS15" s="2145">
        <f>SUMIFS('利润（汇总）'!7:7,'利润（汇总）'!$1:$1,BS$1,'利润（汇总）'!$2:$2,BS$2)</f>
        <v>0</v>
      </c>
      <c r="BT15" s="1928"/>
      <c r="BU15" s="1928">
        <f t="shared" si="67"/>
        <v>0</v>
      </c>
      <c r="BV15" s="2145">
        <f>SUMIFS('利润（汇总）'!7:7,'利润（汇总）'!$1:$1,BV$1,'利润（汇总）'!$2:$2,BV$2)</f>
        <v>0</v>
      </c>
      <c r="BW15" s="1928"/>
      <c r="BX15" s="1928">
        <f t="shared" si="68"/>
        <v>0</v>
      </c>
      <c r="BY15" s="2146">
        <f t="shared" si="84"/>
        <v>771572</v>
      </c>
      <c r="BZ15" s="2146">
        <f t="shared" si="85"/>
        <v>78303</v>
      </c>
      <c r="CA15" s="1928">
        <f t="shared" si="75"/>
        <v>693269</v>
      </c>
      <c r="CB15" s="387"/>
      <c r="CC15" s="387">
        <f>VLOOKUP('#利润建议'!A15,'@预测#利润建议# '!$A$6:$J$43,10,0)</f>
        <v>683937</v>
      </c>
      <c r="CD15" s="1538">
        <f t="shared" si="76"/>
        <v>9332</v>
      </c>
      <c r="CE15" s="2053">
        <f t="shared" si="50"/>
        <v>22874</v>
      </c>
      <c r="CF15" s="2520" t="str">
        <f>$CG$4&amp;CF8&amp;$CF$5&amp;CG8&amp;$CF$1&amp;$CG$1&amp;$CL$1&amp;$CJ$1&amp;CJ8&amp;$CM$5&amp;CK8&amp;$CF$1&amp;CL8&amp;ABS(CM8)&amp;$CF$1&amp;$CI$1&amp;$CQ$5&amp;"报出"&amp;CQ8&amp;$CF$1&amp;$CG$1&amp;$CT$5&amp;CR8&amp;$CF$1&amp;CS8&amp;ABS(CT8)&amp;$CF$1&amp;$CG$1&amp;CU8&amp;ABS(CV8)*100&amp;"%"&amp;$CI$1</f>
        <v>本月母公司汇总利润3.73亿元，建议：当月按照3.73亿元报出，比同期0.55亿元增加3.18亿元。累计报出28.18亿元，比同期5.91亿元增加22.27亿元，增幅377%。</v>
      </c>
      <c r="CG15" s="2521"/>
      <c r="CH15" s="2521"/>
      <c r="CI15" s="2521"/>
      <c r="CJ15" s="2521"/>
      <c r="CK15" s="2521"/>
      <c r="CL15" s="2521"/>
      <c r="CM15" s="2521"/>
      <c r="CN15" s="2521"/>
      <c r="CO15" s="2521"/>
      <c r="CP15" s="2522"/>
      <c r="CQ15" s="386"/>
    </row>
    <row r="16" spans="1:100" s="369" customFormat="1" ht="19.5" customHeight="1">
      <c r="A16" s="2144" t="s">
        <v>113</v>
      </c>
      <c r="B16" s="2145">
        <f>SUMIFS('利润（汇总）'!10:10,'利润（汇总）'!$1:$1,B$1,'利润（汇总）'!$2:$2,B$2)</f>
        <v>-3781.4600719999999</v>
      </c>
      <c r="C16" s="1928"/>
      <c r="D16" s="1928">
        <f t="shared" ref="D16:D22" si="86">B16-C16</f>
        <v>-3781.4600719999999</v>
      </c>
      <c r="E16" s="2145">
        <f>SUMIFS('利润（汇总）'!10:10,'利润（汇总）'!$1:$1,E$1,'利润（汇总）'!$2:$2,E$2)</f>
        <v>-2346.7800889999999</v>
      </c>
      <c r="F16" s="1928"/>
      <c r="G16" s="1928">
        <f t="shared" ref="G16:G22" si="87">E16-F16</f>
        <v>-2346.7800889999999</v>
      </c>
      <c r="H16" s="2145">
        <f>SUMIFS('利润（汇总）'!10:10,'利润（汇总）'!$1:$1,H$1,'利润（汇总）'!$2:$2,H$2)</f>
        <v>-2101.2988580000001</v>
      </c>
      <c r="I16" s="1928"/>
      <c r="J16" s="1928">
        <f t="shared" ref="J16:J22" si="88">H16-I16</f>
        <v>-2101.2988580000001</v>
      </c>
      <c r="K16" s="2145">
        <f>SUMIFS('利润（汇总）'!10:10,'利润（汇总）'!$1:$1,K$1,'利润（汇总）'!$2:$2,K$2)</f>
        <v>-2690.1583959999998</v>
      </c>
      <c r="L16" s="1928"/>
      <c r="M16" s="1928">
        <f t="shared" ref="M16:M22" si="89">K16-L16</f>
        <v>-2690.1583959999998</v>
      </c>
      <c r="N16" s="2145">
        <f>SUMIFS('利润（汇总）'!10:10,'利润（汇总）'!$1:$1,N$1,'利润（汇总）'!$2:$2,N$2)</f>
        <v>-1188.735353</v>
      </c>
      <c r="O16" s="1928"/>
      <c r="P16" s="1928">
        <f t="shared" ref="P16:P22" si="90">N16-O16</f>
        <v>-1188.735353</v>
      </c>
      <c r="Q16" s="2145">
        <f>SUMIFS('利润（汇总）'!10:10,'利润（汇总）'!$1:$1,Q$1,'利润（汇总）'!$2:$2,Q$2)</f>
        <v>-1442.7569229999999</v>
      </c>
      <c r="R16" s="1928"/>
      <c r="S16" s="1928">
        <f t="shared" ref="S16:S22" si="91">Q16-R16</f>
        <v>-1442.7569229999999</v>
      </c>
      <c r="T16" s="2145">
        <f>SUMIFS('利润（汇总）'!10:10,'利润（汇总）'!$1:$1,T$1,'利润（汇总）'!$2:$2,T$2)</f>
        <v>146.722205</v>
      </c>
      <c r="U16" s="1928"/>
      <c r="V16" s="1928">
        <f t="shared" ref="V16:V22" si="92">T16-U16</f>
        <v>146.722205</v>
      </c>
      <c r="W16" s="2145">
        <f>SUMIFS('利润（汇总）'!10:10,'利润（汇总）'!$1:$1,W$1,'利润（汇总）'!$2:$2,W$2)</f>
        <v>-1013.8467460000001</v>
      </c>
      <c r="X16" s="1928"/>
      <c r="Y16" s="1928">
        <f t="shared" ref="Y16:Y22" si="93">W16-X16</f>
        <v>-1013.8467460000001</v>
      </c>
      <c r="Z16" s="2145">
        <f>SUMIFS('利润（汇总）'!10:10,'利润（汇总）'!$1:$1,Z$1,'利润（汇总）'!$2:$2,Z$2)</f>
        <v>-1454.1571489999999</v>
      </c>
      <c r="AA16" s="1928"/>
      <c r="AB16" s="1928">
        <f t="shared" ref="AB16:AB22" si="94">Z16-AA16</f>
        <v>-1454.1571489999999</v>
      </c>
      <c r="AC16" s="2145">
        <f>SUMIFS('利润（汇总）'!10:10,'利润（汇总）'!$1:$1,AC$1,'利润（汇总）'!$2:$2,AC$2)</f>
        <v>-956.87146700000005</v>
      </c>
      <c r="AD16" s="1928"/>
      <c r="AE16" s="1928">
        <f t="shared" ref="AE16:AE22" si="95">AC16-AD16</f>
        <v>-956.87146700000005</v>
      </c>
      <c r="AF16" s="2145">
        <f>SUMIFS('利润（汇总）'!10:10,'利润（汇总）'!$1:$1,AF$1,'利润（汇总）'!$2:$2,AF$2)</f>
        <v>-1620.2605779999999</v>
      </c>
      <c r="AG16" s="1928"/>
      <c r="AH16" s="1928">
        <f t="shared" ref="AH16:AH22" si="96">AF16-AG16</f>
        <v>-1620.2605779999999</v>
      </c>
      <c r="AI16" s="2145">
        <f>SUMIFS('利润（汇总）'!10:10,'利润（汇总）'!$1:$1,AI$1,'利润（汇总）'!$2:$2,AI$2)</f>
        <v>-1631.0518199999999</v>
      </c>
      <c r="AJ16" s="2146"/>
      <c r="AK16" s="1928">
        <f t="shared" ref="AK16:AK22" si="97">AI16-AJ16</f>
        <v>-1631.0518199999999</v>
      </c>
      <c r="AL16" s="2145">
        <f>SUMIFS('利润（汇总）'!10:10,'利润（汇总）'!$1:$1,AL$1,'利润（汇总）'!$2:$2,AL$2)</f>
        <v>-4093.8810279999998</v>
      </c>
      <c r="AM16" s="2146"/>
      <c r="AN16" s="1928">
        <f t="shared" ref="AN16:AN22" si="98">AL16-AM16</f>
        <v>-4093.8810279999998</v>
      </c>
      <c r="AO16" s="2145">
        <f>SUMIFS('利润（汇总）'!10:10,'利润（汇总）'!$1:$1,AO$1,'利润（汇总）'!$2:$2,AO$2)</f>
        <v>-1238.68</v>
      </c>
      <c r="AP16" s="1928"/>
      <c r="AQ16" s="1928">
        <f t="shared" si="57"/>
        <v>-1238.68</v>
      </c>
      <c r="AR16" s="2145">
        <f>SUMIFS('利润（汇总）'!10:10,'利润（汇总）'!$1:$1,AR$1,'利润（汇总）'!$2:$2,AR$2)</f>
        <v>1176.962518</v>
      </c>
      <c r="AS16" s="1928"/>
      <c r="AT16" s="1928">
        <f t="shared" si="58"/>
        <v>1176.962518</v>
      </c>
      <c r="AU16" s="2145">
        <f>SUMIFS('利润（汇总）'!10:10,'利润（汇总）'!$1:$1,AU$1,'利润（汇总）'!$2:$2,AU$2)</f>
        <v>3262.9440300000001</v>
      </c>
      <c r="AV16" s="1928"/>
      <c r="AW16" s="1928">
        <f t="shared" si="59"/>
        <v>3262.9440300000001</v>
      </c>
      <c r="AX16" s="2145">
        <f>SUMIFS('利润（汇总）'!10:10,'利润（汇总）'!$1:$1,AX$1,'利润（汇总）'!$2:$2,AX$2)</f>
        <v>4430.3485860000001</v>
      </c>
      <c r="AY16" s="1928"/>
      <c r="AZ16" s="1928">
        <f t="shared" si="60"/>
        <v>4430.3485860000001</v>
      </c>
      <c r="BA16" s="2145">
        <f>SUMIFS('利润（汇总）'!10:10,'利润（汇总）'!$1:$1,BA$1,'利润（汇总）'!$2:$2,BA$2)</f>
        <v>3107.0309120000002</v>
      </c>
      <c r="BB16" s="1928"/>
      <c r="BC16" s="1928">
        <f t="shared" si="61"/>
        <v>3107.0309120000002</v>
      </c>
      <c r="BD16" s="2145">
        <f>SUMIFS('利润（汇总）'!10:10,'利润（汇总）'!$1:$1,BD$1,'利润（汇总）'!$2:$2,BD$2)</f>
        <v>1954.463626</v>
      </c>
      <c r="BE16" s="1928"/>
      <c r="BF16" s="1928">
        <f t="shared" si="62"/>
        <v>1954.463626</v>
      </c>
      <c r="BG16" s="2145">
        <f>SUMIFS('利润（汇总）'!10:10,'利润（汇总）'!$1:$1,BG$1,'利润（汇总）'!$2:$2,BG$2)</f>
        <v>1515.6657270000001</v>
      </c>
      <c r="BH16" s="1928"/>
      <c r="BI16" s="1928">
        <f t="shared" si="63"/>
        <v>1515.6657270000001</v>
      </c>
      <c r="BJ16" s="2145">
        <f>SUMIFS('利润（汇总）'!10:10,'利润（汇总）'!$1:$1,BJ$1,'利润（汇总）'!$2:$2,BJ$2)</f>
        <v>4432.1400000000003</v>
      </c>
      <c r="BK16" s="1928"/>
      <c r="BL16" s="1928">
        <f t="shared" si="64"/>
        <v>4432.1400000000003</v>
      </c>
      <c r="BM16" s="2145">
        <f>SUMIFS('利润（汇总）'!10:10,'利润（汇总）'!$1:$1,BM$1,'利润（汇总）'!$2:$2,BM$2)</f>
        <v>0</v>
      </c>
      <c r="BN16" s="1928"/>
      <c r="BO16" s="1928">
        <f t="shared" si="65"/>
        <v>0</v>
      </c>
      <c r="BP16" s="2145">
        <f>SUMIFS('利润（汇总）'!10:10,'利润（汇总）'!$1:$1,BP$1,'利润（汇总）'!$2:$2,BP$2)</f>
        <v>0</v>
      </c>
      <c r="BQ16" s="1928"/>
      <c r="BR16" s="1928">
        <f t="shared" si="66"/>
        <v>0</v>
      </c>
      <c r="BS16" s="2145">
        <f>SUMIFS('利润（汇总）'!10:10,'利润（汇总）'!$1:$1,BS$1,'利润（汇总）'!$2:$2,BS$2)</f>
        <v>0</v>
      </c>
      <c r="BT16" s="1928"/>
      <c r="BU16" s="1928">
        <f t="shared" si="67"/>
        <v>0</v>
      </c>
      <c r="BV16" s="2145">
        <f>SUMIFS('利润（汇总）'!10:10,'利润（汇总）'!$1:$1,BV$1,'利润（汇总）'!$2:$2,BV$2)</f>
        <v>0</v>
      </c>
      <c r="BW16" s="1928"/>
      <c r="BX16" s="1928">
        <f t="shared" si="68"/>
        <v>0</v>
      </c>
      <c r="BY16" s="2146">
        <f t="shared" si="84"/>
        <v>18640.875399</v>
      </c>
      <c r="BZ16" s="2146">
        <f t="shared" si="85"/>
        <v>0</v>
      </c>
      <c r="CA16" s="1928">
        <f t="shared" ref="CA16:CA22" si="99">BY16-BZ16</f>
        <v>18640.875399</v>
      </c>
      <c r="CB16" s="387"/>
      <c r="CC16" s="387">
        <f>VLOOKUP('#利润建议'!A16,'@预测#利润建议# '!$A$6:$J$43,10,0)</f>
        <v>17793.735399000001</v>
      </c>
      <c r="CD16" s="1538">
        <f t="shared" si="76"/>
        <v>847.13999999999942</v>
      </c>
      <c r="CE16" s="2053">
        <f t="shared" si="50"/>
        <v>2415.6425180000001</v>
      </c>
      <c r="CF16" s="2520" t="str">
        <f>"2、"&amp;CF9&amp;CJ9&amp;CQ5&amp;"报出"&amp;CQ9&amp;$CF$1&amp;CI1</f>
        <v>2、太钢集团（管理口径）当月按照18.31亿元报出，累计报出143.67亿元。</v>
      </c>
      <c r="CG16" s="2521"/>
      <c r="CH16" s="2521"/>
      <c r="CI16" s="2521"/>
      <c r="CJ16" s="2521"/>
      <c r="CK16" s="2521"/>
      <c r="CL16" s="2521"/>
      <c r="CM16" s="2521"/>
      <c r="CN16" s="2521"/>
      <c r="CO16" s="2521"/>
      <c r="CP16" s="2522"/>
      <c r="CQ16" s="386"/>
    </row>
    <row r="17" spans="1:95" s="369" customFormat="1" ht="19.5" customHeight="1">
      <c r="A17" s="2144" t="s">
        <v>114</v>
      </c>
      <c r="B17" s="2145">
        <f>SUMIFS('利润（汇总）'!11:11,'利润（汇总）'!$1:$1,B$1,'利润（汇总）'!$2:$2,B$2)</f>
        <v>-620.55635600000005</v>
      </c>
      <c r="C17" s="1928"/>
      <c r="D17" s="1928">
        <f t="shared" si="86"/>
        <v>-620.55635600000005</v>
      </c>
      <c r="E17" s="2145">
        <f>SUMIFS('利润（汇总）'!11:11,'利润（汇总）'!$1:$1,E$1,'利润（汇总）'!$2:$2,E$2)</f>
        <v>-449.27105999999998</v>
      </c>
      <c r="F17" s="1928"/>
      <c r="G17" s="1928">
        <f t="shared" si="87"/>
        <v>-449.27105999999998</v>
      </c>
      <c r="H17" s="2145">
        <f>SUMIFS('利润（汇总）'!11:11,'利润（汇总）'!$1:$1,H$1,'利润（汇总）'!$2:$2,H$2)</f>
        <v>419.58144600000003</v>
      </c>
      <c r="I17" s="1928"/>
      <c r="J17" s="1928">
        <f t="shared" si="88"/>
        <v>419.58144600000003</v>
      </c>
      <c r="K17" s="2145">
        <f>SUMIFS('利润（汇总）'!11:11,'利润（汇总）'!$1:$1,K$1,'利润（汇总）'!$2:$2,K$2)</f>
        <v>-418.779358</v>
      </c>
      <c r="L17" s="1928"/>
      <c r="M17" s="1928">
        <f t="shared" si="89"/>
        <v>-418.779358</v>
      </c>
      <c r="N17" s="2145">
        <f>SUMIFS('利润（汇总）'!11:11,'利润（汇总）'!$1:$1,N$1,'利润（汇总）'!$2:$2,N$2)</f>
        <v>-394.57532500000002</v>
      </c>
      <c r="O17" s="1928"/>
      <c r="P17" s="1928">
        <f t="shared" si="90"/>
        <v>-394.57532500000002</v>
      </c>
      <c r="Q17" s="2145">
        <f>SUMIFS('利润（汇总）'!11:11,'利润（汇总）'!$1:$1,Q$1,'利润（汇总）'!$2:$2,Q$2)</f>
        <v>-305.05782900000003</v>
      </c>
      <c r="R17" s="1928"/>
      <c r="S17" s="1928">
        <f t="shared" si="91"/>
        <v>-305.05782900000003</v>
      </c>
      <c r="T17" s="2145">
        <f>SUMIFS('利润（汇总）'!11:11,'利润（汇总）'!$1:$1,T$1,'利润（汇总）'!$2:$2,T$2)</f>
        <v>1299.1330539999999</v>
      </c>
      <c r="U17" s="1928"/>
      <c r="V17" s="1928">
        <f t="shared" si="92"/>
        <v>1299.1330539999999</v>
      </c>
      <c r="W17" s="2145">
        <f>SUMIFS('利润（汇总）'!11:11,'利润（汇总）'!$1:$1,W$1,'利润（汇总）'!$2:$2,W$2)</f>
        <v>-24.681778000000001</v>
      </c>
      <c r="X17" s="1928"/>
      <c r="Y17" s="1928">
        <f t="shared" si="93"/>
        <v>-24.681778000000001</v>
      </c>
      <c r="Z17" s="2145">
        <f>SUMIFS('利润（汇总）'!11:11,'利润（汇总）'!$1:$1,Z$1,'利润（汇总）'!$2:$2,Z$2)</f>
        <v>-80.547166000000004</v>
      </c>
      <c r="AA17" s="1928"/>
      <c r="AB17" s="1928">
        <f t="shared" si="94"/>
        <v>-80.547166000000004</v>
      </c>
      <c r="AC17" s="2145">
        <f>SUMIFS('利润（汇总）'!11:11,'利润（汇总）'!$1:$1,AC$1,'利润（汇总）'!$2:$2,AC$2)</f>
        <v>-403.97355599999997</v>
      </c>
      <c r="AD17" s="1928"/>
      <c r="AE17" s="1928">
        <f t="shared" si="95"/>
        <v>-403.97355599999997</v>
      </c>
      <c r="AF17" s="2145">
        <f>SUMIFS('利润（汇总）'!11:11,'利润（汇总）'!$1:$1,AF$1,'利润（汇总）'!$2:$2,AF$2)</f>
        <v>1032.484741</v>
      </c>
      <c r="AG17" s="1928"/>
      <c r="AH17" s="1928">
        <f t="shared" si="96"/>
        <v>1032.484741</v>
      </c>
      <c r="AI17" s="2145">
        <f>SUMIFS('利润（汇总）'!11:11,'利润（汇总）'!$1:$1,AI$1,'利润（汇总）'!$2:$2,AI$2)</f>
        <v>415.997727</v>
      </c>
      <c r="AJ17" s="2146"/>
      <c r="AK17" s="1928">
        <f t="shared" si="97"/>
        <v>415.997727</v>
      </c>
      <c r="AL17" s="2145">
        <f>SUMIFS('利润（汇总）'!11:11,'利润（汇总）'!$1:$1,AL$1,'利润（汇总）'!$2:$2,AL$2)</f>
        <v>-754.02079300000003</v>
      </c>
      <c r="AM17" s="2146"/>
      <c r="AN17" s="1928">
        <f t="shared" si="98"/>
        <v>-754.02079300000003</v>
      </c>
      <c r="AO17" s="2145">
        <f>SUMIFS('利润（汇总）'!11:11,'利润（汇总）'!$1:$1,AO$1,'利润（汇总）'!$2:$2,AO$2)</f>
        <v>-409.20861000000002</v>
      </c>
      <c r="AP17" s="1928"/>
      <c r="AQ17" s="1928">
        <f t="shared" si="57"/>
        <v>-409.20861000000002</v>
      </c>
      <c r="AR17" s="2145">
        <f>SUMIFS('利润（汇总）'!11:11,'利润（汇总）'!$1:$1,AR$1,'利润（汇总）'!$2:$2,AR$2)</f>
        <v>-548.92084199999999</v>
      </c>
      <c r="AS17" s="1928"/>
      <c r="AT17" s="1928">
        <f t="shared" si="58"/>
        <v>-548.92084199999999</v>
      </c>
      <c r="AU17" s="2145">
        <f>SUMIFS('利润（汇总）'!11:11,'利润（汇总）'!$1:$1,AU$1,'利润（汇总）'!$2:$2,AU$2)</f>
        <v>1352.0602530000001</v>
      </c>
      <c r="AV17" s="1928"/>
      <c r="AW17" s="1928">
        <f t="shared" si="59"/>
        <v>1352.0602530000001</v>
      </c>
      <c r="AX17" s="2145">
        <f>SUMIFS('利润（汇总）'!11:11,'利润（汇总）'!$1:$1,AX$1,'利润（汇总）'!$2:$2,AX$2)</f>
        <v>-71.360415000000003</v>
      </c>
      <c r="AY17" s="1928"/>
      <c r="AZ17" s="1928">
        <f t="shared" si="60"/>
        <v>-71.360415000000003</v>
      </c>
      <c r="BA17" s="2145">
        <f>SUMIFS('利润（汇总）'!11:11,'利润（汇总）'!$1:$1,BA$1,'利润（汇总）'!$2:$2,BA$2)</f>
        <v>544.83111499999995</v>
      </c>
      <c r="BB17" s="1928"/>
      <c r="BC17" s="1928">
        <f t="shared" si="61"/>
        <v>544.83111499999995</v>
      </c>
      <c r="BD17" s="2145">
        <f>SUMIFS('利润（汇总）'!11:11,'利润（汇总）'!$1:$1,BD$1,'利润（汇总）'!$2:$2,BD$2)</f>
        <v>1120.7305839999999</v>
      </c>
      <c r="BE17" s="1928"/>
      <c r="BF17" s="1928">
        <f t="shared" si="62"/>
        <v>1120.7305839999999</v>
      </c>
      <c r="BG17" s="2145">
        <f>SUMIFS('利润（汇总）'!11:11,'利润（汇总）'!$1:$1,BG$1,'利润（汇总）'!$2:$2,BG$2)</f>
        <v>1096</v>
      </c>
      <c r="BH17" s="1928"/>
      <c r="BI17" s="1928">
        <f t="shared" si="63"/>
        <v>1096</v>
      </c>
      <c r="BJ17" s="2145">
        <f>SUMIFS('利润（汇总）'!11:11,'利润（汇总）'!$1:$1,BJ$1,'利润（汇总）'!$2:$2,BJ$2)</f>
        <v>677.5</v>
      </c>
      <c r="BK17" s="1928"/>
      <c r="BL17" s="1928">
        <f t="shared" si="64"/>
        <v>677.5</v>
      </c>
      <c r="BM17" s="2145">
        <f>SUMIFS('利润（汇总）'!11:11,'利润（汇总）'!$1:$1,BM$1,'利润（汇总）'!$2:$2,BM$2)</f>
        <v>0</v>
      </c>
      <c r="BN17" s="1928"/>
      <c r="BO17" s="1928">
        <f t="shared" si="65"/>
        <v>0</v>
      </c>
      <c r="BP17" s="2145">
        <f>SUMIFS('利润（汇总）'!11:11,'利润（汇总）'!$1:$1,BP$1,'利润（汇总）'!$2:$2,BP$2)</f>
        <v>0</v>
      </c>
      <c r="BQ17" s="1928"/>
      <c r="BR17" s="1928">
        <f t="shared" si="66"/>
        <v>0</v>
      </c>
      <c r="BS17" s="2145">
        <f>SUMIFS('利润（汇总）'!11:11,'利润（汇总）'!$1:$1,BS$1,'利润（汇总）'!$2:$2,BS$2)</f>
        <v>0</v>
      </c>
      <c r="BT17" s="1928"/>
      <c r="BU17" s="1928">
        <f t="shared" si="67"/>
        <v>0</v>
      </c>
      <c r="BV17" s="2145">
        <f>SUMIFS('利润（汇总）'!11:11,'利润（汇总）'!$1:$1,BV$1,'利润（汇总）'!$2:$2,BV$2)</f>
        <v>0</v>
      </c>
      <c r="BW17" s="1928"/>
      <c r="BX17" s="1928">
        <f t="shared" si="68"/>
        <v>0</v>
      </c>
      <c r="BY17" s="2146">
        <f t="shared" si="84"/>
        <v>3761.6320850000002</v>
      </c>
      <c r="BZ17" s="2146">
        <f t="shared" si="85"/>
        <v>0</v>
      </c>
      <c r="CA17" s="1928">
        <f t="shared" si="99"/>
        <v>3761.6320850000002</v>
      </c>
      <c r="CB17" s="387"/>
      <c r="CC17" s="387">
        <f>VLOOKUP('#利润建议'!A17,'@预测#利润建议# '!$A$6:$J$43,10,0)</f>
        <v>3070.1320850000002</v>
      </c>
      <c r="CD17" s="1538">
        <f t="shared" si="76"/>
        <v>691.5</v>
      </c>
      <c r="CE17" s="2053">
        <f t="shared" si="50"/>
        <v>-139.71223199999997</v>
      </c>
      <c r="CF17"/>
      <c r="CG17"/>
      <c r="CH17"/>
      <c r="CI17"/>
      <c r="CJ17"/>
      <c r="CK17"/>
      <c r="CL17"/>
      <c r="CM17"/>
      <c r="CN17"/>
      <c r="CO17"/>
      <c r="CP17" s="386"/>
      <c r="CQ17" s="386"/>
    </row>
    <row r="18" spans="1:95" s="369" customFormat="1" ht="19.5" customHeight="1">
      <c r="A18" s="2144" t="s">
        <v>115</v>
      </c>
      <c r="B18" s="2145">
        <f>SUMIFS('利润（汇总）'!12:12,'利润（汇总）'!$1:$1,B$1,'利润（汇总）'!$2:$2,B$2)</f>
        <v>1985.0934970000001</v>
      </c>
      <c r="C18" s="1928"/>
      <c r="D18" s="1928">
        <f t="shared" si="86"/>
        <v>1985.0934970000001</v>
      </c>
      <c r="E18" s="2145">
        <f>SUMIFS('利润（汇总）'!12:12,'利润（汇总）'!$1:$1,E$1,'利润（汇总）'!$2:$2,E$2)</f>
        <v>2627.0529350000002</v>
      </c>
      <c r="F18" s="1928"/>
      <c r="G18" s="1928">
        <f t="shared" si="87"/>
        <v>2627.0529350000002</v>
      </c>
      <c r="H18" s="2145">
        <f>SUMIFS('利润（汇总）'!12:12,'利润（汇总）'!$1:$1,H$1,'利润（汇总）'!$2:$2,H$2)</f>
        <v>2526.3494390000001</v>
      </c>
      <c r="I18" s="1928"/>
      <c r="J18" s="1928">
        <f t="shared" si="88"/>
        <v>2526.3494390000001</v>
      </c>
      <c r="K18" s="2145">
        <f>SUMIFS('利润（汇总）'!12:12,'利润（汇总）'!$1:$1,K$1,'利润（汇总）'!$2:$2,K$2)</f>
        <v>2815.3370519999999</v>
      </c>
      <c r="L18" s="1928"/>
      <c r="M18" s="1928">
        <f t="shared" si="89"/>
        <v>2815.3370519999999</v>
      </c>
      <c r="N18" s="2145">
        <f>SUMIFS('利润（汇总）'!12:12,'利润（汇总）'!$1:$1,N$1,'利润（汇总）'!$2:$2,N$2)</f>
        <v>2744.8653290000002</v>
      </c>
      <c r="O18" s="1928"/>
      <c r="P18" s="1928">
        <f t="shared" si="90"/>
        <v>2744.8653290000002</v>
      </c>
      <c r="Q18" s="2145">
        <f>SUMIFS('利润（汇总）'!12:12,'利润（汇总）'!$1:$1,Q$1,'利润（汇总）'!$2:$2,Q$2)</f>
        <v>2468.09015</v>
      </c>
      <c r="R18" s="1928"/>
      <c r="S18" s="1928">
        <f t="shared" si="91"/>
        <v>2468.09015</v>
      </c>
      <c r="T18" s="2145">
        <f>SUMIFS('利润（汇总）'!12:12,'利润（汇总）'!$1:$1,T$1,'利润（汇总）'!$2:$2,T$2)</f>
        <v>2117.7248060000002</v>
      </c>
      <c r="U18" s="1928"/>
      <c r="V18" s="1928">
        <f t="shared" si="92"/>
        <v>2117.7248060000002</v>
      </c>
      <c r="W18" s="2145">
        <f>SUMIFS('利润（汇总）'!12:12,'利润（汇总）'!$1:$1,W$1,'利润（汇总）'!$2:$2,W$2)</f>
        <v>1775.976678</v>
      </c>
      <c r="X18" s="1928"/>
      <c r="Y18" s="1928">
        <f t="shared" si="93"/>
        <v>1775.976678</v>
      </c>
      <c r="Z18" s="2145">
        <f>SUMIFS('利润（汇总）'!12:12,'利润（汇总）'!$1:$1,Z$1,'利润（汇总）'!$2:$2,Z$2)</f>
        <v>2346.5675689999998</v>
      </c>
      <c r="AA18" s="1928"/>
      <c r="AB18" s="1928">
        <f t="shared" si="94"/>
        <v>2346.5675689999998</v>
      </c>
      <c r="AC18" s="2145">
        <f>SUMIFS('利润（汇总）'!12:12,'利润（汇总）'!$1:$1,AC$1,'利润（汇总）'!$2:$2,AC$2)</f>
        <v>1720.176334</v>
      </c>
      <c r="AD18" s="1928"/>
      <c r="AE18" s="1928">
        <f t="shared" si="95"/>
        <v>1720.176334</v>
      </c>
      <c r="AF18" s="2145">
        <f>SUMIFS('利润（汇总）'!12:12,'利润（汇总）'!$1:$1,AF$1,'利润（汇总）'!$2:$2,AF$2)</f>
        <v>2591.159678</v>
      </c>
      <c r="AG18" s="1928"/>
      <c r="AH18" s="1928">
        <f t="shared" si="96"/>
        <v>2591.159678</v>
      </c>
      <c r="AI18" s="2145">
        <f>SUMIFS('利润（汇总）'!12:12,'利润（汇总）'!$1:$1,AI$1,'利润（汇总）'!$2:$2,AI$2)</f>
        <v>2667.9805099999999</v>
      </c>
      <c r="AJ18" s="2146"/>
      <c r="AK18" s="1928">
        <f t="shared" si="97"/>
        <v>2667.9805099999999</v>
      </c>
      <c r="AL18" s="2145">
        <f>SUMIFS('利润（汇总）'!12:12,'利润（汇总）'!$1:$1,AL$1,'利润（汇总）'!$2:$2,AL$2)</f>
        <v>3431.5832380000002</v>
      </c>
      <c r="AM18" s="2146"/>
      <c r="AN18" s="1928">
        <f t="shared" si="98"/>
        <v>3431.5832380000002</v>
      </c>
      <c r="AO18" s="2145">
        <f>SUMIFS('利润（汇总）'!12:12,'利润（汇总）'!$1:$1,AO$1,'利润（汇总）'!$2:$2,AO$2)</f>
        <v>2906.5506099999998</v>
      </c>
      <c r="AP18" s="1928"/>
      <c r="AQ18" s="1928">
        <f t="shared" si="57"/>
        <v>2906.5506099999998</v>
      </c>
      <c r="AR18" s="2145">
        <f>SUMIFS('利润（汇总）'!12:12,'利润（汇总）'!$1:$1,AR$1,'利润（汇总）'!$2:$2,AR$2)</f>
        <v>2764.8229470000001</v>
      </c>
      <c r="AS18" s="1928"/>
      <c r="AT18" s="1928">
        <f t="shared" si="58"/>
        <v>2764.8229470000001</v>
      </c>
      <c r="AU18" s="2145">
        <f>SUMIFS('利润（汇总）'!12:12,'利润（汇总）'!$1:$1,AU$1,'利润（汇总）'!$2:$2,AU$2)</f>
        <v>2882.5464299999999</v>
      </c>
      <c r="AV18" s="1928"/>
      <c r="AW18" s="1928">
        <f t="shared" si="59"/>
        <v>2882.5464299999999</v>
      </c>
      <c r="AX18" s="2145">
        <f>SUMIFS('利润（汇总）'!12:12,'利润（汇总）'!$1:$1,AX$1,'利润（汇总）'!$2:$2,AX$2)</f>
        <v>2771</v>
      </c>
      <c r="AY18" s="1928"/>
      <c r="AZ18" s="1928">
        <f t="shared" si="60"/>
        <v>2771</v>
      </c>
      <c r="BA18" s="2145">
        <f>SUMIFS('利润（汇总）'!12:12,'利润（汇总）'!$1:$1,BA$1,'利润（汇总）'!$2:$2,BA$2)</f>
        <v>3055.9939420000001</v>
      </c>
      <c r="BB18" s="1928"/>
      <c r="BC18" s="1928">
        <f t="shared" si="61"/>
        <v>3055.9939420000001</v>
      </c>
      <c r="BD18" s="2145">
        <f>SUMIFS('利润（汇总）'!12:12,'利润（汇总）'!$1:$1,BD$1,'利润（汇总）'!$2:$2,BD$2)</f>
        <v>3212.134881</v>
      </c>
      <c r="BE18" s="1928"/>
      <c r="BF18" s="1928">
        <f t="shared" si="62"/>
        <v>3212.134881</v>
      </c>
      <c r="BG18" s="2145">
        <f>SUMIFS('利润（汇总）'!12:12,'利润（汇总）'!$1:$1,BG$1,'利润（汇总）'!$2:$2,BG$2)</f>
        <v>2755.5444600000001</v>
      </c>
      <c r="BH18" s="1928"/>
      <c r="BI18" s="1928">
        <f t="shared" si="63"/>
        <v>2755.5444600000001</v>
      </c>
      <c r="BJ18" s="2145">
        <f>SUMIFS('利润（汇总）'!12:12,'利润（汇总）'!$1:$1,BJ$1,'利润（汇总）'!$2:$2,BJ$2)</f>
        <v>3425.2</v>
      </c>
      <c r="BK18" s="1928"/>
      <c r="BL18" s="1928">
        <f t="shared" si="64"/>
        <v>3425.2</v>
      </c>
      <c r="BM18" s="2145">
        <f>SUMIFS('利润（汇总）'!12:12,'利润（汇总）'!$1:$1,BM$1,'利润（汇总）'!$2:$2,BM$2)</f>
        <v>0</v>
      </c>
      <c r="BN18" s="1928"/>
      <c r="BO18" s="1928">
        <f t="shared" si="65"/>
        <v>0</v>
      </c>
      <c r="BP18" s="2145">
        <f>SUMIFS('利润（汇总）'!12:12,'利润（汇总）'!$1:$1,BP$1,'利润（汇总）'!$2:$2,BP$2)</f>
        <v>0</v>
      </c>
      <c r="BQ18" s="1928"/>
      <c r="BR18" s="1928">
        <f t="shared" si="66"/>
        <v>0</v>
      </c>
      <c r="BS18" s="2145">
        <f>SUMIFS('利润（汇总）'!12:12,'利润（汇总）'!$1:$1,BS$1,'利润（汇总）'!$2:$2,BS$2)</f>
        <v>0</v>
      </c>
      <c r="BT18" s="1928"/>
      <c r="BU18" s="1928">
        <f t="shared" si="67"/>
        <v>0</v>
      </c>
      <c r="BV18" s="2145">
        <f>SUMIFS('利润（汇总）'!12:12,'利润（汇总）'!$1:$1,BV$1,'利润（汇总）'!$2:$2,BV$2)</f>
        <v>0</v>
      </c>
      <c r="BW18" s="1928"/>
      <c r="BX18" s="1928">
        <f t="shared" si="68"/>
        <v>0</v>
      </c>
      <c r="BY18" s="2146">
        <f t="shared" si="84"/>
        <v>23773.793270000002</v>
      </c>
      <c r="BZ18" s="2146">
        <f t="shared" si="85"/>
        <v>0</v>
      </c>
      <c r="CA18" s="1928">
        <f t="shared" si="99"/>
        <v>23773.793270000002</v>
      </c>
      <c r="CB18" s="387"/>
      <c r="CC18" s="387">
        <f>VLOOKUP('#利润建议'!A18,'@预测#利润建议# '!$A$6:$J$43,10,0)</f>
        <v>23384.593270000001</v>
      </c>
      <c r="CD18" s="1538">
        <f t="shared" si="76"/>
        <v>389.20000000000073</v>
      </c>
      <c r="CE18" s="2053">
        <f t="shared" si="50"/>
        <v>-141.72766299999967</v>
      </c>
      <c r="CF18"/>
      <c r="CG18"/>
      <c r="CH18"/>
      <c r="CI18"/>
      <c r="CJ18"/>
      <c r="CK18"/>
      <c r="CL18"/>
      <c r="CM18"/>
      <c r="CN18"/>
      <c r="CO18"/>
      <c r="CP18" s="386"/>
      <c r="CQ18" s="386"/>
    </row>
    <row r="19" spans="1:95" s="369" customFormat="1" ht="19.5" customHeight="1">
      <c r="A19" s="2144" t="s">
        <v>116</v>
      </c>
      <c r="B19" s="2145">
        <f>SUMIFS('利润（汇总）'!13:13,'利润（汇总）'!$1:$1,B$1,'利润（汇总）'!$2:$2,B$2)</f>
        <v>-1154.7068240000001</v>
      </c>
      <c r="C19" s="1928"/>
      <c r="D19" s="1928">
        <f t="shared" si="86"/>
        <v>-1154.7068240000001</v>
      </c>
      <c r="E19" s="2145">
        <f>SUMIFS('利润（汇总）'!13:13,'利润（汇总）'!$1:$1,E$1,'利润（汇总）'!$2:$2,E$2)</f>
        <v>-322.66976099999999</v>
      </c>
      <c r="F19" s="1928"/>
      <c r="G19" s="1928">
        <f t="shared" si="87"/>
        <v>-322.66976099999999</v>
      </c>
      <c r="H19" s="2145">
        <f>SUMIFS('利润（汇总）'!13:13,'利润（汇总）'!$1:$1,H$1,'利润（汇总）'!$2:$2,H$2)</f>
        <v>-848.23684900000001</v>
      </c>
      <c r="I19" s="1928"/>
      <c r="J19" s="1928">
        <f t="shared" si="88"/>
        <v>-848.23684900000001</v>
      </c>
      <c r="K19" s="2145">
        <f>SUMIFS('利润（汇总）'!13:13,'利润（汇总）'!$1:$1,K$1,'利润（汇总）'!$2:$2,K$2)</f>
        <v>-538.53549099999998</v>
      </c>
      <c r="L19" s="1928"/>
      <c r="M19" s="1928">
        <f t="shared" si="89"/>
        <v>-538.53549099999998</v>
      </c>
      <c r="N19" s="2145">
        <f>SUMIFS('利润（汇总）'!13:13,'利润（汇总）'!$1:$1,N$1,'利润（汇总）'!$2:$2,N$2)</f>
        <v>-629</v>
      </c>
      <c r="O19" s="1928"/>
      <c r="P19" s="1928">
        <f t="shared" si="90"/>
        <v>-629</v>
      </c>
      <c r="Q19" s="2145">
        <f>SUMIFS('利润（汇总）'!13:13,'利润（汇总）'!$1:$1,Q$1,'利润（汇总）'!$2:$2,Q$2)</f>
        <v>-383.79996499999999</v>
      </c>
      <c r="R19" s="1928"/>
      <c r="S19" s="1928">
        <f t="shared" si="91"/>
        <v>-383.79996499999999</v>
      </c>
      <c r="T19" s="2145">
        <f>SUMIFS('利润（汇总）'!13:13,'利润（汇总）'!$1:$1,T$1,'利润（汇总）'!$2:$2,T$2)</f>
        <v>-367.14619599999997</v>
      </c>
      <c r="U19" s="1928"/>
      <c r="V19" s="1928">
        <f t="shared" si="92"/>
        <v>-367.14619599999997</v>
      </c>
      <c r="W19" s="2145">
        <f>SUMIFS('利润（汇总）'!13:13,'利润（汇总）'!$1:$1,W$1,'利润（汇总）'!$2:$2,W$2)</f>
        <v>-543.35842100000002</v>
      </c>
      <c r="X19" s="1928"/>
      <c r="Y19" s="1928">
        <f t="shared" si="93"/>
        <v>-543.35842100000002</v>
      </c>
      <c r="Z19" s="2145">
        <f>SUMIFS('利润（汇总）'!13:13,'利润（汇总）'!$1:$1,Z$1,'利润（汇总）'!$2:$2,Z$2)</f>
        <v>-518.39449300000001</v>
      </c>
      <c r="AA19" s="1928"/>
      <c r="AB19" s="1928">
        <f t="shared" si="94"/>
        <v>-518.39449300000001</v>
      </c>
      <c r="AC19" s="2145">
        <f>SUMIFS('利润（汇总）'!13:13,'利润（汇总）'!$1:$1,AC$1,'利润（汇总）'!$2:$2,AC$2)</f>
        <v>-323.47433599999999</v>
      </c>
      <c r="AD19" s="1928"/>
      <c r="AE19" s="1928">
        <f t="shared" si="95"/>
        <v>-323.47433599999999</v>
      </c>
      <c r="AF19" s="2145">
        <f>SUMIFS('利润（汇总）'!13:13,'利润（汇总）'!$1:$1,AF$1,'利润（汇总）'!$2:$2,AF$2)</f>
        <v>-401.83431100000001</v>
      </c>
      <c r="AG19" s="1928"/>
      <c r="AH19" s="1928">
        <f t="shared" si="96"/>
        <v>-401.83431100000001</v>
      </c>
      <c r="AI19" s="2145">
        <f>SUMIFS('利润（汇总）'!13:13,'利润（汇总）'!$1:$1,AI$1,'利润（汇总）'!$2:$2,AI$2)</f>
        <v>-364.72008699999998</v>
      </c>
      <c r="AJ19" s="2146"/>
      <c r="AK19" s="1928">
        <f t="shared" si="97"/>
        <v>-364.72008699999998</v>
      </c>
      <c r="AL19" s="2145">
        <f>SUMIFS('利润（汇总）'!13:13,'利润（汇总）'!$1:$1,AL$1,'利润（汇总）'!$2:$2,AL$2)</f>
        <v>-419.74489</v>
      </c>
      <c r="AM19" s="2146"/>
      <c r="AN19" s="1928">
        <f t="shared" si="98"/>
        <v>-419.74489</v>
      </c>
      <c r="AO19" s="2145">
        <f>SUMIFS('利润（汇总）'!13:13,'利润（汇总）'!$1:$1,AO$1,'利润（汇总）'!$2:$2,AO$2)</f>
        <v>-119.55524</v>
      </c>
      <c r="AP19" s="1928"/>
      <c r="AQ19" s="1928">
        <f t="shared" si="57"/>
        <v>-119.55524</v>
      </c>
      <c r="AR19" s="2145">
        <f>SUMIFS('利润（汇总）'!13:13,'利润（汇总）'!$1:$1,AR$1,'利润（汇总）'!$2:$2,AR$2)</f>
        <v>-636.91688499999998</v>
      </c>
      <c r="AS19" s="1928"/>
      <c r="AT19" s="1928">
        <f t="shared" si="58"/>
        <v>-636.91688499999998</v>
      </c>
      <c r="AU19" s="2145">
        <f>SUMIFS('利润（汇总）'!13:13,'利润（汇总）'!$1:$1,AU$1,'利润（汇总）'!$2:$2,AU$2)</f>
        <v>-319.147066</v>
      </c>
      <c r="AV19" s="1928"/>
      <c r="AW19" s="1928">
        <f t="shared" si="59"/>
        <v>-319.147066</v>
      </c>
      <c r="AX19" s="2145">
        <f>SUMIFS('利润（汇总）'!13:13,'利润（汇总）'!$1:$1,AX$1,'利润（汇总）'!$2:$2,AX$2)</f>
        <v>-307.72521999999998</v>
      </c>
      <c r="AY19" s="1928"/>
      <c r="AZ19" s="1928">
        <f t="shared" si="60"/>
        <v>-307.72521999999998</v>
      </c>
      <c r="BA19" s="2145">
        <f>SUMIFS('利润（汇总）'!13:13,'利润（汇总）'!$1:$1,BA$1,'利润（汇总）'!$2:$2,BA$2)</f>
        <v>-300.82155999999998</v>
      </c>
      <c r="BB19" s="1928"/>
      <c r="BC19" s="1928">
        <f t="shared" si="61"/>
        <v>-300.82155999999998</v>
      </c>
      <c r="BD19" s="2145">
        <f>SUMIFS('利润（汇总）'!13:13,'利润（汇总）'!$1:$1,BD$1,'利润（汇总）'!$2:$2,BD$2)</f>
        <v>-69.643562000000003</v>
      </c>
      <c r="BE19" s="1928"/>
      <c r="BF19" s="1928">
        <f t="shared" si="62"/>
        <v>-69.643562000000003</v>
      </c>
      <c r="BG19" s="2145">
        <f>SUMIFS('利润（汇总）'!13:13,'利润（汇总）'!$1:$1,BG$1,'利润（汇总）'!$2:$2,BG$2)</f>
        <v>-276</v>
      </c>
      <c r="BH19" s="1928"/>
      <c r="BI19" s="1928">
        <f t="shared" si="63"/>
        <v>-276</v>
      </c>
      <c r="BJ19" s="2145">
        <f>SUMIFS('利润（汇总）'!13:13,'利润（汇总）'!$1:$1,BJ$1,'利润（汇总）'!$2:$2,BJ$2)</f>
        <v>-201</v>
      </c>
      <c r="BK19" s="1928"/>
      <c r="BL19" s="1928">
        <f t="shared" si="64"/>
        <v>-201</v>
      </c>
      <c r="BM19" s="2145">
        <f>SUMIFS('利润（汇总）'!13:13,'利润（汇总）'!$1:$1,BM$1,'利润（汇总）'!$2:$2,BM$2)</f>
        <v>0</v>
      </c>
      <c r="BN19" s="1928"/>
      <c r="BO19" s="1928">
        <f t="shared" si="65"/>
        <v>0</v>
      </c>
      <c r="BP19" s="2145">
        <f>SUMIFS('利润（汇总）'!13:13,'利润（汇总）'!$1:$1,BP$1,'利润（汇总）'!$2:$2,BP$2)</f>
        <v>0</v>
      </c>
      <c r="BQ19" s="1928"/>
      <c r="BR19" s="1928">
        <f t="shared" si="66"/>
        <v>0</v>
      </c>
      <c r="BS19" s="2145">
        <f>SUMIFS('利润（汇总）'!13:13,'利润（汇总）'!$1:$1,BS$1,'利润（汇总）'!$2:$2,BS$2)</f>
        <v>0</v>
      </c>
      <c r="BT19" s="1928"/>
      <c r="BU19" s="1928">
        <f t="shared" si="67"/>
        <v>0</v>
      </c>
      <c r="BV19" s="2145">
        <f>SUMIFS('利润（汇总）'!13:13,'利润（汇总）'!$1:$1,BV$1,'利润（汇总）'!$2:$2,BV$2)</f>
        <v>0</v>
      </c>
      <c r="BW19" s="1928"/>
      <c r="BX19" s="1928">
        <f t="shared" si="68"/>
        <v>0</v>
      </c>
      <c r="BY19" s="2146">
        <f t="shared" si="84"/>
        <v>-2230.8095329999996</v>
      </c>
      <c r="BZ19" s="2146">
        <f t="shared" si="85"/>
        <v>0</v>
      </c>
      <c r="CA19" s="1928">
        <f t="shared" si="99"/>
        <v>-2230.8095329999996</v>
      </c>
      <c r="CB19" s="387"/>
      <c r="CC19" s="387">
        <f>VLOOKUP('#利润建议'!A19,'@预测#利润建议# '!$A$6:$J$43,10,0)</f>
        <v>-2299.8095329999996</v>
      </c>
      <c r="CD19" s="1538">
        <f t="shared" si="76"/>
        <v>69</v>
      </c>
      <c r="CE19" s="2053">
        <f t="shared" si="50"/>
        <v>-517.36164499999995</v>
      </c>
      <c r="CF19"/>
      <c r="CG19"/>
      <c r="CH19"/>
      <c r="CI19"/>
      <c r="CJ19"/>
      <c r="CK19"/>
      <c r="CL19"/>
      <c r="CM19"/>
      <c r="CN19"/>
      <c r="CO19"/>
      <c r="CP19" s="386"/>
      <c r="CQ19" s="386"/>
    </row>
    <row r="20" spans="1:95" s="369" customFormat="1" ht="19.5" customHeight="1">
      <c r="A20" s="2144" t="s">
        <v>117</v>
      </c>
      <c r="B20" s="2145">
        <f>SUMIFS('利润（汇总）'!14:14,'利润（汇总）'!$1:$1,B$1,'利润（汇总）'!$2:$2,B$2)</f>
        <v>-150.42948799999999</v>
      </c>
      <c r="C20" s="1928"/>
      <c r="D20" s="1928">
        <f t="shared" si="86"/>
        <v>-150.42948799999999</v>
      </c>
      <c r="E20" s="2145">
        <f>SUMIFS('利润（汇总）'!14:14,'利润（汇总）'!$1:$1,E$1,'利润（汇总）'!$2:$2,E$2)</f>
        <v>-111.484337</v>
      </c>
      <c r="F20" s="1928"/>
      <c r="G20" s="1928">
        <f t="shared" si="87"/>
        <v>-111.484337</v>
      </c>
      <c r="H20" s="2145">
        <f>SUMIFS('利润（汇总）'!14:14,'利润（汇总）'!$1:$1,H$1,'利润（汇总）'!$2:$2,H$2)</f>
        <v>-43.203899999999997</v>
      </c>
      <c r="I20" s="1928"/>
      <c r="J20" s="1928">
        <f t="shared" si="88"/>
        <v>-43.203899999999997</v>
      </c>
      <c r="K20" s="2145">
        <f>SUMIFS('利润（汇总）'!14:14,'利润（汇总）'!$1:$1,K$1,'利润（汇总）'!$2:$2,K$2)</f>
        <v>13.588082999999999</v>
      </c>
      <c r="L20" s="1928"/>
      <c r="M20" s="1928">
        <f t="shared" si="89"/>
        <v>13.588082999999999</v>
      </c>
      <c r="N20" s="2145">
        <f>SUMIFS('利润（汇总）'!14:14,'利润（汇总）'!$1:$1,N$1,'利润（汇总）'!$2:$2,N$2)</f>
        <v>17.928792999999999</v>
      </c>
      <c r="O20" s="1928"/>
      <c r="P20" s="1928">
        <f t="shared" si="90"/>
        <v>17.928792999999999</v>
      </c>
      <c r="Q20" s="2145">
        <f>SUMIFS('利润（汇总）'!14:14,'利润（汇总）'!$1:$1,Q$1,'利润（汇总）'!$2:$2,Q$2)</f>
        <v>-37.908216000000003</v>
      </c>
      <c r="R20" s="1928"/>
      <c r="S20" s="1928">
        <f t="shared" si="91"/>
        <v>-37.908216000000003</v>
      </c>
      <c r="T20" s="2145">
        <f>SUMIFS('利润（汇总）'!14:14,'利润（汇总）'!$1:$1,T$1,'利润（汇总）'!$2:$2,T$2)</f>
        <v>15.250419000000001</v>
      </c>
      <c r="U20" s="1928"/>
      <c r="V20" s="1928">
        <f t="shared" si="92"/>
        <v>15.250419000000001</v>
      </c>
      <c r="W20" s="2145">
        <f>SUMIFS('利润（汇总）'!14:14,'利润（汇总）'!$1:$1,W$1,'利润（汇总）'!$2:$2,W$2)</f>
        <v>-130.38083399999999</v>
      </c>
      <c r="X20" s="1928"/>
      <c r="Y20" s="1928">
        <f t="shared" si="93"/>
        <v>-130.38083399999999</v>
      </c>
      <c r="Z20" s="2145">
        <f>SUMIFS('利润（汇总）'!14:14,'利润（汇总）'!$1:$1,Z$1,'利润（汇总）'!$2:$2,Z$2)</f>
        <v>32.776932000000002</v>
      </c>
      <c r="AA20" s="1928"/>
      <c r="AB20" s="1928">
        <f t="shared" si="94"/>
        <v>32.776932000000002</v>
      </c>
      <c r="AC20" s="2145">
        <f>SUMIFS('利润（汇总）'!14:14,'利润（汇总）'!$1:$1,AC$1,'利润（汇总）'!$2:$2,AC$2)</f>
        <v>13.493278</v>
      </c>
      <c r="AD20" s="1928"/>
      <c r="AE20" s="1928">
        <f t="shared" si="95"/>
        <v>13.493278</v>
      </c>
      <c r="AF20" s="2145">
        <f>SUMIFS('利润（汇总）'!14:14,'利润（汇总）'!$1:$1,AF$1,'利润（汇总）'!$2:$2,AF$2)</f>
        <v>139.192283</v>
      </c>
      <c r="AG20" s="1928"/>
      <c r="AH20" s="1928">
        <f t="shared" si="96"/>
        <v>139.192283</v>
      </c>
      <c r="AI20" s="2145">
        <f>SUMIFS('利润（汇总）'!14:14,'利润（汇总）'!$1:$1,AI$1,'利润（汇总）'!$2:$2,AI$2)</f>
        <v>33.377716999999997</v>
      </c>
      <c r="AJ20" s="2146"/>
      <c r="AK20" s="1928">
        <f t="shared" si="97"/>
        <v>33.377716999999997</v>
      </c>
      <c r="AL20" s="2145">
        <f>SUMIFS('利润（汇总）'!14:14,'利润（汇总）'!$1:$1,AL$1,'利润（汇总）'!$2:$2,AL$2)</f>
        <v>277.05381699999998</v>
      </c>
      <c r="AM20" s="2146"/>
      <c r="AN20" s="1928">
        <f t="shared" si="98"/>
        <v>277.05381699999998</v>
      </c>
      <c r="AO20" s="2145">
        <f>SUMIFS('利润（汇总）'!14:14,'利润（汇总）'!$1:$1,AO$1,'利润（汇总）'!$2:$2,AO$2)</f>
        <v>-112.691833</v>
      </c>
      <c r="AP20" s="1928"/>
      <c r="AQ20" s="1928">
        <f t="shared" si="57"/>
        <v>-112.691833</v>
      </c>
      <c r="AR20" s="2145">
        <f>SUMIFS('利润（汇总）'!14:14,'利润（汇总）'!$1:$1,AR$1,'利润（汇总）'!$2:$2,AR$2)</f>
        <v>-182.09091699999999</v>
      </c>
      <c r="AS20" s="1928"/>
      <c r="AT20" s="1928">
        <f t="shared" si="58"/>
        <v>-182.09091699999999</v>
      </c>
      <c r="AU20" s="2145">
        <f>SUMIFS('利润（汇总）'!14:14,'利润（汇总）'!$1:$1,AU$1,'利润（汇总）'!$2:$2,AU$2)</f>
        <v>204.75301200000001</v>
      </c>
      <c r="AV20" s="1928"/>
      <c r="AW20" s="1928">
        <f t="shared" si="59"/>
        <v>204.75301200000001</v>
      </c>
      <c r="AX20" s="2145">
        <f>SUMIFS('利润（汇总）'!14:14,'利润（汇总）'!$1:$1,AX$1,'利润（汇总）'!$2:$2,AX$2)</f>
        <v>77.980378000000002</v>
      </c>
      <c r="AY20" s="1928"/>
      <c r="AZ20" s="1928">
        <f t="shared" si="60"/>
        <v>77.980378000000002</v>
      </c>
      <c r="BA20" s="2145">
        <f>SUMIFS('利润（汇总）'!14:14,'利润（汇总）'!$1:$1,BA$1,'利润（汇总）'!$2:$2,BA$2)</f>
        <v>111.122153</v>
      </c>
      <c r="BB20" s="1928"/>
      <c r="BC20" s="1928">
        <f t="shared" si="61"/>
        <v>111.122153</v>
      </c>
      <c r="BD20" s="2145">
        <f>SUMIFS('利润（汇总）'!14:14,'利润（汇总）'!$1:$1,BD$1,'利润（汇总）'!$2:$2,BD$2)</f>
        <v>292.25281999999999</v>
      </c>
      <c r="BE20" s="1928"/>
      <c r="BF20" s="1928">
        <f t="shared" si="62"/>
        <v>292.25281999999999</v>
      </c>
      <c r="BG20" s="2145">
        <f>SUMIFS('利润（汇总）'!14:14,'利润（汇总）'!$1:$1,BG$1,'利润（汇总）'!$2:$2,BG$2)</f>
        <v>-210.11</v>
      </c>
      <c r="BH20" s="1928"/>
      <c r="BI20" s="1928">
        <f t="shared" si="63"/>
        <v>-210.11</v>
      </c>
      <c r="BJ20" s="2145">
        <f>SUMIFS('利润（汇总）'!14:14,'利润（汇总）'!$1:$1,BJ$1,'利润（汇总）'!$2:$2,BJ$2)</f>
        <v>186.59</v>
      </c>
      <c r="BK20" s="1928"/>
      <c r="BL20" s="1928">
        <f t="shared" si="64"/>
        <v>186.59</v>
      </c>
      <c r="BM20" s="2145">
        <f>SUMIFS('利润（汇总）'!14:14,'利润（汇总）'!$1:$1,BM$1,'利润（汇总）'!$2:$2,BM$2)</f>
        <v>0</v>
      </c>
      <c r="BN20" s="1928"/>
      <c r="BO20" s="1928">
        <f t="shared" si="65"/>
        <v>0</v>
      </c>
      <c r="BP20" s="2145">
        <f>SUMIFS('利润（汇总）'!14:14,'利润（汇总）'!$1:$1,BP$1,'利润（汇总）'!$2:$2,BP$2)</f>
        <v>0</v>
      </c>
      <c r="BQ20" s="1928"/>
      <c r="BR20" s="1928">
        <f t="shared" si="66"/>
        <v>0</v>
      </c>
      <c r="BS20" s="2145">
        <f>SUMIFS('利润（汇总）'!14:14,'利润（汇总）'!$1:$1,BS$1,'利润（汇总）'!$2:$2,BS$2)</f>
        <v>0</v>
      </c>
      <c r="BT20" s="1928"/>
      <c r="BU20" s="1928">
        <f t="shared" si="67"/>
        <v>0</v>
      </c>
      <c r="BV20" s="2145">
        <f>SUMIFS('利润（汇总）'!14:14,'利润（汇总）'!$1:$1,BV$1,'利润（汇总）'!$2:$2,BV$2)</f>
        <v>0</v>
      </c>
      <c r="BW20" s="1928"/>
      <c r="BX20" s="1928">
        <f t="shared" si="68"/>
        <v>0</v>
      </c>
      <c r="BY20" s="2146">
        <f t="shared" si="84"/>
        <v>367.80561299999999</v>
      </c>
      <c r="BZ20" s="2146">
        <f t="shared" si="85"/>
        <v>0</v>
      </c>
      <c r="CA20" s="1928">
        <f t="shared" si="99"/>
        <v>367.80561299999999</v>
      </c>
      <c r="CB20" s="387"/>
      <c r="CC20" s="387">
        <f>VLOOKUP('#利润建议'!A20,'@预测#利润建议# '!$A$6:$J$43,10,0)</f>
        <v>191.21561300000002</v>
      </c>
      <c r="CD20" s="1538">
        <f t="shared" si="76"/>
        <v>176.58999999999997</v>
      </c>
      <c r="CE20" s="2053">
        <f t="shared" si="50"/>
        <v>-69.399083999999988</v>
      </c>
      <c r="CF20"/>
      <c r="CG20"/>
      <c r="CH20"/>
      <c r="CI20"/>
      <c r="CJ20"/>
      <c r="CK20"/>
      <c r="CL20"/>
      <c r="CM20"/>
      <c r="CN20"/>
      <c r="CO20"/>
      <c r="CP20" s="386"/>
      <c r="CQ20" s="386"/>
    </row>
    <row r="21" spans="1:95" s="369" customFormat="1" ht="19.5" customHeight="1">
      <c r="A21" s="2144" t="s">
        <v>118</v>
      </c>
      <c r="B21" s="2145">
        <f>SUMIFS('利润（汇总）'!15:15,'利润（汇总）'!$1:$1,B$1,'利润（汇总）'!$2:$2,B$2)</f>
        <v>-154.16143099999999</v>
      </c>
      <c r="C21" s="1928"/>
      <c r="D21" s="1928">
        <f t="shared" si="86"/>
        <v>-154.16143099999999</v>
      </c>
      <c r="E21" s="2145">
        <f>SUMIFS('利润（汇总）'!15:15,'利润（汇总）'!$1:$1,E$1,'利润（汇总）'!$2:$2,E$2)</f>
        <v>-265.46408200000002</v>
      </c>
      <c r="F21" s="1928"/>
      <c r="G21" s="1928">
        <f t="shared" si="87"/>
        <v>-265.46408200000002</v>
      </c>
      <c r="H21" s="2145">
        <f>SUMIFS('利润（汇总）'!15:15,'利润（汇总）'!$1:$1,H$1,'利润（汇总）'!$2:$2,H$2)</f>
        <v>-141.496049</v>
      </c>
      <c r="I21" s="1928"/>
      <c r="J21" s="1928">
        <f t="shared" si="88"/>
        <v>-141.496049</v>
      </c>
      <c r="K21" s="2145">
        <f>SUMIFS('利润（汇总）'!15:15,'利润（汇总）'!$1:$1,K$1,'利润（汇总）'!$2:$2,K$2)</f>
        <v>-250.286295</v>
      </c>
      <c r="L21" s="1928"/>
      <c r="M21" s="1928">
        <f t="shared" si="89"/>
        <v>-250.286295</v>
      </c>
      <c r="N21" s="2145">
        <f>SUMIFS('利润（汇总）'!15:15,'利润（汇总）'!$1:$1,N$1,'利润（汇总）'!$2:$2,N$2)</f>
        <v>242.671448</v>
      </c>
      <c r="O21" s="1928"/>
      <c r="P21" s="1928">
        <f t="shared" si="90"/>
        <v>242.671448</v>
      </c>
      <c r="Q21" s="2145">
        <f>SUMIFS('利润（汇总）'!15:15,'利润（汇总）'!$1:$1,Q$1,'利润（汇总）'!$2:$2,Q$2)</f>
        <v>386.76842499999998</v>
      </c>
      <c r="R21" s="1928"/>
      <c r="S21" s="1928">
        <f t="shared" si="91"/>
        <v>386.76842499999998</v>
      </c>
      <c r="T21" s="2145">
        <f>SUMIFS('利润（汇总）'!15:15,'利润（汇总）'!$1:$1,T$1,'利润（汇总）'!$2:$2,T$2)</f>
        <v>650.96035700000004</v>
      </c>
      <c r="U21" s="1928"/>
      <c r="V21" s="1928">
        <f t="shared" si="92"/>
        <v>650.96035700000004</v>
      </c>
      <c r="W21" s="2145">
        <f>SUMIFS('利润（汇总）'!15:15,'利润（汇总）'!$1:$1,W$1,'利润（汇总）'!$2:$2,W$2)</f>
        <v>247.233439</v>
      </c>
      <c r="X21" s="1928"/>
      <c r="Y21" s="1928">
        <f t="shared" si="93"/>
        <v>247.233439</v>
      </c>
      <c r="Z21" s="2145">
        <f>SUMIFS('利润（汇总）'!15:15,'利润（汇总）'!$1:$1,Z$1,'利润（汇总）'!$2:$2,Z$2)</f>
        <v>211.451887</v>
      </c>
      <c r="AA21" s="1928"/>
      <c r="AB21" s="1928">
        <f t="shared" si="94"/>
        <v>211.451887</v>
      </c>
      <c r="AC21" s="2145">
        <f>SUMIFS('利润（汇总）'!15:15,'利润（汇总）'!$1:$1,AC$1,'利润（汇总）'!$2:$2,AC$2)</f>
        <v>220.56639300000001</v>
      </c>
      <c r="AD21" s="1928"/>
      <c r="AE21" s="1928">
        <f t="shared" si="95"/>
        <v>220.56639300000001</v>
      </c>
      <c r="AF21" s="2145">
        <f>SUMIFS('利润（汇总）'!15:15,'利润（汇总）'!$1:$1,AF$1,'利润（汇总）'!$2:$2,AF$2)</f>
        <v>146.895295</v>
      </c>
      <c r="AG21" s="1928"/>
      <c r="AH21" s="1928">
        <f t="shared" si="96"/>
        <v>146.895295</v>
      </c>
      <c r="AI21" s="2145">
        <f>SUMIFS('利润（汇总）'!15:15,'利润（汇总）'!$1:$1,AI$1,'利润（汇总）'!$2:$2,AI$2)</f>
        <v>146.26645400000001</v>
      </c>
      <c r="AJ21" s="2146"/>
      <c r="AK21" s="1928">
        <f t="shared" si="97"/>
        <v>146.26645400000001</v>
      </c>
      <c r="AL21" s="2145">
        <f>SUMIFS('利润（汇总）'!15:15,'利润（汇总）'!$1:$1,AL$1,'利润（汇总）'!$2:$2,AL$2)</f>
        <v>-469.80387200000001</v>
      </c>
      <c r="AM21" s="2146"/>
      <c r="AN21" s="1928">
        <f t="shared" si="98"/>
        <v>-469.80387200000001</v>
      </c>
      <c r="AO21" s="2145">
        <f>SUMIFS('利润（汇总）'!15:15,'利润（汇总）'!$1:$1,AO$1,'利润（汇总）'!$2:$2,AO$2)</f>
        <v>-148.860467</v>
      </c>
      <c r="AP21" s="1928"/>
      <c r="AQ21" s="1928">
        <f t="shared" si="57"/>
        <v>-148.860467</v>
      </c>
      <c r="AR21" s="2145">
        <f>SUMIFS('利润（汇总）'!15:15,'利润（汇总）'!$1:$1,AR$1,'利润（汇总）'!$2:$2,AR$2)</f>
        <v>-233.03101599999999</v>
      </c>
      <c r="AS21" s="1928"/>
      <c r="AT21" s="1928">
        <f t="shared" si="58"/>
        <v>-233.03101599999999</v>
      </c>
      <c r="AU21" s="2145">
        <f>SUMIFS('利润（汇总）'!15:15,'利润（汇总）'!$1:$1,AU$1,'利润（汇总）'!$2:$2,AU$2)</f>
        <v>384.49211500000001</v>
      </c>
      <c r="AV21" s="1928"/>
      <c r="AW21" s="1928">
        <f t="shared" si="59"/>
        <v>384.49211500000001</v>
      </c>
      <c r="AX21" s="2145">
        <f>SUMIFS('利润（汇总）'!15:15,'利润（汇总）'!$1:$1,AX$1,'利润（汇总）'!$2:$2,AX$2)</f>
        <v>-297.43743899999998</v>
      </c>
      <c r="AY21" s="1928"/>
      <c r="AZ21" s="1928">
        <f t="shared" si="60"/>
        <v>-297.43743899999998</v>
      </c>
      <c r="BA21" s="2145">
        <f>SUMIFS('利润（汇总）'!15:15,'利润（汇总）'!$1:$1,BA$1,'利润（汇总）'!$2:$2,BA$2)</f>
        <v>69.141966999999994</v>
      </c>
      <c r="BB21" s="1928"/>
      <c r="BC21" s="1928">
        <f t="shared" si="61"/>
        <v>69.141966999999994</v>
      </c>
      <c r="BD21" s="2145">
        <f>SUMIFS('利润（汇总）'!15:15,'利润（汇总）'!$1:$1,BD$1,'利润（汇总）'!$2:$2,BD$2)</f>
        <v>812.08310100000006</v>
      </c>
      <c r="BE21" s="1928"/>
      <c r="BF21" s="1928">
        <f t="shared" si="62"/>
        <v>812.08310100000006</v>
      </c>
      <c r="BG21" s="2145">
        <f>SUMIFS('利润（汇总）'!15:15,'利润（汇总）'!$1:$1,BG$1,'利润（汇总）'!$2:$2,BG$2)</f>
        <v>-185.81</v>
      </c>
      <c r="BH21" s="1928"/>
      <c r="BI21" s="1928">
        <f t="shared" si="63"/>
        <v>-185.81</v>
      </c>
      <c r="BJ21" s="2145">
        <f>SUMIFS('利润（汇总）'!15:15,'利润（汇总）'!$1:$1,BJ$1,'利润（汇总）'!$2:$2,BJ$2)</f>
        <v>-201.42</v>
      </c>
      <c r="BK21" s="1928"/>
      <c r="BL21" s="1928">
        <f t="shared" si="64"/>
        <v>-201.42</v>
      </c>
      <c r="BM21" s="2145">
        <f>SUMIFS('利润（汇总）'!15:15,'利润（汇总）'!$1:$1,BM$1,'利润（汇总）'!$2:$2,BM$2)</f>
        <v>0</v>
      </c>
      <c r="BN21" s="1928"/>
      <c r="BO21" s="1928">
        <f t="shared" si="65"/>
        <v>0</v>
      </c>
      <c r="BP21" s="2145">
        <f>SUMIFS('利润（汇总）'!15:15,'利润（汇总）'!$1:$1,BP$1,'利润（汇总）'!$2:$2,BP$2)</f>
        <v>0</v>
      </c>
      <c r="BQ21" s="1928"/>
      <c r="BR21" s="1928">
        <f t="shared" si="66"/>
        <v>0</v>
      </c>
      <c r="BS21" s="2145">
        <f>SUMIFS('利润（汇总）'!15:15,'利润（汇总）'!$1:$1,BS$1,'利润（汇总）'!$2:$2,BS$2)</f>
        <v>0</v>
      </c>
      <c r="BT21" s="1928"/>
      <c r="BU21" s="1928">
        <f t="shared" si="67"/>
        <v>0</v>
      </c>
      <c r="BV21" s="2145">
        <f>SUMIFS('利润（汇总）'!15:15,'利润（汇总）'!$1:$1,BV$1,'利润（汇总）'!$2:$2,BV$2)</f>
        <v>0</v>
      </c>
      <c r="BW21" s="1928"/>
      <c r="BX21" s="1928">
        <f t="shared" si="68"/>
        <v>0</v>
      </c>
      <c r="BY21" s="2146">
        <f t="shared" si="84"/>
        <v>199.15826100000007</v>
      </c>
      <c r="BZ21" s="2146">
        <f t="shared" si="85"/>
        <v>0</v>
      </c>
      <c r="CA21" s="1928">
        <f t="shared" si="99"/>
        <v>199.15826100000007</v>
      </c>
      <c r="CB21" s="387"/>
      <c r="CC21" s="387">
        <f>VLOOKUP('#利润建议'!A21,'@预测#利润建议# '!$A$6:$J$43,10,0)</f>
        <v>546.57826100000011</v>
      </c>
      <c r="CD21" s="1538">
        <f t="shared" si="76"/>
        <v>-347.42000000000007</v>
      </c>
      <c r="CE21" s="2053">
        <f t="shared" si="50"/>
        <v>-84.170548999999994</v>
      </c>
      <c r="CF21"/>
      <c r="CG21"/>
      <c r="CH21"/>
      <c r="CI21"/>
      <c r="CJ21"/>
      <c r="CK21"/>
      <c r="CL21"/>
      <c r="CM21"/>
      <c r="CN21"/>
      <c r="CO21"/>
      <c r="CP21" s="386"/>
      <c r="CQ21" s="386"/>
    </row>
    <row r="22" spans="1:95" s="369" customFormat="1" ht="19.5" customHeight="1">
      <c r="A22" s="2144" t="s">
        <v>119</v>
      </c>
      <c r="B22" s="2145">
        <f>SUMIFS('利润（汇总）'!16:16,'利润（汇总）'!$1:$1,B$1,'利润（汇总）'!$2:$2,B$2)</f>
        <v>-268.30397199999999</v>
      </c>
      <c r="C22" s="1928"/>
      <c r="D22" s="1928">
        <f t="shared" si="86"/>
        <v>-268.30397199999999</v>
      </c>
      <c r="E22" s="2145">
        <f>SUMIFS('利润（汇总）'!16:16,'利润（汇总）'!$1:$1,E$1,'利润（汇总）'!$2:$2,E$2)</f>
        <v>-248.66205500000001</v>
      </c>
      <c r="F22" s="1928"/>
      <c r="G22" s="1928">
        <f t="shared" si="87"/>
        <v>-248.66205500000001</v>
      </c>
      <c r="H22" s="2145">
        <f>SUMIFS('利润（汇总）'!16:16,'利润（汇总）'!$1:$1,H$1,'利润（汇总）'!$2:$2,H$2)</f>
        <v>-84.564808999999997</v>
      </c>
      <c r="I22" s="1928"/>
      <c r="J22" s="1928">
        <f t="shared" si="88"/>
        <v>-84.564808999999997</v>
      </c>
      <c r="K22" s="2145">
        <f>SUMIFS('利润（汇总）'!16:16,'利润（汇总）'!$1:$1,K$1,'利润（汇总）'!$2:$2,K$2)</f>
        <v>-44.905551000000003</v>
      </c>
      <c r="L22" s="1928"/>
      <c r="M22" s="1928">
        <f t="shared" si="89"/>
        <v>-44.905551000000003</v>
      </c>
      <c r="N22" s="2145">
        <f>SUMIFS('利润（汇总）'!16:16,'利润（汇总）'!$1:$1,N$1,'利润（汇总）'!$2:$2,N$2)</f>
        <v>-38.425776999999997</v>
      </c>
      <c r="O22" s="1928"/>
      <c r="P22" s="1928">
        <f t="shared" si="90"/>
        <v>-38.425776999999997</v>
      </c>
      <c r="Q22" s="2145">
        <f>SUMIFS('利润（汇总）'!16:16,'利润（汇总）'!$1:$1,Q$1,'利润（汇总）'!$2:$2,Q$2)</f>
        <v>-34.706012999999999</v>
      </c>
      <c r="R22" s="1928"/>
      <c r="S22" s="1928">
        <f t="shared" si="91"/>
        <v>-34.706012999999999</v>
      </c>
      <c r="T22" s="2145">
        <f>SUMIFS('利润（汇总）'!16:16,'利润（汇总）'!$1:$1,T$1,'利润（汇总）'!$2:$2,T$2)</f>
        <v>-10.648019</v>
      </c>
      <c r="U22" s="1928"/>
      <c r="V22" s="1928">
        <f t="shared" si="92"/>
        <v>-10.648019</v>
      </c>
      <c r="W22" s="2145">
        <f>SUMIFS('利润（汇总）'!16:16,'利润（汇总）'!$1:$1,W$1,'利润（汇总）'!$2:$2,W$2)</f>
        <v>1.8426210000000001</v>
      </c>
      <c r="X22" s="1928"/>
      <c r="Y22" s="1928">
        <f t="shared" si="93"/>
        <v>1.8426210000000001</v>
      </c>
      <c r="Z22" s="2145">
        <f>SUMIFS('利润（汇总）'!16:16,'利润（汇总）'!$1:$1,Z$1,'利润（汇总）'!$2:$2,Z$2)</f>
        <v>8.1367759999999993</v>
      </c>
      <c r="AA22" s="1928"/>
      <c r="AB22" s="1928">
        <f t="shared" si="94"/>
        <v>8.1367759999999993</v>
      </c>
      <c r="AC22" s="2145">
        <f>SUMIFS('利润（汇总）'!16:16,'利润（汇总）'!$1:$1,AC$1,'利润（汇总）'!$2:$2,AC$2)</f>
        <v>11.686394999999999</v>
      </c>
      <c r="AD22" s="1928"/>
      <c r="AE22" s="1928">
        <f t="shared" si="95"/>
        <v>11.686394999999999</v>
      </c>
      <c r="AF22" s="2145">
        <f>SUMIFS('利润（汇总）'!16:16,'利润（汇总）'!$1:$1,AF$1,'利润（汇总）'!$2:$2,AF$2)</f>
        <v>9.4617020000000007</v>
      </c>
      <c r="AG22" s="1928"/>
      <c r="AH22" s="1928">
        <f t="shared" si="96"/>
        <v>9.4617020000000007</v>
      </c>
      <c r="AI22" s="2145">
        <f>SUMIFS('利润（汇总）'!16:16,'利润（汇总）'!$1:$1,AI$1,'利润（汇总）'!$2:$2,AI$2)</f>
        <v>25.581301</v>
      </c>
      <c r="AJ22" s="2146"/>
      <c r="AK22" s="1928">
        <f t="shared" si="97"/>
        <v>25.581301</v>
      </c>
      <c r="AL22" s="2145">
        <f>SUMIFS('利润（汇总）'!16:16,'利润（汇总）'!$1:$1,AL$1,'利润（汇总）'!$2:$2,AL$2)</f>
        <v>-363.12925799999999</v>
      </c>
      <c r="AM22" s="2146"/>
      <c r="AN22" s="1928">
        <f t="shared" si="98"/>
        <v>-363.12925799999999</v>
      </c>
      <c r="AO22" s="2145">
        <f>SUMIFS('利润（汇总）'!16:16,'利润（汇总）'!$1:$1,AO$1,'利润（汇总）'!$2:$2,AO$2)</f>
        <v>8.4435780000000005</v>
      </c>
      <c r="AP22" s="1928"/>
      <c r="AQ22" s="1928">
        <f t="shared" si="57"/>
        <v>8.4435780000000005</v>
      </c>
      <c r="AR22" s="2145">
        <f>SUMIFS('利润（汇总）'!16:16,'利润（汇总）'!$1:$1,AR$1,'利润（汇总）'!$2:$2,AR$2)</f>
        <v>7.3287719999999998</v>
      </c>
      <c r="AS22" s="1928"/>
      <c r="AT22" s="1928">
        <f t="shared" si="58"/>
        <v>7.3287719999999998</v>
      </c>
      <c r="AU22" s="2145">
        <f>SUMIFS('利润（汇总）'!16:16,'利润（汇总）'!$1:$1,AU$1,'利润（汇总）'!$2:$2,AU$2)</f>
        <v>10.983580999999999</v>
      </c>
      <c r="AV22" s="1928"/>
      <c r="AW22" s="1928">
        <f t="shared" si="59"/>
        <v>10.983580999999999</v>
      </c>
      <c r="AX22" s="2145">
        <f>SUMIFS('利润（汇总）'!16:16,'利润（汇总）'!$1:$1,AX$1,'利润（汇总）'!$2:$2,AX$2)</f>
        <v>8.9534199999999995</v>
      </c>
      <c r="AY22" s="1928"/>
      <c r="AZ22" s="1928">
        <f t="shared" si="60"/>
        <v>8.9534199999999995</v>
      </c>
      <c r="BA22" s="2145">
        <f>SUMIFS('利润（汇总）'!16:16,'利润（汇总）'!$1:$1,BA$1,'利润（汇总）'!$2:$2,BA$2)</f>
        <v>10.457039999999999</v>
      </c>
      <c r="BB22" s="1928"/>
      <c r="BC22" s="1928">
        <f t="shared" si="61"/>
        <v>10.457039999999999</v>
      </c>
      <c r="BD22" s="2145">
        <f>SUMIFS('利润（汇总）'!16:16,'利润（汇总）'!$1:$1,BD$1,'利润（汇总）'!$2:$2,BD$2)</f>
        <v>214.497873</v>
      </c>
      <c r="BE22" s="1928"/>
      <c r="BF22" s="1928">
        <f t="shared" si="62"/>
        <v>214.497873</v>
      </c>
      <c r="BG22" s="2145">
        <f>SUMIFS('利润（汇总）'!16:16,'利润（汇总）'!$1:$1,BG$1,'利润（汇总）'!$2:$2,BG$2)</f>
        <v>14</v>
      </c>
      <c r="BH22" s="1928"/>
      <c r="BI22" s="1928">
        <f t="shared" si="63"/>
        <v>14</v>
      </c>
      <c r="BJ22" s="2145">
        <f>SUMIFS('利润（汇总）'!16:16,'利润（汇总）'!$1:$1,BJ$1,'利润（汇总）'!$2:$2,BJ$2)</f>
        <v>13</v>
      </c>
      <c r="BK22" s="1928"/>
      <c r="BL22" s="1928">
        <f t="shared" si="64"/>
        <v>13</v>
      </c>
      <c r="BM22" s="2145">
        <f>SUMIFS('利润（汇总）'!16:16,'利润（汇总）'!$1:$1,BM$1,'利润（汇总）'!$2:$2,BM$2)</f>
        <v>0</v>
      </c>
      <c r="BN22" s="1928"/>
      <c r="BO22" s="1928">
        <f t="shared" si="65"/>
        <v>0</v>
      </c>
      <c r="BP22" s="2145">
        <f>SUMIFS('利润（汇总）'!16:16,'利润（汇总）'!$1:$1,BP$1,'利润（汇总）'!$2:$2,BP$2)</f>
        <v>0</v>
      </c>
      <c r="BQ22" s="1928"/>
      <c r="BR22" s="1928">
        <f t="shared" si="66"/>
        <v>0</v>
      </c>
      <c r="BS22" s="2145">
        <f>SUMIFS('利润（汇总）'!16:16,'利润（汇总）'!$1:$1,BS$1,'利润（汇总）'!$2:$2,BS$2)</f>
        <v>0</v>
      </c>
      <c r="BT22" s="1928"/>
      <c r="BU22" s="1928">
        <f t="shared" si="67"/>
        <v>0</v>
      </c>
      <c r="BV22" s="2145">
        <f>SUMIFS('利润（汇总）'!16:16,'利润（汇总）'!$1:$1,BV$1,'利润（汇总）'!$2:$2,BV$2)</f>
        <v>0</v>
      </c>
      <c r="BW22" s="1928"/>
      <c r="BX22" s="1928">
        <f t="shared" si="68"/>
        <v>0</v>
      </c>
      <c r="BY22" s="2146">
        <f t="shared" si="84"/>
        <v>287.664264</v>
      </c>
      <c r="BZ22" s="2146">
        <f t="shared" si="85"/>
        <v>0</v>
      </c>
      <c r="CA22" s="1928">
        <f t="shared" si="99"/>
        <v>287.664264</v>
      </c>
      <c r="CB22" s="387"/>
      <c r="CC22" s="387">
        <f>VLOOKUP('#利润建议'!A22,'@预测#利润建议# '!$A$6:$J$43,10,0)</f>
        <v>289.664264</v>
      </c>
      <c r="CD22" s="1538">
        <f t="shared" si="76"/>
        <v>-2</v>
      </c>
      <c r="CE22" s="2053">
        <f t="shared" si="50"/>
        <v>-1.1148060000000006</v>
      </c>
      <c r="CF22"/>
      <c r="CG22"/>
      <c r="CH22"/>
      <c r="CI22"/>
      <c r="CJ22"/>
      <c r="CK22"/>
      <c r="CL22"/>
      <c r="CM22"/>
      <c r="CN22"/>
      <c r="CO22"/>
      <c r="CP22" s="386"/>
      <c r="CQ22" s="386"/>
    </row>
    <row r="23" spans="1:95" s="369" customFormat="1" ht="19.5" customHeight="1">
      <c r="A23" s="2144" t="s">
        <v>121</v>
      </c>
      <c r="B23" s="2145">
        <f>SUMIFS('利润（汇总）'!17:17,'利润（汇总）'!$1:$1,B$1,'利润（汇总）'!$2:$2,B$2)</f>
        <v>767.92335000000003</v>
      </c>
      <c r="C23" s="1928"/>
      <c r="D23" s="1928">
        <f t="shared" si="3"/>
        <v>767.92335000000003</v>
      </c>
      <c r="E23" s="2145">
        <f>SUMIFS('利润（汇总）'!17:17,'利润（汇总）'!$1:$1,E$1,'利润（汇总）'!$2:$2,E$2)</f>
        <v>1285.019209</v>
      </c>
      <c r="F23" s="1928"/>
      <c r="G23" s="1928">
        <f t="shared" si="69"/>
        <v>1285.019209</v>
      </c>
      <c r="H23" s="2145">
        <f>SUMIFS('利润（汇总）'!17:17,'利润（汇总）'!$1:$1,H$1,'利润（汇总）'!$2:$2,H$2)</f>
        <v>-487.94154099999997</v>
      </c>
      <c r="I23" s="1928"/>
      <c r="J23" s="1928">
        <f t="shared" si="70"/>
        <v>-487.94154099999997</v>
      </c>
      <c r="K23" s="2145">
        <f>SUMIFS('利润（汇总）'!17:17,'利润（汇总）'!$1:$1,K$1,'利润（汇总）'!$2:$2,K$2)</f>
        <v>1199.0477880000001</v>
      </c>
      <c r="L23" s="1928"/>
      <c r="M23" s="1928">
        <f t="shared" si="71"/>
        <v>1199.0477880000001</v>
      </c>
      <c r="N23" s="2145">
        <f>SUMIFS('利润（汇总）'!17:17,'利润（汇总）'!$1:$1,N$1,'利润（汇总）'!$2:$2,N$2)</f>
        <v>2234.651437</v>
      </c>
      <c r="O23" s="1928"/>
      <c r="P23" s="1928">
        <f t="shared" si="72"/>
        <v>2234.651437</v>
      </c>
      <c r="Q23" s="2145">
        <f>SUMIFS('利润（汇总）'!17:17,'利润（汇总）'!$1:$1,Q$1,'利润（汇总）'!$2:$2,Q$2)</f>
        <v>609.79027199999996</v>
      </c>
      <c r="R23" s="1928"/>
      <c r="S23" s="1928">
        <f t="shared" si="51"/>
        <v>609.79027199999996</v>
      </c>
      <c r="T23" s="2145">
        <f>SUMIFS('利润（汇总）'!17:17,'利润（汇总）'!$1:$1,T$1,'利润（汇总）'!$2:$2,T$2)</f>
        <v>3034.789538</v>
      </c>
      <c r="U23" s="1928"/>
      <c r="V23" s="1928">
        <f t="shared" si="73"/>
        <v>3034.789538</v>
      </c>
      <c r="W23" s="2145">
        <f>SUMIFS('利润（汇总）'!17:17,'利润（汇总）'!$1:$1,W$1,'利润（汇总）'!$2:$2,W$2)</f>
        <v>2072.351893</v>
      </c>
      <c r="X23" s="1928"/>
      <c r="Y23" s="1928">
        <f t="shared" si="52"/>
        <v>2072.351893</v>
      </c>
      <c r="Z23" s="2145">
        <f>SUMIFS('利润（汇总）'!17:17,'利润（汇总）'!$1:$1,Z$1,'利润（汇总）'!$2:$2,Z$2)</f>
        <v>1061.027139</v>
      </c>
      <c r="AA23" s="1928"/>
      <c r="AB23" s="1928">
        <f t="shared" si="53"/>
        <v>1061.027139</v>
      </c>
      <c r="AC23" s="2145">
        <f>SUMIFS('利润（汇总）'!17:17,'利润（汇总）'!$1:$1,AC$1,'利润（汇总）'!$2:$2,AC$2)</f>
        <v>-730.41702599999996</v>
      </c>
      <c r="AD23" s="1928"/>
      <c r="AE23" s="1928">
        <f t="shared" si="54"/>
        <v>-730.41702599999996</v>
      </c>
      <c r="AF23" s="2145">
        <f>SUMIFS('利润（汇总）'!17:17,'利润（汇总）'!$1:$1,AF$1,'利润（汇总）'!$2:$2,AF$2)</f>
        <v>-549.77675999999997</v>
      </c>
      <c r="AG23" s="1928"/>
      <c r="AH23" s="1928">
        <f t="shared" si="55"/>
        <v>-549.77675999999997</v>
      </c>
      <c r="AI23" s="2145">
        <f>SUMIFS('利润（汇总）'!17:17,'利润（汇总）'!$1:$1,AI$1,'利润（汇总）'!$2:$2,AI$2)</f>
        <v>1643.0580239999999</v>
      </c>
      <c r="AJ23" s="2146"/>
      <c r="AK23" s="1928">
        <f t="shared" si="56"/>
        <v>1643.0580239999999</v>
      </c>
      <c r="AL23" s="2145">
        <f>SUMIFS('利润（汇总）'!17:17,'利润（汇总）'!$1:$1,AL$1,'利润（汇总）'!$2:$2,AL$2)</f>
        <v>315.39743700000002</v>
      </c>
      <c r="AM23" s="2146"/>
      <c r="AN23" s="1928">
        <f t="shared" si="74"/>
        <v>315.39743700000002</v>
      </c>
      <c r="AO23" s="2145">
        <f>SUMIFS('利润（汇总）'!17:17,'利润（汇总）'!$1:$1,AO$1,'利润（汇总）'!$2:$2,AO$2)</f>
        <v>2437.4471910000002</v>
      </c>
      <c r="AP23" s="1928"/>
      <c r="AQ23" s="1928">
        <f t="shared" si="57"/>
        <v>2437.4471910000002</v>
      </c>
      <c r="AR23" s="2145">
        <f>SUMIFS('利润（汇总）'!17:17,'利润（汇总）'!$1:$1,AR$1,'利润（汇总）'!$2:$2,AR$2)</f>
        <v>708.34805700000004</v>
      </c>
      <c r="AS23" s="1928"/>
      <c r="AT23" s="1928">
        <f t="shared" si="58"/>
        <v>708.34805700000004</v>
      </c>
      <c r="AU23" s="2145">
        <f>SUMIFS('利润（汇总）'!17:17,'利润（汇总）'!$1:$1,AU$1,'利润（汇总）'!$2:$2,AU$2)</f>
        <v>-575.56233599999996</v>
      </c>
      <c r="AV23" s="1928"/>
      <c r="AW23" s="1928">
        <f t="shared" si="59"/>
        <v>-575.56233599999996</v>
      </c>
      <c r="AX23" s="2145">
        <f>SUMIFS('利润（汇总）'!17:17,'利润（汇总）'!$1:$1,AX$1,'利润（汇总）'!$2:$2,AX$2)</f>
        <v>1479.5985450000001</v>
      </c>
      <c r="AY23" s="1928"/>
      <c r="AZ23" s="1928">
        <f t="shared" si="60"/>
        <v>1479.5985450000001</v>
      </c>
      <c r="BA23" s="2145">
        <f>SUMIFS('利润（汇总）'!17:17,'利润（汇总）'!$1:$1,BA$1,'利润（汇总）'!$2:$2,BA$2)</f>
        <v>2478.5594529999998</v>
      </c>
      <c r="BB23" s="1928"/>
      <c r="BC23" s="1928">
        <f t="shared" si="61"/>
        <v>2478.5594529999998</v>
      </c>
      <c r="BD23" s="2145">
        <f>SUMIFS('利润（汇总）'!17:17,'利润（汇总）'!$1:$1,BD$1,'利润（汇总）'!$2:$2,BD$2)</f>
        <v>-2275.893309</v>
      </c>
      <c r="BE23" s="1928"/>
      <c r="BF23" s="1928">
        <f t="shared" si="62"/>
        <v>-2275.893309</v>
      </c>
      <c r="BG23" s="2145">
        <f>SUMIFS('利润（汇总）'!17:17,'利润（汇总）'!$1:$1,BG$1,'利润（汇总）'!$2:$2,BG$2)</f>
        <v>1635</v>
      </c>
      <c r="BH23" s="1928"/>
      <c r="BI23" s="1928">
        <f t="shared" si="63"/>
        <v>1635</v>
      </c>
      <c r="BJ23" s="2145">
        <f>SUMIFS('利润（汇总）'!17:17,'利润（汇总）'!$1:$1,BJ$1,'利润（汇总）'!$2:$2,BJ$2)</f>
        <v>1012</v>
      </c>
      <c r="BK23" s="1928"/>
      <c r="BL23" s="1928">
        <f t="shared" si="64"/>
        <v>1012</v>
      </c>
      <c r="BM23" s="2145">
        <f>SUMIFS('利润（汇总）'!17:17,'利润（汇总）'!$1:$1,BM$1,'利润（汇总）'!$2:$2,BM$2)</f>
        <v>0</v>
      </c>
      <c r="BN23" s="1928"/>
      <c r="BO23" s="1928">
        <f t="shared" si="65"/>
        <v>0</v>
      </c>
      <c r="BP23" s="2145">
        <f>SUMIFS('利润（汇总）'!17:17,'利润（汇总）'!$1:$1,BP$1,'利润（汇总）'!$2:$2,BP$2)</f>
        <v>0</v>
      </c>
      <c r="BQ23" s="1928"/>
      <c r="BR23" s="1928">
        <f t="shared" si="66"/>
        <v>0</v>
      </c>
      <c r="BS23" s="2145">
        <f>SUMIFS('利润（汇总）'!17:17,'利润（汇总）'!$1:$1,BS$1,'利润（汇总）'!$2:$2,BS$2)</f>
        <v>0</v>
      </c>
      <c r="BT23" s="1928"/>
      <c r="BU23" s="1928">
        <f t="shared" si="67"/>
        <v>0</v>
      </c>
      <c r="BV23" s="2145">
        <f>SUMIFS('利润（汇总）'!17:17,'利润（汇总）'!$1:$1,BV$1,'利润（汇总）'!$2:$2,BV$2)</f>
        <v>0</v>
      </c>
      <c r="BW23" s="1928"/>
      <c r="BX23" s="1928">
        <f t="shared" si="68"/>
        <v>0</v>
      </c>
      <c r="BY23" s="2146">
        <f t="shared" si="84"/>
        <v>6899.497601</v>
      </c>
      <c r="BZ23" s="2146">
        <f t="shared" si="85"/>
        <v>0</v>
      </c>
      <c r="CA23" s="1928">
        <f t="shared" si="75"/>
        <v>6899.497601</v>
      </c>
      <c r="CB23" s="387"/>
      <c r="CC23" s="387">
        <f>VLOOKUP('#利润建议'!A23,'@预测#利润建议# '!$A$6:$J$43,10,0)</f>
        <v>5398.497601</v>
      </c>
      <c r="CD23" s="1538">
        <f t="shared" si="76"/>
        <v>1501</v>
      </c>
      <c r="CE23" s="2053">
        <f t="shared" si="50"/>
        <v>-1729.099134</v>
      </c>
      <c r="CF23" s="2562" t="str">
        <f>CF9&amp;CJ9&amp;"累计报出"&amp;ROUND(CA5/10000,2)&amp;$CF$1&amp;$CI$1</f>
        <v>太钢集团（管理口径）当月按照18.31亿元报出，累计报出143.67亿元。</v>
      </c>
      <c r="CG23" s="2521"/>
      <c r="CH23" s="2521"/>
      <c r="CI23" s="2521"/>
      <c r="CJ23" s="2521"/>
      <c r="CK23" s="2521"/>
      <c r="CL23" s="2521"/>
      <c r="CM23" s="2521"/>
      <c r="CN23" s="2521"/>
      <c r="CO23" s="2521"/>
      <c r="CP23" s="2522"/>
      <c r="CQ23" s="386"/>
    </row>
    <row r="24" spans="1:95" s="369" customFormat="1" ht="19.5" customHeight="1">
      <c r="A24" s="2144" t="s">
        <v>122</v>
      </c>
      <c r="B24" s="2145">
        <f>SUMIFS('利润（汇总）'!18:18,'利润（汇总）'!$1:$1,B$1,'利润（汇总）'!$2:$2,B$2)</f>
        <v>12447.457016906599</v>
      </c>
      <c r="C24" s="1928"/>
      <c r="D24" s="1928">
        <f t="shared" si="3"/>
        <v>12447.457016906599</v>
      </c>
      <c r="E24" s="2145">
        <f>SUMIFS('利润（汇总）'!18:18,'利润（汇总）'!$1:$1,E$1,'利润（汇总）'!$2:$2,E$2)</f>
        <v>453.61692129526602</v>
      </c>
      <c r="F24" s="1928"/>
      <c r="G24" s="1928">
        <f t="shared" si="69"/>
        <v>453.61692129526602</v>
      </c>
      <c r="H24" s="2145">
        <f>SUMIFS('利润（汇总）'!18:18,'利润（汇总）'!$1:$1,H$1,'利润（汇总）'!$2:$2,H$2)</f>
        <v>276.06144902967299</v>
      </c>
      <c r="I24" s="1928"/>
      <c r="J24" s="1928">
        <f t="shared" si="70"/>
        <v>276.06144902967299</v>
      </c>
      <c r="K24" s="2145">
        <f>SUMIFS('利润（汇总）'!18:18,'利润（汇总）'!$1:$1,K$1,'利润（汇总）'!$2:$2,K$2)</f>
        <v>386.26962214571</v>
      </c>
      <c r="L24" s="1928"/>
      <c r="M24" s="1928">
        <f t="shared" si="71"/>
        <v>386.26962214571</v>
      </c>
      <c r="N24" s="2145">
        <f>SUMIFS('利润（汇总）'!18:18,'利润（汇总）'!$1:$1,N$1,'利润（汇总）'!$2:$2,N$2)</f>
        <v>103.218772</v>
      </c>
      <c r="O24" s="1928"/>
      <c r="P24" s="1928">
        <f t="shared" si="72"/>
        <v>103.218772</v>
      </c>
      <c r="Q24" s="2145">
        <f>SUMIFS('利润（汇总）'!18:18,'利润（汇总）'!$1:$1,Q$1,'利润（汇总）'!$2:$2,Q$2)</f>
        <v>184.63998900000001</v>
      </c>
      <c r="R24" s="1928"/>
      <c r="S24" s="1928">
        <f t="shared" si="51"/>
        <v>184.63998900000001</v>
      </c>
      <c r="T24" s="2145">
        <f>SUMIFS('利润（汇总）'!18:18,'利润（汇总）'!$1:$1,T$1,'利润（汇总）'!$2:$2,T$2)</f>
        <v>445.26672900000005</v>
      </c>
      <c r="U24" s="1928"/>
      <c r="V24" s="1928">
        <f t="shared" si="73"/>
        <v>445.26672900000005</v>
      </c>
      <c r="W24" s="2145">
        <f>SUMIFS('利润（汇总）'!18:18,'利润（汇总）'!$1:$1,W$1,'利润（汇总）'!$2:$2,W$2)</f>
        <v>473.11568599999998</v>
      </c>
      <c r="X24" s="1928"/>
      <c r="Y24" s="1928">
        <f t="shared" si="52"/>
        <v>473.11568599999998</v>
      </c>
      <c r="Z24" s="2145">
        <f>SUMIFS('利润（汇总）'!18:18,'利润（汇总）'!$1:$1,Z$1,'利润（汇总）'!$2:$2,Z$2)</f>
        <v>711.49177399999996</v>
      </c>
      <c r="AA24" s="1928"/>
      <c r="AB24" s="1928">
        <f t="shared" si="53"/>
        <v>711.49177399999996</v>
      </c>
      <c r="AC24" s="2145">
        <f>SUMIFS('利润（汇总）'!18:18,'利润（汇总）'!$1:$1,AC$1,'利润（汇总）'!$2:$2,AC$2)</f>
        <v>770.429576</v>
      </c>
      <c r="AD24" s="1928"/>
      <c r="AE24" s="1928">
        <f t="shared" si="54"/>
        <v>770.429576</v>
      </c>
      <c r="AF24" s="2145">
        <f>SUMIFS('利润（汇总）'!18:18,'利润（汇总）'!$1:$1,AF$1,'利润（汇总）'!$2:$2,AF$2)</f>
        <v>677.19328600000017</v>
      </c>
      <c r="AG24" s="1928"/>
      <c r="AH24" s="1928">
        <f t="shared" si="55"/>
        <v>677.19328600000017</v>
      </c>
      <c r="AI24" s="2145">
        <f>SUMIFS('利润（汇总）'!18:18,'利润（汇总）'!$1:$1,AI$1,'利润（汇总）'!$2:$2,AI$2)</f>
        <v>632.08107300000006</v>
      </c>
      <c r="AJ24" s="2146"/>
      <c r="AK24" s="1928">
        <f t="shared" si="56"/>
        <v>632.08107300000006</v>
      </c>
      <c r="AL24" s="2145">
        <f>SUMIFS('利润（汇总）'!18:18,'利润（汇总）'!$1:$1,AL$1,'利润（汇总）'!$2:$2,AL$2)</f>
        <v>8472.6828079999996</v>
      </c>
      <c r="AM24" s="2146"/>
      <c r="AN24" s="1928">
        <f t="shared" si="74"/>
        <v>8472.6828079999996</v>
      </c>
      <c r="AO24" s="2145">
        <f>SUMIFS('利润（汇总）'!18:18,'利润（汇总）'!$1:$1,AO$1,'利润（汇总）'!$2:$2,AO$2)</f>
        <v>961.83735100000013</v>
      </c>
      <c r="AP24" s="1928"/>
      <c r="AQ24" s="1928">
        <f t="shared" si="57"/>
        <v>961.83735100000013</v>
      </c>
      <c r="AR24" s="2145">
        <f>SUMIFS('利润（汇总）'!18:18,'利润（汇总）'!$1:$1,AR$1,'利润（汇总）'!$2:$2,AR$2)</f>
        <v>498.33307699999989</v>
      </c>
      <c r="AS24" s="1928"/>
      <c r="AT24" s="1928">
        <f t="shared" si="58"/>
        <v>498.33307699999989</v>
      </c>
      <c r="AU24" s="2145">
        <f>SUMIFS('利润（汇总）'!18:18,'利润（汇总）'!$1:$1,AU$1,'利润（汇总）'!$2:$2,AU$2)</f>
        <v>179.65409599999992</v>
      </c>
      <c r="AV24" s="1928"/>
      <c r="AW24" s="1928">
        <f t="shared" si="59"/>
        <v>179.65409599999992</v>
      </c>
      <c r="AX24" s="2145">
        <f>SUMIFS('利润（汇总）'!18:18,'利润（汇总）'!$1:$1,AX$1,'利润（汇总）'!$2:$2,AX$2)</f>
        <v>766.31691499999999</v>
      </c>
      <c r="AY24" s="1928"/>
      <c r="AZ24" s="1928">
        <f t="shared" si="60"/>
        <v>766.31691499999999</v>
      </c>
      <c r="BA24" s="2145">
        <f>SUMIFS('利润（汇总）'!18:18,'利润（汇总）'!$1:$1,BA$1,'利润（汇总）'!$2:$2,BA$2)</f>
        <v>361.47663499999999</v>
      </c>
      <c r="BB24" s="1928"/>
      <c r="BC24" s="1928">
        <f t="shared" si="61"/>
        <v>361.47663499999999</v>
      </c>
      <c r="BD24" s="2145">
        <f>SUMIFS('利润（汇总）'!18:18,'利润（汇总）'!$1:$1,BD$1,'利润（汇总）'!$2:$2,BD$2)</f>
        <v>777.99485099999993</v>
      </c>
      <c r="BE24" s="1928"/>
      <c r="BF24" s="1928">
        <f t="shared" si="62"/>
        <v>777.99485099999993</v>
      </c>
      <c r="BG24" s="2145">
        <f>SUMIFS('利润（汇总）'!18:18,'利润（汇总）'!$1:$1,BG$1,'利润（汇总）'!$2:$2,BG$2)</f>
        <v>1029</v>
      </c>
      <c r="BH24" s="1928"/>
      <c r="BI24" s="1928">
        <f t="shared" si="63"/>
        <v>1029</v>
      </c>
      <c r="BJ24" s="2145">
        <f>SUMIFS('利润（汇总）'!18:18,'利润（汇总）'!$1:$1,BJ$1,'利润（汇总）'!$2:$2,BJ$2)</f>
        <v>595</v>
      </c>
      <c r="BK24" s="1928"/>
      <c r="BL24" s="1928">
        <f t="shared" si="64"/>
        <v>595</v>
      </c>
      <c r="BM24" s="2145">
        <f>SUMIFS('利润（汇总）'!18:18,'利润（汇总）'!$1:$1,BM$1,'利润（汇总）'!$2:$2,BM$2)</f>
        <v>0</v>
      </c>
      <c r="BN24" s="1928"/>
      <c r="BO24" s="1928">
        <f t="shared" si="65"/>
        <v>0</v>
      </c>
      <c r="BP24" s="2145">
        <f>SUMIFS('利润（汇总）'!18:18,'利润（汇总）'!$1:$1,BP$1,'利润（汇总）'!$2:$2,BP$2)</f>
        <v>0</v>
      </c>
      <c r="BQ24" s="1928"/>
      <c r="BR24" s="1928">
        <f t="shared" si="66"/>
        <v>0</v>
      </c>
      <c r="BS24" s="2145">
        <f>SUMIFS('利润（汇总）'!18:18,'利润（汇总）'!$1:$1,BS$1,'利润（汇总）'!$2:$2,BS$2)</f>
        <v>0</v>
      </c>
      <c r="BT24" s="1928"/>
      <c r="BU24" s="1928">
        <f t="shared" si="67"/>
        <v>0</v>
      </c>
      <c r="BV24" s="2145">
        <f>SUMIFS('利润（汇总）'!18:18,'利润（汇总）'!$1:$1,BV$1,'利润（汇总）'!$2:$2,BV$2)</f>
        <v>0</v>
      </c>
      <c r="BW24" s="1928"/>
      <c r="BX24" s="1928">
        <f t="shared" si="68"/>
        <v>0</v>
      </c>
      <c r="BY24" s="2146">
        <f t="shared" si="84"/>
        <v>5169.6129249999994</v>
      </c>
      <c r="BZ24" s="2146">
        <f t="shared" si="85"/>
        <v>0</v>
      </c>
      <c r="CA24" s="1928">
        <f t="shared" si="75"/>
        <v>5169.6129249999994</v>
      </c>
      <c r="CB24" s="387"/>
      <c r="CC24" s="387">
        <f>VLOOKUP('#利润建议'!A24,'@预测#利润建议# '!$A$6:$J$43,10,0)</f>
        <v>4916.6129249999994</v>
      </c>
      <c r="CD24" s="1538">
        <f t="shared" si="76"/>
        <v>253</v>
      </c>
      <c r="CE24" s="2053">
        <f t="shared" si="50"/>
        <v>-463.50427400000024</v>
      </c>
      <c r="CF24"/>
      <c r="CG24"/>
      <c r="CH24"/>
      <c r="CI24"/>
      <c r="CJ24"/>
      <c r="CK24"/>
      <c r="CL24"/>
      <c r="CM24"/>
      <c r="CN24"/>
      <c r="CO24"/>
      <c r="CP24" s="386"/>
      <c r="CQ24" s="386"/>
    </row>
    <row r="25" spans="1:95" s="369" customFormat="1" ht="19.5" hidden="1" customHeight="1">
      <c r="A25" s="2144" t="s">
        <v>127</v>
      </c>
      <c r="B25" s="2145">
        <f>SUMIFS('利润（汇总）'!19:19,'利润（汇总）'!$1:$1,B$1,'利润（汇总）'!$2:$2,B$2)</f>
        <v>681.92395199999999</v>
      </c>
      <c r="C25" s="1928"/>
      <c r="D25" s="1928">
        <f t="shared" si="3"/>
        <v>681.92395199999999</v>
      </c>
      <c r="E25" s="2145">
        <f>SUMIFS('利润（汇总）'!19:19,'利润（汇总）'!$1:$1,E$1,'利润（汇总）'!$2:$2,E$2)</f>
        <v>536.69909599999994</v>
      </c>
      <c r="F25" s="1928"/>
      <c r="G25" s="1928">
        <f t="shared" si="69"/>
        <v>536.69909599999994</v>
      </c>
      <c r="H25" s="2145">
        <f>SUMIFS('利润（汇总）'!19:19,'利润（汇总）'!$1:$1,H$1,'利润（汇总）'!$2:$2,H$2)</f>
        <v>392.50344100000001</v>
      </c>
      <c r="I25" s="1928"/>
      <c r="J25" s="1928">
        <f t="shared" si="70"/>
        <v>392.50344100000001</v>
      </c>
      <c r="K25" s="2145">
        <f>SUMIFS('利润（汇总）'!19:19,'利润（汇总）'!$1:$1,K$1,'利润（汇总）'!$2:$2,K$2)</f>
        <v>542.45188399999995</v>
      </c>
      <c r="L25" s="1928"/>
      <c r="M25" s="1928">
        <f t="shared" si="71"/>
        <v>542.45188399999995</v>
      </c>
      <c r="N25" s="2145">
        <f>SUMIFS('利润（汇总）'!19:19,'利润（汇总）'!$1:$1,N$1,'利润（汇总）'!$2:$2,N$2)</f>
        <v>545.63442699999996</v>
      </c>
      <c r="O25" s="1928"/>
      <c r="P25" s="1928">
        <f t="shared" si="72"/>
        <v>545.63442699999996</v>
      </c>
      <c r="Q25" s="2145">
        <f>SUMIFS('利润（汇总）'!19:19,'利润（汇总）'!$1:$1,Q$1,'利润（汇总）'!$2:$2,Q$2)</f>
        <v>589.56273600000009</v>
      </c>
      <c r="R25" s="1928"/>
      <c r="S25" s="1928">
        <f t="shared" si="51"/>
        <v>589.56273600000009</v>
      </c>
      <c r="T25" s="2145">
        <f>SUMIFS('利润（汇总）'!19:19,'利润（汇总）'!$1:$1,T$1,'利润（汇总）'!$2:$2,T$2)</f>
        <v>621.46024299999999</v>
      </c>
      <c r="U25" s="1928"/>
      <c r="V25" s="1928">
        <f t="shared" si="73"/>
        <v>621.46024299999999</v>
      </c>
      <c r="W25" s="2145">
        <f>SUMIFS('利润（汇总）'!19:19,'利润（汇总）'!$1:$1,W$1,'利润（汇总）'!$2:$2,W$2)</f>
        <v>529.67913899999996</v>
      </c>
      <c r="X25" s="1928"/>
      <c r="Y25" s="1928">
        <f t="shared" si="52"/>
        <v>529.67913899999996</v>
      </c>
      <c r="Z25" s="2145">
        <f>SUMIFS('利润（汇总）'!19:19,'利润（汇总）'!$1:$1,Z$1,'利润（汇总）'!$2:$2,Z$2)</f>
        <v>586.548495</v>
      </c>
      <c r="AA25" s="1928"/>
      <c r="AB25" s="1928">
        <f t="shared" si="53"/>
        <v>586.548495</v>
      </c>
      <c r="AC25" s="2145">
        <f>SUMIFS('利润（汇总）'!19:19,'利润（汇总）'!$1:$1,AC$1,'利润（汇总）'!$2:$2,AC$2)</f>
        <v>534.47716600000012</v>
      </c>
      <c r="AD25" s="1928"/>
      <c r="AE25" s="1928">
        <f t="shared" si="54"/>
        <v>534.47716600000012</v>
      </c>
      <c r="AF25" s="2145">
        <f>SUMIFS('利润（汇总）'!19:19,'利润（汇总）'!$1:$1,AF$1,'利润（汇总）'!$2:$2,AF$2)</f>
        <v>1056.2750429999999</v>
      </c>
      <c r="AG25" s="1928"/>
      <c r="AH25" s="1928">
        <f t="shared" si="55"/>
        <v>1056.2750429999999</v>
      </c>
      <c r="AI25" s="2145">
        <f>SUMIFS('利润（汇总）'!19:19,'利润（汇总）'!$1:$1,AI$1,'利润（汇总）'!$2:$2,AI$2)</f>
        <v>683.79876300000001</v>
      </c>
      <c r="AJ25" s="2146"/>
      <c r="AK25" s="1928">
        <f t="shared" si="56"/>
        <v>683.79876300000001</v>
      </c>
      <c r="AL25" s="2145">
        <f>SUMIFS('利润（汇总）'!19:19,'利润（汇总）'!$1:$1,AL$1,'利润（汇总）'!$2:$2,AL$2)</f>
        <v>487.17062400000003</v>
      </c>
      <c r="AM25" s="2146"/>
      <c r="AN25" s="1928">
        <f t="shared" si="74"/>
        <v>487.17062400000003</v>
      </c>
      <c r="AO25" s="2145">
        <f>SUMIFS('利润（汇总）'!19:19,'利润（汇总）'!$1:$1,AO$1,'利润（汇总）'!$2:$2,AO$2)</f>
        <v>590.66995799999995</v>
      </c>
      <c r="AP25" s="1928"/>
      <c r="AQ25" s="1928">
        <f t="shared" si="57"/>
        <v>590.66995799999995</v>
      </c>
      <c r="AR25" s="2145">
        <f>SUMIFS('利润（汇总）'!19:19,'利润（汇总）'!$1:$1,AR$1,'利润（汇总）'!$2:$2,AR$2)</f>
        <v>541.288951</v>
      </c>
      <c r="AS25" s="1928"/>
      <c r="AT25" s="1928">
        <f t="shared" si="58"/>
        <v>541.288951</v>
      </c>
      <c r="AU25" s="2145">
        <f>SUMIFS('利润（汇总）'!19:19,'利润（汇总）'!$1:$1,AU$1,'利润（汇总）'!$2:$2,AU$2)</f>
        <v>606.97677800000008</v>
      </c>
      <c r="AV25" s="1928"/>
      <c r="AW25" s="1928">
        <f t="shared" si="59"/>
        <v>606.97677800000008</v>
      </c>
      <c r="AX25" s="2145">
        <f>SUMIFS('利润（汇总）'!19:19,'利润（汇总）'!$1:$1,AX$1,'利润（汇总）'!$2:$2,AX$2)</f>
        <v>514.768824</v>
      </c>
      <c r="AY25" s="1928"/>
      <c r="AZ25" s="1928">
        <f t="shared" si="60"/>
        <v>514.768824</v>
      </c>
      <c r="BA25" s="2145">
        <f>SUMIFS('利润（汇总）'!19:19,'利润（汇总）'!$1:$1,BA$1,'利润（汇总）'!$2:$2,BA$2)</f>
        <v>528.25696000000016</v>
      </c>
      <c r="BB25" s="1928"/>
      <c r="BC25" s="1928">
        <f t="shared" si="61"/>
        <v>528.25696000000016</v>
      </c>
      <c r="BD25" s="2145">
        <f>SUMIFS('利润（汇总）'!19:19,'利润（汇总）'!$1:$1,BD$1,'利润（汇总）'!$2:$2,BD$2)</f>
        <v>509.53975499999996</v>
      </c>
      <c r="BE25" s="1928"/>
      <c r="BF25" s="1928">
        <f t="shared" si="62"/>
        <v>509.53975499999996</v>
      </c>
      <c r="BG25" s="2145">
        <f>SUMIFS('利润（汇总）'!19:19,'利润（汇总）'!$1:$1,BG$1,'利润（汇总）'!$2:$2,BG$2)</f>
        <v>519.64996300000007</v>
      </c>
      <c r="BH25" s="1928"/>
      <c r="BI25" s="1928">
        <f t="shared" si="63"/>
        <v>519.64996300000007</v>
      </c>
      <c r="BJ25" s="2145">
        <f>SUMIFS('利润（汇总）'!19:19,'利润（汇总）'!$1:$1,BJ$1,'利润（汇总）'!$2:$2,BJ$2)</f>
        <v>1246.7662150000001</v>
      </c>
      <c r="BK25" s="1928"/>
      <c r="BL25" s="1928">
        <f t="shared" si="64"/>
        <v>1246.7662150000001</v>
      </c>
      <c r="BM25" s="2145">
        <f>SUMIFS('利润（汇总）'!19:19,'利润（汇总）'!$1:$1,BM$1,'利润（汇总）'!$2:$2,BM$2)</f>
        <v>0</v>
      </c>
      <c r="BN25" s="1928"/>
      <c r="BO25" s="1928">
        <f t="shared" si="65"/>
        <v>0</v>
      </c>
      <c r="BP25" s="2145">
        <f>SUMIFS('利润（汇总）'!19:19,'利润（汇总）'!$1:$1,BP$1,'利润（汇总）'!$2:$2,BP$2)</f>
        <v>0</v>
      </c>
      <c r="BQ25" s="1928"/>
      <c r="BR25" s="1928">
        <f t="shared" si="66"/>
        <v>0</v>
      </c>
      <c r="BS25" s="2145">
        <f>SUMIFS('利润（汇总）'!19:19,'利润（汇总）'!$1:$1,BS$1,'利润（汇总）'!$2:$2,BS$2)</f>
        <v>0</v>
      </c>
      <c r="BT25" s="1928"/>
      <c r="BU25" s="1928">
        <f t="shared" si="67"/>
        <v>0</v>
      </c>
      <c r="BV25" s="2145">
        <f>SUMIFS('利润（汇总）'!19:19,'利润（汇总）'!$1:$1,BV$1,'利润（汇总）'!$2:$2,BV$2)</f>
        <v>0</v>
      </c>
      <c r="BW25" s="1928"/>
      <c r="BX25" s="1928">
        <f t="shared" si="68"/>
        <v>0</v>
      </c>
      <c r="BY25" s="2146">
        <f t="shared" si="84"/>
        <v>5057.9174039999998</v>
      </c>
      <c r="BZ25" s="2146">
        <f t="shared" si="85"/>
        <v>0</v>
      </c>
      <c r="CA25" s="1928">
        <f t="shared" si="75"/>
        <v>5057.9174039999998</v>
      </c>
      <c r="CB25" s="387"/>
      <c r="CC25" s="387">
        <f>VLOOKUP('#利润建议'!A25,'@预测#利润建议# '!$A$6:$J$43,10,0)</f>
        <v>4343.1511890000002</v>
      </c>
      <c r="CD25" s="1538">
        <f t="shared" si="76"/>
        <v>714.76621499999965</v>
      </c>
      <c r="CE25" s="2053">
        <f t="shared" si="50"/>
        <v>-49.381006999999954</v>
      </c>
      <c r="CF25"/>
      <c r="CG25"/>
      <c r="CH25"/>
      <c r="CI25"/>
      <c r="CJ25"/>
      <c r="CP25" s="386"/>
      <c r="CQ25" s="386"/>
    </row>
    <row r="26" spans="1:95" s="369" customFormat="1" ht="19.5" hidden="1" customHeight="1">
      <c r="A26" s="2144" t="s">
        <v>128</v>
      </c>
      <c r="B26" s="2145">
        <f>SUMIFS('利润（汇总）'!20:20,'利润（汇总）'!$1:$1,B$1,'利润（汇总）'!$2:$2,B$2)</f>
        <v>218.18092899999999</v>
      </c>
      <c r="C26" s="1928"/>
      <c r="D26" s="1928">
        <f t="shared" si="3"/>
        <v>218.18092899999999</v>
      </c>
      <c r="E26" s="2145">
        <f>SUMIFS('利润（汇总）'!20:20,'利润（汇总）'!$1:$1,E$1,'利润（汇总）'!$2:$2,E$2)</f>
        <v>199.15781200000001</v>
      </c>
      <c r="F26" s="1928"/>
      <c r="G26" s="1928">
        <f t="shared" si="69"/>
        <v>199.15781200000001</v>
      </c>
      <c r="H26" s="2145">
        <f>SUMIFS('利润（汇总）'!20:20,'利润（汇总）'!$1:$1,H$1,'利润（汇总）'!$2:$2,H$2)</f>
        <v>188.17043600000002</v>
      </c>
      <c r="I26" s="1928"/>
      <c r="J26" s="1928">
        <f t="shared" si="70"/>
        <v>188.17043600000002</v>
      </c>
      <c r="K26" s="2145">
        <f>SUMIFS('利润（汇总）'!20:20,'利润（汇总）'!$1:$1,K$1,'利润（汇总）'!$2:$2,K$2)</f>
        <v>200.992952</v>
      </c>
      <c r="L26" s="1928"/>
      <c r="M26" s="1928">
        <f t="shared" si="71"/>
        <v>200.992952</v>
      </c>
      <c r="N26" s="2145">
        <f>SUMIFS('利润（汇总）'!20:20,'利润（汇总）'!$1:$1,N$1,'利润（汇总）'!$2:$2,N$2)</f>
        <v>189.66840400000001</v>
      </c>
      <c r="O26" s="1928"/>
      <c r="P26" s="1928">
        <f t="shared" si="72"/>
        <v>189.66840400000001</v>
      </c>
      <c r="Q26" s="2145">
        <f>SUMIFS('利润（汇总）'!20:20,'利润（汇总）'!$1:$1,Q$1,'利润（汇总）'!$2:$2,Q$2)</f>
        <v>203.69722400000001</v>
      </c>
      <c r="R26" s="1928"/>
      <c r="S26" s="1928">
        <f t="shared" si="51"/>
        <v>203.69722400000001</v>
      </c>
      <c r="T26" s="2145">
        <f>SUMIFS('利润（汇总）'!20:20,'利润（汇总）'!$1:$1,T$1,'利润（汇总）'!$2:$2,T$2)</f>
        <v>192.715114</v>
      </c>
      <c r="U26" s="1928"/>
      <c r="V26" s="1928">
        <f t="shared" si="73"/>
        <v>192.715114</v>
      </c>
      <c r="W26" s="2145">
        <f>SUMIFS('利润（汇总）'!20:20,'利润（汇总）'!$1:$1,W$1,'利润（汇总）'!$2:$2,W$2)</f>
        <v>447.58292799999992</v>
      </c>
      <c r="X26" s="1928"/>
      <c r="Y26" s="1928">
        <f t="shared" si="52"/>
        <v>447.58292799999992</v>
      </c>
      <c r="Z26" s="2145">
        <f>SUMIFS('利润（汇总）'!20:20,'利润（汇总）'!$1:$1,Z$1,'利润（汇总）'!$2:$2,Z$2)</f>
        <v>200.41324699999998</v>
      </c>
      <c r="AA26" s="1928"/>
      <c r="AB26" s="1928">
        <f t="shared" si="53"/>
        <v>200.41324699999998</v>
      </c>
      <c r="AC26" s="2145">
        <f>SUMIFS('利润（汇总）'!20:20,'利润（汇总）'!$1:$1,AC$1,'利润（汇总）'!$2:$2,AC$2)</f>
        <v>193.19665800000001</v>
      </c>
      <c r="AD26" s="1928"/>
      <c r="AE26" s="1928">
        <f t="shared" si="54"/>
        <v>193.19665800000001</v>
      </c>
      <c r="AF26" s="2145">
        <f>SUMIFS('利润（汇总）'!20:20,'利润（汇总）'!$1:$1,AF$1,'利润（汇总）'!$2:$2,AF$2)</f>
        <v>194.209633</v>
      </c>
      <c r="AG26" s="1928"/>
      <c r="AH26" s="1928">
        <f t="shared" si="55"/>
        <v>194.209633</v>
      </c>
      <c r="AI26" s="2145">
        <f>SUMIFS('利润（汇总）'!20:20,'利润（汇总）'!$1:$1,AI$1,'利润（汇总）'!$2:$2,AI$2)</f>
        <v>196.69546</v>
      </c>
      <c r="AJ26" s="2146"/>
      <c r="AK26" s="1928">
        <f t="shared" si="56"/>
        <v>196.69546</v>
      </c>
      <c r="AL26" s="2145">
        <f>SUMIFS('利润（汇总）'!20:20,'利润（汇总）'!$1:$1,AL$1,'利润（汇总）'!$2:$2,AL$2)</f>
        <v>201.57822800000002</v>
      </c>
      <c r="AM26" s="2146"/>
      <c r="AN26" s="1928">
        <f t="shared" si="74"/>
        <v>201.57822800000002</v>
      </c>
      <c r="AO26" s="2145">
        <f>SUMIFS('利润（汇总）'!20:20,'利润（汇总）'!$1:$1,AO$1,'利润（汇总）'!$2:$2,AO$2)</f>
        <v>189.013588</v>
      </c>
      <c r="AP26" s="1928"/>
      <c r="AQ26" s="1928">
        <f t="shared" si="57"/>
        <v>189.013588</v>
      </c>
      <c r="AR26" s="2145">
        <f>SUMIFS('利润（汇总）'!20:20,'利润（汇总）'!$1:$1,AR$1,'利润（汇总）'!$2:$2,AR$2)</f>
        <v>184.031507</v>
      </c>
      <c r="AS26" s="1928"/>
      <c r="AT26" s="1928">
        <f t="shared" si="58"/>
        <v>184.031507</v>
      </c>
      <c r="AU26" s="2145">
        <f>SUMIFS('利润（汇总）'!20:20,'利润（汇总）'!$1:$1,AU$1,'利润（汇总）'!$2:$2,AU$2)</f>
        <v>203.36912599999999</v>
      </c>
      <c r="AV26" s="1928"/>
      <c r="AW26" s="1928">
        <f t="shared" si="59"/>
        <v>203.36912599999999</v>
      </c>
      <c r="AX26" s="2145">
        <f>SUMIFS('利润（汇总）'!20:20,'利润（汇总）'!$1:$1,AX$1,'利润（汇总）'!$2:$2,AX$2)</f>
        <v>188.644261</v>
      </c>
      <c r="AY26" s="1928"/>
      <c r="AZ26" s="1928">
        <f t="shared" si="60"/>
        <v>188.644261</v>
      </c>
      <c r="BA26" s="2145">
        <f>SUMIFS('利润（汇总）'!20:20,'利润（汇总）'!$1:$1,BA$1,'利润（汇总）'!$2:$2,BA$2)</f>
        <v>208.046953</v>
      </c>
      <c r="BB26" s="1928"/>
      <c r="BC26" s="1928">
        <f t="shared" si="61"/>
        <v>208.046953</v>
      </c>
      <c r="BD26" s="2145">
        <f>SUMIFS('利润（汇总）'!20:20,'利润（汇总）'!$1:$1,BD$1,'利润（汇总）'!$2:$2,BD$2)</f>
        <v>206.61284599999999</v>
      </c>
      <c r="BE26" s="1928"/>
      <c r="BF26" s="1928">
        <f t="shared" si="62"/>
        <v>206.61284599999999</v>
      </c>
      <c r="BG26" s="2145">
        <f>SUMIFS('利润（汇总）'!20:20,'利润（汇总）'!$1:$1,BG$1,'利润（汇总）'!$2:$2,BG$2)</f>
        <v>195.67499799999999</v>
      </c>
      <c r="BH26" s="1928"/>
      <c r="BI26" s="1928">
        <f t="shared" si="63"/>
        <v>195.67499799999999</v>
      </c>
      <c r="BJ26" s="2145">
        <f>SUMIFS('利润（汇总）'!20:20,'利润（汇总）'!$1:$1,BJ$1,'利润（汇总）'!$2:$2,BJ$2)</f>
        <v>472.78586899999993</v>
      </c>
      <c r="BK26" s="1928"/>
      <c r="BL26" s="1928">
        <f t="shared" si="64"/>
        <v>472.78586899999993</v>
      </c>
      <c r="BM26" s="2145">
        <f>SUMIFS('利润（汇总）'!20:20,'利润（汇总）'!$1:$1,BM$1,'利润（汇总）'!$2:$2,BM$2)</f>
        <v>0</v>
      </c>
      <c r="BN26" s="1928"/>
      <c r="BO26" s="1928">
        <f t="shared" si="65"/>
        <v>0</v>
      </c>
      <c r="BP26" s="2145">
        <f>SUMIFS('利润（汇总）'!20:20,'利润（汇总）'!$1:$1,BP$1,'利润（汇总）'!$2:$2,BP$2)</f>
        <v>0</v>
      </c>
      <c r="BQ26" s="1928"/>
      <c r="BR26" s="1928">
        <f t="shared" si="66"/>
        <v>0</v>
      </c>
      <c r="BS26" s="2145">
        <f>SUMIFS('利润（汇总）'!20:20,'利润（汇总）'!$1:$1,BS$1,'利润（汇总）'!$2:$2,BS$2)</f>
        <v>0</v>
      </c>
      <c r="BT26" s="1928"/>
      <c r="BU26" s="1928">
        <f t="shared" si="67"/>
        <v>0</v>
      </c>
      <c r="BV26" s="2145">
        <f>SUMIFS('利润（汇总）'!20:20,'利润（汇总）'!$1:$1,BV$1,'利润（汇总）'!$2:$2,BV$2)</f>
        <v>0</v>
      </c>
      <c r="BW26" s="1928"/>
      <c r="BX26" s="1928">
        <f t="shared" si="68"/>
        <v>0</v>
      </c>
      <c r="BY26" s="2146">
        <f t="shared" si="84"/>
        <v>1848.1791479999997</v>
      </c>
      <c r="BZ26" s="2146">
        <f t="shared" si="85"/>
        <v>0</v>
      </c>
      <c r="CA26" s="1928">
        <f t="shared" si="75"/>
        <v>1848.1791479999997</v>
      </c>
      <c r="CB26" s="387"/>
      <c r="CC26" s="387">
        <f>VLOOKUP('#利润建议'!A26,'@预测#利润建议# '!$A$6:$J$43,10,0)</f>
        <v>1580.3932789999999</v>
      </c>
      <c r="CD26" s="1538">
        <f t="shared" si="76"/>
        <v>267.78586899999982</v>
      </c>
      <c r="CE26" s="2053">
        <f t="shared" si="50"/>
        <v>-4.9820809999999938</v>
      </c>
      <c r="CF26"/>
      <c r="CG26"/>
      <c r="CH26"/>
      <c r="CI26"/>
      <c r="CJ26"/>
      <c r="CP26" s="386"/>
      <c r="CQ26" s="386"/>
    </row>
    <row r="27" spans="1:95" s="369" customFormat="1" ht="19.5" hidden="1" customHeight="1">
      <c r="A27" s="2144" t="s">
        <v>123</v>
      </c>
      <c r="B27" s="2145">
        <f>SUMIFS('利润（汇总）'!21:21,'利润（汇总）'!$1:$1,B$1,'利润（汇总）'!$2:$2,B$2)</f>
        <v>-398.38890400000003</v>
      </c>
      <c r="C27" s="1928"/>
      <c r="D27" s="1928">
        <f t="shared" si="3"/>
        <v>-398.38890400000003</v>
      </c>
      <c r="E27" s="2145">
        <f>SUMIFS('利润（汇总）'!21:21,'利润（汇总）'!$1:$1,E$1,'利润（汇总）'!$2:$2,E$2)</f>
        <v>-320.088548</v>
      </c>
      <c r="F27" s="1928"/>
      <c r="G27" s="1928">
        <f t="shared" si="69"/>
        <v>-320.088548</v>
      </c>
      <c r="H27" s="2145">
        <f>SUMIFS('利润（汇总）'!21:21,'利润（汇总）'!$1:$1,H$1,'利润（汇总）'!$2:$2,H$2)</f>
        <v>-434.05604299999999</v>
      </c>
      <c r="I27" s="1928"/>
      <c r="J27" s="1928">
        <f t="shared" si="70"/>
        <v>-434.05604299999999</v>
      </c>
      <c r="K27" s="2145">
        <f>SUMIFS('利润（汇总）'!21:21,'利润（汇总）'!$1:$1,K$1,'利润（汇总）'!$2:$2,K$2)</f>
        <v>-322.10717</v>
      </c>
      <c r="L27" s="1928"/>
      <c r="M27" s="1928">
        <f t="shared" si="71"/>
        <v>-322.10717</v>
      </c>
      <c r="N27" s="2145">
        <f>SUMIFS('利润（汇总）'!21:21,'利润（汇总）'!$1:$1,N$1,'利润（汇总）'!$2:$2,N$2)</f>
        <v>-358.80783400000001</v>
      </c>
      <c r="O27" s="1928"/>
      <c r="P27" s="1928">
        <f t="shared" si="72"/>
        <v>-358.80783400000001</v>
      </c>
      <c r="Q27" s="2145">
        <f>SUMIFS('利润（汇总）'!21:21,'利润（汇总）'!$1:$1,Q$1,'利润（汇总）'!$2:$2,Q$2)</f>
        <v>-321.58685600000001</v>
      </c>
      <c r="R27" s="1928"/>
      <c r="S27" s="1928">
        <f t="shared" si="51"/>
        <v>-321.58685600000001</v>
      </c>
      <c r="T27" s="2145">
        <f>SUMIFS('利润（汇总）'!21:21,'利润（汇总）'!$1:$1,T$1,'利润（汇总）'!$2:$2,T$2)</f>
        <v>-304.48615000000001</v>
      </c>
      <c r="U27" s="1928"/>
      <c r="V27" s="1928">
        <f t="shared" si="73"/>
        <v>-304.48615000000001</v>
      </c>
      <c r="W27" s="2145">
        <f>SUMIFS('利润（汇总）'!21:21,'利润（汇总）'!$1:$1,W$1,'利润（汇总）'!$2:$2,W$2)</f>
        <v>-169.46757099999999</v>
      </c>
      <c r="X27" s="1928"/>
      <c r="Y27" s="1928">
        <f t="shared" si="52"/>
        <v>-169.46757099999999</v>
      </c>
      <c r="Z27" s="2145">
        <f>SUMIFS('利润（汇总）'!21:21,'利润（汇总）'!$1:$1,Z$1,'利润（汇总）'!$2:$2,Z$2)</f>
        <v>-146.13381699999999</v>
      </c>
      <c r="AA27" s="1928"/>
      <c r="AB27" s="1928">
        <f t="shared" si="53"/>
        <v>-146.13381699999999</v>
      </c>
      <c r="AC27" s="2145">
        <f>SUMIFS('利润（汇总）'!21:21,'利润（汇总）'!$1:$1,AC$1,'利润（汇总）'!$2:$2,AC$2)</f>
        <v>-112.542896</v>
      </c>
      <c r="AD27" s="1928"/>
      <c r="AE27" s="1928">
        <f t="shared" si="54"/>
        <v>-112.542896</v>
      </c>
      <c r="AF27" s="2145">
        <f>SUMIFS('利润（汇总）'!21:21,'利润（汇总）'!$1:$1,AF$1,'利润（汇总）'!$2:$2,AF$2)</f>
        <v>-7.5195740000000004</v>
      </c>
      <c r="AG27" s="1928"/>
      <c r="AH27" s="1928">
        <f t="shared" si="55"/>
        <v>-7.5195740000000004</v>
      </c>
      <c r="AI27" s="2145">
        <f>SUMIFS('利润（汇总）'!21:21,'利润（汇总）'!$1:$1,AI$1,'利润（汇总）'!$2:$2,AI$2)</f>
        <v>-271.16096900000002</v>
      </c>
      <c r="AJ27" s="2146"/>
      <c r="AK27" s="1928">
        <f t="shared" si="56"/>
        <v>-271.16096900000002</v>
      </c>
      <c r="AL27" s="2145">
        <f>SUMIFS('利润（汇总）'!21:21,'利润（汇总）'!$1:$1,AL$1,'利润（汇总）'!$2:$2,AL$2)</f>
        <v>-371.21701100000001</v>
      </c>
      <c r="AM27" s="2146"/>
      <c r="AN27" s="1928">
        <f t="shared" si="74"/>
        <v>-371.21701100000001</v>
      </c>
      <c r="AO27" s="2145">
        <f>SUMIFS('利润（汇总）'!21:21,'利润（汇总）'!$1:$1,AO$1,'利润（汇总）'!$2:$2,AO$2)</f>
        <v>-193.70460499999999</v>
      </c>
      <c r="AP27" s="1928"/>
      <c r="AQ27" s="1928">
        <f t="shared" si="57"/>
        <v>-193.70460499999999</v>
      </c>
      <c r="AR27" s="2145">
        <f>SUMIFS('利润（汇总）'!21:21,'利润（汇总）'!$1:$1,AR$1,'利润（汇总）'!$2:$2,AR$2)</f>
        <v>-189.22141199999999</v>
      </c>
      <c r="AS27" s="1928"/>
      <c r="AT27" s="1928">
        <f t="shared" si="58"/>
        <v>-189.22141199999999</v>
      </c>
      <c r="AU27" s="2145">
        <f>SUMIFS('利润（汇总）'!21:21,'利润（汇总）'!$1:$1,AU$1,'利润（汇总）'!$2:$2,AU$2)</f>
        <v>48.653168000000001</v>
      </c>
      <c r="AV27" s="1928"/>
      <c r="AW27" s="1928">
        <f t="shared" si="59"/>
        <v>48.653168000000001</v>
      </c>
      <c r="AX27" s="2145">
        <f>SUMIFS('利润（汇总）'!21:21,'利润（汇总）'!$1:$1,AX$1,'利润（汇总）'!$2:$2,AX$2)</f>
        <v>55.17651</v>
      </c>
      <c r="AY27" s="1928"/>
      <c r="AZ27" s="1928">
        <f t="shared" si="60"/>
        <v>55.17651</v>
      </c>
      <c r="BA27" s="2145">
        <f>SUMIFS('利润（汇总）'!21:21,'利润（汇总）'!$1:$1,BA$1,'利润（汇总）'!$2:$2,BA$2)</f>
        <v>151.96728300000001</v>
      </c>
      <c r="BB27" s="1928"/>
      <c r="BC27" s="1928">
        <f t="shared" si="61"/>
        <v>151.96728300000001</v>
      </c>
      <c r="BD27" s="2145">
        <f>SUMIFS('利润（汇总）'!21:21,'利润（汇总）'!$1:$1,BD$1,'利润（汇总）'!$2:$2,BD$2)</f>
        <v>134.92921000000001</v>
      </c>
      <c r="BE27" s="1928"/>
      <c r="BF27" s="1928">
        <f t="shared" si="62"/>
        <v>134.92921000000001</v>
      </c>
      <c r="BG27" s="2145">
        <f>SUMIFS('利润（汇总）'!21:21,'利润（汇总）'!$1:$1,BG$1,'利润（汇总）'!$2:$2,BG$2)</f>
        <v>58</v>
      </c>
      <c r="BH27" s="1928"/>
      <c r="BI27" s="1928">
        <f t="shared" si="63"/>
        <v>58</v>
      </c>
      <c r="BJ27" s="2145">
        <f>SUMIFS('利润（汇总）'!21:21,'利润（汇总）'!$1:$1,BJ$1,'利润（汇总）'!$2:$2,BJ$2)</f>
        <v>-61.28</v>
      </c>
      <c r="BK27" s="1928"/>
      <c r="BL27" s="1928">
        <f t="shared" si="64"/>
        <v>-61.28</v>
      </c>
      <c r="BM27" s="2145">
        <f>SUMIFS('利润（汇总）'!21:21,'利润（汇总）'!$1:$1,BM$1,'利润（汇总）'!$2:$2,BM$2)</f>
        <v>0</v>
      </c>
      <c r="BN27" s="1928"/>
      <c r="BO27" s="1928">
        <f t="shared" si="65"/>
        <v>0</v>
      </c>
      <c r="BP27" s="2145">
        <f>SUMIFS('利润（汇总）'!21:21,'利润（汇总）'!$1:$1,BP$1,'利润（汇总）'!$2:$2,BP$2)</f>
        <v>0</v>
      </c>
      <c r="BQ27" s="1928"/>
      <c r="BR27" s="1928">
        <f t="shared" si="66"/>
        <v>0</v>
      </c>
      <c r="BS27" s="2145">
        <f>SUMIFS('利润（汇总）'!21:21,'利润（汇总）'!$1:$1,BS$1,'利润（汇总）'!$2:$2,BS$2)</f>
        <v>0</v>
      </c>
      <c r="BT27" s="1928"/>
      <c r="BU27" s="1928">
        <f t="shared" si="67"/>
        <v>0</v>
      </c>
      <c r="BV27" s="2145">
        <f>SUMIFS('利润（汇总）'!21:21,'利润（汇总）'!$1:$1,BV$1,'利润（汇总）'!$2:$2,BV$2)</f>
        <v>0</v>
      </c>
      <c r="BW27" s="1928"/>
      <c r="BX27" s="1928">
        <f t="shared" si="68"/>
        <v>0</v>
      </c>
      <c r="BY27" s="2146">
        <f t="shared" si="84"/>
        <v>4.5201540000000193</v>
      </c>
      <c r="BZ27" s="2146">
        <f t="shared" si="85"/>
        <v>0</v>
      </c>
      <c r="CA27" s="1928">
        <f t="shared" si="75"/>
        <v>4.5201540000000193</v>
      </c>
      <c r="CB27" s="387"/>
      <c r="CC27" s="387">
        <f>VLOOKUP('#利润建议'!A27,'@预测#利润建议# '!$A$6:$J$43,10,0)</f>
        <v>-171.19984599999998</v>
      </c>
      <c r="CD27" s="1538">
        <f t="shared" si="76"/>
        <v>175.72</v>
      </c>
      <c r="CE27" s="2053">
        <f t="shared" si="50"/>
        <v>4.483193</v>
      </c>
      <c r="CF27"/>
      <c r="CG27"/>
      <c r="CH27"/>
      <c r="CI27"/>
      <c r="CJ27"/>
      <c r="CP27" s="386"/>
      <c r="CQ27" s="386"/>
    </row>
    <row r="28" spans="1:95" s="369" customFormat="1" ht="19.5" hidden="1" customHeight="1">
      <c r="A28" s="2144" t="s">
        <v>124</v>
      </c>
      <c r="B28" s="2145">
        <f>SUMIFS('利润（汇总）'!22:22,'利润（汇总）'!$1:$1,B$1,'利润（汇总）'!$2:$2,B$2)</f>
        <v>1884.8390440000001</v>
      </c>
      <c r="C28" s="1928"/>
      <c r="D28" s="1928">
        <f t="shared" si="3"/>
        <v>1884.8390440000001</v>
      </c>
      <c r="E28" s="2145">
        <f>SUMIFS('利润（汇总）'!22:22,'利润（汇总）'!$1:$1,E$1,'利润（汇总）'!$2:$2,E$2)</f>
        <v>3168.0865439999998</v>
      </c>
      <c r="F28" s="1928"/>
      <c r="G28" s="1928">
        <f t="shared" si="69"/>
        <v>3168.0865439999998</v>
      </c>
      <c r="H28" s="2145">
        <f>SUMIFS('利润（汇总）'!22:22,'利润（汇总）'!$1:$1,H$1,'利润（汇总）'!$2:$2,H$2)</f>
        <v>3290.0564429999999</v>
      </c>
      <c r="I28" s="1928"/>
      <c r="J28" s="1928">
        <f t="shared" si="70"/>
        <v>3290.0564429999999</v>
      </c>
      <c r="K28" s="2145">
        <f>SUMIFS('利润（汇总）'!22:22,'利润（汇总）'!$1:$1,K$1,'利润（汇总）'!$2:$2,K$2)</f>
        <v>1040.347718</v>
      </c>
      <c r="L28" s="1928"/>
      <c r="M28" s="1928">
        <f t="shared" si="71"/>
        <v>1040.347718</v>
      </c>
      <c r="N28" s="2145">
        <f>SUMIFS('利润（汇总）'!22:22,'利润（汇总）'!$1:$1,N$1,'利润（汇总）'!$2:$2,N$2)</f>
        <v>3458.5318940000002</v>
      </c>
      <c r="O28" s="1928"/>
      <c r="P28" s="1928">
        <f t="shared" si="72"/>
        <v>3458.5318940000002</v>
      </c>
      <c r="Q28" s="2145">
        <f>SUMIFS('利润（汇总）'!22:22,'利润（汇总）'!$1:$1,Q$1,'利润（汇总）'!$2:$2,Q$2)</f>
        <v>4222.9314510000004</v>
      </c>
      <c r="R28" s="1928"/>
      <c r="S28" s="1928">
        <f t="shared" si="51"/>
        <v>4222.9314510000004</v>
      </c>
      <c r="T28" s="2145">
        <f>SUMIFS('利润（汇总）'!22:22,'利润（汇总）'!$1:$1,T$1,'利润（汇总）'!$2:$2,T$2)</f>
        <v>4063.8221960000001</v>
      </c>
      <c r="U28" s="1928"/>
      <c r="V28" s="1928">
        <f t="shared" si="73"/>
        <v>4063.8221960000001</v>
      </c>
      <c r="W28" s="2145">
        <f>SUMIFS('利润（汇总）'!22:22,'利润（汇总）'!$1:$1,W$1,'利润（汇总）'!$2:$2,W$2)</f>
        <v>4002.8270470000002</v>
      </c>
      <c r="X28" s="1928"/>
      <c r="Y28" s="1928">
        <f t="shared" si="52"/>
        <v>4002.8270470000002</v>
      </c>
      <c r="Z28" s="2145">
        <f>SUMIFS('利润（汇总）'!22:22,'利润（汇总）'!$1:$1,Z$1,'利润（汇总）'!$2:$2,Z$2)</f>
        <v>4199.1183650000003</v>
      </c>
      <c r="AA28" s="1928"/>
      <c r="AB28" s="1928">
        <f t="shared" si="53"/>
        <v>4199.1183650000003</v>
      </c>
      <c r="AC28" s="2145">
        <f>SUMIFS('利润（汇总）'!22:22,'利润（汇总）'!$1:$1,AC$1,'利润（汇总）'!$2:$2,AC$2)</f>
        <v>1630.531925</v>
      </c>
      <c r="AD28" s="1928"/>
      <c r="AE28" s="1928">
        <f t="shared" si="54"/>
        <v>1630.531925</v>
      </c>
      <c r="AF28" s="2145">
        <f>SUMIFS('利润（汇总）'!22:22,'利润（汇总）'!$1:$1,AF$1,'利润（汇总）'!$2:$2,AF$2)</f>
        <v>3680.1204429999998</v>
      </c>
      <c r="AG28" s="1928"/>
      <c r="AH28" s="1928">
        <f t="shared" si="55"/>
        <v>3680.1204429999998</v>
      </c>
      <c r="AI28" s="2145">
        <f>SUMIFS('利润（汇总）'!22:22,'利润（汇总）'!$1:$1,AI$1,'利润（汇总）'!$2:$2,AI$2)</f>
        <v>3240.2936519999998</v>
      </c>
      <c r="AJ28" s="2146"/>
      <c r="AK28" s="1928">
        <f t="shared" si="56"/>
        <v>3240.2936519999998</v>
      </c>
      <c r="AL28" s="2145">
        <f>SUMIFS('利润（汇总）'!22:22,'利润（汇总）'!$1:$1,AL$1,'利润（汇总）'!$2:$2,AL$2)</f>
        <v>5021.9971699999996</v>
      </c>
      <c r="AM28" s="2146"/>
      <c r="AN28" s="1928">
        <f t="shared" si="74"/>
        <v>5021.9971699999996</v>
      </c>
      <c r="AO28" s="2145">
        <f>SUMIFS('利润（汇总）'!22:22,'利润（汇总）'!$1:$1,AO$1,'利润（汇总）'!$2:$2,AO$2)</f>
        <v>3606.7266909999998</v>
      </c>
      <c r="AP28" s="1928"/>
      <c r="AQ28" s="1928">
        <f t="shared" si="57"/>
        <v>3606.7266909999998</v>
      </c>
      <c r="AR28" s="2145">
        <f>SUMIFS('利润（汇总）'!22:22,'利润（汇总）'!$1:$1,AR$1,'利润（汇总）'!$2:$2,AR$2)</f>
        <v>2241.679208</v>
      </c>
      <c r="AS28" s="1928"/>
      <c r="AT28" s="1928">
        <f t="shared" si="58"/>
        <v>2241.679208</v>
      </c>
      <c r="AU28" s="2145">
        <f>SUMIFS('利润（汇总）'!22:22,'利润（汇总）'!$1:$1,AU$1,'利润（汇总）'!$2:$2,AU$2)</f>
        <v>1126.4697289999999</v>
      </c>
      <c r="AV28" s="1928"/>
      <c r="AW28" s="1928">
        <f t="shared" si="59"/>
        <v>1126.4697289999999</v>
      </c>
      <c r="AX28" s="2145">
        <f>SUMIFS('利润（汇总）'!22:22,'利润（汇总）'!$1:$1,AX$1,'利润（汇总）'!$2:$2,AX$2)</f>
        <v>4911.0933750000004</v>
      </c>
      <c r="AY28" s="1928"/>
      <c r="AZ28" s="1928">
        <f t="shared" si="60"/>
        <v>4911.0933750000004</v>
      </c>
      <c r="BA28" s="2145">
        <f>SUMIFS('利润（汇总）'!22:22,'利润（汇总）'!$1:$1,BA$1,'利润（汇总）'!$2:$2,BA$2)</f>
        <v>4965.2447089999996</v>
      </c>
      <c r="BB28" s="1928"/>
      <c r="BC28" s="1928">
        <f t="shared" si="61"/>
        <v>4965.2447089999996</v>
      </c>
      <c r="BD28" s="2145">
        <f>SUMIFS('利润（汇总）'!22:22,'利润（汇总）'!$1:$1,BD$1,'利润（汇总）'!$2:$2,BD$2)</f>
        <v>2218.5712330000001</v>
      </c>
      <c r="BE28" s="1928"/>
      <c r="BF28" s="1928">
        <f t="shared" si="62"/>
        <v>2218.5712330000001</v>
      </c>
      <c r="BG28" s="2145">
        <f>SUMIFS('利润（汇总）'!22:22,'利润（汇总）'!$1:$1,BG$1,'利润（汇总）'!$2:$2,BG$2)</f>
        <v>2995.2456000000002</v>
      </c>
      <c r="BH28" s="1928"/>
      <c r="BI28" s="1928">
        <f t="shared" si="63"/>
        <v>2995.2456000000002</v>
      </c>
      <c r="BJ28" s="2145">
        <f>SUMIFS('利润（汇总）'!22:22,'利润（汇总）'!$1:$1,BJ$1,'利润（汇总）'!$2:$2,BJ$2)</f>
        <v>4040.4353660000002</v>
      </c>
      <c r="BK28" s="1928"/>
      <c r="BL28" s="1928">
        <f t="shared" si="64"/>
        <v>4040.4353660000002</v>
      </c>
      <c r="BM28" s="2145">
        <f>SUMIFS('利润（汇总）'!22:22,'利润（汇总）'!$1:$1,BM$1,'利润（汇总）'!$2:$2,BM$2)</f>
        <v>0</v>
      </c>
      <c r="BN28" s="1928"/>
      <c r="BO28" s="1928">
        <f t="shared" si="65"/>
        <v>0</v>
      </c>
      <c r="BP28" s="2145">
        <f>SUMIFS('利润（汇总）'!22:22,'利润（汇总）'!$1:$1,BP$1,'利润（汇总）'!$2:$2,BP$2)</f>
        <v>0</v>
      </c>
      <c r="BQ28" s="1928"/>
      <c r="BR28" s="1928">
        <f t="shared" si="66"/>
        <v>0</v>
      </c>
      <c r="BS28" s="2145">
        <f>SUMIFS('利润（汇总）'!22:22,'利润（汇总）'!$1:$1,BS$1,'利润（汇总）'!$2:$2,BS$2)</f>
        <v>0</v>
      </c>
      <c r="BT28" s="1928"/>
      <c r="BU28" s="1928">
        <f t="shared" si="67"/>
        <v>0</v>
      </c>
      <c r="BV28" s="2145">
        <f>SUMIFS('利润（汇总）'!22:22,'利润（汇总）'!$1:$1,BV$1,'利润（汇总）'!$2:$2,BV$2)</f>
        <v>0</v>
      </c>
      <c r="BW28" s="1928"/>
      <c r="BX28" s="1928">
        <f t="shared" si="68"/>
        <v>0</v>
      </c>
      <c r="BY28" s="2146">
        <f t="shared" si="84"/>
        <v>26105.465911000003</v>
      </c>
      <c r="BZ28" s="2146">
        <f t="shared" si="85"/>
        <v>0</v>
      </c>
      <c r="CA28" s="1928">
        <f t="shared" si="75"/>
        <v>26105.465911000003</v>
      </c>
      <c r="CB28" s="387"/>
      <c r="CC28" s="387">
        <f>VLOOKUP('#利润建议'!A28,'@预测#利润建议# '!$A$6:$J$43,10,0)</f>
        <v>25959.030545000001</v>
      </c>
      <c r="CD28" s="1538">
        <f t="shared" si="76"/>
        <v>146.43536600000152</v>
      </c>
      <c r="CE28" s="2053">
        <f t="shared" si="50"/>
        <v>-1365.0474829999998</v>
      </c>
      <c r="CF28"/>
      <c r="CG28"/>
      <c r="CH28"/>
      <c r="CI28"/>
      <c r="CJ28"/>
      <c r="CP28" s="386"/>
      <c r="CQ28" s="386"/>
    </row>
    <row r="29" spans="1:95" s="369" customFormat="1" ht="19.5" hidden="1" customHeight="1">
      <c r="A29" s="2144" t="s">
        <v>125</v>
      </c>
      <c r="B29" s="2145">
        <f>SUMIFS('利润（汇总）'!23:23,'利润（汇总）'!$1:$1,B$1,'利润（汇总）'!$2:$2,B$2)</f>
        <v>45.95637</v>
      </c>
      <c r="C29" s="1928"/>
      <c r="D29" s="1928">
        <f t="shared" si="3"/>
        <v>45.95637</v>
      </c>
      <c r="E29" s="2145">
        <f>SUMIFS('利润（汇总）'!23:23,'利润（汇总）'!$1:$1,E$1,'利润（汇总）'!$2:$2,E$2)</f>
        <v>52.814207000000003</v>
      </c>
      <c r="F29" s="1928"/>
      <c r="G29" s="1928">
        <f t="shared" si="69"/>
        <v>52.814207000000003</v>
      </c>
      <c r="H29" s="2145">
        <f>SUMIFS('利润（汇总）'!23:23,'利润（汇总）'!$1:$1,H$1,'利润（汇总）'!$2:$2,H$2)</f>
        <v>2.3128679999999999</v>
      </c>
      <c r="I29" s="1928"/>
      <c r="J29" s="1928">
        <f t="shared" si="70"/>
        <v>2.3128679999999999</v>
      </c>
      <c r="K29" s="2145">
        <f>SUMIFS('利润（汇总）'!23:23,'利润（汇总）'!$1:$1,K$1,'利润（汇总）'!$2:$2,K$2)</f>
        <v>-2.1759620000000002</v>
      </c>
      <c r="L29" s="1928"/>
      <c r="M29" s="1928">
        <f t="shared" si="71"/>
        <v>-2.1759620000000002</v>
      </c>
      <c r="N29" s="2145">
        <f>SUMIFS('利润（汇总）'!23:23,'利润（汇总）'!$1:$1,N$1,'利润（汇总）'!$2:$2,N$2)</f>
        <v>68.988294999999994</v>
      </c>
      <c r="O29" s="1928"/>
      <c r="P29" s="1928">
        <f t="shared" si="72"/>
        <v>68.988294999999994</v>
      </c>
      <c r="Q29" s="2145">
        <f>SUMIFS('利润（汇总）'!23:23,'利润（汇总）'!$1:$1,Q$1,'利润（汇总）'!$2:$2,Q$2)</f>
        <v>4.0659470000000004</v>
      </c>
      <c r="R29" s="1928"/>
      <c r="S29" s="1928">
        <f t="shared" si="51"/>
        <v>4.0659470000000004</v>
      </c>
      <c r="T29" s="2145">
        <f>SUMIFS('利润（汇总）'!23:23,'利润（汇总）'!$1:$1,T$1,'利润（汇总）'!$2:$2,T$2)</f>
        <v>5.1747810000000003</v>
      </c>
      <c r="U29" s="1928"/>
      <c r="V29" s="1928">
        <f t="shared" si="73"/>
        <v>5.1747810000000003</v>
      </c>
      <c r="W29" s="2145">
        <f>SUMIFS('利润（汇总）'!23:23,'利润（汇总）'!$1:$1,W$1,'利润（汇总）'!$2:$2,W$2)</f>
        <v>47.411870999999998</v>
      </c>
      <c r="X29" s="1928"/>
      <c r="Y29" s="1928">
        <f t="shared" si="52"/>
        <v>47.411870999999998</v>
      </c>
      <c r="Z29" s="2145">
        <f>SUMIFS('利润（汇总）'!23:23,'利润（汇总）'!$1:$1,Z$1,'利润（汇总）'!$2:$2,Z$2)</f>
        <v>-4.4739930000000001</v>
      </c>
      <c r="AA29" s="1928"/>
      <c r="AB29" s="1928">
        <f t="shared" si="53"/>
        <v>-4.4739930000000001</v>
      </c>
      <c r="AC29" s="2145">
        <f>SUMIFS('利润（汇总）'!23:23,'利润（汇总）'!$1:$1,AC$1,'利润（汇总）'!$2:$2,AC$2)</f>
        <v>2.0921850000000002</v>
      </c>
      <c r="AD29" s="1928"/>
      <c r="AE29" s="1928">
        <f t="shared" si="54"/>
        <v>2.0921850000000002</v>
      </c>
      <c r="AF29" s="2145">
        <f>SUMIFS('利润（汇总）'!23:23,'利润（汇总）'!$1:$1,AF$1,'利润（汇总）'!$2:$2,AF$2)</f>
        <v>46.765946</v>
      </c>
      <c r="AG29" s="1928"/>
      <c r="AH29" s="1928">
        <f t="shared" si="55"/>
        <v>46.765946</v>
      </c>
      <c r="AI29" s="2145">
        <f>SUMIFS('利润（汇总）'!23:23,'利润（汇总）'!$1:$1,AI$1,'利润（汇总）'!$2:$2,AI$2)</f>
        <v>14.342822999999999</v>
      </c>
      <c r="AJ29" s="2146"/>
      <c r="AK29" s="1928">
        <f t="shared" si="56"/>
        <v>14.342822999999999</v>
      </c>
      <c r="AL29" s="2145">
        <f>SUMIFS('利润（汇总）'!23:23,'利润（汇总）'!$1:$1,AL$1,'利润（汇总）'!$2:$2,AL$2)</f>
        <v>25.415958</v>
      </c>
      <c r="AM29" s="2146"/>
      <c r="AN29" s="1928">
        <f t="shared" si="74"/>
        <v>25.415958</v>
      </c>
      <c r="AO29" s="2145">
        <f>SUMIFS('利润（汇总）'!23:23,'利润（汇总）'!$1:$1,AO$1,'利润（汇总）'!$2:$2,AO$2)</f>
        <v>56.241615000000003</v>
      </c>
      <c r="AP29" s="1928"/>
      <c r="AQ29" s="1928">
        <f t="shared" si="57"/>
        <v>56.241615000000003</v>
      </c>
      <c r="AR29" s="2145">
        <f>SUMIFS('利润（汇总）'!23:23,'利润（汇总）'!$1:$1,AR$1,'利润（汇总）'!$2:$2,AR$2)</f>
        <v>2.1511900000000002</v>
      </c>
      <c r="AS29" s="1928"/>
      <c r="AT29" s="1928">
        <f t="shared" si="58"/>
        <v>2.1511900000000002</v>
      </c>
      <c r="AU29" s="2145">
        <f>SUMIFS('利润（汇总）'!23:23,'利润（汇总）'!$1:$1,AU$1,'利润（汇总）'!$2:$2,AU$2)</f>
        <v>12.298685000000001</v>
      </c>
      <c r="AV29" s="1928"/>
      <c r="AW29" s="1928">
        <f t="shared" si="59"/>
        <v>12.298685000000001</v>
      </c>
      <c r="AX29" s="2145">
        <f>SUMIFS('利润（汇总）'!23:23,'利润（汇总）'!$1:$1,AX$1,'利润（汇总）'!$2:$2,AX$2)</f>
        <v>38.654693999999999</v>
      </c>
      <c r="AY29" s="1928"/>
      <c r="AZ29" s="1928">
        <f t="shared" si="60"/>
        <v>38.654693999999999</v>
      </c>
      <c r="BA29" s="2145">
        <f>SUMIFS('利润（汇总）'!23:23,'利润（汇总）'!$1:$1,BA$1,'利润（汇总）'!$2:$2,BA$2)</f>
        <v>33.121088999999998</v>
      </c>
      <c r="BB29" s="1928"/>
      <c r="BC29" s="1928">
        <f t="shared" si="61"/>
        <v>33.121088999999998</v>
      </c>
      <c r="BD29" s="2145">
        <f>SUMIFS('利润（汇总）'!23:23,'利润（汇总）'!$1:$1,BD$1,'利润（汇总）'!$2:$2,BD$2)</f>
        <v>8.6148430000000005</v>
      </c>
      <c r="BE29" s="1928"/>
      <c r="BF29" s="1928">
        <f t="shared" si="62"/>
        <v>8.6148430000000005</v>
      </c>
      <c r="BG29" s="2145">
        <f>SUMIFS('利润（汇总）'!23:23,'利润（汇总）'!$1:$1,BG$1,'利润（汇总）'!$2:$2,BG$2)</f>
        <v>5.79</v>
      </c>
      <c r="BH29" s="1928"/>
      <c r="BI29" s="1928">
        <f t="shared" si="63"/>
        <v>5.79</v>
      </c>
      <c r="BJ29" s="2145">
        <f>SUMIFS('利润（汇总）'!23:23,'利润（汇总）'!$1:$1,BJ$1,'利润（汇总）'!$2:$2,BJ$2)</f>
        <v>38.24</v>
      </c>
      <c r="BK29" s="1928"/>
      <c r="BL29" s="1928">
        <f t="shared" si="64"/>
        <v>38.24</v>
      </c>
      <c r="BM29" s="2145">
        <f>SUMIFS('利润（汇总）'!23:23,'利润（汇总）'!$1:$1,BM$1,'利润（汇总）'!$2:$2,BM$2)</f>
        <v>0</v>
      </c>
      <c r="BN29" s="1928"/>
      <c r="BO29" s="1928">
        <f t="shared" si="65"/>
        <v>0</v>
      </c>
      <c r="BP29" s="2145">
        <f>SUMIFS('利润（汇总）'!23:23,'利润（汇总）'!$1:$1,BP$1,'利润（汇总）'!$2:$2,BP$2)</f>
        <v>0</v>
      </c>
      <c r="BQ29" s="1928"/>
      <c r="BR29" s="1928">
        <f t="shared" si="66"/>
        <v>0</v>
      </c>
      <c r="BS29" s="2145">
        <f>SUMIFS('利润（汇总）'!23:23,'利润（汇总）'!$1:$1,BS$1,'利润（汇总）'!$2:$2,BS$2)</f>
        <v>0</v>
      </c>
      <c r="BT29" s="1928"/>
      <c r="BU29" s="1928">
        <f t="shared" si="67"/>
        <v>0</v>
      </c>
      <c r="BV29" s="2145">
        <f>SUMIFS('利润（汇总）'!23:23,'利润（汇总）'!$1:$1,BV$1,'利润（汇总）'!$2:$2,BV$2)</f>
        <v>0</v>
      </c>
      <c r="BW29" s="1928"/>
      <c r="BX29" s="1928">
        <f t="shared" si="68"/>
        <v>0</v>
      </c>
      <c r="BY29" s="2146">
        <f t="shared" si="84"/>
        <v>195.11211599999999</v>
      </c>
      <c r="BZ29" s="2146">
        <f t="shared" si="85"/>
        <v>0</v>
      </c>
      <c r="CA29" s="1928">
        <f t="shared" si="75"/>
        <v>195.11211599999999</v>
      </c>
      <c r="CB29" s="387"/>
      <c r="CC29" s="387">
        <f>VLOOKUP('#利润建议'!A29,'@预测#利润建议# '!$A$6:$J$43,10,0)</f>
        <v>191.37211599999998</v>
      </c>
      <c r="CD29" s="1538">
        <f t="shared" si="76"/>
        <v>3.7400000000000091</v>
      </c>
      <c r="CE29" s="2053">
        <f t="shared" si="50"/>
        <v>-54.090425000000003</v>
      </c>
      <c r="CF29"/>
      <c r="CG29"/>
      <c r="CH29"/>
      <c r="CI29"/>
      <c r="CJ29"/>
      <c r="CP29" s="386"/>
      <c r="CQ29" s="386"/>
    </row>
    <row r="30" spans="1:95" s="369" customFormat="1" ht="19.5" hidden="1" customHeight="1">
      <c r="A30" s="2144" t="s">
        <v>126</v>
      </c>
      <c r="B30" s="2145">
        <f>SUMIFS('利润（汇总）'!24:24,'利润（汇总）'!$1:$1,B$1,'利润（汇总）'!$2:$2,B$2)</f>
        <v>-46.789994</v>
      </c>
      <c r="C30" s="1928"/>
      <c r="D30" s="1928">
        <f t="shared" si="3"/>
        <v>-46.789994</v>
      </c>
      <c r="E30" s="2145">
        <f>SUMIFS('利润（汇总）'!24:24,'利润（汇总）'!$1:$1,E$1,'利润（汇总）'!$2:$2,E$2)</f>
        <v>375.11237799999998</v>
      </c>
      <c r="F30" s="1928"/>
      <c r="G30" s="1928">
        <f t="shared" si="69"/>
        <v>375.11237799999998</v>
      </c>
      <c r="H30" s="2145">
        <f>SUMIFS('利润（汇总）'!24:24,'利润（汇总）'!$1:$1,H$1,'利润（汇总）'!$2:$2,H$2)</f>
        <v>270.54330199999998</v>
      </c>
      <c r="I30" s="1928"/>
      <c r="J30" s="1928">
        <f t="shared" si="70"/>
        <v>270.54330199999998</v>
      </c>
      <c r="K30" s="2145">
        <f>SUMIFS('利润（汇总）'!24:24,'利润（汇总）'!$1:$1,K$1,'利润（汇总）'!$2:$2,K$2)</f>
        <v>576.86713799999995</v>
      </c>
      <c r="L30" s="1928"/>
      <c r="M30" s="1928">
        <f t="shared" si="71"/>
        <v>576.86713799999995</v>
      </c>
      <c r="N30" s="2145">
        <f>SUMIFS('利润（汇总）'!24:24,'利润（汇总）'!$1:$1,N$1,'利润（汇总）'!$2:$2,N$2)</f>
        <v>329.79532799999998</v>
      </c>
      <c r="O30" s="1928"/>
      <c r="P30" s="1928">
        <f t="shared" si="72"/>
        <v>329.79532799999998</v>
      </c>
      <c r="Q30" s="2145">
        <f>SUMIFS('利润（汇总）'!24:24,'利润（汇总）'!$1:$1,Q$1,'利润（汇总）'!$2:$2,Q$2)</f>
        <v>252.44380799999999</v>
      </c>
      <c r="R30" s="1928"/>
      <c r="S30" s="1928">
        <f t="shared" si="51"/>
        <v>252.44380799999999</v>
      </c>
      <c r="T30" s="2145">
        <f>SUMIFS('利润（汇总）'!24:24,'利润（汇总）'!$1:$1,T$1,'利润（汇总）'!$2:$2,T$2)</f>
        <v>2008.3571159999999</v>
      </c>
      <c r="U30" s="1928"/>
      <c r="V30" s="1928">
        <f t="shared" si="73"/>
        <v>2008.3571159999999</v>
      </c>
      <c r="W30" s="2145">
        <f>SUMIFS('利润（汇总）'!24:24,'利润（汇总）'!$1:$1,W$1,'利润（汇总）'!$2:$2,W$2)</f>
        <v>1780.2439589999999</v>
      </c>
      <c r="X30" s="1928"/>
      <c r="Y30" s="1928">
        <f t="shared" si="52"/>
        <v>1780.2439589999999</v>
      </c>
      <c r="Z30" s="2145">
        <f>SUMIFS('利润（汇总）'!24:24,'利润（汇总）'!$1:$1,Z$1,'利润（汇总）'!$2:$2,Z$2)</f>
        <v>388.041043</v>
      </c>
      <c r="AA30" s="1928"/>
      <c r="AB30" s="1928">
        <f t="shared" si="53"/>
        <v>388.041043</v>
      </c>
      <c r="AC30" s="2145">
        <f>SUMIFS('利润（汇总）'!24:24,'利润（汇总）'!$1:$1,AC$1,'利润（汇总）'!$2:$2,AC$2)</f>
        <v>132.45702800000001</v>
      </c>
      <c r="AD30" s="1928"/>
      <c r="AE30" s="1928">
        <f t="shared" si="54"/>
        <v>132.45702800000001</v>
      </c>
      <c r="AF30" s="2145">
        <f>SUMIFS('利润（汇总）'!24:24,'利润（汇总）'!$1:$1,AF$1,'利润（汇总）'!$2:$2,AF$2)</f>
        <v>268.95093500000002</v>
      </c>
      <c r="AG30" s="1928"/>
      <c r="AH30" s="1928">
        <f t="shared" si="55"/>
        <v>268.95093500000002</v>
      </c>
      <c r="AI30" s="2145">
        <f>SUMIFS('利润（汇总）'!24:24,'利润（汇总）'!$1:$1,AI$1,'利润（汇总）'!$2:$2,AI$2)</f>
        <v>58.153092000000001</v>
      </c>
      <c r="AJ30" s="2146"/>
      <c r="AK30" s="1928">
        <f t="shared" si="56"/>
        <v>58.153092000000001</v>
      </c>
      <c r="AL30" s="2145">
        <f>SUMIFS('利润（汇总）'!24:24,'利润（汇总）'!$1:$1,AL$1,'利润（汇总）'!$2:$2,AL$2)</f>
        <v>342.648459</v>
      </c>
      <c r="AM30" s="2146"/>
      <c r="AN30" s="1928">
        <f t="shared" si="74"/>
        <v>342.648459</v>
      </c>
      <c r="AO30" s="2145">
        <f>SUMIFS('利润（汇总）'!24:24,'利润（汇总）'!$1:$1,AO$1,'利润（汇总）'!$2:$2,AO$2)</f>
        <v>-265.93599</v>
      </c>
      <c r="AP30" s="1928"/>
      <c r="AQ30" s="1928">
        <f t="shared" si="57"/>
        <v>-265.93599</v>
      </c>
      <c r="AR30" s="2145">
        <f>SUMIFS('利润（汇总）'!24:24,'利润（汇总）'!$1:$1,AR$1,'利润（汇总）'!$2:$2,AR$2)</f>
        <v>537.73547799999994</v>
      </c>
      <c r="AS30" s="1928"/>
      <c r="AT30" s="1928">
        <f t="shared" si="58"/>
        <v>537.73547799999994</v>
      </c>
      <c r="AU30" s="2145">
        <f>SUMIFS('利润（汇总）'!24:24,'利润（汇总）'!$1:$1,AU$1,'利润（汇总）'!$2:$2,AU$2)</f>
        <v>1670.6422669999999</v>
      </c>
      <c r="AV30" s="1928"/>
      <c r="AW30" s="1928">
        <f t="shared" si="59"/>
        <v>1670.6422669999999</v>
      </c>
      <c r="AX30" s="2145">
        <f>SUMIFS('利润（汇总）'!24:24,'利润（汇总）'!$1:$1,AX$1,'利润（汇总）'!$2:$2,AX$2)</f>
        <v>2391.9278490000002</v>
      </c>
      <c r="AY30" s="1928"/>
      <c r="AZ30" s="1928">
        <f t="shared" si="60"/>
        <v>2391.9278490000002</v>
      </c>
      <c r="BA30" s="2145">
        <f>SUMIFS('利润（汇总）'!24:24,'利润（汇总）'!$1:$1,BA$1,'利润（汇总）'!$2:$2,BA$2)</f>
        <v>-442.463841</v>
      </c>
      <c r="BB30" s="1928"/>
      <c r="BC30" s="1928">
        <f t="shared" si="61"/>
        <v>-442.463841</v>
      </c>
      <c r="BD30" s="2145">
        <f>SUMIFS('利润（汇总）'!24:24,'利润（汇总）'!$1:$1,BD$1,'利润（汇总）'!$2:$2,BD$2)</f>
        <v>671.60530200000005</v>
      </c>
      <c r="BE30" s="1928"/>
      <c r="BF30" s="1928">
        <f t="shared" si="62"/>
        <v>671.60530200000005</v>
      </c>
      <c r="BG30" s="2145">
        <f>SUMIFS('利润（汇总）'!24:24,'利润（汇总）'!$1:$1,BG$1,'利润（汇总）'!$2:$2,BG$2)</f>
        <v>-467</v>
      </c>
      <c r="BH30" s="1928"/>
      <c r="BI30" s="1928">
        <f t="shared" si="63"/>
        <v>-467</v>
      </c>
      <c r="BJ30" s="2145">
        <f>SUMIFS('利润（汇总）'!24:24,'利润（汇总）'!$1:$1,BJ$1,'利润（汇总）'!$2:$2,BJ$2)</f>
        <v>2484</v>
      </c>
      <c r="BK30" s="1928"/>
      <c r="BL30" s="1928">
        <f t="shared" si="64"/>
        <v>2484</v>
      </c>
      <c r="BM30" s="2145">
        <f>SUMIFS('利润（汇总）'!24:24,'利润（汇总）'!$1:$1,BM$1,'利润（汇总）'!$2:$2,BM$2)</f>
        <v>0</v>
      </c>
      <c r="BN30" s="1928"/>
      <c r="BO30" s="1928">
        <f t="shared" si="65"/>
        <v>0</v>
      </c>
      <c r="BP30" s="2145">
        <f>SUMIFS('利润（汇总）'!24:24,'利润（汇总）'!$1:$1,BP$1,'利润（汇总）'!$2:$2,BP$2)</f>
        <v>0</v>
      </c>
      <c r="BQ30" s="1928"/>
      <c r="BR30" s="1928">
        <f t="shared" si="66"/>
        <v>0</v>
      </c>
      <c r="BS30" s="2145">
        <f>SUMIFS('利润（汇总）'!24:24,'利润（汇总）'!$1:$1,BS$1,'利润（汇总）'!$2:$2,BS$2)</f>
        <v>0</v>
      </c>
      <c r="BT30" s="1928"/>
      <c r="BU30" s="1928">
        <f t="shared" si="67"/>
        <v>0</v>
      </c>
      <c r="BV30" s="2145">
        <f>SUMIFS('利润（汇总）'!24:24,'利润（汇总）'!$1:$1,BV$1,'利润（汇总）'!$2:$2,BV$2)</f>
        <v>0</v>
      </c>
      <c r="BW30" s="1928"/>
      <c r="BX30" s="1928">
        <f t="shared" si="68"/>
        <v>0</v>
      </c>
      <c r="BY30" s="2146">
        <f t="shared" si="84"/>
        <v>6580.5110649999997</v>
      </c>
      <c r="BZ30" s="2146">
        <f t="shared" si="85"/>
        <v>0</v>
      </c>
      <c r="CA30" s="1928">
        <f t="shared" si="75"/>
        <v>6580.5110649999997</v>
      </c>
      <c r="CB30" s="387"/>
      <c r="CC30" s="387">
        <f>VLOOKUP('#利润建议'!A30,'@预测#利润建议# '!$A$6:$J$43,10,0)</f>
        <v>4556.5110649999997</v>
      </c>
      <c r="CD30" s="1538">
        <f t="shared" si="76"/>
        <v>2024</v>
      </c>
      <c r="CE30" s="2053">
        <f t="shared" si="50"/>
        <v>803.671468</v>
      </c>
      <c r="CF30"/>
      <c r="CG30"/>
      <c r="CH30"/>
      <c r="CI30"/>
      <c r="CJ30"/>
      <c r="CP30" s="386"/>
      <c r="CQ30" s="386"/>
    </row>
    <row r="31" spans="1:95" s="369" customFormat="1" ht="19.5" hidden="1" customHeight="1">
      <c r="A31" s="2144" t="s">
        <v>129</v>
      </c>
      <c r="B31" s="2145">
        <f>SUMIFS('利润（汇总）'!25:25,'利润（汇总）'!$1:$1,B$1,'利润（汇总）'!$2:$2,B$2)</f>
        <v>107.844399</v>
      </c>
      <c r="C31" s="1928"/>
      <c r="D31" s="1928">
        <f t="shared" si="3"/>
        <v>107.844399</v>
      </c>
      <c r="E31" s="2145">
        <f>SUMIFS('利润（汇总）'!25:25,'利润（汇总）'!$1:$1,E$1,'利润（汇总）'!$2:$2,E$2)</f>
        <v>25.613965</v>
      </c>
      <c r="F31" s="1928"/>
      <c r="G31" s="1928">
        <f t="shared" si="69"/>
        <v>25.613965</v>
      </c>
      <c r="H31" s="2145">
        <f>SUMIFS('利润（汇总）'!25:25,'利润（汇总）'!$1:$1,H$1,'利润（汇总）'!$2:$2,H$2)</f>
        <v>-83.89</v>
      </c>
      <c r="I31" s="1928"/>
      <c r="J31" s="1928">
        <f t="shared" si="70"/>
        <v>-83.89</v>
      </c>
      <c r="K31" s="2145">
        <f>SUMIFS('利润（汇总）'!25:25,'利润（汇总）'!$1:$1,K$1,'利润（汇总）'!$2:$2,K$2)</f>
        <v>-182.09481400000001</v>
      </c>
      <c r="L31" s="1928"/>
      <c r="M31" s="1928">
        <f t="shared" si="71"/>
        <v>-182.09481400000001</v>
      </c>
      <c r="N31" s="2145">
        <f>SUMIFS('利润（汇总）'!25:25,'利润（汇总）'!$1:$1,N$1,'利润（汇总）'!$2:$2,N$2)</f>
        <v>-17.245183000000001</v>
      </c>
      <c r="O31" s="1928"/>
      <c r="P31" s="1928">
        <f t="shared" si="72"/>
        <v>-17.245183000000001</v>
      </c>
      <c r="Q31" s="2145">
        <f>SUMIFS('利润（汇总）'!25:25,'利润（汇总）'!$1:$1,Q$1,'利润（汇总）'!$2:$2,Q$2)</f>
        <v>308.76119299999999</v>
      </c>
      <c r="R31" s="1928"/>
      <c r="S31" s="1928">
        <f t="shared" si="51"/>
        <v>308.76119299999999</v>
      </c>
      <c r="T31" s="2145">
        <f>SUMIFS('利润（汇总）'!25:25,'利润（汇总）'!$1:$1,T$1,'利润（汇总）'!$2:$2,T$2)</f>
        <v>1997.784095</v>
      </c>
      <c r="U31" s="1928"/>
      <c r="V31" s="1928">
        <f t="shared" si="73"/>
        <v>1997.784095</v>
      </c>
      <c r="W31" s="2145">
        <f>SUMIFS('利润（汇总）'!25:25,'利润（汇总）'!$1:$1,W$1,'利润（汇总）'!$2:$2,W$2)</f>
        <v>26.059640999999999</v>
      </c>
      <c r="X31" s="1928"/>
      <c r="Y31" s="1928">
        <f t="shared" si="52"/>
        <v>26.059640999999999</v>
      </c>
      <c r="Z31" s="2145">
        <f>SUMIFS('利润（汇总）'!25:25,'利润（汇总）'!$1:$1,Z$1,'利润（汇总）'!$2:$2,Z$2)</f>
        <v>17.294067999999999</v>
      </c>
      <c r="AA31" s="1928"/>
      <c r="AB31" s="1928">
        <f t="shared" si="53"/>
        <v>17.294067999999999</v>
      </c>
      <c r="AC31" s="2145">
        <f>SUMIFS('利润（汇总）'!25:25,'利润（汇总）'!$1:$1,AC$1,'利润（汇总）'!$2:$2,AC$2)</f>
        <v>31.401654000000001</v>
      </c>
      <c r="AD31" s="1928"/>
      <c r="AE31" s="1928">
        <f t="shared" si="54"/>
        <v>31.401654000000001</v>
      </c>
      <c r="AF31" s="2145">
        <f>SUMIFS('利润（汇总）'!25:25,'利润（汇总）'!$1:$1,AF$1,'利润（汇总）'!$2:$2,AF$2)</f>
        <v>8.4818750000000005</v>
      </c>
      <c r="AG31" s="1928"/>
      <c r="AH31" s="1928">
        <f t="shared" si="55"/>
        <v>8.4818750000000005</v>
      </c>
      <c r="AI31" s="2145">
        <f>SUMIFS('利润（汇总）'!25:25,'利润（汇总）'!$1:$1,AI$1,'利润（汇总）'!$2:$2,AI$2)</f>
        <v>16.22268</v>
      </c>
      <c r="AJ31" s="1928"/>
      <c r="AK31" s="1928">
        <f t="shared" si="56"/>
        <v>16.22268</v>
      </c>
      <c r="AL31" s="2145">
        <f>SUMIFS('利润（汇总）'!25:25,'利润（汇总）'!$1:$1,AL$1,'利润（汇总）'!$2:$2,AL$2)</f>
        <v>-323.93014699999998</v>
      </c>
      <c r="AM31" s="1928"/>
      <c r="AN31" s="1928">
        <f t="shared" si="74"/>
        <v>-323.93014699999998</v>
      </c>
      <c r="AO31" s="2145">
        <f>SUMIFS('利润（汇总）'!25:25,'利润（汇总）'!$1:$1,AO$1,'利润（汇总）'!$2:$2,AO$2)</f>
        <v>18.403973000000001</v>
      </c>
      <c r="AP31" s="1928"/>
      <c r="AQ31" s="1928">
        <f t="shared" si="57"/>
        <v>18.403973000000001</v>
      </c>
      <c r="AR31" s="2145">
        <f>SUMIFS('利润（汇总）'!25:25,'利润（汇总）'!$1:$1,AR$1,'利润（汇总）'!$2:$2,AR$2)</f>
        <v>8.3671229999999994</v>
      </c>
      <c r="AS31" s="1928"/>
      <c r="AT31" s="1928">
        <f t="shared" si="58"/>
        <v>8.3671229999999994</v>
      </c>
      <c r="AU31" s="2145">
        <f>SUMIFS('利润（汇总）'!25:25,'利润（汇总）'!$1:$1,AU$1,'利润（汇总）'!$2:$2,AU$2)</f>
        <v>277.39925499999998</v>
      </c>
      <c r="AV31" s="1928"/>
      <c r="AW31" s="1928">
        <f t="shared" si="59"/>
        <v>277.39925499999998</v>
      </c>
      <c r="AX31" s="2145">
        <f>SUMIFS('利润（汇总）'!25:25,'利润（汇总）'!$1:$1,AX$1,'利润（汇总）'!$2:$2,AX$2)</f>
        <v>87.752548000000004</v>
      </c>
      <c r="AY31" s="1928"/>
      <c r="AZ31" s="1928">
        <f t="shared" si="60"/>
        <v>87.752548000000004</v>
      </c>
      <c r="BA31" s="2145">
        <f>SUMIFS('利润（汇总）'!25:25,'利润（汇总）'!$1:$1,BA$1,'利润（汇总）'!$2:$2,BA$2)</f>
        <v>197.06245999999999</v>
      </c>
      <c r="BB31" s="1928"/>
      <c r="BC31" s="1928">
        <f t="shared" si="61"/>
        <v>197.06245999999999</v>
      </c>
      <c r="BD31" s="2145">
        <f>SUMIFS('利润（汇总）'!25:25,'利润（汇总）'!$1:$1,BD$1,'利润（汇总）'!$2:$2,BD$2)</f>
        <v>623.22992199999999</v>
      </c>
      <c r="BE31" s="1928"/>
      <c r="BF31" s="1928">
        <f t="shared" si="62"/>
        <v>623.22992199999999</v>
      </c>
      <c r="BG31" s="2145">
        <f>SUMIFS('利润（汇总）'!25:25,'利润（汇总）'!$1:$1,BG$1,'利润（汇总）'!$2:$2,BG$2)</f>
        <v>130.30000000000001</v>
      </c>
      <c r="BH31" s="1928"/>
      <c r="BI31" s="1928">
        <f t="shared" si="63"/>
        <v>130.30000000000001</v>
      </c>
      <c r="BJ31" s="2145">
        <f>SUMIFS('利润（汇总）'!25:25,'利润（汇总）'!$1:$1,BJ$1,'利润（汇总）'!$2:$2,BJ$2)</f>
        <v>48.7</v>
      </c>
      <c r="BK31" s="1928"/>
      <c r="BL31" s="1928">
        <f t="shared" si="64"/>
        <v>48.7</v>
      </c>
      <c r="BM31" s="2145">
        <f>SUMIFS('利润（汇总）'!25:25,'利润（汇总）'!$1:$1,BM$1,'利润（汇总）'!$2:$2,BM$2)</f>
        <v>0</v>
      </c>
      <c r="BN31" s="1928"/>
      <c r="BO31" s="1928">
        <f t="shared" si="65"/>
        <v>0</v>
      </c>
      <c r="BP31" s="2145">
        <f>SUMIFS('利润（汇总）'!25:25,'利润（汇总）'!$1:$1,BP$1,'利润（汇总）'!$2:$2,BP$2)</f>
        <v>0</v>
      </c>
      <c r="BQ31" s="1928"/>
      <c r="BR31" s="1928">
        <f t="shared" si="66"/>
        <v>0</v>
      </c>
      <c r="BS31" s="2145">
        <f>SUMIFS('利润（汇总）'!25:25,'利润（汇总）'!$1:$1,BS$1,'利润（汇总）'!$2:$2,BS$2)</f>
        <v>0</v>
      </c>
      <c r="BT31" s="1928"/>
      <c r="BU31" s="1928">
        <f t="shared" si="67"/>
        <v>0</v>
      </c>
      <c r="BV31" s="2145">
        <f>SUMIFS('利润（汇总）'!25:25,'利润（汇总）'!$1:$1,BV$1,'利润（汇总）'!$2:$2,BV$2)</f>
        <v>0</v>
      </c>
      <c r="BW31" s="1928"/>
      <c r="BX31" s="1928">
        <f t="shared" si="68"/>
        <v>0</v>
      </c>
      <c r="BY31" s="2146">
        <f t="shared" si="84"/>
        <v>1391.215281</v>
      </c>
      <c r="BZ31" s="2146">
        <f t="shared" si="85"/>
        <v>0</v>
      </c>
      <c r="CA31" s="1928">
        <f t="shared" si="75"/>
        <v>1391.215281</v>
      </c>
      <c r="CB31" s="387"/>
      <c r="CC31" s="387">
        <f>VLOOKUP('#利润建议'!A31,'@预测#利润建议# '!$A$6:$J$43,10,0)</f>
        <v>1372.515281</v>
      </c>
      <c r="CD31" s="1538">
        <f t="shared" si="76"/>
        <v>18.700000000000045</v>
      </c>
      <c r="CE31" s="2053">
        <f t="shared" si="50"/>
        <v>-10.036850000000001</v>
      </c>
      <c r="CF31"/>
      <c r="CG31"/>
      <c r="CH31"/>
      <c r="CI31"/>
      <c r="CJ31"/>
      <c r="CP31" s="386"/>
      <c r="CQ31" s="386"/>
    </row>
    <row r="32" spans="1:95" s="369" customFormat="1" ht="19.5" hidden="1" customHeight="1">
      <c r="A32" s="2144" t="s">
        <v>130</v>
      </c>
      <c r="B32" s="2145">
        <f>SUMIFS('利润（汇总）'!26:26,'利润（汇总）'!$1:$1,B$1,'利润（汇总）'!$2:$2,B$2)</f>
        <v>312.885267</v>
      </c>
      <c r="C32" s="1928"/>
      <c r="D32" s="1928">
        <f t="shared" si="3"/>
        <v>312.885267</v>
      </c>
      <c r="E32" s="2145">
        <f>SUMIFS('利润（汇总）'!26:26,'利润（汇总）'!$1:$1,E$1,'利润（汇总）'!$2:$2,E$2)</f>
        <v>156.51006000000001</v>
      </c>
      <c r="F32" s="1928"/>
      <c r="G32" s="1928">
        <f t="shared" si="69"/>
        <v>156.51006000000001</v>
      </c>
      <c r="H32" s="2145">
        <f>SUMIFS('利润（汇总）'!26:26,'利润（汇总）'!$1:$1,H$1,'利润（汇总）'!$2:$2,H$2)</f>
        <v>-137.509118</v>
      </c>
      <c r="I32" s="1928"/>
      <c r="J32" s="1928">
        <f t="shared" si="70"/>
        <v>-137.509118</v>
      </c>
      <c r="K32" s="2145">
        <f>SUMIFS('利润（汇总）'!26:26,'利润（汇总）'!$1:$1,K$1,'利润（汇总）'!$2:$2,K$2)</f>
        <v>-93.540043999999995</v>
      </c>
      <c r="L32" s="1928"/>
      <c r="M32" s="1928">
        <f t="shared" si="71"/>
        <v>-93.540043999999995</v>
      </c>
      <c r="N32" s="2145">
        <f>SUMIFS('利润（汇总）'!26:26,'利润（汇总）'!$1:$1,N$1,'利润（汇总）'!$2:$2,N$2)</f>
        <v>-4.7230569999999998</v>
      </c>
      <c r="O32" s="1928"/>
      <c r="P32" s="1928">
        <f t="shared" si="72"/>
        <v>-4.7230569999999998</v>
      </c>
      <c r="Q32" s="2145">
        <f>SUMIFS('利润（汇总）'!26:26,'利润（汇总）'!$1:$1,Q$1,'利润（汇总）'!$2:$2,Q$2)</f>
        <v>125.585503</v>
      </c>
      <c r="R32" s="1928"/>
      <c r="S32" s="1928">
        <f t="shared" si="51"/>
        <v>125.585503</v>
      </c>
      <c r="T32" s="2145">
        <f>SUMIFS('利润（汇总）'!26:26,'利润（汇总）'!$1:$1,T$1,'利润（汇总）'!$2:$2,T$2)</f>
        <v>204.125685</v>
      </c>
      <c r="U32" s="1928"/>
      <c r="V32" s="1928">
        <f t="shared" si="73"/>
        <v>204.125685</v>
      </c>
      <c r="W32" s="2145">
        <f>SUMIFS('利润（汇总）'!26:26,'利润（汇总）'!$1:$1,W$1,'利润（汇总）'!$2:$2,W$2)</f>
        <v>133.208212</v>
      </c>
      <c r="X32" s="1928"/>
      <c r="Y32" s="1928">
        <f t="shared" si="52"/>
        <v>133.208212</v>
      </c>
      <c r="Z32" s="2145">
        <f>SUMIFS('利润（汇总）'!26:26,'利润（汇总）'!$1:$1,Z$1,'利润（汇总）'!$2:$2,Z$2)</f>
        <v>121.278504</v>
      </c>
      <c r="AA32" s="1928"/>
      <c r="AB32" s="1928">
        <f t="shared" si="53"/>
        <v>121.278504</v>
      </c>
      <c r="AC32" s="2145">
        <f>SUMIFS('利润（汇总）'!26:26,'利润（汇总）'!$1:$1,AC$1,'利润（汇总）'!$2:$2,AC$2)</f>
        <v>213.29401799999999</v>
      </c>
      <c r="AD32" s="1928"/>
      <c r="AE32" s="1928">
        <f t="shared" si="54"/>
        <v>213.29401799999999</v>
      </c>
      <c r="AF32" s="2145">
        <f>SUMIFS('利润（汇总）'!26:26,'利润（汇总）'!$1:$1,AF$1,'利润（汇总）'!$2:$2,AF$2)</f>
        <v>81.092710999999994</v>
      </c>
      <c r="AG32" s="1928"/>
      <c r="AH32" s="1928">
        <f t="shared" si="55"/>
        <v>81.092710999999994</v>
      </c>
      <c r="AI32" s="2145">
        <f>SUMIFS('利润（汇总）'!26:26,'利润（汇总）'!$1:$1,AI$1,'利润（汇总）'!$2:$2,AI$2)</f>
        <v>108.880985</v>
      </c>
      <c r="AJ32" s="2146"/>
      <c r="AK32" s="1928">
        <f t="shared" si="56"/>
        <v>108.880985</v>
      </c>
      <c r="AL32" s="2145">
        <f>SUMIFS('利润（汇总）'!26:26,'利润（汇总）'!$1:$1,AL$1,'利润（汇总）'!$2:$2,AL$2)</f>
        <v>-2901.8508430000002</v>
      </c>
      <c r="AM32" s="2146"/>
      <c r="AN32" s="1928">
        <f t="shared" si="74"/>
        <v>-2901.8508430000002</v>
      </c>
      <c r="AO32" s="2145">
        <f>SUMIFS('利润（汇总）'!26:26,'利润（汇总）'!$1:$1,AO$1,'利润（汇总）'!$2:$2,AO$2)</f>
        <v>125.468863</v>
      </c>
      <c r="AP32" s="1928"/>
      <c r="AQ32" s="1928">
        <f t="shared" si="57"/>
        <v>125.468863</v>
      </c>
      <c r="AR32" s="2145">
        <f>SUMIFS('利润（汇总）'!26:26,'利润（汇总）'!$1:$1,AR$1,'利润（汇总）'!$2:$2,AR$2)</f>
        <v>129.352586</v>
      </c>
      <c r="AS32" s="1928"/>
      <c r="AT32" s="1928">
        <f t="shared" si="58"/>
        <v>129.352586</v>
      </c>
      <c r="AU32" s="2145">
        <f>SUMIFS('利润（汇总）'!26:26,'利润（汇总）'!$1:$1,AU$1,'利润（汇总）'!$2:$2,AU$2)</f>
        <v>192.22763800000001</v>
      </c>
      <c r="AV32" s="1928"/>
      <c r="AW32" s="1928">
        <f t="shared" si="59"/>
        <v>192.22763800000001</v>
      </c>
      <c r="AX32" s="2145">
        <f>SUMIFS('利润（汇总）'!26:26,'利润（汇总）'!$1:$1,AX$1,'利润（汇总）'!$2:$2,AX$2)</f>
        <v>168.53474399999999</v>
      </c>
      <c r="AY32" s="1928"/>
      <c r="AZ32" s="1928">
        <f t="shared" si="60"/>
        <v>168.53474399999999</v>
      </c>
      <c r="BA32" s="2145">
        <f>SUMIFS('利润（汇总）'!26:26,'利润（汇总）'!$1:$1,BA$1,'利润（汇总）'!$2:$2,BA$2)</f>
        <v>151.22020499999999</v>
      </c>
      <c r="BB32" s="1928"/>
      <c r="BC32" s="1928">
        <f t="shared" si="61"/>
        <v>151.22020499999999</v>
      </c>
      <c r="BD32" s="2145">
        <f>SUMIFS('利润（汇总）'!26:26,'利润（汇总）'!$1:$1,BD$1,'利润（汇总）'!$2:$2,BD$2)</f>
        <v>281.73851300000001</v>
      </c>
      <c r="BE32" s="1928"/>
      <c r="BF32" s="1928">
        <f t="shared" si="62"/>
        <v>281.73851300000001</v>
      </c>
      <c r="BG32" s="2145">
        <f>SUMIFS('利润（汇总）'!26:26,'利润（汇总）'!$1:$1,BG$1,'利润（汇总）'!$2:$2,BG$2)</f>
        <v>112.7</v>
      </c>
      <c r="BH32" s="1928"/>
      <c r="BI32" s="1928">
        <f t="shared" si="63"/>
        <v>112.7</v>
      </c>
      <c r="BJ32" s="2145">
        <f>SUMIFS('利润（汇总）'!26:26,'利润（汇总）'!$1:$1,BJ$1,'利润（汇总）'!$2:$2,BJ$2)</f>
        <v>197</v>
      </c>
      <c r="BK32" s="1928"/>
      <c r="BL32" s="1928">
        <f t="shared" si="64"/>
        <v>197</v>
      </c>
      <c r="BM32" s="2145">
        <f>SUMIFS('利润（汇总）'!26:26,'利润（汇总）'!$1:$1,BM$1,'利润（汇总）'!$2:$2,BM$2)</f>
        <v>0</v>
      </c>
      <c r="BN32" s="1928"/>
      <c r="BO32" s="1928">
        <f t="shared" si="65"/>
        <v>0</v>
      </c>
      <c r="BP32" s="2145">
        <f>SUMIFS('利润（汇总）'!26:26,'利润（汇总）'!$1:$1,BP$1,'利润（汇总）'!$2:$2,BP$2)</f>
        <v>0</v>
      </c>
      <c r="BQ32" s="1928"/>
      <c r="BR32" s="1928">
        <f t="shared" si="66"/>
        <v>0</v>
      </c>
      <c r="BS32" s="2145">
        <f>SUMIFS('利润（汇总）'!26:26,'利润（汇总）'!$1:$1,BS$1,'利润（汇总）'!$2:$2,BS$2)</f>
        <v>0</v>
      </c>
      <c r="BT32" s="1928"/>
      <c r="BU32" s="1928">
        <f t="shared" si="67"/>
        <v>0</v>
      </c>
      <c r="BV32" s="2145">
        <f>SUMIFS('利润（汇总）'!26:26,'利润（汇总）'!$1:$1,BV$1,'利润（汇总）'!$2:$2,BV$2)</f>
        <v>0</v>
      </c>
      <c r="BW32" s="1928"/>
      <c r="BX32" s="1928">
        <f t="shared" si="68"/>
        <v>0</v>
      </c>
      <c r="BY32" s="2146">
        <f t="shared" si="84"/>
        <v>1358.2425489999998</v>
      </c>
      <c r="BZ32" s="2146">
        <f t="shared" si="85"/>
        <v>0</v>
      </c>
      <c r="CA32" s="1928">
        <f t="shared" si="75"/>
        <v>1358.2425489999998</v>
      </c>
      <c r="CB32" s="387"/>
      <c r="CC32" s="387">
        <f>VLOOKUP('#利润建议'!A32,'@预测#利润建议# '!$A$6:$J$43,10,0)</f>
        <v>1337.2425489999998</v>
      </c>
      <c r="CD32" s="1538">
        <f t="shared" si="76"/>
        <v>21</v>
      </c>
      <c r="CE32" s="2053">
        <f t="shared" si="50"/>
        <v>3.8837230000000034</v>
      </c>
      <c r="CF32"/>
      <c r="CG32"/>
      <c r="CH32"/>
      <c r="CI32"/>
      <c r="CJ32"/>
      <c r="CP32" s="386"/>
      <c r="CQ32" s="386"/>
    </row>
    <row r="33" spans="1:95" s="369" customFormat="1" ht="19.5" hidden="1" customHeight="1">
      <c r="A33" s="2144" t="s">
        <v>131</v>
      </c>
      <c r="B33" s="2145">
        <f>SUMIFS('利润（汇总）'!27:27,'利润（汇总）'!$1:$1,B$1,'利润（汇总）'!$2:$2,B$2)</f>
        <v>-585.08149400000002</v>
      </c>
      <c r="C33" s="1928"/>
      <c r="D33" s="1928">
        <f t="shared" si="3"/>
        <v>-585.08149400000002</v>
      </c>
      <c r="E33" s="2145">
        <f>SUMIFS('利润（汇总）'!27:27,'利润（汇总）'!$1:$1,E$1,'利润（汇总）'!$2:$2,E$2)</f>
        <v>-205.53807599999999</v>
      </c>
      <c r="F33" s="1928"/>
      <c r="G33" s="1928">
        <f t="shared" si="69"/>
        <v>-205.53807599999999</v>
      </c>
      <c r="H33" s="2145">
        <f>SUMIFS('利润（汇总）'!27:27,'利润（汇总）'!$1:$1,H$1,'利润（汇总）'!$2:$2,H$2)</f>
        <v>-277.82237400000002</v>
      </c>
      <c r="I33" s="1928"/>
      <c r="J33" s="1928">
        <f t="shared" si="70"/>
        <v>-277.82237400000002</v>
      </c>
      <c r="K33" s="2145">
        <f>SUMIFS('利润（汇总）'!27:27,'利润（汇总）'!$1:$1,K$1,'利润（汇总）'!$2:$2,K$2)</f>
        <v>274.806622</v>
      </c>
      <c r="L33" s="1928"/>
      <c r="M33" s="1928">
        <f t="shared" si="71"/>
        <v>274.806622</v>
      </c>
      <c r="N33" s="2145">
        <f>SUMIFS('利润（汇总）'!27:27,'利润（汇总）'!$1:$1,N$1,'利润（汇总）'!$2:$2,N$2)</f>
        <v>-105.27981699999999</v>
      </c>
      <c r="O33" s="1928"/>
      <c r="P33" s="1928">
        <f t="shared" si="72"/>
        <v>-105.27981699999999</v>
      </c>
      <c r="Q33" s="2145">
        <f>SUMIFS('利润（汇总）'!27:27,'利润（汇总）'!$1:$1,Q$1,'利润（汇总）'!$2:$2,Q$2)</f>
        <v>-93.286597999999998</v>
      </c>
      <c r="R33" s="1928"/>
      <c r="S33" s="1928">
        <f t="shared" si="51"/>
        <v>-93.286597999999998</v>
      </c>
      <c r="T33" s="2145">
        <f>SUMIFS('利润（汇总）'!27:27,'利润（汇总）'!$1:$1,T$1,'利润（汇总）'!$2:$2,T$2)</f>
        <v>0.49211700000000003</v>
      </c>
      <c r="U33" s="1928"/>
      <c r="V33" s="1928">
        <f t="shared" si="73"/>
        <v>0.49211700000000003</v>
      </c>
      <c r="W33" s="2145">
        <f>SUMIFS('利润（汇总）'!27:27,'利润（汇总）'!$1:$1,W$1,'利润（汇总）'!$2:$2,W$2)</f>
        <v>73.594469000000004</v>
      </c>
      <c r="X33" s="1928"/>
      <c r="Y33" s="1928">
        <f t="shared" si="52"/>
        <v>73.594469000000004</v>
      </c>
      <c r="Z33" s="2145">
        <f>SUMIFS('利润（汇总）'!27:27,'利润（汇总）'!$1:$1,Z$1,'利润（汇总）'!$2:$2,Z$2)</f>
        <v>-69.551568000000003</v>
      </c>
      <c r="AA33" s="1928"/>
      <c r="AB33" s="1928">
        <f t="shared" si="53"/>
        <v>-69.551568000000003</v>
      </c>
      <c r="AC33" s="2145">
        <f>SUMIFS('利润（汇总）'!27:27,'利润（汇总）'!$1:$1,AC$1,'利润（汇总）'!$2:$2,AC$2)</f>
        <v>-63.262107</v>
      </c>
      <c r="AD33" s="1928"/>
      <c r="AE33" s="1928">
        <f t="shared" si="54"/>
        <v>-63.262107</v>
      </c>
      <c r="AF33" s="2145">
        <f>SUMIFS('利润（汇总）'!27:27,'利润（汇总）'!$1:$1,AF$1,'利润（汇总）'!$2:$2,AF$2)</f>
        <v>-304.07730099999998</v>
      </c>
      <c r="AG33" s="1928"/>
      <c r="AH33" s="1928">
        <f t="shared" si="55"/>
        <v>-304.07730099999998</v>
      </c>
      <c r="AI33" s="2145">
        <f>SUMIFS('利润（汇总）'!27:27,'利润（汇总）'!$1:$1,AI$1,'利润（汇总）'!$2:$2,AI$2)</f>
        <v>-196.49483699999999</v>
      </c>
      <c r="AJ33" s="2146"/>
      <c r="AK33" s="1928">
        <f t="shared" si="56"/>
        <v>-196.49483699999999</v>
      </c>
      <c r="AL33" s="2145">
        <f>SUMIFS('利润（汇总）'!27:27,'利润（汇总）'!$1:$1,AL$1,'利润（汇总）'!$2:$2,AL$2)</f>
        <v>-675.92640900000004</v>
      </c>
      <c r="AM33" s="2146"/>
      <c r="AN33" s="1928">
        <f t="shared" si="74"/>
        <v>-675.92640900000004</v>
      </c>
      <c r="AO33" s="2145">
        <f>SUMIFS('利润（汇总）'!27:27,'利润（汇总）'!$1:$1,AO$1,'利润（汇总）'!$2:$2,AO$2)</f>
        <v>41.265281000000002</v>
      </c>
      <c r="AP33" s="1928"/>
      <c r="AQ33" s="1928">
        <f t="shared" si="57"/>
        <v>41.265281000000002</v>
      </c>
      <c r="AR33" s="2145">
        <f>SUMIFS('利润（汇总）'!27:27,'利润（汇总）'!$1:$1,AR$1,'利润（汇总）'!$2:$2,AR$2)</f>
        <v>-38.247683000000002</v>
      </c>
      <c r="AS33" s="1928"/>
      <c r="AT33" s="1928">
        <f t="shared" si="58"/>
        <v>-38.247683000000002</v>
      </c>
      <c r="AU33" s="2145">
        <f>SUMIFS('利润（汇总）'!27:27,'利润（汇总）'!$1:$1,AU$1,'利润（汇总）'!$2:$2,AU$2)</f>
        <v>80.685404000000005</v>
      </c>
      <c r="AV33" s="1928"/>
      <c r="AW33" s="1928">
        <f t="shared" si="59"/>
        <v>80.685404000000005</v>
      </c>
      <c r="AX33" s="2145">
        <f>SUMIFS('利润（汇总）'!27:27,'利润（汇总）'!$1:$1,AX$1,'利润（汇总）'!$2:$2,AX$2)</f>
        <v>38.475476999999998</v>
      </c>
      <c r="AY33" s="1928"/>
      <c r="AZ33" s="1928">
        <f t="shared" si="60"/>
        <v>38.475476999999998</v>
      </c>
      <c r="BA33" s="2145">
        <f>SUMIFS('利润（汇总）'!27:27,'利润（汇总）'!$1:$1,BA$1,'利润（汇总）'!$2:$2,BA$2)</f>
        <v>24.764901999999999</v>
      </c>
      <c r="BB33" s="1928"/>
      <c r="BC33" s="1928">
        <f t="shared" si="61"/>
        <v>24.764901999999999</v>
      </c>
      <c r="BD33" s="2145">
        <f>SUMIFS('利润（汇总）'!27:27,'利润（汇总）'!$1:$1,BD$1,'利润（汇总）'!$2:$2,BD$2)</f>
        <v>108.696984</v>
      </c>
      <c r="BE33" s="1928"/>
      <c r="BF33" s="1928">
        <f t="shared" si="62"/>
        <v>108.696984</v>
      </c>
      <c r="BG33" s="2145">
        <f>SUMIFS('利润（汇总）'!27:27,'利润（汇总）'!$1:$1,BG$1,'利润（汇总）'!$2:$2,BG$2)</f>
        <v>-101.637</v>
      </c>
      <c r="BH33" s="1928"/>
      <c r="BI33" s="1928">
        <f t="shared" si="63"/>
        <v>-101.637</v>
      </c>
      <c r="BJ33" s="2145">
        <f>SUMIFS('利润（汇总）'!27:27,'利润（汇总）'!$1:$1,BJ$1,'利润（汇总）'!$2:$2,BJ$2)</f>
        <v>13</v>
      </c>
      <c r="BK33" s="1928"/>
      <c r="BL33" s="1928">
        <f t="shared" si="64"/>
        <v>13</v>
      </c>
      <c r="BM33" s="2145">
        <f>SUMIFS('利润（汇总）'!27:27,'利润（汇总）'!$1:$1,BM$1,'利润（汇总）'!$2:$2,BM$2)</f>
        <v>0</v>
      </c>
      <c r="BN33" s="1928"/>
      <c r="BO33" s="1928">
        <f t="shared" si="65"/>
        <v>0</v>
      </c>
      <c r="BP33" s="2145">
        <f>SUMIFS('利润（汇总）'!27:27,'利润（汇总）'!$1:$1,BP$1,'利润（汇总）'!$2:$2,BP$2)</f>
        <v>0</v>
      </c>
      <c r="BQ33" s="1928"/>
      <c r="BR33" s="1928">
        <f t="shared" si="66"/>
        <v>0</v>
      </c>
      <c r="BS33" s="2145">
        <f>SUMIFS('利润（汇总）'!27:27,'利润（汇总）'!$1:$1,BS$1,'利润（汇总）'!$2:$2,BS$2)</f>
        <v>0</v>
      </c>
      <c r="BT33" s="1928"/>
      <c r="BU33" s="1928">
        <f t="shared" si="67"/>
        <v>0</v>
      </c>
      <c r="BV33" s="2145">
        <f>SUMIFS('利润（汇总）'!27:27,'利润（汇总）'!$1:$1,BV$1,'利润（汇总）'!$2:$2,BV$2)</f>
        <v>0</v>
      </c>
      <c r="BW33" s="1928"/>
      <c r="BX33" s="1928">
        <f t="shared" si="68"/>
        <v>0</v>
      </c>
      <c r="BY33" s="2146">
        <f t="shared" si="84"/>
        <v>167.00336499999997</v>
      </c>
      <c r="BZ33" s="2146">
        <f t="shared" si="85"/>
        <v>0</v>
      </c>
      <c r="CA33" s="1928">
        <f t="shared" si="75"/>
        <v>167.00336499999997</v>
      </c>
      <c r="CB33" s="387"/>
      <c r="CC33" s="387">
        <f>VLOOKUP('#利润建议'!A33,'@预测#利润建议# '!$A$6:$J$43,10,0)</f>
        <v>305.00336499999997</v>
      </c>
      <c r="CD33" s="1538">
        <f t="shared" si="76"/>
        <v>-138</v>
      </c>
      <c r="CE33" s="2053">
        <f t="shared" si="50"/>
        <v>-79.512964000000011</v>
      </c>
      <c r="CF33"/>
      <c r="CG33"/>
      <c r="CH33"/>
      <c r="CI33"/>
      <c r="CJ33"/>
      <c r="CP33" s="386"/>
      <c r="CQ33" s="386"/>
    </row>
    <row r="34" spans="1:95" s="369" customFormat="1" ht="19.5" hidden="1" customHeight="1">
      <c r="A34" s="2144" t="s">
        <v>132</v>
      </c>
      <c r="B34" s="2145">
        <f>SUMIFS('利润（汇总）'!28:28,'利润（汇总）'!$1:$1,B$1,'利润（汇总）'!$2:$2,B$2)</f>
        <v>393.97587600000003</v>
      </c>
      <c r="C34" s="1928"/>
      <c r="D34" s="1928">
        <f t="shared" si="3"/>
        <v>393.97587600000003</v>
      </c>
      <c r="E34" s="2145">
        <f>SUMIFS('利润（汇总）'!28:28,'利润（汇总）'!$1:$1,E$1,'利润（汇总）'!$2:$2,E$2)</f>
        <v>315.11504500000001</v>
      </c>
      <c r="F34" s="1928"/>
      <c r="G34" s="1928">
        <f t="shared" si="69"/>
        <v>315.11504500000001</v>
      </c>
      <c r="H34" s="2145">
        <f>SUMIFS('利润（汇总）'!28:28,'利润（汇总）'!$1:$1,H$1,'利润（汇总）'!$2:$2,H$2)</f>
        <v>-386.85790400000002</v>
      </c>
      <c r="I34" s="1928"/>
      <c r="J34" s="1928">
        <f t="shared" si="70"/>
        <v>-386.85790400000002</v>
      </c>
      <c r="K34" s="2145">
        <f>SUMIFS('利润（汇总）'!28:28,'利润（汇总）'!$1:$1,K$1,'利润（汇总）'!$2:$2,K$2)</f>
        <v>-370.43370900000002</v>
      </c>
      <c r="L34" s="1928"/>
      <c r="M34" s="1928">
        <f t="shared" si="71"/>
        <v>-370.43370900000002</v>
      </c>
      <c r="N34" s="2145">
        <f>SUMIFS('利润（汇总）'!28:28,'利润（汇总）'!$1:$1,N$1,'利润（汇总）'!$2:$2,N$2)</f>
        <v>62.205525999999999</v>
      </c>
      <c r="O34" s="1928"/>
      <c r="P34" s="1928">
        <f t="shared" si="72"/>
        <v>62.205525999999999</v>
      </c>
      <c r="Q34" s="2145">
        <f>SUMIFS('利润（汇总）'!28:28,'利润（汇总）'!$1:$1,Q$1,'利润（汇总）'!$2:$2,Q$2)</f>
        <v>612.194388</v>
      </c>
      <c r="R34" s="1928"/>
      <c r="S34" s="1928">
        <f t="shared" si="51"/>
        <v>612.194388</v>
      </c>
      <c r="T34" s="2145">
        <f>SUMIFS('利润（汇总）'!28:28,'利润（汇总）'!$1:$1,T$1,'利润（汇总）'!$2:$2,T$2)</f>
        <v>637.24973599999998</v>
      </c>
      <c r="U34" s="1928"/>
      <c r="V34" s="1928">
        <f t="shared" si="73"/>
        <v>637.24973599999998</v>
      </c>
      <c r="W34" s="2145">
        <f>SUMIFS('利润（汇总）'!28:28,'利润（汇总）'!$1:$1,W$1,'利润（汇总）'!$2:$2,W$2)</f>
        <v>227.208459</v>
      </c>
      <c r="X34" s="1928"/>
      <c r="Y34" s="1928">
        <f t="shared" si="52"/>
        <v>227.208459</v>
      </c>
      <c r="Z34" s="2145">
        <f>SUMIFS('利润（汇总）'!28:28,'利润（汇总）'!$1:$1,Z$1,'利润（汇总）'!$2:$2,Z$2)</f>
        <v>87.828836999999993</v>
      </c>
      <c r="AA34" s="1928"/>
      <c r="AB34" s="1928">
        <f t="shared" si="53"/>
        <v>87.828836999999993</v>
      </c>
      <c r="AC34" s="2145">
        <f>SUMIFS('利润（汇总）'!28:28,'利润（汇总）'!$1:$1,AC$1,'利润（汇总）'!$2:$2,AC$2)</f>
        <v>291.86843800000003</v>
      </c>
      <c r="AD34" s="1928"/>
      <c r="AE34" s="1928">
        <f t="shared" si="54"/>
        <v>291.86843800000003</v>
      </c>
      <c r="AF34" s="2145">
        <f>SUMIFS('利润（汇总）'!28:28,'利润（汇总）'!$1:$1,AF$1,'利润（汇总）'!$2:$2,AF$2)</f>
        <v>386.92460199999999</v>
      </c>
      <c r="AG34" s="1928"/>
      <c r="AH34" s="1928">
        <f t="shared" si="55"/>
        <v>386.92460199999999</v>
      </c>
      <c r="AI34" s="2145">
        <f>SUMIFS('利润（汇总）'!28:28,'利润（汇总）'!$1:$1,AI$1,'利润（汇总）'!$2:$2,AI$2)</f>
        <v>260.810858</v>
      </c>
      <c r="AJ34" s="2146"/>
      <c r="AK34" s="1928">
        <f t="shared" si="56"/>
        <v>260.810858</v>
      </c>
      <c r="AL34" s="2145">
        <f>SUMIFS('利润（汇总）'!28:28,'利润（汇总）'!$1:$1,AL$1,'利润（汇总）'!$2:$2,AL$2)</f>
        <v>-68.039482000000007</v>
      </c>
      <c r="AM34" s="2146"/>
      <c r="AN34" s="1928">
        <f t="shared" si="74"/>
        <v>-68.039482000000007</v>
      </c>
      <c r="AO34" s="2145">
        <f>SUMIFS('利润（汇总）'!28:28,'利润（汇总）'!$1:$1,AO$1,'利润（汇总）'!$2:$2,AO$2)</f>
        <v>-104.16</v>
      </c>
      <c r="AP34" s="1928"/>
      <c r="AQ34" s="1928">
        <f t="shared" si="57"/>
        <v>-104.16</v>
      </c>
      <c r="AR34" s="2145">
        <f>SUMIFS('利润（汇总）'!28:28,'利润（汇总）'!$1:$1,AR$1,'利润（汇总）'!$2:$2,AR$2)</f>
        <v>-167.04862600000001</v>
      </c>
      <c r="AS34" s="1928"/>
      <c r="AT34" s="1928">
        <f t="shared" si="58"/>
        <v>-167.04862600000001</v>
      </c>
      <c r="AU34" s="2145">
        <f>SUMIFS('利润（汇总）'!28:28,'利润（汇总）'!$1:$1,AU$1,'利润（汇总）'!$2:$2,AU$2)</f>
        <v>560.68390399999998</v>
      </c>
      <c r="AV34" s="1928"/>
      <c r="AW34" s="1928">
        <f t="shared" si="59"/>
        <v>560.68390399999998</v>
      </c>
      <c r="AX34" s="2145">
        <f>SUMIFS('利润（汇总）'!28:28,'利润（汇总）'!$1:$1,AX$1,'利润（汇总）'!$2:$2,AX$2)</f>
        <v>-86.663319999999999</v>
      </c>
      <c r="AY34" s="1928"/>
      <c r="AZ34" s="1928">
        <f t="shared" si="60"/>
        <v>-86.663319999999999</v>
      </c>
      <c r="BA34" s="2145">
        <f>SUMIFS('利润（汇总）'!28:28,'利润（汇总）'!$1:$1,BA$1,'利润（汇总）'!$2:$2,BA$2)</f>
        <v>392.07484599999998</v>
      </c>
      <c r="BB34" s="1928"/>
      <c r="BC34" s="1928">
        <f t="shared" si="61"/>
        <v>392.07484599999998</v>
      </c>
      <c r="BD34" s="2145">
        <f>SUMIFS('利润（汇总）'!28:28,'利润（汇总）'!$1:$1,BD$1,'利润（汇总）'!$2:$2,BD$2)</f>
        <v>601.29879200000005</v>
      </c>
      <c r="BE34" s="1928"/>
      <c r="BF34" s="1928">
        <f t="shared" si="62"/>
        <v>601.29879200000005</v>
      </c>
      <c r="BG34" s="2145">
        <f>SUMIFS('利润（汇总）'!28:28,'利润（汇总）'!$1:$1,BG$1,'利润（汇总）'!$2:$2,BG$2)</f>
        <v>-191.368336</v>
      </c>
      <c r="BH34" s="1928"/>
      <c r="BI34" s="1928">
        <f t="shared" si="63"/>
        <v>-191.368336</v>
      </c>
      <c r="BJ34" s="2145">
        <f>SUMIFS('利润（汇总）'!28:28,'利润（汇总）'!$1:$1,BJ$1,'利润（汇总）'!$2:$2,BJ$2)</f>
        <v>61.28</v>
      </c>
      <c r="BK34" s="1928"/>
      <c r="BL34" s="1928">
        <f t="shared" si="64"/>
        <v>61.28</v>
      </c>
      <c r="BM34" s="2145">
        <f>SUMIFS('利润（汇总）'!28:28,'利润（汇总）'!$1:$1,BM$1,'利润（汇总）'!$2:$2,BM$2)</f>
        <v>0</v>
      </c>
      <c r="BN34" s="1928"/>
      <c r="BO34" s="1928">
        <f t="shared" si="65"/>
        <v>0</v>
      </c>
      <c r="BP34" s="2145">
        <f>SUMIFS('利润（汇总）'!28:28,'利润（汇总）'!$1:$1,BP$1,'利润（汇总）'!$2:$2,BP$2)</f>
        <v>0</v>
      </c>
      <c r="BQ34" s="1928"/>
      <c r="BR34" s="1928">
        <f t="shared" si="66"/>
        <v>0</v>
      </c>
      <c r="BS34" s="2145">
        <f>SUMIFS('利润（汇总）'!28:28,'利润（汇总）'!$1:$1,BS$1,'利润（汇总）'!$2:$2,BS$2)</f>
        <v>0</v>
      </c>
      <c r="BT34" s="1928"/>
      <c r="BU34" s="1928">
        <f t="shared" si="67"/>
        <v>0</v>
      </c>
      <c r="BV34" s="2145">
        <f>SUMIFS('利润（汇总）'!28:28,'利润（汇总）'!$1:$1,BV$1,'利润（汇总）'!$2:$2,BV$2)</f>
        <v>0</v>
      </c>
      <c r="BW34" s="1928"/>
      <c r="BX34" s="1928">
        <f t="shared" si="68"/>
        <v>0</v>
      </c>
      <c r="BY34" s="2146">
        <f t="shared" si="84"/>
        <v>1066.09726</v>
      </c>
      <c r="BZ34" s="2146">
        <f t="shared" si="85"/>
        <v>0</v>
      </c>
      <c r="CA34" s="1928">
        <f t="shared" si="75"/>
        <v>1066.09726</v>
      </c>
      <c r="CB34" s="387"/>
      <c r="CC34" s="387">
        <f>VLOOKUP('#利润建议'!A34,'@预测#利润建议# '!$A$6:$J$43,10,0)</f>
        <v>1004.81726</v>
      </c>
      <c r="CD34" s="1538">
        <f t="shared" si="76"/>
        <v>61.279999999999973</v>
      </c>
      <c r="CE34" s="2053">
        <f t="shared" si="50"/>
        <v>-62.888626000000016</v>
      </c>
      <c r="CF34"/>
      <c r="CG34"/>
      <c r="CH34"/>
      <c r="CI34"/>
      <c r="CJ34"/>
      <c r="CP34" s="386"/>
      <c r="CQ34" s="386"/>
    </row>
    <row r="35" spans="1:95" s="369" customFormat="1" ht="19.5" hidden="1" customHeight="1">
      <c r="A35" s="2144" t="s">
        <v>133</v>
      </c>
      <c r="B35" s="2145">
        <f>SUMIFS('利润（汇总）'!29:29,'利润（汇总）'!$1:$1,B$1,'利润（汇总）'!$2:$2,B$2)</f>
        <v>3.666658</v>
      </c>
      <c r="C35" s="1928"/>
      <c r="D35" s="1928">
        <f t="shared" si="3"/>
        <v>3.666658</v>
      </c>
      <c r="E35" s="2145">
        <f>SUMIFS('利润（汇总）'!29:29,'利润（汇总）'!$1:$1,E$1,'利润（汇总）'!$2:$2,E$2)</f>
        <v>-5.7838159999999998</v>
      </c>
      <c r="F35" s="1928"/>
      <c r="G35" s="1928">
        <f t="shared" si="69"/>
        <v>-5.7838159999999998</v>
      </c>
      <c r="H35" s="2145">
        <f>SUMIFS('利润（汇总）'!29:29,'利润（汇总）'!$1:$1,H$1,'利润（汇总）'!$2:$2,H$2)</f>
        <v>-4.8523969999999998</v>
      </c>
      <c r="I35" s="1928"/>
      <c r="J35" s="1928">
        <f t="shared" si="70"/>
        <v>-4.8523969999999998</v>
      </c>
      <c r="K35" s="2145">
        <f>SUMIFS('利润（汇总）'!29:29,'利润（汇总）'!$1:$1,K$1,'利润（汇总）'!$2:$2,K$2)</f>
        <v>-3.6798649999999999</v>
      </c>
      <c r="L35" s="1928"/>
      <c r="M35" s="1928">
        <f t="shared" si="71"/>
        <v>-3.6798649999999999</v>
      </c>
      <c r="N35" s="2145">
        <f>SUMIFS('利润（汇总）'!29:29,'利润（汇总）'!$1:$1,N$1,'利润（汇总）'!$2:$2,N$2)</f>
        <v>-4.7737970000000001</v>
      </c>
      <c r="O35" s="1928"/>
      <c r="P35" s="1928">
        <f t="shared" si="72"/>
        <v>-4.7737970000000001</v>
      </c>
      <c r="Q35" s="2145">
        <f>SUMIFS('利润（汇总）'!29:29,'利润（汇总）'!$1:$1,Q$1,'利润（汇总）'!$2:$2,Q$2)</f>
        <v>-15.255862</v>
      </c>
      <c r="R35" s="1928"/>
      <c r="S35" s="1928">
        <f t="shared" si="51"/>
        <v>-15.255862</v>
      </c>
      <c r="T35" s="2145">
        <f>SUMIFS('利润（汇总）'!29:29,'利润（汇总）'!$1:$1,T$1,'利润（汇总）'!$2:$2,T$2)</f>
        <v>-5.089226</v>
      </c>
      <c r="U35" s="1928"/>
      <c r="V35" s="1928">
        <f t="shared" si="73"/>
        <v>-5.089226</v>
      </c>
      <c r="W35" s="2145">
        <f>SUMIFS('利润（汇总）'!29:29,'利润（汇总）'!$1:$1,W$1,'利润（汇总）'!$2:$2,W$2)</f>
        <v>-4.9840400000000002</v>
      </c>
      <c r="X35" s="1928"/>
      <c r="Y35" s="1928">
        <f t="shared" si="52"/>
        <v>-4.9840400000000002</v>
      </c>
      <c r="Z35" s="2145">
        <f>SUMIFS('利润（汇总）'!29:29,'利润（汇总）'!$1:$1,Z$1,'利润（汇总）'!$2:$2,Z$2)</f>
        <v>36.799373000000003</v>
      </c>
      <c r="AA35" s="1928"/>
      <c r="AB35" s="1928">
        <f t="shared" si="53"/>
        <v>36.799373000000003</v>
      </c>
      <c r="AC35" s="2145">
        <f>SUMIFS('利润（汇总）'!29:29,'利润（汇总）'!$1:$1,AC$1,'利润（汇总）'!$2:$2,AC$2)</f>
        <v>-6.7343310000000001</v>
      </c>
      <c r="AD35" s="1928"/>
      <c r="AE35" s="1928">
        <f t="shared" si="54"/>
        <v>-6.7343310000000001</v>
      </c>
      <c r="AF35" s="2145">
        <f>SUMIFS('利润（汇总）'!29:29,'利润（汇总）'!$1:$1,AF$1,'利润（汇总）'!$2:$2,AF$2)</f>
        <v>34.939337999999999</v>
      </c>
      <c r="AG35" s="1928"/>
      <c r="AH35" s="1928">
        <f t="shared" si="55"/>
        <v>34.939337999999999</v>
      </c>
      <c r="AI35" s="2145">
        <f>SUMIFS('利润（汇总）'!29:29,'利润（汇总）'!$1:$1,AI$1,'利润（汇总）'!$2:$2,AI$2)</f>
        <v>-7.7051179999999997</v>
      </c>
      <c r="AJ35" s="2146"/>
      <c r="AK35" s="1928">
        <f t="shared" si="56"/>
        <v>-7.7051179999999997</v>
      </c>
      <c r="AL35" s="2145">
        <f>SUMIFS('利润（汇总）'!29:29,'利润（汇总）'!$1:$1,AL$1,'利润（汇总）'!$2:$2,AL$2)</f>
        <v>42.263787000000001</v>
      </c>
      <c r="AM35" s="2146">
        <v>6854</v>
      </c>
      <c r="AN35" s="1928">
        <f t="shared" si="74"/>
        <v>-6811.7362130000001</v>
      </c>
      <c r="AO35" s="2145">
        <f>SUMIFS('利润（汇总）'!29:29,'利润（汇总）'!$1:$1,AO$1,'利润（汇总）'!$2:$2,AO$2)</f>
        <v>-6.4329010000000002</v>
      </c>
      <c r="AP35" s="1928"/>
      <c r="AQ35" s="1928">
        <f t="shared" si="57"/>
        <v>-6.4329010000000002</v>
      </c>
      <c r="AR35" s="2145">
        <f>SUMIFS('利润（汇总）'!29:29,'利润（汇总）'!$1:$1,AR$1,'利润（汇总）'!$2:$2,AR$2)</f>
        <v>-14.593318</v>
      </c>
      <c r="AS35" s="1928"/>
      <c r="AT35" s="1928">
        <f t="shared" si="58"/>
        <v>-14.593318</v>
      </c>
      <c r="AU35" s="2145">
        <f>SUMIFS('利润（汇总）'!29:29,'利润（汇总）'!$1:$1,AU$1,'利润（汇总）'!$2:$2,AU$2)</f>
        <v>40.043320999999999</v>
      </c>
      <c r="AV35" s="1928"/>
      <c r="AW35" s="1928">
        <f t="shared" si="59"/>
        <v>40.043320999999999</v>
      </c>
      <c r="AX35" s="2145">
        <f>SUMIFS('利润（汇总）'!29:29,'利润（汇总）'!$1:$1,AX$1,'利润（汇总）'!$2:$2,AX$2)</f>
        <v>-6.6555900000000001</v>
      </c>
      <c r="AY35" s="1928"/>
      <c r="AZ35" s="1928">
        <f t="shared" si="60"/>
        <v>-6.6555900000000001</v>
      </c>
      <c r="BA35" s="2145">
        <f>SUMIFS('利润（汇总）'!29:29,'利润（汇总）'!$1:$1,BA$1,'利润（汇总）'!$2:$2,BA$2)</f>
        <v>-6.342028</v>
      </c>
      <c r="BB35" s="1928"/>
      <c r="BC35" s="1928">
        <f t="shared" si="61"/>
        <v>-6.342028</v>
      </c>
      <c r="BD35" s="2145">
        <f>SUMIFS('利润（汇总）'!29:29,'利润（汇总）'!$1:$1,BD$1,'利润（汇总）'!$2:$2,BD$2)</f>
        <v>33.676141999999999</v>
      </c>
      <c r="BE35" s="1928"/>
      <c r="BF35" s="1928">
        <f t="shared" si="62"/>
        <v>33.676141999999999</v>
      </c>
      <c r="BG35" s="2145">
        <f>SUMIFS('利润（汇总）'!29:29,'利润（汇总）'!$1:$1,BG$1,'利润（汇总）'!$2:$2,BG$2)</f>
        <v>-9</v>
      </c>
      <c r="BH35" s="1928"/>
      <c r="BI35" s="1928">
        <f t="shared" si="63"/>
        <v>-9</v>
      </c>
      <c r="BJ35" s="2145">
        <f>SUMIFS('利润（汇总）'!29:29,'利润（汇总）'!$1:$1,BJ$1,'利润（汇总）'!$2:$2,BJ$2)</f>
        <v>-7</v>
      </c>
      <c r="BK35" s="1928"/>
      <c r="BL35" s="1928">
        <f t="shared" si="64"/>
        <v>-7</v>
      </c>
      <c r="BM35" s="2145">
        <f>SUMIFS('利润（汇总）'!29:29,'利润（汇总）'!$1:$1,BM$1,'利润（汇总）'!$2:$2,BM$2)</f>
        <v>0</v>
      </c>
      <c r="BN35" s="1928"/>
      <c r="BO35" s="1928">
        <f t="shared" si="65"/>
        <v>0</v>
      </c>
      <c r="BP35" s="2145">
        <f>SUMIFS('利润（汇总）'!29:29,'利润（汇总）'!$1:$1,BP$1,'利润（汇总）'!$2:$2,BP$2)</f>
        <v>0</v>
      </c>
      <c r="BQ35" s="1928"/>
      <c r="BR35" s="1928">
        <f t="shared" si="66"/>
        <v>0</v>
      </c>
      <c r="BS35" s="2145">
        <f>SUMIFS('利润（汇总）'!29:29,'利润（汇总）'!$1:$1,BS$1,'利润（汇总）'!$2:$2,BS$2)</f>
        <v>0</v>
      </c>
      <c r="BT35" s="1928"/>
      <c r="BU35" s="1928">
        <f t="shared" si="67"/>
        <v>0</v>
      </c>
      <c r="BV35" s="2145">
        <f>SUMIFS('利润（汇总）'!29:29,'利润（汇总）'!$1:$1,BV$1,'利润（汇总）'!$2:$2,BV$2)</f>
        <v>0</v>
      </c>
      <c r="BW35" s="1928"/>
      <c r="BX35" s="1928">
        <f t="shared" si="68"/>
        <v>0</v>
      </c>
      <c r="BY35" s="2146">
        <f t="shared" si="84"/>
        <v>23.695625999999997</v>
      </c>
      <c r="BZ35" s="2146">
        <f t="shared" si="85"/>
        <v>0</v>
      </c>
      <c r="CA35" s="1928">
        <f t="shared" si="75"/>
        <v>23.695625999999997</v>
      </c>
      <c r="CB35" s="387"/>
      <c r="CC35" s="387">
        <f>VLOOKUP('#利润建议'!A35,'@预测#利润建议# '!$A$6:$J$43,10,0)</f>
        <v>21.695625999999997</v>
      </c>
      <c r="CD35" s="1538">
        <f t="shared" si="76"/>
        <v>2</v>
      </c>
      <c r="CE35" s="2053">
        <f t="shared" si="50"/>
        <v>-8.1604169999999989</v>
      </c>
      <c r="CF35"/>
      <c r="CG35"/>
      <c r="CH35"/>
      <c r="CI35"/>
      <c r="CJ35"/>
      <c r="CP35" s="386"/>
      <c r="CQ35" s="386"/>
    </row>
    <row r="36" spans="1:95" s="369" customFormat="1" ht="19.5" hidden="1" customHeight="1">
      <c r="A36" s="2144" t="s">
        <v>134</v>
      </c>
      <c r="B36" s="2145">
        <f>SUMIFS('利润（汇总）'!30:30,'利润（汇总）'!$1:$1,B$1,'利润（汇总）'!$2:$2,B$2)</f>
        <v>174.00177400000001</v>
      </c>
      <c r="C36" s="1928"/>
      <c r="D36" s="1928">
        <f t="shared" si="3"/>
        <v>174.00177400000001</v>
      </c>
      <c r="E36" s="2145">
        <f>SUMIFS('利润（汇总）'!30:30,'利润（汇总）'!$1:$1,E$1,'利润（汇总）'!$2:$2,E$2)</f>
        <v>-47.226939999999999</v>
      </c>
      <c r="F36" s="1928"/>
      <c r="G36" s="1928">
        <f t="shared" si="69"/>
        <v>-47.226939999999999</v>
      </c>
      <c r="H36" s="2145">
        <f>SUMIFS('利润（汇总）'!30:30,'利润（汇总）'!$1:$1,H$1,'利润（汇总）'!$2:$2,H$2)</f>
        <v>-35.331696000000001</v>
      </c>
      <c r="I36" s="1928"/>
      <c r="J36" s="1928">
        <f t="shared" si="70"/>
        <v>-35.331696000000001</v>
      </c>
      <c r="K36" s="2145">
        <f>SUMIFS('利润（汇总）'!30:30,'利润（汇总）'!$1:$1,K$1,'利润（汇总）'!$2:$2,K$2)</f>
        <v>105.44641799999999</v>
      </c>
      <c r="L36" s="1928"/>
      <c r="M36" s="1928">
        <f t="shared" si="71"/>
        <v>105.44641799999999</v>
      </c>
      <c r="N36" s="2145">
        <f>SUMIFS('利润（汇总）'!30:30,'利润（汇总）'!$1:$1,N$1,'利润（汇总）'!$2:$2,N$2)</f>
        <v>-60.384177000000001</v>
      </c>
      <c r="O36" s="1928"/>
      <c r="P36" s="1928">
        <f t="shared" si="72"/>
        <v>-60.384177000000001</v>
      </c>
      <c r="Q36" s="2145">
        <f>SUMIFS('利润（汇总）'!30:30,'利润（汇总）'!$1:$1,Q$1,'利润（汇总）'!$2:$2,Q$2)</f>
        <v>-47.835399000000002</v>
      </c>
      <c r="R36" s="1928"/>
      <c r="S36" s="1928">
        <f t="shared" si="51"/>
        <v>-47.835399000000002</v>
      </c>
      <c r="T36" s="2145">
        <f>SUMIFS('利润（汇总）'!30:30,'利润（汇总）'!$1:$1,T$1,'利润（汇总）'!$2:$2,T$2)</f>
        <v>186.893269</v>
      </c>
      <c r="U36" s="1928"/>
      <c r="V36" s="1928">
        <f t="shared" si="73"/>
        <v>186.893269</v>
      </c>
      <c r="W36" s="2145">
        <f>SUMIFS('利润（汇总）'!30:30,'利润（汇总）'!$1:$1,W$1,'利润（汇总）'!$2:$2,W$2)</f>
        <v>-55.842272000000001</v>
      </c>
      <c r="X36" s="1928"/>
      <c r="Y36" s="1928">
        <f t="shared" si="52"/>
        <v>-55.842272000000001</v>
      </c>
      <c r="Z36" s="2145">
        <f>SUMIFS('利润（汇总）'!30:30,'利润（汇总）'!$1:$1,Z$1,'利润（汇总）'!$2:$2,Z$2)</f>
        <v>-46.611995999999998</v>
      </c>
      <c r="AA36" s="1928"/>
      <c r="AB36" s="1928">
        <f t="shared" si="53"/>
        <v>-46.611995999999998</v>
      </c>
      <c r="AC36" s="2145">
        <f>SUMIFS('利润（汇总）'!30:30,'利润（汇总）'!$1:$1,AC$1,'利润（汇总）'!$2:$2,AC$2)</f>
        <v>139.74879200000001</v>
      </c>
      <c r="AD36" s="1928"/>
      <c r="AE36" s="1928">
        <f t="shared" si="54"/>
        <v>139.74879200000001</v>
      </c>
      <c r="AF36" s="2145">
        <f>SUMIFS('利润（汇总）'!30:30,'利润（汇总）'!$1:$1,AF$1,'利润（汇总）'!$2:$2,AF$2)</f>
        <v>-62.490957000000002</v>
      </c>
      <c r="AG36" s="1928"/>
      <c r="AH36" s="1928">
        <f t="shared" si="55"/>
        <v>-62.490957000000002</v>
      </c>
      <c r="AI36" s="2145">
        <f>SUMIFS('利润（汇总）'!30:30,'利润（汇总）'!$1:$1,AI$1,'利润（汇总）'!$2:$2,AI$2)</f>
        <v>-17.439831999999999</v>
      </c>
      <c r="AJ36" s="2146"/>
      <c r="AK36" s="1928">
        <f t="shared" si="56"/>
        <v>-17.439831999999999</v>
      </c>
      <c r="AL36" s="2145">
        <f>SUMIFS('利润（汇总）'!30:30,'利润（汇总）'!$1:$1,AL$1,'利润（汇总）'!$2:$2,AL$2)</f>
        <v>189.486392</v>
      </c>
      <c r="AM36" s="2146"/>
      <c r="AN36" s="1928">
        <f t="shared" si="74"/>
        <v>189.486392</v>
      </c>
      <c r="AO36" s="2145">
        <f>SUMIFS('利润（汇总）'!30:30,'利润（汇总）'!$1:$1,AO$1,'利润（汇总）'!$2:$2,AO$2)</f>
        <v>-56</v>
      </c>
      <c r="AP36" s="1928"/>
      <c r="AQ36" s="1928">
        <f t="shared" si="57"/>
        <v>-56</v>
      </c>
      <c r="AR36" s="2145">
        <f>SUMIFS('利润（汇总）'!30:30,'利润（汇总）'!$1:$1,AR$1,'利润（汇总）'!$2:$2,AR$2)</f>
        <v>15.951878000000001</v>
      </c>
      <c r="AS36" s="1928"/>
      <c r="AT36" s="1928">
        <f t="shared" si="58"/>
        <v>15.951878000000001</v>
      </c>
      <c r="AU36" s="2145">
        <f>SUMIFS('利润（汇总）'!30:30,'利润（汇总）'!$1:$1,AU$1,'利润（汇总）'!$2:$2,AU$2)</f>
        <v>81.304754000000003</v>
      </c>
      <c r="AV36" s="1928"/>
      <c r="AW36" s="1928">
        <f t="shared" si="59"/>
        <v>81.304754000000003</v>
      </c>
      <c r="AX36" s="2145">
        <f>SUMIFS('利润（汇总）'!30:30,'利润（汇总）'!$1:$1,AX$1,'利润（汇总）'!$2:$2,AX$2)</f>
        <v>42.541024</v>
      </c>
      <c r="AY36" s="1928"/>
      <c r="AZ36" s="1928">
        <f t="shared" si="60"/>
        <v>42.541024</v>
      </c>
      <c r="BA36" s="2145">
        <f>SUMIFS('利润（汇总）'!30:30,'利润（汇总）'!$1:$1,BA$1,'利润（汇总）'!$2:$2,BA$2)</f>
        <v>29.296185999999999</v>
      </c>
      <c r="BB36" s="1928"/>
      <c r="BC36" s="1928">
        <f t="shared" si="61"/>
        <v>29.296185999999999</v>
      </c>
      <c r="BD36" s="2145">
        <f>SUMIFS('利润（汇总）'!30:30,'利润（汇总）'!$1:$1,BD$1,'利润（汇总）'!$2:$2,BD$2)</f>
        <v>66.397098</v>
      </c>
      <c r="BE36" s="1928"/>
      <c r="BF36" s="1928">
        <f t="shared" si="62"/>
        <v>66.397098</v>
      </c>
      <c r="BG36" s="2145">
        <f>SUMIFS('利润（汇总）'!30:30,'利润（汇总）'!$1:$1,BG$1,'利润（汇总）'!$2:$2,BG$2)</f>
        <v>1.73327899999999</v>
      </c>
      <c r="BH36" s="1928"/>
      <c r="BI36" s="1928">
        <f t="shared" si="63"/>
        <v>1.73327899999999</v>
      </c>
      <c r="BJ36" s="2145">
        <f>SUMIFS('利润（汇总）'!30:30,'利润（汇总）'!$1:$1,BJ$1,'利润（汇总）'!$2:$2,BJ$2)</f>
        <v>27</v>
      </c>
      <c r="BK36" s="1928"/>
      <c r="BL36" s="1928">
        <f t="shared" si="64"/>
        <v>27</v>
      </c>
      <c r="BM36" s="2145">
        <f>SUMIFS('利润（汇总）'!30:30,'利润（汇总）'!$1:$1,BM$1,'利润（汇总）'!$2:$2,BM$2)</f>
        <v>0</v>
      </c>
      <c r="BN36" s="1928"/>
      <c r="BO36" s="1928">
        <f t="shared" si="65"/>
        <v>0</v>
      </c>
      <c r="BP36" s="2145">
        <f>SUMIFS('利润（汇总）'!30:30,'利润（汇总）'!$1:$1,BP$1,'利润（汇总）'!$2:$2,BP$2)</f>
        <v>0</v>
      </c>
      <c r="BQ36" s="1928"/>
      <c r="BR36" s="1928">
        <f t="shared" si="66"/>
        <v>0</v>
      </c>
      <c r="BS36" s="2145">
        <f>SUMIFS('利润（汇总）'!30:30,'利润（汇总）'!$1:$1,BS$1,'利润（汇总）'!$2:$2,BS$2)</f>
        <v>0</v>
      </c>
      <c r="BT36" s="1928"/>
      <c r="BU36" s="1928">
        <f t="shared" si="67"/>
        <v>0</v>
      </c>
      <c r="BV36" s="2145">
        <f>SUMIFS('利润（汇总）'!30:30,'利润（汇总）'!$1:$1,BV$1,'利润（汇总）'!$2:$2,BV$2)</f>
        <v>0</v>
      </c>
      <c r="BW36" s="1928"/>
      <c r="BX36" s="1928">
        <f t="shared" si="68"/>
        <v>0</v>
      </c>
      <c r="BY36" s="2146">
        <f t="shared" si="84"/>
        <v>208.22421899999998</v>
      </c>
      <c r="BZ36" s="2146">
        <f t="shared" si="85"/>
        <v>0</v>
      </c>
      <c r="CA36" s="1928">
        <f t="shared" si="75"/>
        <v>208.22421899999998</v>
      </c>
      <c r="CB36" s="387"/>
      <c r="CC36" s="387">
        <f>VLOOKUP('#利润建议'!A36,'@预测#利润建议# '!$A$6:$J$43,10,0)</f>
        <v>196.22421899999998</v>
      </c>
      <c r="CD36" s="1538">
        <f t="shared" si="76"/>
        <v>12</v>
      </c>
      <c r="CE36" s="2053">
        <f t="shared" si="50"/>
        <v>71.951877999999994</v>
      </c>
      <c r="CF36"/>
      <c r="CG36"/>
      <c r="CH36"/>
      <c r="CI36"/>
      <c r="CJ36"/>
      <c r="CP36" s="386"/>
      <c r="CQ36" s="386"/>
    </row>
    <row r="37" spans="1:95" s="369" customFormat="1" ht="19.5" hidden="1" customHeight="1">
      <c r="A37" s="2144" t="s">
        <v>135</v>
      </c>
      <c r="B37" s="2145">
        <f>SUMIFS('利润（汇总）'!31:31,'利润（汇总）'!$1:$1,B$1,'利润（汇总）'!$2:$2,B$2)</f>
        <v>-89.182543999999993</v>
      </c>
      <c r="C37" s="1928"/>
      <c r="D37" s="1928">
        <f t="shared" si="3"/>
        <v>-89.182543999999993</v>
      </c>
      <c r="E37" s="2145">
        <f>SUMIFS('利润（汇总）'!31:31,'利润（汇总）'!$1:$1,E$1,'利润（汇总）'!$2:$2,E$2)</f>
        <v>-10.208774999999999</v>
      </c>
      <c r="F37" s="1928"/>
      <c r="G37" s="1928">
        <f t="shared" si="69"/>
        <v>-10.208774999999999</v>
      </c>
      <c r="H37" s="2145">
        <f>SUMIFS('利润（汇总）'!31:31,'利润（汇总）'!$1:$1,H$1,'利润（汇总）'!$2:$2,H$2)</f>
        <v>-8.1711819999999999</v>
      </c>
      <c r="I37" s="1928"/>
      <c r="J37" s="1928">
        <f t="shared" si="70"/>
        <v>-8.1711819999999999</v>
      </c>
      <c r="K37" s="2145">
        <f>SUMIFS('利润（汇总）'!31:31,'利润（汇总）'!$1:$1,K$1,'利润（汇总）'!$2:$2,K$2)</f>
        <v>-10.115099000000001</v>
      </c>
      <c r="L37" s="1928"/>
      <c r="M37" s="1928">
        <f t="shared" si="71"/>
        <v>-10.115099000000001</v>
      </c>
      <c r="N37" s="2145">
        <f>SUMIFS('利润（汇总）'!31:31,'利润（汇总）'!$1:$1,N$1,'利润（汇总）'!$2:$2,N$2)</f>
        <v>-7.766635</v>
      </c>
      <c r="O37" s="1928"/>
      <c r="P37" s="1928">
        <f t="shared" si="72"/>
        <v>-7.766635</v>
      </c>
      <c r="Q37" s="2145">
        <f>SUMIFS('利润（汇总）'!31:31,'利润（汇总）'!$1:$1,Q$1,'利润（汇总）'!$2:$2,Q$2)</f>
        <v>-30.236944000000001</v>
      </c>
      <c r="R37" s="1928"/>
      <c r="S37" s="1928">
        <f t="shared" si="51"/>
        <v>-30.236944000000001</v>
      </c>
      <c r="T37" s="2145">
        <f>SUMIFS('利润（汇总）'!31:31,'利润（汇总）'!$1:$1,T$1,'利润（汇总）'!$2:$2,T$2)</f>
        <v>-7.7676369999999997</v>
      </c>
      <c r="U37" s="1928"/>
      <c r="V37" s="1928">
        <f t="shared" si="73"/>
        <v>-7.7676369999999997</v>
      </c>
      <c r="W37" s="2145">
        <f>SUMIFS('利润（汇总）'!31:31,'利润（汇总）'!$1:$1,W$1,'利润（汇总）'!$2:$2,W$2)</f>
        <v>-12.800133000000001</v>
      </c>
      <c r="X37" s="1928"/>
      <c r="Y37" s="1928">
        <f t="shared" si="52"/>
        <v>-12.800133000000001</v>
      </c>
      <c r="Z37" s="2145">
        <f>SUMIFS('利润（汇总）'!31:31,'利润（汇总）'!$1:$1,Z$1,'利润（汇总）'!$2:$2,Z$2)</f>
        <v>-7.4362649999999997</v>
      </c>
      <c r="AA37" s="1928"/>
      <c r="AB37" s="1928">
        <f t="shared" si="53"/>
        <v>-7.4362649999999997</v>
      </c>
      <c r="AC37" s="2145">
        <f>SUMIFS('利润（汇总）'!31:31,'利润（汇总）'!$1:$1,AC$1,'利润（汇总）'!$2:$2,AC$2)</f>
        <v>-12.280146</v>
      </c>
      <c r="AD37" s="1928"/>
      <c r="AE37" s="1928">
        <f t="shared" si="54"/>
        <v>-12.280146</v>
      </c>
      <c r="AF37" s="2145">
        <f>SUMIFS('利润（汇总）'!31:31,'利润（汇总）'!$1:$1,AF$1,'利润（汇总）'!$2:$2,AF$2)</f>
        <v>-11.183685000000001</v>
      </c>
      <c r="AG37" s="1928"/>
      <c r="AH37" s="1928">
        <f t="shared" si="55"/>
        <v>-11.183685000000001</v>
      </c>
      <c r="AI37" s="2145">
        <f>SUMIFS('利润（汇总）'!31:31,'利润（汇总）'!$1:$1,AI$1,'利润（汇总）'!$2:$2,AI$2)</f>
        <v>-6.6625759999999996</v>
      </c>
      <c r="AJ37" s="2146"/>
      <c r="AK37" s="1928">
        <f t="shared" si="56"/>
        <v>-6.6625759999999996</v>
      </c>
      <c r="AL37" s="2145">
        <f>SUMIFS('利润（汇总）'!31:31,'利润（汇总）'!$1:$1,AL$1,'利润（汇总）'!$2:$2,AL$2)</f>
        <v>-11.282322000000001</v>
      </c>
      <c r="AM37" s="2146"/>
      <c r="AN37" s="1928">
        <f t="shared" si="74"/>
        <v>-11.282322000000001</v>
      </c>
      <c r="AO37" s="2145">
        <f>SUMIFS('利润（汇总）'!31:31,'利润（汇总）'!$1:$1,AO$1,'利润（汇总）'!$2:$2,AO$2)</f>
        <v>-8.2128130000000006</v>
      </c>
      <c r="AP37" s="1928"/>
      <c r="AQ37" s="1928">
        <f t="shared" si="57"/>
        <v>-8.2128130000000006</v>
      </c>
      <c r="AR37" s="2145">
        <f>SUMIFS('利润（汇总）'!31:31,'利润（汇总）'!$1:$1,AR$1,'利润（汇总）'!$2:$2,AR$2)</f>
        <v>-7.4755820000000002</v>
      </c>
      <c r="AS37" s="1928"/>
      <c r="AT37" s="1928">
        <f t="shared" si="58"/>
        <v>-7.4755820000000002</v>
      </c>
      <c r="AU37" s="2145">
        <f>SUMIFS('利润（汇总）'!31:31,'利润（汇总）'!$1:$1,AU$1,'利润（汇总）'!$2:$2,AU$2)</f>
        <v>-10.885730000000001</v>
      </c>
      <c r="AV37" s="1928"/>
      <c r="AW37" s="1928">
        <f t="shared" si="59"/>
        <v>-10.885730000000001</v>
      </c>
      <c r="AX37" s="2145">
        <f>SUMIFS('利润（汇总）'!31:31,'利润（汇总）'!$1:$1,AX$1,'利润（汇总）'!$2:$2,AX$2)</f>
        <v>-15.747343000000001</v>
      </c>
      <c r="AY37" s="1928"/>
      <c r="AZ37" s="1928">
        <f t="shared" si="60"/>
        <v>-15.747343000000001</v>
      </c>
      <c r="BA37" s="2145">
        <f>SUMIFS('利润（汇总）'!31:31,'利润（汇总）'!$1:$1,BA$1,'利润（汇总）'!$2:$2,BA$2)</f>
        <v>-4.6607770000000004</v>
      </c>
      <c r="BB37" s="1928"/>
      <c r="BC37" s="1928">
        <f t="shared" si="61"/>
        <v>-4.6607770000000004</v>
      </c>
      <c r="BD37" s="2145">
        <f>SUMIFS('利润（汇总）'!31:31,'利润（汇总）'!$1:$1,BD$1,'利润（汇总）'!$2:$2,BD$2)</f>
        <v>-15.500119</v>
      </c>
      <c r="BE37" s="1928"/>
      <c r="BF37" s="1928">
        <f t="shared" si="62"/>
        <v>-15.500119</v>
      </c>
      <c r="BG37" s="2145">
        <f>SUMIFS('利润（汇总）'!31:31,'利润（汇总）'!$1:$1,BG$1,'利润（汇总）'!$2:$2,BG$2)</f>
        <v>-11.501206</v>
      </c>
      <c r="BH37" s="1928"/>
      <c r="BI37" s="1928">
        <f t="shared" si="63"/>
        <v>-11.501206</v>
      </c>
      <c r="BJ37" s="2145">
        <f>SUMIFS('利润（汇总）'!31:31,'利润（汇总）'!$1:$1,BJ$1,'利润（汇总）'!$2:$2,BJ$2)</f>
        <v>-7.3065769999999999</v>
      </c>
      <c r="BK37" s="1928"/>
      <c r="BL37" s="1928">
        <f t="shared" si="64"/>
        <v>-7.3065769999999999</v>
      </c>
      <c r="BM37" s="2145">
        <f>SUMIFS('利润（汇总）'!31:31,'利润（汇总）'!$1:$1,BM$1,'利润（汇总）'!$2:$2,BM$2)</f>
        <v>0</v>
      </c>
      <c r="BN37" s="1928"/>
      <c r="BO37" s="1928">
        <f t="shared" si="65"/>
        <v>0</v>
      </c>
      <c r="BP37" s="2145">
        <f>SUMIFS('利润（汇总）'!31:31,'利润（汇总）'!$1:$1,BP$1,'利润（汇总）'!$2:$2,BP$2)</f>
        <v>0</v>
      </c>
      <c r="BQ37" s="1928"/>
      <c r="BR37" s="1928">
        <f t="shared" si="66"/>
        <v>0</v>
      </c>
      <c r="BS37" s="2145">
        <f>SUMIFS('利润（汇总）'!31:31,'利润（汇总）'!$1:$1,BS$1,'利润（汇总）'!$2:$2,BS$2)</f>
        <v>0</v>
      </c>
      <c r="BT37" s="1928"/>
      <c r="BU37" s="1928">
        <f t="shared" si="67"/>
        <v>0</v>
      </c>
      <c r="BV37" s="2145">
        <f>SUMIFS('利润（汇总）'!31:31,'利润（汇总）'!$1:$1,BV$1,'利润（汇总）'!$2:$2,BV$2)</f>
        <v>0</v>
      </c>
      <c r="BW37" s="1928"/>
      <c r="BX37" s="1928">
        <f t="shared" si="68"/>
        <v>0</v>
      </c>
      <c r="BY37" s="2146">
        <f t="shared" si="84"/>
        <v>-81.290147000000005</v>
      </c>
      <c r="BZ37" s="2146">
        <f t="shared" si="85"/>
        <v>0</v>
      </c>
      <c r="CA37" s="1928">
        <f t="shared" si="75"/>
        <v>-81.290147000000005</v>
      </c>
      <c r="CB37" s="387"/>
      <c r="CC37" s="387">
        <f>VLOOKUP('#利润建议'!A37,'@预测#利润建议# '!$A$6:$J$43,10,0)</f>
        <v>-85.98357</v>
      </c>
      <c r="CD37" s="1538">
        <f t="shared" si="76"/>
        <v>4.6934229999999957</v>
      </c>
      <c r="CE37" s="2053">
        <f t="shared" si="50"/>
        <v>0.73723100000000041</v>
      </c>
      <c r="CF37"/>
      <c r="CG37"/>
      <c r="CH37"/>
      <c r="CI37"/>
      <c r="CJ37"/>
      <c r="CP37" s="386"/>
      <c r="CQ37" s="386"/>
    </row>
    <row r="38" spans="1:95" s="369" customFormat="1" ht="19.5" hidden="1" customHeight="1">
      <c r="A38" s="2144" t="s">
        <v>136</v>
      </c>
      <c r="B38" s="2145">
        <f>SUMIFS('利润（汇总）'!32:32,'利润（汇总）'!$1:$1,B$1,'利润（汇总）'!$2:$2,B$2)</f>
        <v>-1.701643</v>
      </c>
      <c r="C38" s="1928"/>
      <c r="D38" s="1928">
        <f t="shared" si="3"/>
        <v>-1.701643</v>
      </c>
      <c r="E38" s="2145">
        <f>SUMIFS('利润（汇总）'!32:32,'利润（汇总）'!$1:$1,E$1,'利润（汇总）'!$2:$2,E$2)</f>
        <v>-1.2224969999999999</v>
      </c>
      <c r="F38" s="1928"/>
      <c r="G38" s="1928">
        <f t="shared" si="69"/>
        <v>-1.2224969999999999</v>
      </c>
      <c r="H38" s="2145">
        <f>SUMIFS('利润（汇总）'!32:32,'利润（汇总）'!$1:$1,H$1,'利润（汇总）'!$2:$2,H$2)</f>
        <v>-1.222496</v>
      </c>
      <c r="I38" s="1928"/>
      <c r="J38" s="1928">
        <f t="shared" si="70"/>
        <v>-1.222496</v>
      </c>
      <c r="K38" s="2145">
        <f>SUMIFS('利润（汇总）'!32:32,'利润（汇总）'!$1:$1,K$1,'利润（汇总）'!$2:$2,K$2)</f>
        <v>-1.235528</v>
      </c>
      <c r="L38" s="1928"/>
      <c r="M38" s="1928">
        <f t="shared" si="71"/>
        <v>-1.235528</v>
      </c>
      <c r="N38" s="2145">
        <f>SUMIFS('利润（汇总）'!32:32,'利润（汇总）'!$1:$1,N$1,'利润（汇总）'!$2:$2,N$2)</f>
        <v>-1.2224969999999999</v>
      </c>
      <c r="O38" s="1928"/>
      <c r="P38" s="1928">
        <f t="shared" si="72"/>
        <v>-1.2224969999999999</v>
      </c>
      <c r="Q38" s="2145">
        <f>SUMIFS('利润（汇总）'!32:32,'利润（汇总）'!$1:$1,Q$1,'利润（汇总）'!$2:$2,Q$2)</f>
        <v>-1.2524960000000001</v>
      </c>
      <c r="R38" s="1928"/>
      <c r="S38" s="1928">
        <f t="shared" si="51"/>
        <v>-1.2524960000000001</v>
      </c>
      <c r="T38" s="2145">
        <f>SUMIFS('利润（汇总）'!32:32,'利润（汇总）'!$1:$1,T$1,'利润（汇总）'!$2:$2,T$2)</f>
        <v>-1.9820340000000001</v>
      </c>
      <c r="U38" s="1928"/>
      <c r="V38" s="1928">
        <f t="shared" si="73"/>
        <v>-1.9820340000000001</v>
      </c>
      <c r="W38" s="2145">
        <f>SUMIFS('利润（汇总）'!32:32,'利润（汇总）'!$1:$1,W$1,'利润（汇总）'!$2:$2,W$2)</f>
        <v>-1.2224969999999999</v>
      </c>
      <c r="X38" s="1928"/>
      <c r="Y38" s="1928">
        <f t="shared" si="52"/>
        <v>-1.2224969999999999</v>
      </c>
      <c r="Z38" s="2145">
        <f>SUMIFS('利润（汇总）'!32:32,'利润（汇总）'!$1:$1,Z$1,'利润（汇总）'!$2:$2,Z$2)</f>
        <v>-1.2604960000000001</v>
      </c>
      <c r="AA38" s="1928"/>
      <c r="AB38" s="1928">
        <f t="shared" si="53"/>
        <v>-1.2604960000000001</v>
      </c>
      <c r="AC38" s="2145">
        <f>SUMIFS('利润（汇总）'!32:32,'利润（汇总）'!$1:$1,AC$1,'利润（汇总）'!$2:$2,AC$2)</f>
        <v>-1.1214230000000001</v>
      </c>
      <c r="AD38" s="1928"/>
      <c r="AE38" s="1928">
        <f t="shared" si="54"/>
        <v>-1.1214230000000001</v>
      </c>
      <c r="AF38" s="2145">
        <f>SUMIFS('利润（汇总）'!32:32,'利润（汇总）'!$1:$1,AF$1,'利润（汇总）'!$2:$2,AF$2)</f>
        <v>-1.2224969999999999</v>
      </c>
      <c r="AG38" s="1928"/>
      <c r="AH38" s="1928">
        <f t="shared" si="55"/>
        <v>-1.2224969999999999</v>
      </c>
      <c r="AI38" s="2145">
        <f>SUMIFS('利润（汇总）'!32:32,'利润（汇总）'!$1:$1,AI$1,'利润（汇总）'!$2:$2,AI$2)</f>
        <v>-1.222496</v>
      </c>
      <c r="AJ38" s="2146"/>
      <c r="AK38" s="1928">
        <f t="shared" si="56"/>
        <v>-1.222496</v>
      </c>
      <c r="AL38" s="2145">
        <f>SUMIFS('利润（汇总）'!32:32,'利润（汇总）'!$1:$1,AL$1,'利润（汇总）'!$2:$2,AL$2)</f>
        <v>-39.435268999999998</v>
      </c>
      <c r="AM38" s="2146"/>
      <c r="AN38" s="1928">
        <f t="shared" si="74"/>
        <v>-39.435268999999998</v>
      </c>
      <c r="AO38" s="2145">
        <f>SUMIFS('利润（汇总）'!32:32,'利润（汇总）'!$1:$1,AO$1,'利润（汇总）'!$2:$2,AO$2)</f>
        <v>-1.245101</v>
      </c>
      <c r="AP38" s="1928"/>
      <c r="AQ38" s="1928">
        <f t="shared" si="57"/>
        <v>-1.245101</v>
      </c>
      <c r="AR38" s="2145">
        <f>SUMIFS('利润（汇总）'!32:32,'利润（汇总）'!$1:$1,AR$1,'利润（汇总）'!$2:$2,AR$2)</f>
        <v>-1.2784960000000001</v>
      </c>
      <c r="AS38" s="1928"/>
      <c r="AT38" s="1928">
        <f t="shared" si="58"/>
        <v>-1.2784960000000001</v>
      </c>
      <c r="AU38" s="2145">
        <f>SUMIFS('利润（汇总）'!32:32,'利润（汇总）'!$1:$1,AU$1,'利润（汇总）'!$2:$2,AU$2)</f>
        <v>-1.1664209999999999</v>
      </c>
      <c r="AV38" s="1928"/>
      <c r="AW38" s="1928">
        <f t="shared" si="59"/>
        <v>-1.1664209999999999</v>
      </c>
      <c r="AX38" s="2145">
        <f>SUMIFS('利润（汇总）'!32:32,'利润（汇总）'!$1:$1,AX$1,'利润（汇总）'!$2:$2,AX$2)</f>
        <v>-1.2224969999999999</v>
      </c>
      <c r="AY38" s="1928"/>
      <c r="AZ38" s="1928">
        <f t="shared" si="60"/>
        <v>-1.2224969999999999</v>
      </c>
      <c r="BA38" s="2145">
        <f>SUMIFS('利润（汇总）'!32:32,'利润（汇总）'!$1:$1,BA$1,'利润（汇总）'!$2:$2,BA$2)</f>
        <v>-1.232496</v>
      </c>
      <c r="BB38" s="1928"/>
      <c r="BC38" s="1928">
        <f t="shared" si="61"/>
        <v>-1.232496</v>
      </c>
      <c r="BD38" s="2145">
        <f>SUMIFS('利润（汇总）'!32:32,'利润（汇总）'!$1:$1,BD$1,'利润（汇总）'!$2:$2,BD$2)</f>
        <v>-2.1882999999999999</v>
      </c>
      <c r="BE38" s="1928"/>
      <c r="BF38" s="1928">
        <f t="shared" si="62"/>
        <v>-2.1882999999999999</v>
      </c>
      <c r="BG38" s="2145">
        <f>SUMIFS('利润（汇总）'!32:32,'利润（汇总）'!$1:$1,BG$1,'利润（汇总）'!$2:$2,BG$2)</f>
        <v>-1.22</v>
      </c>
      <c r="BH38" s="1928"/>
      <c r="BI38" s="1928">
        <f t="shared" si="63"/>
        <v>-1.22</v>
      </c>
      <c r="BJ38" s="2145">
        <f>SUMIFS('利润（汇总）'!32:32,'利润（汇总）'!$1:$1,BJ$1,'利润（汇总）'!$2:$2,BJ$2)</f>
        <v>-1.3644670000000001</v>
      </c>
      <c r="BK38" s="1928"/>
      <c r="BL38" s="1928">
        <f t="shared" si="64"/>
        <v>-1.3644670000000001</v>
      </c>
      <c r="BM38" s="2145">
        <f>SUMIFS('利润（汇总）'!32:32,'利润（汇总）'!$1:$1,BM$1,'利润（汇总）'!$2:$2,BM$2)</f>
        <v>0</v>
      </c>
      <c r="BN38" s="1928"/>
      <c r="BO38" s="1928">
        <f t="shared" si="65"/>
        <v>0</v>
      </c>
      <c r="BP38" s="2145">
        <f>SUMIFS('利润（汇总）'!32:32,'利润（汇总）'!$1:$1,BP$1,'利润（汇总）'!$2:$2,BP$2)</f>
        <v>0</v>
      </c>
      <c r="BQ38" s="1928"/>
      <c r="BR38" s="1928">
        <f t="shared" si="66"/>
        <v>0</v>
      </c>
      <c r="BS38" s="2145">
        <f>SUMIFS('利润（汇总）'!32:32,'利润（汇总）'!$1:$1,BS$1,'利润（汇总）'!$2:$2,BS$2)</f>
        <v>0</v>
      </c>
      <c r="BT38" s="1928"/>
      <c r="BU38" s="1928">
        <f t="shared" si="67"/>
        <v>0</v>
      </c>
      <c r="BV38" s="2145">
        <f>SUMIFS('利润（汇总）'!32:32,'利润（汇总）'!$1:$1,BV$1,'利润（汇总）'!$2:$2,BV$2)</f>
        <v>0</v>
      </c>
      <c r="BW38" s="1928"/>
      <c r="BX38" s="1928">
        <f t="shared" si="68"/>
        <v>0</v>
      </c>
      <c r="BY38" s="2146">
        <f t="shared" si="84"/>
        <v>-10.917778</v>
      </c>
      <c r="BZ38" s="2146">
        <f t="shared" si="85"/>
        <v>0</v>
      </c>
      <c r="CA38" s="1928">
        <f t="shared" si="75"/>
        <v>-10.917778</v>
      </c>
      <c r="CB38" s="387"/>
      <c r="CC38" s="387">
        <f>VLOOKUP('#利润建议'!A38,'@预测#利润建议# '!$A$6:$J$43,10,0)</f>
        <v>-10.553311000000001</v>
      </c>
      <c r="CD38" s="1538">
        <f t="shared" si="76"/>
        <v>-0.36446699999999943</v>
      </c>
      <c r="CE38" s="2053">
        <f t="shared" si="50"/>
        <v>-3.3395000000000064E-2</v>
      </c>
      <c r="CF38"/>
      <c r="CG38"/>
      <c r="CH38"/>
      <c r="CI38"/>
      <c r="CJ38"/>
      <c r="CP38" s="386"/>
      <c r="CQ38" s="386"/>
    </row>
    <row r="39" spans="1:95" s="369" customFormat="1" ht="19.5" hidden="1" customHeight="1">
      <c r="A39" s="2144" t="s">
        <v>137</v>
      </c>
      <c r="B39" s="2145">
        <f>SUMIFS('利润（汇总）'!33:33,'利润（汇总）'!$1:$1,B$1,'利润（汇总）'!$2:$2,B$2)</f>
        <v>-0.40506199999999998</v>
      </c>
      <c r="C39" s="1928"/>
      <c r="D39" s="1928">
        <f t="shared" si="3"/>
        <v>-0.40506199999999998</v>
      </c>
      <c r="E39" s="2145">
        <f>SUMIFS('利润（汇总）'!33:33,'利润（汇总）'!$1:$1,E$1,'利润（汇总）'!$2:$2,E$2)</f>
        <v>-284.86500599999999</v>
      </c>
      <c r="F39" s="1928"/>
      <c r="G39" s="1928">
        <f t="shared" si="69"/>
        <v>-284.86500599999999</v>
      </c>
      <c r="H39" s="2145">
        <f>SUMIFS('利润（汇总）'!33:33,'利润（汇总）'!$1:$1,H$1,'利润（汇总）'!$2:$2,H$2)</f>
        <v>-1060.510094</v>
      </c>
      <c r="I39" s="1928"/>
      <c r="J39" s="1928">
        <f t="shared" si="70"/>
        <v>-1060.510094</v>
      </c>
      <c r="K39" s="2145">
        <f>SUMIFS('利润（汇总）'!33:33,'利润（汇总）'!$1:$1,K$1,'利润（汇总）'!$2:$2,K$2)</f>
        <v>283.95622600000002</v>
      </c>
      <c r="L39" s="1928"/>
      <c r="M39" s="1928">
        <f t="shared" si="71"/>
        <v>283.95622600000002</v>
      </c>
      <c r="N39" s="2145">
        <f>SUMIFS('利润（汇总）'!33:33,'利润（汇总）'!$1:$1,N$1,'利润（汇总）'!$2:$2,N$2)</f>
        <v>717.06893300000002</v>
      </c>
      <c r="O39" s="1928"/>
      <c r="P39" s="1928">
        <f t="shared" si="72"/>
        <v>717.06893300000002</v>
      </c>
      <c r="Q39" s="2145">
        <f>SUMIFS('利润（汇总）'!33:33,'利润（汇总）'!$1:$1,Q$1,'利润（汇总）'!$2:$2,Q$2)</f>
        <v>162.11648199999999</v>
      </c>
      <c r="R39" s="1928"/>
      <c r="S39" s="1928">
        <f t="shared" si="51"/>
        <v>162.11648199999999</v>
      </c>
      <c r="T39" s="2145">
        <f>SUMIFS('利润（汇总）'!33:33,'利润（汇总）'!$1:$1,T$1,'利润（汇总）'!$2:$2,T$2)</f>
        <v>386.01950699999998</v>
      </c>
      <c r="U39" s="1928"/>
      <c r="V39" s="1928">
        <f t="shared" si="73"/>
        <v>386.01950699999998</v>
      </c>
      <c r="W39" s="2145">
        <f>SUMIFS('利润（汇总）'!33:33,'利润（汇总）'!$1:$1,W$1,'利润（汇总）'!$2:$2,W$2)</f>
        <v>132.024641</v>
      </c>
      <c r="X39" s="1928"/>
      <c r="Y39" s="1928">
        <f t="shared" si="52"/>
        <v>132.024641</v>
      </c>
      <c r="Z39" s="2145">
        <f>SUMIFS('利润（汇总）'!33:33,'利润（汇总）'!$1:$1,Z$1,'利润（汇总）'!$2:$2,Z$2)</f>
        <v>667.70675100000005</v>
      </c>
      <c r="AA39" s="1928"/>
      <c r="AB39" s="1928">
        <f t="shared" si="53"/>
        <v>667.70675100000005</v>
      </c>
      <c r="AC39" s="2145">
        <f>SUMIFS('利润（汇总）'!33:33,'利润（汇总）'!$1:$1,AC$1,'利润（汇总）'!$2:$2,AC$2)</f>
        <v>173.337267</v>
      </c>
      <c r="AD39" s="1928"/>
      <c r="AE39" s="1928">
        <f t="shared" si="54"/>
        <v>173.337267</v>
      </c>
      <c r="AF39" s="2145">
        <f>SUMIFS('利润（汇总）'!33:33,'利润（汇总）'!$1:$1,AF$1,'利润（汇总）'!$2:$2,AF$2)</f>
        <v>-777.72407799999996</v>
      </c>
      <c r="AG39" s="1928"/>
      <c r="AH39" s="1928">
        <f t="shared" si="55"/>
        <v>-777.72407799999996</v>
      </c>
      <c r="AI39" s="2145">
        <f>SUMIFS('利润（汇总）'!33:33,'利润（汇总）'!$1:$1,AI$1,'利润（汇总）'!$2:$2,AI$2)</f>
        <v>189.44671199999999</v>
      </c>
      <c r="AJ39" s="2146"/>
      <c r="AK39" s="1928">
        <f t="shared" si="56"/>
        <v>189.44671199999999</v>
      </c>
      <c r="AL39" s="2145">
        <f>SUMIFS('利润（汇总）'!33:33,'利润（汇总）'!$1:$1,AL$1,'利润（汇总）'!$2:$2,AL$2)</f>
        <v>368.65194600000001</v>
      </c>
      <c r="AM39" s="2146"/>
      <c r="AN39" s="1928">
        <f t="shared" si="74"/>
        <v>368.65194600000001</v>
      </c>
      <c r="AO39" s="2145">
        <f>SUMIFS('利润（汇总）'!33:33,'利润（汇总）'!$1:$1,AO$1,'利润（汇总）'!$2:$2,AO$2)</f>
        <v>0</v>
      </c>
      <c r="AP39" s="1928"/>
      <c r="AQ39" s="1928">
        <f t="shared" si="57"/>
        <v>0</v>
      </c>
      <c r="AR39" s="2145">
        <f>SUMIFS('利润（汇总）'!33:33,'利润（汇总）'!$1:$1,AR$1,'利润（汇总）'!$2:$2,AR$2)</f>
        <v>0</v>
      </c>
      <c r="AS39" s="1928"/>
      <c r="AT39" s="1928">
        <f t="shared" si="58"/>
        <v>0</v>
      </c>
      <c r="AU39" s="2145">
        <f>SUMIFS('利润（汇总）'!33:33,'利润（汇总）'!$1:$1,AU$1,'利润（汇总）'!$2:$2,AU$2)</f>
        <v>0</v>
      </c>
      <c r="AV39" s="1928"/>
      <c r="AW39" s="1928">
        <f t="shared" si="59"/>
        <v>0</v>
      </c>
      <c r="AX39" s="2145">
        <f>SUMIFS('利润（汇总）'!33:33,'利润（汇总）'!$1:$1,AX$1,'利润（汇总）'!$2:$2,AX$2)</f>
        <v>0</v>
      </c>
      <c r="AY39" s="1928"/>
      <c r="AZ39" s="1928">
        <f t="shared" si="60"/>
        <v>0</v>
      </c>
      <c r="BA39" s="2145">
        <f>SUMIFS('利润（汇总）'!33:33,'利润（汇总）'!$1:$1,BA$1,'利润（汇总）'!$2:$2,BA$2)</f>
        <v>0</v>
      </c>
      <c r="BB39" s="1928"/>
      <c r="BC39" s="1928">
        <f t="shared" si="61"/>
        <v>0</v>
      </c>
      <c r="BD39" s="2145">
        <f>SUMIFS('利润（汇总）'!33:33,'利润（汇总）'!$1:$1,BD$1,'利润（汇总）'!$2:$2,BD$2)</f>
        <v>0</v>
      </c>
      <c r="BE39" s="1928"/>
      <c r="BF39" s="1928">
        <f t="shared" si="62"/>
        <v>0</v>
      </c>
      <c r="BG39" s="2145">
        <f>SUMIFS('利润（汇总）'!33:33,'利润（汇总）'!$1:$1,BG$1,'利润（汇总）'!$2:$2,BG$2)</f>
        <v>0</v>
      </c>
      <c r="BH39" s="1928"/>
      <c r="BI39" s="1928">
        <f t="shared" si="63"/>
        <v>0</v>
      </c>
      <c r="BJ39" s="2145">
        <f>SUMIFS('利润（汇总）'!33:33,'利润（汇总）'!$1:$1,BJ$1,'利润（汇总）'!$2:$2,BJ$2)</f>
        <v>0</v>
      </c>
      <c r="BK39" s="1928"/>
      <c r="BL39" s="1928">
        <f t="shared" si="64"/>
        <v>0</v>
      </c>
      <c r="BM39" s="2145">
        <f>SUMIFS('利润（汇总）'!33:33,'利润（汇总）'!$1:$1,BM$1,'利润（汇总）'!$2:$2,BM$2)</f>
        <v>0</v>
      </c>
      <c r="BN39" s="1928"/>
      <c r="BO39" s="1928">
        <f t="shared" si="65"/>
        <v>0</v>
      </c>
      <c r="BP39" s="2145">
        <f>SUMIFS('利润（汇总）'!33:33,'利润（汇总）'!$1:$1,BP$1,'利润（汇总）'!$2:$2,BP$2)</f>
        <v>0</v>
      </c>
      <c r="BQ39" s="1928"/>
      <c r="BR39" s="1928">
        <f t="shared" si="66"/>
        <v>0</v>
      </c>
      <c r="BS39" s="2145">
        <f>SUMIFS('利润（汇总）'!33:33,'利润（汇总）'!$1:$1,BS$1,'利润（汇总）'!$2:$2,BS$2)</f>
        <v>0</v>
      </c>
      <c r="BT39" s="1928"/>
      <c r="BU39" s="1928">
        <f t="shared" si="67"/>
        <v>0</v>
      </c>
      <c r="BV39" s="2145">
        <f>SUMIFS('利润（汇总）'!33:33,'利润（汇总）'!$1:$1,BV$1,'利润（汇总）'!$2:$2,BV$2)</f>
        <v>0</v>
      </c>
      <c r="BW39" s="1928"/>
      <c r="BX39" s="1928">
        <f t="shared" si="68"/>
        <v>0</v>
      </c>
      <c r="BY39" s="2146">
        <f t="shared" si="84"/>
        <v>0</v>
      </c>
      <c r="BZ39" s="2146">
        <f t="shared" si="85"/>
        <v>0</v>
      </c>
      <c r="CA39" s="1928">
        <f t="shared" si="75"/>
        <v>0</v>
      </c>
      <c r="CB39" s="387"/>
      <c r="CC39" s="387">
        <f>VLOOKUP('#利润建议'!A39,'@预测#利润建议# '!$A$6:$J$43,10,0)</f>
        <v>0</v>
      </c>
      <c r="CD39" s="1538">
        <f t="shared" si="76"/>
        <v>0</v>
      </c>
      <c r="CE39" s="2053">
        <f t="shared" si="50"/>
        <v>0</v>
      </c>
      <c r="CF39"/>
      <c r="CG39"/>
      <c r="CH39"/>
      <c r="CI39"/>
      <c r="CJ39"/>
      <c r="CP39" s="386"/>
      <c r="CQ39" s="386"/>
    </row>
    <row r="40" spans="1:95" s="369" customFormat="1" ht="19.5" hidden="1" customHeight="1">
      <c r="A40" s="2144" t="s">
        <v>138</v>
      </c>
      <c r="B40" s="2145">
        <f>SUMIFS('利润（汇总）'!34:34,'利润（汇总）'!$1:$1,B$1,'利润（汇总）'!$2:$2,B$2)</f>
        <v>-3.6476660000000001</v>
      </c>
      <c r="C40" s="1928"/>
      <c r="D40" s="1928">
        <f t="shared" si="3"/>
        <v>-3.6476660000000001</v>
      </c>
      <c r="E40" s="2145">
        <f>SUMIFS('利润（汇总）'!34:34,'利润（汇总）'!$1:$1,E$1,'利润（汇总）'!$2:$2,E$2)</f>
        <v>-5.2371999999999996</v>
      </c>
      <c r="F40" s="1928"/>
      <c r="G40" s="1928">
        <f t="shared" si="69"/>
        <v>-5.2371999999999996</v>
      </c>
      <c r="H40" s="2145">
        <f>SUMIFS('利润（汇总）'!34:34,'利润（汇总）'!$1:$1,H$1,'利润（汇总）'!$2:$2,H$2)</f>
        <v>-4.0110999999999999</v>
      </c>
      <c r="I40" s="1928"/>
      <c r="J40" s="1928">
        <f t="shared" si="70"/>
        <v>-4.0110999999999999</v>
      </c>
      <c r="K40" s="2145">
        <f>SUMIFS('利润（汇总）'!34:34,'利润（汇总）'!$1:$1,K$1,'利润（汇总）'!$2:$2,K$2)</f>
        <v>-1.595756</v>
      </c>
      <c r="L40" s="1928"/>
      <c r="M40" s="1928">
        <f t="shared" si="71"/>
        <v>-1.595756</v>
      </c>
      <c r="N40" s="2145">
        <f>SUMIFS('利润（汇总）'!34:34,'利润（汇总）'!$1:$1,N$1,'利润（汇总）'!$2:$2,N$2)</f>
        <v>-4.8472999999999997</v>
      </c>
      <c r="O40" s="1928"/>
      <c r="P40" s="1928">
        <f t="shared" si="72"/>
        <v>-4.8472999999999997</v>
      </c>
      <c r="Q40" s="2145">
        <f>SUMIFS('利润（汇总）'!34:34,'利润（汇总）'!$1:$1,Q$1,'利润（汇总）'!$2:$2,Q$2)</f>
        <v>-4.7225000000000001</v>
      </c>
      <c r="R40" s="1928"/>
      <c r="S40" s="1928">
        <f t="shared" si="51"/>
        <v>-4.7225000000000001</v>
      </c>
      <c r="T40" s="2145">
        <f>SUMIFS('利润（汇总）'!34:34,'利润（汇总）'!$1:$1,T$1,'利润（汇总）'!$2:$2,T$2)</f>
        <v>-2.3049780000000002</v>
      </c>
      <c r="U40" s="1928"/>
      <c r="V40" s="1928">
        <f t="shared" si="73"/>
        <v>-2.3049780000000002</v>
      </c>
      <c r="W40" s="2145">
        <f>SUMIFS('利润（汇总）'!34:34,'利润（汇总）'!$1:$1,W$1,'利润（汇总）'!$2:$2,W$2)</f>
        <v>-4.9619</v>
      </c>
      <c r="X40" s="1928"/>
      <c r="Y40" s="1928">
        <f t="shared" si="52"/>
        <v>-4.9619</v>
      </c>
      <c r="Z40" s="2145">
        <f>SUMIFS('利润（汇总）'!34:34,'利润（汇总）'!$1:$1,Z$1,'利润（汇总）'!$2:$2,Z$2)</f>
        <v>-2.8738000000000001</v>
      </c>
      <c r="AA40" s="1928"/>
      <c r="AB40" s="1928">
        <f t="shared" si="53"/>
        <v>-2.8738000000000001</v>
      </c>
      <c r="AC40" s="2145">
        <f>SUMIFS('利润（汇总）'!34:34,'利润（汇总）'!$1:$1,AC$1,'利润（汇总）'!$2:$2,AC$2)</f>
        <v>-1.7374069999999999</v>
      </c>
      <c r="AD40" s="1928"/>
      <c r="AE40" s="1928">
        <f t="shared" si="54"/>
        <v>-1.7374069999999999</v>
      </c>
      <c r="AF40" s="2145">
        <f>SUMIFS('利润（汇总）'!34:34,'利润（汇总）'!$1:$1,AF$1,'利润（汇总）'!$2:$2,AF$2)</f>
        <v>-5.9638</v>
      </c>
      <c r="AG40" s="1928"/>
      <c r="AH40" s="1928">
        <f t="shared" si="55"/>
        <v>-5.9638</v>
      </c>
      <c r="AI40" s="2145">
        <f>SUMIFS('利润（汇总）'!34:34,'利润（汇总）'!$1:$1,AI$1,'利润（汇总）'!$2:$2,AI$2)</f>
        <v>-5.96</v>
      </c>
      <c r="AJ40" s="2146"/>
      <c r="AK40" s="1928">
        <f t="shared" si="56"/>
        <v>-5.96</v>
      </c>
      <c r="AL40" s="2145">
        <f>SUMIFS('利润（汇总）'!34:34,'利润（汇总）'!$1:$1,AL$1,'利润（汇总）'!$2:$2,AL$2)</f>
        <v>-1.837467</v>
      </c>
      <c r="AM40" s="2146"/>
      <c r="AN40" s="1928">
        <f t="shared" si="74"/>
        <v>-1.837467</v>
      </c>
      <c r="AO40" s="2145">
        <f>SUMIFS('利润（汇总）'!34:34,'利润（汇总）'!$1:$1,AO$1,'利润（汇总）'!$2:$2,AO$2)</f>
        <v>-4.4115000000000002</v>
      </c>
      <c r="AP40" s="1928"/>
      <c r="AQ40" s="1928">
        <f t="shared" si="57"/>
        <v>-4.4115000000000002</v>
      </c>
      <c r="AR40" s="2145">
        <f>SUMIFS('利润（汇总）'!34:34,'利润（汇总）'!$1:$1,AR$1,'利润（汇总）'!$2:$2,AR$2)</f>
        <v>-4.9753999999999996</v>
      </c>
      <c r="AS40" s="1928"/>
      <c r="AT40" s="1928">
        <f t="shared" si="58"/>
        <v>-4.9753999999999996</v>
      </c>
      <c r="AU40" s="2145">
        <f>SUMIFS('利润（汇总）'!34:34,'利润（汇总）'!$1:$1,AU$1,'利润（汇总）'!$2:$2,AU$2)</f>
        <v>-2.5652650000000001</v>
      </c>
      <c r="AV40" s="1928"/>
      <c r="AW40" s="1928">
        <f t="shared" si="59"/>
        <v>-2.5652650000000001</v>
      </c>
      <c r="AX40" s="2145">
        <f>SUMIFS('利润（汇总）'!34:34,'利润（汇总）'!$1:$1,AX$1,'利润（汇总）'!$2:$2,AX$2)</f>
        <v>-4.1337999999999999</v>
      </c>
      <c r="AY40" s="1928"/>
      <c r="AZ40" s="1928">
        <f t="shared" si="60"/>
        <v>-4.1337999999999999</v>
      </c>
      <c r="BA40" s="2145">
        <f>SUMIFS('利润（汇总）'!34:34,'利润（汇总）'!$1:$1,BA$1,'利润（汇总）'!$2:$2,BA$2)</f>
        <v>-4.3236920000000003</v>
      </c>
      <c r="BB40" s="1928"/>
      <c r="BC40" s="1928">
        <f t="shared" si="61"/>
        <v>-4.3236920000000003</v>
      </c>
      <c r="BD40" s="2145">
        <f>SUMIFS('利润（汇总）'!34:34,'利润（汇总）'!$1:$1,BD$1,'利润（汇总）'!$2:$2,BD$2)</f>
        <v>1.8188359999999999</v>
      </c>
      <c r="BE40" s="1928"/>
      <c r="BF40" s="1928">
        <f t="shared" si="62"/>
        <v>1.8188359999999999</v>
      </c>
      <c r="BG40" s="2145">
        <f>SUMIFS('利润（汇总）'!34:34,'利润（汇总）'!$1:$1,BG$1,'利润（汇总）'!$2:$2,BG$2)</f>
        <v>0</v>
      </c>
      <c r="BH40" s="1928"/>
      <c r="BI40" s="1928">
        <f t="shared" si="63"/>
        <v>0</v>
      </c>
      <c r="BJ40" s="2145">
        <f>SUMIFS('利润（汇总）'!34:34,'利润（汇总）'!$1:$1,BJ$1,'利润（汇总）'!$2:$2,BJ$2)</f>
        <v>0.99154300000000006</v>
      </c>
      <c r="BK40" s="1928"/>
      <c r="BL40" s="1928">
        <f t="shared" si="64"/>
        <v>0.99154300000000006</v>
      </c>
      <c r="BM40" s="2145">
        <f>SUMIFS('利润（汇总）'!34:34,'利润（汇总）'!$1:$1,BM$1,'利润（汇总）'!$2:$2,BM$2)</f>
        <v>0</v>
      </c>
      <c r="BN40" s="1928"/>
      <c r="BO40" s="1928">
        <f t="shared" si="65"/>
        <v>0</v>
      </c>
      <c r="BP40" s="2145">
        <f>SUMIFS('利润（汇总）'!34:34,'利润（汇总）'!$1:$1,BP$1,'利润（汇总）'!$2:$2,BP$2)</f>
        <v>0</v>
      </c>
      <c r="BQ40" s="1928"/>
      <c r="BR40" s="1928">
        <f t="shared" si="66"/>
        <v>0</v>
      </c>
      <c r="BS40" s="2145">
        <f>SUMIFS('利润（汇总）'!34:34,'利润（汇总）'!$1:$1,BS$1,'利润（汇总）'!$2:$2,BS$2)</f>
        <v>0</v>
      </c>
      <c r="BT40" s="1928"/>
      <c r="BU40" s="1928">
        <f t="shared" si="67"/>
        <v>0</v>
      </c>
      <c r="BV40" s="2145">
        <f>SUMIFS('利润（汇总）'!34:34,'利润（汇总）'!$1:$1,BV$1,'利润（汇总）'!$2:$2,BV$2)</f>
        <v>0</v>
      </c>
      <c r="BW40" s="1928"/>
      <c r="BX40" s="1928">
        <f t="shared" si="68"/>
        <v>0</v>
      </c>
      <c r="BY40" s="2146">
        <f t="shared" si="84"/>
        <v>-17.599278000000002</v>
      </c>
      <c r="BZ40" s="2146">
        <f t="shared" si="85"/>
        <v>0</v>
      </c>
      <c r="CA40" s="1928">
        <f t="shared" si="75"/>
        <v>-17.599278000000002</v>
      </c>
      <c r="CB40" s="387"/>
      <c r="CC40" s="387">
        <f>VLOOKUP('#利润建议'!A40,'@预测#利润建议# '!$A$6:$J$43,10,0)</f>
        <v>-18.590821000000002</v>
      </c>
      <c r="CD40" s="1538">
        <f t="shared" si="76"/>
        <v>0.99154300000000006</v>
      </c>
      <c r="CE40" s="2053">
        <f t="shared" si="50"/>
        <v>-0.5638999999999994</v>
      </c>
      <c r="CF40"/>
      <c r="CG40"/>
      <c r="CH40"/>
      <c r="CI40"/>
      <c r="CJ40"/>
      <c r="CP40" s="386"/>
      <c r="CQ40" s="386"/>
    </row>
    <row r="41" spans="1:95" s="369" customFormat="1" ht="19.5" hidden="1" customHeight="1">
      <c r="A41" s="2144" t="s">
        <v>139</v>
      </c>
      <c r="B41" s="2145">
        <f>SUMIFS('利润（汇总）'!35:35,'利润（汇总）'!$1:$1,B$1,'利润（汇总）'!$2:$2,B$2)</f>
        <v>-14.660551</v>
      </c>
      <c r="C41" s="1928"/>
      <c r="D41" s="1928">
        <f t="shared" si="3"/>
        <v>-14.660551</v>
      </c>
      <c r="E41" s="2145">
        <f>SUMIFS('利润（汇总）'!35:35,'利润（汇总）'!$1:$1,E$1,'利润（汇总）'!$2:$2,E$2)</f>
        <v>-14.562013</v>
      </c>
      <c r="F41" s="1928"/>
      <c r="G41" s="1928">
        <f t="shared" si="69"/>
        <v>-14.562013</v>
      </c>
      <c r="H41" s="2145">
        <f>SUMIFS('利润（汇总）'!35:35,'利润（汇总）'!$1:$1,H$1,'利润（汇总）'!$2:$2,H$2)</f>
        <v>-14.409791</v>
      </c>
      <c r="I41" s="1928"/>
      <c r="J41" s="1928">
        <f t="shared" si="70"/>
        <v>-14.409791</v>
      </c>
      <c r="K41" s="2145">
        <f>SUMIFS('利润（汇总）'!35:35,'利润（汇总）'!$1:$1,K$1,'利润（汇总）'!$2:$2,K$2)</f>
        <v>-13.727679999999999</v>
      </c>
      <c r="L41" s="1928"/>
      <c r="M41" s="1928">
        <f t="shared" si="71"/>
        <v>-13.727679999999999</v>
      </c>
      <c r="N41" s="2145">
        <f>SUMIFS('利润（汇总）'!35:35,'利润（汇总）'!$1:$1,N$1,'利润（汇总）'!$2:$2,N$2)</f>
        <v>-14.356890999999999</v>
      </c>
      <c r="O41" s="1928"/>
      <c r="P41" s="1928">
        <f t="shared" si="72"/>
        <v>-14.356890999999999</v>
      </c>
      <c r="Q41" s="2145">
        <f>SUMIFS('利润（汇总）'!35:35,'利润（汇总）'!$1:$1,Q$1,'利润（汇总）'!$2:$2,Q$2)</f>
        <v>-14.901991000000001</v>
      </c>
      <c r="R41" s="1928"/>
      <c r="S41" s="1928">
        <f t="shared" si="51"/>
        <v>-14.901991000000001</v>
      </c>
      <c r="T41" s="2145">
        <f>SUMIFS('利润（汇总）'!35:35,'利润（汇总）'!$1:$1,T$1,'利润（汇总）'!$2:$2,T$2)</f>
        <v>-13.801304</v>
      </c>
      <c r="U41" s="1928"/>
      <c r="V41" s="1928">
        <f t="shared" si="73"/>
        <v>-13.801304</v>
      </c>
      <c r="W41" s="2145">
        <f>SUMIFS('利润（汇总）'!35:35,'利润（汇总）'!$1:$1,W$1,'利润（汇总）'!$2:$2,W$2)</f>
        <v>-15.951091</v>
      </c>
      <c r="X41" s="1928"/>
      <c r="Y41" s="1928">
        <f t="shared" si="52"/>
        <v>-15.951091</v>
      </c>
      <c r="Z41" s="2145">
        <f>SUMIFS('利润（汇总）'!35:35,'利润（汇总）'!$1:$1,Z$1,'利润（汇总）'!$2:$2,Z$2)</f>
        <v>-14.475991</v>
      </c>
      <c r="AA41" s="1928"/>
      <c r="AB41" s="1928">
        <f t="shared" si="53"/>
        <v>-14.475991</v>
      </c>
      <c r="AC41" s="2145">
        <f>SUMIFS('利润（汇总）'!35:35,'利润（汇总）'!$1:$1,AC$1,'利润（汇总）'!$2:$2,AC$2)</f>
        <v>-14.984086</v>
      </c>
      <c r="AD41" s="1928"/>
      <c r="AE41" s="1928">
        <f t="shared" si="54"/>
        <v>-14.984086</v>
      </c>
      <c r="AF41" s="2145">
        <f>SUMIFS('利润（汇总）'!35:35,'利润（汇总）'!$1:$1,AF$1,'利润（汇总）'!$2:$2,AF$2)</f>
        <v>-15.674991</v>
      </c>
      <c r="AG41" s="1928"/>
      <c r="AH41" s="1928">
        <f t="shared" si="55"/>
        <v>-15.674991</v>
      </c>
      <c r="AI41" s="2145">
        <f>SUMIFS('利润（汇总）'!35:35,'利润（汇总）'!$1:$1,AI$1,'利润（汇总）'!$2:$2,AI$2)</f>
        <v>-15.67</v>
      </c>
      <c r="AJ41" s="2146"/>
      <c r="AK41" s="1928">
        <f t="shared" si="56"/>
        <v>-15.67</v>
      </c>
      <c r="AL41" s="2145">
        <f>SUMIFS('利润（汇总）'!35:35,'利润（汇总）'!$1:$1,AL$1,'利润（汇总）'!$2:$2,AL$2)</f>
        <v>-14.9808</v>
      </c>
      <c r="AM41" s="2146"/>
      <c r="AN41" s="1928">
        <f t="shared" si="74"/>
        <v>-14.9808</v>
      </c>
      <c r="AO41" s="2145">
        <f>SUMIFS('利润（汇总）'!35:35,'利润（汇总）'!$1:$1,AO$1,'利润（汇总）'!$2:$2,AO$2)</f>
        <v>-15.750291000000001</v>
      </c>
      <c r="AP41" s="1928"/>
      <c r="AQ41" s="1928">
        <f t="shared" si="57"/>
        <v>-15.750291000000001</v>
      </c>
      <c r="AR41" s="2145">
        <f>SUMIFS('利润（汇总）'!35:35,'利润（汇总）'!$1:$1,AR$1,'利润（汇总）'!$2:$2,AR$2)</f>
        <v>-14.975891000000001</v>
      </c>
      <c r="AS41" s="1928"/>
      <c r="AT41" s="1928">
        <f t="shared" si="58"/>
        <v>-14.975891000000001</v>
      </c>
      <c r="AU41" s="2145">
        <f>SUMIFS('利润（汇总）'!35:35,'利润（汇总）'!$1:$1,AU$1,'利润（汇总）'!$2:$2,AU$2)</f>
        <v>-15.028878000000001</v>
      </c>
      <c r="AV41" s="1928"/>
      <c r="AW41" s="1928">
        <f t="shared" si="59"/>
        <v>-15.028878000000001</v>
      </c>
      <c r="AX41" s="2145">
        <f>SUMIFS('利润（汇总）'!35:35,'利润（汇总）'!$1:$1,AX$1,'利润（汇总）'!$2:$2,AX$2)</f>
        <v>-15.061691</v>
      </c>
      <c r="AY41" s="1928"/>
      <c r="AZ41" s="1928">
        <f t="shared" si="60"/>
        <v>-15.061691</v>
      </c>
      <c r="BA41" s="2145">
        <f>SUMIFS('利润（汇总）'!35:35,'利润（汇总）'!$1:$1,BA$1,'利润（汇总）'!$2:$2,BA$2)</f>
        <v>-15.090391</v>
      </c>
      <c r="BB41" s="1928"/>
      <c r="BC41" s="1928">
        <f t="shared" si="61"/>
        <v>-15.090391</v>
      </c>
      <c r="BD41" s="2145">
        <f>SUMIFS('利润（汇总）'!35:35,'利润（汇总）'!$1:$1,BD$1,'利润（汇总）'!$2:$2,BD$2)</f>
        <v>-14.929835000000001</v>
      </c>
      <c r="BE41" s="1928"/>
      <c r="BF41" s="1928">
        <f t="shared" si="62"/>
        <v>-14.929835000000001</v>
      </c>
      <c r="BG41" s="2145">
        <f>SUMIFS('利润（汇总）'!35:35,'利润（汇总）'!$1:$1,BG$1,'利润（汇总）'!$2:$2,BG$2)</f>
        <v>-17</v>
      </c>
      <c r="BH41" s="1928"/>
      <c r="BI41" s="1928">
        <f t="shared" si="63"/>
        <v>-17</v>
      </c>
      <c r="BJ41" s="2145">
        <f>SUMIFS('利润（汇总）'!35:35,'利润（汇总）'!$1:$1,BJ$1,'利润（汇总）'!$2:$2,BJ$2)</f>
        <v>-17.068158</v>
      </c>
      <c r="BK41" s="1928"/>
      <c r="BL41" s="1928">
        <f t="shared" si="64"/>
        <v>-17.068158</v>
      </c>
      <c r="BM41" s="2145">
        <f>SUMIFS('利润（汇总）'!35:35,'利润（汇总）'!$1:$1,BM$1,'利润（汇总）'!$2:$2,BM$2)</f>
        <v>0</v>
      </c>
      <c r="BN41" s="1928"/>
      <c r="BO41" s="1928">
        <f t="shared" si="65"/>
        <v>0</v>
      </c>
      <c r="BP41" s="2145">
        <f>SUMIFS('利润（汇总）'!35:35,'利润（汇总）'!$1:$1,BP$1,'利润（汇总）'!$2:$2,BP$2)</f>
        <v>0</v>
      </c>
      <c r="BQ41" s="1928"/>
      <c r="BR41" s="1928">
        <f t="shared" si="66"/>
        <v>0</v>
      </c>
      <c r="BS41" s="2145">
        <f>SUMIFS('利润（汇总）'!35:35,'利润（汇总）'!$1:$1,BS$1,'利润（汇总）'!$2:$2,BS$2)</f>
        <v>0</v>
      </c>
      <c r="BT41" s="1928"/>
      <c r="BU41" s="1928">
        <f t="shared" si="67"/>
        <v>0</v>
      </c>
      <c r="BV41" s="2145">
        <f>SUMIFS('利润（汇总）'!35:35,'利润（汇总）'!$1:$1,BV$1,'利润（汇总）'!$2:$2,BV$2)</f>
        <v>0</v>
      </c>
      <c r="BW41" s="1928"/>
      <c r="BX41" s="1928">
        <f t="shared" si="68"/>
        <v>0</v>
      </c>
      <c r="BY41" s="2146">
        <f t="shared" si="84"/>
        <v>-124.90513499999999</v>
      </c>
      <c r="BZ41" s="2146">
        <f t="shared" si="85"/>
        <v>0</v>
      </c>
      <c r="CA41" s="1928">
        <f t="shared" si="75"/>
        <v>-124.90513499999999</v>
      </c>
      <c r="CB41" s="387"/>
      <c r="CC41" s="387">
        <f>VLOOKUP('#利润建议'!A41,'@预测#利润建议# '!$A$6:$J$43,10,0)</f>
        <v>-124.83697699999999</v>
      </c>
      <c r="CD41" s="1538">
        <f t="shared" si="76"/>
        <v>-6.8157999999996832E-2</v>
      </c>
      <c r="CE41" s="2053">
        <f t="shared" si="50"/>
        <v>0.77439999999999998</v>
      </c>
      <c r="CF41"/>
      <c r="CG41"/>
      <c r="CH41"/>
      <c r="CI41"/>
      <c r="CJ41"/>
      <c r="CP41" s="386"/>
      <c r="CQ41" s="386"/>
    </row>
    <row r="42" spans="1:95" s="369" customFormat="1" ht="19.5" hidden="1" customHeight="1">
      <c r="A42" s="2144" t="s">
        <v>140</v>
      </c>
      <c r="B42" s="2145">
        <f>SUMIFS('利润（汇总）'!36:36,'利润（汇总）'!$1:$1,B$1,'利润（汇总）'!$2:$2,B$2)</f>
        <v>-6.2618840000000002</v>
      </c>
      <c r="C42" s="1928"/>
      <c r="D42" s="1928">
        <f t="shared" si="3"/>
        <v>-6.2618840000000002</v>
      </c>
      <c r="E42" s="2145">
        <f>SUMIFS('利润（汇总）'!36:36,'利润（汇总）'!$1:$1,E$1,'利润（汇总）'!$2:$2,E$2)</f>
        <v>-6.9395150000000001</v>
      </c>
      <c r="F42" s="1928"/>
      <c r="G42" s="1928">
        <f t="shared" si="69"/>
        <v>-6.9395150000000001</v>
      </c>
      <c r="H42" s="2145">
        <f>SUMIFS('利润（汇总）'!36:36,'利润（汇总）'!$1:$1,H$1,'利润（汇总）'!$2:$2,H$2)</f>
        <v>-5.8713150000000001</v>
      </c>
      <c r="I42" s="1928"/>
      <c r="J42" s="1928">
        <f t="shared" si="70"/>
        <v>-5.8713150000000001</v>
      </c>
      <c r="K42" s="2145">
        <f>SUMIFS('利润（汇总）'!36:36,'利润（汇总）'!$1:$1,K$1,'利润（汇总）'!$2:$2,K$2)</f>
        <v>-5.2973569999999999</v>
      </c>
      <c r="L42" s="1928"/>
      <c r="M42" s="1928">
        <f t="shared" si="71"/>
        <v>-5.2973569999999999</v>
      </c>
      <c r="N42" s="2145">
        <f>SUMIFS('利润（汇总）'!36:36,'利润（汇总）'!$1:$1,N$1,'利润（汇总）'!$2:$2,N$2)</f>
        <v>-5.7137000000000002</v>
      </c>
      <c r="O42" s="1928"/>
      <c r="P42" s="1928">
        <f t="shared" si="72"/>
        <v>-5.7137000000000002</v>
      </c>
      <c r="Q42" s="2145">
        <f>SUMIFS('利润（汇总）'!36:36,'利润（汇总）'!$1:$1,Q$1,'利润（汇总）'!$2:$2,Q$2)</f>
        <v>-6.8780999999999999</v>
      </c>
      <c r="R42" s="1928"/>
      <c r="S42" s="1928">
        <f t="shared" si="51"/>
        <v>-6.8780999999999999</v>
      </c>
      <c r="T42" s="2145">
        <f>SUMIFS('利润（汇总）'!36:36,'利润（汇总）'!$1:$1,T$1,'利润（汇总）'!$2:$2,T$2)</f>
        <v>-4.8462440000000004</v>
      </c>
      <c r="U42" s="1928"/>
      <c r="V42" s="1928">
        <f t="shared" si="73"/>
        <v>-4.8462440000000004</v>
      </c>
      <c r="W42" s="2145">
        <f>SUMIFS('利润（汇总）'!36:36,'利润（汇总）'!$1:$1,W$1,'利润（汇总）'!$2:$2,W$2)</f>
        <v>-6.8608000000000002</v>
      </c>
      <c r="X42" s="1928"/>
      <c r="Y42" s="1928">
        <f t="shared" si="52"/>
        <v>-6.8608000000000002</v>
      </c>
      <c r="Z42" s="2145">
        <f>SUMIFS('利润（汇总）'!36:36,'利润（汇总）'!$1:$1,Z$1,'利润（汇总）'!$2:$2,Z$2)</f>
        <v>-6.0738000000000003</v>
      </c>
      <c r="AA42" s="1928"/>
      <c r="AB42" s="1928">
        <f t="shared" si="53"/>
        <v>-6.0738000000000003</v>
      </c>
      <c r="AC42" s="2145">
        <f>SUMIFS('利润（汇总）'!36:36,'利润（汇总）'!$1:$1,AC$1,'利润（汇总）'!$2:$2,AC$2)</f>
        <v>-6.0413569999999996</v>
      </c>
      <c r="AD42" s="1928"/>
      <c r="AE42" s="1928">
        <f t="shared" si="54"/>
        <v>-6.0413569999999996</v>
      </c>
      <c r="AF42" s="2145">
        <f>SUMIFS('利润（汇总）'!36:36,'利润（汇总）'!$1:$1,AF$1,'利润（汇总）'!$2:$2,AF$2)</f>
        <v>-8.3621999999999996</v>
      </c>
      <c r="AG42" s="1928"/>
      <c r="AH42" s="1928">
        <f t="shared" si="55"/>
        <v>-8.3621999999999996</v>
      </c>
      <c r="AI42" s="2145">
        <f>SUMIFS('利润（汇总）'!36:36,'利润（汇总）'!$1:$1,AI$1,'利润（汇总）'!$2:$2,AI$2)</f>
        <v>-8.36</v>
      </c>
      <c r="AJ42" s="2146"/>
      <c r="AK42" s="1928">
        <f t="shared" si="56"/>
        <v>-8.36</v>
      </c>
      <c r="AL42" s="2145">
        <f>SUMIFS('利润（汇总）'!36:36,'利润（汇总）'!$1:$1,AL$1,'利润（汇总）'!$2:$2,AL$2)</f>
        <v>-5.1322890000000001</v>
      </c>
      <c r="AM42" s="2146"/>
      <c r="AN42" s="1928">
        <f t="shared" si="74"/>
        <v>-5.1322890000000001</v>
      </c>
      <c r="AO42" s="2145">
        <f>SUMIFS('利润（汇总）'!36:36,'利润（汇总）'!$1:$1,AO$1,'利润（汇总）'!$2:$2,AO$2)</f>
        <v>-5.8734000000000002</v>
      </c>
      <c r="AP42" s="1928"/>
      <c r="AQ42" s="1928">
        <f t="shared" si="57"/>
        <v>-5.8734000000000002</v>
      </c>
      <c r="AR42" s="2145">
        <f>SUMIFS('利润（汇总）'!36:36,'利润（汇总）'!$1:$1,AR$1,'利润（汇总）'!$2:$2,AR$2)</f>
        <v>-7.3765000000000001</v>
      </c>
      <c r="AS42" s="1928"/>
      <c r="AT42" s="1928">
        <f t="shared" si="58"/>
        <v>-7.3765000000000001</v>
      </c>
      <c r="AU42" s="2145">
        <f>SUMIFS('利润（汇总）'!36:36,'利润（汇总）'!$1:$1,AU$1,'利润（汇总）'!$2:$2,AU$2)</f>
        <v>-5.1390919999999998</v>
      </c>
      <c r="AV42" s="1928"/>
      <c r="AW42" s="1928">
        <f t="shared" si="59"/>
        <v>-5.1390919999999998</v>
      </c>
      <c r="AX42" s="2145">
        <f>SUMIFS('利润（汇总）'!36:36,'利润（汇总）'!$1:$1,AX$1,'利润（汇总）'!$2:$2,AX$2)</f>
        <v>-6.641</v>
      </c>
      <c r="AY42" s="1928"/>
      <c r="AZ42" s="1928">
        <f t="shared" si="60"/>
        <v>-6.641</v>
      </c>
      <c r="BA42" s="2145">
        <f>SUMIFS('利润（汇总）'!36:36,'利润（汇总）'!$1:$1,BA$1,'利润（汇总）'!$2:$2,BA$2)</f>
        <v>-6.5468999999999999</v>
      </c>
      <c r="BB42" s="1928"/>
      <c r="BC42" s="1928">
        <f t="shared" si="61"/>
        <v>-6.5468999999999999</v>
      </c>
      <c r="BD42" s="2145">
        <f>SUMIFS('利润（汇总）'!36:36,'利润（汇总）'!$1:$1,BD$1,'利润（汇总）'!$2:$2,BD$2)</f>
        <v>-11.513377</v>
      </c>
      <c r="BE42" s="1928"/>
      <c r="BF42" s="1928">
        <f t="shared" si="62"/>
        <v>-11.513377</v>
      </c>
      <c r="BG42" s="2145">
        <f>SUMIFS('利润（汇总）'!36:36,'利润（汇总）'!$1:$1,BG$1,'利润（汇总）'!$2:$2,BG$2)</f>
        <v>-8</v>
      </c>
      <c r="BH42" s="1928"/>
      <c r="BI42" s="1928">
        <f t="shared" si="63"/>
        <v>-8</v>
      </c>
      <c r="BJ42" s="2145">
        <f>SUMIFS('利润（汇总）'!36:36,'利润（汇总）'!$1:$1,BJ$1,'利润（汇总）'!$2:$2,BJ$2)</f>
        <v>-8.1818000000000008</v>
      </c>
      <c r="BK42" s="1928"/>
      <c r="BL42" s="1928">
        <f t="shared" si="64"/>
        <v>-8.1818000000000008</v>
      </c>
      <c r="BM42" s="2145">
        <f>SUMIFS('利润（汇总）'!36:36,'利润（汇总）'!$1:$1,BM$1,'利润（汇总）'!$2:$2,BM$2)</f>
        <v>0</v>
      </c>
      <c r="BN42" s="1928"/>
      <c r="BO42" s="1928">
        <f t="shared" si="65"/>
        <v>0</v>
      </c>
      <c r="BP42" s="2145">
        <f>SUMIFS('利润（汇总）'!36:36,'利润（汇总）'!$1:$1,BP$1,'利润（汇总）'!$2:$2,BP$2)</f>
        <v>0</v>
      </c>
      <c r="BQ42" s="1928"/>
      <c r="BR42" s="1928">
        <f t="shared" si="66"/>
        <v>0</v>
      </c>
      <c r="BS42" s="2145">
        <f>SUMIFS('利润（汇总）'!36:36,'利润（汇总）'!$1:$1,BS$1,'利润（汇总）'!$2:$2,BS$2)</f>
        <v>0</v>
      </c>
      <c r="BT42" s="1928"/>
      <c r="BU42" s="1928">
        <f t="shared" si="67"/>
        <v>0</v>
      </c>
      <c r="BV42" s="2145">
        <f>SUMIFS('利润（汇总）'!36:36,'利润（汇总）'!$1:$1,BV$1,'利润（汇总）'!$2:$2,BV$2)</f>
        <v>0</v>
      </c>
      <c r="BW42" s="1928"/>
      <c r="BX42" s="1928">
        <f t="shared" si="68"/>
        <v>0</v>
      </c>
      <c r="BY42" s="2146">
        <f t="shared" si="84"/>
        <v>-59.272069000000002</v>
      </c>
      <c r="BZ42" s="2146">
        <f t="shared" si="85"/>
        <v>0</v>
      </c>
      <c r="CA42" s="1928">
        <f t="shared" si="75"/>
        <v>-59.272069000000002</v>
      </c>
      <c r="CB42" s="387"/>
      <c r="CC42" s="387">
        <f>VLOOKUP('#利润建议'!A42,'@预测#利润建议# '!$A$6:$J$43,10,0)</f>
        <v>-59.090268999999999</v>
      </c>
      <c r="CD42" s="1538">
        <f t="shared" si="76"/>
        <v>-0.18180000000000263</v>
      </c>
      <c r="CE42" s="2053">
        <f t="shared" si="50"/>
        <v>-1.5030999999999999</v>
      </c>
      <c r="CF42"/>
      <c r="CG42"/>
      <c r="CH42"/>
      <c r="CI42"/>
      <c r="CJ42"/>
      <c r="CP42" s="386"/>
      <c r="CQ42" s="386"/>
    </row>
    <row r="43" spans="1:95" s="369" customFormat="1" ht="19.5" customHeight="1">
      <c r="A43" s="2144" t="s">
        <v>141</v>
      </c>
      <c r="B43" s="1872">
        <f>B6-B7-SUBTOTAL(109,B12:B42)-B44</f>
        <v>2677.1545269999979</v>
      </c>
      <c r="C43" s="1928"/>
      <c r="D43" s="1872">
        <f>D6-D7-SUBTOTAL(109,D12:D42)-D44</f>
        <v>2677.1545269999988</v>
      </c>
      <c r="E43" s="1872">
        <f>E6-E7-SUBTOTAL(109,E12:E42)-E44</f>
        <v>3927.4367210000009</v>
      </c>
      <c r="F43" s="1928"/>
      <c r="G43" s="1872">
        <f>G6-G7-SUBTOTAL(109,G12:G42)-G44</f>
        <v>3927.4367210000009</v>
      </c>
      <c r="H43" s="1872">
        <f>H6-H7-SUBTOTAL(109,H12:H42)-H44</f>
        <v>1689.0709799999995</v>
      </c>
      <c r="I43" s="1928"/>
      <c r="J43" s="1872">
        <f>J6-J7-SUBTOTAL(109,J12:J42)-J44</f>
        <v>1689.0709800000009</v>
      </c>
      <c r="K43" s="1872">
        <f>K6-K7-SUBTOTAL(109,K12:K42)-K44</f>
        <v>2018.8659739999987</v>
      </c>
      <c r="L43" s="1928"/>
      <c r="M43" s="1872">
        <f>M6-M7-SUBTOTAL(109,M12:M42)-M44</f>
        <v>2018.8659739999978</v>
      </c>
      <c r="N43" s="1872">
        <f>N6-N7-SUBTOTAL(109,N12:N42)-N44</f>
        <v>4786.7719189999989</v>
      </c>
      <c r="O43" s="1928"/>
      <c r="P43" s="1872">
        <f>P6-P7-SUBTOTAL(109,P12:P42)-P44</f>
        <v>4786.7719189999971</v>
      </c>
      <c r="Q43" s="1872">
        <f>Q6-Q7-SUBTOTAL(109,Q12:Q42)-Q44</f>
        <v>5945.4019859999971</v>
      </c>
      <c r="R43" s="1928"/>
      <c r="S43" s="1872">
        <f>S6-S7-SUBTOTAL(109,S12:S42)-S44</f>
        <v>5945.4019859999971</v>
      </c>
      <c r="T43" s="1872">
        <f>T6-T7-SUBTOTAL(109,T12:T42)-T44-10367</f>
        <v>9963.8162860000084</v>
      </c>
      <c r="U43" s="1928"/>
      <c r="V43" s="1872">
        <f>V6-V7-SUBTOTAL(109,V12:V42)-V44-10367</f>
        <v>9963.8162860000084</v>
      </c>
      <c r="W43" s="1872">
        <f>W6-W7-SUBTOTAL(109,W12:W42)-W44</f>
        <v>7127.7500620000046</v>
      </c>
      <c r="X43" s="1928"/>
      <c r="Y43" s="1872">
        <f>Y6-Y7-SUBTOTAL(109,Y12:Y42)-Y44</f>
        <v>7127.7500620000046</v>
      </c>
      <c r="Z43" s="1872">
        <f>Z6-Z7-SUBTOTAL(109,Z12:Z42)-Z44</f>
        <v>6006.1369570000006</v>
      </c>
      <c r="AA43" s="1928"/>
      <c r="AB43" s="1872">
        <f>AB6-AB7-SUBTOTAL(109,AB12:AB42)-AB44</f>
        <v>6006.1369570000006</v>
      </c>
      <c r="AC43" s="1872">
        <f>AC6-AC7-SUBTOTAL(109,AC12:AC42)-AC44</f>
        <v>3123.701378000007</v>
      </c>
      <c r="AD43" s="1928"/>
      <c r="AE43" s="1872">
        <f>AE6-AE7-SUBTOTAL(109,AE12:AE42)-AE44</f>
        <v>3123.701378000007</v>
      </c>
      <c r="AF43" s="1872">
        <f>AF6-AF7-SUBTOTAL(109,AF12:AF42)-AF44</f>
        <v>4563.5414430000055</v>
      </c>
      <c r="AG43" s="1928"/>
      <c r="AH43" s="1872">
        <f>AH6-AH7-SUBTOTAL(109,AH12:AH42)-AH44</f>
        <v>4563.5414429999837</v>
      </c>
      <c r="AI43" s="1872">
        <f>AI6-AI7-SUBTOTAL(109,AI12:AI42)-AI44</f>
        <v>4237.9691970000022</v>
      </c>
      <c r="AJ43" s="1928"/>
      <c r="AK43" s="1872">
        <f>AK6-AK7-SUBTOTAL(109,AK12:AK42)-AK44</f>
        <v>4237.9691970000022</v>
      </c>
      <c r="AL43" s="1872">
        <f>AL6-AL7-SUBTOTAL(109,AL12:AL42)-AL44</f>
        <v>2265.5805249999976</v>
      </c>
      <c r="AM43" s="1928"/>
      <c r="AN43" s="1872">
        <f>AN6-AN7-SUBTOTAL(109,AN12:AN42)-AN44</f>
        <v>-4588.4194750000024</v>
      </c>
      <c r="AO43" s="1872">
        <f>AO6-AO7-SUBTOTAL(109,AO12:AO42)-AO44</f>
        <v>3966.0633680000028</v>
      </c>
      <c r="AP43" s="1872"/>
      <c r="AQ43" s="1872">
        <f>AQ6-AQ7-SUBTOTAL(109,AQ12:AQ42)-AQ44</f>
        <v>3966.0633680000028</v>
      </c>
      <c r="AR43" s="1872">
        <f>AR6-AR7-SUBTOTAL(109,AR12:AR42)-AR44</f>
        <v>3215.3650130000187</v>
      </c>
      <c r="AS43" s="1872"/>
      <c r="AT43" s="1872">
        <f>AT6-AT7-SUBTOTAL(109,AT12:AT42)-AT44</f>
        <v>3215.3650130000187</v>
      </c>
      <c r="AU43" s="1872">
        <f>AU6-AU7-SUBTOTAL(109,AU12:AU42)-AU44</f>
        <v>4865.9686429999701</v>
      </c>
      <c r="AV43" s="1872"/>
      <c r="AW43" s="1872">
        <f>AW6-AW7-SUBTOTAL(109,AW12:AW42)-AW44</f>
        <v>4865.9686429999701</v>
      </c>
      <c r="AX43" s="1872">
        <f>AX6-AX7-SUBTOTAL(109,AX12:AX42)-AX44</f>
        <v>8301.4440649999615</v>
      </c>
      <c r="AY43" s="1872"/>
      <c r="AZ43" s="1872">
        <f>AZ6-AZ7-SUBTOTAL(109,AZ12:AZ42)-AZ44</f>
        <v>8301.4440649999615</v>
      </c>
      <c r="BA43" s="1872">
        <f>BA6-BA7-SUBTOTAL(109,BA12:BA42)-BA44</f>
        <v>6200.3954679999515</v>
      </c>
      <c r="BB43" s="1872"/>
      <c r="BC43" s="1872">
        <f>BC6-BC7-SUBTOTAL(109,BC12:BC42)-BC44</f>
        <v>6200.3954679999515</v>
      </c>
      <c r="BD43" s="1872">
        <f>BD6-BD7-SUBTOTAL(109,BD12:BD42)-BD44</f>
        <v>5422.5978449999784</v>
      </c>
      <c r="BE43" s="1872"/>
      <c r="BF43" s="1872">
        <f>BF6-BF7-SUBTOTAL(109,BF12:BF42)-BF44</f>
        <v>5422.5978449999784</v>
      </c>
      <c r="BG43" s="1872">
        <f>BG6-BG7-SUBTOTAL(109,BG12:BG42)-BG44</f>
        <v>3212.3672980000265</v>
      </c>
      <c r="BH43" s="1872"/>
      <c r="BI43" s="1872">
        <f>BI6-BI7-SUBTOTAL(109,BI12:BI42)-BI44</f>
        <v>3212.3672980000265</v>
      </c>
      <c r="BJ43" s="1872">
        <f>BJ6-BJ7-SUBTOTAL(109,BJ12:BJ42)-BJ44</f>
        <v>8527.9979910000256</v>
      </c>
      <c r="BK43" s="1872"/>
      <c r="BL43" s="1872">
        <f>BL6-BL7-SUBTOTAL(109,BL12:BL42)-BL44</f>
        <v>8527.9979910000402</v>
      </c>
      <c r="BM43" s="1872">
        <f>BM6-BM7-SUBTOTAL(109,BM12:BM42)-BM44</f>
        <v>0</v>
      </c>
      <c r="BN43" s="1872"/>
      <c r="BO43" s="1872">
        <f>BO6-BO7-SUBTOTAL(109,BO12:BO42)-BO44</f>
        <v>0</v>
      </c>
      <c r="BP43" s="1872">
        <f>BP6-BP7-SUBTOTAL(109,BP12:BP42)-BP44</f>
        <v>0</v>
      </c>
      <c r="BQ43" s="1872"/>
      <c r="BR43" s="1872">
        <f>BR6-BR7-SUBTOTAL(109,BR12:BR42)-BR44</f>
        <v>0</v>
      </c>
      <c r="BS43" s="1872">
        <f>BS6-BS7-SUBTOTAL(109,BS12:BS42)-BS44</f>
        <v>0</v>
      </c>
      <c r="BT43" s="1872"/>
      <c r="BU43" s="1872">
        <f>BU6-BU7-SUBTOTAL(109,BU12:BU42)-BU44</f>
        <v>0</v>
      </c>
      <c r="BV43" s="1872">
        <f>BV6-BV7-SUBTOTAL(109,BV12:BV42)-BV44</f>
        <v>0</v>
      </c>
      <c r="BW43" s="1872"/>
      <c r="BX43" s="1872">
        <f>BX6-BX7-SUBTOTAL(109,BX12:BX42)-BX44</f>
        <v>0</v>
      </c>
      <c r="BY43" s="1928">
        <f>AO43+AR43+AU43+AX43+BA43+BD43+BG43+BJ43+BM43+BP43+BS43+BV43</f>
        <v>43712.199690999929</v>
      </c>
      <c r="BZ43" s="1928">
        <f>AP43+AS43+AV43+AY43+BB43+BE43+BH43+BK43+BN43+BQ43+BT43+BW43</f>
        <v>0</v>
      </c>
      <c r="CA43" s="1928">
        <f>AQ43+AT43+AW43+AZ43+BC43+BF43+BI43+BL43+BO43+BR43+BU43+BX43</f>
        <v>43712.199690999943</v>
      </c>
      <c r="CB43" s="387"/>
      <c r="CC43" s="387">
        <f>VLOOKUP('#利润建议'!A43,'@预测#利润建议# '!$A$6:$J$43,10,0)</f>
        <v>65580.075659999769</v>
      </c>
      <c r="CD43" s="1538">
        <f t="shared" si="76"/>
        <v>-21867.875968999826</v>
      </c>
      <c r="CE43" s="2053">
        <f t="shared" si="50"/>
        <v>-750.69835499998408</v>
      </c>
      <c r="CF43"/>
      <c r="CG43"/>
      <c r="CH43"/>
      <c r="CI43"/>
      <c r="CJ43"/>
    </row>
    <row r="44" spans="1:95" s="369" customFormat="1" ht="19.5" customHeight="1">
      <c r="A44" s="1827" t="s">
        <v>164</v>
      </c>
      <c r="B44" s="2011">
        <f>B45+B46+B48+B47</f>
        <v>-9997.9540331499993</v>
      </c>
      <c r="C44" s="2012"/>
      <c r="D44" s="2013">
        <f>B44</f>
        <v>-9997.9540331499993</v>
      </c>
      <c r="E44" s="2011">
        <f>E45+E46+E48</f>
        <v>-1164.27180492</v>
      </c>
      <c r="F44" s="2014"/>
      <c r="G44" s="2013">
        <f>E44</f>
        <v>-1164.27180492</v>
      </c>
      <c r="H44" s="2011">
        <f>H45+H46+H48</f>
        <v>-1209.0957426800001</v>
      </c>
      <c r="I44" s="2014"/>
      <c r="J44" s="2013">
        <f>H44</f>
        <v>-1209.0957426800001</v>
      </c>
      <c r="K44" s="2011">
        <f>K45+K46+K48</f>
        <v>1088.6622138800001</v>
      </c>
      <c r="L44" s="2014"/>
      <c r="M44" s="2013">
        <f>K44</f>
        <v>1088.6622138800001</v>
      </c>
      <c r="N44" s="2011">
        <f>N45+N46+N48</f>
        <v>-1271.0104707999999</v>
      </c>
      <c r="O44" s="2014"/>
      <c r="P44" s="2013">
        <f>N44</f>
        <v>-1271.0104707999999</v>
      </c>
      <c r="Q44" s="2011">
        <f>Q45+Q46+Q48+Q47</f>
        <v>-37265.164913610002</v>
      </c>
      <c r="R44" s="2014"/>
      <c r="S44" s="2013">
        <f>Q44</f>
        <v>-37265.164913610002</v>
      </c>
      <c r="T44" s="2011">
        <f>T45+T46+T48</f>
        <v>-1409.4546570299999</v>
      </c>
      <c r="U44" s="2014"/>
      <c r="V44" s="2013">
        <f>T44</f>
        <v>-1409.4546570299999</v>
      </c>
      <c r="W44" s="2011">
        <f>W45+W46+W48</f>
        <v>-1471.03893965</v>
      </c>
      <c r="X44" s="2014"/>
      <c r="Y44" s="2013">
        <f>W44</f>
        <v>-1471.03893965</v>
      </c>
      <c r="Z44" s="2011">
        <f>Z45+Z46+Z48</f>
        <v>-1543.17599926</v>
      </c>
      <c r="AA44" s="2014"/>
      <c r="AB44" s="2013">
        <f>Z44</f>
        <v>-1543.17599926</v>
      </c>
      <c r="AC44" s="2011">
        <f>AC45+AC46+AC48</f>
        <v>-168.22048256000005</v>
      </c>
      <c r="AD44" s="2014"/>
      <c r="AE44" s="2013">
        <f>AC44</f>
        <v>-168.22048256000005</v>
      </c>
      <c r="AF44" s="2011">
        <f>AF45+AF46+AF48+AF47</f>
        <v>-12287.521361679999</v>
      </c>
      <c r="AG44" s="2014"/>
      <c r="AH44" s="2013">
        <f>AF44</f>
        <v>-12287.521361679999</v>
      </c>
      <c r="AI44" s="2011">
        <f>AI45+AI46+AI48</f>
        <v>-1190.8079171100001</v>
      </c>
      <c r="AJ44" s="2014"/>
      <c r="AK44" s="2013">
        <f>AI44</f>
        <v>-1190.8079171100001</v>
      </c>
      <c r="AL44" s="2011">
        <f>AL45+AL46+AL47+AL48</f>
        <v>-22177.442017280002</v>
      </c>
      <c r="AM44" s="2014"/>
      <c r="AN44" s="2013">
        <f>AL44</f>
        <v>-22177.442017280002</v>
      </c>
      <c r="AO44" s="2011">
        <f>AO45+AO46+AO47+AO48</f>
        <v>-1325.47205882</v>
      </c>
      <c r="AP44" s="2013"/>
      <c r="AQ44" s="2013">
        <f>AO44</f>
        <v>-1325.47205882</v>
      </c>
      <c r="AR44" s="2011">
        <f t="shared" ref="AR44" si="100">AR45+AR46+AR47+AR48</f>
        <v>-823.81710894000003</v>
      </c>
      <c r="AS44" s="2013"/>
      <c r="AT44" s="2013">
        <f t="shared" ref="AT44" si="101">AR44</f>
        <v>-823.81710894000003</v>
      </c>
      <c r="AU44" s="2011">
        <f t="shared" ref="AU44" si="102">AU45+AU46+AU47+AU48</f>
        <v>-382.22</v>
      </c>
      <c r="AV44" s="2013"/>
      <c r="AW44" s="2013">
        <f t="shared" ref="AW44" si="103">AU44</f>
        <v>-382.22</v>
      </c>
      <c r="AX44" s="2011">
        <f t="shared" ref="AX44" si="104">AX45+AX46+AX47+AX48</f>
        <v>-1694.8268151899999</v>
      </c>
      <c r="AY44" s="2013"/>
      <c r="AZ44" s="2013">
        <f t="shared" ref="AZ44" si="105">AX44</f>
        <v>-1694.8268151899999</v>
      </c>
      <c r="BA44" s="2011">
        <f t="shared" ref="BA44" si="106">BA45+BA46+BA47+BA48</f>
        <v>-57003.751310200001</v>
      </c>
      <c r="BB44" s="2013"/>
      <c r="BC44" s="2013">
        <f t="shared" ref="BC44" si="107">BA44</f>
        <v>-57003.751310200001</v>
      </c>
      <c r="BD44" s="2011">
        <f t="shared" ref="BD44" si="108">BD45+BD46+BD47+BD48</f>
        <v>-21177.373590250001</v>
      </c>
      <c r="BE44" s="2013"/>
      <c r="BF44" s="2013">
        <f t="shared" ref="BF44" si="109">BD44</f>
        <v>-21177.373590250001</v>
      </c>
      <c r="BG44" s="2011">
        <f t="shared" ref="BG44" si="110">BG45+BG46+BG47+BG48</f>
        <v>-1512</v>
      </c>
      <c r="BH44" s="2013"/>
      <c r="BI44" s="2013">
        <f t="shared" ref="BI44" si="111">BG44</f>
        <v>-1512</v>
      </c>
      <c r="BJ44" s="2011">
        <f t="shared" ref="BJ44" si="112">BJ45+BJ46+BJ47+BJ48</f>
        <v>-1118.8599999999999</v>
      </c>
      <c r="BK44" s="2013"/>
      <c r="BL44" s="2013">
        <f t="shared" ref="BL44" si="113">BJ44</f>
        <v>-1118.8599999999999</v>
      </c>
      <c r="BM44" s="2011">
        <f t="shared" ref="BM44" si="114">BM45+BM46+BM47+BM48</f>
        <v>0</v>
      </c>
      <c r="BN44" s="2013"/>
      <c r="BO44" s="2013">
        <f t="shared" ref="BO44" si="115">BM44</f>
        <v>0</v>
      </c>
      <c r="BP44" s="2011">
        <f t="shared" ref="BP44" si="116">BP45+BP46+BP47+BP48</f>
        <v>0</v>
      </c>
      <c r="BQ44" s="2013"/>
      <c r="BR44" s="2013">
        <f t="shared" ref="BR44" si="117">BP44</f>
        <v>0</v>
      </c>
      <c r="BS44" s="2011">
        <f t="shared" ref="BS44" si="118">BS45+BS46+BS47+BS48</f>
        <v>0</v>
      </c>
      <c r="BT44" s="2013"/>
      <c r="BU44" s="2013">
        <f t="shared" ref="BU44" si="119">BS44</f>
        <v>0</v>
      </c>
      <c r="BV44" s="2011">
        <f t="shared" ref="BV44" si="120">BV45+BV46+BV47+BV48</f>
        <v>0</v>
      </c>
      <c r="BW44" s="2013"/>
      <c r="BX44" s="2013">
        <f t="shared" ref="BX44" si="121">BV44</f>
        <v>0</v>
      </c>
      <c r="BY44" s="2014">
        <f t="shared" si="84"/>
        <v>-85038.320883400011</v>
      </c>
      <c r="BZ44" s="2014">
        <f t="shared" si="85"/>
        <v>0</v>
      </c>
      <c r="CA44" s="2014">
        <f t="shared" si="85"/>
        <v>-85038.320883400011</v>
      </c>
      <c r="CB44" s="1540"/>
      <c r="CC44" s="1541"/>
      <c r="CD44" s="1538">
        <f>CA44-CC44</f>
        <v>-85038.320883400011</v>
      </c>
      <c r="CE44" s="2053">
        <f t="shared" si="50"/>
        <v>501.65494988</v>
      </c>
      <c r="CF44" s="1773">
        <f>CF45+CF47+CF46+CF48</f>
        <v>-11705.07</v>
      </c>
      <c r="CG44" s="1773"/>
      <c r="CH44" s="1773"/>
      <c r="CI44" s="386">
        <f t="shared" ref="CI44" si="122">AN44-CF44</f>
        <v>-10472.372017280002</v>
      </c>
    </row>
    <row r="45" spans="1:95" ht="20.25" customHeight="1">
      <c r="A45" s="2005" t="s">
        <v>143</v>
      </c>
      <c r="B45" s="2006">
        <f>SUMIFS('利润（汇总）'!38:38,'利润（汇总）'!$1:$1,B$1,'利润（汇总）'!$2:$2,B$2)</f>
        <v>-771.73046614999998</v>
      </c>
      <c r="C45" s="2005"/>
      <c r="D45" s="2005"/>
      <c r="E45" s="2006">
        <f>SUMIFS('利润（汇总）'!38:38,'利润（汇总）'!$1:$1,E$1,'利润（汇总）'!$2:$2,E$2)</f>
        <v>-1164.27180492</v>
      </c>
      <c r="F45" s="2005"/>
      <c r="G45" s="2005"/>
      <c r="H45" s="2006">
        <f>SUMIFS('利润（汇总）'!38:38,'利润（汇总）'!$1:$1,H$1,'利润（汇总）'!$2:$2,H$2)</f>
        <v>-1209.0957426800001</v>
      </c>
      <c r="I45" s="2005"/>
      <c r="J45" s="2005"/>
      <c r="K45" s="2006">
        <f>SUMIFS('利润（汇总）'!38:38,'利润（汇总）'!$1:$1,K$1,'利润（汇总）'!$2:$2,K$2)</f>
        <v>-382.32778611999998</v>
      </c>
      <c r="L45" s="2005"/>
      <c r="M45" s="2007"/>
      <c r="N45" s="2006">
        <f>SUMIFS('利润（汇总）'!38:38,'利润（汇总）'!$1:$1,N$1,'利润（汇总）'!$2:$2,N$2)</f>
        <v>-1271.0104707999999</v>
      </c>
      <c r="O45" s="2008"/>
      <c r="P45" s="2005"/>
      <c r="Q45" s="2006">
        <f>SUMIFS('利润（汇总）'!38:38,'利润（汇总）'!$1:$1,Q$1,'利润（汇总）'!$2:$2,Q$2)</f>
        <v>-1551.59239361</v>
      </c>
      <c r="R45" s="2008"/>
      <c r="S45" s="2005"/>
      <c r="T45" s="2006">
        <f>SUMIFS('利润（汇总）'!38:38,'利润（汇总）'!$1:$1,T$1,'利润（汇总）'!$2:$2,T$2)</f>
        <v>-1493.4546570299999</v>
      </c>
      <c r="U45" s="2005"/>
      <c r="V45" s="2007"/>
      <c r="W45" s="2006">
        <f>SUMIFS('利润（汇总）'!38:38,'利润（汇总）'!$1:$1,W$1,'利润（汇总）'!$2:$2,W$2)</f>
        <v>-1471.03893965</v>
      </c>
      <c r="X45" s="2005"/>
      <c r="Y45" s="2005"/>
      <c r="Z45" s="2006">
        <f>SUMIFS('利润（汇总）'!38:38,'利润（汇总）'!$1:$1,Z$1,'利润（汇总）'!$2:$2,Z$2)</f>
        <v>-1543.17599926</v>
      </c>
      <c r="AA45" s="2005"/>
      <c r="AB45" s="2005"/>
      <c r="AC45" s="2006">
        <f>SUMIFS('利润（汇总）'!38:38,'利润（汇总）'!$1:$1,AC$1,'利润（汇总）'!$2:$2,AC$2)</f>
        <v>-599.22048256000005</v>
      </c>
      <c r="AD45" s="2005"/>
      <c r="AE45" s="2007"/>
      <c r="AF45" s="2006">
        <f>SUMIFS('利润（汇总）'!38:38,'利润（汇总）'!$1:$1,AF$1,'利润（汇总）'!$2:$2,AF$2)</f>
        <v>-1352.4442626800001</v>
      </c>
      <c r="AG45" s="2005"/>
      <c r="AH45" s="2007"/>
      <c r="AI45" s="2006">
        <f>SUMIFS('利润（汇总）'!38:38,'利润（汇总）'!$1:$1,AI$1,'利润（汇总）'!$2:$2,AI$2)</f>
        <v>-1190.8079171100001</v>
      </c>
      <c r="AJ45" s="2005"/>
      <c r="AK45" s="2005"/>
      <c r="AL45" s="2006">
        <f>SUMIFS('利润（汇总）'!38:38,'利润（汇总）'!$1:$1,AL$1,'利润（汇总）'!$2:$2,AL$2)</f>
        <v>-2060.3703024800002</v>
      </c>
      <c r="AM45" s="2005"/>
      <c r="AN45" s="2005"/>
      <c r="AO45" s="2006">
        <f>SUMIFS('利润（汇总）'!38:38,'利润（汇总）'!$1:$1,AO$1,'利润（汇总）'!$2:$2,AO$2)</f>
        <v>-1325.47205882</v>
      </c>
      <c r="AP45" s="2005"/>
      <c r="AQ45" s="2005"/>
      <c r="AR45" s="2006">
        <f>SUMIFS('利润（汇总）'!38:38,'利润（汇总）'!$1:$1,AR$1,'利润（汇总）'!$2:$2,AR$2)</f>
        <v>-823.81710894000003</v>
      </c>
      <c r="AS45" s="2005"/>
      <c r="AT45" s="2005"/>
      <c r="AU45" s="2006">
        <f>SUMIFS('利润（汇总）'!38:38,'利润（汇总）'!$1:$1,AU$1,'利润（汇总）'!$2:$2,AU$2)</f>
        <v>-551.74</v>
      </c>
      <c r="AV45" s="2005"/>
      <c r="AW45" s="2005"/>
      <c r="AX45" s="2006">
        <f>SUMIFS('利润（汇总）'!38:38,'利润（汇总）'!$1:$1,AX$1,'利润（汇总）'!$2:$2,AX$2)</f>
        <v>-1694.8268151899999</v>
      </c>
      <c r="AY45" s="2005"/>
      <c r="AZ45" s="2005"/>
      <c r="BA45" s="2006">
        <f>SUMIFS('利润（汇总）'!38:38,'利润（汇总）'!$1:$1,BA$1,'利润（汇总）'!$2:$2,BA$2)</f>
        <v>-1825</v>
      </c>
      <c r="BB45" s="2005"/>
      <c r="BC45" s="2005"/>
      <c r="BD45" s="2006">
        <f>SUMIFS('利润（汇总）'!38:38,'利润（汇总）'!$1:$1,BD$1,'利润（汇总）'!$2:$2,BD$2)</f>
        <v>-815.32492824999997</v>
      </c>
      <c r="BE45" s="2005"/>
      <c r="BF45" s="2005"/>
      <c r="BG45" s="2006">
        <f>SUMIFS('利润（汇总）'!38:38,'利润（汇总）'!$1:$1,BG$1,'利润（汇总）'!$2:$2,BG$2)</f>
        <v>-1101</v>
      </c>
      <c r="BH45" s="2005"/>
      <c r="BI45" s="2005"/>
      <c r="BJ45" s="2006">
        <f>SUMIFS('利润（汇总）'!38:38,'利润（汇总）'!$1:$1,BJ$1,'利润（汇总）'!$2:$2,BJ$2)</f>
        <v>-1118.8599999999999</v>
      </c>
      <c r="BK45" s="2005"/>
      <c r="BL45" s="2005"/>
      <c r="BM45" s="2006">
        <f>SUMIFS('利润（汇总）'!38:38,'利润（汇总）'!$1:$1,BM$1,'利润（汇总）'!$2:$2,BM$2)</f>
        <v>0</v>
      </c>
      <c r="BN45" s="2005"/>
      <c r="BO45" s="2005"/>
      <c r="BP45" s="2006">
        <f>SUMIFS('利润（汇总）'!38:38,'利润（汇总）'!$1:$1,BP$1,'利润（汇总）'!$2:$2,BP$2)</f>
        <v>0</v>
      </c>
      <c r="BQ45" s="2005"/>
      <c r="BR45" s="2005"/>
      <c r="BS45" s="2006">
        <f>SUMIFS('利润（汇总）'!38:38,'利润（汇总）'!$1:$1,BS$1,'利润（汇总）'!$2:$2,BS$2)</f>
        <v>0</v>
      </c>
      <c r="BT45" s="2005"/>
      <c r="BU45" s="2005"/>
      <c r="BV45" s="2006">
        <f>SUMIFS('利润（汇总）'!38:38,'利润（汇总）'!$1:$1,BV$1,'利润（汇总）'!$2:$2,BV$2)</f>
        <v>0</v>
      </c>
      <c r="BW45" s="2005"/>
      <c r="BX45" s="2005"/>
      <c r="BY45" s="2009">
        <f t="shared" si="84"/>
        <v>-9256.0409111999998</v>
      </c>
      <c r="BZ45" s="2005"/>
      <c r="CA45" s="2007"/>
      <c r="CE45" s="2053">
        <f t="shared" si="50"/>
        <v>0</v>
      </c>
      <c r="CF45" s="1774">
        <v>-771.73046614999998</v>
      </c>
      <c r="CG45" s="1774"/>
      <c r="CH45" s="1774"/>
    </row>
    <row r="46" spans="1:95" ht="17.25" customHeight="1">
      <c r="A46" s="2005" t="s">
        <v>144</v>
      </c>
      <c r="B46" s="2006">
        <f>SUMIFS('利润（汇总）'!39:39,'利润（汇总）'!$1:$1,B$1,'利润（汇总）'!$2:$2,B$2)</f>
        <v>-5338.66</v>
      </c>
      <c r="C46" s="2005"/>
      <c r="D46" s="2005"/>
      <c r="E46" s="2006">
        <f>SUMIFS('利润（汇总）'!39:39,'利润（汇总）'!$1:$1,E$1,'利润（汇总）'!$2:$2,E$2)</f>
        <v>0</v>
      </c>
      <c r="F46" s="2005"/>
      <c r="G46" s="2005"/>
      <c r="H46" s="2006">
        <f>SUMIFS('利润（汇总）'!39:39,'利润（汇总）'!$1:$1,H$1,'利润（汇总）'!$2:$2,H$2)</f>
        <v>0</v>
      </c>
      <c r="I46" s="2005"/>
      <c r="J46" s="2005"/>
      <c r="K46" s="2006">
        <f>SUMIFS('利润（汇总）'!39:39,'利润（汇总）'!$1:$1,K$1,'利润（汇总）'!$2:$2,K$2)</f>
        <v>1470.99</v>
      </c>
      <c r="L46" s="2005"/>
      <c r="M46" s="2005"/>
      <c r="N46" s="2006">
        <f>SUMIFS('利润（汇总）'!39:39,'利润（汇总）'!$1:$1,N$1,'利润（汇总）'!$2:$2,N$2)</f>
        <v>0</v>
      </c>
      <c r="O46" s="2005"/>
      <c r="P46" s="2005"/>
      <c r="Q46" s="2006">
        <f>SUMIFS('利润（汇总）'!39:39,'利润（汇总）'!$1:$1,Q$1,'利润（汇总）'!$2:$2,Q$2)</f>
        <v>0</v>
      </c>
      <c r="R46" s="2005"/>
      <c r="S46" s="2007"/>
      <c r="T46" s="2006">
        <f>SUMIFS('利润（汇总）'!39:39,'利润（汇总）'!$1:$1,T$1,'利润（汇总）'!$2:$2,T$2)</f>
        <v>84</v>
      </c>
      <c r="U46" s="2007"/>
      <c r="V46" s="2005"/>
      <c r="W46" s="2006">
        <f>SUMIFS('利润（汇总）'!39:39,'利润（汇总）'!$1:$1,W$1,'利润（汇总）'!$2:$2,W$2)</f>
        <v>0</v>
      </c>
      <c r="X46" s="2005"/>
      <c r="Y46" s="2005"/>
      <c r="Z46" s="2006">
        <f>SUMIFS('利润（汇总）'!39:39,'利润（汇总）'!$1:$1,Z$1,'利润（汇总）'!$2:$2,Z$2)</f>
        <v>0</v>
      </c>
      <c r="AA46" s="2005"/>
      <c r="AB46" s="2005"/>
      <c r="AC46" s="2006">
        <f>SUMIFS('利润（汇总）'!39:39,'利润（汇总）'!$1:$1,AC$1,'利润（汇总）'!$2:$2,AC$2)</f>
        <v>431</v>
      </c>
      <c r="AD46" s="2005"/>
      <c r="AE46" s="2005"/>
      <c r="AF46" s="2006">
        <f>SUMIFS('利润（汇总）'!39:39,'利润（汇总）'!$1:$1,AF$1,'利润（汇总）'!$2:$2,AF$2)</f>
        <v>0</v>
      </c>
      <c r="AG46" s="2005"/>
      <c r="AH46" s="2007"/>
      <c r="AI46" s="2006">
        <f>SUMIFS('利润（汇总）'!39:39,'利润（汇总）'!$1:$1,AI$1,'利润（汇总）'!$2:$2,AI$2)</f>
        <v>0</v>
      </c>
      <c r="AJ46" s="2005"/>
      <c r="AK46" s="2005"/>
      <c r="AL46" s="2006">
        <f>SUMIFS('利润（汇总）'!39:39,'利润（汇总）'!$1:$1,AL$1,'利润（汇总）'!$2:$2,AL$2)</f>
        <v>-2210.8000000000002</v>
      </c>
      <c r="AM46" s="2005"/>
      <c r="AN46" s="2005"/>
      <c r="AO46" s="2006">
        <f>SUMIFS('利润（汇总）'!39:39,'利润（汇总）'!$1:$1,AO$1,'利润（汇总）'!$2:$2,AO$2)</f>
        <v>0</v>
      </c>
      <c r="AP46" s="2005"/>
      <c r="AQ46" s="2005"/>
      <c r="AR46" s="2006">
        <f>SUMIFS('利润（汇总）'!39:39,'利润（汇总）'!$1:$1,AR$1,'利润（汇总）'!$2:$2,AR$2)</f>
        <v>0</v>
      </c>
      <c r="AS46" s="2005"/>
      <c r="AT46" s="2005"/>
      <c r="AU46" s="2006">
        <f>SUMIFS('利润（汇总）'!39:39,'利润（汇总）'!$1:$1,AU$1,'利润（汇总）'!$2:$2,AU$2)</f>
        <v>169.52</v>
      </c>
      <c r="AV46" s="2005"/>
      <c r="AW46" s="2005"/>
      <c r="AX46" s="2006">
        <f>SUMIFS('利润（汇总）'!39:39,'利润（汇总）'!$1:$1,AX$1,'利润（汇总）'!$2:$2,AX$2)</f>
        <v>0</v>
      </c>
      <c r="AY46" s="2005"/>
      <c r="AZ46" s="2005"/>
      <c r="BA46" s="2006">
        <f>SUMIFS('利润（汇总）'!39:39,'利润（汇总）'!$1:$1,BA$1,'利润（汇总）'!$2:$2,BA$2)</f>
        <v>0</v>
      </c>
      <c r="BB46" s="2005"/>
      <c r="BC46" s="2005"/>
      <c r="BD46" s="2006">
        <f>SUMIFS('利润（汇总）'!39:39,'利润（汇总）'!$1:$1,BD$1,'利润（汇总）'!$2:$2,BD$2)</f>
        <v>529.01254800000004</v>
      </c>
      <c r="BE46" s="2005"/>
      <c r="BF46" s="2005"/>
      <c r="BG46" s="2006">
        <f>SUMIFS('利润（汇总）'!39:39,'利润（汇总）'!$1:$1,BG$1,'利润（汇总）'!$2:$2,BG$2)</f>
        <v>0</v>
      </c>
      <c r="BH46" s="2005"/>
      <c r="BI46" s="2005"/>
      <c r="BJ46" s="2006">
        <f>SUMIFS('利润（汇总）'!39:39,'利润（汇总）'!$1:$1,BJ$1,'利润（汇总）'!$2:$2,BJ$2)</f>
        <v>0</v>
      </c>
      <c r="BK46" s="2005"/>
      <c r="BL46" s="2005"/>
      <c r="BM46" s="2006">
        <f>SUMIFS('利润（汇总）'!39:39,'利润（汇总）'!$1:$1,BM$1,'利润（汇总）'!$2:$2,BM$2)</f>
        <v>0</v>
      </c>
      <c r="BN46" s="2005"/>
      <c r="BO46" s="2005"/>
      <c r="BP46" s="2006">
        <f>SUMIFS('利润（汇总）'!39:39,'利润（汇总）'!$1:$1,BP$1,'利润（汇总）'!$2:$2,BP$2)</f>
        <v>0</v>
      </c>
      <c r="BQ46" s="2005"/>
      <c r="BR46" s="2005"/>
      <c r="BS46" s="2006">
        <f>SUMIFS('利润（汇总）'!39:39,'利润（汇总）'!$1:$1,BS$1,'利润（汇总）'!$2:$2,BS$2)</f>
        <v>0</v>
      </c>
      <c r="BT46" s="2005"/>
      <c r="BU46" s="2005"/>
      <c r="BV46" s="2006">
        <f>SUMIFS('利润（汇总）'!39:39,'利润（汇总）'!$1:$1,BV$1,'利润（汇总）'!$2:$2,BV$2)</f>
        <v>0</v>
      </c>
      <c r="BW46" s="2005"/>
      <c r="BX46" s="2005"/>
      <c r="BY46" s="2009">
        <f t="shared" si="84"/>
        <v>698.53254800000002</v>
      </c>
      <c r="BZ46" s="2005"/>
      <c r="CA46" s="2005"/>
      <c r="CE46" s="2053">
        <f t="shared" si="50"/>
        <v>0</v>
      </c>
      <c r="CF46" s="1774">
        <v>-5338.66</v>
      </c>
      <c r="CG46" s="1774"/>
      <c r="CH46" s="1774"/>
    </row>
    <row r="47" spans="1:95" ht="19.5" customHeight="1">
      <c r="A47" s="2005" t="s">
        <v>145</v>
      </c>
      <c r="B47" s="2006">
        <f>SUMIFS('利润（汇总）'!40:40,'利润（汇总）'!$1:$1,B$1,'利润（汇总）'!$2:$2,B$2)</f>
        <v>-1331.6535670000001</v>
      </c>
      <c r="C47" s="2005"/>
      <c r="D47" s="2005"/>
      <c r="E47" s="2006">
        <f>SUMIFS('利润（汇总）'!40:40,'利润（汇总）'!$1:$1,E$1,'利润（汇总）'!$2:$2,E$2)</f>
        <v>0</v>
      </c>
      <c r="F47" s="2005"/>
      <c r="G47" s="2005"/>
      <c r="H47" s="2006">
        <f>SUMIFS('利润（汇总）'!40:40,'利润（汇总）'!$1:$1,H$1,'利润（汇总）'!$2:$2,H$2)</f>
        <v>0</v>
      </c>
      <c r="I47" s="2005"/>
      <c r="J47" s="2005"/>
      <c r="K47" s="2006">
        <f>SUMIFS('利润（汇总）'!40:40,'利润（汇总）'!$1:$1,K$1,'利润（汇总）'!$2:$2,K$2)</f>
        <v>0</v>
      </c>
      <c r="L47" s="2005"/>
      <c r="M47" s="2005"/>
      <c r="N47" s="2006">
        <f>SUMIFS('利润（汇总）'!40:40,'利润（汇总）'!$1:$1,N$1,'利润（汇总）'!$2:$2,N$2)</f>
        <v>0</v>
      </c>
      <c r="O47" s="2005"/>
      <c r="P47" s="2005"/>
      <c r="Q47" s="2006">
        <f>SUMIFS('利润（汇总）'!40:40,'利润（汇总）'!$1:$1,Q$1,'利润（汇总）'!$2:$2,Q$2)</f>
        <v>-35713.572520000002</v>
      </c>
      <c r="R47" s="2005"/>
      <c r="S47" s="2007"/>
      <c r="T47" s="2006">
        <f>SUMIFS('利润（汇总）'!40:40,'利润（汇总）'!$1:$1,T$1,'利润（汇总）'!$2:$2,T$2)</f>
        <v>0</v>
      </c>
      <c r="U47" s="2007"/>
      <c r="V47" s="2005"/>
      <c r="W47" s="2006">
        <f>SUMIFS('利润（汇总）'!40:40,'利润（汇总）'!$1:$1,W$1,'利润（汇总）'!$2:$2,W$2)</f>
        <v>0</v>
      </c>
      <c r="X47" s="2005"/>
      <c r="Y47" s="2005"/>
      <c r="Z47" s="2006">
        <f>SUMIFS('利润（汇总）'!40:40,'利润（汇总）'!$1:$1,Z$1,'利润（汇总）'!$2:$2,Z$2)</f>
        <v>0</v>
      </c>
      <c r="AA47" s="2005"/>
      <c r="AB47" s="2005"/>
      <c r="AC47" s="2006">
        <f>SUMIFS('利润（汇总）'!40:40,'利润（汇总）'!$1:$1,AC$1,'利润（汇总）'!$2:$2,AC$2)</f>
        <v>0</v>
      </c>
      <c r="AD47" s="2005"/>
      <c r="AE47" s="2005"/>
      <c r="AF47" s="2006">
        <f>SUMIFS('利润（汇总）'!40:40,'利润（汇总）'!$1:$1,AF$1,'利润（汇总）'!$2:$2,AF$2)</f>
        <v>-10935.077099</v>
      </c>
      <c r="AG47" s="2005"/>
      <c r="AH47" s="2007"/>
      <c r="AI47" s="2006">
        <f>SUMIFS('利润（汇总）'!40:40,'利润（汇总）'!$1:$1,AI$1,'利润（汇总）'!$2:$2,AI$2)</f>
        <v>0</v>
      </c>
      <c r="AJ47" s="2005"/>
      <c r="AK47" s="2005"/>
      <c r="AL47" s="2006">
        <f>SUMIFS('利润（汇总）'!40:40,'利润（汇总）'!$1:$1,AL$1,'利润（汇总）'!$2:$2,AL$2)</f>
        <v>-17906.271714800001</v>
      </c>
      <c r="AM47" s="2005"/>
      <c r="AN47" s="2005"/>
      <c r="AO47" s="2006">
        <f>SUMIFS('利润（汇总）'!40:40,'利润（汇总）'!$1:$1,AO$1,'利润（汇总）'!$2:$2,AO$2)</f>
        <v>0</v>
      </c>
      <c r="AP47" s="2005"/>
      <c r="AQ47" s="2005"/>
      <c r="AR47" s="2006">
        <f>SUMIFS('利润（汇总）'!40:40,'利润（汇总）'!$1:$1,AR$1,'利润（汇总）'!$2:$2,AR$2)</f>
        <v>0</v>
      </c>
      <c r="AS47" s="2005"/>
      <c r="AT47" s="2005"/>
      <c r="AU47" s="2006">
        <f>SUMIFS('利润（汇总）'!40:40,'利润（汇总）'!$1:$1,AU$1,'利润（汇总）'!$2:$2,AU$2)</f>
        <v>0</v>
      </c>
      <c r="AV47" s="2005"/>
      <c r="AW47" s="2005"/>
      <c r="AX47" s="2006">
        <f>SUMIFS('利润（汇总）'!40:40,'利润（汇总）'!$1:$1,AX$1,'利润（汇总）'!$2:$2,AX$2)</f>
        <v>0</v>
      </c>
      <c r="AY47" s="2005"/>
      <c r="AZ47" s="2005"/>
      <c r="BA47" s="2006">
        <f>SUMIFS('利润（汇总）'!40:40,'利润（汇总）'!$1:$1,BA$1,'利润（汇总）'!$2:$2,BA$2)</f>
        <v>-55178.751310200001</v>
      </c>
      <c r="BB47" s="2005"/>
      <c r="BC47" s="2005"/>
      <c r="BD47" s="2006">
        <f>SUMIFS('利润（汇总）'!40:40,'利润（汇总）'!$1:$1,BD$1,'利润（汇总）'!$2:$2,BD$2)</f>
        <v>-20891.06121</v>
      </c>
      <c r="BE47" s="2005"/>
      <c r="BF47" s="2005"/>
      <c r="BG47" s="2006">
        <f>SUMIFS('利润（汇总）'!40:40,'利润（汇总）'!$1:$1,BG$1,'利润（汇总）'!$2:$2,BG$2)</f>
        <v>0</v>
      </c>
      <c r="BH47" s="2005"/>
      <c r="BI47" s="2005"/>
      <c r="BJ47" s="2006">
        <f>SUMIFS('利润（汇总）'!40:40,'利润（汇总）'!$1:$1,BJ$1,'利润（汇总）'!$2:$2,BJ$2)</f>
        <v>0</v>
      </c>
      <c r="BK47" s="2005"/>
      <c r="BL47" s="2005"/>
      <c r="BM47" s="2006">
        <f>SUMIFS('利润（汇总）'!40:40,'利润（汇总）'!$1:$1,BM$1,'利润（汇总）'!$2:$2,BM$2)</f>
        <v>0</v>
      </c>
      <c r="BN47" s="2005"/>
      <c r="BO47" s="2005"/>
      <c r="BP47" s="2006">
        <f>SUMIFS('利润（汇总）'!40:40,'利润（汇总）'!$1:$1,BP$1,'利润（汇总）'!$2:$2,BP$2)</f>
        <v>0</v>
      </c>
      <c r="BQ47" s="2005"/>
      <c r="BR47" s="2005"/>
      <c r="BS47" s="2006">
        <f>SUMIFS('利润（汇总）'!40:40,'利润（汇总）'!$1:$1,BS$1,'利润（汇总）'!$2:$2,BS$2)</f>
        <v>0</v>
      </c>
      <c r="BT47" s="2005"/>
      <c r="BU47" s="2005"/>
      <c r="BV47" s="2006">
        <f>SUMIFS('利润（汇总）'!40:40,'利润（汇总）'!$1:$1,BV$1,'利润（汇总）'!$2:$2,BV$2)</f>
        <v>0</v>
      </c>
      <c r="BW47" s="2005"/>
      <c r="BX47" s="2005"/>
      <c r="BY47" s="2009">
        <f t="shared" si="84"/>
        <v>-76069.812520200008</v>
      </c>
      <c r="BZ47" s="2005"/>
      <c r="CA47" s="2005"/>
      <c r="CE47" s="2053">
        <f t="shared" si="50"/>
        <v>0</v>
      </c>
      <c r="CF47" s="1774">
        <v>-5594.6795338499996</v>
      </c>
      <c r="CG47" s="1774"/>
      <c r="CH47" s="1774"/>
    </row>
    <row r="48" spans="1:95" ht="17.25" customHeight="1">
      <c r="A48" s="2005" t="s">
        <v>146</v>
      </c>
      <c r="B48" s="2006">
        <f>SUMIFS('利润（汇总）'!41:41,'利润（汇总）'!$1:$1,B$1,'利润（汇总）'!$2:$2,B$2)</f>
        <v>-2555.91</v>
      </c>
      <c r="C48" s="2005"/>
      <c r="D48" s="2005"/>
      <c r="E48" s="2006">
        <f>SUMIFS('利润（汇总）'!41:41,'利润（汇总）'!$1:$1,E$1,'利润（汇总）'!$2:$2,E$2)</f>
        <v>0</v>
      </c>
      <c r="F48" s="2005"/>
      <c r="G48" s="2007"/>
      <c r="H48" s="2006">
        <f>SUMIFS('利润（汇总）'!41:41,'利润（汇总）'!$1:$1,H$1,'利润（汇总）'!$2:$2,H$2)</f>
        <v>0</v>
      </c>
      <c r="I48" s="2005"/>
      <c r="J48" s="2005"/>
      <c r="K48" s="2006">
        <f>SUMIFS('利润（汇总）'!41:41,'利润（汇总）'!$1:$1,K$1,'利润（汇总）'!$2:$2,K$2)</f>
        <v>0</v>
      </c>
      <c r="L48" s="2005"/>
      <c r="M48" s="2007"/>
      <c r="N48" s="2006">
        <f>SUMIFS('利润（汇总）'!41:41,'利润（汇总）'!$1:$1,N$1,'利润（汇总）'!$2:$2,N$2)</f>
        <v>0</v>
      </c>
      <c r="O48" s="2005"/>
      <c r="P48" s="2005"/>
      <c r="Q48" s="2006">
        <f>SUMIFS('利润（汇总）'!41:41,'利润（汇总）'!$1:$1,Q$1,'利润（汇总）'!$2:$2,Q$2)</f>
        <v>0</v>
      </c>
      <c r="R48" s="2010"/>
      <c r="S48" s="2007"/>
      <c r="T48" s="2006">
        <f>SUMIFS('利润（汇总）'!41:41,'利润（汇总）'!$1:$1,T$1,'利润（汇总）'!$2:$2,T$2)</f>
        <v>0</v>
      </c>
      <c r="U48" s="2005"/>
      <c r="V48" s="2005"/>
      <c r="W48" s="2006">
        <f>SUMIFS('利润（汇总）'!41:41,'利润（汇总）'!$1:$1,W$1,'利润（汇总）'!$2:$2,W$2)</f>
        <v>0</v>
      </c>
      <c r="X48" s="2005"/>
      <c r="Y48" s="2007"/>
      <c r="Z48" s="2006">
        <f>SUMIFS('利润（汇总）'!41:41,'利润（汇总）'!$1:$1,Z$1,'利润（汇总）'!$2:$2,Z$2)</f>
        <v>0</v>
      </c>
      <c r="AA48" s="2005"/>
      <c r="AB48" s="2005"/>
      <c r="AC48" s="2006">
        <f>SUMIFS('利润（汇总）'!41:41,'利润（汇总）'!$1:$1,AC$1,'利润（汇总）'!$2:$2,AC$2)</f>
        <v>0</v>
      </c>
      <c r="AD48" s="2005"/>
      <c r="AE48" s="2007"/>
      <c r="AF48" s="2006">
        <f>SUMIFS('利润（汇总）'!41:41,'利润（汇总）'!$1:$1,AF$1,'利润（汇总）'!$2:$2,AF$2)</f>
        <v>0</v>
      </c>
      <c r="AG48" s="2005"/>
      <c r="AH48" s="2005"/>
      <c r="AI48" s="2006">
        <f>SUMIFS('利润（汇总）'!41:41,'利润（汇总）'!$1:$1,AI$1,'利润（汇总）'!$2:$2,AI$2)</f>
        <v>0</v>
      </c>
      <c r="AJ48" s="2005"/>
      <c r="AK48" s="2007"/>
      <c r="AL48" s="2006">
        <f>SUMIFS('利润（汇总）'!41:41,'利润（汇总）'!$1:$1,AL$1,'利润（汇总）'!$2:$2,AL$2)</f>
        <v>0</v>
      </c>
      <c r="AM48" s="2005"/>
      <c r="AN48" s="2005"/>
      <c r="AO48" s="2006">
        <f>SUMIFS('利润（汇总）'!41:41,'利润（汇总）'!$1:$1,AO$1,'利润（汇总）'!$2:$2,AO$2)</f>
        <v>0</v>
      </c>
      <c r="AP48" s="2005"/>
      <c r="AQ48" s="2005"/>
      <c r="AR48" s="2006">
        <f>SUMIFS('利润（汇总）'!41:41,'利润（汇总）'!$1:$1,AR$1,'利润（汇总）'!$2:$2,AR$2)</f>
        <v>0</v>
      </c>
      <c r="AS48" s="2005"/>
      <c r="AT48" s="2005"/>
      <c r="AU48" s="2006">
        <f>SUMIFS('利润（汇总）'!41:41,'利润（汇总）'!$1:$1,AU$1,'利润（汇总）'!$2:$2,AU$2)</f>
        <v>0</v>
      </c>
      <c r="AV48" s="2005"/>
      <c r="AW48" s="2005"/>
      <c r="AX48" s="2006">
        <f>SUMIFS('利润（汇总）'!41:41,'利润（汇总）'!$1:$1,AX$1,'利润（汇总）'!$2:$2,AX$2)</f>
        <v>0</v>
      </c>
      <c r="AY48" s="2005"/>
      <c r="AZ48" s="2005"/>
      <c r="BA48" s="2006">
        <f>SUMIFS('利润（汇总）'!41:41,'利润（汇总）'!$1:$1,BA$1,'利润（汇总）'!$2:$2,BA$2)</f>
        <v>0</v>
      </c>
      <c r="BB48" s="2005"/>
      <c r="BC48" s="2005"/>
      <c r="BD48" s="2006">
        <f>SUMIFS('利润（汇总）'!41:41,'利润（汇总）'!$1:$1,BD$1,'利润（汇总）'!$2:$2,BD$2)</f>
        <v>0</v>
      </c>
      <c r="BE48" s="2005"/>
      <c r="BF48" s="2005"/>
      <c r="BG48" s="2006">
        <f>SUMIFS('利润（汇总）'!41:41,'利润（汇总）'!$1:$1,BG$1,'利润（汇总）'!$2:$2,BG$2)</f>
        <v>-411</v>
      </c>
      <c r="BH48" s="2005"/>
      <c r="BI48" s="2005"/>
      <c r="BJ48" s="2006">
        <f>SUMIFS('利润（汇总）'!41:41,'利润（汇总）'!$1:$1,BJ$1,'利润（汇总）'!$2:$2,BJ$2)</f>
        <v>0</v>
      </c>
      <c r="BK48" s="2005"/>
      <c r="BL48" s="2005"/>
      <c r="BM48" s="2006">
        <f>SUMIFS('利润（汇总）'!41:41,'利润（汇总）'!$1:$1,BM$1,'利润（汇总）'!$2:$2,BM$2)</f>
        <v>0</v>
      </c>
      <c r="BN48" s="2005"/>
      <c r="BO48" s="2005"/>
      <c r="BP48" s="2006">
        <f>SUMIFS('利润（汇总）'!41:41,'利润（汇总）'!$1:$1,BP$1,'利润（汇总）'!$2:$2,BP$2)</f>
        <v>0</v>
      </c>
      <c r="BQ48" s="2005"/>
      <c r="BR48" s="2005"/>
      <c r="BS48" s="2006">
        <f>SUMIFS('利润（汇总）'!41:41,'利润（汇总）'!$1:$1,BS$1,'利润（汇总）'!$2:$2,BS$2)</f>
        <v>0</v>
      </c>
      <c r="BT48" s="2005"/>
      <c r="BU48" s="2005"/>
      <c r="BV48" s="2006">
        <f>SUMIFS('利润（汇总）'!41:41,'利润（汇总）'!$1:$1,BV$1,'利润（汇总）'!$2:$2,BV$2)</f>
        <v>0</v>
      </c>
      <c r="BW48" s="2005"/>
      <c r="BX48" s="2005"/>
      <c r="BY48" s="2009">
        <f t="shared" si="84"/>
        <v>-411</v>
      </c>
      <c r="BZ48" s="2005"/>
      <c r="CA48" s="2005"/>
      <c r="CC48" s="385"/>
      <c r="CE48" s="2053">
        <f t="shared" si="50"/>
        <v>0</v>
      </c>
    </row>
    <row r="49" spans="1:83" ht="18.75" customHeight="1">
      <c r="A49" s="1869" t="s">
        <v>1237</v>
      </c>
      <c r="B49" s="2015">
        <f>SUMIFS('利润（汇总）'!8:8,'利润（汇总）'!$1:$1,B$1,'利润（汇总）'!$2:$2,B$2)</f>
        <v>0</v>
      </c>
      <c r="C49" s="2015"/>
      <c r="D49" s="2015">
        <f t="shared" ref="D49:D50" si="123">B49-C49</f>
        <v>0</v>
      </c>
      <c r="E49" s="2015">
        <f>SUMIFS('利润（汇总）'!8:8,'利润（汇总）'!$1:$1,E$1,'利润（汇总）'!$2:$2,E$2)</f>
        <v>-4697.6055230000002</v>
      </c>
      <c r="F49" s="2015"/>
      <c r="G49" s="2015">
        <f t="shared" ref="G49:G50" si="124">E49-F49</f>
        <v>-4697.6055230000002</v>
      </c>
      <c r="H49" s="2015">
        <f>SUMIFS('利润（汇总）'!8:8,'利润（汇总）'!$1:$1,H$1,'利润（汇总）'!$2:$2,H$2)</f>
        <v>-4409.7433970000002</v>
      </c>
      <c r="I49" s="2015"/>
      <c r="J49" s="2015">
        <f t="shared" ref="J49:J50" si="125">H49-I49</f>
        <v>-4409.7433970000002</v>
      </c>
      <c r="K49" s="2015">
        <f>SUMIFS('利润（汇总）'!8:8,'利润（汇总）'!$1:$1,K$1,'利润（汇总）'!$2:$2,K$2)</f>
        <v>-8595.719653000011</v>
      </c>
      <c r="L49" s="2015"/>
      <c r="M49" s="2015">
        <f t="shared" ref="M49:M50" si="126">K49-L49</f>
        <v>-8595.719653000011</v>
      </c>
      <c r="N49" s="2015">
        <f>SUMIFS('利润（汇总）'!8:8,'利润（汇总）'!$1:$1,N$1,'利润（汇总）'!$2:$2,N$2)</f>
        <v>-15868.998259</v>
      </c>
      <c r="O49" s="2015"/>
      <c r="P49" s="2015">
        <f t="shared" ref="P49:P50" si="127">N49-O49</f>
        <v>-15868.998259</v>
      </c>
      <c r="Q49" s="2015">
        <f>SUMIFS('利润（汇总）'!8:8,'利润（汇总）'!$1:$1,Q$1,'利润（汇总）'!$2:$2,Q$2)</f>
        <v>-11704.132868999999</v>
      </c>
      <c r="R49" s="2015"/>
      <c r="S49" s="2015">
        <f t="shared" ref="S49:S50" si="128">Q49-R49</f>
        <v>-11704.132868999999</v>
      </c>
      <c r="T49" s="2015">
        <f>SUMIFS('利润（汇总）'!8:8,'利润（汇总）'!$1:$1,T$1,'利润（汇总）'!$2:$2,T$2)</f>
        <v>-7935.232062000011</v>
      </c>
      <c r="U49" s="2015"/>
      <c r="V49" s="2015">
        <f t="shared" ref="V49:V50" si="129">T49-U49</f>
        <v>-7935.232062000011</v>
      </c>
      <c r="W49" s="2015">
        <f>SUMIFS('利润（汇总）'!8:8,'利润（汇总）'!$1:$1,W$1,'利润（汇总）'!$2:$2,W$2)</f>
        <v>-3861.4379669999998</v>
      </c>
      <c r="X49" s="2015"/>
      <c r="Y49" s="2015">
        <f t="shared" ref="Y49:Y50" si="130">W49-X49</f>
        <v>-3861.4379669999998</v>
      </c>
      <c r="Z49" s="2015">
        <f>SUMIFS('利润（汇总）'!8:8,'利润（汇总）'!$1:$1,Z$1,'利润（汇总）'!$2:$2,Z$2)</f>
        <v>-2050.3986749999899</v>
      </c>
      <c r="AA49" s="2015"/>
      <c r="AB49" s="2015">
        <f t="shared" ref="AB49:AB50" si="131">Z49-AA49</f>
        <v>-2050.3986749999899</v>
      </c>
      <c r="AC49" s="2015">
        <f>SUMIFS('利润（汇总）'!8:8,'利润（汇总）'!$1:$1,AC$1,'利润（汇总）'!$2:$2,AC$2)</f>
        <v>1204.7858650000101</v>
      </c>
      <c r="AD49" s="2015"/>
      <c r="AE49" s="2015">
        <f t="shared" ref="AE49:AE50" si="132">AC49-AD49</f>
        <v>1204.7858650000101</v>
      </c>
      <c r="AF49" s="2015">
        <f>SUMIFS('利润（汇总）'!8:8,'利润（汇总）'!$1:$1,AF$1,'利润（汇总）'!$2:$2,AF$2)</f>
        <v>1551.2050750000001</v>
      </c>
      <c r="AG49" s="2015"/>
      <c r="AH49" s="2015">
        <f t="shared" ref="AH49:AH50" si="133">AF49-AG49</f>
        <v>1551.2050750000001</v>
      </c>
      <c r="AI49" s="2015">
        <f>SUMIFS('利润（汇总）'!8:8,'利润（汇总）'!$1:$1,AI$1,'利润（汇总）'!$2:$2,AI$2)</f>
        <v>2579.2019399999899</v>
      </c>
      <c r="AJ49" s="2015"/>
      <c r="AK49" s="2015">
        <f t="shared" ref="AK49:AK50" si="134">AI49-AJ49</f>
        <v>2579.2019399999899</v>
      </c>
      <c r="AL49" s="2015">
        <f>SUMIFS('利润（汇总）'!8:8,'利润（汇总）'!$1:$1,AL$1,'利润（汇总）'!$2:$2,AL$2)</f>
        <v>1097.44297799998</v>
      </c>
      <c r="AM49" s="2015"/>
      <c r="AN49" s="2015">
        <f t="shared" ref="AN49:AN50" si="135">AL49-AM49</f>
        <v>1097.44297799998</v>
      </c>
      <c r="AO49" s="2178">
        <f>SUMIFS('利润（汇总）'!8:8,'利润（汇总）'!$1:$1,AO$1,'利润（汇总）'!$2:$2,AO$2)</f>
        <v>1485.978609</v>
      </c>
      <c r="AP49" s="2178"/>
      <c r="AQ49" s="2178">
        <f t="shared" ref="AQ49:AQ50" si="136">AO49-AP49</f>
        <v>1485.978609</v>
      </c>
      <c r="AR49" s="2178">
        <f>SUMIFS('利润（汇总）'!8:8,'利润（汇总）'!$1:$1,AR$1,'利润（汇总）'!$2:$2,AR$2)</f>
        <v>1492.3743449999999</v>
      </c>
      <c r="AS49" s="2178"/>
      <c r="AT49" s="2178">
        <f t="shared" ref="AT49:AT50" si="137">AR49-AS49</f>
        <v>1492.3743449999999</v>
      </c>
      <c r="AU49" s="2178">
        <f>SUMIFS('利润（汇总）'!8:8,'利润（汇总）'!$1:$1,AU$1,'利润（汇总）'!$2:$2,AU$2)</f>
        <v>995.02528599999619</v>
      </c>
      <c r="AV49" s="2178"/>
      <c r="AW49" s="2178">
        <f t="shared" ref="AW49:AW50" si="138">AU49-AV49</f>
        <v>995.02528599999619</v>
      </c>
      <c r="AX49" s="2178">
        <f>SUMIFS('利润（汇总）'!8:8,'利润（汇总）'!$1:$1,AX$1,'利润（汇总）'!$2:$2,AX$2)</f>
        <v>547.49019899998871</v>
      </c>
      <c r="AY49" s="2178"/>
      <c r="AZ49" s="2178">
        <f t="shared" ref="AZ49:AZ50" si="139">AX49-AY49</f>
        <v>547.49019899998871</v>
      </c>
      <c r="BA49" s="2178">
        <f>SUMIFS('利润（汇总）'!8:8,'利润（汇总）'!$1:$1,BA$1,'利润（汇总）'!$2:$2,BA$2)</f>
        <v>468</v>
      </c>
      <c r="BB49" s="2178"/>
      <c r="BC49" s="2178">
        <f t="shared" ref="BC49:BC50" si="140">BA49-BB49</f>
        <v>468</v>
      </c>
      <c r="BD49" s="2178">
        <f>SUMIFS('利润（汇总）'!8:8,'利润（汇总）'!$1:$1,BD$1,'利润（汇总）'!$2:$2,BD$2)</f>
        <v>1109</v>
      </c>
      <c r="BE49" s="2178"/>
      <c r="BF49" s="2178">
        <f t="shared" ref="BF49:BF50" si="141">BD49-BE49</f>
        <v>1109</v>
      </c>
      <c r="BG49" s="2178">
        <f>SUMIFS('利润（汇总）'!8:8,'利润（汇总）'!$1:$1,BG$1,'利润（汇总）'!$2:$2,BG$2)</f>
        <v>-4419.5829999999996</v>
      </c>
      <c r="BH49" s="2178"/>
      <c r="BI49" s="2178">
        <f>BG49-BH49</f>
        <v>-4419.5829999999996</v>
      </c>
      <c r="BJ49" s="2178">
        <f>SUMIFS('利润（汇总）'!8:8,'利润（汇总）'!$1:$1,BJ$1,'利润（汇总）'!$2:$2,BJ$2)</f>
        <v>1831.02878099999</v>
      </c>
      <c r="BK49" s="2178"/>
      <c r="BL49" s="2178">
        <f t="shared" ref="BL49:BL50" si="142">BJ49-BK49</f>
        <v>1831.02878099999</v>
      </c>
      <c r="BM49" s="2178">
        <f>SUMIFS('利润（汇总）'!8:8,'利润（汇总）'!$1:$1,BM$1,'利润（汇总）'!$2:$2,BM$2)</f>
        <v>0</v>
      </c>
      <c r="BN49" s="2178"/>
      <c r="BO49" s="2178">
        <f t="shared" ref="BO49:BO50" si="143">BM49-BN49</f>
        <v>0</v>
      </c>
      <c r="BP49" s="2178">
        <f>SUMIFS('利润（汇总）'!8:8,'利润（汇总）'!$1:$1,BP$1,'利润（汇总）'!$2:$2,BP$2)</f>
        <v>0</v>
      </c>
      <c r="BQ49" s="2178"/>
      <c r="BR49" s="2178">
        <f t="shared" ref="BR49:BR50" si="144">BP49-BQ49</f>
        <v>0</v>
      </c>
      <c r="BS49" s="2178">
        <f>SUMIFS('利润（汇总）'!8:8,'利润（汇总）'!$1:$1,BS$1,'利润（汇总）'!$2:$2,BS$2)</f>
        <v>0</v>
      </c>
      <c r="BT49" s="2178"/>
      <c r="BU49" s="2178">
        <f t="shared" ref="BU49:BU50" si="145">BS49-BT49</f>
        <v>0</v>
      </c>
      <c r="BV49" s="2178">
        <f>SUMIFS('利润（汇总）'!8:8,'利润（汇总）'!$1:$1,BV$1,'利润（汇总）'!$2:$2,BV$2)</f>
        <v>0</v>
      </c>
      <c r="BW49" s="2178"/>
      <c r="BX49" s="2178">
        <f t="shared" ref="BX49:BX50" si="146">BV49-BW49</f>
        <v>0</v>
      </c>
      <c r="BY49" s="2178">
        <f t="shared" si="84"/>
        <v>3509.3142199999756</v>
      </c>
      <c r="BZ49" s="2178"/>
      <c r="CA49" s="2178">
        <f t="shared" ref="CA49:CA50" si="147">AQ49+AT49+AW49+AZ49+BC49+BF49+BI49+BL49+BO49+BR49+BU49+BX49</f>
        <v>3509.3142199999756</v>
      </c>
      <c r="CE49" s="2053">
        <f t="shared" si="50"/>
        <v>6.3957359999999426</v>
      </c>
    </row>
    <row r="50" spans="1:83" ht="18" customHeight="1">
      <c r="A50" s="1869" t="s">
        <v>1238</v>
      </c>
      <c r="B50" s="2015">
        <f>SUMIFS('利润（汇总）'!9:9,'利润（汇总）'!$1:$1,B$1,'利润（汇总）'!$2:$2,B$2)</f>
        <v>0</v>
      </c>
      <c r="C50" s="2015"/>
      <c r="D50" s="2015">
        <f t="shared" si="123"/>
        <v>0</v>
      </c>
      <c r="E50" s="2015">
        <f>SUMIFS('利润（汇总）'!9:9,'利润（汇总）'!$1:$1,E$1,'利润（汇总）'!$2:$2,E$2)</f>
        <v>1605.1182229999899</v>
      </c>
      <c r="F50" s="2015"/>
      <c r="G50" s="2015">
        <f t="shared" si="124"/>
        <v>1605.1182229999899</v>
      </c>
      <c r="H50" s="2015">
        <f>SUMIFS('利润（汇总）'!9:9,'利润（汇总）'!$1:$1,H$1,'利润（汇总）'!$2:$2,H$2)</f>
        <v>1720.16878600001</v>
      </c>
      <c r="I50" s="2015"/>
      <c r="J50" s="2015">
        <f t="shared" si="125"/>
        <v>1720.16878600001</v>
      </c>
      <c r="K50" s="2015">
        <f>SUMIFS('利润（汇总）'!9:9,'利润（汇总）'!$1:$1,K$1,'利润（汇总）'!$2:$2,K$2)</f>
        <v>57.291553999998101</v>
      </c>
      <c r="L50" s="2015"/>
      <c r="M50" s="2015">
        <f t="shared" si="126"/>
        <v>57.291553999998101</v>
      </c>
      <c r="N50" s="2015">
        <f>SUMIFS('利润（汇总）'!9:9,'利润（汇总）'!$1:$1,N$1,'利润（汇总）'!$2:$2,N$2)</f>
        <v>-197.78474200000599</v>
      </c>
      <c r="O50" s="2015"/>
      <c r="P50" s="2015">
        <f t="shared" si="127"/>
        <v>-197.78474200000599</v>
      </c>
      <c r="Q50" s="2015">
        <f>SUMIFS('利润（汇总）'!9:9,'利润（汇总）'!$1:$1,Q$1,'利润（汇总）'!$2:$2,Q$2)</f>
        <v>-1301.5247409999999</v>
      </c>
      <c r="R50" s="2015"/>
      <c r="S50" s="2015">
        <f t="shared" si="128"/>
        <v>-1301.5247409999999</v>
      </c>
      <c r="T50" s="2015">
        <f>SUMIFS('利润（汇总）'!9:9,'利润（汇总）'!$1:$1,T$1,'利润（汇总）'!$2:$2,T$2)</f>
        <v>2168.2573220000099</v>
      </c>
      <c r="U50" s="2015"/>
      <c r="V50" s="2015">
        <f t="shared" si="129"/>
        <v>2168.2573220000099</v>
      </c>
      <c r="W50" s="2015">
        <f>SUMIFS('利润（汇总）'!9:9,'利润（汇总）'!$1:$1,W$1,'利润（汇总）'!$2:$2,W$2)</f>
        <v>1109.869835</v>
      </c>
      <c r="X50" s="2015"/>
      <c r="Y50" s="2015">
        <f t="shared" si="130"/>
        <v>1109.869835</v>
      </c>
      <c r="Z50" s="2015">
        <f>SUMIFS('利润（汇总）'!9:9,'利润（汇总）'!$1:$1,Z$1,'利润（汇总）'!$2:$2,Z$2)</f>
        <v>1482.993346</v>
      </c>
      <c r="AA50" s="2015"/>
      <c r="AB50" s="2015">
        <f t="shared" si="131"/>
        <v>1482.993346</v>
      </c>
      <c r="AC50" s="2015">
        <f>SUMIFS('利润（汇总）'!9:9,'利润（汇总）'!$1:$1,AC$1,'利润（汇总）'!$2:$2,AC$2)</f>
        <v>2422.8023149999999</v>
      </c>
      <c r="AD50" s="2015"/>
      <c r="AE50" s="2015">
        <f t="shared" si="132"/>
        <v>2422.8023149999999</v>
      </c>
      <c r="AF50" s="2015">
        <f>SUMIFS('利润（汇总）'!9:9,'利润（汇总）'!$1:$1,AF$1,'利润（汇总）'!$2:$2,AF$2)</f>
        <v>2667.60895600001</v>
      </c>
      <c r="AG50" s="2015"/>
      <c r="AH50" s="2015">
        <f t="shared" si="133"/>
        <v>2667.60895600001</v>
      </c>
      <c r="AI50" s="2015">
        <f>SUMIFS('利润（汇总）'!9:9,'利润（汇总）'!$1:$1,AI$1,'利润（汇总）'!$2:$2,AI$2)</f>
        <v>2850.1452670000199</v>
      </c>
      <c r="AJ50" s="2015"/>
      <c r="AK50" s="2015">
        <f t="shared" si="134"/>
        <v>2850.1452670000199</v>
      </c>
      <c r="AL50" s="2015">
        <f>SUMIFS('利润（汇总）'!9:9,'利润（汇总）'!$1:$1,AL$1,'利润（汇总）'!$2:$2,AL$2)</f>
        <v>1690.713391</v>
      </c>
      <c r="AM50" s="2015"/>
      <c r="AN50" s="2015">
        <f t="shared" si="135"/>
        <v>1690.713391</v>
      </c>
      <c r="AO50" s="2178">
        <f>SUMIFS('利润（汇总）'!9:9,'利润（汇总）'!$1:$1,AO$1,'利润（汇总）'!$2:$2,AO$2)</f>
        <v>1332.7243859999999</v>
      </c>
      <c r="AP50" s="2178"/>
      <c r="AQ50" s="2178">
        <f t="shared" si="136"/>
        <v>1332.7243859999999</v>
      </c>
      <c r="AR50" s="2178">
        <f>SUMIFS('利润（汇总）'!9:9,'利润（汇总）'!$1:$1,AR$1,'利润（汇总）'!$2:$2,AR$2)</f>
        <v>4702.0730469999999</v>
      </c>
      <c r="AS50" s="2178"/>
      <c r="AT50" s="2178">
        <f t="shared" si="137"/>
        <v>4702.0730469999999</v>
      </c>
      <c r="AU50" s="2178">
        <f>SUMIFS('利润（汇总）'!9:9,'利润（汇总）'!$1:$1,AU$1,'利润（汇总）'!$2:$2,AU$2)</f>
        <v>3541.1525700000047</v>
      </c>
      <c r="AV50" s="2178"/>
      <c r="AW50" s="2178">
        <f t="shared" si="138"/>
        <v>3541.1525700000047</v>
      </c>
      <c r="AX50" s="2178">
        <f>SUMIFS('利润（汇总）'!9:9,'利润（汇总）'!$1:$1,AX$1,'利润（汇总）'!$2:$2,AX$2)</f>
        <v>5666.581806999995</v>
      </c>
      <c r="AY50" s="2178"/>
      <c r="AZ50" s="2178">
        <f t="shared" si="139"/>
        <v>5666.581806999995</v>
      </c>
      <c r="BA50" s="2178">
        <f>SUMIFS('利润（汇总）'!9:9,'利润（汇总）'!$1:$1,BA$1,'利润（汇总）'!$2:$2,BA$2)</f>
        <v>3797</v>
      </c>
      <c r="BB50" s="2178"/>
      <c r="BC50" s="2178">
        <f t="shared" si="140"/>
        <v>3797</v>
      </c>
      <c r="BD50" s="2178">
        <f>SUMIFS('利润（汇总）'!9:9,'利润（汇总）'!$1:$1,BD$1,'利润（汇总）'!$2:$2,BD$2)</f>
        <v>3017</v>
      </c>
      <c r="BE50" s="2178"/>
      <c r="BF50" s="2178">
        <f t="shared" si="141"/>
        <v>3017</v>
      </c>
      <c r="BG50" s="2178">
        <f>SUMIFS('利润（汇总）'!9:9,'利润（汇总）'!$1:$1,BG$1,'利润（汇总）'!$2:$2,BG$2)</f>
        <v>3526</v>
      </c>
      <c r="BH50" s="2178"/>
      <c r="BI50" s="2178">
        <f t="shared" ref="BI50" si="148">BG50-BH50</f>
        <v>3526</v>
      </c>
      <c r="BJ50" s="2178">
        <f>SUMIFS('利润（汇总）'!9:9,'利润（汇总）'!$1:$1,BJ$1,'利润（汇总）'!$2:$2,BJ$2)</f>
        <v>5561.8383140000096</v>
      </c>
      <c r="BK50" s="2178"/>
      <c r="BL50" s="2178">
        <f t="shared" si="142"/>
        <v>5561.8383140000096</v>
      </c>
      <c r="BM50" s="2178">
        <f>SUMIFS('利润（汇总）'!9:9,'利润（汇总）'!$1:$1,BM$1,'利润（汇总）'!$2:$2,BM$2)</f>
        <v>0</v>
      </c>
      <c r="BN50" s="2178"/>
      <c r="BO50" s="2178">
        <f t="shared" si="143"/>
        <v>0</v>
      </c>
      <c r="BP50" s="2178">
        <f>SUMIFS('利润（汇总）'!9:9,'利润（汇总）'!$1:$1,BP$1,'利润（汇总）'!$2:$2,BP$2)</f>
        <v>0</v>
      </c>
      <c r="BQ50" s="2178"/>
      <c r="BR50" s="2178">
        <f t="shared" si="144"/>
        <v>0</v>
      </c>
      <c r="BS50" s="2178">
        <f>SUMIFS('利润（汇总）'!9:9,'利润（汇总）'!$1:$1,BS$1,'利润（汇总）'!$2:$2,BS$2)</f>
        <v>0</v>
      </c>
      <c r="BT50" s="2178"/>
      <c r="BU50" s="2178">
        <f t="shared" si="145"/>
        <v>0</v>
      </c>
      <c r="BV50" s="2178">
        <f>SUMIFS('利润（汇总）'!9:9,'利润（汇总）'!$1:$1,BV$1,'利润（汇总）'!$2:$2,BV$2)</f>
        <v>0</v>
      </c>
      <c r="BW50" s="2178"/>
      <c r="BX50" s="2178">
        <f t="shared" si="146"/>
        <v>0</v>
      </c>
      <c r="BY50" s="2178">
        <f>AO50+AR50+AU50+AX50+BA50+BD50+BG50+BJ50+BM50+BP50+BS50+BV50</f>
        <v>31144.370124000008</v>
      </c>
      <c r="BZ50" s="2178"/>
      <c r="CA50" s="2178">
        <f t="shared" si="147"/>
        <v>31144.370124000008</v>
      </c>
      <c r="CE50" s="2053">
        <f>AT50-AQ50</f>
        <v>3369.348661</v>
      </c>
    </row>
    <row r="51" spans="1:83">
      <c r="A51" s="375"/>
      <c r="G51" s="376"/>
      <c r="V51" s="380">
        <f>V49-V50</f>
        <v>-10103.48938400002</v>
      </c>
      <c r="Z51" s="376"/>
    </row>
    <row r="52" spans="1:83">
      <c r="A52" s="375"/>
      <c r="G52" s="376"/>
      <c r="Z52" s="376"/>
      <c r="AR52" s="370">
        <v>136400</v>
      </c>
    </row>
    <row r="53" spans="1:83">
      <c r="A53" s="377"/>
      <c r="B53" s="378"/>
      <c r="G53" s="376"/>
      <c r="Z53" s="376"/>
      <c r="AR53" s="382">
        <f>AR52-AR6</f>
        <v>5481.703316049985</v>
      </c>
      <c r="AS53" s="376"/>
      <c r="AT53" s="376"/>
    </row>
    <row r="54" spans="1:83">
      <c r="A54" s="377"/>
      <c r="B54" s="378"/>
      <c r="G54" s="376"/>
      <c r="Z54" s="376"/>
      <c r="AN54" s="2053"/>
      <c r="AR54" s="383"/>
    </row>
    <row r="55" spans="1:83">
      <c r="A55" s="377"/>
      <c r="B55" s="378"/>
      <c r="G55" s="376"/>
      <c r="Z55" s="376"/>
      <c r="AR55" s="380"/>
    </row>
    <row r="56" spans="1:83">
      <c r="A56" s="377"/>
      <c r="B56" s="378"/>
      <c r="G56" s="376"/>
      <c r="Z56" s="376"/>
      <c r="AR56" s="390"/>
    </row>
    <row r="57" spans="1:83">
      <c r="A57" s="375"/>
      <c r="G57" s="376"/>
      <c r="Z57" s="376"/>
      <c r="AR57" s="392"/>
    </row>
    <row r="58" spans="1:83">
      <c r="A58" s="375"/>
      <c r="G58" s="376"/>
      <c r="Z58" s="376"/>
    </row>
    <row r="59" spans="1:83">
      <c r="A59" s="375"/>
      <c r="G59" s="376"/>
      <c r="Z59" s="376"/>
    </row>
    <row r="60" spans="1:83">
      <c r="A60" s="375"/>
      <c r="G60" s="376"/>
      <c r="Z60" s="376"/>
    </row>
    <row r="61" spans="1:83">
      <c r="Q61" s="381"/>
      <c r="AB61" s="376"/>
      <c r="AK61" s="376"/>
    </row>
    <row r="62" spans="1:83">
      <c r="Q62" s="381"/>
      <c r="AB62" s="376"/>
      <c r="AK62" s="376"/>
    </row>
    <row r="63" spans="1:83">
      <c r="A63" s="375"/>
      <c r="Q63" s="381"/>
      <c r="V63" s="382"/>
      <c r="Y63" s="382"/>
      <c r="AB63" s="382"/>
      <c r="AE63" s="382"/>
      <c r="AH63" s="382"/>
      <c r="AK63" s="382"/>
      <c r="AN63" s="382"/>
      <c r="AO63" s="382"/>
      <c r="AP63" s="382"/>
      <c r="AQ63" s="382"/>
      <c r="AS63" s="382"/>
      <c r="AT63" s="382"/>
      <c r="AU63" s="382"/>
      <c r="AV63" s="382"/>
      <c r="AW63" s="382"/>
      <c r="AX63" s="382"/>
      <c r="AY63" s="382"/>
      <c r="AZ63" s="382"/>
      <c r="BA63" s="382"/>
      <c r="BB63" s="382"/>
      <c r="BC63" s="382"/>
      <c r="BD63" s="382"/>
      <c r="BE63" s="382"/>
      <c r="BF63" s="382"/>
      <c r="BG63" s="382"/>
      <c r="BH63" s="382"/>
      <c r="BI63" s="382"/>
      <c r="BJ63" s="382"/>
      <c r="BK63" s="382"/>
      <c r="BL63" s="382"/>
      <c r="BM63" s="382"/>
      <c r="BN63" s="382"/>
      <c r="BO63" s="382"/>
      <c r="BP63" s="382"/>
      <c r="BQ63" s="382"/>
      <c r="BR63" s="382"/>
      <c r="BS63" s="382"/>
      <c r="BT63" s="382"/>
      <c r="BU63" s="382"/>
      <c r="BV63" s="382"/>
      <c r="BW63" s="382"/>
      <c r="BX63" s="382"/>
      <c r="CA63" s="383">
        <v>1</v>
      </c>
    </row>
    <row r="64" spans="1:83">
      <c r="V64" s="383"/>
      <c r="Y64" s="383"/>
      <c r="AB64" s="383"/>
      <c r="AE64" s="383"/>
      <c r="AH64" s="383"/>
      <c r="AK64" s="383"/>
      <c r="AN64" s="383"/>
      <c r="AO64" s="383"/>
      <c r="AP64" s="383"/>
      <c r="AQ64" s="383"/>
      <c r="AS64" s="383"/>
      <c r="AT64" s="383"/>
      <c r="AU64" s="383"/>
      <c r="AV64" s="383"/>
      <c r="AW64" s="383"/>
      <c r="AX64" s="383"/>
      <c r="AY64" s="383"/>
      <c r="AZ64" s="383"/>
      <c r="BA64" s="383"/>
      <c r="BB64" s="383"/>
      <c r="BC64" s="383"/>
      <c r="BD64" s="383"/>
      <c r="BE64" s="383"/>
      <c r="BF64" s="383"/>
      <c r="BG64" s="383"/>
      <c r="BH64" s="383"/>
      <c r="BI64" s="383"/>
      <c r="BJ64" s="383"/>
      <c r="BK64" s="383"/>
      <c r="BL64" s="383"/>
      <c r="BM64" s="383"/>
      <c r="BN64" s="383"/>
      <c r="BO64" s="383"/>
      <c r="BP64" s="383"/>
      <c r="BQ64" s="383"/>
      <c r="BR64" s="383"/>
      <c r="BS64" s="383"/>
      <c r="BT64" s="383"/>
      <c r="BU64" s="383"/>
      <c r="BV64" s="383"/>
      <c r="BW64" s="383"/>
      <c r="BX64" s="383"/>
    </row>
    <row r="65" spans="20:76" hidden="1">
      <c r="V65" s="380"/>
      <c r="Y65" s="380"/>
      <c r="AB65" s="380"/>
      <c r="AE65" s="380"/>
      <c r="AH65" s="380"/>
      <c r="AJ65" s="383"/>
      <c r="AK65" s="380"/>
      <c r="AN65" s="380"/>
      <c r="AO65" s="380"/>
      <c r="AQ65" s="380"/>
      <c r="AS65" s="380"/>
      <c r="AT65" s="380"/>
      <c r="AU65" s="380"/>
      <c r="AV65" s="380"/>
      <c r="AW65" s="380"/>
      <c r="AX65" s="380"/>
      <c r="AY65" s="380"/>
      <c r="AZ65" s="380"/>
      <c r="BA65" s="380"/>
      <c r="BB65" s="380"/>
      <c r="BC65" s="380"/>
      <c r="BD65" s="380"/>
      <c r="BE65" s="380"/>
      <c r="BF65" s="380"/>
      <c r="BG65" s="380"/>
      <c r="BH65" s="380"/>
      <c r="BI65" s="380"/>
      <c r="BJ65" s="380"/>
      <c r="BK65" s="380"/>
      <c r="BL65" s="380"/>
      <c r="BM65" s="380"/>
      <c r="BN65" s="380"/>
      <c r="BO65" s="380"/>
      <c r="BP65" s="380"/>
      <c r="BQ65" s="380"/>
      <c r="BR65" s="380"/>
      <c r="BS65" s="380"/>
      <c r="BT65" s="380"/>
      <c r="BU65" s="380"/>
      <c r="BV65" s="380"/>
      <c r="BW65" s="380"/>
      <c r="BX65" s="380"/>
    </row>
    <row r="66" spans="20:76" hidden="1">
      <c r="V66" s="390"/>
      <c r="Y66" s="390"/>
      <c r="AB66" s="390"/>
      <c r="AE66" s="390"/>
      <c r="AH66" s="390"/>
      <c r="AJ66" s="383"/>
      <c r="AK66" s="390"/>
      <c r="AN66" s="390"/>
      <c r="AO66" s="390"/>
      <c r="AP66" s="390"/>
      <c r="AQ66" s="390"/>
      <c r="AS66" s="390"/>
      <c r="AT66" s="390"/>
      <c r="AU66" s="390"/>
      <c r="AV66" s="390"/>
      <c r="AW66" s="390"/>
      <c r="AX66" s="390"/>
      <c r="AY66" s="390"/>
      <c r="AZ66" s="390"/>
      <c r="BA66" s="390"/>
      <c r="BB66" s="390"/>
      <c r="BC66" s="390"/>
      <c r="BD66" s="390"/>
      <c r="BE66" s="390"/>
      <c r="BF66" s="390"/>
      <c r="BG66" s="390"/>
      <c r="BH66" s="390"/>
      <c r="BI66" s="390"/>
      <c r="BJ66" s="390"/>
      <c r="BK66" s="390"/>
      <c r="BL66" s="390"/>
      <c r="BM66" s="390"/>
      <c r="BN66" s="390"/>
      <c r="BO66" s="390"/>
      <c r="BP66" s="390"/>
      <c r="BQ66" s="390"/>
      <c r="BR66" s="390"/>
      <c r="BS66" s="390"/>
      <c r="BT66" s="390"/>
      <c r="BU66" s="390"/>
      <c r="BV66" s="390"/>
      <c r="BW66" s="390"/>
      <c r="BX66" s="390"/>
    </row>
    <row r="67" spans="20:76" hidden="1">
      <c r="V67" s="391"/>
      <c r="Y67" s="392"/>
      <c r="AB67" s="392"/>
      <c r="AE67" s="392"/>
      <c r="AH67" s="392"/>
      <c r="AJ67" s="383"/>
      <c r="AK67" s="392"/>
      <c r="AN67" s="392"/>
      <c r="AO67" s="392"/>
      <c r="AQ67" s="392"/>
      <c r="AS67" s="392"/>
      <c r="AT67" s="392"/>
      <c r="AU67" s="392"/>
      <c r="AV67" s="392"/>
      <c r="AW67" s="392"/>
      <c r="AX67" s="392"/>
      <c r="AY67" s="392"/>
      <c r="AZ67" s="392"/>
      <c r="BA67" s="392"/>
      <c r="BB67" s="392"/>
      <c r="BC67" s="392"/>
      <c r="BD67" s="392"/>
      <c r="BE67" s="392"/>
      <c r="BF67" s="392"/>
      <c r="BG67" s="392"/>
      <c r="BH67" s="392"/>
      <c r="BI67" s="392"/>
      <c r="BJ67" s="392"/>
      <c r="BK67" s="392"/>
      <c r="BL67" s="392"/>
      <c r="BM67" s="392"/>
      <c r="BN67" s="392"/>
      <c r="BO67" s="392"/>
      <c r="BP67" s="392"/>
      <c r="BQ67" s="392"/>
      <c r="BR67" s="392"/>
      <c r="BS67" s="392"/>
      <c r="BT67" s="392"/>
      <c r="BU67" s="392"/>
      <c r="BV67" s="392"/>
      <c r="BW67" s="392"/>
      <c r="BX67" s="392"/>
    </row>
    <row r="68" spans="20:76" hidden="1"/>
    <row r="69" spans="20:76" hidden="1"/>
    <row r="70" spans="20:76" hidden="1"/>
    <row r="71" spans="20:76" hidden="1"/>
    <row r="72" spans="20:76" hidden="1"/>
    <row r="73" spans="20:76" hidden="1">
      <c r="T73" s="206"/>
      <c r="W73" s="206"/>
      <c r="Z73" s="206"/>
      <c r="AC73" s="206"/>
      <c r="AF73" s="206"/>
      <c r="AI73" s="206"/>
      <c r="AL73" s="206"/>
      <c r="AO73" s="206"/>
    </row>
    <row r="74" spans="20:76" hidden="1"/>
    <row r="75" spans="20:76" hidden="1"/>
    <row r="76" spans="20:76" hidden="1">
      <c r="T76" s="206"/>
      <c r="W76" s="206"/>
      <c r="Z76" s="206"/>
      <c r="AC76" s="206"/>
      <c r="AF76" s="206"/>
      <c r="AI76" s="206"/>
      <c r="AL76" s="206"/>
      <c r="AO76" s="206"/>
    </row>
    <row r="77" spans="20:76" hidden="1"/>
    <row r="78" spans="20:76" hidden="1">
      <c r="AC78" s="370">
        <v>9</v>
      </c>
      <c r="AG78" s="370" t="s">
        <v>1099</v>
      </c>
      <c r="AH78" s="370" t="s">
        <v>1133</v>
      </c>
    </row>
    <row r="79" spans="20:76" hidden="1">
      <c r="AB79" s="154" t="s">
        <v>165</v>
      </c>
      <c r="AC79" s="1650">
        <v>86651875.459999993</v>
      </c>
      <c r="AE79" s="154" t="s">
        <v>165</v>
      </c>
      <c r="AF79" s="1669">
        <v>116091769.43000001</v>
      </c>
      <c r="AG79" s="1664">
        <f>AF79/100000000</f>
        <v>1.1609176943000001</v>
      </c>
      <c r="AH79" s="376">
        <f>AH15/10000</f>
        <v>3.0110000000000001</v>
      </c>
    </row>
    <row r="80" spans="20:76" hidden="1">
      <c r="AB80" s="154" t="s">
        <v>166</v>
      </c>
      <c r="AC80" s="1650">
        <v>1921752906.27</v>
      </c>
      <c r="AE80" s="154" t="s">
        <v>166</v>
      </c>
      <c r="AF80" s="1669">
        <v>2037843209.5900002</v>
      </c>
      <c r="AG80" s="1664">
        <f>AF80/100000000</f>
        <v>20.378432095900003</v>
      </c>
      <c r="AH80" s="370">
        <f>CA15/10000</f>
        <v>69.326899999999995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</row>
    <row r="81" spans="14:77" hidden="1">
      <c r="AB81" s="154" t="s">
        <v>1098</v>
      </c>
      <c r="AC81" s="1641">
        <v>45924200.009999871</v>
      </c>
      <c r="AE81" s="154" t="s">
        <v>1098</v>
      </c>
      <c r="AF81" s="1670">
        <v>10263300.23</v>
      </c>
      <c r="AG81" s="1664">
        <f>AF81/100000000</f>
        <v>0.1026330023</v>
      </c>
      <c r="AH81" s="370">
        <v>0</v>
      </c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</row>
    <row r="82" spans="14:77" hidden="1">
      <c r="AB82" s="154" t="s">
        <v>1099</v>
      </c>
      <c r="AC82" s="1650">
        <v>575498248.56999981</v>
      </c>
      <c r="AE82" s="154" t="s">
        <v>1099</v>
      </c>
      <c r="AF82" s="1671">
        <v>585761548.79999983</v>
      </c>
      <c r="AG82" s="1664">
        <f>AF82/100000000</f>
        <v>5.8576154879999986</v>
      </c>
      <c r="AH82" s="370">
        <v>0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</row>
    <row r="83" spans="14:77" hidden="1">
      <c r="AH83" s="370">
        <v>0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</row>
    <row r="84" spans="14:77" hidden="1">
      <c r="AH84" s="370">
        <v>0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</row>
    <row r="85" spans="14:77" hidden="1">
      <c r="AF85" s="370">
        <f>AF7/10000</f>
        <v>2.2390415849469996</v>
      </c>
      <c r="AG85" s="1665">
        <f>AH79-AG79</f>
        <v>1.8500823057</v>
      </c>
      <c r="AH85" s="370">
        <v>0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</row>
    <row r="86" spans="14:77" hidden="1">
      <c r="AF86" s="370">
        <f>AF15/10000</f>
        <v>7.0077999999999996</v>
      </c>
      <c r="AG86" s="1665">
        <f>AH80-AG80</f>
        <v>48.948467904099992</v>
      </c>
      <c r="AH86" s="390">
        <v>0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</row>
    <row r="87" spans="14:77" hidden="1">
      <c r="AG87" s="1665">
        <f>AH81-AG81</f>
        <v>-0.1026330023</v>
      </c>
      <c r="AH87" s="370">
        <v>0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</row>
    <row r="88" spans="14:77" hidden="1">
      <c r="AG88" s="1665">
        <f>AH82-AG82</f>
        <v>-5.8576154879999986</v>
      </c>
      <c r="AH88" s="370">
        <v>0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</row>
    <row r="89" spans="14:77">
      <c r="N89" s="389">
        <f>N6/10000</f>
        <v>1.4355942058349997</v>
      </c>
      <c r="O89" s="389"/>
      <c r="P89" s="389">
        <f>P6/10000</f>
        <v>1.9383942058349997</v>
      </c>
      <c r="Q89" s="370">
        <f>Q6/10000</f>
        <v>2.0039276037109994</v>
      </c>
      <c r="S89" s="383">
        <f>S6/10000</f>
        <v>1.7993276037109993</v>
      </c>
      <c r="AH89" s="370">
        <v>0</v>
      </c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</row>
    <row r="90" spans="14:77">
      <c r="Q90" s="371" t="s">
        <v>486</v>
      </c>
      <c r="S90" s="383">
        <f>SUMIFS('利润（汇总）'!51:51,'利润（汇总）'!1:1,R1-1,'利润（汇总）'!2:2,R2)/10000</f>
        <v>4.2659000000000002</v>
      </c>
      <c r="AH90" s="370">
        <v>0</v>
      </c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</row>
    <row r="91" spans="14:77">
      <c r="AF91" s="377" t="str">
        <f>"（1）本月母公司汇总利润"&amp;ABS(ROUND(AF85/10000,2))&amp;"亿元，建议："</f>
        <v>（1）本月母公司汇总利润0亿元，建议：</v>
      </c>
      <c r="AH91" s="370">
        <v>0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</row>
    <row r="92" spans="14:77">
      <c r="Q92" s="371" t="s">
        <v>7</v>
      </c>
      <c r="R92" s="389">
        <f>S89-P89</f>
        <v>-0.13906660212400035</v>
      </c>
      <c r="AF92" s="745" t="str">
        <f>"当月按照"&amp;ABS(ROUND(AG63,2))&amp;"亿元报出，比上月"&amp;IF(AH63&gt;=0,"增加","减少")&amp;ABS(ROUND(AH63,2))&amp;"亿元，比同期"&amp;ABS(ROUND(AG64,2))&amp;"亿元"&amp;IF(AJ64&gt;=0,"增加","减少")&amp;ABS(ROUND(AJ64,2))&amp;"亿元。"</f>
        <v>当月按照0亿元报出，比上月增加0亿元，比同期0亿元增加0亿元。</v>
      </c>
      <c r="AH92" s="370">
        <v>0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</row>
    <row r="93" spans="14:77">
      <c r="Q93" s="371" t="s">
        <v>8</v>
      </c>
      <c r="R93" s="389">
        <f>S89-S90</f>
        <v>-2.4665723962890009</v>
      </c>
      <c r="S93" s="370">
        <f>R93/S90</f>
        <v>-0.57820680191495366</v>
      </c>
      <c r="AF93" s="745" t="str">
        <f>"累计"&amp;ABS(ROUND(AI64,2))&amp;"亿元，比同期"&amp;ABS(ROUND(AG65,2))&amp;"亿元"&amp;IF(AH65&gt;=0,"增加","减少")&amp;ABS(ROUND(AH65,2))&amp;"亿元。"</f>
        <v>累计0亿元，比同期0亿元增加0亿元。</v>
      </c>
      <c r="AH93" s="370">
        <v>0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</row>
    <row r="94" spans="14:77">
      <c r="AF94" s="377" t="str">
        <f>"累计留存"&amp;ABS(ROUND(AK15/10000,2))&amp;"亿元。"</f>
        <v>累计留存1.85亿元。</v>
      </c>
      <c r="AH94" s="370">
        <v>0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</row>
    <row r="95" spans="14:77">
      <c r="AF95" s="154"/>
      <c r="AH95" s="370">
        <v>0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</row>
    <row r="96" spans="14:77" ht="39" customHeight="1">
      <c r="Q96" s="2720" t="str">
        <f>"本月集团公司汇总利润"&amp;ABS(ROUND(Q89,2))&amp;"亿元，建议："</f>
        <v>本月集团公司汇总利润2亿元，建议：</v>
      </c>
      <c r="R96" s="2720"/>
      <c r="S96" s="2720"/>
      <c r="AF96" s="154" t="str">
        <f>"（2）本月太钢不锈汇总利润"&amp;ABS(ROUND(AG21/10000,2))&amp;"亿元，建议："</f>
        <v>（2）本月太钢不锈汇总利润0亿元，建议：</v>
      </c>
      <c r="AH96" s="370">
        <v>0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</row>
    <row r="97" spans="17:77" ht="39" customHeight="1">
      <c r="Q97" s="2721" t="str">
        <f>"当月按照"&amp;ABS(ROUND(S89,2))&amp;"亿元报出，比上月"&amp;IF(R92&gt;=0,"增利","减利")&amp;ABS(ROUND(R92,2))&amp;"亿元，比同期"&amp;ABS(ROUND(S90,2))&amp;"亿元"&amp;IF(R93&gt;=0,"增加","减少")&amp;ABS(ROUND(R93,2))&amp;"亿元，"&amp;IF(S93&gt;=0,"增幅","降幅")&amp;ABS(ROUND(S93*100,2))&amp;"%。"</f>
        <v>当月按照1.8亿元报出，比上月减利0.14亿元，比同期4.27亿元减少2.47亿元，降幅57.82%。</v>
      </c>
      <c r="R97" s="2721"/>
      <c r="S97" s="2721"/>
      <c r="AF97" s="154" t="str">
        <f>IF($F$12&gt;0,"留存"&amp;$F$12&amp;"万元，","使用前期留存"&amp;-$F$12&amp;"万元，")</f>
        <v>使用前期留存0万元，</v>
      </c>
      <c r="AH97" s="370">
        <v>0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</row>
    <row r="98" spans="17:77" ht="39" customHeight="1">
      <c r="Q98" s="2721" t="e">
        <f>"累计"&amp;ABS(ROUND(#REF!,2))&amp;"亿元，比同期"&amp;ABS(ROUND(Q88,2))&amp;"亿元"&amp;IF(S88&gt;=0,"增加","减少")&amp;ABS(ROUND(S88,2))&amp;"亿元，"&amp;IF(T88&gt;=0,"增幅","降幅")&amp;ABS(ROUND(T88*100,2))&amp;"%。"</f>
        <v>#REF!</v>
      </c>
      <c r="R98" s="2721"/>
      <c r="S98" s="2721"/>
      <c r="AF98" s="154" t="str">
        <f>"当月按照"&amp;ABS(ROUND(AG60,2))&amp;"亿元报出，比上月"&amp;IF(AH60&gt;=0,"增加","减少")&amp;ABS(ROUND(AH60,2))&amp;"亿元，比同期"&amp;ABS(ROUND(AG61,2))&amp;"亿元"&amp;IF(AH61&gt;=0,"增加","减少")&amp;ABS(ROUND(AH61,2))&amp;"亿元，"&amp;IF(AJ61&gt;=0,"增幅","降幅")&amp;ABS(ROUND(AJ61*100,2))&amp;"%。"</f>
        <v>当月按照0亿元报出，比上月增加0亿元，比同期0亿元增加0亿元，增幅0%。</v>
      </c>
      <c r="AH98" s="370">
        <v>0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</row>
    <row r="99" spans="17:77" ht="39" customHeight="1">
      <c r="Q99" s="2720" t="str">
        <f>"累计留存"&amp;ABS(ROUND(U32/10000,2))&amp;"亿元。"</f>
        <v>累计留存0亿元。</v>
      </c>
      <c r="R99" s="2720"/>
      <c r="S99" s="2720"/>
      <c r="AF99" s="154" t="str">
        <f>"累计"&amp;ABS(ROUND(AI60,2))&amp;"亿元，比同期"&amp;ABS(ROUND(AG62,2))&amp;"亿元"&amp;IF(AH62&gt;=0,"增加","减少")&amp;ABS(ROUND(AH62,2))&amp;"亿元，"&amp;IF(AJ62&gt;=0,"增幅","降幅")&amp;ABS(ROUND(AJ62*100,2))&amp;"%。"</f>
        <v>累计0亿元，比同期0亿元增加0亿元，增幅0%。</v>
      </c>
      <c r="AH99" s="370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</row>
    <row r="100" spans="17:77">
      <c r="AF100" s="154" t="str">
        <f>"累计留存"&amp;ABS(ROUND(AK20/10000,2))&amp;"亿元。"</f>
        <v>累计留存0亿元。</v>
      </c>
      <c r="AH100" s="370">
        <v>0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</row>
    <row r="101" spans="17:77">
      <c r="AH101" s="370">
        <v>0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</row>
    <row r="102" spans="17:77">
      <c r="AH102" s="370">
        <v>0</v>
      </c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</row>
    <row r="103" spans="17:77">
      <c r="AH103" s="370">
        <v>0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</row>
    <row r="104" spans="17:77">
      <c r="AH104" s="370">
        <v>0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</row>
    <row r="105" spans="17:77">
      <c r="AH105" s="370">
        <v>0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pans="17:77">
      <c r="AH106" s="370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pans="17:77"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</row>
    <row r="108" spans="17:77"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</row>
    <row r="109" spans="17:77">
      <c r="AJ109" s="1680">
        <v>58960110.079999998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</row>
    <row r="110" spans="17:77">
      <c r="AJ110">
        <v>21549110.079999998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</row>
    <row r="111" spans="17:77">
      <c r="AJ111" s="1681">
        <f>AJ109-AJ110</f>
        <v>37411000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</row>
    <row r="112" spans="17:77"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</row>
    <row r="113" spans="36:77"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</row>
    <row r="114" spans="36:77"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</row>
    <row r="115" spans="36:77"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</row>
    <row r="116" spans="36:77"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</row>
    <row r="117" spans="36:77"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</row>
  </sheetData>
  <protectedRanges>
    <protectedRange sqref="AC81:AC82" name="区域1"/>
    <protectedRange sqref="AF81:AF82" name="区域1_1"/>
  </protectedRanges>
  <customSheetViews>
    <customSheetView guid="{1683F931-F47D-47C0-A395-D48080DC7EE6}" showPageBreaks="1" hiddenRows="1" hiddenColumns="1">
      <pane xSplit="9" topLeftCell="K1" activePane="topRight" state="frozen"/>
      <selection pane="topRight" activeCell="S14" sqref="S14"/>
      <rowBreaks count="1" manualBreakCount="1">
        <brk id="43" max="16383" man="1"/>
      </rowBreaks>
      <pageMargins left="0.69930555555555596" right="0.69930555555555596" top="0.75" bottom="0.75" header="0.3" footer="0.3"/>
      <pageSetup paperSize="9" orientation="landscape" r:id="rId1"/>
    </customSheetView>
    <customSheetView guid="{43897816-D2F0-4C3D-8F57-E0039BD2296B}" showPageBreaks="1" hiddenRows="1" hiddenColumns="1" topLeftCell="BT13">
      <selection activeCell="BZ5" sqref="BZ5"/>
      <rowBreaks count="1" manualBreakCount="1">
        <brk id="43" max="16383" man="1"/>
      </rowBreaks>
      <pageMargins left="0.69930555555555596" right="0.69930555555555596" top="0.75" bottom="0.75" header="0.3" footer="0.3"/>
      <pageSetup paperSize="9" orientation="landscape" r:id="rId2"/>
    </customSheetView>
    <customSheetView guid="{849C46E5-4ED4-41B9-BDA9-A6465B9DA9C2}" scale="85" fitToPage="1" hiddenRows="1" hiddenColumns="1" topLeftCell="A9">
      <selection activeCell="CF16" sqref="CF16"/>
      <rowBreaks count="1" manualBreakCount="1">
        <brk id="43" max="16383" man="1"/>
      </rowBreaks>
      <pageMargins left="0.69930555555555596" right="0.69930555555555596" top="0.75" bottom="0.75" header="0.3" footer="0.3"/>
      <pageSetup paperSize="9" scale="52" fitToHeight="0" orientation="portrait" r:id="rId3"/>
    </customSheetView>
    <customSheetView guid="{8C09BCDE-4B8A-4469-B3F2-7F4528A2E78D}" scale="85" showPageBreaks="1" fitToPage="1" printArea="1" hiddenRows="1" hiddenColumns="1" topLeftCell="A9">
      <selection activeCell="CF16" sqref="CF16"/>
      <rowBreaks count="1" manualBreakCount="1">
        <brk id="43" max="16383" man="1"/>
      </rowBreaks>
      <pageMargins left="0.69930555555555596" right="0.69930555555555596" top="0.75" bottom="0.75" header="0.3" footer="0.3"/>
      <pageSetup paperSize="9" scale="52" fitToHeight="0" orientation="portrait" r:id="rId4"/>
    </customSheetView>
    <customSheetView guid="{F4EB51F4-FD23-4D5B-8072-1AF5D59D6686}" showPageBreaks="1" fitToPage="1" printArea="1" hiddenRows="1" hiddenColumns="1" topLeftCell="A43">
      <selection activeCell="BZ71" sqref="BZ71"/>
      <rowBreaks count="1" manualBreakCount="1">
        <brk id="43" max="16383" man="1"/>
      </rowBreaks>
      <pageMargins left="0.69930555555555596" right="0.69930555555555596" top="0.75" bottom="0.75" header="0.3" footer="0.3"/>
      <pageSetup paperSize="9" scale="52" fitToHeight="0" orientation="portrait" r:id="rId5"/>
    </customSheetView>
    <customSheetView guid="{D7BCFB76-2797-401D-A6F1-E020B5162DD4}" scale="85" fitToPage="1" hiddenRows="1" hiddenColumns="1">
      <selection activeCell="BZ15" sqref="BZ15"/>
      <rowBreaks count="1" manualBreakCount="1">
        <brk id="43" max="16383" man="1"/>
      </rowBreaks>
      <pageMargins left="0.69930555555555596" right="0.69930555555555596" top="0.75" bottom="0.75" header="0.3" footer="0.3"/>
      <pageSetup paperSize="9" scale="33" orientation="landscape" r:id="rId6"/>
    </customSheetView>
    <customSheetView guid="{C9A88430-3808-49F4-8D86-BF8C70C55441}" showPageBreaks="1" hiddenRows="1" hiddenColumns="1" topLeftCell="AV4">
      <selection activeCell="AX9" sqref="AX9"/>
      <rowBreaks count="1" manualBreakCount="1">
        <brk id="43" max="16383" man="1"/>
      </rowBreaks>
      <pageMargins left="0.69930555555555596" right="0.69930555555555596" top="0.75" bottom="0.75" header="0.3" footer="0.3"/>
      <pageSetup paperSize="9" orientation="landscape" r:id="rId7"/>
    </customSheetView>
    <customSheetView guid="{E61FFED3-723E-484A-93A0-94E1A801AF06}" showPageBreaks="1" hiddenRows="1" hiddenColumns="1">
      <selection activeCell="BA8" sqref="BA8"/>
      <rowBreaks count="1" manualBreakCount="1">
        <brk id="44" max="16383" man="1"/>
      </rowBreaks>
      <pageMargins left="0.69930555555555596" right="0.69930555555555596" top="0.75" bottom="0.75" header="0.3" footer="0.3"/>
      <pageSetup paperSize="9" orientation="landscape" r:id="rId8"/>
    </customSheetView>
    <customSheetView guid="{6B5CCA07-2BDD-4B8E-9E3C-2111BBA97430}" scale="70" hiddenColumns="1" topLeftCell="A22">
      <selection activeCell="CC53" sqref="CC53"/>
      <rowBreaks count="1" manualBreakCount="1">
        <brk id="43" max="16383" man="1"/>
      </rowBreaks>
      <pageMargins left="0.69930555555555596" right="0.69930555555555596" top="0.75" bottom="0.75" header="0.3" footer="0.3"/>
      <pageSetup paperSize="9" orientation="landscape" r:id="rId9"/>
    </customSheetView>
    <customSheetView guid="{2F47A827-9643-4D8A-AC5D-6B09D79AACF9}" showPageBreaks="1" hiddenRows="1" hiddenColumns="1" topLeftCell="W12">
      <selection activeCell="AG11" sqref="AG11"/>
      <rowBreaks count="1" manualBreakCount="1">
        <brk id="43" max="16383" man="1"/>
      </rowBreaks>
      <pageMargins left="0.69930555555555596" right="0.69930555555555596" top="0.75" bottom="0.75" header="0.3" footer="0.3"/>
      <pageSetup paperSize="9" orientation="landscape" r:id="rId10"/>
    </customSheetView>
    <customSheetView guid="{B37168A1-DBAB-4BDE-9F92-6261DCDF3D92}" showPageBreaks="1" fitToPage="1" printArea="1" hiddenRows="1" hiddenColumns="1">
      <selection activeCell="AT3" sqref="A3:AT44"/>
      <rowBreaks count="1" manualBreakCount="1">
        <brk id="43" max="16383" man="1"/>
      </rowBreaks>
      <pageMargins left="0.69930555555555596" right="0.69930555555555596" top="0.75" bottom="0.75" header="0.3" footer="0.3"/>
      <pageSetup paperSize="9" scale="80" fitToHeight="0" orientation="landscape" r:id="rId11"/>
    </customSheetView>
    <customSheetView guid="{AE0DD889-C13C-4059-8024-0F5B234827E9}" showPageBreaks="1" hiddenRows="1" hiddenColumns="1" topLeftCell="A23">
      <pane xSplit="12" topLeftCell="N1" activePane="topRight" state="frozen"/>
      <selection pane="topRight" activeCell="AQ14" sqref="AQ14"/>
      <rowBreaks count="1" manualBreakCount="1">
        <brk id="43" max="16383" man="1"/>
      </rowBreaks>
      <pageMargins left="0.69930555555555596" right="0.69930555555555596" top="0.75" bottom="0.75" header="0.3" footer="0.3"/>
      <pageSetup paperSize="9" orientation="landscape" r:id="rId12"/>
    </customSheetView>
    <customSheetView guid="{CCBBD9B0-4191-4D7A-9F7B-BAC044A49153}" showPageBreaks="1" fitToPage="1" printArea="1" hiddenColumns="1">
      <selection activeCell="O9" sqref="O9"/>
      <rowBreaks count="1" manualBreakCount="1">
        <brk id="43" max="16383" man="1"/>
      </rowBreaks>
      <pageMargins left="0.69930555555555596" right="0.69930555555555596" top="0.75" bottom="0.75" header="0.3" footer="0.3"/>
      <pageSetup paperSize="9" scale="41" fitToHeight="0" orientation="portrait"/>
    </customSheetView>
    <customSheetView guid="{F5F9735B-EE22-4AC6-B5AB-C856ED6C133D}" showPageBreaks="1" fitToPage="1" printArea="1" hiddenRows="1" hiddenColumns="1">
      <selection activeCell="AI28" sqref="AI28"/>
      <rowBreaks count="1" manualBreakCount="1">
        <brk id="43" max="16383" man="1"/>
      </rowBreaks>
      <pageMargins left="0.69930555555555596" right="0.69930555555555596" top="0.75" bottom="0.75" header="0.3" footer="0.3"/>
      <pageSetup paperSize="9" fitToHeight="0" orientation="landscape"/>
    </customSheetView>
    <customSheetView guid="{45B4C0D1-53B6-4553-BFF9-393760B8E0CE}" hiddenRows="1" hiddenColumns="1">
      <pane xSplit="10" ySplit="4" topLeftCell="L31" state="frozen"/>
      <selection activeCell="O64" sqref="O64"/>
      <rowBreaks count="1" manualBreakCount="1">
        <brk id="43" max="16383" man="1"/>
      </rowBreaks>
      <pageMargins left="0.69930555555555596" right="0.69930555555555596" top="0.75" bottom="0.75" header="0.3" footer="0.3"/>
      <pageSetup paperSize="9" orientation="landscape"/>
    </customSheetView>
    <customSheetView guid="{500C3980-ED13-4C97-96B1-955D50509B66}" showPageBreaks="1" fitToPage="1" printArea="1" hiddenRows="1" hiddenColumns="1">
      <selection activeCell="AT50" sqref="AT50"/>
      <rowBreaks count="1" manualBreakCount="1">
        <brk id="42" max="16383" man="1"/>
      </rowBreaks>
      <pageMargins left="0.69930555555555596" right="0.69930555555555596" top="0.75" bottom="0.75" header="0.3" footer="0.3"/>
      <pageSetup paperSize="9" scale="53" orientation="portrait"/>
    </customSheetView>
    <customSheetView guid="{3B943BAF-34C7-494A-A071-85DE0891E5A1}" showPageBreaks="1" fitToPage="1" printArea="1" hiddenColumns="1">
      <selection activeCell="L8" sqref="L8"/>
      <rowBreaks count="1" manualBreakCount="1">
        <brk id="43" max="16383" man="1"/>
      </rowBreaks>
      <pageMargins left="0.69930555555555596" right="0.69930555555555596" top="0.75" bottom="0.75" header="0.3" footer="0.3"/>
      <pageSetup paperSize="9" scale="20" fitToHeight="0" orientation="portrait"/>
    </customSheetView>
    <customSheetView guid="{EEE4B3DA-ADF6-49CC-9873-068FE5927B92}" showPageBreaks="1" hiddenRows="1" hiddenColumns="1">
      <selection activeCell="AS8" sqref="AS8"/>
      <rowBreaks count="1" manualBreakCount="1">
        <brk id="43" max="16383" man="1"/>
      </rowBreaks>
      <pageMargins left="0.69930555555555596" right="0.69930555555555596" top="0.75" bottom="0.75" header="0.3" footer="0.3"/>
      <pageSetup paperSize="9" orientation="landscape"/>
    </customSheetView>
    <customSheetView guid="{C52D0F53-4D1D-4D01-B833-260359FD02A5}" showPageBreaks="1" fitToPage="1" printArea="1" hiddenRows="1" hiddenColumns="1" topLeftCell="A9">
      <selection activeCell="AO68" sqref="AO68"/>
      <rowBreaks count="1" manualBreakCount="1">
        <brk id="43" max="16383" man="1"/>
      </rowBreaks>
      <pageMargins left="0.69930555555555596" right="0.69930555555555596" top="0.75" bottom="0.75" header="0.3" footer="0.3"/>
      <pageSetup paperSize="9" scale="16" fitToHeight="0" orientation="portrait" r:id="rId13"/>
    </customSheetView>
    <customSheetView guid="{6A1E79C9-91E3-4EEA-8ABB-4446083299EC}" showPageBreaks="1" hiddenRows="1" hiddenColumns="1">
      <pane xSplit="9" ySplit="4" topLeftCell="L5"/>
      <selection activeCell="Q12" sqref="Q12"/>
      <rowBreaks count="1" manualBreakCount="1">
        <brk id="43" max="16383" man="1"/>
      </rowBreaks>
      <pageMargins left="0.69930555555555596" right="0.69930555555555596" top="0.75" bottom="0.75" header="0.3" footer="0.3"/>
      <pageSetup paperSize="9" orientation="landscape" r:id="rId14"/>
    </customSheetView>
    <customSheetView guid="{8B80B510-C931-46B1-8591-DEA916D76593}" fitToPage="1" hiddenColumns="1">
      <selection activeCell="CA62" sqref="CA62"/>
      <rowBreaks count="1" manualBreakCount="1">
        <brk id="43" max="16383" man="1"/>
      </rowBreaks>
      <pageMargins left="0.69930555555555596" right="0.69930555555555596" top="0.75" bottom="0.75" header="0.3" footer="0.3"/>
      <pageSetup paperSize="9" scale="56" fitToHeight="0" orientation="portrait" r:id="rId15"/>
    </customSheetView>
    <customSheetView guid="{303A9D89-611D-4504-BCAA-071C53B021F7}" showPageBreaks="1" hiddenRows="1" hiddenColumns="1">
      <selection activeCell="AT69" sqref="AT69"/>
      <rowBreaks count="1" manualBreakCount="1">
        <brk id="44" max="16383" man="1"/>
      </rowBreaks>
      <pageMargins left="0.69930555555555596" right="0.69930555555555596" top="0.75" bottom="0.75" header="0.3" footer="0.3"/>
      <pageSetup paperSize="9" orientation="landscape" r:id="rId16"/>
    </customSheetView>
    <customSheetView guid="{4583A87D-5DFF-47BD-849A-FA4AAF2B9CE3}" showPageBreaks="1" fitToPage="1" printArea="1" hiddenColumns="1" topLeftCell="A46">
      <selection activeCell="M57" sqref="L57:M57"/>
      <rowBreaks count="1" manualBreakCount="1">
        <brk id="43" max="16383" man="1"/>
      </rowBreaks>
      <pageMargins left="0.69930555555555596" right="0.69930555555555596" top="0.75" bottom="0.75" header="0.3" footer="0.3"/>
      <pageSetup paperSize="9" scale="10" fitToHeight="0" orientation="portrait" r:id="rId17"/>
    </customSheetView>
    <customSheetView guid="{EA856AC2-CDFF-46B6-B0C4-30449DF132F4}" showPageBreaks="1" hiddenRows="1" hiddenColumns="1">
      <selection activeCell="BZ5" sqref="BZ5"/>
      <rowBreaks count="1" manualBreakCount="1">
        <brk id="43" max="16383" man="1"/>
      </rowBreaks>
      <pageMargins left="0.69930555555555596" right="0.69930555555555596" top="0.75" bottom="0.75" header="0.3" footer="0.3"/>
      <pageSetup paperSize="9" orientation="landscape" r:id="rId18"/>
    </customSheetView>
    <customSheetView guid="{322A45A6-8B26-49B8-A4D9-EFB3C94A758D}" showPageBreaks="1" hiddenRows="1" hiddenColumns="1" topLeftCell="A23">
      <pane xSplit="57" topLeftCell="BG1" activePane="topRight" state="frozen"/>
      <selection pane="topRight" activeCell="BL13" sqref="BL13"/>
      <rowBreaks count="1" manualBreakCount="1">
        <brk id="43" max="16383" man="1"/>
      </rowBreaks>
      <pageMargins left="0.69930555555555596" right="0.69930555555555596" top="0.75" bottom="0.75" header="0.3" footer="0.3"/>
      <pageSetup paperSize="9" orientation="landscape" r:id="rId19"/>
    </customSheetView>
  </customSheetViews>
  <mergeCells count="31">
    <mergeCell ref="Q97:S97"/>
    <mergeCell ref="Q98:S98"/>
    <mergeCell ref="Q99:S99"/>
    <mergeCell ref="A3:A4"/>
    <mergeCell ref="AF3:AH3"/>
    <mergeCell ref="B3:D3"/>
    <mergeCell ref="E3:G3"/>
    <mergeCell ref="H3:J3"/>
    <mergeCell ref="K3:M3"/>
    <mergeCell ref="N3:P3"/>
    <mergeCell ref="AI3:AK3"/>
    <mergeCell ref="AL3:AN3"/>
    <mergeCell ref="BY3:CA3"/>
    <mergeCell ref="Q96:S96"/>
    <mergeCell ref="Q3:S3"/>
    <mergeCell ref="T3:V3"/>
    <mergeCell ref="W3:Y3"/>
    <mergeCell ref="Z3:AB3"/>
    <mergeCell ref="AC3:AE3"/>
    <mergeCell ref="AO3:AQ3"/>
    <mergeCell ref="AR3:AT3"/>
    <mergeCell ref="AU3:AW3"/>
    <mergeCell ref="AX3:AZ3"/>
    <mergeCell ref="BA3:BC3"/>
    <mergeCell ref="BD3:BF3"/>
    <mergeCell ref="BG3:BI3"/>
    <mergeCell ref="BJ3:BL3"/>
    <mergeCell ref="BM3:BO3"/>
    <mergeCell ref="BP3:BR3"/>
    <mergeCell ref="BS3:BU3"/>
    <mergeCell ref="BV3:BX3"/>
  </mergeCells>
  <phoneticPr fontId="133" type="noConversion"/>
  <pageMargins left="0.69930555555555596" right="0.69930555555555596" top="0.75" bottom="0.75" header="0.3" footer="0.3"/>
  <pageSetup paperSize="9" orientation="landscape" r:id="rId20"/>
  <rowBreaks count="1" manualBreakCount="1">
    <brk id="43" max="16383" man="1"/>
  </rowBreaks>
  <legacyDrawing r:id="rId2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B060C-0C2B-4858-A2E8-93BDA6934C3B}">
  <dimension ref="A1:AH121"/>
  <sheetViews>
    <sheetView topLeftCell="J1" zoomScaleNormal="100" workbookViewId="0">
      <selection activeCell="I34" sqref="I34"/>
    </sheetView>
  </sheetViews>
  <sheetFormatPr defaultRowHeight="14.25"/>
  <cols>
    <col min="1" max="1" width="27.75" customWidth="1"/>
    <col min="2" max="2" width="14.75" customWidth="1"/>
    <col min="3" max="3" width="16.25" customWidth="1"/>
    <col min="4" max="4" width="14.375" customWidth="1"/>
    <col min="5" max="5" width="17.875" customWidth="1"/>
    <col min="6" max="6" width="13.375" customWidth="1"/>
    <col min="7" max="7" width="13.75" customWidth="1"/>
    <col min="8" max="8" width="12.375" customWidth="1"/>
    <col min="9" max="9" width="12.125" customWidth="1"/>
    <col min="10" max="11" width="12.75" customWidth="1"/>
    <col min="12" max="12" width="9.5" customWidth="1"/>
    <col min="13" max="14" width="22" bestFit="1" customWidth="1"/>
    <col min="15" max="15" width="19" customWidth="1"/>
    <col min="16" max="16" width="17.875" customWidth="1"/>
    <col min="17" max="17" width="17.125" customWidth="1"/>
    <col min="18" max="18" width="15" customWidth="1"/>
    <col min="19" max="19" width="19.25" customWidth="1"/>
    <col min="20" max="20" width="17.875" customWidth="1"/>
  </cols>
  <sheetData>
    <row r="1" spans="1:21">
      <c r="A1" s="2217">
        <v>2021</v>
      </c>
      <c r="B1" s="2217">
        <f>IF(A2=1,A1-1,A1)</f>
        <v>2021</v>
      </c>
      <c r="C1" s="2217"/>
      <c r="D1" s="2217" t="s">
        <v>1370</v>
      </c>
      <c r="E1" s="2217" t="s">
        <v>1371</v>
      </c>
      <c r="F1" s="2217" t="s">
        <v>1372</v>
      </c>
      <c r="G1" s="2217" t="s">
        <v>1383</v>
      </c>
      <c r="H1" s="2217" t="s">
        <v>1384</v>
      </c>
      <c r="I1" s="2217" t="s">
        <v>1385</v>
      </c>
      <c r="J1" s="2217" t="s">
        <v>1392</v>
      </c>
    </row>
    <row r="2" spans="1:21">
      <c r="A2" s="2217">
        <f>'#经营概况'!B2</f>
        <v>8</v>
      </c>
      <c r="B2" s="2217">
        <f>IF(A2=1,12,A2-1)</f>
        <v>7</v>
      </c>
    </row>
    <row r="3" spans="1:21">
      <c r="A3" s="2024" t="s">
        <v>1373</v>
      </c>
      <c r="B3" s="2201" t="s">
        <v>1245</v>
      </c>
      <c r="C3" s="1828" t="s">
        <v>1381</v>
      </c>
      <c r="D3" s="1828" t="s">
        <v>1382</v>
      </c>
      <c r="E3" s="1828" t="s">
        <v>1380</v>
      </c>
      <c r="F3" s="2201" t="str">
        <f>$B$2&amp;"月"</f>
        <v>7月</v>
      </c>
      <c r="G3" s="2201" t="str">
        <f>$A$2&amp;"月"</f>
        <v>8月</v>
      </c>
      <c r="H3" s="2723" t="s">
        <v>1140</v>
      </c>
      <c r="I3" s="2724"/>
      <c r="J3" s="2724"/>
      <c r="K3" s="2725"/>
      <c r="L3" s="2723" t="s">
        <v>1386</v>
      </c>
      <c r="M3" s="2724"/>
      <c r="N3" s="2724"/>
      <c r="O3" s="2725"/>
      <c r="P3" s="2201" t="s">
        <v>1133</v>
      </c>
      <c r="Q3" s="2597" t="s">
        <v>1387</v>
      </c>
      <c r="R3" s="2597"/>
      <c r="S3" s="2597"/>
      <c r="T3" s="2597"/>
    </row>
    <row r="4" spans="1:21" ht="20.25">
      <c r="A4" s="2214" t="s">
        <v>1374</v>
      </c>
      <c r="B4" s="2200" t="s">
        <v>1246</v>
      </c>
      <c r="C4" s="2202">
        <f>ROUND('#经营概况'!D89,1)</f>
        <v>109.2</v>
      </c>
      <c r="D4" s="2202">
        <f>ROUND('#经营概况'!E89,1)</f>
        <v>863.4</v>
      </c>
      <c r="E4" s="2202">
        <f>ROUND('#经营概况'!F89,1)</f>
        <v>1395</v>
      </c>
      <c r="F4" s="2202">
        <f>ROUND('#经营概况'!G89,1)</f>
        <v>111.7</v>
      </c>
      <c r="G4" s="2202">
        <f>ROUND('#经营概况'!H89,1)</f>
        <v>112.7</v>
      </c>
      <c r="H4" s="2202" t="str">
        <f>IF(I4&gt;=0,"增加","减少")</f>
        <v>增加</v>
      </c>
      <c r="I4" s="2202">
        <f>ROUND(G4-F4,1)</f>
        <v>1</v>
      </c>
      <c r="J4" s="2202" t="str">
        <f>IF(K4&gt;=0,"增幅","降幅")</f>
        <v>增幅</v>
      </c>
      <c r="K4" s="2203">
        <f>I4/F4</f>
        <v>8.9525514771709933E-3</v>
      </c>
      <c r="L4" s="2202" t="str">
        <f>IF(M4&gt;=0,"增加","减少")</f>
        <v>增加</v>
      </c>
      <c r="M4" s="2202">
        <f>G4-C4</f>
        <v>3.5</v>
      </c>
      <c r="N4" s="2202" t="str">
        <f t="shared" ref="N4:N11" si="0">IF(O4&gt;=0,"增幅","降幅")</f>
        <v>增幅</v>
      </c>
      <c r="O4" s="2203">
        <f>M4/C4</f>
        <v>3.2051282051282048E-2</v>
      </c>
      <c r="P4" s="2215">
        <f>ROUND('#经营概况'!M326,1)</f>
        <v>943.6</v>
      </c>
      <c r="Q4" s="2202" t="str">
        <f>IF(R4&gt;=0,"增加","减少")</f>
        <v>增加</v>
      </c>
      <c r="R4" s="2202">
        <f>ROUND(P4-D4,1)</f>
        <v>80.2</v>
      </c>
      <c r="S4" s="2202" t="str">
        <f t="shared" ref="S4:S8" si="1">IF(T4&gt;=0,"增幅","降幅")</f>
        <v>增幅</v>
      </c>
      <c r="T4" s="2203">
        <f>R4/D4</f>
        <v>9.2888580032429932E-2</v>
      </c>
      <c r="U4" s="2198" t="str">
        <f>$G$3&amp;A4&amp;$A$3&amp;G4&amp;B4&amp;$D$1&amp;$H$3&amp;H4&amp;ABS(I4)&amp;B4&amp;$G$1&amp;J4&amp;ABS(ROUND(K4*100,2))&amp;$I$1&amp;$H$1&amp;$D$1&amp;$L$3&amp;L4&amp;ABS(M4)&amp;B4&amp;$G$1&amp;N4&amp;ABS(ROUND(O4*100,2))&amp;$I$1&amp;$H$1&amp;$E$1&amp;$P$3&amp;$A$3&amp;P4&amp;B4&amp;$D$1&amp;$Q$3&amp;Q4&amp;ABS(R4)&amp;B4&amp;$G$1&amp;S4&amp;ABS(ROUND(T4*100,2))&amp;$I$1&amp;$H$1&amp;$F$1</f>
        <v>8月精矿粉产量112.7万吨，比上月增加1万吨(增幅0.9%)，比同期增加3.5万吨(增幅3.21%)；累计产量943.6万吨，比去年同期增加80.2万吨(增幅9.29%)。</v>
      </c>
    </row>
    <row r="5" spans="1:21" ht="20.25">
      <c r="A5" s="2200" t="s">
        <v>1375</v>
      </c>
      <c r="B5" s="2200" t="s">
        <v>1246</v>
      </c>
      <c r="C5" s="2202">
        <f>ROUND('#经营概况'!D114,1)</f>
        <v>93.9</v>
      </c>
      <c r="D5" s="2202">
        <f>ROUND('#经营概况'!E114,1)</f>
        <v>818.6</v>
      </c>
      <c r="E5" s="2202">
        <f>ROUND('#经营概况'!F114,1)</f>
        <v>1525</v>
      </c>
      <c r="F5" s="2202">
        <f>ROUND('#经营概况'!G114,1)</f>
        <v>125.4</v>
      </c>
      <c r="G5" s="2202">
        <f>ROUND('#经营概况'!H114,1)</f>
        <v>124.2</v>
      </c>
      <c r="H5" s="2202" t="str">
        <f t="shared" ref="H5:H8" si="2">IF(I5&gt;=0,"增加","减少")</f>
        <v>减少</v>
      </c>
      <c r="I5" s="2202">
        <f t="shared" ref="I5:I11" si="3">ROUND(G5-F5,1)</f>
        <v>-1.2</v>
      </c>
      <c r="J5" s="2202" t="str">
        <f t="shared" ref="J5:J11" si="4">IF(K5&gt;=0,"增幅","降幅")</f>
        <v>降幅</v>
      </c>
      <c r="K5" s="2203">
        <f t="shared" ref="K5:K11" si="5">I5/F5</f>
        <v>-9.5693779904306216E-3</v>
      </c>
      <c r="L5" s="2202" t="str">
        <f t="shared" ref="L5" si="6">IF(M5&gt;=0,"增加","减少")</f>
        <v>增加</v>
      </c>
      <c r="M5" s="2202">
        <f>G5-C5</f>
        <v>30.299999999999997</v>
      </c>
      <c r="N5" s="2202" t="str">
        <f t="shared" si="0"/>
        <v>增幅</v>
      </c>
      <c r="O5" s="2203">
        <f t="shared" ref="O5:O11" si="7">M5/C5</f>
        <v>0.32268370607028751</v>
      </c>
      <c r="P5" s="2215">
        <f>ROUND('#经营概况'!M331,1)</f>
        <v>970.9</v>
      </c>
      <c r="Q5" s="2202" t="str">
        <f t="shared" ref="Q5" si="8">IF(R5&gt;=0,"增加","减少")</f>
        <v>增加</v>
      </c>
      <c r="R5" s="2202">
        <f t="shared" ref="R5:R8" si="9">ROUND(P5-D5,1)</f>
        <v>152.30000000000001</v>
      </c>
      <c r="S5" s="2202" t="str">
        <f t="shared" si="1"/>
        <v>增幅</v>
      </c>
      <c r="T5" s="2203">
        <f t="shared" ref="T5:T11" si="10">R5/D5</f>
        <v>0.18604935255313951</v>
      </c>
      <c r="U5" s="2198" t="str">
        <f>$G$3&amp;A5&amp;$A$3&amp;G5&amp;B5&amp;$D$1&amp;$H$3&amp;H5&amp;ABS(I5)&amp;B5&amp;$G$1&amp;J5&amp;ABS(ROUND(K5*100,2))&amp;$I$1&amp;$H$1&amp;$D$1&amp;$L$3&amp;L5&amp;ABS(M5)&amp;B5&amp;$G$1&amp;N5&amp;ABS(ROUND(O5*100,2))&amp;$I$1&amp;$H$1&amp;$E$1&amp;$P$3&amp;$A$3&amp;P5&amp;B5&amp;$D$1&amp;$Q$3&amp;Q5&amp;ABS(R5)&amp;B5&amp;$G$1&amp;S5&amp;ABS(ROUND(T5*100,2))&amp;$I$1&amp;$H$1&amp;$F$1</f>
        <v>8月粗钢产量124.2万吨，比上月减少1.2万吨(降幅0.96%)，比同期增加30.3万吨(增幅32.27%)；累计产量970.9万吨，比去年同期增加152.3万吨(增幅18.6%)。</v>
      </c>
    </row>
    <row r="6" spans="1:21" ht="20.25">
      <c r="A6" s="2200" t="s">
        <v>1378</v>
      </c>
      <c r="B6" s="2200" t="s">
        <v>1246</v>
      </c>
      <c r="C6" s="2202">
        <f>ROUND('#经营概况'!D117,1)</f>
        <v>52.7</v>
      </c>
      <c r="D6" s="2202">
        <f>ROUND('#经营概况'!E117,1)</f>
        <v>387.5</v>
      </c>
      <c r="E6" s="2202">
        <f>ROUND('#经营概况'!F117,1)</f>
        <v>650</v>
      </c>
      <c r="F6" s="2202">
        <f>ROUND('#经营概况'!G117,1)</f>
        <v>52.1</v>
      </c>
      <c r="G6" s="2202">
        <f>ROUND('#经营概况'!H117,1)</f>
        <v>53.1</v>
      </c>
      <c r="H6" s="2202" t="str">
        <f t="shared" si="2"/>
        <v>增加</v>
      </c>
      <c r="I6" s="2202">
        <f t="shared" si="3"/>
        <v>1</v>
      </c>
      <c r="J6" s="2202" t="str">
        <f t="shared" si="4"/>
        <v>增幅</v>
      </c>
      <c r="K6" s="2203">
        <f t="shared" si="5"/>
        <v>1.9193857965451054E-2</v>
      </c>
      <c r="L6" s="2202" t="str">
        <f t="shared" ref="L6" si="11">IF(M6&gt;=0,"增加","减少")</f>
        <v>增加</v>
      </c>
      <c r="M6" s="2202">
        <f>G6-C6</f>
        <v>0.39999999999999858</v>
      </c>
      <c r="N6" s="2202" t="str">
        <f t="shared" si="0"/>
        <v>增幅</v>
      </c>
      <c r="O6" s="2203">
        <f t="shared" si="7"/>
        <v>7.5901328273244506E-3</v>
      </c>
      <c r="P6" s="2215">
        <f>ROUND('#经营概况'!M334,1)</f>
        <v>400.8</v>
      </c>
      <c r="Q6" s="2202" t="str">
        <f t="shared" ref="Q6" si="12">IF(R6&gt;=0,"增加","减少")</f>
        <v>增加</v>
      </c>
      <c r="R6" s="2202">
        <f t="shared" si="9"/>
        <v>13.3</v>
      </c>
      <c r="S6" s="2202" t="str">
        <f t="shared" si="1"/>
        <v>增幅</v>
      </c>
      <c r="T6" s="2203">
        <f t="shared" si="10"/>
        <v>3.4322580645161291E-2</v>
      </c>
      <c r="U6" s="2198" t="str">
        <f>A6&amp;$A$3&amp;G6&amp;B6&amp;$D$1&amp;$H$3&amp;H6&amp;ABS(I6)&amp;B6&amp;$G$1&amp;J6&amp;ABS(ROUND(K6*100,2))&amp;$I$1&amp;$H$1&amp;$D$1&amp;$L$3&amp;L6&amp;ABS(M6)&amp;B6&amp;$G$1&amp;N6&amp;ABS(ROUND(O6*100,2))&amp;$I$1&amp;$H$1&amp;$E$1&amp;$P$3&amp;$A$3&amp;P6&amp;B6&amp;$D$1&amp;$Q$3&amp;Q6&amp;ABS(R6)&amp;B6&amp;$G$1&amp;S6&amp;ABS(ROUND(T6*100,2))&amp;$I$1&amp;$H$1&amp;$F$1</f>
        <v>其中不锈钢产量53.1万吨，比上月增加1万吨(增幅1.92%)，比同期增加0.399999999999999万吨(增幅0.76%)；累计产量400.8万吨，比去年同期增加13.3万吨(增幅3.43%)。</v>
      </c>
    </row>
    <row r="7" spans="1:21" ht="20.25">
      <c r="A7" s="2200" t="s">
        <v>1376</v>
      </c>
      <c r="B7" s="2200" t="s">
        <v>1246</v>
      </c>
      <c r="C7" s="2202">
        <f>ROUND('#经营概况'!D123,1)</f>
        <v>90.3</v>
      </c>
      <c r="D7" s="2202">
        <f>ROUND('#经营概况'!E123,1)</f>
        <v>793.5</v>
      </c>
      <c r="E7" s="2202">
        <f>ROUND('#经营概况'!F123,1)</f>
        <v>1515</v>
      </c>
      <c r="F7" s="2202">
        <f>ROUND('#经营概况'!G123,1)</f>
        <v>122.5</v>
      </c>
      <c r="G7" s="2202">
        <f>ROUND('#经营概况'!H123,1)</f>
        <v>123.2</v>
      </c>
      <c r="H7" s="2202" t="str">
        <f t="shared" si="2"/>
        <v>增加</v>
      </c>
      <c r="I7" s="2202">
        <f t="shared" si="3"/>
        <v>0.7</v>
      </c>
      <c r="J7" s="2202" t="str">
        <f t="shared" si="4"/>
        <v>增幅</v>
      </c>
      <c r="K7" s="2203">
        <f t="shared" si="5"/>
        <v>5.7142857142857143E-3</v>
      </c>
      <c r="L7" s="2202" t="str">
        <f t="shared" ref="L7" si="13">IF(M7&gt;=0,"增加","减少")</f>
        <v>增加</v>
      </c>
      <c r="M7" s="2202">
        <f>G7-C7</f>
        <v>32.900000000000006</v>
      </c>
      <c r="N7" s="2202" t="str">
        <f t="shared" si="0"/>
        <v>增幅</v>
      </c>
      <c r="O7" s="2203">
        <f t="shared" si="7"/>
        <v>0.36434108527131792</v>
      </c>
      <c r="P7" s="2215">
        <f>ROUND('#经营概况'!M337,1)</f>
        <v>959.7</v>
      </c>
      <c r="Q7" s="2202" t="str">
        <f t="shared" ref="Q7" si="14">IF(R7&gt;=0,"增加","减少")</f>
        <v>增加</v>
      </c>
      <c r="R7" s="2202">
        <f t="shared" si="9"/>
        <v>166.2</v>
      </c>
      <c r="S7" s="2202" t="str">
        <f t="shared" si="1"/>
        <v>增幅</v>
      </c>
      <c r="T7" s="2203">
        <f t="shared" si="10"/>
        <v>0.20945179584120982</v>
      </c>
      <c r="U7" s="2198" t="str">
        <f>$G$3&amp;A7&amp;$A$3&amp;G7&amp;B7&amp;$D$1&amp;$H$3&amp;H7&amp;ABS(I7)&amp;B7&amp;$G$1&amp;J7&amp;ABS(ROUND(K7*100,2))&amp;$I$1&amp;$H$1&amp;$D$1&amp;$L$3&amp;L7&amp;ABS(M7)&amp;B7&amp;$G$1&amp;N7&amp;ABS(ROUND(O7*100,2))&amp;$I$1&amp;$H$1&amp;$E$1&amp;$P$3&amp;$A$3&amp;P7&amp;B7&amp;$D$1&amp;$Q$3&amp;Q7&amp;ABS(R7)&amp;B7&amp;$G$1&amp;S7&amp;ABS(ROUND(T7*100,2))&amp;$I$1&amp;$H$1&amp;$F$1</f>
        <v>8月钢材产量123.2万吨，比上月增加0.7万吨(增幅0.57%)，比同期增加32.9万吨(增幅36.43%)；累计产量959.7万吨，比去年同期增加166.2万吨(增幅20.95%)。</v>
      </c>
    </row>
    <row r="8" spans="1:21" ht="20.25">
      <c r="A8" s="2200" t="s">
        <v>1379</v>
      </c>
      <c r="B8" s="2200" t="s">
        <v>1246</v>
      </c>
      <c r="C8" s="2202">
        <f>ROUND('#经营概况'!D128,1)</f>
        <v>47.8</v>
      </c>
      <c r="D8" s="2202">
        <f>ROUND('#经营概况'!E128,1)</f>
        <v>390.1</v>
      </c>
      <c r="E8" s="2202">
        <f>ROUND('#经营概况'!F128,1)</f>
        <v>671</v>
      </c>
      <c r="F8" s="2202">
        <f>ROUND('#经营概况'!G128,1)</f>
        <v>49.8</v>
      </c>
      <c r="G8" s="2202">
        <f>ROUND('#经营概况'!H128,1)</f>
        <v>53.1</v>
      </c>
      <c r="H8" s="2202" t="str">
        <f t="shared" si="2"/>
        <v>增加</v>
      </c>
      <c r="I8" s="2202">
        <f t="shared" si="3"/>
        <v>3.3</v>
      </c>
      <c r="J8" s="2202" t="str">
        <f t="shared" si="4"/>
        <v>增幅</v>
      </c>
      <c r="K8" s="2203">
        <f t="shared" si="5"/>
        <v>6.6265060240963861E-2</v>
      </c>
      <c r="L8" s="2202" t="str">
        <f t="shared" ref="L8" si="15">IF(M8&gt;=0,"增加","减少")</f>
        <v>增加</v>
      </c>
      <c r="M8" s="2202">
        <f>G8-C8</f>
        <v>5.3000000000000043</v>
      </c>
      <c r="N8" s="2202" t="str">
        <f t="shared" si="0"/>
        <v>增幅</v>
      </c>
      <c r="O8" s="2203">
        <f t="shared" si="7"/>
        <v>0.1108786610878662</v>
      </c>
      <c r="P8" s="2215">
        <f>ROUND('#经营概况'!M342,1)</f>
        <v>411.9</v>
      </c>
      <c r="Q8" s="2202" t="str">
        <f t="shared" ref="Q8" si="16">IF(R8&gt;=0,"增加","减少")</f>
        <v>增加</v>
      </c>
      <c r="R8" s="2202">
        <f t="shared" si="9"/>
        <v>21.8</v>
      </c>
      <c r="S8" s="2202" t="str">
        <f t="shared" si="1"/>
        <v>增幅</v>
      </c>
      <c r="T8" s="2203">
        <f t="shared" si="10"/>
        <v>5.5883106895667778E-2</v>
      </c>
      <c r="U8" s="2198" t="str">
        <f>A8&amp;$A$3&amp;G8&amp;B8&amp;$D$1&amp;$H$3&amp;H8&amp;ABS(I8)&amp;B8&amp;$G$1&amp;J8&amp;ABS(ROUND(K8*100,2))&amp;$I$1&amp;$H$1&amp;$D$1&amp;$L$3&amp;L8&amp;ABS(ROUND(M8,2))&amp;B8&amp;$G$1&amp;N8&amp;ABS(ROUND(O8*100,2))&amp;$I$1&amp;$H$1&amp;$E$1&amp;$P$3&amp;$A$3&amp;P8&amp;B8&amp;$D$1&amp;$Q$3&amp;Q8&amp;ABS(R8)&amp;B8&amp;$G$1&amp;S8&amp;ABS(ROUND(T8*100,2))&amp;$I$1&amp;$H$1&amp;$F$1</f>
        <v>其中不锈材产量53.1万吨，比上月增加3.3万吨(增幅6.63%)，比同期增加5.3万吨(增幅11.09%)；累计产量411.9万吨，比去年同期增加21.8万吨(增幅5.59%)。</v>
      </c>
    </row>
    <row r="9" spans="1:21" ht="23.25" customHeight="1">
      <c r="A9" s="2024" t="s">
        <v>1377</v>
      </c>
      <c r="B9" s="2200" t="s">
        <v>1246</v>
      </c>
      <c r="C9" s="2200"/>
      <c r="D9" s="2200"/>
      <c r="E9" s="2200"/>
      <c r="F9" s="2200"/>
      <c r="G9" s="2200"/>
      <c r="H9" s="2200"/>
      <c r="I9" s="2200"/>
      <c r="J9" s="2200"/>
      <c r="K9" s="2200"/>
      <c r="L9" s="2200"/>
      <c r="M9" s="2200"/>
      <c r="N9" s="2200"/>
      <c r="O9" s="2200"/>
      <c r="P9" s="2215"/>
      <c r="Q9" s="2200"/>
      <c r="R9" s="2200"/>
      <c r="S9" s="2200"/>
      <c r="T9" s="2203"/>
    </row>
    <row r="10" spans="1:21" ht="24.75" customHeight="1">
      <c r="A10" s="2200" t="s">
        <v>1376</v>
      </c>
      <c r="B10" s="2200" t="s">
        <v>1246</v>
      </c>
      <c r="C10" s="2202">
        <f>ROUND('#经营概况'!E348,1)</f>
        <v>93.5</v>
      </c>
      <c r="D10" s="2202">
        <f>ROUND('#经营概况'!F348,1)</f>
        <v>791</v>
      </c>
      <c r="E10" s="2202">
        <f>ROUND('#经营概况'!G348,1)</f>
        <v>1515</v>
      </c>
      <c r="F10" s="2202">
        <f>ROUND('#经营概况'!H348,1)</f>
        <v>125.4</v>
      </c>
      <c r="G10" s="2202">
        <f>ROUND('#经营概况'!I348,1)</f>
        <v>122.6</v>
      </c>
      <c r="H10" s="2202" t="str">
        <f t="shared" ref="H10:H11" si="17">IF(I10&gt;=0,"增加","减少")</f>
        <v>减少</v>
      </c>
      <c r="I10" s="2202">
        <f t="shared" si="3"/>
        <v>-2.8</v>
      </c>
      <c r="J10" s="2202" t="str">
        <f t="shared" si="4"/>
        <v>降幅</v>
      </c>
      <c r="K10" s="2203">
        <f t="shared" si="5"/>
        <v>-2.2328548644338114E-2</v>
      </c>
      <c r="L10" s="2202" t="str">
        <f t="shared" ref="L10" si="18">IF(M10&gt;=0,"增加","减少")</f>
        <v>增加</v>
      </c>
      <c r="M10" s="2202">
        <f>G10-C10</f>
        <v>29.099999999999994</v>
      </c>
      <c r="N10" s="2202" t="str">
        <f t="shared" si="0"/>
        <v>增幅</v>
      </c>
      <c r="O10" s="2202">
        <f t="shared" si="7"/>
        <v>0.3112299465240641</v>
      </c>
      <c r="P10" s="2215">
        <f>ROUND('#经营概况'!M348,1)</f>
        <v>961.6</v>
      </c>
      <c r="Q10" s="2202" t="str">
        <f t="shared" ref="Q10" si="19">IF(R10&gt;=0,"增加","减少")</f>
        <v>增加</v>
      </c>
      <c r="R10" s="2202">
        <f>ROUND(P10-D10,1)</f>
        <v>170.6</v>
      </c>
      <c r="S10" s="2202" t="str">
        <f t="shared" ref="S10:S11" si="20">IF(T10&gt;=0,"增幅","降幅")</f>
        <v>增幅</v>
      </c>
      <c r="T10" s="2203">
        <f t="shared" si="10"/>
        <v>0.21567635903919088</v>
      </c>
      <c r="U10" s="2198" t="str">
        <f>$G$3&amp;A10&amp;$A$9&amp;G10&amp;B10&amp;$D$1&amp;$H$3&amp;H10&amp;ABS(I10)&amp;B10&amp;$G$1&amp;J10&amp;ABS(ROUND(K10*100,2))&amp;$I$1&amp;$H$1&amp;$D$1&amp;$L$3&amp;L10&amp;ABS(M10)&amp;B10&amp;$G$1&amp;N10&amp;ABS(ROUND(O10*100,2))&amp;$I$1&amp;$H$1&amp;$E$1&amp;$P$3&amp;$A$9&amp;P10&amp;B10&amp;$D$1&amp;$Q$3&amp;Q10&amp;ABS(R10)&amp;B10&amp;$G$1&amp;S10&amp;ABS(ROUND(T10*100,2))&amp;$I$1&amp;$H$1&amp;$E$1</f>
        <v>8月钢材销量122.6万吨，比上月减少2.8万吨(降幅2.23%)，比同期增加29.1万吨(增幅31.12%)；累计销量961.6万吨，比去年同期增加170.6万吨(增幅21.57%)；</v>
      </c>
    </row>
    <row r="11" spans="1:21" ht="24" customHeight="1">
      <c r="A11" s="2200" t="s">
        <v>1379</v>
      </c>
      <c r="B11" s="2200" t="s">
        <v>1246</v>
      </c>
      <c r="C11" s="2202">
        <f>ROUND('#经营概况'!E353,1)</f>
        <v>49.9</v>
      </c>
      <c r="D11" s="2202">
        <f>ROUND('#经营概况'!F353,1)</f>
        <v>392</v>
      </c>
      <c r="E11" s="2202">
        <f>ROUND('#经营概况'!G353,1)</f>
        <v>671</v>
      </c>
      <c r="F11" s="2202">
        <f>ROUND('#经营概况'!H353,1)</f>
        <v>58.7</v>
      </c>
      <c r="G11" s="2202">
        <f>ROUND('#经营概况'!I353,1)</f>
        <v>52.5</v>
      </c>
      <c r="H11" s="2202" t="str">
        <f t="shared" si="17"/>
        <v>减少</v>
      </c>
      <c r="I11" s="2202">
        <f t="shared" si="3"/>
        <v>-6.2</v>
      </c>
      <c r="J11" s="2202" t="str">
        <f t="shared" si="4"/>
        <v>降幅</v>
      </c>
      <c r="K11" s="2203">
        <f t="shared" si="5"/>
        <v>-0.10562180579216354</v>
      </c>
      <c r="L11" s="2202" t="str">
        <f t="shared" ref="L11" si="21">IF(M11&gt;=0,"增加","减少")</f>
        <v>增加</v>
      </c>
      <c r="M11" s="2202">
        <f>G11-C11</f>
        <v>2.6000000000000014</v>
      </c>
      <c r="N11" s="2202" t="str">
        <f t="shared" si="0"/>
        <v>增幅</v>
      </c>
      <c r="O11" s="2202">
        <f t="shared" si="7"/>
        <v>5.2104208416833699E-2</v>
      </c>
      <c r="P11" s="2215">
        <f>ROUND('#经营概况'!M353,1)</f>
        <v>412.4</v>
      </c>
      <c r="Q11" s="2202" t="str">
        <f t="shared" ref="Q11" si="22">IF(R11&gt;=0,"增加","减少")</f>
        <v>增加</v>
      </c>
      <c r="R11" s="2202">
        <f>ROUND(P11-D11,1)</f>
        <v>20.399999999999999</v>
      </c>
      <c r="S11" s="2202" t="str">
        <f t="shared" si="20"/>
        <v>增幅</v>
      </c>
      <c r="T11" s="2203">
        <f t="shared" si="10"/>
        <v>5.2040816326530612E-2</v>
      </c>
      <c r="U11" s="2197" t="str">
        <f>A11&amp;$A$9&amp;G11&amp;B11&amp;$D$1&amp;$H$3&amp;H11&amp;ABS(I11)&amp;B11&amp;$G$1&amp;J11&amp;ABS(ROUND(K11*100,2))&amp;$I$1&amp;$H$1&amp;$D$1&amp;$L$3&amp;L11&amp;ABS(M11)&amp;B11&amp;$G$1&amp;N11&amp;ABS(ROUND(O11*100,2))&amp;$I$1&amp;$H$1&amp;$E$1&amp;$P$3&amp;$A$9&amp;P11&amp;B11&amp;$D$1&amp;$Q$3&amp;Q11&amp;ABS(R11)&amp;B11&amp;$G$1&amp;S11&amp;ABS(ROUND(T11*100,2))&amp;$I$1&amp;$H$1&amp;$F$1</f>
        <v>其中不锈材销量52.5万吨，比上月减少6.2万吨(降幅10.56%)，比同期增加2.6万吨(增幅5.21%)；累计销量412.4万吨，比去年同期增加20.4万吨(增幅5.2%)。</v>
      </c>
    </row>
    <row r="13" spans="1:21">
      <c r="A13" s="1460"/>
    </row>
    <row r="14" spans="1:21" ht="20.25">
      <c r="A14" s="2198" t="str">
        <f>$A$2&amp;"月太钢集团实现营业收入"&amp;ROUND(D26,2)&amp;"亿元，比上月"&amp;ROUND(C26,2)&amp;"亿元"&amp;IF(E26&gt;=0,"增加","减少")&amp;ABS(ROUND(E26,2))&amp;"亿元，比预算"&amp;IF(F26&gt;=0,"增加","减少")&amp;ABS(ROUND(F26,2))&amp;"亿元。"</f>
        <v>8月太钢集团实现营业收入119.35亿元，比上月110.51亿元增加8.84亿元，比预算增加29.35亿元。</v>
      </c>
    </row>
    <row r="15" spans="1:21" ht="20.25">
      <c r="A15" s="2198" t="str">
        <f>"累计太钢集团实现营业收入"&amp;ROUND(G26,2)&amp;"亿元，比预算"&amp;IF(H26&gt;=0,"增加","减少")&amp;ABS(ROUND(H26,2))&amp;"亿元。"</f>
        <v>累计太钢集团实现营业收入725.3亿元，比预算增加5.3亿元。</v>
      </c>
    </row>
    <row r="16" spans="1:21">
      <c r="A16" s="2726" t="s">
        <v>1242</v>
      </c>
      <c r="B16" s="2597" t="s">
        <v>58</v>
      </c>
      <c r="C16" s="2727" t="str">
        <f>$B$2&amp;"月"</f>
        <v>7月</v>
      </c>
      <c r="D16" s="2597" t="str">
        <f>$A$2&amp;"月"</f>
        <v>8月</v>
      </c>
      <c r="E16" s="2597" t="s">
        <v>7</v>
      </c>
      <c r="F16" s="2597" t="s">
        <v>9</v>
      </c>
      <c r="G16" s="2597" t="s">
        <v>5</v>
      </c>
      <c r="H16" s="2726" t="s">
        <v>41</v>
      </c>
    </row>
    <row r="17" spans="1:8">
      <c r="A17" s="2726"/>
      <c r="B17" s="2597"/>
      <c r="C17" s="2728"/>
      <c r="D17" s="2597"/>
      <c r="E17" s="2597"/>
      <c r="F17" s="2597"/>
      <c r="G17" s="2597"/>
      <c r="H17" s="2726"/>
    </row>
    <row r="18" spans="1:8">
      <c r="A18" s="2079" t="s">
        <v>1330</v>
      </c>
      <c r="B18" s="2184">
        <v>1080</v>
      </c>
      <c r="C18" s="2082">
        <f>C19+C24+C25</f>
        <v>125.84296072449997</v>
      </c>
      <c r="D18" s="2218">
        <f>D19+D24+D25</f>
        <v>126.79503027040687</v>
      </c>
      <c r="E18" s="2219">
        <f>D18-C18</f>
        <v>0.95206954590689463</v>
      </c>
      <c r="F18" s="2219">
        <f>D18-B18/12</f>
        <v>36.795030270406869</v>
      </c>
      <c r="G18" s="2218">
        <f>G19+G24+G25</f>
        <v>915.11440719701568</v>
      </c>
      <c r="H18" s="1937">
        <f>G18-B18/12*$A$2</f>
        <v>195.11440719701568</v>
      </c>
    </row>
    <row r="19" spans="1:8">
      <c r="A19" s="2079" t="s">
        <v>1313</v>
      </c>
      <c r="B19" s="2184">
        <v>830</v>
      </c>
      <c r="C19" s="2082">
        <f>SUM(C20:C23)</f>
        <v>103.98307645639997</v>
      </c>
      <c r="D19" s="2218">
        <f>SUM(D20:D23)</f>
        <v>104.32783827040687</v>
      </c>
      <c r="E19" s="2219">
        <f t="shared" ref="E19:E30" si="23">D19-C19</f>
        <v>0.34476181400690109</v>
      </c>
      <c r="F19" s="2219">
        <f t="shared" ref="F19:F25" si="24">D19-B19/12</f>
        <v>35.1611716037402</v>
      </c>
      <c r="G19" s="2218">
        <f>SUM(G20:G23)</f>
        <v>760.20502345371574</v>
      </c>
      <c r="H19" s="1937">
        <f t="shared" ref="H19:H25" si="25">G19-B19/12*$A$2</f>
        <v>206.87169012038237</v>
      </c>
    </row>
    <row r="20" spans="1:8">
      <c r="A20" s="2080" t="s">
        <v>42</v>
      </c>
      <c r="B20" s="2081">
        <v>25</v>
      </c>
      <c r="C20" s="2083">
        <f>'#经营概况'!G13</f>
        <v>4.1747499021999976</v>
      </c>
      <c r="D20" s="2220">
        <f>'#经营概况'!H13</f>
        <v>4.7554988361000037</v>
      </c>
      <c r="E20" s="2219">
        <f t="shared" si="23"/>
        <v>0.58074893390000604</v>
      </c>
      <c r="F20" s="2219">
        <f t="shared" si="24"/>
        <v>2.6721655027666702</v>
      </c>
      <c r="G20" s="2220">
        <f>'#经营概况'!L13</f>
        <v>30.783127593400003</v>
      </c>
      <c r="H20" s="1937">
        <f t="shared" si="25"/>
        <v>14.116460926733335</v>
      </c>
    </row>
    <row r="21" spans="1:8">
      <c r="A21" s="2080" t="s">
        <v>43</v>
      </c>
      <c r="B21" s="2081">
        <v>662</v>
      </c>
      <c r="C21" s="2083">
        <f>'#经营概况'!G14</f>
        <v>90.022868442917982</v>
      </c>
      <c r="D21" s="2220">
        <f>'#经营概况'!H14</f>
        <v>91.619969458400007</v>
      </c>
      <c r="E21" s="2219">
        <f t="shared" si="23"/>
        <v>1.5971010154820249</v>
      </c>
      <c r="F21" s="2219">
        <f t="shared" si="24"/>
        <v>36.453302791733343</v>
      </c>
      <c r="G21" s="2220">
        <f>'#经营概况'!L14</f>
        <v>639.28418969212476</v>
      </c>
      <c r="H21" s="1937">
        <f t="shared" si="25"/>
        <v>197.95085635879144</v>
      </c>
    </row>
    <row r="22" spans="1:8">
      <c r="A22" s="2080" t="s">
        <v>44</v>
      </c>
      <c r="B22" s="2081">
        <v>100</v>
      </c>
      <c r="C22" s="2083">
        <f>'#经营概况'!G15</f>
        <v>5.9187114880000022</v>
      </c>
      <c r="D22" s="2220">
        <f>'#经营概况'!H15</f>
        <v>5.5029745346000087</v>
      </c>
      <c r="E22" s="2219">
        <f>D22-C22</f>
        <v>-0.4157369533999935</v>
      </c>
      <c r="F22" s="2219">
        <f t="shared" si="24"/>
        <v>-2.8303587987333252</v>
      </c>
      <c r="G22" s="2220">
        <f>'#经营概况'!L15</f>
        <v>62.886558710437143</v>
      </c>
      <c r="H22" s="1937">
        <f t="shared" si="25"/>
        <v>-3.7801079562295286</v>
      </c>
    </row>
    <row r="23" spans="1:8">
      <c r="A23" s="2080" t="s">
        <v>45</v>
      </c>
      <c r="B23" s="2081">
        <v>43</v>
      </c>
      <c r="C23" s="2083">
        <f>'#经营概况'!G16</f>
        <v>3.8667466232819936</v>
      </c>
      <c r="D23" s="2220">
        <f>'#经营概况'!H16</f>
        <v>2.4493954413068466</v>
      </c>
      <c r="E23" s="2219">
        <f t="shared" si="23"/>
        <v>-1.417351181975147</v>
      </c>
      <c r="F23" s="2219">
        <f t="shared" si="24"/>
        <v>-1.1339378920264869</v>
      </c>
      <c r="G23" s="2220">
        <f>'#经营概况'!L16</f>
        <v>27.251147457753873</v>
      </c>
      <c r="H23" s="1937">
        <f t="shared" si="25"/>
        <v>-1.4155192089127944</v>
      </c>
    </row>
    <row r="24" spans="1:8">
      <c r="A24" s="2079" t="s">
        <v>1262</v>
      </c>
      <c r="B24" s="2184">
        <v>167</v>
      </c>
      <c r="C24" s="2082">
        <f>'#经营概况'!G17</f>
        <v>14.2436419807</v>
      </c>
      <c r="D24" s="2218">
        <f>'#经营概况'!H17</f>
        <v>14.374092000000001</v>
      </c>
      <c r="E24" s="2219">
        <f t="shared" si="23"/>
        <v>0.13045001930000133</v>
      </c>
      <c r="F24" s="2219">
        <f t="shared" si="24"/>
        <v>0.4574253333333349</v>
      </c>
      <c r="G24" s="2218">
        <f>'#经营概况'!L17</f>
        <v>95.4691211369</v>
      </c>
      <c r="H24" s="1937">
        <f t="shared" si="25"/>
        <v>-15.864212196433328</v>
      </c>
    </row>
    <row r="25" spans="1:8">
      <c r="A25" s="2079" t="s">
        <v>1263</v>
      </c>
      <c r="B25" s="2184">
        <v>83</v>
      </c>
      <c r="C25" s="2082">
        <f>'#经营概况'!G18</f>
        <v>7.6162422873999995</v>
      </c>
      <c r="D25" s="2218">
        <f>'#经营概况'!H18</f>
        <v>8.0930999999999997</v>
      </c>
      <c r="E25" s="2219">
        <f t="shared" si="23"/>
        <v>0.47685771260000021</v>
      </c>
      <c r="F25" s="2219">
        <f t="shared" si="24"/>
        <v>1.1764333333333328</v>
      </c>
      <c r="G25" s="2218">
        <f>'#经营概况'!L18</f>
        <v>59.440262606399997</v>
      </c>
      <c r="H25" s="1937">
        <f t="shared" si="25"/>
        <v>4.1069292730666618</v>
      </c>
    </row>
    <row r="26" spans="1:8">
      <c r="A26" s="2079" t="s">
        <v>1235</v>
      </c>
      <c r="B26" s="2364">
        <f>SUM(B27:B30)</f>
        <v>1080</v>
      </c>
      <c r="C26" s="2082">
        <f>SUM(C27:C30)</f>
        <v>110.50999999999999</v>
      </c>
      <c r="D26" s="2082">
        <f>SUM(D27:D30)</f>
        <v>119.35000000000001</v>
      </c>
      <c r="E26" s="2219">
        <f t="shared" si="23"/>
        <v>8.8400000000000176</v>
      </c>
      <c r="F26" s="2219">
        <f>D26-B26/12</f>
        <v>29.350000000000009</v>
      </c>
      <c r="G26" s="2082">
        <f>SUM(G27:G30)</f>
        <v>725.30000000000007</v>
      </c>
      <c r="H26" s="1937">
        <f>G26-B26/12*$A$2</f>
        <v>5.3000000000000682</v>
      </c>
    </row>
    <row r="27" spans="1:8">
      <c r="A27" s="2079" t="s">
        <v>1688</v>
      </c>
      <c r="B27" s="2364">
        <v>800</v>
      </c>
      <c r="C27" s="2368">
        <v>85.63</v>
      </c>
      <c r="D27" s="2368">
        <v>93.09</v>
      </c>
      <c r="E27" s="2219">
        <f t="shared" si="23"/>
        <v>7.460000000000008</v>
      </c>
      <c r="F27" s="2219">
        <f t="shared" ref="F27:F30" si="26">D27-B27/12</f>
        <v>26.423333333333332</v>
      </c>
      <c r="G27" s="2368">
        <v>566.1</v>
      </c>
      <c r="H27" s="1937">
        <f t="shared" ref="H27:H30" si="27">G27-B27/12*$A$2</f>
        <v>32.766666666666652</v>
      </c>
    </row>
    <row r="28" spans="1:8">
      <c r="A28" s="2079" t="s">
        <v>1262</v>
      </c>
      <c r="B28" s="2364">
        <v>167</v>
      </c>
      <c r="C28" s="2368">
        <v>11.98</v>
      </c>
      <c r="D28" s="2368">
        <v>14.24</v>
      </c>
      <c r="E28" s="2219">
        <f t="shared" si="23"/>
        <v>2.2599999999999998</v>
      </c>
      <c r="F28" s="2219">
        <f t="shared" si="26"/>
        <v>0.32333333333333414</v>
      </c>
      <c r="G28" s="2368">
        <v>81.099999999999994</v>
      </c>
      <c r="H28" s="1937">
        <f t="shared" si="27"/>
        <v>-30.233333333333334</v>
      </c>
    </row>
    <row r="29" spans="1:8">
      <c r="A29" s="2079" t="s">
        <v>1263</v>
      </c>
      <c r="B29" s="2364">
        <f>B25</f>
        <v>83</v>
      </c>
      <c r="C29" s="2368">
        <v>8.3800000000000008</v>
      </c>
      <c r="D29" s="2368">
        <v>7.62</v>
      </c>
      <c r="E29" s="2219">
        <f t="shared" si="23"/>
        <v>-0.76000000000000068</v>
      </c>
      <c r="F29" s="2219">
        <f t="shared" si="26"/>
        <v>0.70333333333333314</v>
      </c>
      <c r="G29" s="2368">
        <v>51.35</v>
      </c>
      <c r="H29" s="1937">
        <f t="shared" si="27"/>
        <v>-3.9833333333333343</v>
      </c>
    </row>
    <row r="30" spans="1:8">
      <c r="A30" s="2079" t="s">
        <v>1521</v>
      </c>
      <c r="B30" s="2364">
        <v>30</v>
      </c>
      <c r="C30" s="2368">
        <v>4.5199999999999996</v>
      </c>
      <c r="D30" s="2368">
        <v>4.4000000000000004</v>
      </c>
      <c r="E30" s="2219">
        <f t="shared" si="23"/>
        <v>-0.11999999999999922</v>
      </c>
      <c r="F30" s="2219">
        <f t="shared" si="26"/>
        <v>1.9000000000000004</v>
      </c>
      <c r="G30" s="2368">
        <v>26.75</v>
      </c>
      <c r="H30" s="1937">
        <f t="shared" si="27"/>
        <v>6.75</v>
      </c>
    </row>
    <row r="31" spans="1:8" ht="20.25">
      <c r="A31" s="2198" t="str">
        <f>'#经营概况'!B43</f>
        <v xml:space="preserve">    2、太钢本部钢材收入比上月增加1.6亿元，其中销量增加0.35万吨，影响减收0.61亿元，价格影响增收2.21亿元，具体如下：</v>
      </c>
    </row>
    <row r="32" spans="1:8" ht="20.25">
      <c r="A32" s="2198" t="str">
        <f>'#经营概况'!B44</f>
        <v>（1）碳钢销量比上月增加3.19万吨，影响增收2.19亿元；单价变动影响增收0.07亿元。</v>
      </c>
    </row>
    <row r="33" spans="1:11" ht="20.25">
      <c r="A33" s="2197" t="str">
        <f>'#经营概况'!B45</f>
        <v xml:space="preserve">    ①普碳钢销量比上月增加1.42万吨，影响收入增加0.72亿元；单价比上月升高31元/吨，影响收入增加0.19亿元。</v>
      </c>
    </row>
    <row r="34" spans="1:11" ht="20.25">
      <c r="A34" s="2197" t="str">
        <f>'#经营概况'!B46</f>
        <v xml:space="preserve">    ②硅钢销量比上月增加1.77万吨，影响收入增加1.47亿元；单价比上月降低133元/吨，影响收入减少0.12亿元。</v>
      </c>
    </row>
    <row r="35" spans="1:11" ht="20.25">
      <c r="A35" s="2198" t="str">
        <f>'#经营概况'!B47</f>
        <v>（2）不锈钢销量比上月减少2.84万吨，影响减收2.81亿元；单价变动影响增收2.15亿元。</v>
      </c>
    </row>
    <row r="36" spans="1:11" ht="20.25">
      <c r="A36" s="2197" t="str">
        <f>'#经营概况'!B48</f>
        <v xml:space="preserve">    ①镍钢销量比上月减少0.25万吨，影响收入减少0.47亿元；单价比上月升高901元/吨，影响收入增加1.8亿元。</v>
      </c>
    </row>
    <row r="37" spans="1:11" ht="20.25">
      <c r="A37" s="2197" t="str">
        <f>'#经营概况'!B49</f>
        <v xml:space="preserve">    ②铬钢销量比上月减少2.6万吨，影响收入减少2.34亿元；单价比上月升高232元/吨，影响收入增加0.34亿元。</v>
      </c>
    </row>
    <row r="38" spans="1:11">
      <c r="A38" s="188"/>
    </row>
    <row r="39" spans="1:11">
      <c r="A39" s="2204" t="s">
        <v>1364</v>
      </c>
      <c r="B39" s="2204" t="s">
        <v>1245</v>
      </c>
      <c r="C39" s="2204" t="str">
        <f>$B$2&amp;"月"</f>
        <v>7月</v>
      </c>
      <c r="D39" s="2204" t="str">
        <f>$A$2&amp;"月"</f>
        <v>8月</v>
      </c>
      <c r="E39" s="2204" t="s">
        <v>1140</v>
      </c>
    </row>
    <row r="40" spans="1:11" ht="20.25">
      <c r="A40" s="2187" t="s">
        <v>1519</v>
      </c>
      <c r="B40" s="2187" t="s">
        <v>1369</v>
      </c>
      <c r="C40" s="2188">
        <f>ROUND(SUMIFS('#利润建议'!5:5,'#利润建议'!$1:$1,报宝武!$B$1,'#利润建议'!$2:$2,报宝武!$B$2,'#利润建议'!$4:$4,"报表"),0)</f>
        <v>218166</v>
      </c>
      <c r="D40" s="2188">
        <f>ROUND(SUMIFS('#利润建议'!5:5,'#利润建议'!$1:$1,报宝武!$A$1,'#利润建议'!$2:$2,报宝武!$A$2,'#利润建议'!$4:$4,"报表"),0)</f>
        <v>183139</v>
      </c>
      <c r="E40" s="2189">
        <f>D40-C40</f>
        <v>-35027</v>
      </c>
      <c r="F40" t="str">
        <f>IF(E40&gt;=0,"增加","减少")</f>
        <v>减少</v>
      </c>
      <c r="G40" s="2198" t="str">
        <f>$D$39&amp;A40&amp;$A$39&amp;D40&amp;B40&amp;$D$1&amp;$E$39&amp;C40&amp;B40&amp;F40&amp;ABS(E40)&amp;B40&amp;$F$1</f>
        <v>8月管理口径利润183139万元，比上月218166万元减少35027万元。</v>
      </c>
    </row>
    <row r="41" spans="1:11" ht="20.25">
      <c r="A41" s="2190" t="s">
        <v>1407</v>
      </c>
      <c r="B41" s="2187" t="s">
        <v>1369</v>
      </c>
      <c r="C41" s="2191">
        <f>ROUND(SUM(C42:C45)+C50,0)</f>
        <v>218746</v>
      </c>
      <c r="D41" s="2191">
        <f>ROUND(SUM(D42:D45)+D50,0)</f>
        <v>169923</v>
      </c>
      <c r="E41" s="2192">
        <f>D41-C41</f>
        <v>-48823</v>
      </c>
      <c r="F41" t="str">
        <f t="shared" ref="F41:F51" si="28">IF(E41&gt;=0,"增加","减少")</f>
        <v>减少</v>
      </c>
      <c r="G41" s="2198" t="str">
        <f>A41&amp;$A$39&amp;D41&amp;B41&amp;$D$1&amp;$E$39&amp;C41&amp;B41&amp;F41&amp;ABS(E41)&amp;B41&amp;$F$1</f>
        <v>（一）钢铁板块利润169923万元，比上月218746万元减少48823万元。</v>
      </c>
    </row>
    <row r="42" spans="1:11" ht="20.25">
      <c r="A42" s="2193" t="s">
        <v>1130</v>
      </c>
      <c r="B42" s="2194" t="s">
        <v>1369</v>
      </c>
      <c r="C42" s="2195">
        <f>'@分析#利润分析#'!E6</f>
        <v>104942</v>
      </c>
      <c r="D42" s="2195">
        <f>'@分析#利润分析#'!F6</f>
        <v>87793</v>
      </c>
      <c r="E42" s="2196">
        <f t="shared" ref="E42:E51" si="29">D42-C42</f>
        <v>-17149</v>
      </c>
      <c r="F42" t="str">
        <f t="shared" si="28"/>
        <v>减少</v>
      </c>
      <c r="G42" s="2216" t="str">
        <f>E55</f>
        <v>1、销售比上月增利6237万元。</v>
      </c>
      <c r="K42" s="2198"/>
    </row>
    <row r="43" spans="1:11" ht="20.25">
      <c r="A43" s="2193" t="s">
        <v>1233</v>
      </c>
      <c r="B43" s="2194" t="s">
        <v>1369</v>
      </c>
      <c r="C43" s="2195">
        <f>ROUND('@分析#利润分析#'!E7,0)</f>
        <v>-4420</v>
      </c>
      <c r="D43" s="2195">
        <f>ROUND('@分析#利润分析#'!F7,0)</f>
        <v>1831</v>
      </c>
      <c r="E43" s="2196">
        <f t="shared" si="29"/>
        <v>6251</v>
      </c>
      <c r="F43" t="str">
        <f t="shared" si="28"/>
        <v>增加</v>
      </c>
      <c r="G43" s="2216" t="str">
        <f>E63</f>
        <v>2、原材料采购比上月减利32137万元。</v>
      </c>
    </row>
    <row r="44" spans="1:11" ht="20.25">
      <c r="A44" s="2193" t="s">
        <v>1234</v>
      </c>
      <c r="B44" s="2194" t="s">
        <v>1369</v>
      </c>
      <c r="C44" s="2195">
        <f>ROUND('@分析#利润分析#'!E8,0)</f>
        <v>3526</v>
      </c>
      <c r="D44" s="2195">
        <f>ROUND('@分析#利润分析#'!F8,0)</f>
        <v>5562</v>
      </c>
      <c r="E44" s="2196">
        <f t="shared" si="29"/>
        <v>2036</v>
      </c>
      <c r="F44" t="str">
        <f t="shared" si="28"/>
        <v>增加</v>
      </c>
      <c r="G44" s="2216" t="str">
        <f>E68</f>
        <v>3、生产成本增加减利5820万元。</v>
      </c>
    </row>
    <row r="45" spans="1:11" ht="20.25">
      <c r="A45" s="2193" t="s">
        <v>1365</v>
      </c>
      <c r="B45" s="2194" t="s">
        <v>1369</v>
      </c>
      <c r="C45" s="2195">
        <f>SUM(C46:C49)</f>
        <v>114697.81872499999</v>
      </c>
      <c r="D45" s="2195">
        <f>SUM(D46:D49)</f>
        <v>104736.98091299998</v>
      </c>
      <c r="E45" s="2196">
        <f t="shared" si="29"/>
        <v>-9960.8378120000125</v>
      </c>
      <c r="F45" t="str">
        <f t="shared" si="28"/>
        <v>减少</v>
      </c>
      <c r="G45" s="2216" t="str">
        <f>E69</f>
        <v>4、低成本库存出库减少减利23889万元。</v>
      </c>
    </row>
    <row r="46" spans="1:11" ht="20.25">
      <c r="A46" s="2193" t="s">
        <v>1517</v>
      </c>
      <c r="B46" s="2194" t="s">
        <v>1369</v>
      </c>
      <c r="C46" s="2195">
        <f>'@分析#利润分析#'!E10</f>
        <v>28914.219978000001</v>
      </c>
      <c r="D46" s="2195">
        <f>'@分析#利润分析#'!F10</f>
        <v>23561.155849999999</v>
      </c>
      <c r="E46" s="2196">
        <f t="shared" si="29"/>
        <v>-5353.0641280000018</v>
      </c>
      <c r="F46" t="str">
        <f t="shared" si="28"/>
        <v>减少</v>
      </c>
      <c r="G46" s="2216" t="str">
        <f>E70</f>
        <v>5、期间费用及税金增加减利1501万元。</v>
      </c>
    </row>
    <row r="47" spans="1:11" ht="20.25">
      <c r="A47" s="2193" t="s">
        <v>1367</v>
      </c>
      <c r="B47" s="2194" t="s">
        <v>1369</v>
      </c>
      <c r="C47" s="2195">
        <f>'@分析#利润分析#'!E17</f>
        <v>2846.9431449999997</v>
      </c>
      <c r="D47" s="2195">
        <f>'@分析#利润分析#'!F17</f>
        <v>1364.1880909999991</v>
      </c>
      <c r="E47" s="2196">
        <f t="shared" si="29"/>
        <v>-1482.7550540000007</v>
      </c>
      <c r="F47" t="str">
        <f t="shared" si="28"/>
        <v>减少</v>
      </c>
      <c r="G47" s="2216" t="str">
        <f>E71</f>
        <v>6、宝钢德盛利润1831万元，比上月-4420万元增加6251万元。</v>
      </c>
    </row>
    <row r="48" spans="1:11" ht="20.25">
      <c r="A48" s="2193" t="s">
        <v>1366</v>
      </c>
      <c r="B48" s="2194" t="s">
        <v>1369</v>
      </c>
      <c r="C48" s="2195">
        <f>'@分析#利润分析#'!E11</f>
        <v>83256.655601999984</v>
      </c>
      <c r="D48" s="2195">
        <f>'@分析#利润分析#'!F11</f>
        <v>80157.056971999977</v>
      </c>
      <c r="E48" s="2196">
        <f t="shared" si="29"/>
        <v>-3099.5986300000077</v>
      </c>
      <c r="F48" t="str">
        <f t="shared" si="28"/>
        <v>减少</v>
      </c>
      <c r="G48" s="2216" t="str">
        <f>E72</f>
        <v>7、宁波宝新利润5562万元，比上月3526万元增加2036万元。</v>
      </c>
    </row>
    <row r="49" spans="1:20" ht="19.5" customHeight="1">
      <c r="A49" s="2193" t="s">
        <v>1368</v>
      </c>
      <c r="B49" s="2194" t="s">
        <v>1369</v>
      </c>
      <c r="C49" s="2195">
        <f>'@分析#利润分析#'!E22</f>
        <v>-320</v>
      </c>
      <c r="D49" s="2195">
        <f>'@分析#利润分析#'!F22</f>
        <v>-345.42</v>
      </c>
      <c r="E49" s="2196">
        <f t="shared" si="29"/>
        <v>-25.420000000000016</v>
      </c>
      <c r="F49" t="str">
        <f t="shared" si="28"/>
        <v>减少</v>
      </c>
    </row>
    <row r="50" spans="1:20" ht="19.5" customHeight="1">
      <c r="A50" s="2193" t="s">
        <v>1518</v>
      </c>
      <c r="B50" s="2194" t="s">
        <v>1369</v>
      </c>
      <c r="C50" s="2195">
        <f>-SUMIFS('#利润建议'!$5:$5,'#利润建议'!$1:$1,$A$1,'#利润建议'!$2:$2,$B$2,'#利润建议'!$4:$4,"留存")</f>
        <v>0</v>
      </c>
      <c r="D50" s="2195">
        <f>-SUMIFS('#利润建议'!$5:$5,'#利润建议'!$1:$1,$A$1,'#利润建议'!$2:$2,$A$2,'#利润建议'!$4:$4,"留存")</f>
        <v>-30000</v>
      </c>
      <c r="E50" s="2196">
        <f t="shared" si="29"/>
        <v>-30000</v>
      </c>
    </row>
    <row r="51" spans="1:20" ht="20.25">
      <c r="A51" s="2024" t="s">
        <v>1408</v>
      </c>
      <c r="B51" s="2187" t="s">
        <v>1369</v>
      </c>
      <c r="C51" s="2185">
        <f>ROUND(C40-C41-C52,20)</f>
        <v>-2850</v>
      </c>
      <c r="D51" s="2185">
        <f>ROUND(D40-D41-D52,20)</f>
        <v>6582</v>
      </c>
      <c r="E51" s="2186">
        <f t="shared" si="29"/>
        <v>9432</v>
      </c>
      <c r="F51" t="str">
        <f t="shared" si="28"/>
        <v>增加</v>
      </c>
      <c r="G51" s="2198" t="str">
        <f>A51&amp;$A$39&amp;D51&amp;B51&amp;$D$1&amp;$E$39&amp;C51&amp;B51&amp;F51&amp;ABS(E51)&amp;B51&amp;$F$1</f>
        <v>（二）多元板块利润6582万元，比上月-2850万元增加9432万元。</v>
      </c>
    </row>
    <row r="52" spans="1:20" ht="20.25">
      <c r="A52" s="2024" t="s">
        <v>1409</v>
      </c>
      <c r="B52" s="2187" t="s">
        <v>1369</v>
      </c>
      <c r="C52" s="2185">
        <f>ROUND(SUMIFS('#利润建议'!9:9,'#利润建议'!$1:$1,报宝武!$B$1,'#利润建议'!$2:$2,报宝武!$B$2,'#利润建议'!$4:$4,"报表"),0)</f>
        <v>2270</v>
      </c>
      <c r="D52" s="2185">
        <f>ROUND(SUMIFS('#利润建议'!9:9,'#利润建议'!$1:$1,报宝武!$A$1,'#利润建议'!$2:$2,报宝武!$A$2,'#利润建议'!$4:$4,"报表"),0)</f>
        <v>6634</v>
      </c>
      <c r="E52" s="2186">
        <f>D52-C52</f>
        <v>4364</v>
      </c>
      <c r="F52" t="str">
        <f>IF(E52&gt;=0,"增加增利","减少减利")</f>
        <v>增加增利</v>
      </c>
      <c r="G52" s="2198" t="str">
        <f>A52&amp;D52&amp;B52&amp;$D$1&amp;$E$39&amp;C52&amp;B52&amp;F52&amp;ABS(E52)&amp;B52&amp;$F$1</f>
        <v>（三）参股公司投资收益6634万元，比上月2270万元增加增利4364万元。</v>
      </c>
    </row>
    <row r="53" spans="1:20" ht="20.25">
      <c r="A53" s="2207"/>
      <c r="C53" s="2208"/>
      <c r="D53" s="2208"/>
      <c r="E53" s="2209"/>
      <c r="G53" s="2198"/>
    </row>
    <row r="54" spans="1:20" ht="20.25">
      <c r="A54" s="2204" t="s">
        <v>1398</v>
      </c>
      <c r="B54" s="2204" t="s">
        <v>1140</v>
      </c>
      <c r="C54" s="2204" t="s">
        <v>1188</v>
      </c>
      <c r="D54" s="2204" t="s">
        <v>1245</v>
      </c>
      <c r="E54" s="154"/>
      <c r="G54" s="2198"/>
    </row>
    <row r="55" spans="1:20" ht="20.25">
      <c r="A55" s="2233" t="s">
        <v>1399</v>
      </c>
      <c r="B55" s="2204" t="str">
        <f>IF(C55&gt;=0,"增利","减利")</f>
        <v>增利</v>
      </c>
      <c r="C55" s="2185">
        <f>C56+C59+C60+C61+C62</f>
        <v>6237</v>
      </c>
      <c r="D55" s="2204" t="s">
        <v>1369</v>
      </c>
      <c r="E55" s="2198" t="str">
        <f>A55&amp;$B$54&amp;B55&amp;ABS(C55)&amp;D55&amp;$F$1</f>
        <v>1、销售比上月增利6237万元。</v>
      </c>
      <c r="G55" s="2198"/>
    </row>
    <row r="56" spans="1:20" ht="20.25">
      <c r="A56" s="2234" t="s">
        <v>1388</v>
      </c>
      <c r="B56" s="2081" t="str">
        <f>IF(C56&gt;=0,"升高增利","降低减利")</f>
        <v>降低减利</v>
      </c>
      <c r="C56" s="2235">
        <f>C57+C58</f>
        <v>-3762</v>
      </c>
      <c r="D56" s="2081" t="s">
        <v>1369</v>
      </c>
      <c r="E56" s="2197" t="str">
        <f>A56&amp;$B$54&amp;B56&amp;ABS(C56)&amp;D56&amp;$D$1&amp;$J$1</f>
        <v>销售价格比上月降低减利3762万元，其中：</v>
      </c>
      <c r="G56" s="2198"/>
    </row>
    <row r="57" spans="1:20" ht="20.25">
      <c r="A57" s="2234" t="s">
        <v>1390</v>
      </c>
      <c r="B57" s="2081" t="str">
        <f>IF(C57&gt;=0,"升高增利","降低减利")</f>
        <v>降低减利</v>
      </c>
      <c r="C57" s="2081">
        <f>ROUND('#经营概况'!M38*10000,0)-25877</f>
        <v>-4425</v>
      </c>
      <c r="D57" s="2081" t="s">
        <v>1369</v>
      </c>
      <c r="E57" s="2197" t="str">
        <f>A57&amp;$B$54&amp;B57&amp;ABS(C57)&amp;D57&amp;$F$1</f>
        <v>不锈钢价格比上月降低减利4425万元。</v>
      </c>
      <c r="G57" s="2198"/>
    </row>
    <row r="58" spans="1:20" ht="20.25">
      <c r="A58" s="2234" t="s">
        <v>1391</v>
      </c>
      <c r="B58" s="2081" t="str">
        <f>IF(C58&gt;=0,"升高增利","降低减利")</f>
        <v>升高增利</v>
      </c>
      <c r="C58" s="2081">
        <f>ROUND('#经营概况'!M35*10000,0)</f>
        <v>663</v>
      </c>
      <c r="D58" s="2081" t="s">
        <v>1369</v>
      </c>
      <c r="E58" s="2197" t="str">
        <f>A58&amp;$B$54&amp;B58&amp;ABS(C58)&amp;D58&amp;$F$1</f>
        <v>碳钢价格比上月升高增利663万元。</v>
      </c>
      <c r="G58" s="2198"/>
    </row>
    <row r="59" spans="1:20" ht="20.25">
      <c r="A59" s="2234" t="s">
        <v>1520</v>
      </c>
      <c r="B59" s="2081" t="str">
        <f>IF(C59&gt;=0,"增加增利","减少减利")</f>
        <v>增加增利</v>
      </c>
      <c r="C59" s="2236">
        <v>4525</v>
      </c>
      <c r="D59" s="2081" t="s">
        <v>1369</v>
      </c>
      <c r="E59" s="2197" t="str">
        <f>A59&amp;$B$54&amp;B59&amp;ABS(C59)&amp;D59&amp;$F$1</f>
        <v>钢材产品销量比上月增加增利4525万元。</v>
      </c>
      <c r="G59" s="2198"/>
    </row>
    <row r="60" spans="1:20" ht="20.25">
      <c r="A60" s="2234" t="s">
        <v>1389</v>
      </c>
      <c r="B60" s="2081" t="str">
        <f>IF(C60&gt;=0,"增利","减利")</f>
        <v>增利</v>
      </c>
      <c r="C60" s="2236">
        <v>515</v>
      </c>
      <c r="D60" s="2081" t="s">
        <v>1369</v>
      </c>
      <c r="E60" s="2197" t="str">
        <f>A60&amp;$B$54&amp;B60&amp;ABS(C60)&amp;D60&amp;$F$1</f>
        <v>钢材品种结构比上月增利515万元。</v>
      </c>
      <c r="G60" s="2198"/>
    </row>
    <row r="61" spans="1:20" ht="20.25">
      <c r="A61" s="2237" t="s">
        <v>1394</v>
      </c>
      <c r="B61" s="2081" t="str">
        <f>IF(C61&gt;=0,"增加","减少")</f>
        <v>增加</v>
      </c>
      <c r="C61" s="2236">
        <v>372</v>
      </c>
      <c r="D61" s="2081" t="s">
        <v>1369</v>
      </c>
      <c r="E61" s="2210" t="s">
        <v>1735</v>
      </c>
      <c r="F61" s="2206"/>
      <c r="G61" s="2210"/>
      <c r="H61" s="2206"/>
      <c r="I61" s="2206"/>
      <c r="J61" s="2206"/>
      <c r="K61" s="2206"/>
      <c r="L61" s="2206"/>
      <c r="M61" s="2364" t="s">
        <v>1509</v>
      </c>
      <c r="N61" s="2364" t="s">
        <v>1510</v>
      </c>
      <c r="O61" s="2364" t="s">
        <v>1511</v>
      </c>
      <c r="P61" s="2364" t="s">
        <v>1512</v>
      </c>
      <c r="Q61" s="2364" t="s">
        <v>1514</v>
      </c>
      <c r="R61" s="2364" t="s">
        <v>1513</v>
      </c>
      <c r="S61" s="2364" t="s">
        <v>1515</v>
      </c>
      <c r="T61" s="2364" t="s">
        <v>1516</v>
      </c>
    </row>
    <row r="62" spans="1:20" ht="20.25">
      <c r="A62" s="2366" t="s">
        <v>1393</v>
      </c>
      <c r="B62" s="2081" t="str">
        <f>IF(C62&gt;=0,"增利","减利")</f>
        <v>增利</v>
      </c>
      <c r="C62" s="2193">
        <f>ROUND(S62-T62,0)</f>
        <v>4587</v>
      </c>
      <c r="D62" s="2081" t="s">
        <v>1369</v>
      </c>
      <c r="E62" s="2367" t="str">
        <f>"铁矿粉外销量"&amp;ROUND('#经营概况'!F180/10000,2)&amp;"万吨，比上月"&amp;ABS(ROUND('#经营概况'!D180/10000,2))&amp;"万吨"&amp;IF('#经营概况'!H180&gt;=0,"增加","减少")&amp;ABS(ROUND('#经营概况'!H180/10000,2))&amp;"万吨，"&amp;B62&amp;ABS(C62)&amp;D62&amp;$F$1</f>
        <v>铁矿粉外销量31.28万吨，比上月25.36万吨增加5.93万吨，增利4587万元。</v>
      </c>
      <c r="F62" s="1847"/>
      <c r="G62" s="2367"/>
      <c r="H62" s="1847"/>
      <c r="I62" s="1847"/>
      <c r="J62" s="1847"/>
      <c r="K62" s="1847"/>
      <c r="L62" s="1847"/>
      <c r="M62" s="2490">
        <v>388.82976553229594</v>
      </c>
      <c r="N62" s="2236">
        <v>389.58</v>
      </c>
      <c r="O62" s="2236">
        <v>1584</v>
      </c>
      <c r="P62" s="2236">
        <v>1472.16</v>
      </c>
      <c r="Q62" s="2490">
        <v>25.84</v>
      </c>
      <c r="R62" s="2490">
        <v>24.29</v>
      </c>
      <c r="S62" s="2185">
        <f>(O62-M62)*Q62</f>
        <v>30883.198858645475</v>
      </c>
      <c r="T62" s="2185">
        <f>(P62-N62)*R62</f>
        <v>26295.868200000004</v>
      </c>
    </row>
    <row r="63" spans="1:20" ht="20.25">
      <c r="A63" s="2233" t="s">
        <v>1400</v>
      </c>
      <c r="B63" s="2204" t="str">
        <f>IF(C63&gt;=0,"增利","减利")</f>
        <v>减利</v>
      </c>
      <c r="C63" s="2185">
        <f>SUM(C64:C67)</f>
        <v>-32137</v>
      </c>
      <c r="D63" s="2204" t="s">
        <v>1369</v>
      </c>
      <c r="E63" s="2197" t="str">
        <f>A63&amp;$B$54&amp;B63&amp;ABS(C63)&amp;D63&amp;$F$1</f>
        <v>2、原材料采购比上月减利32137万元。</v>
      </c>
      <c r="F63" s="1459"/>
      <c r="G63" s="2198"/>
      <c r="O63">
        <f>O62-M62</f>
        <v>1195.1702344677042</v>
      </c>
      <c r="P63">
        <f>P62-N62</f>
        <v>1082.5800000000002</v>
      </c>
    </row>
    <row r="64" spans="1:20" ht="20.25">
      <c r="A64" s="2234" t="s">
        <v>1395</v>
      </c>
      <c r="B64" s="2081" t="str">
        <f>IF(C64&gt;=0,"下降增利","上涨减利")</f>
        <v>上涨减利</v>
      </c>
      <c r="C64" s="2211">
        <v>-11940</v>
      </c>
      <c r="D64" s="2081" t="s">
        <v>1369</v>
      </c>
      <c r="E64" s="2198" t="str">
        <f>A64&amp;B64&amp;ABS(C64)&amp;D64&amp;$F$1</f>
        <v>煤价上涨减利11940万元。</v>
      </c>
      <c r="G64" s="2198"/>
      <c r="P64">
        <f>P63-O63</f>
        <v>-112.59023446770402</v>
      </c>
    </row>
    <row r="65" spans="1:15" ht="20.25">
      <c r="A65" s="2234" t="s">
        <v>1396</v>
      </c>
      <c r="B65" s="2081" t="str">
        <f t="shared" ref="B65:B67" si="30">IF(C65&gt;=0,"下降增利","上涨减利")</f>
        <v>上涨减利</v>
      </c>
      <c r="C65" s="2211">
        <v>-10691</v>
      </c>
      <c r="D65" s="2081" t="s">
        <v>1369</v>
      </c>
      <c r="E65" s="2198" t="str">
        <f t="shared" ref="E65:E70" si="31">A65&amp;B65&amp;ABS(C65)&amp;D65&amp;$F$1</f>
        <v>镍价上涨减利10691万元。</v>
      </c>
      <c r="G65" s="2198"/>
    </row>
    <row r="66" spans="1:15" ht="20.25">
      <c r="A66" s="2234" t="s">
        <v>1397</v>
      </c>
      <c r="B66" s="2081" t="str">
        <f t="shared" si="30"/>
        <v>上涨减利</v>
      </c>
      <c r="C66" s="2211">
        <v>-6717</v>
      </c>
      <c r="D66" s="2081" t="s">
        <v>1369</v>
      </c>
      <c r="E66" s="2198" t="str">
        <f t="shared" si="31"/>
        <v>高铬价格上涨减利6717万元。</v>
      </c>
      <c r="G66" s="2198"/>
    </row>
    <row r="67" spans="1:15" ht="20.25">
      <c r="A67" s="2234" t="s">
        <v>1406</v>
      </c>
      <c r="B67" s="2081" t="str">
        <f t="shared" si="30"/>
        <v>上涨减利</v>
      </c>
      <c r="C67" s="2211">
        <v>-2789</v>
      </c>
      <c r="D67" s="2081" t="s">
        <v>1369</v>
      </c>
      <c r="E67" s="2198" t="str">
        <f t="shared" si="31"/>
        <v>小合金价格上涨减利2789万元。</v>
      </c>
      <c r="G67" s="2198"/>
    </row>
    <row r="68" spans="1:15" ht="20.25">
      <c r="A68" s="2212" t="s">
        <v>1401</v>
      </c>
      <c r="B68" s="2081" t="str">
        <f>IF(C68&gt;=0,"减少增利","增加减利")</f>
        <v>增加减利</v>
      </c>
      <c r="C68" s="2211">
        <v>-5820</v>
      </c>
      <c r="D68" s="2081" t="s">
        <v>1369</v>
      </c>
      <c r="E68" s="2197" t="str">
        <f t="shared" si="31"/>
        <v>3、生产成本增加减利5820万元。</v>
      </c>
      <c r="G68" s="2198"/>
    </row>
    <row r="69" spans="1:15" ht="20.25">
      <c r="A69" s="2212" t="s">
        <v>1402</v>
      </c>
      <c r="B69" s="2204" t="str">
        <f>IF(C69&gt;=0,"增加增利","减少减利")</f>
        <v>减少减利</v>
      </c>
      <c r="C69" s="2213">
        <f>ROUND(E41-C55-C63-C68-C70-C71-C72,0)</f>
        <v>-23889</v>
      </c>
      <c r="D69" s="2204" t="s">
        <v>1369</v>
      </c>
      <c r="E69" s="2197" t="str">
        <f>A69&amp;B69&amp;ABS(C69)&amp;D69&amp;$F$1</f>
        <v>4、低成本库存出库减少减利23889万元。</v>
      </c>
      <c r="G69" s="2198"/>
      <c r="I69" s="186"/>
    </row>
    <row r="70" spans="1:15" ht="20.25">
      <c r="A70" s="2212" t="s">
        <v>1403</v>
      </c>
      <c r="B70" s="2204" t="str">
        <f>IF(C70&gt;=0,"减少增利","增加减利")</f>
        <v>增加减利</v>
      </c>
      <c r="C70" s="2211">
        <v>-1501</v>
      </c>
      <c r="D70" s="2204" t="s">
        <v>1369</v>
      </c>
      <c r="E70" s="2197" t="str">
        <f t="shared" si="31"/>
        <v>5、期间费用及税金增加减利1501万元。</v>
      </c>
      <c r="G70" s="2198"/>
    </row>
    <row r="71" spans="1:15" ht="20.25">
      <c r="A71" s="2212" t="s">
        <v>1404</v>
      </c>
      <c r="B71" s="2081" t="str">
        <f t="shared" ref="B71:B72" si="32">IF(C71&gt;=0,"增加","减少")</f>
        <v>增加</v>
      </c>
      <c r="C71" s="2213">
        <f>E43</f>
        <v>6251</v>
      </c>
      <c r="D71" s="2204" t="s">
        <v>1369</v>
      </c>
      <c r="E71" s="2197" t="str">
        <f>A71&amp;$A$39&amp;D43&amp;B43&amp;$D$1&amp;$E$39&amp;C43&amp;B43&amp;F43&amp;ABS(E43)&amp;B43&amp;$F$1</f>
        <v>6、宝钢德盛利润1831万元，比上月-4420万元增加6251万元。</v>
      </c>
      <c r="G71" s="2198"/>
    </row>
    <row r="72" spans="1:15" ht="20.25">
      <c r="A72" s="2212" t="s">
        <v>1405</v>
      </c>
      <c r="B72" s="2081" t="str">
        <f t="shared" si="32"/>
        <v>增加</v>
      </c>
      <c r="C72" s="2213">
        <f>E44</f>
        <v>2036</v>
      </c>
      <c r="D72" s="2204" t="s">
        <v>1369</v>
      </c>
      <c r="E72" s="2197" t="str">
        <f>A72&amp;$A$39&amp;D44&amp;B44&amp;$D$1&amp;$E$39&amp;C44&amp;B44&amp;F44&amp;ABS(E44)&amp;B44&amp;$F$1</f>
        <v>7、宁波宝新利润5562万元，比上月3526万元增加2036万元。</v>
      </c>
      <c r="G72" s="2198"/>
    </row>
    <row r="73" spans="1:15" ht="15.75">
      <c r="A73" s="2238"/>
      <c r="B73" s="2239" t="s">
        <v>1162</v>
      </c>
      <c r="C73" s="2361">
        <f>C55+C63+C68+C69+C70+C71+C72-E41</f>
        <v>0</v>
      </c>
      <c r="D73" s="2238"/>
    </row>
    <row r="74" spans="1:15">
      <c r="A74" s="188"/>
    </row>
    <row r="75" spans="1:15">
      <c r="A75" s="188"/>
    </row>
    <row r="76" spans="1:15">
      <c r="A76" s="2205" t="s">
        <v>1417</v>
      </c>
      <c r="B76" s="2221" t="str">
        <f>$A$2&amp;"月末"</f>
        <v>8月末</v>
      </c>
      <c r="C76" s="2221" t="str">
        <f>$A$2-1&amp;"月末"</f>
        <v>7月末</v>
      </c>
      <c r="D76" s="2221" t="s">
        <v>1416</v>
      </c>
      <c r="E76" s="2205" t="s">
        <v>1140</v>
      </c>
      <c r="F76" s="2205" t="s">
        <v>1410</v>
      </c>
      <c r="G76" s="2221" t="str">
        <f>$A$2&amp;"月末"</f>
        <v>8月末</v>
      </c>
      <c r="H76" s="2221" t="str">
        <f>$A$2-1&amp;"月末"</f>
        <v>7月末</v>
      </c>
      <c r="I76" s="2221" t="s">
        <v>1416</v>
      </c>
      <c r="J76" s="2694" t="s">
        <v>1140</v>
      </c>
      <c r="K76" s="2694"/>
      <c r="L76" s="2694" t="s">
        <v>1419</v>
      </c>
      <c r="M76" s="2694"/>
      <c r="N76" s="2222" t="s">
        <v>1245</v>
      </c>
    </row>
    <row r="77" spans="1:15" ht="20.25">
      <c r="A77" s="2205" t="s">
        <v>1418</v>
      </c>
      <c r="B77" s="2223">
        <f>SUM(B83:B93,B78:B79)</f>
        <v>257376.52000000002</v>
      </c>
      <c r="C77" s="2223">
        <f>SUM(C83:C93,C78:C79)</f>
        <v>273484.52</v>
      </c>
      <c r="D77" s="2223">
        <f>SUM(D83:D93,D78:D79)</f>
        <v>180636.68000000002</v>
      </c>
      <c r="E77" s="2224">
        <f>B77-C77</f>
        <v>-16108</v>
      </c>
      <c r="F77" s="2224">
        <f>B77-D77</f>
        <v>76739.839999999997</v>
      </c>
      <c r="G77" s="2225">
        <f>ROUND(B77/10000,2)</f>
        <v>25.74</v>
      </c>
      <c r="H77" s="2225">
        <f t="shared" ref="H77:I77" si="33">ROUND(C77/10000,2)</f>
        <v>27.35</v>
      </c>
      <c r="I77" s="2225">
        <f t="shared" si="33"/>
        <v>18.059999999999999</v>
      </c>
      <c r="J77" s="1545" t="str">
        <f>IF(K77&gt;0,"上升",IF(K77&lt;0,"下降","持平"))</f>
        <v>下降</v>
      </c>
      <c r="K77" s="2226">
        <f t="shared" ref="K77:K96" si="34">ROUND(E77/10000,2)</f>
        <v>-1.61</v>
      </c>
      <c r="L77" s="1545" t="str">
        <f>IF(M77&gt;0,"上升",IF(M77&lt;0,"下降","持平"))</f>
        <v>上升</v>
      </c>
      <c r="M77" s="2226">
        <f t="shared" ref="M77:M96" si="35">ROUND(F77/10000,2)</f>
        <v>7.67</v>
      </c>
      <c r="N77" s="2227" t="s">
        <v>1247</v>
      </c>
      <c r="O77" s="2198" t="str">
        <f>$B$76&amp;A77&amp;$A$76&amp;G77&amp;N77&amp;$D$1&amp;$J$76&amp;J77&amp;ABS(K77)&amp;N77&amp;$D$1&amp;$L$76&amp;L77&amp;ABS(M77)&amp;N77&amp;$D$1&amp;$J$1</f>
        <v>8月末太钢集团管理口径外部应收账款25.74亿元，比上月下降1.61亿元，比年初上升7.67亿元，其中：</v>
      </c>
    </row>
    <row r="78" spans="1:15" ht="20.25">
      <c r="A78" s="2228" t="s">
        <v>1199</v>
      </c>
      <c r="B78" s="2229">
        <v>2286.62</v>
      </c>
      <c r="C78" s="2229">
        <v>2247.52</v>
      </c>
      <c r="D78" s="2230">
        <v>2204</v>
      </c>
      <c r="E78" s="2231">
        <f>B78-C78</f>
        <v>39.099999999999909</v>
      </c>
      <c r="F78" s="2231">
        <f>B78-D78</f>
        <v>82.619999999999891</v>
      </c>
      <c r="G78" s="2225">
        <f t="shared" ref="G78:G96" si="36">ROUND(B78/10000,2)</f>
        <v>0.23</v>
      </c>
      <c r="H78" s="2225">
        <f t="shared" ref="H78:H96" si="37">ROUND(C78/10000,2)</f>
        <v>0.22</v>
      </c>
      <c r="I78" s="2225">
        <f t="shared" ref="I78:I96" si="38">ROUND(D78/10000,2)</f>
        <v>0.22</v>
      </c>
      <c r="J78" s="1545" t="str">
        <f t="shared" ref="J78:J96" si="39">IF(K78&gt;0,"上升",IF(K78&lt;0,"下降","持平"))</f>
        <v>持平</v>
      </c>
      <c r="K78" s="2226">
        <f t="shared" si="34"/>
        <v>0</v>
      </c>
      <c r="L78" s="1545" t="str">
        <f t="shared" ref="L78:L96" si="40">IF(M78&gt;0,"上升",IF(M78&lt;0,"下降","持平"))</f>
        <v>上升</v>
      </c>
      <c r="M78" s="2226">
        <f t="shared" si="35"/>
        <v>0.01</v>
      </c>
      <c r="N78" s="2227" t="s">
        <v>1247</v>
      </c>
      <c r="O78" s="2197" t="str">
        <f t="shared" ref="O78:O93" si="41">A78&amp;G78&amp;N78&amp;$D$1&amp;IF(J78&lt;&gt;"持平",$J$76&amp;J78&amp;ABS(K78)&amp;N78&amp;$D$1,"与上月持平"&amp;$D$1)&amp;IF(L78&lt;&gt;"持平",$L$76&amp;L78&amp;ABS(M78)&amp;N78&amp;$E$1,"与年初持平"&amp;$E$1)</f>
        <v>母公司0.23亿元，与上月持平，比年初上升0.01亿元；</v>
      </c>
    </row>
    <row r="79" spans="1:15" ht="20.25">
      <c r="A79" s="2228" t="s">
        <v>1420</v>
      </c>
      <c r="B79" s="2489">
        <f>SUM(B80:B82)</f>
        <v>206842</v>
      </c>
      <c r="C79" s="2489">
        <f>SUM(C80:C82)</f>
        <v>219186</v>
      </c>
      <c r="D79" s="2230">
        <f t="shared" ref="D79" si="42">SUM(D80:D82)</f>
        <v>163945.39000000001</v>
      </c>
      <c r="E79" s="2231">
        <f>B79-C79</f>
        <v>-12344</v>
      </c>
      <c r="F79" s="2231">
        <f t="shared" ref="F79:F95" si="43">B79-D79</f>
        <v>42896.609999999986</v>
      </c>
      <c r="G79" s="2225">
        <f t="shared" si="36"/>
        <v>20.68</v>
      </c>
      <c r="H79" s="2225">
        <f t="shared" si="37"/>
        <v>21.92</v>
      </c>
      <c r="I79" s="2225">
        <f t="shared" si="38"/>
        <v>16.39</v>
      </c>
      <c r="J79" s="1545" t="str">
        <f t="shared" si="39"/>
        <v>下降</v>
      </c>
      <c r="K79" s="2226">
        <f t="shared" si="34"/>
        <v>-1.23</v>
      </c>
      <c r="L79" s="1545" t="str">
        <f t="shared" si="40"/>
        <v>上升</v>
      </c>
      <c r="M79" s="2226">
        <f t="shared" si="35"/>
        <v>4.29</v>
      </c>
      <c r="N79" s="2227" t="s">
        <v>1247</v>
      </c>
      <c r="O79" s="2197" t="str">
        <f t="shared" si="41"/>
        <v>钢铁业务20.68亿元，比上月下降1.23亿元，比年初上升4.29亿元；</v>
      </c>
    </row>
    <row r="80" spans="1:15" ht="20.25">
      <c r="A80" s="2232" t="s">
        <v>1130</v>
      </c>
      <c r="B80" s="2229">
        <v>154842</v>
      </c>
      <c r="C80" s="2229">
        <v>157300</v>
      </c>
      <c r="D80" s="2230">
        <v>157789</v>
      </c>
      <c r="E80" s="2231">
        <f t="shared" ref="E80:E96" si="44">B80-C80</f>
        <v>-2458</v>
      </c>
      <c r="F80" s="2231">
        <f t="shared" si="43"/>
        <v>-2947</v>
      </c>
      <c r="G80" s="2225">
        <f t="shared" si="36"/>
        <v>15.48</v>
      </c>
      <c r="H80" s="2225">
        <f t="shared" si="37"/>
        <v>15.73</v>
      </c>
      <c r="I80" s="2225">
        <f t="shared" si="38"/>
        <v>15.78</v>
      </c>
      <c r="J80" s="1545" t="str">
        <f t="shared" si="39"/>
        <v>下降</v>
      </c>
      <c r="K80" s="2226">
        <f t="shared" si="34"/>
        <v>-0.25</v>
      </c>
      <c r="L80" s="1545" t="str">
        <f t="shared" si="40"/>
        <v>下降</v>
      </c>
      <c r="M80" s="2226">
        <f t="shared" si="35"/>
        <v>-0.28999999999999998</v>
      </c>
      <c r="N80" s="2227" t="s">
        <v>1247</v>
      </c>
      <c r="O80" s="2198" t="str">
        <f t="shared" si="41"/>
        <v>太钢不锈15.48亿元，比上月下降0.25亿元，比年初下降0.29亿元；</v>
      </c>
    </row>
    <row r="81" spans="1:34" ht="20.25">
      <c r="A81" s="2232" t="s">
        <v>1233</v>
      </c>
      <c r="B81" s="2229">
        <v>23000</v>
      </c>
      <c r="C81" s="2229">
        <v>32314</v>
      </c>
      <c r="D81" s="2230">
        <f>551.54</f>
        <v>551.54</v>
      </c>
      <c r="E81" s="2231">
        <f t="shared" si="44"/>
        <v>-9314</v>
      </c>
      <c r="F81" s="2231">
        <f t="shared" si="43"/>
        <v>22448.46</v>
      </c>
      <c r="G81" s="2225">
        <f t="shared" si="36"/>
        <v>2.2999999999999998</v>
      </c>
      <c r="H81" s="2225">
        <f t="shared" si="37"/>
        <v>3.23</v>
      </c>
      <c r="I81" s="2225">
        <f t="shared" si="38"/>
        <v>0.06</v>
      </c>
      <c r="J81" s="1545" t="str">
        <f t="shared" si="39"/>
        <v>下降</v>
      </c>
      <c r="K81" s="2226">
        <f t="shared" si="34"/>
        <v>-0.93</v>
      </c>
      <c r="L81" s="1545" t="str">
        <f t="shared" si="40"/>
        <v>上升</v>
      </c>
      <c r="M81" s="2226">
        <f t="shared" si="35"/>
        <v>2.2400000000000002</v>
      </c>
      <c r="N81" s="2227" t="s">
        <v>1247</v>
      </c>
      <c r="O81" s="2198" t="str">
        <f t="shared" si="41"/>
        <v>宝钢德盛2.3亿元，比上月下降0.93亿元，比年初上升2.24亿元；</v>
      </c>
      <c r="AH81">
        <v>0</v>
      </c>
    </row>
    <row r="82" spans="1:34" ht="20.25">
      <c r="A82" s="2232" t="s">
        <v>1234</v>
      </c>
      <c r="B82" s="2229">
        <v>29000</v>
      </c>
      <c r="C82" s="2229">
        <v>29572</v>
      </c>
      <c r="D82" s="2230">
        <v>5604.85</v>
      </c>
      <c r="E82" s="2231">
        <f t="shared" si="44"/>
        <v>-572</v>
      </c>
      <c r="F82" s="2231">
        <f t="shared" si="43"/>
        <v>23395.15</v>
      </c>
      <c r="G82" s="2225">
        <f t="shared" si="36"/>
        <v>2.9</v>
      </c>
      <c r="H82" s="2225">
        <f t="shared" si="37"/>
        <v>2.96</v>
      </c>
      <c r="I82" s="2225">
        <f t="shared" si="38"/>
        <v>0.56000000000000005</v>
      </c>
      <c r="J82" s="1545" t="str">
        <f t="shared" si="39"/>
        <v>下降</v>
      </c>
      <c r="K82" s="2226">
        <f t="shared" si="34"/>
        <v>-0.06</v>
      </c>
      <c r="L82" s="1545" t="str">
        <f t="shared" si="40"/>
        <v>上升</v>
      </c>
      <c r="M82" s="2226">
        <f t="shared" si="35"/>
        <v>2.34</v>
      </c>
      <c r="N82" s="2227" t="s">
        <v>1247</v>
      </c>
      <c r="O82" s="2198" t="str">
        <f t="shared" si="41"/>
        <v>宁波宝新2.9亿元，比上月下降0.06亿元，比年初上升2.34亿元；</v>
      </c>
      <c r="AH82">
        <v>0</v>
      </c>
    </row>
    <row r="83" spans="1:34" ht="20.25">
      <c r="A83" s="2228" t="s">
        <v>132</v>
      </c>
      <c r="B83" s="2229">
        <v>7675.28</v>
      </c>
      <c r="C83" s="2229">
        <v>7907</v>
      </c>
      <c r="D83" s="2230">
        <v>7988</v>
      </c>
      <c r="E83" s="2231">
        <f t="shared" si="44"/>
        <v>-231.72000000000025</v>
      </c>
      <c r="F83" s="2231">
        <f t="shared" si="43"/>
        <v>-312.72000000000025</v>
      </c>
      <c r="G83" s="2225">
        <f t="shared" si="36"/>
        <v>0.77</v>
      </c>
      <c r="H83" s="2225">
        <f t="shared" si="37"/>
        <v>0.79</v>
      </c>
      <c r="I83" s="2225">
        <f t="shared" si="38"/>
        <v>0.8</v>
      </c>
      <c r="J83" s="1545" t="str">
        <f t="shared" si="39"/>
        <v>下降</v>
      </c>
      <c r="K83" s="2226">
        <f t="shared" si="34"/>
        <v>-0.02</v>
      </c>
      <c r="L83" s="1545" t="str">
        <f t="shared" si="40"/>
        <v>下降</v>
      </c>
      <c r="M83" s="2226">
        <f t="shared" si="35"/>
        <v>-0.03</v>
      </c>
      <c r="N83" s="2227" t="s">
        <v>1247</v>
      </c>
      <c r="O83" s="2197" t="str">
        <f t="shared" si="41"/>
        <v>工程技术公司0.77亿元，比上月下降0.02亿元，比年初下降0.03亿元；</v>
      </c>
      <c r="AH83">
        <v>0</v>
      </c>
    </row>
    <row r="84" spans="1:34" ht="20.25">
      <c r="A84" s="2228" t="s">
        <v>116</v>
      </c>
      <c r="B84" s="2229">
        <v>2692</v>
      </c>
      <c r="C84" s="2229">
        <v>3197</v>
      </c>
      <c r="D84" s="2230">
        <v>2276</v>
      </c>
      <c r="E84" s="2231">
        <f t="shared" si="44"/>
        <v>-505</v>
      </c>
      <c r="F84" s="2231">
        <f t="shared" si="43"/>
        <v>416</v>
      </c>
      <c r="G84" s="2225">
        <f t="shared" si="36"/>
        <v>0.27</v>
      </c>
      <c r="H84" s="2225">
        <f t="shared" si="37"/>
        <v>0.32</v>
      </c>
      <c r="I84" s="2225">
        <f t="shared" si="38"/>
        <v>0.23</v>
      </c>
      <c r="J84" s="1545" t="str">
        <f t="shared" si="39"/>
        <v>下降</v>
      </c>
      <c r="K84" s="2226">
        <f t="shared" si="34"/>
        <v>-0.05</v>
      </c>
      <c r="L84" s="1545" t="str">
        <f t="shared" si="40"/>
        <v>上升</v>
      </c>
      <c r="M84" s="2226">
        <f t="shared" si="35"/>
        <v>0.04</v>
      </c>
      <c r="N84" s="2227" t="s">
        <v>1247</v>
      </c>
      <c r="O84" s="2197" t="str">
        <f t="shared" si="41"/>
        <v>耐材公司0.27亿元，比上月下降0.05亿元，比年初上升0.04亿元；</v>
      </c>
      <c r="AH84">
        <v>0</v>
      </c>
    </row>
    <row r="85" spans="1:34" ht="20.25">
      <c r="A85" s="2228" t="s">
        <v>118</v>
      </c>
      <c r="B85" s="2229">
        <v>2879.5</v>
      </c>
      <c r="C85" s="2229">
        <v>2522</v>
      </c>
      <c r="D85" s="2230">
        <v>1190.71</v>
      </c>
      <c r="E85" s="2231">
        <f t="shared" si="44"/>
        <v>357.5</v>
      </c>
      <c r="F85" s="2231">
        <f t="shared" si="43"/>
        <v>1688.79</v>
      </c>
      <c r="G85" s="2225">
        <f t="shared" si="36"/>
        <v>0.28999999999999998</v>
      </c>
      <c r="H85" s="2225">
        <f t="shared" si="37"/>
        <v>0.25</v>
      </c>
      <c r="I85" s="2225">
        <f t="shared" si="38"/>
        <v>0.12</v>
      </c>
      <c r="J85" s="1545" t="str">
        <f t="shared" si="39"/>
        <v>上升</v>
      </c>
      <c r="K85" s="2226">
        <f t="shared" si="34"/>
        <v>0.04</v>
      </c>
      <c r="L85" s="1545" t="str">
        <f t="shared" si="40"/>
        <v>上升</v>
      </c>
      <c r="M85" s="2226">
        <f t="shared" si="35"/>
        <v>0.17</v>
      </c>
      <c r="N85" s="2227" t="s">
        <v>1247</v>
      </c>
      <c r="O85" s="2197" t="str">
        <f t="shared" si="41"/>
        <v>综合利用公司0.29亿元，比上月上升0.04亿元，比年初上升0.17亿元；</v>
      </c>
      <c r="AH85">
        <v>0</v>
      </c>
    </row>
    <row r="86" spans="1:34" ht="20.25">
      <c r="A86" s="2228" t="s">
        <v>129</v>
      </c>
      <c r="B86" s="2229">
        <v>477</v>
      </c>
      <c r="C86" s="2229">
        <v>286</v>
      </c>
      <c r="D86" s="2230">
        <v>285.85000000000002</v>
      </c>
      <c r="E86" s="2231">
        <f t="shared" si="44"/>
        <v>191</v>
      </c>
      <c r="F86" s="2231">
        <f t="shared" si="43"/>
        <v>191.14999999999998</v>
      </c>
      <c r="G86" s="2225">
        <f t="shared" si="36"/>
        <v>0.05</v>
      </c>
      <c r="H86" s="2225">
        <f t="shared" si="37"/>
        <v>0.03</v>
      </c>
      <c r="I86" s="2225">
        <f t="shared" si="38"/>
        <v>0.03</v>
      </c>
      <c r="J86" s="1545" t="str">
        <f t="shared" si="39"/>
        <v>上升</v>
      </c>
      <c r="K86" s="2226">
        <f t="shared" si="34"/>
        <v>0.02</v>
      </c>
      <c r="L86" s="1545" t="str">
        <f t="shared" si="40"/>
        <v>上升</v>
      </c>
      <c r="M86" s="2226">
        <f t="shared" si="35"/>
        <v>0.02</v>
      </c>
      <c r="N86" s="2227" t="s">
        <v>1247</v>
      </c>
      <c r="O86" s="2197" t="str">
        <f t="shared" si="41"/>
        <v>临钢公司0.05亿元，比上月上升0.02亿元，比年初上升0.02亿元；</v>
      </c>
      <c r="AH86">
        <v>0</v>
      </c>
    </row>
    <row r="87" spans="1:34" ht="20.25">
      <c r="A87" s="2228" t="s">
        <v>130</v>
      </c>
      <c r="B87" s="2229">
        <v>1280</v>
      </c>
      <c r="C87" s="2229">
        <v>1272</v>
      </c>
      <c r="D87" s="2230">
        <v>1720.41</v>
      </c>
      <c r="E87" s="2231">
        <f t="shared" si="44"/>
        <v>8</v>
      </c>
      <c r="F87" s="2231">
        <f t="shared" si="43"/>
        <v>-440.41000000000008</v>
      </c>
      <c r="G87" s="2225">
        <f t="shared" si="36"/>
        <v>0.13</v>
      </c>
      <c r="H87" s="2225">
        <f t="shared" si="37"/>
        <v>0.13</v>
      </c>
      <c r="I87" s="2225">
        <f t="shared" si="38"/>
        <v>0.17</v>
      </c>
      <c r="J87" s="1545" t="str">
        <f t="shared" si="39"/>
        <v>持平</v>
      </c>
      <c r="K87" s="2226">
        <f t="shared" si="34"/>
        <v>0</v>
      </c>
      <c r="L87" s="1545" t="str">
        <f t="shared" si="40"/>
        <v>下降</v>
      </c>
      <c r="M87" s="2226">
        <f t="shared" si="35"/>
        <v>-0.04</v>
      </c>
      <c r="N87" s="2227" t="s">
        <v>1247</v>
      </c>
      <c r="O87" s="2197" t="str">
        <f t="shared" si="41"/>
        <v>不锈钢工业园0.13亿元，与上月持平，比年初下降0.04亿元；</v>
      </c>
      <c r="AH87">
        <v>0</v>
      </c>
    </row>
    <row r="88" spans="1:34" ht="20.25">
      <c r="A88" s="2228" t="s">
        <v>1411</v>
      </c>
      <c r="B88" s="2229">
        <v>2799</v>
      </c>
      <c r="C88" s="2229">
        <v>1076</v>
      </c>
      <c r="D88" s="2230"/>
      <c r="E88" s="2231">
        <f t="shared" si="44"/>
        <v>1723</v>
      </c>
      <c r="F88" s="2231">
        <f t="shared" si="43"/>
        <v>2799</v>
      </c>
      <c r="G88" s="2225">
        <f t="shared" si="36"/>
        <v>0.28000000000000003</v>
      </c>
      <c r="H88" s="2225">
        <f t="shared" si="37"/>
        <v>0.11</v>
      </c>
      <c r="I88" s="2225">
        <f t="shared" si="38"/>
        <v>0</v>
      </c>
      <c r="J88" s="1545" t="str">
        <f t="shared" si="39"/>
        <v>上升</v>
      </c>
      <c r="K88" s="2226">
        <f t="shared" si="34"/>
        <v>0.17</v>
      </c>
      <c r="L88" s="1545" t="str">
        <f t="shared" si="40"/>
        <v>上升</v>
      </c>
      <c r="M88" s="2226">
        <f t="shared" si="35"/>
        <v>0.28000000000000003</v>
      </c>
      <c r="N88" s="2227" t="s">
        <v>1247</v>
      </c>
      <c r="O88" s="2197" t="str">
        <f t="shared" si="41"/>
        <v>钢科碳公司0.28亿元，比上月上升0.17亿元，比年初上升0.28亿元；</v>
      </c>
      <c r="AH88">
        <v>0</v>
      </c>
    </row>
    <row r="89" spans="1:34" ht="20.25">
      <c r="A89" s="2228" t="s">
        <v>121</v>
      </c>
      <c r="B89" s="2229">
        <v>8869.66</v>
      </c>
      <c r="C89" s="2229">
        <v>4161</v>
      </c>
      <c r="D89" s="2230"/>
      <c r="E89" s="2231">
        <f t="shared" si="44"/>
        <v>4708.66</v>
      </c>
      <c r="F89" s="2231">
        <f t="shared" si="43"/>
        <v>8869.66</v>
      </c>
      <c r="G89" s="2225">
        <f t="shared" si="36"/>
        <v>0.89</v>
      </c>
      <c r="H89" s="2225">
        <f t="shared" si="37"/>
        <v>0.42</v>
      </c>
      <c r="I89" s="2225">
        <f t="shared" si="38"/>
        <v>0</v>
      </c>
      <c r="J89" s="1545" t="str">
        <f t="shared" si="39"/>
        <v>上升</v>
      </c>
      <c r="K89" s="2226">
        <f t="shared" si="34"/>
        <v>0.47</v>
      </c>
      <c r="L89" s="1545" t="str">
        <f t="shared" si="40"/>
        <v>上升</v>
      </c>
      <c r="M89" s="2226">
        <f t="shared" si="35"/>
        <v>0.89</v>
      </c>
      <c r="N89" s="2227" t="s">
        <v>1247</v>
      </c>
      <c r="O89" s="2198" t="str">
        <f t="shared" si="41"/>
        <v>国贸公司0.89亿元，比上月上升0.47亿元，比年初上升0.89亿元；</v>
      </c>
      <c r="AH89">
        <v>0</v>
      </c>
    </row>
    <row r="90" spans="1:34" ht="20.25">
      <c r="A90" s="2228" t="s">
        <v>1412</v>
      </c>
      <c r="B90" s="2229">
        <v>0</v>
      </c>
      <c r="C90" s="2229">
        <v>0</v>
      </c>
      <c r="D90" s="2230"/>
      <c r="E90" s="2231">
        <f t="shared" si="44"/>
        <v>0</v>
      </c>
      <c r="F90" s="2231">
        <f t="shared" si="43"/>
        <v>0</v>
      </c>
      <c r="G90" s="2225">
        <f t="shared" si="36"/>
        <v>0</v>
      </c>
      <c r="H90" s="2225">
        <f t="shared" si="37"/>
        <v>0</v>
      </c>
      <c r="I90" s="2225">
        <f t="shared" si="38"/>
        <v>0</v>
      </c>
      <c r="J90" s="1545" t="str">
        <f t="shared" si="39"/>
        <v>持平</v>
      </c>
      <c r="K90" s="2226">
        <f t="shared" si="34"/>
        <v>0</v>
      </c>
      <c r="L90" s="1545" t="str">
        <f t="shared" si="40"/>
        <v>持平</v>
      </c>
      <c r="M90" s="2226">
        <f t="shared" si="35"/>
        <v>0</v>
      </c>
      <c r="N90" s="2227" t="s">
        <v>1247</v>
      </c>
      <c r="O90" s="2197" t="str">
        <f t="shared" si="41"/>
        <v>香港公司0亿元，与上月持平，与年初持平；</v>
      </c>
      <c r="AH90">
        <v>0</v>
      </c>
    </row>
    <row r="91" spans="1:34" ht="20.25">
      <c r="A91" s="2228" t="s">
        <v>128</v>
      </c>
      <c r="B91" s="2229">
        <v>20000</v>
      </c>
      <c r="C91" s="2229">
        <v>30000</v>
      </c>
      <c r="D91" s="2230">
        <v>170</v>
      </c>
      <c r="E91" s="2231">
        <f t="shared" si="44"/>
        <v>-10000</v>
      </c>
      <c r="F91" s="2231">
        <f t="shared" si="43"/>
        <v>19830</v>
      </c>
      <c r="G91" s="2225">
        <f t="shared" si="36"/>
        <v>2</v>
      </c>
      <c r="H91" s="2225">
        <f t="shared" si="37"/>
        <v>3</v>
      </c>
      <c r="I91" s="2225">
        <f t="shared" si="38"/>
        <v>0.02</v>
      </c>
      <c r="J91" s="1545" t="str">
        <f t="shared" si="39"/>
        <v>下降</v>
      </c>
      <c r="K91" s="2226">
        <f t="shared" si="34"/>
        <v>-1</v>
      </c>
      <c r="L91" s="1545" t="str">
        <f t="shared" si="40"/>
        <v>上升</v>
      </c>
      <c r="M91" s="2226">
        <f t="shared" si="35"/>
        <v>1.98</v>
      </c>
      <c r="N91" s="2227" t="s">
        <v>1247</v>
      </c>
      <c r="O91" s="2197" t="str">
        <f t="shared" si="41"/>
        <v>商业保理2亿元，比上月下降1亿元，比年初上升1.98亿元；</v>
      </c>
      <c r="AH91">
        <v>0</v>
      </c>
    </row>
    <row r="92" spans="1:34" ht="20.25">
      <c r="A92" s="2228" t="s">
        <v>1413</v>
      </c>
      <c r="B92" s="2229">
        <v>422</v>
      </c>
      <c r="C92" s="2229">
        <v>444</v>
      </c>
      <c r="D92" s="2230">
        <v>473</v>
      </c>
      <c r="E92" s="2231">
        <f t="shared" si="44"/>
        <v>-22</v>
      </c>
      <c r="F92" s="2231">
        <f t="shared" si="43"/>
        <v>-51</v>
      </c>
      <c r="G92" s="2225">
        <f t="shared" si="36"/>
        <v>0.04</v>
      </c>
      <c r="H92" s="2225">
        <f t="shared" si="37"/>
        <v>0.04</v>
      </c>
      <c r="I92" s="2225">
        <f t="shared" si="38"/>
        <v>0.05</v>
      </c>
      <c r="J92" s="1545" t="str">
        <f t="shared" si="39"/>
        <v>持平</v>
      </c>
      <c r="K92" s="2226">
        <f t="shared" si="34"/>
        <v>0</v>
      </c>
      <c r="L92" s="1545" t="str">
        <f t="shared" si="40"/>
        <v>下降</v>
      </c>
      <c r="M92" s="2226">
        <f t="shared" si="35"/>
        <v>-0.01</v>
      </c>
      <c r="N92" s="2227" t="s">
        <v>1247</v>
      </c>
      <c r="O92" s="2197" t="str">
        <f t="shared" si="41"/>
        <v>电气公司0.04亿元，与上月持平，比年初下降0.01亿元；</v>
      </c>
      <c r="AH92">
        <v>0</v>
      </c>
    </row>
    <row r="93" spans="1:34" ht="20.25">
      <c r="A93" s="2228" t="s">
        <v>141</v>
      </c>
      <c r="B93" s="2229">
        <v>1153.46</v>
      </c>
      <c r="C93" s="2229">
        <v>1186</v>
      </c>
      <c r="D93" s="2230">
        <v>383.32</v>
      </c>
      <c r="E93" s="2231">
        <f>B93-C93</f>
        <v>-32.539999999999964</v>
      </c>
      <c r="F93" s="2231">
        <f t="shared" si="43"/>
        <v>770.1400000000001</v>
      </c>
      <c r="G93" s="2225">
        <f t="shared" si="36"/>
        <v>0.12</v>
      </c>
      <c r="H93" s="2225">
        <f t="shared" si="37"/>
        <v>0.12</v>
      </c>
      <c r="I93" s="2225">
        <f t="shared" si="38"/>
        <v>0.04</v>
      </c>
      <c r="J93" s="1545" t="str">
        <f t="shared" si="39"/>
        <v>持平</v>
      </c>
      <c r="K93" s="2226">
        <f t="shared" si="34"/>
        <v>0</v>
      </c>
      <c r="L93" s="1545" t="str">
        <f t="shared" si="40"/>
        <v>上升</v>
      </c>
      <c r="M93" s="2226">
        <f t="shared" si="35"/>
        <v>0.08</v>
      </c>
      <c r="N93" s="2227" t="s">
        <v>1247</v>
      </c>
      <c r="O93" s="2197" t="str">
        <f t="shared" si="41"/>
        <v>其他子公司0.12亿元，与上月持平，比年初上升0.08亿元；</v>
      </c>
      <c r="AH93">
        <v>0</v>
      </c>
    </row>
    <row r="94" spans="1:34" ht="20.25">
      <c r="A94" s="2228" t="s">
        <v>1421</v>
      </c>
      <c r="B94" s="2230">
        <f>B77-B79-B89</f>
        <v>41664.860000000015</v>
      </c>
      <c r="C94" s="2230">
        <v>50322</v>
      </c>
      <c r="D94" s="2230">
        <f>D77-D79-D89</f>
        <v>16691.290000000008</v>
      </c>
      <c r="E94" s="2231">
        <f>B94-C94</f>
        <v>-8657.1399999999849</v>
      </c>
      <c r="F94" s="2231">
        <f t="shared" ref="F94" si="45">B94-D94</f>
        <v>24973.570000000007</v>
      </c>
      <c r="G94" s="2225">
        <f t="shared" ref="G94" si="46">ROUND(B94/10000,2)</f>
        <v>4.17</v>
      </c>
      <c r="H94" s="2225">
        <f t="shared" ref="H94" si="47">ROUND(C94/10000,2)</f>
        <v>5.03</v>
      </c>
      <c r="I94" s="2225">
        <f t="shared" ref="I94" si="48">ROUND(D94/10000,2)</f>
        <v>1.67</v>
      </c>
      <c r="J94" s="1545" t="str">
        <f t="shared" si="39"/>
        <v>下降</v>
      </c>
      <c r="K94" s="2226">
        <f t="shared" si="34"/>
        <v>-0.87</v>
      </c>
      <c r="L94" s="1545" t="str">
        <f t="shared" si="40"/>
        <v>上升</v>
      </c>
      <c r="M94" s="2226">
        <f t="shared" si="35"/>
        <v>2.5</v>
      </c>
      <c r="N94" s="2227" t="s">
        <v>1247</v>
      </c>
      <c r="O94" s="2198" t="str">
        <f>A94&amp;G94&amp;N94&amp;$D$1&amp;IF(J94&lt;&gt;"持平",$J$76&amp;J94&amp;ABS(K94)&amp;N94&amp;$D$1,"与上月持平"&amp;$D$1)&amp;IF(L94&lt;&gt;"持平",$L$76&amp;L94&amp;ABS(M94)&amp;N94&amp;$F$1,"与年初持平"&amp;$F$1)</f>
        <v>其他单位4.17亿元，比上月下降0.87亿元，比年初上升2.5亿元。</v>
      </c>
      <c r="AH94">
        <v>0</v>
      </c>
    </row>
    <row r="95" spans="1:34" ht="15">
      <c r="A95" s="2205" t="s">
        <v>1414</v>
      </c>
      <c r="B95" s="2359">
        <v>71200.002243450042</v>
      </c>
      <c r="C95" s="2359">
        <v>71200.002243450042</v>
      </c>
      <c r="D95" s="2223">
        <v>0</v>
      </c>
      <c r="E95" s="2224">
        <f t="shared" si="44"/>
        <v>0</v>
      </c>
      <c r="F95" s="2224">
        <f t="shared" si="43"/>
        <v>71200.002243450042</v>
      </c>
      <c r="G95" s="2225">
        <f t="shared" si="36"/>
        <v>7.12</v>
      </c>
      <c r="H95" s="2225">
        <f t="shared" si="37"/>
        <v>7.12</v>
      </c>
      <c r="I95" s="2225">
        <f t="shared" si="38"/>
        <v>0</v>
      </c>
      <c r="J95" s="1545" t="str">
        <f t="shared" si="39"/>
        <v>持平</v>
      </c>
      <c r="K95" s="2226">
        <f t="shared" si="34"/>
        <v>0</v>
      </c>
      <c r="L95" s="1545" t="str">
        <f t="shared" si="40"/>
        <v>上升</v>
      </c>
      <c r="M95" s="2226">
        <f t="shared" si="35"/>
        <v>7.12</v>
      </c>
      <c r="N95" s="2227" t="s">
        <v>1247</v>
      </c>
      <c r="AH95">
        <v>0</v>
      </c>
    </row>
    <row r="96" spans="1:34" ht="15">
      <c r="A96" s="2205" t="s">
        <v>1415</v>
      </c>
      <c r="B96" s="2223">
        <f>B77-B95</f>
        <v>186176.51775654999</v>
      </c>
      <c r="C96" s="2223">
        <f>C77-C95</f>
        <v>202284.51775654999</v>
      </c>
      <c r="D96" s="2223">
        <f>D77-D95</f>
        <v>180636.68000000002</v>
      </c>
      <c r="E96" s="2224">
        <f t="shared" si="44"/>
        <v>-16108</v>
      </c>
      <c r="F96" s="2224">
        <f>B96-D96-1</f>
        <v>5538.8377565499686</v>
      </c>
      <c r="G96" s="2225">
        <f t="shared" si="36"/>
        <v>18.62</v>
      </c>
      <c r="H96" s="2225">
        <f t="shared" si="37"/>
        <v>20.23</v>
      </c>
      <c r="I96" s="2225">
        <f t="shared" si="38"/>
        <v>18.059999999999999</v>
      </c>
      <c r="J96" s="1545" t="str">
        <f t="shared" si="39"/>
        <v>下降</v>
      </c>
      <c r="K96" s="2226">
        <f t="shared" si="34"/>
        <v>-1.61</v>
      </c>
      <c r="L96" s="1545" t="str">
        <f t="shared" si="40"/>
        <v>上升</v>
      </c>
      <c r="M96" s="2226">
        <f t="shared" si="35"/>
        <v>0.55000000000000004</v>
      </c>
      <c r="N96" s="2227" t="s">
        <v>1247</v>
      </c>
      <c r="AH96">
        <v>0</v>
      </c>
    </row>
    <row r="97" spans="1:34">
      <c r="AH97">
        <v>0</v>
      </c>
    </row>
    <row r="98" spans="1:34" ht="23.25" customHeight="1">
      <c r="A98" s="92" t="s">
        <v>1508</v>
      </c>
      <c r="AH98">
        <v>0</v>
      </c>
    </row>
    <row r="99" spans="1:34" ht="20.25" customHeight="1">
      <c r="A99" s="1828" t="s">
        <v>1187</v>
      </c>
      <c r="B99" s="1828" t="s">
        <v>1245</v>
      </c>
      <c r="C99" s="1828" t="s">
        <v>1503</v>
      </c>
      <c r="D99" s="1828" t="s">
        <v>1504</v>
      </c>
      <c r="E99" s="1828" t="s">
        <v>1505</v>
      </c>
      <c r="F99" s="1828" t="s">
        <v>1506</v>
      </c>
      <c r="G99" s="1828" t="s">
        <v>1507</v>
      </c>
      <c r="H99" s="1828" t="s">
        <v>425</v>
      </c>
      <c r="I99" s="1828" t="s">
        <v>426</v>
      </c>
      <c r="J99" s="1828" t="s">
        <v>427</v>
      </c>
      <c r="K99" s="1828" t="s">
        <v>428</v>
      </c>
      <c r="L99" s="1828" t="str">
        <f>"1-"&amp;$A$2&amp;"月累计"</f>
        <v>1-8月累计</v>
      </c>
      <c r="AH99">
        <v>0</v>
      </c>
    </row>
    <row r="100" spans="1:34" ht="20.25" customHeight="1">
      <c r="A100" s="2228" t="s">
        <v>1251</v>
      </c>
      <c r="B100" s="2232" t="s">
        <v>1246</v>
      </c>
      <c r="C100" s="2360">
        <v>1291.7342967212801</v>
      </c>
      <c r="D100" s="2360">
        <v>1395</v>
      </c>
      <c r="E100" s="2360">
        <v>116.46499300000001</v>
      </c>
      <c r="F100" s="2360">
        <v>117.89511040000001</v>
      </c>
      <c r="G100" s="2360">
        <v>109.2</v>
      </c>
      <c r="H100" s="2360">
        <v>119</v>
      </c>
      <c r="I100" s="2360">
        <v>127.4978909</v>
      </c>
      <c r="J100" s="2360">
        <v>129.170389</v>
      </c>
      <c r="K100" s="2571">
        <v>111.71344400000001</v>
      </c>
      <c r="L100" s="2360">
        <f>SUM(E100:K100)</f>
        <v>830.9418273</v>
      </c>
      <c r="AH100">
        <v>0</v>
      </c>
    </row>
    <row r="101" spans="1:34">
      <c r="A101" s="2228" t="s">
        <v>1495</v>
      </c>
      <c r="B101" s="2232" t="s">
        <v>1496</v>
      </c>
      <c r="C101" s="2360">
        <v>2.2963368414392158</v>
      </c>
      <c r="D101" s="2360">
        <v>2.35</v>
      </c>
      <c r="E101" s="2360">
        <v>2.1926169761848997</v>
      </c>
      <c r="F101" s="2360">
        <v>2.2737508538035369</v>
      </c>
      <c r="G101" s="2360">
        <v>2.2774530010225242</v>
      </c>
      <c r="H101" s="2360">
        <v>2.3315642022312733</v>
      </c>
      <c r="I101" s="2570">
        <v>2.3199999999999998</v>
      </c>
      <c r="J101" s="2570">
        <v>2.36</v>
      </c>
      <c r="K101" s="2570">
        <v>2.29</v>
      </c>
      <c r="L101" s="2570">
        <v>2.29</v>
      </c>
      <c r="AH101">
        <v>0</v>
      </c>
    </row>
    <row r="102" spans="1:34">
      <c r="A102" s="2228" t="s">
        <v>1497</v>
      </c>
      <c r="B102" s="2232" t="s">
        <v>1498</v>
      </c>
      <c r="C102" s="2360">
        <v>963</v>
      </c>
      <c r="D102" s="2360">
        <v>920</v>
      </c>
      <c r="E102" s="2360">
        <v>920.5</v>
      </c>
      <c r="F102" s="2360">
        <v>933.3</v>
      </c>
      <c r="G102" s="2360">
        <v>918.68058106340652</v>
      </c>
      <c r="H102" s="2360">
        <v>929.2113080684037</v>
      </c>
      <c r="I102" s="2570">
        <v>905.4</v>
      </c>
      <c r="J102" s="2570">
        <v>894.7</v>
      </c>
      <c r="K102" s="2570">
        <v>876</v>
      </c>
      <c r="L102" s="2570">
        <v>910.2</v>
      </c>
      <c r="AH102">
        <v>0</v>
      </c>
    </row>
    <row r="103" spans="1:34">
      <c r="A103" s="2228" t="s">
        <v>1499</v>
      </c>
      <c r="B103" s="2232" t="s">
        <v>1385</v>
      </c>
      <c r="C103" s="2360">
        <v>3.62</v>
      </c>
      <c r="D103" s="2360">
        <v>3.5</v>
      </c>
      <c r="E103" s="2360">
        <v>2.36</v>
      </c>
      <c r="F103" s="2360">
        <v>2.23</v>
      </c>
      <c r="G103" s="2360">
        <v>2.78</v>
      </c>
      <c r="H103" s="2360">
        <v>2.92</v>
      </c>
      <c r="I103" s="2360">
        <v>2.94</v>
      </c>
      <c r="J103" s="2360">
        <v>2.85</v>
      </c>
      <c r="K103" s="2571">
        <v>2.58</v>
      </c>
      <c r="L103" s="2360">
        <v>2.67</v>
      </c>
      <c r="AH103">
        <v>0</v>
      </c>
    </row>
    <row r="104" spans="1:34">
      <c r="A104" s="2228" t="s">
        <v>1500</v>
      </c>
      <c r="B104" s="2232" t="s">
        <v>1501</v>
      </c>
      <c r="C104" s="2360">
        <v>581</v>
      </c>
      <c r="D104" s="2360">
        <v>571</v>
      </c>
      <c r="E104" s="2360">
        <v>569</v>
      </c>
      <c r="F104" s="2360">
        <v>561</v>
      </c>
      <c r="G104" s="2360">
        <v>561.6</v>
      </c>
      <c r="H104" s="2360">
        <v>567.08767934850778</v>
      </c>
      <c r="I104" s="2360">
        <v>552.44073974243508</v>
      </c>
      <c r="J104" s="2360">
        <v>564.7325075153376</v>
      </c>
      <c r="K104" s="2570">
        <v>558</v>
      </c>
      <c r="L104" s="2570">
        <v>562</v>
      </c>
      <c r="AH104">
        <v>0</v>
      </c>
    </row>
    <row r="105" spans="1:34">
      <c r="A105" s="2228" t="s">
        <v>1502</v>
      </c>
      <c r="B105" s="2232" t="s">
        <v>1385</v>
      </c>
      <c r="C105" s="2360">
        <v>39.299999999999997</v>
      </c>
      <c r="D105" s="2360">
        <v>45</v>
      </c>
      <c r="E105" s="2360">
        <v>42.4</v>
      </c>
      <c r="F105" s="2360">
        <v>33.869999999999997</v>
      </c>
      <c r="G105" s="2360">
        <v>48.65</v>
      </c>
      <c r="H105" s="2360">
        <v>56.17</v>
      </c>
      <c r="I105" s="2360">
        <v>56.16</v>
      </c>
      <c r="J105" s="2360">
        <v>56.99</v>
      </c>
      <c r="K105" s="2570">
        <v>60.13</v>
      </c>
      <c r="L105" s="2570">
        <v>50.62</v>
      </c>
      <c r="AH105">
        <v>0</v>
      </c>
    </row>
    <row r="106" spans="1:34">
      <c r="AH106">
        <v>0</v>
      </c>
    </row>
    <row r="107" spans="1:34">
      <c r="A107" s="2491" t="s">
        <v>1689</v>
      </c>
      <c r="B107" s="2491" t="s">
        <v>1695</v>
      </c>
      <c r="C107" s="2491" t="s">
        <v>1693</v>
      </c>
      <c r="D107" s="2491" t="str">
        <f>$A$2&amp;"月末"</f>
        <v>8月末</v>
      </c>
      <c r="E107" s="2491" t="s">
        <v>1694</v>
      </c>
    </row>
    <row r="108" spans="1:34" ht="20.25">
      <c r="A108" s="2492" t="s">
        <v>1690</v>
      </c>
      <c r="B108" s="2492" t="s">
        <v>1696</v>
      </c>
      <c r="C108" s="2492">
        <f>C109+C110</f>
        <v>517.99</v>
      </c>
      <c r="D108" s="2494">
        <f>D109+D110</f>
        <v>465.27</v>
      </c>
      <c r="E108" s="2200" t="str">
        <f>IF(F108&gt;0,"上升",IF(F108&lt;0,"下降","持平"))</f>
        <v>下降</v>
      </c>
      <c r="F108" s="2493">
        <f>ROUND(D108-C108,2)</f>
        <v>-52.72</v>
      </c>
      <c r="G108" s="2198" t="str">
        <f>$D$107&amp;A108&amp;$A$107&amp;D108&amp;B108&amp;$D$1&amp;J1&amp;G109&amp;$E$1&amp;G110&amp;$F$1</f>
        <v>8月末太钢集团（合并口径）带息负债465.27亿元，其中：太钢本部414.39亿元，较年初下降76.23亿元；宝钢德盛50.88亿元，较年初上升23.51亿元。</v>
      </c>
    </row>
    <row r="109" spans="1:34" ht="20.25">
      <c r="A109" s="2492" t="s">
        <v>1691</v>
      </c>
      <c r="B109" s="2492" t="s">
        <v>1696</v>
      </c>
      <c r="C109" s="2492">
        <v>490.62</v>
      </c>
      <c r="D109" s="2494">
        <v>414.39</v>
      </c>
      <c r="E109" s="2200" t="str">
        <f t="shared" ref="E109:E110" si="49">IF(F109&gt;0,"上升",IF(F109&lt;0,"下降","持平"))</f>
        <v>下降</v>
      </c>
      <c r="F109" s="2493">
        <f>ROUND(D109-C109,2)</f>
        <v>-76.23</v>
      </c>
      <c r="G109" s="2198" t="str">
        <f>A109&amp;D109&amp;B109&amp;$D$1&amp;J2&amp;$E$107&amp;E109&amp;ABS(F109)&amp;B109</f>
        <v>太钢本部414.39亿元，较年初下降76.23亿元</v>
      </c>
    </row>
    <row r="110" spans="1:34" ht="20.25">
      <c r="A110" s="2492" t="s">
        <v>1692</v>
      </c>
      <c r="B110" s="2492" t="s">
        <v>1696</v>
      </c>
      <c r="C110" s="2492">
        <v>27.37</v>
      </c>
      <c r="D110" s="2494">
        <v>50.88</v>
      </c>
      <c r="E110" s="2200" t="str">
        <f t="shared" si="49"/>
        <v>上升</v>
      </c>
      <c r="F110" s="2493">
        <f>ROUND(D110-C110,2)</f>
        <v>23.51</v>
      </c>
      <c r="G110" s="2198" t="str">
        <f>A110&amp;D110&amp;B110&amp;$D$1&amp;J3&amp;$E$107&amp;E110&amp;ABS(F110)&amp;B110</f>
        <v>宝钢德盛50.88亿元，较年初上升23.51亿元</v>
      </c>
    </row>
    <row r="112" spans="1:34">
      <c r="A112" s="2491" t="s">
        <v>1697</v>
      </c>
      <c r="B112" s="2491" t="s">
        <v>1695</v>
      </c>
      <c r="C112" s="2491" t="str">
        <f>$A$2&amp;"月"</f>
        <v>8月</v>
      </c>
      <c r="D112" s="2491" t="s">
        <v>1699</v>
      </c>
    </row>
    <row r="113" spans="1:10" ht="20.25">
      <c r="A113" s="2492" t="s">
        <v>1690</v>
      </c>
      <c r="B113" s="2492" t="s">
        <v>1696</v>
      </c>
      <c r="C113" s="2492">
        <f>ROUND(C114+C115+C116,2)</f>
        <v>22.4</v>
      </c>
      <c r="D113" s="2492">
        <f>ROUND(D114+D115+D116,2)</f>
        <v>136.38999999999999</v>
      </c>
      <c r="E113" s="2198" t="str">
        <f>$C$112&amp;A113&amp;$A$112&amp;C113&amp;B113&amp;$D$1&amp;J1&amp;E114&amp;$D$1&amp;E115&amp;$D$1&amp;E116&amp;$F$1</f>
        <v>8月太钢集团（合并口径）经营活动现金流22.4亿元，其中：太钢本部24.47亿元，宝钢德盛-5.6亿元，宁波宝新3.53亿元。</v>
      </c>
    </row>
    <row r="114" spans="1:10" ht="20.25">
      <c r="A114" s="2492" t="s">
        <v>1691</v>
      </c>
      <c r="B114" s="2492" t="s">
        <v>1696</v>
      </c>
      <c r="C114" s="2495">
        <v>24.4709</v>
      </c>
      <c r="D114" s="2495">
        <v>137.28378171349996</v>
      </c>
      <c r="E114" s="2198" t="str">
        <f>A114&amp;ROUND(C114,2)&amp;B114</f>
        <v>太钢本部24.47亿元</v>
      </c>
      <c r="G114" s="2198" t="str">
        <f>A114&amp;ROUND(D114,2)&amp;B114</f>
        <v>太钢本部137.28亿元</v>
      </c>
    </row>
    <row r="115" spans="1:10" ht="20.25">
      <c r="A115" s="2492" t="s">
        <v>1692</v>
      </c>
      <c r="B115" s="2492" t="s">
        <v>1696</v>
      </c>
      <c r="C115" s="2495">
        <v>-5.6</v>
      </c>
      <c r="D115" s="2495">
        <v>-2.0999928767000093</v>
      </c>
      <c r="E115" s="2198" t="str">
        <f t="shared" ref="E115:E116" si="50">A115&amp;ROUND(C115,2)&amp;B115</f>
        <v>宝钢德盛-5.6亿元</v>
      </c>
      <c r="G115" s="2198" t="str">
        <f t="shared" ref="G115:G116" si="51">A115&amp;ROUND(D115,2)&amp;B115</f>
        <v>宝钢德盛-2.1亿元</v>
      </c>
    </row>
    <row r="116" spans="1:10" ht="20.25">
      <c r="A116" s="2492" t="s">
        <v>1698</v>
      </c>
      <c r="B116" s="2492" t="s">
        <v>1696</v>
      </c>
      <c r="C116" s="2495">
        <v>3.53</v>
      </c>
      <c r="D116" s="2495">
        <v>1.2048148042000015</v>
      </c>
      <c r="E116" s="2198" t="str">
        <f t="shared" si="50"/>
        <v>宁波宝新3.53亿元</v>
      </c>
      <c r="G116" s="2198" t="str">
        <f t="shared" si="51"/>
        <v>宁波宝新1.2亿元</v>
      </c>
    </row>
    <row r="117" spans="1:10" ht="20.25">
      <c r="E117" s="2198" t="str">
        <f>D112&amp;ROUND(D113,2)&amp;B113&amp;$D$1&amp;$J$1&amp;G114&amp;$D$1&amp;G115&amp;$D$1&amp;G116&amp;$F$1</f>
        <v>累计实现136.39亿元，其中：太钢本部137.28亿元，宝钢德盛-2.1亿元，宁波宝新1.2亿元。</v>
      </c>
    </row>
    <row r="119" spans="1:10">
      <c r="A119" s="2491" t="s">
        <v>1703</v>
      </c>
      <c r="B119" s="2491" t="s">
        <v>1695</v>
      </c>
      <c r="C119" s="2491" t="s">
        <v>1693</v>
      </c>
      <c r="D119" s="2491" t="str">
        <f>$A$2-1&amp;"月末"</f>
        <v>7月末</v>
      </c>
      <c r="E119" s="2491" t="str">
        <f>$A$2&amp;"月末"</f>
        <v>8月末</v>
      </c>
      <c r="F119" s="2491" t="s">
        <v>1700</v>
      </c>
      <c r="H119" s="2491" t="s">
        <v>1694</v>
      </c>
    </row>
    <row r="120" spans="1:10" ht="20.25">
      <c r="A120" s="2492" t="s">
        <v>1702</v>
      </c>
      <c r="B120" s="2492" t="s">
        <v>1696</v>
      </c>
      <c r="C120" s="2492">
        <v>143.35</v>
      </c>
      <c r="D120" s="2494">
        <v>141.13</v>
      </c>
      <c r="E120" s="2494">
        <v>148.1</v>
      </c>
      <c r="F120" s="2200" t="str">
        <f>IF(G120&gt;0,"上升",IF(G120&lt;0,"下降","持平"))</f>
        <v>上升</v>
      </c>
      <c r="G120" s="2496">
        <f>ROUND(E120-D120,2)</f>
        <v>6.97</v>
      </c>
      <c r="H120" s="2200" t="str">
        <f>IF(I120&gt;0,"上升",IF(I120&lt;0,"下降","持平"))</f>
        <v>上升</v>
      </c>
      <c r="I120" s="2496">
        <f>ROUND(E120-C120,2)</f>
        <v>4.75</v>
      </c>
      <c r="J120" s="2198" t="str">
        <f>$E$119&amp;$A$119&amp;A120&amp;E120&amp;B120&amp;$D$1&amp;$F$119&amp;D120&amp;B120&amp;F120&amp;ABS(G120)&amp;B120&amp;$D$1&amp;$H$119&amp;H120&amp;ABS(I120)&amp;B120&amp;$D$1&amp;$J$1&amp;J121</f>
        <v>8月末太钢集团（管理口径）库存余额净额148.1亿元，较上月141.13亿元上升6.97亿元，较年初上升4.75亿元，其中：产成品库存46.68亿元，较上月46.71亿元下降0.03亿元，较年初上升0.58亿元。</v>
      </c>
    </row>
    <row r="121" spans="1:10" ht="20.25">
      <c r="A121" s="2492" t="s">
        <v>1701</v>
      </c>
      <c r="B121" s="2492" t="s">
        <v>1696</v>
      </c>
      <c r="C121" s="2492">
        <v>46.1</v>
      </c>
      <c r="D121" s="2494">
        <v>46.71</v>
      </c>
      <c r="E121" s="2494">
        <v>46.68</v>
      </c>
      <c r="F121" s="2200" t="str">
        <f>IF(G121&gt;0,"上升",IF(G121&lt;0,"下降","持平"))</f>
        <v>下降</v>
      </c>
      <c r="G121" s="2496">
        <f>ROUND(E121-D121,2)</f>
        <v>-0.03</v>
      </c>
      <c r="H121" s="2200" t="str">
        <f>IF(I121&gt;0,"上升",IF(I121&lt;0,"下降","持平"))</f>
        <v>上升</v>
      </c>
      <c r="I121" s="2496">
        <f>ROUND(E121-C121,2)</f>
        <v>0.57999999999999996</v>
      </c>
      <c r="J121" s="2198" t="str">
        <f>A121&amp;E121&amp;B121&amp;$D$1&amp;$F$119&amp;D121&amp;B121&amp;F121&amp;ABS(G121)&amp;B121&amp;$D$1&amp;$H$119&amp;H121&amp;ABS(I121)&amp;B121&amp;$F$1</f>
        <v>产成品库存46.68亿元，较上月46.71亿元下降0.03亿元，较年初上升0.58亿元。</v>
      </c>
    </row>
  </sheetData>
  <customSheetViews>
    <customSheetView guid="{1683F931-F47D-47C0-A395-D48080DC7EE6}" showPageBreaks="1" topLeftCell="J1">
      <selection activeCell="I34" sqref="I34"/>
      <pageMargins left="0.7" right="0.7" top="0.75" bottom="0.75" header="0.3" footer="0.3"/>
      <pageSetup paperSize="9" orientation="portrait" r:id="rId1"/>
    </customSheetView>
    <customSheetView guid="{43897816-D2F0-4C3D-8F57-E0039BD2296B}">
      <selection activeCell="I34" sqref="I34"/>
      <pageMargins left="0.7" right="0.7" top="0.75" bottom="0.75" header="0.3" footer="0.3"/>
    </customSheetView>
    <customSheetView guid="{849C46E5-4ED4-41B9-BDA9-A6465B9DA9C2}" scale="85" fitToPage="1" hiddenRows="1" topLeftCell="A41">
      <selection activeCell="B103" sqref="B103"/>
      <pageMargins left="0.7" right="0.7" top="0.75" bottom="0.75" header="0.3" footer="0.3"/>
      <pageSetup paperSize="9" scale="23" orientation="landscape" r:id="rId2"/>
    </customSheetView>
    <customSheetView guid="{8C09BCDE-4B8A-4469-B3F2-7F4528A2E78D}" scale="85" fitToPage="1" hiddenRows="1" topLeftCell="A41">
      <selection activeCell="B103" sqref="B103"/>
      <pageMargins left="0.7" right="0.7" top="0.75" bottom="0.75" header="0.3" footer="0.3"/>
      <pageSetup paperSize="9" scale="23" orientation="landscape" r:id="rId3"/>
    </customSheetView>
    <customSheetView guid="{F4EB51F4-FD23-4D5B-8072-1AF5D59D6686}">
      <selection activeCell="I75" sqref="I75"/>
      <pageMargins left="0.7" right="0.7" top="0.75" bottom="0.75" header="0.3" footer="0.3"/>
    </customSheetView>
    <customSheetView guid="{D7BCFB76-2797-401D-A6F1-E020B5162DD4}" topLeftCell="A68">
      <selection activeCell="D96" sqref="D96"/>
      <pageMargins left="0.7" right="0.7" top="0.75" bottom="0.75" header="0.3" footer="0.3"/>
    </customSheetView>
    <customSheetView guid="{C9A88430-3808-49F4-8D86-BF8C70C55441}" topLeftCell="A25">
      <selection activeCell="E33" sqref="E33"/>
      <pageMargins left="0.7" right="0.7" top="0.75" bottom="0.75" header="0.3" footer="0.3"/>
      <pageSetup paperSize="9" orientation="portrait" r:id="rId4"/>
    </customSheetView>
    <customSheetView guid="{E61FFED3-723E-484A-93A0-94E1A801AF06}" topLeftCell="J1">
      <selection activeCell="I34" sqref="I34"/>
      <pageMargins left="0.7" right="0.7" top="0.75" bottom="0.75" header="0.3" footer="0.3"/>
      <pageSetup paperSize="9" orientation="portrait" r:id="rId5"/>
    </customSheetView>
    <customSheetView guid="{6B5CCA07-2BDD-4B8E-9E3C-2111BBA97430}">
      <selection activeCell="E40" sqref="E40"/>
      <pageMargins left="0.7" right="0.7" top="0.75" bottom="0.75" header="0.3" footer="0.3"/>
    </customSheetView>
    <customSheetView guid="{C52D0F53-4D1D-4D01-B833-260359FD02A5}" topLeftCell="A19">
      <selection activeCell="G37" sqref="G37"/>
      <pageMargins left="0.7" right="0.7" top="0.75" bottom="0.75" header="0.3" footer="0.3"/>
    </customSheetView>
    <customSheetView guid="{6A1E79C9-91E3-4EEA-8ABB-4446083299EC}" topLeftCell="J1">
      <selection activeCell="I34" sqref="I34"/>
      <pageMargins left="0.7" right="0.7" top="0.75" bottom="0.75" header="0.3" footer="0.3"/>
      <pageSetup paperSize="9" orientation="portrait" r:id="rId6"/>
    </customSheetView>
    <customSheetView guid="{8B80B510-C931-46B1-8591-DEA916D76593}" topLeftCell="A49">
      <selection activeCell="I34" sqref="I34"/>
      <pageMargins left="0.7" right="0.7" top="0.75" bottom="0.75" header="0.3" footer="0.3"/>
    </customSheetView>
    <customSheetView guid="{303A9D89-611D-4504-BCAA-071C53B021F7}" topLeftCell="A10">
      <selection activeCell="J15" sqref="J15"/>
      <pageMargins left="0.7" right="0.7" top="0.75" bottom="0.75" header="0.3" footer="0.3"/>
    </customSheetView>
    <customSheetView guid="{4583A87D-5DFF-47BD-849A-FA4AAF2B9CE3}">
      <selection activeCell="I34" sqref="I34"/>
      <pageMargins left="0.7" right="0.7" top="0.75" bottom="0.75" header="0.3" footer="0.3"/>
    </customSheetView>
    <customSheetView guid="{EA856AC2-CDFF-46B6-B0C4-30449DF132F4}">
      <selection activeCell="I34" sqref="I34"/>
      <pageMargins left="0.7" right="0.7" top="0.75" bottom="0.75" header="0.3" footer="0.3"/>
    </customSheetView>
    <customSheetView guid="{322A45A6-8B26-49B8-A4D9-EFB3C94A758D}" topLeftCell="A14">
      <selection activeCell="N31" sqref="N31"/>
      <pageMargins left="0.7" right="0.7" top="0.75" bottom="0.75" header="0.3" footer="0.3"/>
      <pageSetup paperSize="9" orientation="portrait" r:id="rId7"/>
    </customSheetView>
  </customSheetViews>
  <mergeCells count="13">
    <mergeCell ref="G16:G17"/>
    <mergeCell ref="H16:H17"/>
    <mergeCell ref="F16:F17"/>
    <mergeCell ref="A16:A17"/>
    <mergeCell ref="C16:C17"/>
    <mergeCell ref="B16:B17"/>
    <mergeCell ref="D16:D17"/>
    <mergeCell ref="E16:E17"/>
    <mergeCell ref="J76:K76"/>
    <mergeCell ref="L76:M76"/>
    <mergeCell ref="H3:K3"/>
    <mergeCell ref="L3:O3"/>
    <mergeCell ref="Q3:T3"/>
  </mergeCells>
  <phoneticPr fontId="133" type="noConversion"/>
  <pageMargins left="0.7" right="0.7" top="0.75" bottom="0.75" header="0.3" footer="0.3"/>
  <pageSetup paperSize="9" orientation="portrait" r:id="rId8"/>
  <legacyDrawing r:id="rId9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H181"/>
  <sheetViews>
    <sheetView topLeftCell="A19" zoomScaleNormal="100" workbookViewId="0">
      <selection activeCell="G45" sqref="G45:G50"/>
    </sheetView>
  </sheetViews>
  <sheetFormatPr defaultColWidth="9" defaultRowHeight="14.25"/>
  <cols>
    <col min="1" max="1" width="16.125" style="410" customWidth="1"/>
    <col min="2" max="2" width="31.5" style="411" bestFit="1" customWidth="1"/>
    <col min="3" max="3" width="11" style="412" customWidth="1"/>
    <col min="4" max="4" width="11" style="413" customWidth="1"/>
    <col min="5" max="5" width="14.875" style="414" customWidth="1"/>
    <col min="6" max="6" width="14.625" style="412" customWidth="1"/>
    <col min="7" max="7" width="14.25" style="412" customWidth="1"/>
    <col min="8" max="8" width="12" style="412" customWidth="1"/>
    <col min="9" max="9" width="12.25" style="412" customWidth="1"/>
    <col min="10" max="10" width="10.5" style="412" customWidth="1"/>
    <col min="11" max="11" width="11.25" style="412" customWidth="1"/>
    <col min="12" max="12" width="10.25" style="412" customWidth="1"/>
    <col min="13" max="13" width="11.5" style="412" customWidth="1"/>
    <col min="14" max="14" width="13.5" style="415" customWidth="1"/>
    <col min="15" max="15" width="11.5" style="411" customWidth="1"/>
    <col min="16" max="16" width="28.375" style="411" customWidth="1"/>
    <col min="17" max="17" width="10.125" style="411" customWidth="1"/>
    <col min="18" max="18" width="10.125" style="411" bestFit="1" customWidth="1"/>
    <col min="19" max="19" width="10.75" style="411" customWidth="1"/>
    <col min="20" max="20" width="9.5" style="411" customWidth="1"/>
    <col min="21" max="21" width="10.375" style="411" customWidth="1"/>
    <col min="22" max="22" width="13.5" style="411" customWidth="1"/>
    <col min="23" max="23" width="9.625" style="411" customWidth="1"/>
    <col min="24" max="24" width="10.625" style="411" customWidth="1"/>
    <col min="25" max="25" width="12.5" style="411" customWidth="1"/>
    <col min="26" max="26" width="12.625" style="411" customWidth="1"/>
    <col min="27" max="28" width="13.25" style="411" customWidth="1"/>
    <col min="29" max="16384" width="9" style="411"/>
  </cols>
  <sheetData>
    <row r="1" spans="1:32" s="403" customFormat="1">
      <c r="A1" s="416"/>
      <c r="B1" s="403" t="s">
        <v>0</v>
      </c>
      <c r="C1" s="417">
        <f>'#经营概况'!B1</f>
        <v>2021</v>
      </c>
      <c r="D1" s="418"/>
      <c r="E1" s="418"/>
      <c r="F1" s="417">
        <f>'#经营概况'!E1</f>
        <v>2021</v>
      </c>
      <c r="G1" s="417"/>
      <c r="H1" s="417"/>
      <c r="I1" s="417"/>
      <c r="J1" s="417"/>
      <c r="K1" s="417"/>
      <c r="L1" s="417"/>
      <c r="M1" s="417"/>
      <c r="N1" s="417"/>
    </row>
    <row r="2" spans="1:32" s="403" customFormat="1">
      <c r="A2" s="416"/>
      <c r="B2" s="403" t="s">
        <v>1</v>
      </c>
      <c r="C2" s="417">
        <f>'#经营概况'!B2</f>
        <v>8</v>
      </c>
      <c r="D2" s="418"/>
      <c r="E2" s="418"/>
      <c r="F2" s="417">
        <f>'#经营概况'!E2</f>
        <v>7</v>
      </c>
      <c r="G2" s="417"/>
      <c r="H2" s="417"/>
      <c r="I2" s="417"/>
      <c r="J2" s="417"/>
      <c r="K2" s="417"/>
      <c r="L2" s="2458"/>
      <c r="M2" s="417"/>
      <c r="N2" s="417"/>
    </row>
    <row r="3" spans="1:32" s="403" customFormat="1">
      <c r="A3" s="416"/>
      <c r="C3" s="417"/>
      <c r="D3" s="418"/>
      <c r="E3" s="418"/>
      <c r="F3" s="417" t="str">
        <f>LEFT(F4,1)</f>
        <v>7</v>
      </c>
      <c r="G3" s="417" t="str">
        <f>LEFT(G4,1)</f>
        <v>8</v>
      </c>
      <c r="H3" s="417">
        <v>32000</v>
      </c>
      <c r="I3" s="417"/>
      <c r="J3" s="417"/>
      <c r="K3" s="417"/>
      <c r="L3" s="417"/>
      <c r="M3" s="417"/>
      <c r="N3" s="417"/>
      <c r="P3" s="1667" t="str">
        <f>$C$2&amp;"月集团合并一次汇总利润总额"&amp;ROUND(U20/10000,2)&amp;"亿元，比上月"&amp;IF(V20&gt;=0,"增加","减少")&amp;ABS(ROUND(V20/10000,2))&amp;"亿元，比预算"&amp;IF(V20&gt;=0,"增加","减少")&amp;ROUND(ABS(W20/10000),2)&amp;"亿元。"</f>
        <v>8月集团合并一次汇总利润总额21.31亿元，比上月减少0.5亿元，比预算减少14.72亿元。</v>
      </c>
      <c r="Q3" s="1668"/>
      <c r="R3" s="1668"/>
      <c r="S3" s="1668"/>
      <c r="T3" s="1668"/>
      <c r="U3" s="1668"/>
      <c r="V3" s="1668"/>
      <c r="W3" s="1668"/>
      <c r="X3" s="1668"/>
      <c r="Y3" s="1668"/>
      <c r="Z3" s="1668"/>
      <c r="AA3" s="1668"/>
      <c r="AB3" s="1668"/>
    </row>
    <row r="4" spans="1:32" s="404" customFormat="1">
      <c r="A4" s="419"/>
      <c r="B4" s="420" t="s">
        <v>57</v>
      </c>
      <c r="C4" s="420" t="str">
        <f>C1-1&amp;"年"</f>
        <v>2020年</v>
      </c>
      <c r="D4" s="94" t="s">
        <v>58</v>
      </c>
      <c r="E4" s="421" t="s">
        <v>706</v>
      </c>
      <c r="F4" s="420" t="str">
        <f>F2&amp;"月"</f>
        <v>7月</v>
      </c>
      <c r="G4" s="420" t="str">
        <f>C2&amp;"月"</f>
        <v>8月</v>
      </c>
      <c r="H4" s="420" t="s">
        <v>7</v>
      </c>
      <c r="I4" s="420" t="s">
        <v>9</v>
      </c>
      <c r="J4" s="420" t="s">
        <v>168</v>
      </c>
      <c r="K4" s="420" t="s">
        <v>871</v>
      </c>
      <c r="L4" s="420" t="s">
        <v>5</v>
      </c>
      <c r="M4" s="420" t="s">
        <v>41</v>
      </c>
      <c r="N4" s="439" t="s">
        <v>872</v>
      </c>
      <c r="P4" s="2023" t="s">
        <v>873</v>
      </c>
      <c r="Q4" s="2023" t="str">
        <f>C4</f>
        <v>2020年</v>
      </c>
      <c r="R4" s="2023" t="str">
        <f>D4</f>
        <v>预算</v>
      </c>
      <c r="S4" s="2023" t="str">
        <f>E4</f>
        <v>月均预算</v>
      </c>
      <c r="T4" s="2023" t="str">
        <f>F4</f>
        <v>7月</v>
      </c>
      <c r="U4" s="2023" t="str">
        <f>G4</f>
        <v>8月</v>
      </c>
      <c r="V4" s="2023" t="s">
        <v>7</v>
      </c>
      <c r="W4" s="2023" t="s">
        <v>9</v>
      </c>
      <c r="X4" s="2024" t="s">
        <v>1291</v>
      </c>
      <c r="Y4" s="2023" t="s">
        <v>871</v>
      </c>
      <c r="Z4" s="2023" t="s">
        <v>5</v>
      </c>
      <c r="AA4" s="2023" t="s">
        <v>41</v>
      </c>
      <c r="AB4" s="2023" t="s">
        <v>872</v>
      </c>
    </row>
    <row r="5" spans="1:32" s="405" customFormat="1">
      <c r="A5" s="422"/>
      <c r="B5" s="423" t="s">
        <v>1290</v>
      </c>
      <c r="C5" s="424">
        <f>C6+C7+C8</f>
        <v>135539</v>
      </c>
      <c r="D5" s="424">
        <f t="shared" ref="D5:G5" si="0">D6+D7+D8</f>
        <v>262118</v>
      </c>
      <c r="E5" s="424">
        <f t="shared" si="0"/>
        <v>21843.166666666664</v>
      </c>
      <c r="F5" s="424">
        <f t="shared" si="0"/>
        <v>104048.417</v>
      </c>
      <c r="G5" s="424">
        <f t="shared" si="0"/>
        <v>95185.867094999994</v>
      </c>
      <c r="H5" s="426">
        <f t="shared" ref="H5:H51" si="1">G5-F5</f>
        <v>-8862.5499050000071</v>
      </c>
      <c r="I5" s="426">
        <f t="shared" ref="I5:I29" si="2">G5-D5/12</f>
        <v>73342.700428333323</v>
      </c>
      <c r="J5" s="426">
        <f t="shared" ref="J5:J51" si="3">G5-C5/12</f>
        <v>83890.950428333323</v>
      </c>
      <c r="K5" s="440">
        <f t="shared" ref="K5:K29" si="4">IF(E5&gt;=0,G5/E5,(1-(G5-E5)/E5))</f>
        <v>4.3576954087090547</v>
      </c>
      <c r="L5" s="424">
        <f>L6+L7+L8</f>
        <v>806225.68434399995</v>
      </c>
      <c r="M5" s="426">
        <f t="shared" ref="M5:M51" si="5">L5-D5/12*$C$2</f>
        <v>631480.35101066658</v>
      </c>
      <c r="N5" s="441">
        <f t="shared" ref="N5:N29" si="6">IF(E5&gt;=0,L5/(E5*$C$2),(1-(L5-(E5*$C$2))/(E5*$C$2)))</f>
        <v>4.6137179686858589</v>
      </c>
      <c r="O5" s="442">
        <f t="shared" ref="O5:O10" si="7">L5-C5/12*$C$2</f>
        <v>715866.35101066658</v>
      </c>
      <c r="P5" s="423" t="s">
        <v>874</v>
      </c>
      <c r="Q5" s="424">
        <f>C5</f>
        <v>135539</v>
      </c>
      <c r="R5" s="424">
        <f t="shared" ref="R5:W9" si="8">D5</f>
        <v>262118</v>
      </c>
      <c r="S5" s="425">
        <f t="shared" si="8"/>
        <v>21843.166666666664</v>
      </c>
      <c r="T5" s="424">
        <f t="shared" si="8"/>
        <v>104048.417</v>
      </c>
      <c r="U5" s="424">
        <f t="shared" si="8"/>
        <v>95185.867094999994</v>
      </c>
      <c r="V5" s="426">
        <f t="shared" si="8"/>
        <v>-8862.5499050000071</v>
      </c>
      <c r="W5" s="426">
        <f t="shared" si="8"/>
        <v>73342.700428333323</v>
      </c>
      <c r="X5" s="426">
        <f t="shared" ref="X5:X9" si="9">J5</f>
        <v>83890.950428333323</v>
      </c>
      <c r="Y5" s="445">
        <f t="shared" ref="Y5:Y9" si="10">K5</f>
        <v>4.3576954087090547</v>
      </c>
      <c r="Z5" s="424">
        <f t="shared" ref="Z5:Z9" si="11">L5</f>
        <v>806225.68434399995</v>
      </c>
      <c r="AA5" s="426">
        <f t="shared" ref="AA5:AA9" si="12">M5</f>
        <v>631480.35101066658</v>
      </c>
      <c r="AB5" s="441">
        <f t="shared" ref="AB5:AB9" si="13">N5</f>
        <v>4.6137179686858589</v>
      </c>
      <c r="AE5" s="453">
        <v>179014</v>
      </c>
      <c r="AF5" s="453">
        <f>L5-AE5</f>
        <v>627211.68434399995</v>
      </c>
    </row>
    <row r="6" spans="1:32">
      <c r="A6" s="410" t="s">
        <v>46</v>
      </c>
      <c r="B6" s="437" t="s">
        <v>1285</v>
      </c>
      <c r="C6" s="97">
        <v>172000</v>
      </c>
      <c r="D6" s="110">
        <v>240000</v>
      </c>
      <c r="E6" s="433">
        <f t="shared" ref="E6:E30" si="14">D6/12</f>
        <v>20000</v>
      </c>
      <c r="F6" s="97" cm="1">
        <f t="array" ref="F6">SUMPRODUCT('利润（汇总）'!$C$3:$AAK$67,('利润（汇总）'!$B$3:$B$67=$A6)*('利润（汇总）'!$C$1:$AAK$1=$F$1)*('利润（汇总）'!$C$2:$AAK$2=$F$2))</f>
        <v>104942</v>
      </c>
      <c r="G6" s="97" cm="1">
        <f t="array" ref="G6">SUMPRODUCT('利润（汇总）'!$C$3:$AAK$67,('利润（汇总）'!$B$3:$B$67=$A6)*('利润（汇总）'!$C$1:$AAK$1=$C$1)*('利润（汇总）'!$C$2:$AAK$2=$C$2))</f>
        <v>87793</v>
      </c>
      <c r="H6" s="434">
        <f t="shared" si="1"/>
        <v>-17149</v>
      </c>
      <c r="I6" s="434">
        <f t="shared" si="2"/>
        <v>67793</v>
      </c>
      <c r="J6" s="434">
        <f t="shared" si="3"/>
        <v>73459.666666666672</v>
      </c>
      <c r="K6" s="447">
        <f t="shared" si="4"/>
        <v>4.3896499999999996</v>
      </c>
      <c r="L6" s="97">
        <f>SUMPRODUCT('利润（汇总）'!$C$3:$AAK$67,('利润（汇总）'!$B$3:$B$67=$A6)*('利润（汇总）'!$C$1:$AAK$1=$C$1)*('利润（汇总）'!$C$2:$AAK$2&lt;=$C$2))</f>
        <v>771572</v>
      </c>
      <c r="M6" s="434">
        <f t="shared" si="5"/>
        <v>611572</v>
      </c>
      <c r="N6" s="448">
        <f t="shared" si="6"/>
        <v>4.8223250000000002</v>
      </c>
      <c r="O6" s="442">
        <f t="shared" si="7"/>
        <v>656905.33333333337</v>
      </c>
      <c r="P6" s="2001" t="str">
        <f>B6</f>
        <v>1、太钢不锈</v>
      </c>
      <c r="Q6" s="1998">
        <f>C6</f>
        <v>172000</v>
      </c>
      <c r="R6" s="1998">
        <f t="shared" si="8"/>
        <v>240000</v>
      </c>
      <c r="S6" s="2020">
        <f t="shared" si="8"/>
        <v>20000</v>
      </c>
      <c r="T6" s="1998">
        <f t="shared" si="8"/>
        <v>104942</v>
      </c>
      <c r="U6" s="1998">
        <f t="shared" si="8"/>
        <v>87793</v>
      </c>
      <c r="V6" s="2021">
        <f t="shared" si="8"/>
        <v>-17149</v>
      </c>
      <c r="W6" s="2021">
        <f t="shared" si="8"/>
        <v>67793</v>
      </c>
      <c r="X6" s="2021">
        <f t="shared" si="9"/>
        <v>73459.666666666672</v>
      </c>
      <c r="Y6" s="2180">
        <f t="shared" si="10"/>
        <v>4.3896499999999996</v>
      </c>
      <c r="Z6" s="1998">
        <f t="shared" si="11"/>
        <v>771572</v>
      </c>
      <c r="AA6" s="2021">
        <f t="shared" si="12"/>
        <v>611572</v>
      </c>
      <c r="AB6" s="2022">
        <f t="shared" si="13"/>
        <v>4.8223250000000002</v>
      </c>
      <c r="AE6" s="1785">
        <v>179014</v>
      </c>
      <c r="AF6" s="453">
        <f>L6-AE6</f>
        <v>592558</v>
      </c>
    </row>
    <row r="7" spans="1:32">
      <c r="B7" s="2017" t="s">
        <v>1286</v>
      </c>
      <c r="C7" s="97">
        <v>-52691</v>
      </c>
      <c r="D7" s="1812">
        <v>118</v>
      </c>
      <c r="E7" s="2018">
        <f>D7/12</f>
        <v>9.8333333333333339</v>
      </c>
      <c r="F7" s="2019">
        <f>SUMIFS('利润（汇总）'!8:8,'利润（汇总）'!1:1,$F$1,'利润（汇总）'!2:2,$F$2)</f>
        <v>-4419.5829999999996</v>
      </c>
      <c r="G7" s="2019">
        <f>SUMIFS('利润（汇总）'!8:8,'利润（汇总）'!$1:$1,$C$1,'利润（汇总）'!$2:$2,$C$2)</f>
        <v>1831.02878099999</v>
      </c>
      <c r="H7" s="434">
        <f t="shared" si="1"/>
        <v>6250.6117809999896</v>
      </c>
      <c r="I7" s="434">
        <f t="shared" si="2"/>
        <v>1821.1954476666567</v>
      </c>
      <c r="J7" s="434">
        <f t="shared" si="3"/>
        <v>6221.9454476666569</v>
      </c>
      <c r="K7" s="447">
        <f t="shared" si="4"/>
        <v>186.20631671186337</v>
      </c>
      <c r="L7" s="2019">
        <f>SUMIFS('利润（汇总）'!8:8,'利润（汇总）'!$1:$1,$C$1,'利润（汇总）'!$2:$2,"&lt;="&amp;$C$2)</f>
        <v>3509.3142199999756</v>
      </c>
      <c r="M7" s="434">
        <f t="shared" si="5"/>
        <v>3430.6475533333091</v>
      </c>
      <c r="N7" s="448">
        <f t="shared" si="6"/>
        <v>44.609926525423418</v>
      </c>
      <c r="O7" s="442">
        <f t="shared" si="7"/>
        <v>38636.647553333314</v>
      </c>
      <c r="P7" s="2001" t="str">
        <f>B7</f>
        <v>2、宝钢德盛</v>
      </c>
      <c r="Q7" s="1998">
        <f t="shared" ref="Q7:Q9" si="15">C7</f>
        <v>-52691</v>
      </c>
      <c r="R7" s="1998">
        <f t="shared" si="8"/>
        <v>118</v>
      </c>
      <c r="S7" s="2020">
        <f t="shared" si="8"/>
        <v>9.8333333333333339</v>
      </c>
      <c r="T7" s="1998">
        <f t="shared" si="8"/>
        <v>-4419.5829999999996</v>
      </c>
      <c r="U7" s="1998">
        <f t="shared" si="8"/>
        <v>1831.02878099999</v>
      </c>
      <c r="V7" s="2021">
        <f t="shared" si="8"/>
        <v>6250.6117809999896</v>
      </c>
      <c r="W7" s="2021">
        <f t="shared" si="8"/>
        <v>1821.1954476666567</v>
      </c>
      <c r="X7" s="2021">
        <f t="shared" si="9"/>
        <v>6221.9454476666569</v>
      </c>
      <c r="Y7" s="2180">
        <f t="shared" si="10"/>
        <v>186.20631671186337</v>
      </c>
      <c r="Z7" s="1998">
        <f t="shared" si="11"/>
        <v>3509.3142199999756</v>
      </c>
      <c r="AA7" s="2021">
        <f t="shared" si="12"/>
        <v>3430.6475533333091</v>
      </c>
      <c r="AB7" s="2022">
        <f t="shared" si="13"/>
        <v>44.609926525423418</v>
      </c>
      <c r="AE7" s="1785"/>
      <c r="AF7" s="453"/>
    </row>
    <row r="8" spans="1:32">
      <c r="B8" s="2017" t="s">
        <v>1287</v>
      </c>
      <c r="C8" s="97">
        <v>16230</v>
      </c>
      <c r="D8" s="1812">
        <v>22000</v>
      </c>
      <c r="E8" s="2018">
        <f>D8/12</f>
        <v>1833.3333333333333</v>
      </c>
      <c r="F8" s="2019">
        <f>SUMIFS('利润（汇总）'!9:9,'利润（汇总）'!1:1,$F$1,'利润（汇总）'!2:2,$F$2)</f>
        <v>3526</v>
      </c>
      <c r="G8" s="2019">
        <f>SUMIFS('利润（汇总）'!9:9,'利润（汇总）'!$1:$1,$C$1,'利润（汇总）'!$2:$2,$C$2)</f>
        <v>5561.8383140000096</v>
      </c>
      <c r="H8" s="434">
        <f t="shared" si="1"/>
        <v>2035.8383140000096</v>
      </c>
      <c r="I8" s="434">
        <f t="shared" si="2"/>
        <v>3728.5049806666766</v>
      </c>
      <c r="J8" s="434">
        <f t="shared" si="3"/>
        <v>4209.3383140000096</v>
      </c>
      <c r="K8" s="447">
        <f t="shared" si="4"/>
        <v>3.0337299894545509</v>
      </c>
      <c r="L8" s="2019">
        <f>SUMIFS('利润（汇总）'!9:9,'利润（汇总）'!$1:$1,$C$1,'利润（汇总）'!$2:$2,"&lt;="&amp;$C$2)</f>
        <v>31144.370124000008</v>
      </c>
      <c r="M8" s="434">
        <f t="shared" si="5"/>
        <v>16477.703457333344</v>
      </c>
      <c r="N8" s="448">
        <f t="shared" si="6"/>
        <v>2.1234797811818189</v>
      </c>
      <c r="O8" s="442">
        <f t="shared" si="7"/>
        <v>20324.370124000008</v>
      </c>
      <c r="P8" s="2002" t="str">
        <f>B8</f>
        <v>3、宁波宝新</v>
      </c>
      <c r="Q8" s="1998">
        <f t="shared" si="15"/>
        <v>16230</v>
      </c>
      <c r="R8" s="1998">
        <f t="shared" si="8"/>
        <v>22000</v>
      </c>
      <c r="S8" s="2020">
        <f t="shared" si="8"/>
        <v>1833.3333333333333</v>
      </c>
      <c r="T8" s="1998">
        <f t="shared" si="8"/>
        <v>3526</v>
      </c>
      <c r="U8" s="1998">
        <f t="shared" si="8"/>
        <v>5561.8383140000096</v>
      </c>
      <c r="V8" s="2021">
        <f t="shared" si="8"/>
        <v>2035.8383140000096</v>
      </c>
      <c r="W8" s="2021">
        <f t="shared" si="8"/>
        <v>3728.5049806666766</v>
      </c>
      <c r="X8" s="2021">
        <f t="shared" si="9"/>
        <v>4209.3383140000096</v>
      </c>
      <c r="Y8" s="2180">
        <f t="shared" si="10"/>
        <v>3.0337299894545509</v>
      </c>
      <c r="Z8" s="1998">
        <f t="shared" si="11"/>
        <v>31144.370124000008</v>
      </c>
      <c r="AA8" s="2021">
        <f t="shared" si="12"/>
        <v>16477.703457333344</v>
      </c>
      <c r="AB8" s="2022">
        <f t="shared" si="13"/>
        <v>2.1234797811818189</v>
      </c>
      <c r="AE8" s="1785"/>
      <c r="AF8" s="453"/>
    </row>
    <row r="9" spans="1:32" s="405" customFormat="1">
      <c r="A9" s="422"/>
      <c r="B9" s="2071" t="s">
        <v>1317</v>
      </c>
      <c r="C9" s="2067">
        <f>SUM(C10:C16)</f>
        <v>267104.15111334698</v>
      </c>
      <c r="D9" s="2067">
        <f>SUM(D10:D16)</f>
        <v>488217.49733188248</v>
      </c>
      <c r="E9" s="2068">
        <f t="shared" si="14"/>
        <v>40684.791444323542</v>
      </c>
      <c r="F9" s="2067">
        <f>SUM(F10:F16)</f>
        <v>114697.81872499999</v>
      </c>
      <c r="G9" s="2067">
        <f>SUM(G10:G16)</f>
        <v>104736.98091299996</v>
      </c>
      <c r="H9" s="2069">
        <f t="shared" si="1"/>
        <v>-9960.837812000027</v>
      </c>
      <c r="I9" s="2069">
        <f t="shared" si="2"/>
        <v>64052.189468676421</v>
      </c>
      <c r="J9" s="2069">
        <f t="shared" si="3"/>
        <v>82478.301653554387</v>
      </c>
      <c r="K9" s="2070">
        <f t="shared" si="4"/>
        <v>2.5743521644035159</v>
      </c>
      <c r="L9" s="2067">
        <f>SUM(L10:L16)</f>
        <v>706391.52227999992</v>
      </c>
      <c r="M9" s="2069">
        <f t="shared" si="5"/>
        <v>380913.19072541158</v>
      </c>
      <c r="N9" s="441">
        <f>IF(E9&gt;=0,L9/(E9*$C$2),(1-(L9-(E9*$C$2))/(E9*$C$2)))</f>
        <v>2.170318125037844</v>
      </c>
      <c r="O9" s="442">
        <f t="shared" si="7"/>
        <v>528322.08820443531</v>
      </c>
      <c r="P9" s="2072" t="str">
        <f>B9</f>
        <v>二、矿山系统</v>
      </c>
      <c r="Q9" s="2040">
        <f t="shared" si="15"/>
        <v>267104.15111334698</v>
      </c>
      <c r="R9" s="2040">
        <f t="shared" si="8"/>
        <v>488217.49733188248</v>
      </c>
      <c r="S9" s="2073">
        <f t="shared" si="8"/>
        <v>40684.791444323542</v>
      </c>
      <c r="T9" s="2040">
        <f t="shared" si="8"/>
        <v>114697.81872499999</v>
      </c>
      <c r="U9" s="2040">
        <f t="shared" si="8"/>
        <v>104736.98091299996</v>
      </c>
      <c r="V9" s="2074">
        <f t="shared" si="8"/>
        <v>-9960.837812000027</v>
      </c>
      <c r="W9" s="2074">
        <f t="shared" si="8"/>
        <v>64052.189468676421</v>
      </c>
      <c r="X9" s="2074">
        <f t="shared" si="9"/>
        <v>82478.301653554387</v>
      </c>
      <c r="Y9" s="2181">
        <f t="shared" si="10"/>
        <v>2.5743521644035159</v>
      </c>
      <c r="Z9" s="2040">
        <f t="shared" si="11"/>
        <v>706391.52227999992</v>
      </c>
      <c r="AA9" s="2074">
        <f t="shared" si="12"/>
        <v>380913.19072541158</v>
      </c>
      <c r="AB9" s="2022">
        <f t="shared" si="13"/>
        <v>2.170318125037844</v>
      </c>
      <c r="AC9" s="404">
        <f>SUM(AC10:AC16)</f>
        <v>251196</v>
      </c>
      <c r="AE9" s="453">
        <v>237091.9609229569</v>
      </c>
      <c r="AF9" s="453">
        <f t="shared" ref="AF9:AF29" si="16">L9-AE9</f>
        <v>469299.56135704299</v>
      </c>
    </row>
    <row r="10" spans="1:32">
      <c r="B10" s="2016" t="s">
        <v>875</v>
      </c>
      <c r="C10" s="101">
        <f>224434.340755347-8960+200</f>
        <v>215674.34075534699</v>
      </c>
      <c r="D10" s="1998">
        <v>320294.57844116056</v>
      </c>
      <c r="E10" s="428">
        <f t="shared" si="14"/>
        <v>26691.214870096712</v>
      </c>
      <c r="F10" s="101">
        <f>F164+F156+F113+F114*3+F160</f>
        <v>83256.655601999999</v>
      </c>
      <c r="G10" s="101">
        <f>G164+G156+G113+G114*3+G160</f>
        <v>80157.056971999962</v>
      </c>
      <c r="H10" s="429">
        <f t="shared" si="1"/>
        <v>-3099.5986300000368</v>
      </c>
      <c r="I10" s="429">
        <f t="shared" si="2"/>
        <v>53465.842101903254</v>
      </c>
      <c r="J10" s="429">
        <f t="shared" si="3"/>
        <v>62184.195242387708</v>
      </c>
      <c r="K10" s="443">
        <f t="shared" si="4"/>
        <v>3.0031250867416781</v>
      </c>
      <c r="L10" s="101">
        <f>L164+L156+L113+L114*3+L160</f>
        <v>502406.00508199999</v>
      </c>
      <c r="M10" s="429">
        <f t="shared" si="5"/>
        <v>288876.28612122627</v>
      </c>
      <c r="N10" s="444">
        <f t="shared" si="6"/>
        <v>2.3528622035712701</v>
      </c>
      <c r="O10" s="442">
        <f t="shared" si="7"/>
        <v>358623.11124510202</v>
      </c>
      <c r="P10" s="423" t="s">
        <v>1318</v>
      </c>
      <c r="Q10" s="424">
        <f>C17</f>
        <v>35893.760057470645</v>
      </c>
      <c r="R10" s="424">
        <f t="shared" ref="R10:AB10" si="17">D17</f>
        <v>60374</v>
      </c>
      <c r="S10" s="425">
        <f t="shared" si="17"/>
        <v>5031.166666666667</v>
      </c>
      <c r="T10" s="424">
        <f t="shared" si="17"/>
        <v>6740.4001869999993</v>
      </c>
      <c r="U10" s="424">
        <f t="shared" si="17"/>
        <v>9255.92</v>
      </c>
      <c r="V10" s="426">
        <f t="shared" si="17"/>
        <v>2515.5198130000008</v>
      </c>
      <c r="W10" s="426">
        <f t="shared" si="17"/>
        <v>4224.7533333333331</v>
      </c>
      <c r="X10" s="426">
        <f t="shared" si="17"/>
        <v>6264.7733285441136</v>
      </c>
      <c r="Y10" s="445">
        <f t="shared" si="17"/>
        <v>1.8397164342266537</v>
      </c>
      <c r="Z10" s="424">
        <f t="shared" si="17"/>
        <v>54706.633082</v>
      </c>
      <c r="AA10" s="426">
        <f t="shared" si="17"/>
        <v>14457.299748666665</v>
      </c>
      <c r="AB10" s="441">
        <f t="shared" si="17"/>
        <v>1.3591935207705304</v>
      </c>
      <c r="AC10" s="412">
        <v>236526</v>
      </c>
      <c r="AE10" s="1785">
        <v>234880.50892397892</v>
      </c>
      <c r="AF10" s="453">
        <f t="shared" si="16"/>
        <v>267525.49615802104</v>
      </c>
    </row>
    <row r="11" spans="1:32">
      <c r="B11" s="2016" t="s">
        <v>876</v>
      </c>
      <c r="C11" s="430">
        <v>26971</v>
      </c>
      <c r="D11" s="2000">
        <f>62024.5161290323-25000</f>
        <v>37024.516129032301</v>
      </c>
      <c r="E11" s="431">
        <f t="shared" si="14"/>
        <v>3085.3763440860253</v>
      </c>
      <c r="F11" s="430">
        <f>F166+F155+F116*3</f>
        <v>2846.9431449999997</v>
      </c>
      <c r="G11" s="430">
        <f>G166+G155+G116*3</f>
        <v>1364.1880909999991</v>
      </c>
      <c r="H11" s="429">
        <f t="shared" si="1"/>
        <v>-1482.7550540000007</v>
      </c>
      <c r="I11" s="429">
        <f t="shared" si="2"/>
        <v>-1721.1882530860262</v>
      </c>
      <c r="J11" s="429">
        <f t="shared" si="3"/>
        <v>-883.39524233333441</v>
      </c>
      <c r="K11" s="443">
        <f t="shared" si="4"/>
        <v>0.4421464154980127</v>
      </c>
      <c r="L11" s="430">
        <f>L166+L155+L116*3</f>
        <v>34918.225875999997</v>
      </c>
      <c r="M11" s="429">
        <f t="shared" si="5"/>
        <v>10235.215123311795</v>
      </c>
      <c r="N11" s="444">
        <f t="shared" si="6"/>
        <v>1.4146663964888111</v>
      </c>
      <c r="O11" s="442">
        <f>L12-C12/12*$C$2</f>
        <v>-620.795744333333</v>
      </c>
      <c r="P11" s="423" t="s">
        <v>1326</v>
      </c>
      <c r="Q11" s="424">
        <f>C24</f>
        <v>57779.352512999998</v>
      </c>
      <c r="R11" s="424">
        <f t="shared" ref="R11:AB11" si="18">D24</f>
        <v>60733</v>
      </c>
      <c r="S11" s="425">
        <f t="shared" si="18"/>
        <v>5061.083333333333</v>
      </c>
      <c r="T11" s="424">
        <f t="shared" si="18"/>
        <v>3249.360561</v>
      </c>
      <c r="U11" s="424">
        <f t="shared" si="18"/>
        <v>8282.2274499999985</v>
      </c>
      <c r="V11" s="426">
        <f t="shared" si="18"/>
        <v>5032.866888999999</v>
      </c>
      <c r="W11" s="426">
        <f t="shared" si="18"/>
        <v>3221.1441166666655</v>
      </c>
      <c r="X11" s="426">
        <f t="shared" si="18"/>
        <v>3467.2814072499987</v>
      </c>
      <c r="Y11" s="445">
        <f t="shared" si="18"/>
        <v>1.6364534832792714</v>
      </c>
      <c r="Z11" s="424">
        <f t="shared" si="18"/>
        <v>39787.185643999997</v>
      </c>
      <c r="AA11" s="426">
        <f t="shared" si="18"/>
        <v>-701.48102266666683</v>
      </c>
      <c r="AB11" s="441">
        <f t="shared" si="18"/>
        <v>0.98267463267087085</v>
      </c>
      <c r="AC11" s="412">
        <v>-5156</v>
      </c>
      <c r="AE11" s="1785">
        <v>-4958.4595176059993</v>
      </c>
      <c r="AF11" s="453">
        <f t="shared" si="16"/>
        <v>39876.685393605992</v>
      </c>
    </row>
    <row r="12" spans="1:32">
      <c r="B12" s="2016" t="s">
        <v>112</v>
      </c>
      <c r="C12" s="101">
        <v>2531.2394689999996</v>
      </c>
      <c r="D12" s="1998">
        <v>7124.25</v>
      </c>
      <c r="E12" s="428">
        <f t="shared" si="14"/>
        <v>593.6875</v>
      </c>
      <c r="F12" s="101">
        <f>F165</f>
        <v>-320</v>
      </c>
      <c r="G12" s="101">
        <f>G165</f>
        <v>-345.42</v>
      </c>
      <c r="H12" s="429">
        <f t="shared" si="1"/>
        <v>-25.420000000000016</v>
      </c>
      <c r="I12" s="429">
        <f t="shared" si="2"/>
        <v>-939.10750000000007</v>
      </c>
      <c r="J12" s="429">
        <f t="shared" si="3"/>
        <v>-556.3566224166666</v>
      </c>
      <c r="K12" s="443">
        <f t="shared" si="4"/>
        <v>-0.58182124434150961</v>
      </c>
      <c r="L12" s="101">
        <f>L165</f>
        <v>1066.6972350000001</v>
      </c>
      <c r="M12" s="429">
        <f t="shared" si="5"/>
        <v>-3682.8027649999999</v>
      </c>
      <c r="N12" s="444">
        <f t="shared" si="6"/>
        <v>0.22459148015580591</v>
      </c>
      <c r="O12" s="442">
        <f>L13-C13/12*$C$2</f>
        <v>163708.33333333334</v>
      </c>
      <c r="P12" s="423" t="s">
        <v>1320</v>
      </c>
      <c r="Q12" s="424">
        <f>C30</f>
        <v>1755.8377440000002</v>
      </c>
      <c r="R12" s="424">
        <f t="shared" ref="R12:AB12" si="19">D30</f>
        <v>4399.9806457085651</v>
      </c>
      <c r="S12" s="425">
        <f t="shared" si="19"/>
        <v>366.66505380904709</v>
      </c>
      <c r="T12" s="424">
        <f t="shared" si="19"/>
        <v>-385.74505700000003</v>
      </c>
      <c r="U12" s="424">
        <f t="shared" si="19"/>
        <v>287.87</v>
      </c>
      <c r="V12" s="426">
        <f t="shared" si="19"/>
        <v>673.61505699999998</v>
      </c>
      <c r="W12" s="426">
        <f t="shared" si="19"/>
        <v>-78.79505380904709</v>
      </c>
      <c r="X12" s="426">
        <f t="shared" si="19"/>
        <v>141.55018799999999</v>
      </c>
      <c r="Y12" s="445">
        <f t="shared" si="19"/>
        <v>0.78510345343660104</v>
      </c>
      <c r="Z12" s="424">
        <f t="shared" si="19"/>
        <v>1929.791356</v>
      </c>
      <c r="AA12" s="426">
        <f t="shared" si="19"/>
        <v>-1003.5290744723768</v>
      </c>
      <c r="AB12" s="441">
        <f t="shared" si="19"/>
        <v>0.65788631066440628</v>
      </c>
      <c r="AC12" s="412">
        <v>1606</v>
      </c>
      <c r="AE12" s="1785">
        <v>1606.041256</v>
      </c>
      <c r="AF12" s="453">
        <f t="shared" si="16"/>
        <v>-539.34402099999988</v>
      </c>
    </row>
    <row r="13" spans="1:32">
      <c r="A13" s="1679">
        <v>-13350</v>
      </c>
      <c r="B13" s="2016" t="s">
        <v>790</v>
      </c>
      <c r="C13" s="430">
        <f>26971-9000</f>
        <v>17971</v>
      </c>
      <c r="D13" s="2000">
        <v>116216.20071684589</v>
      </c>
      <c r="E13" s="431">
        <f t="shared" si="14"/>
        <v>9684.6833930704906</v>
      </c>
      <c r="F13" s="2000">
        <f>F167</f>
        <v>33287</v>
      </c>
      <c r="G13" s="430">
        <f>G167</f>
        <v>25742</v>
      </c>
      <c r="H13" s="429">
        <f t="shared" si="1"/>
        <v>-7545</v>
      </c>
      <c r="I13" s="429">
        <f t="shared" si="2"/>
        <v>16057.316606929509</v>
      </c>
      <c r="J13" s="429">
        <f t="shared" si="3"/>
        <v>24244.416666666668</v>
      </c>
      <c r="K13" s="443">
        <f t="shared" si="4"/>
        <v>2.6580115172808556</v>
      </c>
      <c r="L13" s="430">
        <f>L167</f>
        <v>175689</v>
      </c>
      <c r="M13" s="429">
        <f t="shared" si="5"/>
        <v>98211.532855436075</v>
      </c>
      <c r="N13" s="444">
        <f t="shared" si="6"/>
        <v>2.2676141396334599</v>
      </c>
      <c r="O13" s="442">
        <f>L11-C11/12*$C$2</f>
        <v>16937.559209333329</v>
      </c>
      <c r="P13" s="423" t="s">
        <v>1321</v>
      </c>
      <c r="Q13" s="424">
        <f>C35</f>
        <v>-5324.6246969999993</v>
      </c>
      <c r="R13" s="424">
        <f t="shared" ref="R13:AB13" si="20">D35</f>
        <v>-264</v>
      </c>
      <c r="S13" s="425">
        <f t="shared" si="20"/>
        <v>-22</v>
      </c>
      <c r="T13" s="424">
        <f t="shared" si="20"/>
        <v>820</v>
      </c>
      <c r="U13" s="424">
        <f t="shared" si="20"/>
        <v>476.5</v>
      </c>
      <c r="V13" s="426">
        <f t="shared" si="20"/>
        <v>-343.5</v>
      </c>
      <c r="W13" s="426">
        <f t="shared" si="20"/>
        <v>498.5</v>
      </c>
      <c r="X13" s="426">
        <f t="shared" si="20"/>
        <v>920.21872474999986</v>
      </c>
      <c r="Y13" s="445">
        <f t="shared" si="20"/>
        <v>0</v>
      </c>
      <c r="Z13" s="424">
        <f t="shared" si="20"/>
        <v>1530.8225520000005</v>
      </c>
      <c r="AA13" s="426">
        <f t="shared" si="20"/>
        <v>1706.8225520000005</v>
      </c>
      <c r="AB13" s="441">
        <f t="shared" si="20"/>
        <v>10.697855409090913</v>
      </c>
      <c r="AC13" s="412">
        <v>48584</v>
      </c>
      <c r="AE13" s="1785">
        <v>34708</v>
      </c>
      <c r="AF13" s="453">
        <f t="shared" si="16"/>
        <v>140981</v>
      </c>
    </row>
    <row r="14" spans="1:32">
      <c r="A14" s="1679">
        <f>A13-F13</f>
        <v>-46637</v>
      </c>
      <c r="B14" s="2016" t="s">
        <v>792</v>
      </c>
      <c r="C14" s="101">
        <v>10658.298559999999</v>
      </c>
      <c r="D14" s="1998">
        <v>14984.198408480006</v>
      </c>
      <c r="E14" s="428">
        <f t="shared" si="14"/>
        <v>1248.6832007066671</v>
      </c>
      <c r="F14" s="101">
        <f>F168+F117</f>
        <v>572</v>
      </c>
      <c r="G14" s="101">
        <f>G168+G117</f>
        <v>853</v>
      </c>
      <c r="H14" s="429">
        <f t="shared" si="1"/>
        <v>281</v>
      </c>
      <c r="I14" s="429">
        <f t="shared" si="2"/>
        <v>-395.68320070666709</v>
      </c>
      <c r="J14" s="429">
        <f t="shared" si="3"/>
        <v>-35.191546666666568</v>
      </c>
      <c r="K14" s="443">
        <f t="shared" si="4"/>
        <v>0.6831196251517293</v>
      </c>
      <c r="L14" s="101">
        <f>L168+L117</f>
        <v>7342</v>
      </c>
      <c r="M14" s="429">
        <f t="shared" si="5"/>
        <v>-2647.4656056533368</v>
      </c>
      <c r="N14" s="444">
        <f t="shared" si="6"/>
        <v>0.73497425085931956</v>
      </c>
      <c r="O14" s="442">
        <f t="shared" ref="O14:O45" si="21">L14-C14/12*$C$2</f>
        <v>236.46762666666746</v>
      </c>
      <c r="P14" s="423" t="s">
        <v>1322</v>
      </c>
      <c r="Q14" s="424">
        <f>C38</f>
        <v>-4950.7086750000017</v>
      </c>
      <c r="R14" s="424">
        <f t="shared" ref="R14:AB14" si="22">D38</f>
        <v>5083</v>
      </c>
      <c r="S14" s="425">
        <f t="shared" si="22"/>
        <v>423.58333333333331</v>
      </c>
      <c r="T14" s="424">
        <f t="shared" si="22"/>
        <v>196.58931699999999</v>
      </c>
      <c r="U14" s="424">
        <f t="shared" si="22"/>
        <v>197.42</v>
      </c>
      <c r="V14" s="426">
        <f t="shared" si="22"/>
        <v>0.8306829999999934</v>
      </c>
      <c r="W14" s="426">
        <f t="shared" si="22"/>
        <v>-226.16333333333333</v>
      </c>
      <c r="X14" s="426">
        <f t="shared" si="22"/>
        <v>609.9790562500001</v>
      </c>
      <c r="Y14" s="445">
        <f t="shared" si="22"/>
        <v>0.46607121778477278</v>
      </c>
      <c r="Z14" s="424">
        <f t="shared" si="22"/>
        <v>2875.1376139999998</v>
      </c>
      <c r="AA14" s="426">
        <f t="shared" si="22"/>
        <v>-513.52905266666676</v>
      </c>
      <c r="AB14" s="441">
        <f t="shared" si="22"/>
        <v>0.84845689966555182</v>
      </c>
      <c r="AC14" s="412">
        <v>-17426</v>
      </c>
      <c r="AE14" s="1785">
        <v>-17152.116288000001</v>
      </c>
      <c r="AF14" s="453">
        <f t="shared" si="16"/>
        <v>24494.116288000001</v>
      </c>
    </row>
    <row r="15" spans="1:32">
      <c r="B15" s="2016" t="s">
        <v>555</v>
      </c>
      <c r="C15" s="101">
        <v>-357</v>
      </c>
      <c r="D15" s="1998">
        <v>1797.3900000000012</v>
      </c>
      <c r="E15" s="428">
        <f t="shared" si="14"/>
        <v>149.78250000000011</v>
      </c>
      <c r="F15" s="101">
        <f>F169</f>
        <v>-336</v>
      </c>
      <c r="G15" s="101">
        <f>G169</f>
        <v>57</v>
      </c>
      <c r="H15" s="429">
        <f t="shared" si="1"/>
        <v>393</v>
      </c>
      <c r="I15" s="429">
        <f t="shared" si="2"/>
        <v>-92.782500000000113</v>
      </c>
      <c r="J15" s="429">
        <f t="shared" si="3"/>
        <v>86.75</v>
      </c>
      <c r="K15" s="443">
        <f t="shared" si="4"/>
        <v>0.38055180011015943</v>
      </c>
      <c r="L15" s="101">
        <f>L169</f>
        <v>632</v>
      </c>
      <c r="M15" s="429">
        <f t="shared" si="5"/>
        <v>-566.2600000000009</v>
      </c>
      <c r="N15" s="444">
        <f t="shared" si="6"/>
        <v>0.52743144225794025</v>
      </c>
      <c r="O15" s="442">
        <f t="shared" si="21"/>
        <v>870</v>
      </c>
      <c r="P15" s="423" t="s">
        <v>1323</v>
      </c>
      <c r="Q15" s="424">
        <f>C43</f>
        <v>467.76914799999992</v>
      </c>
      <c r="R15" s="424">
        <f t="shared" ref="R15:AB15" si="23">D43</f>
        <v>2340</v>
      </c>
      <c r="S15" s="425">
        <f t="shared" si="23"/>
        <v>195</v>
      </c>
      <c r="T15" s="424">
        <f t="shared" si="23"/>
        <v>-34.947523000000004</v>
      </c>
      <c r="U15" s="424">
        <f t="shared" si="23"/>
        <v>-32.929459000000001</v>
      </c>
      <c r="V15" s="426">
        <f t="shared" si="23"/>
        <v>2.0180640000000025</v>
      </c>
      <c r="W15" s="426">
        <f t="shared" si="23"/>
        <v>-227.92945900000001</v>
      </c>
      <c r="X15" s="426">
        <f t="shared" si="23"/>
        <v>-71.910221333333325</v>
      </c>
      <c r="Y15" s="445">
        <f t="shared" si="23"/>
        <v>-0.16886902051282052</v>
      </c>
      <c r="Z15" s="424">
        <f t="shared" si="23"/>
        <v>-248.14067200000002</v>
      </c>
      <c r="AA15" s="426">
        <f t="shared" si="23"/>
        <v>-1808.140672</v>
      </c>
      <c r="AB15" s="441">
        <f t="shared" si="23"/>
        <v>-0.15906453333333334</v>
      </c>
      <c r="AC15" s="412">
        <v>-3607</v>
      </c>
      <c r="AE15" s="1785">
        <v>-4066</v>
      </c>
      <c r="AF15" s="453">
        <f t="shared" si="16"/>
        <v>4698</v>
      </c>
    </row>
    <row r="16" spans="1:32">
      <c r="B16" s="2016" t="s">
        <v>877</v>
      </c>
      <c r="C16" s="101">
        <v>-6344.7276709999996</v>
      </c>
      <c r="D16" s="1998">
        <v>-9223.636363636364</v>
      </c>
      <c r="E16" s="428">
        <f t="shared" si="14"/>
        <v>-768.63636363636363</v>
      </c>
      <c r="F16" s="101">
        <f>F170-F114*2-F116*2-F160</f>
        <v>-4608.7800220000008</v>
      </c>
      <c r="G16" s="101">
        <f>G170-G114*2-G116*2-G160</f>
        <v>-3090.8441500000004</v>
      </c>
      <c r="H16" s="429">
        <f t="shared" si="1"/>
        <v>1517.9358720000005</v>
      </c>
      <c r="I16" s="429">
        <f t="shared" si="2"/>
        <v>-2322.2077863636368</v>
      </c>
      <c r="J16" s="429">
        <f t="shared" si="3"/>
        <v>-2562.1168440833335</v>
      </c>
      <c r="K16" s="443">
        <f t="shared" si="4"/>
        <v>-2.0212046895328215</v>
      </c>
      <c r="L16" s="101">
        <f>L170-L114*2-L116*2-L160</f>
        <v>-15662.405912999999</v>
      </c>
      <c r="M16" s="429">
        <f t="shared" si="5"/>
        <v>-9513.3150039090906</v>
      </c>
      <c r="N16" s="444">
        <f t="shared" si="6"/>
        <v>-0.54710918159373145</v>
      </c>
      <c r="O16" s="442">
        <f t="shared" si="21"/>
        <v>-11432.587465666666</v>
      </c>
      <c r="P16" s="423" t="s">
        <v>1324</v>
      </c>
      <c r="Q16" s="424">
        <f>Q17+Q18</f>
        <v>-209318.625424347</v>
      </c>
      <c r="R16" s="424">
        <f t="shared" ref="R16:AB16" si="24">R17+R18</f>
        <v>-77829.427021457042</v>
      </c>
      <c r="S16" s="425">
        <f t="shared" si="24"/>
        <v>-6485.7855851214199</v>
      </c>
      <c r="T16" s="424">
        <f t="shared" si="24"/>
        <v>-9653.8004359999904</v>
      </c>
      <c r="U16" s="424">
        <f t="shared" si="24"/>
        <v>-4131.5225229999642</v>
      </c>
      <c r="V16" s="426">
        <f t="shared" si="24"/>
        <v>5522.2779130000254</v>
      </c>
      <c r="W16" s="426">
        <f t="shared" si="24"/>
        <v>2354.2630621214557</v>
      </c>
      <c r="X16" s="426">
        <f t="shared" si="24"/>
        <v>13311.696262362286</v>
      </c>
      <c r="Y16" s="445">
        <f t="shared" si="24"/>
        <v>2.1128186152162378</v>
      </c>
      <c r="Z16" s="424">
        <f t="shared" si="24"/>
        <v>-77929.606676199823</v>
      </c>
      <c r="AA16" s="426">
        <f t="shared" si="24"/>
        <v>-26043.321995228463</v>
      </c>
      <c r="AB16" s="441">
        <f t="shared" si="24"/>
        <v>1.4946392299787465</v>
      </c>
      <c r="AC16" s="412">
        <v>-9331</v>
      </c>
      <c r="AE16" s="1785">
        <v>-7926.0134514159963</v>
      </c>
      <c r="AF16" s="453">
        <f t="shared" si="16"/>
        <v>-7736.3924615840024</v>
      </c>
    </row>
    <row r="17" spans="1:32" s="405" customFormat="1">
      <c r="A17" s="422"/>
      <c r="B17" s="423" t="s">
        <v>1318</v>
      </c>
      <c r="C17" s="424">
        <f>SUM(C18:C23)</f>
        <v>35893.760057470645</v>
      </c>
      <c r="D17" s="424">
        <f>SUM(D18:D23)</f>
        <v>60374</v>
      </c>
      <c r="E17" s="425">
        <f t="shared" si="14"/>
        <v>5031.166666666667</v>
      </c>
      <c r="F17" s="424">
        <f t="shared" ref="F17" si="25">SUM(F18:F23)</f>
        <v>6740.4001869999993</v>
      </c>
      <c r="G17" s="424">
        <f>SUM(G18:G23)</f>
        <v>9255.92</v>
      </c>
      <c r="H17" s="426">
        <f t="shared" si="1"/>
        <v>2515.5198130000008</v>
      </c>
      <c r="I17" s="426">
        <f t="shared" si="2"/>
        <v>4224.7533333333331</v>
      </c>
      <c r="J17" s="426">
        <f t="shared" si="3"/>
        <v>6264.7733285441136</v>
      </c>
      <c r="K17" s="445">
        <f t="shared" si="4"/>
        <v>1.8397164342266537</v>
      </c>
      <c r="L17" s="424">
        <f t="shared" ref="L17" si="26">SUM(L18:L23)</f>
        <v>54706.633082</v>
      </c>
      <c r="M17" s="426">
        <f t="shared" si="5"/>
        <v>14457.299748666665</v>
      </c>
      <c r="N17" s="446">
        <f t="shared" si="6"/>
        <v>1.3591935207705304</v>
      </c>
      <c r="O17" s="442">
        <f t="shared" si="21"/>
        <v>30777.459710352905</v>
      </c>
      <c r="P17" s="449" t="s">
        <v>878</v>
      </c>
      <c r="Q17" s="1998">
        <f>C52</f>
        <v>-237790.945082347</v>
      </c>
      <c r="R17" s="1998">
        <f t="shared" ref="R17:AB17" si="27">D52</f>
        <v>-168210.42702145706</v>
      </c>
      <c r="S17" s="2020">
        <f t="shared" si="27"/>
        <v>-14017.535585121421</v>
      </c>
      <c r="T17" s="1998">
        <f t="shared" si="27"/>
        <v>-11923.84571899999</v>
      </c>
      <c r="U17" s="1998">
        <f t="shared" si="27"/>
        <v>-10765.814858999964</v>
      </c>
      <c r="V17" s="2021">
        <f t="shared" si="27"/>
        <v>1158.0308600000262</v>
      </c>
      <c r="W17" s="2021">
        <f t="shared" si="27"/>
        <v>3251.7207261214571</v>
      </c>
      <c r="X17" s="2021">
        <f t="shared" si="27"/>
        <v>9050.0972311956193</v>
      </c>
      <c r="Y17" s="2180">
        <f t="shared" si="27"/>
        <v>1.2319752075088661</v>
      </c>
      <c r="Z17" s="1998">
        <f t="shared" si="27"/>
        <v>-102616.24556699982</v>
      </c>
      <c r="AA17" s="2021">
        <f t="shared" si="27"/>
        <v>9524.0391139715503</v>
      </c>
      <c r="AB17" s="2022">
        <f t="shared" si="27"/>
        <v>1.084929685536884</v>
      </c>
      <c r="AE17" s="453">
        <v>85138.147227470647</v>
      </c>
      <c r="AF17" s="453">
        <f t="shared" si="16"/>
        <v>-30431.514145470646</v>
      </c>
    </row>
    <row r="18" spans="1:32">
      <c r="A18" s="410" t="s">
        <v>121</v>
      </c>
      <c r="B18" s="427" t="s">
        <v>121</v>
      </c>
      <c r="C18" s="101">
        <f>SUMPRODUCT('利润（汇总）'!$C$3:$AAK$67,('利润（汇总）'!$B$3:$B$67=$A18)*('利润（汇总）'!$C$1:$AAK$1=$C$1-1)*('利润（汇总）'!$C$2:$AAK$2&lt;=12))</f>
        <v>11686.99741</v>
      </c>
      <c r="D18" s="1998">
        <v>10613</v>
      </c>
      <c r="E18" s="428">
        <f t="shared" si="14"/>
        <v>884.41666666666663</v>
      </c>
      <c r="F18" s="101">
        <f>SUMPRODUCT('利润（汇总）'!$C$3:$AAK$67,('利润（汇总）'!$B$3:$B$67=$A18)*('利润（汇总）'!$C$1:$AAK$1=$F$1)*('利润（汇总）'!$C$2:$AAK$2=$F$2))</f>
        <v>1635</v>
      </c>
      <c r="G18" s="101">
        <f>SUMPRODUCT('利润（汇总）'!$C$3:$AAK$67,('利润（汇总）'!$B$3:$B$67=$A18)*('利润（汇总）'!$C$1:$AAK$1=$C$1)*('利润（汇总）'!$C$2:$AAK$2=$C$2))</f>
        <v>1012</v>
      </c>
      <c r="H18" s="429">
        <f t="shared" si="1"/>
        <v>-623</v>
      </c>
      <c r="I18" s="429">
        <f t="shared" si="2"/>
        <v>127.58333333333337</v>
      </c>
      <c r="J18" s="429">
        <f t="shared" si="3"/>
        <v>38.083549166666671</v>
      </c>
      <c r="K18" s="443">
        <f t="shared" si="4"/>
        <v>1.1442570432488457</v>
      </c>
      <c r="L18" s="101">
        <f>SUMPRODUCT('利润（汇总）'!$C$3:$AAK$67,('利润（汇总）'!$B$3:$B$67=$A18)*('利润（汇总）'!$C$1:$AAK$1=$C$1)*('利润（汇总）'!$C$2:$AAK$2&lt;=$C$2))</f>
        <v>6899.497601</v>
      </c>
      <c r="M18" s="429">
        <f t="shared" si="5"/>
        <v>-175.835732333333</v>
      </c>
      <c r="N18" s="444">
        <f t="shared" si="6"/>
        <v>0.97514806383680397</v>
      </c>
      <c r="O18" s="442">
        <f t="shared" si="21"/>
        <v>-891.8340056666666</v>
      </c>
      <c r="P18" s="449" t="s">
        <v>879</v>
      </c>
      <c r="Q18" s="1998">
        <f>C75</f>
        <v>28472.319658</v>
      </c>
      <c r="R18" s="1998">
        <f t="shared" ref="R18:AB18" si="28">D75</f>
        <v>90381.000000000015</v>
      </c>
      <c r="S18" s="2020">
        <f t="shared" si="28"/>
        <v>7531.7500000000009</v>
      </c>
      <c r="T18" s="1998">
        <f t="shared" si="28"/>
        <v>2270.0452829999999</v>
      </c>
      <c r="U18" s="1998">
        <f t="shared" si="28"/>
        <v>6634.2923359999995</v>
      </c>
      <c r="V18" s="2021">
        <f t="shared" si="28"/>
        <v>4364.2470529999991</v>
      </c>
      <c r="W18" s="2021">
        <f t="shared" si="28"/>
        <v>-897.45766400000139</v>
      </c>
      <c r="X18" s="2021">
        <f t="shared" si="28"/>
        <v>4261.5990311666665</v>
      </c>
      <c r="Y18" s="2180">
        <f t="shared" si="28"/>
        <v>0.88084340770737191</v>
      </c>
      <c r="Z18" s="1998">
        <f t="shared" si="28"/>
        <v>24686.638890799994</v>
      </c>
      <c r="AA18" s="2021">
        <f t="shared" si="28"/>
        <v>-35567.361109200014</v>
      </c>
      <c r="AB18" s="2022">
        <f t="shared" si="28"/>
        <v>0.40970954444186264</v>
      </c>
      <c r="AE18" s="1785">
        <v>11686.99741</v>
      </c>
      <c r="AF18" s="453">
        <f t="shared" si="16"/>
        <v>-4787.4998089999999</v>
      </c>
    </row>
    <row r="19" spans="1:32">
      <c r="A19" s="410" t="s">
        <v>122</v>
      </c>
      <c r="B19" s="427" t="s">
        <v>122</v>
      </c>
      <c r="C19" s="101">
        <f>SUMPRODUCT('利润（汇总）'!$C$3:$AAK$67,('利润（汇总）'!$B$3:$B$67=$A19)*('利润（汇总）'!$C$1:$AAK$1=$C$1-1)*('利润（汇总）'!$C$2:$AAK$2&lt;=12))</f>
        <v>13586.067685470651</v>
      </c>
      <c r="D19" s="1998">
        <v>15607</v>
      </c>
      <c r="E19" s="428">
        <f t="shared" si="14"/>
        <v>1300.5833333333333</v>
      </c>
      <c r="F19" s="101">
        <f>SUMPRODUCT('利润（汇总）'!$C$3:$AAK$67,('利润（汇总）'!$B$3:$B$67=$A19)*('利润（汇总）'!$C$1:$AAK$1=$F$1)*('利润（汇总）'!$C$2:$AAK$2=$F$2))</f>
        <v>1029</v>
      </c>
      <c r="G19" s="101">
        <f>SUMPRODUCT('利润（汇总）'!$C$3:$AAK$67,('利润（汇总）'!$B$3:$B$67=$A19)*('利润（汇总）'!$C$1:$AAK$1=$C$1)*('利润（汇总）'!$C$2:$AAK$2=$C$2))</f>
        <v>595</v>
      </c>
      <c r="H19" s="429">
        <f t="shared" si="1"/>
        <v>-434</v>
      </c>
      <c r="I19" s="429">
        <f t="shared" si="2"/>
        <v>-705.58333333333326</v>
      </c>
      <c r="J19" s="429">
        <f t="shared" si="3"/>
        <v>-537.17230712255423</v>
      </c>
      <c r="K19" s="443">
        <f t="shared" si="4"/>
        <v>0.45748702505286093</v>
      </c>
      <c r="L19" s="101">
        <f>SUMPRODUCT('利润（汇总）'!$C$3:$AAK$67,('利润（汇总）'!$B$3:$B$67=$A19)*('利润（汇总）'!$C$1:$AAK$1=$C$1)*('利润（汇总）'!$C$2:$AAK$2&lt;=$C$2))</f>
        <v>5169.6129249999994</v>
      </c>
      <c r="M19" s="429">
        <f t="shared" si="5"/>
        <v>-5235.0537416666666</v>
      </c>
      <c r="N19" s="444">
        <f t="shared" si="6"/>
        <v>0.49685521801114885</v>
      </c>
      <c r="O19" s="442">
        <f t="shared" si="21"/>
        <v>-3887.7655319804344</v>
      </c>
      <c r="P19" s="423" t="s">
        <v>1325</v>
      </c>
      <c r="Q19" s="424">
        <f>C78</f>
        <v>-42935.3905816275</v>
      </c>
      <c r="R19" s="424">
        <f t="shared" ref="R19:AB19" si="29">D78</f>
        <v>-14256.795</v>
      </c>
      <c r="S19" s="425">
        <f t="shared" si="29"/>
        <v>-1188.0662500000001</v>
      </c>
      <c r="T19" s="424">
        <f t="shared" si="29"/>
        <v>-1512</v>
      </c>
      <c r="U19" s="424">
        <f t="shared" si="29"/>
        <v>-1118.8599999999999</v>
      </c>
      <c r="V19" s="426">
        <f t="shared" si="29"/>
        <v>393.1400000000001</v>
      </c>
      <c r="W19" s="426">
        <f t="shared" si="29"/>
        <v>69.206250000000182</v>
      </c>
      <c r="X19" s="426">
        <f t="shared" si="29"/>
        <v>2459.0892151356247</v>
      </c>
      <c r="Y19" s="445">
        <f t="shared" si="29"/>
        <v>0</v>
      </c>
      <c r="Z19" s="424">
        <f t="shared" si="29"/>
        <v>-8557.5083632000005</v>
      </c>
      <c r="AA19" s="426">
        <f t="shared" si="29"/>
        <v>947.02163680000012</v>
      </c>
      <c r="AB19" s="441">
        <f t="shared" si="29"/>
        <v>1.0996389760251164</v>
      </c>
      <c r="AE19" s="1785">
        <v>13586.067685470651</v>
      </c>
      <c r="AF19" s="453">
        <f t="shared" si="16"/>
        <v>-8416.4547604706513</v>
      </c>
    </row>
    <row r="20" spans="1:32">
      <c r="A20" s="410" t="s">
        <v>113</v>
      </c>
      <c r="B20" s="427" t="s">
        <v>113</v>
      </c>
      <c r="C20" s="101">
        <f>SUMPRODUCT('利润（汇总）'!$C$3:$AAK$67,('利润（汇总）'!$B$3:$B$67=$A20)*('利润（汇总）'!$C$1:$AAK$1=$C$1-1)*('利润（汇总）'!$C$2:$AAK$2&lt;=12))</f>
        <v>-20393.076202000004</v>
      </c>
      <c r="D20" s="1998">
        <v>59</v>
      </c>
      <c r="E20" s="428">
        <f>D20/12</f>
        <v>4.916666666666667</v>
      </c>
      <c r="F20" s="101">
        <f>SUMPRODUCT('利润（汇总）'!$C$3:$AAK$67,('利润（汇总）'!$B$3:$B$67=$A20)*('利润（汇总）'!$C$1:$AAK$1=$F$1)*('利润（汇总）'!$C$2:$AAK$2=$F$2))</f>
        <v>1515.6657270000001</v>
      </c>
      <c r="G20" s="101">
        <f>SUMPRODUCT('利润（汇总）'!$C$3:$AAK$67,('利润（汇总）'!$B$3:$B$67=$A20)*('利润（汇总）'!$C$1:$AAK$1=$C$1)*('利润（汇总）'!$C$2:$AAK$2=$C$2))</f>
        <v>4432.1400000000003</v>
      </c>
      <c r="H20" s="429">
        <f>G20-F20</f>
        <v>2916.4742730000003</v>
      </c>
      <c r="I20" s="429">
        <f>G20-D20/12</f>
        <v>4427.2233333333334</v>
      </c>
      <c r="J20" s="429">
        <f>G20-C20/12</f>
        <v>6131.5630168333337</v>
      </c>
      <c r="K20" s="443">
        <f>IF(E20&gt;=0,G20/E20,(1-(G20-E20)/E20))</f>
        <v>901.45220338983052</v>
      </c>
      <c r="L20" s="430">
        <f>SUMPRODUCT('利润（汇总）'!$C$3:$AAK$67,('利润（汇总）'!$B$3:$B$67=$A20)*('利润（汇总）'!$C$1:$AAK$1=$C$1)*('利润（汇总）'!$C$2:$AAK$2&lt;=$C$2))</f>
        <v>18640.875399</v>
      </c>
      <c r="M20" s="429">
        <f>L20-D20/12*$C$2</f>
        <v>18601.542065666668</v>
      </c>
      <c r="N20" s="444">
        <f>IF(E20&gt;=0,L20/(E20*$C$2),(1-(L20-(E20*$C$2))/(E20*$C$2)))</f>
        <v>473.92056099152541</v>
      </c>
      <c r="O20" s="442">
        <f>L20-C20/12*$C$2</f>
        <v>32236.259533666671</v>
      </c>
      <c r="P20" s="450" t="s">
        <v>880</v>
      </c>
      <c r="Q20" s="424">
        <f>Q5+Q10+Q11+Q12+Q13+Q14+Q15+Q16+Q19+Q9</f>
        <v>236010.5211978431</v>
      </c>
      <c r="R20" s="424">
        <f t="shared" ref="R20:Y20" si="30">R5+R10+R11+R12+R13+R14+R15+R16+R19+R9</f>
        <v>790915.25595613406</v>
      </c>
      <c r="S20" s="425">
        <f t="shared" si="30"/>
        <v>65909.604663011167</v>
      </c>
      <c r="T20" s="424">
        <f t="shared" si="30"/>
        <v>218166.09277400002</v>
      </c>
      <c r="U20" s="424">
        <f t="shared" si="30"/>
        <v>213139.47347599996</v>
      </c>
      <c r="V20" s="426">
        <f t="shared" si="30"/>
        <v>-5026.6192980000087</v>
      </c>
      <c r="W20" s="426">
        <f t="shared" si="30"/>
        <v>147229.8688129888</v>
      </c>
      <c r="X20" s="426">
        <f t="shared" si="30"/>
        <v>193471.93004284639</v>
      </c>
      <c r="Y20" s="445">
        <f t="shared" si="30"/>
        <v>13.603341756543287</v>
      </c>
      <c r="Z20" s="424">
        <f>Z5+Z10+Z11+Z12+Z13+Z14+Z15+Z16+Z19+Z9-796</f>
        <v>1525915.5211606</v>
      </c>
      <c r="AA20" s="426">
        <f>AA5+AA10+AA11+AA12+AA13+AA14+AA15+AA16+AA19+AA9</f>
        <v>999434.68385651079</v>
      </c>
      <c r="AB20" s="441">
        <f t="shared" ref="AB20" si="31">AB5+AB10+AB11+AB12+AB13+AB14+AB15+AB16+AB19</f>
        <v>21.594998414218662</v>
      </c>
      <c r="AE20" s="1785">
        <v>-20393.076202000004</v>
      </c>
      <c r="AF20" s="453">
        <f t="shared" si="16"/>
        <v>39033.951601000008</v>
      </c>
    </row>
    <row r="21" spans="1:32">
      <c r="A21" s="410" t="s">
        <v>118</v>
      </c>
      <c r="B21" s="427" t="s">
        <v>118</v>
      </c>
      <c r="C21" s="101">
        <f>SUMPRODUCT('利润（汇总）'!$C$3:$AAK$67,('利润（汇总）'!$B$3:$B$67=$A21)*('利润（汇总）'!$C$1:$AAK$1=$C$1-1)*('利润（汇总）'!$C$2:$AAK$2&lt;=12))</f>
        <v>1125.7634000000003</v>
      </c>
      <c r="D21" s="1998">
        <v>2000</v>
      </c>
      <c r="E21" s="428">
        <f>D21/12</f>
        <v>166.66666666666666</v>
      </c>
      <c r="F21" s="101">
        <f>SUMPRODUCT('利润（汇总）'!$C$3:$AAK$67,('利润（汇总）'!$B$3:$B$67=$A21)*('利润（汇总）'!$C$1:$AAK$1=$F$1)*('利润（汇总）'!$C$2:$AAK$2=$F$2))</f>
        <v>-185.81</v>
      </c>
      <c r="G21" s="101">
        <f>SUMPRODUCT('利润（汇总）'!$C$3:$AAK$67,('利润（汇总）'!$B$3:$B$67=$A21)*('利润（汇总）'!$C$1:$AAK$1=$C$1)*('利润（汇总）'!$C$2:$AAK$2=$C$2))</f>
        <v>-201.42</v>
      </c>
      <c r="H21" s="429">
        <f>G21-F21</f>
        <v>-15.609999999999985</v>
      </c>
      <c r="I21" s="429">
        <f>G21-D21/12</f>
        <v>-368.08666666666664</v>
      </c>
      <c r="J21" s="429">
        <f>G21-C21/12</f>
        <v>-295.23361666666665</v>
      </c>
      <c r="K21" s="443">
        <f>IF(E21&gt;=0,G21/E21,(1-(G21-E21)/E21))</f>
        <v>-1.20852</v>
      </c>
      <c r="L21" s="430">
        <f>SUMPRODUCT('利润（汇总）'!$C$3:$AAK$67,('利润（汇总）'!$B$3:$B$67=$A21)*('利润（汇总）'!$C$1:$AAK$1=$C$1)*('利润（汇总）'!$C$2:$AAK$2&lt;=$C$2))</f>
        <v>199.15826100000007</v>
      </c>
      <c r="M21" s="429">
        <f>L21-D21/12*$C$2</f>
        <v>-1134.1750723333332</v>
      </c>
      <c r="N21" s="444">
        <f>IF(E21&gt;=0,L21/(E21*$C$2),(1-(L21-(E21*$C$2))/(E21*$C$2)))</f>
        <v>0.14936869575000006</v>
      </c>
      <c r="O21" s="442">
        <f>L21-C21/12*$C$2</f>
        <v>-551.35067233333348</v>
      </c>
      <c r="P21"/>
      <c r="Q21"/>
      <c r="R21"/>
      <c r="S21"/>
      <c r="T21"/>
      <c r="U21"/>
      <c r="V21"/>
      <c r="W21"/>
      <c r="X21"/>
      <c r="Y21"/>
      <c r="Z21"/>
      <c r="AA21"/>
      <c r="AB21"/>
      <c r="AE21" s="1785">
        <v>1125.7634000000003</v>
      </c>
      <c r="AF21" s="453">
        <f t="shared" si="16"/>
        <v>-926.60513900000024</v>
      </c>
    </row>
    <row r="22" spans="1:32">
      <c r="A22" s="410" t="s">
        <v>133</v>
      </c>
      <c r="B22" s="427" t="s">
        <v>133</v>
      </c>
      <c r="C22" s="101">
        <f>SUMPRODUCT('利润（汇总）'!$C$3:$AAK$67,('利润（汇总）'!$B$3:$B$67=$A22)*('利润（汇总）'!$C$1:$AAK$1=$C$1-1)*('利润（汇总）'!$C$2:$AAK$2&lt;=12))</f>
        <v>55.144046000000003</v>
      </c>
      <c r="D22" s="1998">
        <v>-110</v>
      </c>
      <c r="E22" s="428">
        <f>D22/12</f>
        <v>-9.1666666666666661</v>
      </c>
      <c r="F22" s="101">
        <f>SUMPRODUCT('利润（汇总）'!$C$3:$AAK$67,('利润（汇总）'!$B$3:$B$67=$A22)*('利润（汇总）'!$C$1:$AAK$1=$F$1)*('利润（汇总）'!$C$2:$AAK$2=$F$2))</f>
        <v>-9</v>
      </c>
      <c r="G22" s="101">
        <f>SUMPRODUCT('利润（汇总）'!$C$3:$AAK$67,('利润（汇总）'!$B$3:$B$67=$A22)*('利润（汇总）'!$C$1:$AAK$1=$C$1)*('利润（汇总）'!$C$2:$AAK$2=$C$2))</f>
        <v>-7</v>
      </c>
      <c r="H22" s="429">
        <f>G22-F22</f>
        <v>2</v>
      </c>
      <c r="I22" s="429">
        <f>G22-D22/12</f>
        <v>2.1666666666666661</v>
      </c>
      <c r="J22" s="429">
        <f>G22-C22/12</f>
        <v>-11.595337166666667</v>
      </c>
      <c r="K22" s="443">
        <f>IF(E22&gt;=0,G22/E22,(1-(G22-E22)/E22))</f>
        <v>1.2363636363636363</v>
      </c>
      <c r="L22" s="430">
        <f>SUMPRODUCT('利润（汇总）'!$C$3:$AAK$67,('利润（汇总）'!$B$3:$B$67=$A22)*('利润（汇总）'!$C$1:$AAK$1=$C$1)*('利润（汇总）'!$C$2:$AAK$2&lt;=$C$2))</f>
        <v>23.695625999999997</v>
      </c>
      <c r="M22" s="429">
        <f>L22-D22/12*$C$2</f>
        <v>97.028959333333319</v>
      </c>
      <c r="N22" s="444">
        <f>IF(E22&gt;=0,L22/(E22*$C$2),(1-(L22-(E22*$C$2))/(E22*$C$2)))</f>
        <v>2.3231221727272726</v>
      </c>
      <c r="O22" s="442">
        <f>L22-C22/12*$C$2</f>
        <v>-13.067071333333338</v>
      </c>
      <c r="P22"/>
      <c r="Q22"/>
      <c r="R22"/>
      <c r="S22"/>
      <c r="T22"/>
      <c r="U22"/>
      <c r="V22"/>
      <c r="W22"/>
      <c r="X22"/>
      <c r="Y22"/>
      <c r="Z22" s="186"/>
      <c r="AA22"/>
      <c r="AB22"/>
      <c r="AE22" s="1785">
        <v>55.144046000000003</v>
      </c>
      <c r="AF22" s="453">
        <f t="shared" si="16"/>
        <v>-31.448420000000006</v>
      </c>
    </row>
    <row r="23" spans="1:32">
      <c r="A23" s="410" t="s">
        <v>115</v>
      </c>
      <c r="B23" s="427" t="s">
        <v>115</v>
      </c>
      <c r="C23" s="101">
        <f>SUMPRODUCT('利润（汇总）'!$C$3:$AAK$67,('利润（汇总）'!$B$3:$B$67=$A23)*('利润（汇总）'!$C$1:$AAK$1=$C$1-1)*('利润（汇总）'!$C$2:$AAK$2&lt;=12))</f>
        <v>29832.863718000001</v>
      </c>
      <c r="D23" s="1998">
        <v>32205</v>
      </c>
      <c r="E23" s="428">
        <f>D23/12</f>
        <v>2683.75</v>
      </c>
      <c r="F23" s="101">
        <f>SUMPRODUCT('利润（汇总）'!$C$3:$AAK$67,('利润（汇总）'!$B$3:$B$67=$A23)*('利润（汇总）'!$C$1:$AAK$1=$F$1)*('利润（汇总）'!$C$2:$AAK$2=$F$2))</f>
        <v>2755.5444600000001</v>
      </c>
      <c r="G23" s="101">
        <f>SUMPRODUCT('利润（汇总）'!$C$3:$AAK$67,('利润（汇总）'!$B$3:$B$67=$A23)*('利润（汇总）'!$C$1:$AAK$1=$C$1)*('利润（汇总）'!$C$2:$AAK$2=$C$2))</f>
        <v>3425.2</v>
      </c>
      <c r="H23" s="429">
        <f>G23-F23</f>
        <v>669.65553999999975</v>
      </c>
      <c r="I23" s="429">
        <f>G23-D23/12</f>
        <v>741.44999999999982</v>
      </c>
      <c r="J23" s="429">
        <f>G23-C23/12</f>
        <v>939.12802349999993</v>
      </c>
      <c r="K23" s="443">
        <f>IF(E23&gt;=0,G23/E23,(1-(G23-E23)/E23))</f>
        <v>1.2762738705170005</v>
      </c>
      <c r="L23" s="430">
        <f>SUMPRODUCT('利润（汇总）'!$C$3:$AAK$67,('利润（汇总）'!$B$3:$B$67=$A23)*('利润（汇总）'!$C$1:$AAK$1=$C$1)*('利润（汇总）'!$C$2:$AAK$2&lt;=$C$2))</f>
        <v>23773.793270000002</v>
      </c>
      <c r="M23" s="429">
        <f>L23-D23/12*$C$2</f>
        <v>2303.7932700000019</v>
      </c>
      <c r="N23" s="444">
        <f>IF(E23&gt;=0,L23/(E23*$C$2),(1-(L23-(E23*$C$2))/(E23*$C$2)))</f>
        <v>1.1073029003260364</v>
      </c>
      <c r="O23" s="442">
        <f>L23-C23/12*$C$2</f>
        <v>3885.2174580000028</v>
      </c>
      <c r="AE23" s="1785">
        <v>29832.863718000001</v>
      </c>
      <c r="AF23" s="453">
        <f t="shared" si="16"/>
        <v>-6059.0704479999986</v>
      </c>
    </row>
    <row r="24" spans="1:32" s="405" customFormat="1">
      <c r="A24" s="422"/>
      <c r="B24" s="423" t="s">
        <v>1319</v>
      </c>
      <c r="C24" s="424">
        <f>SUM(C25:C29)</f>
        <v>57779.352512999998</v>
      </c>
      <c r="D24" s="424">
        <f>SUM(D25:D29)</f>
        <v>60733</v>
      </c>
      <c r="E24" s="425">
        <f t="shared" si="14"/>
        <v>5061.083333333333</v>
      </c>
      <c r="F24" s="424">
        <f>SUM(F25:F29)</f>
        <v>3249.360561</v>
      </c>
      <c r="G24" s="424">
        <f>SUM(G25:G29)</f>
        <v>8282.2274499999985</v>
      </c>
      <c r="H24" s="426">
        <f t="shared" si="1"/>
        <v>5032.866888999999</v>
      </c>
      <c r="I24" s="426">
        <f t="shared" si="2"/>
        <v>3221.1441166666655</v>
      </c>
      <c r="J24" s="426">
        <f t="shared" si="3"/>
        <v>3467.2814072499987</v>
      </c>
      <c r="K24" s="445">
        <f t="shared" si="4"/>
        <v>1.6364534832792714</v>
      </c>
      <c r="L24" s="424">
        <f>SUM(L25:L29)</f>
        <v>39787.185643999997</v>
      </c>
      <c r="M24" s="426">
        <f t="shared" si="5"/>
        <v>-701.48102266666683</v>
      </c>
      <c r="N24" s="446">
        <f t="shared" si="6"/>
        <v>0.98267463267087085</v>
      </c>
      <c r="O24" s="442">
        <f t="shared" si="21"/>
        <v>1267.6173019999987</v>
      </c>
      <c r="AE24" s="453">
        <v>57779.352512999998</v>
      </c>
      <c r="AF24" s="453">
        <f t="shared" si="16"/>
        <v>-17992.166869000001</v>
      </c>
    </row>
    <row r="25" spans="1:32">
      <c r="A25" s="410" t="s">
        <v>124</v>
      </c>
      <c r="B25" s="427" t="s">
        <v>124</v>
      </c>
      <c r="C25" s="101">
        <f>SUMPRODUCT('利润（汇总）'!$C$3:$AAK$67,('利润（汇总）'!$B$3:$B$67=$A25)*('利润（汇总）'!$C$1:$AAK$1=$C$1-1)*('利润（汇总）'!$C$2:$AAK$2&lt;=12))</f>
        <v>41018.664848</v>
      </c>
      <c r="D25" s="1998">
        <v>41785</v>
      </c>
      <c r="E25" s="428">
        <f t="shared" si="14"/>
        <v>3482.0833333333335</v>
      </c>
      <c r="F25" s="101">
        <f>SUMPRODUCT('利润（汇总）'!$C$3:$AAK$67,('利润（汇总）'!$B$3:$B$67=$A25)*('利润（汇总）'!$C$1:$AAK$1=$F$1)*('利润（汇总）'!$C$2:$AAK$2=$F$2))</f>
        <v>2995.2456000000002</v>
      </c>
      <c r="G25" s="101">
        <f>SUMPRODUCT('利润（汇总）'!$C$3:$AAK$67,('利润（汇总）'!$B$3:$B$67=$A25)*('利润（汇总）'!$C$1:$AAK$1=$C$1)*('利润（汇总）'!$C$2:$AAK$2=$C$2))</f>
        <v>4040.4353660000002</v>
      </c>
      <c r="H25" s="429">
        <f t="shared" si="1"/>
        <v>1045.189766</v>
      </c>
      <c r="I25" s="429">
        <f t="shared" si="2"/>
        <v>558.35203266666667</v>
      </c>
      <c r="J25" s="429">
        <f t="shared" si="3"/>
        <v>622.21329533333346</v>
      </c>
      <c r="K25" s="443">
        <f t="shared" si="4"/>
        <v>1.1603499914323321</v>
      </c>
      <c r="L25" s="101">
        <f>SUMPRODUCT('利润（汇总）'!$C$3:$AAK$67,('利润（汇总）'!$B$3:$B$67=$A25)*('利润（汇总）'!$C$1:$AAK$1=$C$1)*('利润（汇总）'!$C$2:$AAK$2&lt;=$C$2))</f>
        <v>26105.465911000003</v>
      </c>
      <c r="M25" s="429">
        <f t="shared" si="5"/>
        <v>-1751.2007556666649</v>
      </c>
      <c r="N25" s="444">
        <f t="shared" si="6"/>
        <v>0.93713530851980387</v>
      </c>
      <c r="O25" s="442">
        <f t="shared" si="21"/>
        <v>-1240.3106543333306</v>
      </c>
      <c r="AE25" s="1785">
        <v>41018.664848</v>
      </c>
      <c r="AF25" s="453">
        <f t="shared" si="16"/>
        <v>-14913.198936999997</v>
      </c>
    </row>
    <row r="26" spans="1:32">
      <c r="A26" s="410" t="s">
        <v>126</v>
      </c>
      <c r="B26" s="427" t="s">
        <v>126</v>
      </c>
      <c r="C26" s="101">
        <f>SUMPRODUCT('利润（汇总）'!$C$3:$AAK$67,('利润（汇总）'!$B$3:$B$67=$A26)*('利润（汇总）'!$C$1:$AAK$1=$C$1-1)*('利润（汇总）'!$C$2:$AAK$2&lt;=12))</f>
        <v>6783.6135859999995</v>
      </c>
      <c r="D26" s="1998">
        <v>8200</v>
      </c>
      <c r="E26" s="428">
        <f t="shared" si="14"/>
        <v>683.33333333333337</v>
      </c>
      <c r="F26" s="101">
        <f>SUMPRODUCT('利润（汇总）'!$C$3:$AAK$67,('利润（汇总）'!$B$3:$B$67=$A26)*('利润（汇总）'!$C$1:$AAK$1=$F$1)*('利润（汇总）'!$C$2:$AAK$2=$F$2))</f>
        <v>-467</v>
      </c>
      <c r="G26" s="101">
        <f>SUMPRODUCT('利润（汇总）'!$C$3:$AAK$67,('利润（汇总）'!$B$3:$B$67=$A26)*('利润（汇总）'!$C$1:$AAK$1=$C$1)*('利润（汇总）'!$C$2:$AAK$2=$C$2))</f>
        <v>2484</v>
      </c>
      <c r="H26" s="429">
        <f t="shared" si="1"/>
        <v>2951</v>
      </c>
      <c r="I26" s="429">
        <f t="shared" si="2"/>
        <v>1800.6666666666665</v>
      </c>
      <c r="J26" s="429">
        <f t="shared" si="3"/>
        <v>1918.6988678333332</v>
      </c>
      <c r="K26" s="443">
        <f t="shared" si="4"/>
        <v>3.6351219512195119</v>
      </c>
      <c r="L26" s="430">
        <f>SUMPRODUCT('利润（汇总）'!$C$3:$AAK$67,('利润（汇总）'!$B$3:$B$67=$A26)*('利润（汇总）'!$C$1:$AAK$1=$C$1)*('利润（汇总）'!$C$2:$AAK$2&lt;=$C$2))</f>
        <v>6580.5110649999997</v>
      </c>
      <c r="M26" s="429">
        <f t="shared" si="5"/>
        <v>1113.8443983333327</v>
      </c>
      <c r="N26" s="444">
        <f t="shared" si="6"/>
        <v>1.2037520240853656</v>
      </c>
      <c r="O26" s="442">
        <f t="shared" si="21"/>
        <v>2058.1020076666664</v>
      </c>
      <c r="U26" s="452"/>
      <c r="AE26" s="1785">
        <v>6783.6135859999995</v>
      </c>
      <c r="AF26" s="453">
        <f t="shared" si="16"/>
        <v>-203.1025209999998</v>
      </c>
    </row>
    <row r="27" spans="1:32">
      <c r="A27" s="410" t="s">
        <v>127</v>
      </c>
      <c r="B27" s="427" t="s">
        <v>506</v>
      </c>
      <c r="C27" s="101">
        <f>SUMPRODUCT('利润（汇总）'!$C$3:$AAK$67,('利润（汇总）'!$B$3:$B$67=$A27)*('利润（汇总）'!$C$1:$AAK$1=$C$1-1)*('利润（汇总）'!$C$2:$AAK$2&lt;=12))</f>
        <v>7106.2610570000006</v>
      </c>
      <c r="D27" s="1998">
        <v>7693</v>
      </c>
      <c r="E27" s="428">
        <f t="shared" si="14"/>
        <v>641.08333333333337</v>
      </c>
      <c r="F27" s="101">
        <f>SUMPRODUCT('利润（汇总）'!$C$3:$AAK$67,('利润（汇总）'!$B$3:$B$67=$A27)*('利润（汇总）'!$C$1:$AAK$1=$F$1)*('利润（汇总）'!$C$2:$AAK$2=$F$2))</f>
        <v>519.64996300000007</v>
      </c>
      <c r="G27" s="101">
        <f>SUMPRODUCT('利润（汇总）'!$C$3:$AAK$67,('利润（汇总）'!$B$3:$B$67=$A27)*('利润（汇总）'!$C$1:$AAK$1=$C$1)*('利润（汇总）'!$C$2:$AAK$2=$C$2))</f>
        <v>1246.7662150000001</v>
      </c>
      <c r="H27" s="429">
        <f t="shared" si="1"/>
        <v>727.11625200000003</v>
      </c>
      <c r="I27" s="429">
        <f t="shared" si="2"/>
        <v>605.68288166666673</v>
      </c>
      <c r="J27" s="429">
        <f t="shared" si="3"/>
        <v>654.57779358333335</v>
      </c>
      <c r="K27" s="443">
        <f t="shared" si="4"/>
        <v>1.9447802651761341</v>
      </c>
      <c r="L27" s="430">
        <f>SUMPRODUCT('利润（汇总）'!$C$3:$AAK$67,('利润（汇总）'!$B$3:$B$67=$A27)*('利润（汇总）'!$C$1:$AAK$1=$C$1)*('利润（汇总）'!$C$2:$AAK$2&lt;=$C$2))</f>
        <v>5057.9174039999998</v>
      </c>
      <c r="M27" s="429">
        <f t="shared" si="5"/>
        <v>-70.749262666667164</v>
      </c>
      <c r="N27" s="444">
        <f t="shared" si="6"/>
        <v>0.98620513531782128</v>
      </c>
      <c r="O27" s="442">
        <f t="shared" si="21"/>
        <v>320.41003266666576</v>
      </c>
      <c r="AE27" s="1785">
        <v>7106.2610570000006</v>
      </c>
      <c r="AF27" s="453">
        <f t="shared" si="16"/>
        <v>-2048.3436530000008</v>
      </c>
    </row>
    <row r="28" spans="1:32">
      <c r="A28" s="410" t="s">
        <v>128</v>
      </c>
      <c r="B28" s="427" t="s">
        <v>507</v>
      </c>
      <c r="C28" s="101">
        <f>SUMPRODUCT('利润（汇总）'!$C$3:$AAK$67,('利润（汇总）'!$B$3:$B$67=$A28)*('利润（汇总）'!$C$1:$AAK$1=$C$1-1)*('利润（汇总）'!$C$2:$AAK$2&lt;=12))</f>
        <v>2608.0780960000002</v>
      </c>
      <c r="D28" s="1998">
        <v>2790</v>
      </c>
      <c r="E28" s="428">
        <f t="shared" si="14"/>
        <v>232.5</v>
      </c>
      <c r="F28" s="101">
        <f>SUMPRODUCT('利润（汇总）'!$C$3:$AAK$67,('利润（汇总）'!$B$3:$B$67=$A28)*('利润（汇总）'!$C$1:$AAK$1=$F$1)*('利润（汇总）'!$C$2:$AAK$2=$F$2))</f>
        <v>195.67499799999999</v>
      </c>
      <c r="G28" s="101">
        <f>SUMPRODUCT('利润（汇总）'!$C$3:$AAK$67,('利润（汇总）'!$B$3:$B$67=$A28)*('利润（汇总）'!$C$1:$AAK$1=$C$1)*('利润（汇总）'!$C$2:$AAK$2=$C$2))</f>
        <v>472.78586899999993</v>
      </c>
      <c r="H28" s="429">
        <f t="shared" si="1"/>
        <v>277.11087099999997</v>
      </c>
      <c r="I28" s="429">
        <f t="shared" si="2"/>
        <v>240.28586899999993</v>
      </c>
      <c r="J28" s="429">
        <f t="shared" si="3"/>
        <v>255.44602766666659</v>
      </c>
      <c r="K28" s="443">
        <f t="shared" si="4"/>
        <v>2.0334876086021501</v>
      </c>
      <c r="L28" s="430">
        <f>SUMPRODUCT('利润（汇总）'!$C$3:$AAK$67,('利润（汇总）'!$B$3:$B$67=$A28)*('利润（汇总）'!$C$1:$AAK$1=$C$1)*('利润（汇总）'!$C$2:$AAK$2&lt;=$C$2))</f>
        <v>1848.1791479999997</v>
      </c>
      <c r="M28" s="429">
        <f t="shared" si="5"/>
        <v>-11.820852000000286</v>
      </c>
      <c r="N28" s="444">
        <f t="shared" si="6"/>
        <v>0.99364470322580634</v>
      </c>
      <c r="O28" s="442">
        <f t="shared" si="21"/>
        <v>109.460417333333</v>
      </c>
      <c r="P28"/>
      <c r="Q28"/>
      <c r="R28"/>
      <c r="S28"/>
      <c r="T28"/>
      <c r="U28"/>
      <c r="V28"/>
      <c r="W28"/>
      <c r="X28"/>
      <c r="Y28"/>
      <c r="Z28"/>
      <c r="AA28"/>
      <c r="AB28"/>
      <c r="AE28" s="1785">
        <v>2608.0780960000002</v>
      </c>
      <c r="AF28" s="453">
        <f t="shared" si="16"/>
        <v>-759.89894800000047</v>
      </c>
    </row>
    <row r="29" spans="1:32">
      <c r="A29" s="410" t="s">
        <v>125</v>
      </c>
      <c r="B29" s="427" t="s">
        <v>477</v>
      </c>
      <c r="C29" s="101">
        <f>SUMPRODUCT('利润（汇总）'!$C$3:$AAK$67,('利润（汇总）'!$B$3:$B$67=$A29)*('利润（汇总）'!$C$1:$AAK$1=$C$1-1)*('利润（汇总）'!$C$2:$AAK$2&lt;=12))</f>
        <v>262.73492599999997</v>
      </c>
      <c r="D29" s="1998">
        <v>265</v>
      </c>
      <c r="E29" s="428">
        <f t="shared" si="14"/>
        <v>22.083333333333332</v>
      </c>
      <c r="F29" s="101">
        <f>SUMPRODUCT('利润（汇总）'!$C$3:$AAK$67,('利润（汇总）'!$B$3:$B$67=$A29)*('利润（汇总）'!$C$1:$AAK$1=$F$1)*('利润（汇总）'!$C$2:$AAK$2=$F$2))</f>
        <v>5.79</v>
      </c>
      <c r="G29" s="101">
        <f>SUMPRODUCT('利润（汇总）'!$C$3:$AAK$67,('利润（汇总）'!$B$3:$B$67=$A29)*('利润（汇总）'!$C$1:$AAK$1=$C$1)*('利润（汇总）'!$C$2:$AAK$2=$C$2))</f>
        <v>38.24</v>
      </c>
      <c r="H29" s="429">
        <f t="shared" si="1"/>
        <v>32.450000000000003</v>
      </c>
      <c r="I29" s="434">
        <f t="shared" si="2"/>
        <v>16.15666666666667</v>
      </c>
      <c r="J29" s="434">
        <f t="shared" si="3"/>
        <v>16.345422833333338</v>
      </c>
      <c r="K29" s="447">
        <f t="shared" si="4"/>
        <v>1.7316226415094342</v>
      </c>
      <c r="L29" s="430">
        <f>SUMPRODUCT('利润（汇总）'!$C$3:$AAK$67,('利润（汇总）'!$B$3:$B$67=$A29)*('利润（汇总）'!$C$1:$AAK$1=$C$1)*('利润（汇总）'!$C$2:$AAK$2&lt;=$C$2))</f>
        <v>195.11211599999999</v>
      </c>
      <c r="M29" s="429">
        <f t="shared" si="5"/>
        <v>18.445449333333329</v>
      </c>
      <c r="N29" s="444">
        <f t="shared" si="6"/>
        <v>1.104408203773585</v>
      </c>
      <c r="O29" s="442">
        <f t="shared" si="21"/>
        <v>19.955498666666671</v>
      </c>
      <c r="P29"/>
      <c r="Q29"/>
      <c r="R29"/>
      <c r="S29"/>
      <c r="T29"/>
      <c r="U29"/>
      <c r="V29"/>
      <c r="W29"/>
      <c r="X29"/>
      <c r="Y29"/>
      <c r="Z29"/>
      <c r="AA29"/>
      <c r="AB29"/>
      <c r="AE29" s="1785">
        <v>262.73492599999997</v>
      </c>
      <c r="AF29" s="453">
        <f t="shared" si="16"/>
        <v>-67.622809999999987</v>
      </c>
    </row>
    <row r="30" spans="1:32">
      <c r="B30" s="423" t="s">
        <v>1320</v>
      </c>
      <c r="C30" s="424">
        <f>SUM(C31:C34)</f>
        <v>1755.8377440000002</v>
      </c>
      <c r="D30" s="424">
        <f>SUM(D31:D34)</f>
        <v>4399.9806457085651</v>
      </c>
      <c r="E30" s="425">
        <f t="shared" si="14"/>
        <v>366.66505380904709</v>
      </c>
      <c r="F30" s="424">
        <f t="shared" ref="F30:G30" si="32">SUM(F31:F34)</f>
        <v>-385.74505700000003</v>
      </c>
      <c r="G30" s="424">
        <f t="shared" si="32"/>
        <v>287.87</v>
      </c>
      <c r="H30" s="426">
        <f t="shared" si="1"/>
        <v>673.61505699999998</v>
      </c>
      <c r="I30" s="426">
        <f t="shared" ref="I30" si="33">G30-D30/12</f>
        <v>-78.79505380904709</v>
      </c>
      <c r="J30" s="426">
        <f t="shared" ref="J30" si="34">G30-C30/12</f>
        <v>141.55018799999999</v>
      </c>
      <c r="K30" s="445">
        <f t="shared" ref="K30" si="35">IF(E30&gt;=0,G30/E30,(1-(G30-E30)/E30))</f>
        <v>0.78510345343660104</v>
      </c>
      <c r="L30" s="424">
        <f>SUM(L31:L34)</f>
        <v>1929.791356</v>
      </c>
      <c r="M30" s="426">
        <f t="shared" ref="M30" si="36">L30-D30/12*$C$2</f>
        <v>-1003.5290744723768</v>
      </c>
      <c r="N30" s="446">
        <f t="shared" ref="N30" si="37">IF(E30&gt;=0,L30/(E30*$C$2),(1-(L30-(E30*$C$2))/(E30*$C$2)))</f>
        <v>0.65788631066440628</v>
      </c>
      <c r="O30" s="442"/>
      <c r="P30"/>
      <c r="Q30"/>
      <c r="R30"/>
      <c r="S30"/>
      <c r="T30"/>
      <c r="U30"/>
      <c r="V30"/>
      <c r="W30"/>
      <c r="X30"/>
      <c r="Y30"/>
      <c r="Z30"/>
      <c r="AA30"/>
      <c r="AB30"/>
      <c r="AE30" s="1785"/>
      <c r="AF30" s="453"/>
    </row>
    <row r="31" spans="1:32">
      <c r="A31" s="410" t="s">
        <v>132</v>
      </c>
      <c r="B31" s="427" t="s">
        <v>132</v>
      </c>
      <c r="C31" s="101">
        <f>SUMPRODUCT('利润（汇总）'!$C$3:$AAK$67,('利润（汇总）'!$B$3:$B$67=$A31)*('利润（汇总）'!$C$1:$AAK$1=$C$1-1)*('利润（汇总）'!$C$2:$AAK$2&lt;=12))</f>
        <v>2056.0747939999997</v>
      </c>
      <c r="D31" s="1998">
        <v>3350</v>
      </c>
      <c r="E31" s="428">
        <f t="shared" ref="E31:E37" si="38">D31/12</f>
        <v>279.16666666666669</v>
      </c>
      <c r="F31" s="101">
        <f>SUMPRODUCT('利润（汇总）'!$C$3:$AAK$67,('利润（汇总）'!$B$3:$B$67=$A31)*('利润（汇总）'!$C$1:$AAK$1=$F$1)*('利润（汇总）'!$C$2:$AAK$2=$F$2))</f>
        <v>-191.368336</v>
      </c>
      <c r="G31" s="101">
        <f>SUMPRODUCT('利润（汇总）'!$C$3:$AAK$67,('利润（汇总）'!$B$3:$B$67=$A31)*('利润（汇总）'!$C$1:$AAK$1=$C$1)*('利润（汇总）'!$C$2:$AAK$2=$C$2))</f>
        <v>61.28</v>
      </c>
      <c r="H31" s="429">
        <f t="shared" ref="H31:H37" si="39">G31-F31</f>
        <v>252.648336</v>
      </c>
      <c r="I31" s="429">
        <f t="shared" ref="I31:I37" si="40">G31-D31/12</f>
        <v>-217.88666666666668</v>
      </c>
      <c r="J31" s="429">
        <f t="shared" ref="J31:J37" si="41">G31-C31/12</f>
        <v>-110.05956616666663</v>
      </c>
      <c r="K31" s="443">
        <f>IF(E31&gt;=0,G31/E31,(1-(G31-E31)/E31))</f>
        <v>0.21951044776119402</v>
      </c>
      <c r="L31" s="430">
        <f>SUMPRODUCT('利润（汇总）'!$C$3:$AAK$67,('利润（汇总）'!$B$3:$B$67=$A31)*('利润（汇总）'!$C$1:$AAK$1=$C$1)*('利润（汇总）'!$C$2:$AAK$2&lt;=$C$2))</f>
        <v>1066.09726</v>
      </c>
      <c r="M31" s="429">
        <f t="shared" ref="M31:M37" si="42">L31-D31/12*$C$2</f>
        <v>-1167.2360733333335</v>
      </c>
      <c r="N31" s="444">
        <f t="shared" ref="N31:N37" si="43">IF(E31&gt;=0,L31/(E31*$C$2),(1-(L31-(E31*$C$2))/(E31*$C$2)))</f>
        <v>0.47735698208955218</v>
      </c>
      <c r="O31" s="442">
        <f>L31-C31/12*$C$2</f>
        <v>-304.61926933333302</v>
      </c>
      <c r="P31"/>
      <c r="Q31"/>
      <c r="R31"/>
      <c r="S31"/>
      <c r="T31"/>
      <c r="U31"/>
      <c r="V31"/>
      <c r="W31"/>
      <c r="X31"/>
      <c r="Y31"/>
      <c r="Z31"/>
      <c r="AA31"/>
      <c r="AB31"/>
      <c r="AE31" s="1785">
        <v>2056.0747939999997</v>
      </c>
      <c r="AF31" s="453">
        <f>L31-AE31</f>
        <v>-989.97753399999965</v>
      </c>
    </row>
    <row r="32" spans="1:32">
      <c r="A32" s="410" t="s">
        <v>117</v>
      </c>
      <c r="B32" s="427" t="s">
        <v>117</v>
      </c>
      <c r="C32" s="101">
        <f>SUMPRODUCT('利润（汇总）'!$C$3:$AAK$67,('利润（汇总）'!$B$3:$B$67=$A32)*('利润（汇总）'!$C$1:$AAK$1=$C$1-1)*('利润（汇总）'!$C$2:$AAK$2&lt;=12))</f>
        <v>219.68403500000002</v>
      </c>
      <c r="D32" s="1998">
        <v>680</v>
      </c>
      <c r="E32" s="428">
        <f t="shared" si="38"/>
        <v>56.666666666666664</v>
      </c>
      <c r="F32" s="101">
        <f>SUMPRODUCT('利润（汇总）'!$C$3:$AAK$67,('利润（汇总）'!$B$3:$B$67=$A32)*('利润（汇总）'!$C$1:$AAK$1=$F$1)*('利润（汇总）'!$C$2:$AAK$2=$F$2))</f>
        <v>-210.11</v>
      </c>
      <c r="G32" s="101">
        <f>SUMPRODUCT('利润（汇总）'!$C$3:$AAK$67,('利润（汇总）'!$B$3:$B$67=$A32)*('利润（汇总）'!$C$1:$AAK$1=$C$1)*('利润（汇总）'!$C$2:$AAK$2=$C$2))</f>
        <v>186.59</v>
      </c>
      <c r="H32" s="429">
        <f t="shared" si="39"/>
        <v>396.70000000000005</v>
      </c>
      <c r="I32" s="429">
        <f t="shared" si="40"/>
        <v>129.92333333333335</v>
      </c>
      <c r="J32" s="429">
        <f t="shared" si="41"/>
        <v>168.28299708333333</v>
      </c>
      <c r="K32" s="443">
        <f>IF(E32&gt;=0,G32/E32,(1-(G32-E32)/E32))</f>
        <v>3.292764705882353</v>
      </c>
      <c r="L32" s="430">
        <f>SUMPRODUCT('利润（汇总）'!$C$3:$AAK$67,('利润（汇总）'!$B$3:$B$67=$A32)*('利润（汇总）'!$C$1:$AAK$1=$C$1)*('利润（汇总）'!$C$2:$AAK$2&lt;=$C$2))</f>
        <v>367.80561299999999</v>
      </c>
      <c r="M32" s="429">
        <f t="shared" si="42"/>
        <v>-85.52772033333332</v>
      </c>
      <c r="N32" s="444">
        <f t="shared" si="43"/>
        <v>0.81133591102941183</v>
      </c>
      <c r="O32" s="442">
        <f>L32-C32/12*$C$2</f>
        <v>221.34958966666665</v>
      </c>
      <c r="P32"/>
      <c r="Q32"/>
      <c r="R32"/>
      <c r="S32"/>
      <c r="T32"/>
      <c r="U32"/>
      <c r="V32"/>
      <c r="W32"/>
      <c r="X32"/>
      <c r="Y32"/>
      <c r="Z32"/>
      <c r="AA32"/>
      <c r="AB32"/>
      <c r="AE32" s="1785">
        <v>219.68403500000002</v>
      </c>
      <c r="AF32" s="453">
        <f>L32-AE32</f>
        <v>148.12157799999997</v>
      </c>
    </row>
    <row r="33" spans="1:32">
      <c r="A33" s="410" t="s">
        <v>134</v>
      </c>
      <c r="B33" s="427" t="s">
        <v>134</v>
      </c>
      <c r="C33" s="101">
        <f>SUMPRODUCT('利润（汇总）'!$C$3:$AAK$67,('利润（汇总）'!$B$3:$B$67=$A33)*('利润（汇总）'!$C$1:$AAK$1=$C$1-1)*('利润（汇总）'!$C$2:$AAK$2&lt;=12))</f>
        <v>248.41160199999999</v>
      </c>
      <c r="D33" s="1998">
        <v>289.98064570856502</v>
      </c>
      <c r="E33" s="428">
        <f t="shared" si="38"/>
        <v>24.165053809047084</v>
      </c>
      <c r="F33" s="101">
        <f>SUMPRODUCT('利润（汇总）'!$C$3:$AAK$67,('利润（汇总）'!$B$3:$B$67=$A33)*('利润（汇总）'!$C$1:$AAK$1=$F$1)*('利润（汇总）'!$C$2:$AAK$2=$F$2))</f>
        <v>1.73327899999999</v>
      </c>
      <c r="G33" s="101">
        <f>SUMPRODUCT('利润（汇总）'!$C$3:$AAK$67,('利润（汇总）'!$B$3:$B$67=$A33)*('利润（汇总）'!$C$1:$AAK$1=$C$1)*('利润（汇总）'!$C$2:$AAK$2=$C$2))</f>
        <v>27</v>
      </c>
      <c r="H33" s="429">
        <f t="shared" si="39"/>
        <v>25.266721000000011</v>
      </c>
      <c r="I33" s="429">
        <f t="shared" si="40"/>
        <v>2.8349461909529161</v>
      </c>
      <c r="J33" s="429">
        <f t="shared" si="41"/>
        <v>6.2990331666666677</v>
      </c>
      <c r="K33" s="443">
        <f>IF(E33&gt;=0,G33/E33,(1-(G33-E33)/E33))</f>
        <v>1.1173159477878567</v>
      </c>
      <c r="L33" s="430">
        <f>SUMPRODUCT('利润（汇总）'!$C$3:$AAK$67,('利润（汇总）'!$B$3:$B$67=$A33)*('利润（汇总）'!$C$1:$AAK$1=$C$1)*('利润（汇总）'!$C$2:$AAK$2&lt;=$C$2))</f>
        <v>208.22421899999998</v>
      </c>
      <c r="M33" s="429">
        <f t="shared" si="42"/>
        <v>14.903788527623306</v>
      </c>
      <c r="N33" s="444">
        <f t="shared" si="43"/>
        <v>1.0770937065017185</v>
      </c>
      <c r="O33" s="442">
        <f>L33-C33/12*$C$2</f>
        <v>42.616484333333318</v>
      </c>
      <c r="P33"/>
      <c r="Q33"/>
      <c r="R33"/>
      <c r="S33"/>
      <c r="T33"/>
      <c r="U33"/>
      <c r="V33"/>
      <c r="W33"/>
      <c r="X33"/>
      <c r="Y33"/>
      <c r="Z33"/>
      <c r="AA33"/>
      <c r="AB33"/>
      <c r="AE33" s="1785">
        <v>248.41160199999999</v>
      </c>
      <c r="AF33" s="453">
        <f>L33-AE33</f>
        <v>-40.187383000000011</v>
      </c>
    </row>
    <row r="34" spans="1:32" ht="14.65" customHeight="1">
      <c r="A34" s="410" t="s">
        <v>119</v>
      </c>
      <c r="B34" s="427" t="s">
        <v>119</v>
      </c>
      <c r="C34" s="101">
        <f>SUMPRODUCT('利润（汇总）'!$C$3:$AAK$67,('利润（汇总）'!$B$3:$B$67=$A34)*('利润（汇总）'!$C$1:$AAK$1=$C$1-1)*('利润（汇总）'!$C$2:$AAK$2&lt;=12))</f>
        <v>-768.33268699999985</v>
      </c>
      <c r="D34" s="1998">
        <v>80</v>
      </c>
      <c r="E34" s="428">
        <f t="shared" si="38"/>
        <v>6.666666666666667</v>
      </c>
      <c r="F34" s="101">
        <f>SUMPRODUCT('利润（汇总）'!$C$3:$AAK$67,('利润（汇总）'!$B$3:$B$67=$A34)*('利润（汇总）'!$C$1:$AAK$1=$F$1)*('利润（汇总）'!$C$2:$AAK$2=$F$2))</f>
        <v>14</v>
      </c>
      <c r="G34" s="101">
        <f>SUMPRODUCT('利润（汇总）'!$C$3:$AAK$67,('利润（汇总）'!$B$3:$B$67=$A34)*('利润（汇总）'!$C$1:$AAK$1=$C$1)*('利润（汇总）'!$C$2:$AAK$2=$C$2))</f>
        <v>13</v>
      </c>
      <c r="H34" s="429">
        <f t="shared" si="39"/>
        <v>-1</v>
      </c>
      <c r="I34" s="429">
        <f t="shared" si="40"/>
        <v>6.333333333333333</v>
      </c>
      <c r="J34" s="429">
        <f t="shared" si="41"/>
        <v>77.027723916666659</v>
      </c>
      <c r="K34" s="443">
        <f>IF(E34&gt;=0,G34/E34,(1-(G34-E34)/E34))</f>
        <v>1.95</v>
      </c>
      <c r="L34" s="430">
        <f>SUMPRODUCT('利润（汇总）'!$C$3:$AAK$67,('利润（汇总）'!$B$3:$B$67=$A34)*('利润（汇总）'!$C$1:$AAK$1=$C$1)*('利润（汇总）'!$C$2:$AAK$2&lt;=$C$2))</f>
        <v>287.664264</v>
      </c>
      <c r="M34" s="429">
        <f t="shared" si="42"/>
        <v>234.33093066666666</v>
      </c>
      <c r="N34" s="444">
        <f t="shared" si="43"/>
        <v>5.3937049500000001</v>
      </c>
      <c r="O34" s="442">
        <f>L34-C34/12*$C$2</f>
        <v>799.88605533333327</v>
      </c>
      <c r="AE34" s="1785">
        <v>-768.33268699999985</v>
      </c>
      <c r="AF34" s="453">
        <f>L34-AE34</f>
        <v>1055.9969509999999</v>
      </c>
    </row>
    <row r="35" spans="1:32" ht="14.65" customHeight="1">
      <c r="B35" s="423" t="s">
        <v>1321</v>
      </c>
      <c r="C35" s="424">
        <f>SUM(C36:C37)</f>
        <v>-5324.6246969999993</v>
      </c>
      <c r="D35" s="424">
        <f>SUM(D36:D37)</f>
        <v>-264</v>
      </c>
      <c r="E35" s="425">
        <f t="shared" si="38"/>
        <v>-22</v>
      </c>
      <c r="F35" s="424">
        <f t="shared" ref="F35:G35" si="44">SUM(F36:F37)</f>
        <v>820</v>
      </c>
      <c r="G35" s="424">
        <f t="shared" si="44"/>
        <v>476.5</v>
      </c>
      <c r="H35" s="426">
        <f t="shared" si="39"/>
        <v>-343.5</v>
      </c>
      <c r="I35" s="426">
        <f t="shared" si="40"/>
        <v>498.5</v>
      </c>
      <c r="J35" s="426">
        <f t="shared" si="41"/>
        <v>920.21872474999986</v>
      </c>
      <c r="K35" s="445"/>
      <c r="L35" s="424">
        <f>SUM(L36:L37)</f>
        <v>1530.8225520000005</v>
      </c>
      <c r="M35" s="426">
        <f t="shared" si="42"/>
        <v>1706.8225520000005</v>
      </c>
      <c r="N35" s="446">
        <f t="shared" si="43"/>
        <v>10.697855409090913</v>
      </c>
      <c r="O35" s="442"/>
      <c r="AE35" s="1785"/>
      <c r="AF35" s="453"/>
    </row>
    <row r="36" spans="1:32">
      <c r="A36" s="208" t="str">
        <f>'收入（汇总）'!B12</f>
        <v>钢科碳材料</v>
      </c>
      <c r="B36" s="427" t="s">
        <v>480</v>
      </c>
      <c r="C36" s="101">
        <f>SUMPRODUCT('利润（汇总）'!$C$3:$AAK$67,('利润（汇总）'!$B$3:$B$67=$A36)*('利润（汇总）'!$C$1:$AAK$1=$C$1-1)*('利润（汇总）'!$C$2:$AAK$2&lt;=12))</f>
        <v>336.29010299999993</v>
      </c>
      <c r="D36" s="1998">
        <v>1236</v>
      </c>
      <c r="E36" s="428">
        <f t="shared" si="38"/>
        <v>103</v>
      </c>
      <c r="F36" s="101">
        <f>SUMPRODUCT('利润（汇总）'!$C$3:$AAK$67,('利润（汇总）'!$B$3:$B$67=$A36)*('利润（汇总）'!$C$1:$AAK$1=$F$1)*('利润（汇总）'!$C$2:$AAK$2=$F$2))</f>
        <v>1096</v>
      </c>
      <c r="G36" s="101">
        <f>SUMPRODUCT('利润（汇总）'!$C$3:$AAK$67,('利润（汇总）'!$B$3:$B$67=$A36)*('利润（汇总）'!$C$1:$AAK$1=$C$1)*('利润（汇总）'!$C$2:$AAK$2=$C$2))</f>
        <v>677.5</v>
      </c>
      <c r="H36" s="429">
        <f t="shared" si="39"/>
        <v>-418.5</v>
      </c>
      <c r="I36" s="429">
        <f t="shared" si="40"/>
        <v>574.5</v>
      </c>
      <c r="J36" s="429">
        <f t="shared" si="41"/>
        <v>649.47582475000002</v>
      </c>
      <c r="K36" s="443">
        <f>IF(E36&gt;=0,G36/E36,(1-(G36-E36)/E36))</f>
        <v>6.5776699029126213</v>
      </c>
      <c r="L36" s="430">
        <f>SUMPRODUCT('利润（汇总）'!$C$3:$AAK$67,('利润（汇总）'!$B$3:$B$67=$A36)*('利润（汇总）'!$C$1:$AAK$1=$C$1)*('利润（汇总）'!$C$2:$AAK$2&lt;=$C$2))</f>
        <v>3761.6320850000002</v>
      </c>
      <c r="M36" s="429">
        <f t="shared" si="42"/>
        <v>2937.6320850000002</v>
      </c>
      <c r="N36" s="444">
        <f t="shared" si="43"/>
        <v>4.5650874817961169</v>
      </c>
      <c r="O36" s="442">
        <f>L36-C36/12*$C$2</f>
        <v>3537.4386830000003</v>
      </c>
      <c r="P36"/>
      <c r="Q36"/>
      <c r="R36"/>
      <c r="S36"/>
      <c r="T36"/>
      <c r="U36"/>
      <c r="V36"/>
      <c r="W36"/>
      <c r="X36"/>
      <c r="Y36"/>
      <c r="Z36"/>
      <c r="AA36"/>
      <c r="AB36"/>
      <c r="AE36" s="1785">
        <v>336.29010299999993</v>
      </c>
      <c r="AF36" s="453">
        <f>L36-AE36</f>
        <v>3425.3419820000004</v>
      </c>
    </row>
    <row r="37" spans="1:32">
      <c r="A37" s="410" t="s">
        <v>116</v>
      </c>
      <c r="B37" s="427" t="s">
        <v>116</v>
      </c>
      <c r="C37" s="101">
        <f>SUMPRODUCT('利润（汇总）'!$C$3:$AAK$67,('利润（汇总）'!$B$3:$B$67=$A37)*('利润（汇总）'!$C$1:$AAK$1=$C$1-1)*('利润（汇总）'!$C$2:$AAK$2&lt;=12))</f>
        <v>-5660.9147999999996</v>
      </c>
      <c r="D37" s="1998">
        <v>-1500</v>
      </c>
      <c r="E37" s="428">
        <f t="shared" si="38"/>
        <v>-125</v>
      </c>
      <c r="F37" s="101">
        <f>SUMPRODUCT('利润（汇总）'!$C$3:$AAK$67,('利润（汇总）'!$B$3:$B$67=$A37)*('利润（汇总）'!$C$1:$AAK$1=$F$1)*('利润（汇总）'!$C$2:$AAK$2=$F$2))</f>
        <v>-276</v>
      </c>
      <c r="G37" s="101">
        <f>SUMPRODUCT('利润（汇总）'!$C$3:$AAK$67,('利润（汇总）'!$B$3:$B$67=$A37)*('利润（汇总）'!$C$1:$AAK$1=$C$1)*('利润（汇总）'!$C$2:$AAK$2=$C$2))</f>
        <v>-201</v>
      </c>
      <c r="H37" s="429">
        <f t="shared" si="39"/>
        <v>75</v>
      </c>
      <c r="I37" s="429">
        <f t="shared" si="40"/>
        <v>-76</v>
      </c>
      <c r="J37" s="429">
        <f t="shared" si="41"/>
        <v>270.74289999999996</v>
      </c>
      <c r="K37" s="443">
        <f>IF(E37&gt;=0,G37/E37,(1-(G37-E37)/E37))</f>
        <v>0.39200000000000002</v>
      </c>
      <c r="L37" s="430">
        <f>SUMPRODUCT('利润（汇总）'!$C$3:$AAK$67,('利润（汇总）'!$B$3:$B$67=$A37)*('利润（汇总）'!$C$1:$AAK$1=$C$1)*('利润（汇总）'!$C$2:$AAK$2&lt;=$C$2))</f>
        <v>-2230.8095329999996</v>
      </c>
      <c r="M37" s="429">
        <f t="shared" si="42"/>
        <v>-1230.8095329999996</v>
      </c>
      <c r="N37" s="444">
        <f t="shared" si="43"/>
        <v>-0.23080953299999973</v>
      </c>
      <c r="O37" s="442">
        <f>L37-C37/12*$C$2</f>
        <v>1543.1336670000001</v>
      </c>
      <c r="P37"/>
      <c r="Q37"/>
      <c r="R37"/>
      <c r="S37"/>
      <c r="T37"/>
      <c r="U37"/>
      <c r="V37"/>
      <c r="W37"/>
      <c r="X37"/>
      <c r="Y37"/>
      <c r="Z37"/>
      <c r="AA37"/>
      <c r="AB37"/>
      <c r="AE37" s="1785">
        <v>-5660.9147999999996</v>
      </c>
      <c r="AF37" s="453">
        <f>L37-AE37</f>
        <v>3430.1052669999999</v>
      </c>
    </row>
    <row r="38" spans="1:32">
      <c r="B38" s="423" t="s">
        <v>1322</v>
      </c>
      <c r="C38" s="424">
        <f>SUM(C39:C42)</f>
        <v>-4950.7086750000017</v>
      </c>
      <c r="D38" s="424">
        <f>SUM(D39:D42)</f>
        <v>5083</v>
      </c>
      <c r="E38" s="425">
        <f t="shared" ref="E38:E50" si="45">D38/12</f>
        <v>423.58333333333331</v>
      </c>
      <c r="F38" s="424">
        <f>SUM(F39:F42)</f>
        <v>196.58931699999999</v>
      </c>
      <c r="G38" s="424">
        <f>SUM(G39:G42)</f>
        <v>197.42</v>
      </c>
      <c r="H38" s="426">
        <f t="shared" ref="H38:H50" si="46">G38-F38</f>
        <v>0.8306829999999934</v>
      </c>
      <c r="I38" s="426">
        <f t="shared" ref="I38:I50" si="47">G38-D38/12</f>
        <v>-226.16333333333333</v>
      </c>
      <c r="J38" s="426">
        <f t="shared" ref="J38:J50" si="48">G38-C38/12</f>
        <v>609.9790562500001</v>
      </c>
      <c r="K38" s="445">
        <f t="shared" ref="K38:K50" si="49">IF(E38&gt;=0,G38/E38,(1-(G38-E38)/E38))</f>
        <v>0.46607121778477278</v>
      </c>
      <c r="L38" s="424">
        <f>SUM(L39:L42)</f>
        <v>2875.1376139999998</v>
      </c>
      <c r="M38" s="426">
        <f t="shared" ref="M38:M50" si="50">L38-D38/12*$C$2</f>
        <v>-513.52905266666676</v>
      </c>
      <c r="N38" s="446">
        <f t="shared" ref="N38:N50" si="51">IF(E38&gt;=0,L38/(E38*$C$2),(1-(L38-(E38*$C$2))/(E38*$C$2)))</f>
        <v>0.84845689966555182</v>
      </c>
      <c r="O38" s="442"/>
      <c r="P38"/>
      <c r="Q38"/>
      <c r="R38"/>
      <c r="S38"/>
      <c r="T38"/>
      <c r="U38"/>
      <c r="V38"/>
      <c r="W38"/>
      <c r="X38"/>
      <c r="Y38"/>
      <c r="Z38"/>
      <c r="AA38"/>
      <c r="AB38"/>
      <c r="AE38" s="1785"/>
      <c r="AF38" s="453"/>
    </row>
    <row r="39" spans="1:32">
      <c r="A39" s="410" t="s">
        <v>129</v>
      </c>
      <c r="B39" s="427" t="s">
        <v>129</v>
      </c>
      <c r="C39" s="101">
        <f>SUMPRODUCT('利润（汇总）'!$C$3:$AAK$67,('利润（汇总）'!$B$3:$B$67=$A39)*('利润（汇总）'!$C$1:$AAK$1=$C$1-1)*('利润（汇总）'!$C$2:$AAK$2&lt;=12))</f>
        <v>1824.4590269999994</v>
      </c>
      <c r="D39" s="1998">
        <v>2065</v>
      </c>
      <c r="E39" s="428">
        <f t="shared" si="45"/>
        <v>172.08333333333334</v>
      </c>
      <c r="F39" s="101">
        <f>SUMPRODUCT('利润（汇总）'!$C$3:$AAK$67,('利润（汇总）'!$B$3:$B$67=$A39)*('利润（汇总）'!$C$1:$AAK$1=$F$1)*('利润（汇总）'!$C$2:$AAK$2=$F$2))</f>
        <v>130.30000000000001</v>
      </c>
      <c r="G39" s="101">
        <f>SUMPRODUCT('利润（汇总）'!$C$3:$AAK$67,('利润（汇总）'!$B$3:$B$67=$A39)*('利润（汇总）'!$C$1:$AAK$1=$C$1)*('利润（汇总）'!$C$2:$AAK$2=$C$2))</f>
        <v>48.7</v>
      </c>
      <c r="H39" s="429">
        <f t="shared" si="46"/>
        <v>-81.600000000000009</v>
      </c>
      <c r="I39" s="429">
        <f t="shared" si="47"/>
        <v>-123.38333333333334</v>
      </c>
      <c r="J39" s="429">
        <f t="shared" si="48"/>
        <v>-103.33825224999994</v>
      </c>
      <c r="K39" s="443">
        <f t="shared" si="49"/>
        <v>0.28300242130750608</v>
      </c>
      <c r="L39" s="430">
        <f>SUMPRODUCT('利润（汇总）'!$C$3:$AAK$67,('利润（汇总）'!$B$3:$B$67=$A39)*('利润（汇总）'!$C$1:$AAK$1=$C$1)*('利润（汇总）'!$C$2:$AAK$2&lt;=$C$2))</f>
        <v>1391.215281</v>
      </c>
      <c r="M39" s="429">
        <f t="shared" si="50"/>
        <v>14.548614333333262</v>
      </c>
      <c r="N39" s="444">
        <f t="shared" si="51"/>
        <v>1.0105680007263922</v>
      </c>
      <c r="O39" s="442">
        <f>L39-C39/12*$C$2</f>
        <v>174.90926300000046</v>
      </c>
      <c r="P39" s="405"/>
      <c r="Q39" s="405"/>
      <c r="R39" s="405"/>
      <c r="S39" s="405"/>
      <c r="T39" s="405"/>
      <c r="U39" s="405"/>
      <c r="V39" s="405"/>
      <c r="W39" s="405"/>
      <c r="X39" s="405"/>
      <c r="Y39" s="405"/>
      <c r="Z39" s="405"/>
      <c r="AA39" s="405"/>
      <c r="AB39" s="405"/>
      <c r="AE39" s="1785">
        <v>1824.4590269999994</v>
      </c>
      <c r="AF39" s="453">
        <f>L39-AE39</f>
        <v>-433.24374599999942</v>
      </c>
    </row>
    <row r="40" spans="1:32">
      <c r="A40" s="410" t="s">
        <v>130</v>
      </c>
      <c r="B40" s="427" t="s">
        <v>130</v>
      </c>
      <c r="C40" s="101">
        <f>SUMPRODUCT('利润（汇总）'!$C$3:$AAK$67,('利润（汇总）'!$B$3:$B$67=$A40)*('利润（汇总）'!$C$1:$AAK$1=$C$1-1)*('利润（汇总）'!$C$2:$AAK$2&lt;=12))</f>
        <v>-1993.6473840000001</v>
      </c>
      <c r="D40" s="1998">
        <v>1500</v>
      </c>
      <c r="E40" s="428">
        <f t="shared" si="45"/>
        <v>125</v>
      </c>
      <c r="F40" s="101">
        <f>SUMPRODUCT('利润（汇总）'!$C$3:$AAK$67,('利润（汇总）'!$B$3:$B$67=$A40)*('利润（汇总）'!$C$1:$AAK$1=$F$1)*('利润（汇总）'!$C$2:$AAK$2=$F$2))-F45</f>
        <v>109.92631700000001</v>
      </c>
      <c r="G40" s="101">
        <f>SUMPRODUCT('利润（汇总）'!$C$3:$AAK$67,('利润（汇总）'!$B$3:$B$67=$A40)*('利润（汇总）'!$C$1:$AAK$1=$C$1)*('利润（汇总）'!$C$2:$AAK$2=$C$2))-G45</f>
        <v>197</v>
      </c>
      <c r="H40" s="429">
        <f t="shared" si="46"/>
        <v>87.073682999999988</v>
      </c>
      <c r="I40" s="429">
        <f t="shared" si="47"/>
        <v>72</v>
      </c>
      <c r="J40" s="429">
        <f t="shared" si="48"/>
        <v>363.13728200000003</v>
      </c>
      <c r="K40" s="443">
        <f t="shared" si="49"/>
        <v>1.5760000000000001</v>
      </c>
      <c r="L40" s="430">
        <f>SUMPRODUCT('利润（汇总）'!$C$3:$AAK$67,('利润（汇总）'!$B$3:$B$67=$A40)*('利润（汇总）'!$C$1:$AAK$1=$C$1)*('利润（汇总）'!$C$2:$AAK$2&lt;=$C$2))-L45</f>
        <v>1312.3988139999999</v>
      </c>
      <c r="M40" s="429">
        <f t="shared" si="50"/>
        <v>312.3988139999999</v>
      </c>
      <c r="N40" s="444">
        <f t="shared" si="51"/>
        <v>1.3123988139999998</v>
      </c>
      <c r="O40" s="442">
        <f>L40-C40/12*$C$2</f>
        <v>2641.4970699999999</v>
      </c>
      <c r="AE40" s="1785">
        <v>-2182.198386</v>
      </c>
      <c r="AF40" s="453">
        <f>L40-AE40</f>
        <v>3494.5972000000002</v>
      </c>
    </row>
    <row r="41" spans="1:32">
      <c r="A41" s="410" t="s">
        <v>123</v>
      </c>
      <c r="B41" s="427" t="s">
        <v>123</v>
      </c>
      <c r="C41" s="101">
        <f>SUMPRODUCT('利润（汇总）'!$C$3:$AAK$67,('利润（汇总）'!$B$3:$B$67=$A41)*('利润（汇总）'!$C$1:$AAK$1=$C$1-1)*('利润（汇总）'!$C$2:$AAK$2&lt;=12))</f>
        <v>-3139.1744390000003</v>
      </c>
      <c r="D41" s="1998">
        <v>400</v>
      </c>
      <c r="E41" s="428">
        <f t="shared" si="45"/>
        <v>33.333333333333336</v>
      </c>
      <c r="F41" s="101">
        <f>SUMPRODUCT('利润（汇总）'!$C$3:$AAK$67,('利润（汇总）'!$B$3:$B$67=$A41)*('利润（汇总）'!$C$1:$AAK$1=$F$1)*('利润（汇总）'!$C$2:$AAK$2=$F$2))</f>
        <v>58</v>
      </c>
      <c r="G41" s="101">
        <f>SUMPRODUCT('利润（汇总）'!$C$3:$AAK$67,('利润（汇总）'!$B$3:$B$67=$A41)*('利润（汇总）'!$C$1:$AAK$1=$C$1)*('利润（汇总）'!$C$2:$AAK$2=$C$2))</f>
        <v>-61.28</v>
      </c>
      <c r="H41" s="429">
        <f t="shared" si="46"/>
        <v>-119.28</v>
      </c>
      <c r="I41" s="429">
        <f t="shared" si="47"/>
        <v>-94.613333333333344</v>
      </c>
      <c r="J41" s="429">
        <f t="shared" si="48"/>
        <v>200.31786991666669</v>
      </c>
      <c r="K41" s="443">
        <f t="shared" si="49"/>
        <v>-1.8383999999999998</v>
      </c>
      <c r="L41" s="430">
        <f>SUMPRODUCT('利润（汇总）'!$C$3:$AAK$67,('利润（汇总）'!$B$3:$B$67=$A41)*('利润（汇总）'!$C$1:$AAK$1=$C$1)*('利润（汇总）'!$C$2:$AAK$2&lt;=$C$2))</f>
        <v>4.5201540000000193</v>
      </c>
      <c r="M41" s="429">
        <f t="shared" si="50"/>
        <v>-262.14651266666669</v>
      </c>
      <c r="N41" s="444">
        <f t="shared" si="51"/>
        <v>1.6950577500000071E-2</v>
      </c>
      <c r="O41" s="442">
        <f>L41-C41/12*$C$2</f>
        <v>2097.3031133333334</v>
      </c>
      <c r="AC41" s="1785">
        <v>-3139.1744390000003</v>
      </c>
      <c r="AD41" s="453">
        <f>L41-AC41</f>
        <v>3143.6945930000002</v>
      </c>
    </row>
    <row r="42" spans="1:32">
      <c r="A42" s="410" t="s">
        <v>131</v>
      </c>
      <c r="B42" s="427" t="s">
        <v>497</v>
      </c>
      <c r="C42" s="101">
        <f>SUMPRODUCT('利润（汇总）'!$C$3:$AAK$67,('利润（汇总）'!$B$3:$B$67=$A42)*('利润（汇总）'!$C$1:$AAK$1=$C$1-1)*('利润（汇总）'!$C$2:$AAK$2&lt;=12))</f>
        <v>-1642.345879</v>
      </c>
      <c r="D42" s="1998">
        <v>1118</v>
      </c>
      <c r="E42" s="428">
        <f t="shared" si="45"/>
        <v>93.166666666666671</v>
      </c>
      <c r="F42" s="101">
        <f>SUMPRODUCT('利润（汇总）'!$C$3:$AAK$67,('利润（汇总）'!$B$3:$B$67=$A42)*('利润（汇总）'!$C$1:$AAK$1=$F$1)*('利润（汇总）'!$C$2:$AAK$2=$F$2))</f>
        <v>-101.637</v>
      </c>
      <c r="G42" s="101">
        <f>SUMPRODUCT('利润（汇总）'!$C$3:$AAK$67,('利润（汇总）'!$B$3:$B$67=$A42)*('利润（汇总）'!$C$1:$AAK$1=$C$1)*('利润（汇总）'!$C$2:$AAK$2=$C$2))</f>
        <v>13</v>
      </c>
      <c r="H42" s="429">
        <f t="shared" si="46"/>
        <v>114.637</v>
      </c>
      <c r="I42" s="429">
        <f t="shared" si="47"/>
        <v>-80.166666666666671</v>
      </c>
      <c r="J42" s="429">
        <f t="shared" si="48"/>
        <v>149.86215658333333</v>
      </c>
      <c r="K42" s="443">
        <f t="shared" si="49"/>
        <v>0.13953488372093023</v>
      </c>
      <c r="L42" s="430">
        <f>SUMPRODUCT('利润（汇总）'!$C$3:$AAK$67,('利润（汇总）'!$B$3:$B$67=$A42)*('利润（汇总）'!$C$1:$AAK$1=$C$1)*('利润（汇总）'!$C$2:$AAK$2&lt;=$C$2))</f>
        <v>167.00336499999997</v>
      </c>
      <c r="M42" s="429">
        <f t="shared" si="50"/>
        <v>-578.32996833333345</v>
      </c>
      <c r="N42" s="444">
        <f t="shared" si="51"/>
        <v>0.22406533765652947</v>
      </c>
      <c r="O42" s="442">
        <f>L42-C42/12*$C$2</f>
        <v>1261.9006176666667</v>
      </c>
      <c r="AC42" s="1785">
        <v>-1642.345879</v>
      </c>
      <c r="AD42" s="453">
        <f>L42-AC42</f>
        <v>1809.349244</v>
      </c>
    </row>
    <row r="43" spans="1:32" s="405" customFormat="1">
      <c r="A43" s="422"/>
      <c r="B43" s="423" t="s">
        <v>1323</v>
      </c>
      <c r="C43" s="424">
        <f>SUM(C44:C50)</f>
        <v>467.76914799999992</v>
      </c>
      <c r="D43" s="424">
        <f>SUM(D44:D50)</f>
        <v>2340</v>
      </c>
      <c r="E43" s="425">
        <f t="shared" si="45"/>
        <v>195</v>
      </c>
      <c r="F43" s="424">
        <f>SUM(F44:F50)</f>
        <v>-34.947523000000004</v>
      </c>
      <c r="G43" s="424">
        <f>SUM(G44:G50)</f>
        <v>-32.929459000000001</v>
      </c>
      <c r="H43" s="426">
        <f t="shared" si="46"/>
        <v>2.0180640000000025</v>
      </c>
      <c r="I43" s="426">
        <f t="shared" si="47"/>
        <v>-227.92945900000001</v>
      </c>
      <c r="J43" s="426">
        <f t="shared" si="48"/>
        <v>-71.910221333333325</v>
      </c>
      <c r="K43" s="445">
        <f t="shared" si="49"/>
        <v>-0.16886902051282052</v>
      </c>
      <c r="L43" s="424">
        <f>SUM(L44:L50)</f>
        <v>-248.14067200000002</v>
      </c>
      <c r="M43" s="426">
        <f t="shared" si="50"/>
        <v>-1808.140672</v>
      </c>
      <c r="N43" s="446">
        <f t="shared" si="51"/>
        <v>-0.15906453333333334</v>
      </c>
      <c r="O43" s="442">
        <f t="shared" si="21"/>
        <v>-559.98677066666664</v>
      </c>
      <c r="P43"/>
      <c r="Q43"/>
      <c r="R43"/>
      <c r="S43"/>
      <c r="T43"/>
      <c r="U43"/>
      <c r="V43"/>
      <c r="W43"/>
      <c r="X43"/>
      <c r="Y43"/>
      <c r="Z43"/>
      <c r="AA43"/>
      <c r="AB43"/>
      <c r="AE43" s="453">
        <v>5165.9223929999971</v>
      </c>
      <c r="AF43" s="453">
        <f>L43-AE43</f>
        <v>-5414.0630649999976</v>
      </c>
    </row>
    <row r="44" spans="1:32">
      <c r="A44" s="410" t="s">
        <v>137</v>
      </c>
      <c r="B44" s="427" t="s">
        <v>137</v>
      </c>
      <c r="C44" s="101">
        <f>SUMPRODUCT('利润（汇总）'!$C$3:$AAK$67,('利润（汇总）'!$B$3:$B$67=$A44)*('利润（汇总）'!$C$1:$AAK$1=$C$1-1)*('利润（汇总）'!$C$2:$AAK$2&lt;=12))</f>
        <v>957.22928699999989</v>
      </c>
      <c r="D44" s="1998">
        <v>1500</v>
      </c>
      <c r="E44" s="428">
        <f t="shared" si="45"/>
        <v>125</v>
      </c>
      <c r="F44" s="101">
        <f>SUMPRODUCT('利润（汇总）'!$C$3:$AAK$67,('利润（汇总）'!$B$3:$B$67=$A44)*('利润（汇总）'!$C$1:$AAK$1=$F$1)*('利润（汇总）'!$C$2:$AAK$2=$F$2))</f>
        <v>0</v>
      </c>
      <c r="G44" s="101">
        <f>SUMPRODUCT('利润（汇总）'!$C$3:$AAK$67,('利润（汇总）'!$B$3:$B$67=$A44)*('利润（汇总）'!$C$1:$AAK$1=$C$1)*('利润（汇总）'!$C$2:$AAK$2=$C$2))</f>
        <v>0</v>
      </c>
      <c r="H44" s="429">
        <f t="shared" si="46"/>
        <v>0</v>
      </c>
      <c r="I44" s="429">
        <f t="shared" si="47"/>
        <v>-125</v>
      </c>
      <c r="J44" s="429">
        <f t="shared" si="48"/>
        <v>-79.76910724999999</v>
      </c>
      <c r="K44" s="443">
        <f t="shared" si="49"/>
        <v>0</v>
      </c>
      <c r="L44" s="430">
        <f>SUMPRODUCT('利润（汇总）'!$C$3:$AAK$67,('利润（汇总）'!$B$3:$B$67=$A44)*('利润（汇总）'!$C$1:$AAK$1=$C$1)*('利润（汇总）'!$C$2:$AAK$2&lt;=$C$2))</f>
        <v>0</v>
      </c>
      <c r="M44" s="429">
        <f t="shared" si="50"/>
        <v>-1000</v>
      </c>
      <c r="N44" s="444">
        <f t="shared" si="51"/>
        <v>0</v>
      </c>
      <c r="O44" s="442">
        <f>L44-C44/12*$C$2</f>
        <v>-638.15285799999992</v>
      </c>
      <c r="P44"/>
      <c r="Q44"/>
      <c r="R44"/>
      <c r="S44"/>
      <c r="T44"/>
      <c r="U44"/>
      <c r="V44"/>
      <c r="W44"/>
      <c r="X44"/>
      <c r="Y44"/>
      <c r="Z44"/>
      <c r="AA44"/>
      <c r="AB44"/>
      <c r="AE44" s="1785">
        <v>957.22928699999989</v>
      </c>
      <c r="AF44" s="453">
        <f>L44-AE44</f>
        <v>-957.22928699999989</v>
      </c>
    </row>
    <row r="45" spans="1:32">
      <c r="A45" s="410" t="s">
        <v>487</v>
      </c>
      <c r="B45" s="427" t="s">
        <v>487</v>
      </c>
      <c r="C45" s="101">
        <f>SUMPRODUCT('利润（汇总）'!$C$3:$AAK$67,('利润（汇总）'!$B$3:$B$67=$A45)*('利润（汇总）'!$C$1:$AAK$1=$C$1-1)*('利润（汇总）'!$C$2:$AAK$2&lt;=12))</f>
        <v>0</v>
      </c>
      <c r="D45" s="1998">
        <v>200</v>
      </c>
      <c r="E45" s="428">
        <f t="shared" si="45"/>
        <v>16.666666666666668</v>
      </c>
      <c r="F45" s="101">
        <f>SUMIFS('#需填写'!54:54,'#需填写'!1:1,F1,'#需填写'!2:2,F2)/10000</f>
        <v>2.7736829999999979</v>
      </c>
      <c r="G45" s="101">
        <f>SUMIFS('#需填写'!54:54,'#需填写'!1:1,C1,'#需填写'!2:2,C2)/10000</f>
        <v>0</v>
      </c>
      <c r="H45" s="429">
        <f t="shared" si="46"/>
        <v>-2.7736829999999979</v>
      </c>
      <c r="I45" s="429">
        <f t="shared" si="47"/>
        <v>-16.666666666666668</v>
      </c>
      <c r="J45" s="429">
        <f t="shared" si="48"/>
        <v>0</v>
      </c>
      <c r="K45" s="443">
        <f t="shared" si="49"/>
        <v>0</v>
      </c>
      <c r="L45" s="101">
        <f>SUMIFS('#需填写'!54:54,'#需填写'!1:1,C1,'#需填写'!2:2,"&lt;="&amp;C2)/10000</f>
        <v>45.843734999999974</v>
      </c>
      <c r="M45" s="429">
        <f t="shared" si="50"/>
        <v>-87.489598333333362</v>
      </c>
      <c r="N45" s="444">
        <f t="shared" si="51"/>
        <v>0.34382801249999978</v>
      </c>
      <c r="O45" s="442">
        <f t="shared" si="21"/>
        <v>45.843734999999974</v>
      </c>
      <c r="P45"/>
      <c r="Q45"/>
      <c r="R45"/>
      <c r="S45"/>
      <c r="T45"/>
      <c r="U45"/>
      <c r="V45"/>
      <c r="W45"/>
      <c r="X45"/>
      <c r="Y45"/>
      <c r="Z45"/>
      <c r="AA45"/>
      <c r="AB45"/>
      <c r="AE45" s="1785">
        <v>188.55100200000001</v>
      </c>
      <c r="AF45" s="453">
        <f>L45-AE45</f>
        <v>-142.70726700000003</v>
      </c>
    </row>
    <row r="46" spans="1:32">
      <c r="A46" s="410" t="s">
        <v>136</v>
      </c>
      <c r="B46" s="427" t="s">
        <v>136</v>
      </c>
      <c r="C46" s="101">
        <f>SUMPRODUCT('利润（汇总）'!$C$3:$AAK$67,('利润（汇总）'!$B$3:$B$67=$A46)*('利润（汇总）'!$C$1:$AAK$1=$C$1-1)*('利润（汇总）'!$C$2:$AAK$2&lt;=12))</f>
        <v>-53.622225999999998</v>
      </c>
      <c r="D46" s="1998">
        <v>-17</v>
      </c>
      <c r="E46" s="428">
        <f t="shared" si="45"/>
        <v>-1.4166666666666667</v>
      </c>
      <c r="F46" s="101">
        <f>SUMPRODUCT('利润（汇总）'!$C$3:$AAK$67,('利润（汇总）'!$B$3:$B$67=$A46)*('利润（汇总）'!$C$1:$AAK$1=$F$1)*('利润（汇总）'!$C$2:$AAK$2=$F$2))</f>
        <v>-1.22</v>
      </c>
      <c r="G46" s="101">
        <f>SUMPRODUCT('利润（汇总）'!$C$3:$AAK$67,('利润（汇总）'!$B$3:$B$67=$A46)*('利润（汇总）'!$C$1:$AAK$1=$C$1)*('利润（汇总）'!$C$2:$AAK$2=$C$2))</f>
        <v>-1.3644670000000001</v>
      </c>
      <c r="H46" s="429">
        <f t="shared" si="46"/>
        <v>-0.14446700000000012</v>
      </c>
      <c r="I46" s="429">
        <f t="shared" si="47"/>
        <v>5.2199666666666644E-2</v>
      </c>
      <c r="J46" s="429">
        <f t="shared" si="48"/>
        <v>3.1040518333333331</v>
      </c>
      <c r="K46" s="443">
        <f t="shared" si="49"/>
        <v>1.0368468235294117</v>
      </c>
      <c r="L46" s="430">
        <f>SUMPRODUCT('利润（汇总）'!$C$3:$AAK$67,('利润（汇总）'!$B$3:$B$67=$A46)*('利润（汇总）'!$C$1:$AAK$1=$C$1)*('利润（汇总）'!$C$2:$AAK$2&lt;=$C$2))</f>
        <v>-10.917778</v>
      </c>
      <c r="M46" s="429">
        <f t="shared" si="50"/>
        <v>0.41555533333333372</v>
      </c>
      <c r="N46" s="444">
        <f t="shared" si="51"/>
        <v>1.0366666470588235</v>
      </c>
      <c r="O46" s="442">
        <f t="shared" ref="O46:O69" si="52">L46-C46/12*$C$2</f>
        <v>24.830372666666669</v>
      </c>
      <c r="AE46" s="1785">
        <v>-53.622225999999998</v>
      </c>
      <c r="AF46" s="453">
        <f>L46-AE46</f>
        <v>42.704447999999999</v>
      </c>
    </row>
    <row r="47" spans="1:32">
      <c r="A47" s="410" t="s">
        <v>135</v>
      </c>
      <c r="B47" s="427" t="s">
        <v>135</v>
      </c>
      <c r="C47" s="101">
        <f>SUMPRODUCT('利润（汇总）'!$C$3:$AAK$67,('利润（汇总）'!$B$3:$B$67=$A47)*('利润（汇总）'!$C$1:$AAK$1=$C$1-1)*('利润（汇总）'!$C$2:$AAK$2&lt;=12))</f>
        <v>-135.91139900000002</v>
      </c>
      <c r="D47" s="1998">
        <v>-142</v>
      </c>
      <c r="E47" s="428">
        <f t="shared" si="45"/>
        <v>-11.833333333333334</v>
      </c>
      <c r="F47" s="101">
        <f>SUMPRODUCT('利润（汇总）'!$C$3:$AAK$67,('利润（汇总）'!$B$3:$B$67=$A47)*('利润（汇总）'!$C$1:$AAK$1=$F$1)*('利润（汇总）'!$C$2:$AAK$2=$F$2))</f>
        <v>-11.501206</v>
      </c>
      <c r="G47" s="101">
        <f>SUMPRODUCT('利润（汇总）'!$C$3:$AAK$67,('利润（汇总）'!$B$3:$B$67=$A47)*('利润（汇总）'!$C$1:$AAK$1=$C$1)*('利润（汇总）'!$C$2:$AAK$2=$C$2))</f>
        <v>-7.3065769999999999</v>
      </c>
      <c r="H47" s="429">
        <f t="shared" si="46"/>
        <v>4.1946289999999999</v>
      </c>
      <c r="I47" s="429">
        <f t="shared" si="47"/>
        <v>4.526756333333334</v>
      </c>
      <c r="J47" s="429">
        <f t="shared" si="48"/>
        <v>4.0193729166666676</v>
      </c>
      <c r="K47" s="443">
        <f t="shared" si="49"/>
        <v>1.3825427887323944</v>
      </c>
      <c r="L47" s="430">
        <f>SUMPRODUCT('利润（汇总）'!$C$3:$AAK$67,('利润（汇总）'!$B$3:$B$67=$A47)*('利润（汇总）'!$C$1:$AAK$1=$C$1)*('利润（汇总）'!$C$2:$AAK$2&lt;=$C$2))</f>
        <v>-81.290147000000005</v>
      </c>
      <c r="M47" s="429">
        <f t="shared" si="50"/>
        <v>13.376519666666667</v>
      </c>
      <c r="N47" s="444">
        <f t="shared" si="51"/>
        <v>1.1413012640845071</v>
      </c>
      <c r="O47" s="442">
        <f t="shared" si="52"/>
        <v>9.3174523333333354</v>
      </c>
      <c r="AE47" s="1785">
        <v>-135.91139900000002</v>
      </c>
      <c r="AF47" s="453">
        <f>L47-AE47</f>
        <v>54.621252000000013</v>
      </c>
    </row>
    <row r="48" spans="1:32">
      <c r="A48" s="410" t="s">
        <v>139</v>
      </c>
      <c r="B48" s="427" t="s">
        <v>139</v>
      </c>
      <c r="C48" s="101">
        <f>SUMPRODUCT('利润（汇总）'!$C$3:$AAK$67,('利润（汇总）'!$B$3:$B$67=$A48)*('利润（汇总）'!$C$1:$AAK$1=$C$1-1)*('利润（汇总）'!$C$2:$AAK$2&lt;=12))</f>
        <v>-177.49662899999998</v>
      </c>
      <c r="D48" s="1998">
        <v>586</v>
      </c>
      <c r="E48" s="428">
        <f t="shared" si="45"/>
        <v>48.833333333333336</v>
      </c>
      <c r="F48" s="101">
        <f>SUMPRODUCT('利润（汇总）'!$C$3:$AAK$67,('利润（汇总）'!$B$3:$B$67=$A48)*('利润（汇总）'!$C$1:$AAK$1=$F$1)*('利润（汇总）'!$C$2:$AAK$2=$F$2))</f>
        <v>-17</v>
      </c>
      <c r="G48" s="101">
        <f>SUMPRODUCT('利润（汇总）'!$C$3:$AAK$67,('利润（汇总）'!$B$3:$B$67=$A48)*('利润（汇总）'!$C$1:$AAK$1=$C$1)*('利润（汇总）'!$C$2:$AAK$2=$C$2))</f>
        <v>-17.068158</v>
      </c>
      <c r="H48" s="429">
        <f t="shared" si="46"/>
        <v>-6.8158000000000385E-2</v>
      </c>
      <c r="I48" s="429">
        <f t="shared" si="47"/>
        <v>-65.90149133333334</v>
      </c>
      <c r="J48" s="429">
        <f t="shared" si="48"/>
        <v>-2.2767722500000023</v>
      </c>
      <c r="K48" s="443">
        <f t="shared" si="49"/>
        <v>-0.34951859385665529</v>
      </c>
      <c r="L48" s="430">
        <f>SUMPRODUCT('利润（汇总）'!$C$3:$AAK$67,('利润（汇总）'!$B$3:$B$67=$A48)*('利润（汇总）'!$C$1:$AAK$1=$C$1)*('利润（汇总）'!$C$2:$AAK$2&lt;=$C$2))</f>
        <v>-124.90513499999999</v>
      </c>
      <c r="M48" s="429">
        <f t="shared" si="50"/>
        <v>-515.57180166666672</v>
      </c>
      <c r="N48" s="444">
        <f t="shared" si="51"/>
        <v>-0.31972304180887368</v>
      </c>
      <c r="O48" s="442">
        <f t="shared" si="52"/>
        <v>-6.5740490000000023</v>
      </c>
      <c r="P48" s="405"/>
      <c r="Q48" s="405"/>
      <c r="R48" s="405"/>
      <c r="T48" s="405"/>
      <c r="U48" s="405"/>
      <c r="V48" s="405"/>
      <c r="W48" s="405"/>
      <c r="X48" s="405"/>
      <c r="Y48" s="405"/>
      <c r="Z48" s="405"/>
      <c r="AA48" s="405"/>
      <c r="AC48" s="1785">
        <v>-177.49662899999998</v>
      </c>
      <c r="AD48" s="453">
        <f t="shared" ref="AD48:AD82" si="53">L48-AC48</f>
        <v>52.591493999999997</v>
      </c>
    </row>
    <row r="49" spans="1:30">
      <c r="A49" s="410" t="s">
        <v>140</v>
      </c>
      <c r="B49" s="427" t="s">
        <v>140</v>
      </c>
      <c r="C49" s="101">
        <f>SUMPRODUCT('利润（汇总）'!$C$3:$AAK$67,('利润（汇总）'!$B$3:$B$67=$A49)*('利润（汇总）'!$C$1:$AAK$1=$C$1-1)*('利润（汇总）'!$C$2:$AAK$2&lt;=12))</f>
        <v>-76.376676999999987</v>
      </c>
      <c r="D49" s="1998">
        <v>270</v>
      </c>
      <c r="E49" s="428">
        <f t="shared" si="45"/>
        <v>22.5</v>
      </c>
      <c r="F49" s="101">
        <f>SUMPRODUCT('利润（汇总）'!$C$3:$AAK$67,('利润（汇总）'!$B$3:$B$67=$A49)*('利润（汇总）'!$C$1:$AAK$1=$F$1)*('利润（汇总）'!$C$2:$AAK$2=$F$2))</f>
        <v>-8</v>
      </c>
      <c r="G49" s="101">
        <f>SUMPRODUCT('利润（汇总）'!$C$3:$AAK$67,('利润（汇总）'!$B$3:$B$67=$A49)*('利润（汇总）'!$C$1:$AAK$1=$C$1)*('利润（汇总）'!$C$2:$AAK$2=$C$2))</f>
        <v>-8.1818000000000008</v>
      </c>
      <c r="H49" s="429">
        <f t="shared" si="46"/>
        <v>-0.18180000000000085</v>
      </c>
      <c r="I49" s="429">
        <f t="shared" si="47"/>
        <v>-30.681800000000003</v>
      </c>
      <c r="J49" s="429">
        <f t="shared" si="48"/>
        <v>-1.8170769166666689</v>
      </c>
      <c r="K49" s="443">
        <f t="shared" si="49"/>
        <v>-0.3636355555555556</v>
      </c>
      <c r="L49" s="430">
        <f>SUMPRODUCT('利润（汇总）'!$C$3:$AAK$67,('利润（汇总）'!$B$3:$B$67=$A49)*('利润（汇总）'!$C$1:$AAK$1=$C$1)*('利润（汇总）'!$C$2:$AAK$2&lt;=$C$2))</f>
        <v>-59.272069000000002</v>
      </c>
      <c r="M49" s="429">
        <f t="shared" si="50"/>
        <v>-239.27206899999999</v>
      </c>
      <c r="N49" s="444">
        <f t="shared" si="51"/>
        <v>-0.32928927222222221</v>
      </c>
      <c r="O49" s="442">
        <f t="shared" si="52"/>
        <v>-8.3542843333333465</v>
      </c>
      <c r="AC49" s="1785">
        <v>-76.376676999999987</v>
      </c>
      <c r="AD49" s="453">
        <f t="shared" si="53"/>
        <v>17.104607999999985</v>
      </c>
    </row>
    <row r="50" spans="1:30">
      <c r="A50" s="410" t="s">
        <v>138</v>
      </c>
      <c r="B50" s="427" t="s">
        <v>138</v>
      </c>
      <c r="C50" s="101">
        <f>SUMPRODUCT('利润（汇总）'!$C$3:$AAK$67,('利润（汇总）'!$B$3:$B$67=$A50)*('利润（汇总）'!$C$1:$AAK$1=$C$1-1)*('利润（汇总）'!$C$2:$AAK$2&lt;=12))</f>
        <v>-46.053207999999998</v>
      </c>
      <c r="D50" s="1998">
        <v>-57</v>
      </c>
      <c r="E50" s="428">
        <f t="shared" si="45"/>
        <v>-4.75</v>
      </c>
      <c r="F50" s="101">
        <f>SUMPRODUCT('利润（汇总）'!$C$3:$AAK$67,('利润（汇总）'!$B$3:$B$67=$A50)*('利润（汇总）'!$C$1:$AAK$1=$F$1)*('利润（汇总）'!$C$2:$AAK$2=$F$2))</f>
        <v>0</v>
      </c>
      <c r="G50" s="101">
        <f>SUMPRODUCT('利润（汇总）'!$C$3:$AAK$67,('利润（汇总）'!$B$3:$B$67=$A50)*('利润（汇总）'!$C$1:$AAK$1=$C$1)*('利润（汇总）'!$C$2:$AAK$2=$C$2))</f>
        <v>0.99154300000000006</v>
      </c>
      <c r="H50" s="429">
        <f t="shared" si="46"/>
        <v>0.99154300000000006</v>
      </c>
      <c r="I50" s="429">
        <f t="shared" si="47"/>
        <v>5.7415430000000001</v>
      </c>
      <c r="J50" s="429">
        <f t="shared" si="48"/>
        <v>4.8293103333333338</v>
      </c>
      <c r="K50" s="443">
        <f t="shared" si="49"/>
        <v>2.2087458947368424</v>
      </c>
      <c r="L50" s="430">
        <f>SUMPRODUCT('利润（汇总）'!$C$3:$AAK$67,('利润（汇总）'!$B$3:$B$67=$A50)*('利润（汇总）'!$C$1:$AAK$1=$C$1)*('利润（汇总）'!$C$2:$AAK$2&lt;=$C$2))</f>
        <v>-17.599278000000002</v>
      </c>
      <c r="M50" s="429">
        <f t="shared" si="50"/>
        <v>20.400721999999998</v>
      </c>
      <c r="N50" s="444">
        <f t="shared" si="51"/>
        <v>1.5368611052631578</v>
      </c>
      <c r="O50" s="442">
        <f t="shared" si="52"/>
        <v>13.102860666666665</v>
      </c>
      <c r="AC50" s="1785">
        <v>-46.053207999999998</v>
      </c>
      <c r="AD50" s="453">
        <f t="shared" si="53"/>
        <v>28.453929999999996</v>
      </c>
    </row>
    <row r="51" spans="1:30" s="405" customFormat="1">
      <c r="A51" s="422"/>
      <c r="B51" s="423" t="s">
        <v>1324</v>
      </c>
      <c r="C51" s="424">
        <f>C52+C75</f>
        <v>-209318.625424347</v>
      </c>
      <c r="D51" s="424">
        <f>D52+D75</f>
        <v>-77829.427021457042</v>
      </c>
      <c r="E51" s="425">
        <f>E52+E75</f>
        <v>-6485.7855851214199</v>
      </c>
      <c r="F51" s="424">
        <f>F52+F75</f>
        <v>-9653.8004359999904</v>
      </c>
      <c r="G51" s="424">
        <f>G52+G75</f>
        <v>-4131.5225229999642</v>
      </c>
      <c r="H51" s="426">
        <f t="shared" si="1"/>
        <v>5522.2779130000263</v>
      </c>
      <c r="I51" s="426">
        <f t="shared" ref="I51:I69" si="54">G51-D51/12</f>
        <v>2354.2630621214557</v>
      </c>
      <c r="J51" s="426">
        <f t="shared" si="3"/>
        <v>13311.696262362286</v>
      </c>
      <c r="K51" s="445">
        <f t="shared" ref="K51:K60" si="55">IF(E51&gt;=0,G51/E51,(1-(G51-E51)/E51))</f>
        <v>1.3629881116517639</v>
      </c>
      <c r="L51" s="424">
        <f>L52+L75</f>
        <v>-77929.606676199823</v>
      </c>
      <c r="M51" s="426">
        <f t="shared" si="5"/>
        <v>-26043.321995228463</v>
      </c>
      <c r="N51" s="446">
        <f t="shared" ref="N51:N60" si="56">IF(E51&gt;=0,L51/(E51*$C$2),(1-(L51-(E51*$C$2))/(E51*$C$2)))</f>
        <v>0.49806924594122026</v>
      </c>
      <c r="O51" s="442">
        <f t="shared" si="52"/>
        <v>61616.14360669817</v>
      </c>
      <c r="Q51" s="411"/>
      <c r="R51" s="452">
        <f>G51-G67-G68-G75</f>
        <v>-512.54763799996272</v>
      </c>
      <c r="S51" s="452">
        <f t="shared" ref="S51:W51" si="57">H51-H67-H68-H75</f>
        <v>1420.4115930000289</v>
      </c>
      <c r="T51" s="452">
        <f>L51-5700</f>
        <v>-83629.606676199823</v>
      </c>
      <c r="U51" s="452"/>
      <c r="V51" s="452"/>
      <c r="W51" s="452">
        <f t="shared" si="57"/>
        <v>-18523.788526999801</v>
      </c>
      <c r="X51" s="452"/>
      <c r="Y51" s="411"/>
      <c r="Z51" s="411"/>
      <c r="AA51" s="411"/>
      <c r="AC51" s="453">
        <v>-91273.874874956935</v>
      </c>
      <c r="AD51" s="453">
        <f t="shared" si="53"/>
        <v>13344.268198757112</v>
      </c>
    </row>
    <row r="52" spans="1:30" s="405" customFormat="1">
      <c r="A52" s="422"/>
      <c r="B52" s="435" t="s">
        <v>881</v>
      </c>
      <c r="C52" s="97">
        <f>C53+C54+C55+C56</f>
        <v>-237790.945082347</v>
      </c>
      <c r="D52" s="110">
        <f>D53+D54+D55+D56</f>
        <v>-168210.42702145706</v>
      </c>
      <c r="E52" s="433">
        <f>E53+E54+E55+E56</f>
        <v>-14017.535585121421</v>
      </c>
      <c r="F52" s="97">
        <f>F53+F54+F55+F56</f>
        <v>-11923.84571899999</v>
      </c>
      <c r="G52" s="97">
        <f>G53+G54+G55+G56</f>
        <v>-10765.814858999964</v>
      </c>
      <c r="H52" s="434">
        <f>G52-F52</f>
        <v>1158.0308600000262</v>
      </c>
      <c r="I52" s="434">
        <f>G52-D52/12</f>
        <v>3251.7207261214571</v>
      </c>
      <c r="J52" s="434">
        <f>G52-C52/12</f>
        <v>9050.0972311956193</v>
      </c>
      <c r="K52" s="447">
        <f t="shared" si="55"/>
        <v>1.2319752075088661</v>
      </c>
      <c r="L52" s="97">
        <f>L53+L54+L55+L56</f>
        <v>-102616.24556699982</v>
      </c>
      <c r="M52" s="434">
        <f>L52-D52/12*$C$2</f>
        <v>9524.0391139715503</v>
      </c>
      <c r="N52" s="448">
        <f t="shared" si="56"/>
        <v>1.084929685536884</v>
      </c>
      <c r="O52" s="442">
        <f t="shared" si="52"/>
        <v>55911.051154564848</v>
      </c>
      <c r="AC52" s="453">
        <v>-219670.14567895693</v>
      </c>
      <c r="AD52" s="453">
        <f t="shared" si="53"/>
        <v>117053.90011195712</v>
      </c>
    </row>
    <row r="53" spans="1:30" s="405" customFormat="1">
      <c r="A53" s="422"/>
      <c r="B53" s="436" t="s">
        <v>882</v>
      </c>
      <c r="C53" s="97">
        <v>-3682.7900359999999</v>
      </c>
      <c r="D53" s="110">
        <v>-9864</v>
      </c>
      <c r="E53" s="433">
        <f>D53/12</f>
        <v>-822</v>
      </c>
      <c r="F53" s="97">
        <f>F89</f>
        <v>-936.83819299999993</v>
      </c>
      <c r="G53" s="97">
        <f>G89</f>
        <v>-108.63106500000004</v>
      </c>
      <c r="H53" s="434">
        <f t="shared" ref="H53:H69" si="58">G53-F53</f>
        <v>828.2071279999999</v>
      </c>
      <c r="I53" s="434">
        <f t="shared" si="54"/>
        <v>713.36893499999996</v>
      </c>
      <c r="J53" s="434">
        <f t="shared" ref="J53:J70" si="59">G53-C53/12</f>
        <v>198.2681046666666</v>
      </c>
      <c r="K53" s="447">
        <f t="shared" si="55"/>
        <v>1.8678454197080292</v>
      </c>
      <c r="L53" s="97">
        <f>L89</f>
        <v>-3085.992013</v>
      </c>
      <c r="M53" s="434">
        <f t="shared" ref="M53:M69" si="60">L53-D53/12*$C$2</f>
        <v>3490.007987</v>
      </c>
      <c r="N53" s="448">
        <f t="shared" si="56"/>
        <v>1.5307189761253042</v>
      </c>
      <c r="O53" s="442">
        <f t="shared" si="52"/>
        <v>-630.79865566666695</v>
      </c>
      <c r="AC53" s="453">
        <v>5682.2915259999982</v>
      </c>
      <c r="AD53" s="453">
        <f t="shared" si="53"/>
        <v>-8768.2835389999982</v>
      </c>
    </row>
    <row r="54" spans="1:30" s="405" customFormat="1">
      <c r="A54" s="422"/>
      <c r="B54" s="436" t="s">
        <v>883</v>
      </c>
      <c r="C54" s="97">
        <v>-60.979550000000003</v>
      </c>
      <c r="D54" s="110">
        <v>-52.017301999999987</v>
      </c>
      <c r="E54" s="433">
        <f>D54/12</f>
        <v>-4.3347751666666658</v>
      </c>
      <c r="F54" s="97">
        <f>F86</f>
        <v>-23.274050999999989</v>
      </c>
      <c r="G54" s="97">
        <f>G86</f>
        <v>4.8204900000000226</v>
      </c>
      <c r="H54" s="434">
        <f t="shared" si="58"/>
        <v>28.094541000000014</v>
      </c>
      <c r="I54" s="434">
        <f t="shared" si="54"/>
        <v>9.1552651666666875</v>
      </c>
      <c r="J54" s="434">
        <f t="shared" si="59"/>
        <v>9.9021191666666901</v>
      </c>
      <c r="K54" s="447">
        <f t="shared" si="55"/>
        <v>3.1120507557273975</v>
      </c>
      <c r="L54" s="97">
        <f>L86</f>
        <v>-37.382679999999965</v>
      </c>
      <c r="M54" s="434">
        <f t="shared" si="60"/>
        <v>-2.7044786666666383</v>
      </c>
      <c r="N54" s="448">
        <f t="shared" si="56"/>
        <v>0.92201214126791964</v>
      </c>
      <c r="O54" s="442">
        <f t="shared" si="52"/>
        <v>3.2703533333333681</v>
      </c>
      <c r="AC54" s="453">
        <v>-52.017301999999987</v>
      </c>
      <c r="AD54" s="453">
        <f t="shared" si="53"/>
        <v>14.634622000000022</v>
      </c>
    </row>
    <row r="55" spans="1:30" s="405" customFormat="1">
      <c r="A55" s="422"/>
      <c r="B55" s="436" t="s">
        <v>884</v>
      </c>
      <c r="C55" s="97">
        <v>75.223633000000007</v>
      </c>
      <c r="D55" s="110">
        <v>39.281400999999995</v>
      </c>
      <c r="E55" s="433">
        <f>D55/12</f>
        <v>3.2734500833333331</v>
      </c>
      <c r="F55" s="97">
        <f>F87</f>
        <v>8.8818229999999989</v>
      </c>
      <c r="G55" s="97">
        <f>G87</f>
        <v>6.2655369999999992</v>
      </c>
      <c r="H55" s="434">
        <f t="shared" si="58"/>
        <v>-2.6162859999999997</v>
      </c>
      <c r="I55" s="434">
        <f t="shared" si="54"/>
        <v>2.9920869166666662</v>
      </c>
      <c r="J55" s="434">
        <f t="shared" si="59"/>
        <v>-3.0990833333346401E-3</v>
      </c>
      <c r="K55" s="447">
        <f t="shared" si="55"/>
        <v>1.9140469047934414</v>
      </c>
      <c r="L55" s="97">
        <f>L87</f>
        <v>59.695298000000001</v>
      </c>
      <c r="M55" s="434">
        <f t="shared" si="60"/>
        <v>33.50769733333334</v>
      </c>
      <c r="N55" s="448">
        <f t="shared" si="56"/>
        <v>2.2795252898439138</v>
      </c>
      <c r="O55" s="442">
        <f t="shared" si="52"/>
        <v>9.54620933333333</v>
      </c>
      <c r="AC55" s="453">
        <v>39.281400999999995</v>
      </c>
      <c r="AD55" s="453">
        <f t="shared" si="53"/>
        <v>20.413897000000006</v>
      </c>
    </row>
    <row r="56" spans="1:30" s="405" customFormat="1">
      <c r="A56" s="422"/>
      <c r="B56" s="436" t="s">
        <v>885</v>
      </c>
      <c r="C56" s="97">
        <f>C57+C62+C67+C68+C69+C73+C74</f>
        <v>-234122.399129347</v>
      </c>
      <c r="D56" s="110">
        <f>D57+D62+D67+D68+D69+D73+D74</f>
        <v>-158333.69112045705</v>
      </c>
      <c r="E56" s="433">
        <f>E57+E62+E67+E68+E69+E73+E74</f>
        <v>-13194.474260038087</v>
      </c>
      <c r="F56" s="97">
        <f>F57+F62+F67+F68+F69+F73+F74</f>
        <v>-10972.61529799999</v>
      </c>
      <c r="G56" s="97">
        <f>G57+G62+G67+G68+G69+G73+G74</f>
        <v>-10668.269820999963</v>
      </c>
      <c r="H56" s="434">
        <f t="shared" si="58"/>
        <v>304.34547700002622</v>
      </c>
      <c r="I56" s="434">
        <f t="shared" si="54"/>
        <v>2526.2044390381234</v>
      </c>
      <c r="J56" s="434">
        <f t="shared" si="59"/>
        <v>8841.9301064456213</v>
      </c>
      <c r="K56" s="447">
        <f t="shared" si="55"/>
        <v>1.191459272211338</v>
      </c>
      <c r="L56" s="97">
        <f>L57+L62+L67+L68+L69+L73+L74</f>
        <v>-99552.566171999817</v>
      </c>
      <c r="M56" s="434">
        <f t="shared" si="60"/>
        <v>6003.2279083048779</v>
      </c>
      <c r="N56" s="448">
        <f t="shared" si="56"/>
        <v>1.0568725569317186</v>
      </c>
      <c r="O56" s="442">
        <f t="shared" si="52"/>
        <v>56529.033247564861</v>
      </c>
      <c r="AC56" s="453">
        <v>-225339.70130395694</v>
      </c>
      <c r="AD56" s="453">
        <f t="shared" si="53"/>
        <v>125787.13513195713</v>
      </c>
    </row>
    <row r="57" spans="1:30" s="405" customFormat="1">
      <c r="A57" s="422"/>
      <c r="B57" s="437" t="s">
        <v>886</v>
      </c>
      <c r="C57" s="97">
        <v>26521.978957953001</v>
      </c>
      <c r="D57" s="110">
        <f>SUM(D58:D61)</f>
        <v>32744.149665542951</v>
      </c>
      <c r="E57" s="433">
        <f t="shared" ref="E57:E70" si="61">D57/12</f>
        <v>2728.6791387952458</v>
      </c>
      <c r="F57" s="97">
        <f>F96+F111-F97-F113-F114-F117-F98-F116</f>
        <v>2560.3317760000054</v>
      </c>
      <c r="G57" s="97">
        <f>G96+G111-G97-G113-G114-G117-G98-G116</f>
        <v>2437.1909770000098</v>
      </c>
      <c r="H57" s="434">
        <f t="shared" si="58"/>
        <v>-123.1407989999957</v>
      </c>
      <c r="I57" s="434">
        <f t="shared" si="54"/>
        <v>-291.48816179523601</v>
      </c>
      <c r="J57" s="434">
        <f t="shared" si="59"/>
        <v>227.0260638372597</v>
      </c>
      <c r="K57" s="447">
        <f t="shared" si="55"/>
        <v>0.89317609474453175</v>
      </c>
      <c r="L57" s="97">
        <f>L96+L111-L97-L113-L114-L117-L98-L116</f>
        <v>20136.033435000089</v>
      </c>
      <c r="M57" s="434">
        <f t="shared" si="60"/>
        <v>-1693.3996753618776</v>
      </c>
      <c r="N57" s="448">
        <f t="shared" si="56"/>
        <v>0.92242585197697791</v>
      </c>
      <c r="O57" s="442">
        <f t="shared" si="52"/>
        <v>2454.7141296980881</v>
      </c>
      <c r="AC57" s="453">
        <v>32064.385129542952</v>
      </c>
      <c r="AD57" s="453">
        <f t="shared" si="53"/>
        <v>-11928.351694542864</v>
      </c>
    </row>
    <row r="58" spans="1:30">
      <c r="B58" s="438" t="s">
        <v>234</v>
      </c>
      <c r="C58" s="101">
        <v>9481.9778619999997</v>
      </c>
      <c r="D58" s="1998">
        <v>8885</v>
      </c>
      <c r="E58" s="428">
        <f t="shared" si="61"/>
        <v>740.41666666666663</v>
      </c>
      <c r="F58" s="101">
        <f>F112</f>
        <v>560.34839999999997</v>
      </c>
      <c r="G58" s="101">
        <f>G112</f>
        <v>550.19743000000005</v>
      </c>
      <c r="H58" s="429">
        <f t="shared" si="58"/>
        <v>-10.150969999999916</v>
      </c>
      <c r="I58" s="429">
        <f t="shared" si="54"/>
        <v>-190.21923666666657</v>
      </c>
      <c r="J58" s="429">
        <f t="shared" si="59"/>
        <v>-239.96739183333329</v>
      </c>
      <c r="K58" s="443">
        <f t="shared" si="55"/>
        <v>0.74309163308947679</v>
      </c>
      <c r="L58" s="101">
        <f>L112</f>
        <v>4714.0391479999998</v>
      </c>
      <c r="M58" s="429">
        <f t="shared" si="60"/>
        <v>-1209.2941853333332</v>
      </c>
      <c r="N58" s="444">
        <f t="shared" si="56"/>
        <v>0.79584228722566119</v>
      </c>
      <c r="O58" s="442">
        <f t="shared" si="52"/>
        <v>-1607.279426666667</v>
      </c>
      <c r="P58" s="405"/>
      <c r="Q58" s="405"/>
      <c r="R58" s="405"/>
      <c r="T58" s="405"/>
      <c r="U58" s="405"/>
      <c r="V58" s="405"/>
      <c r="W58" s="405"/>
      <c r="X58" s="405"/>
      <c r="Y58" s="405"/>
      <c r="Z58" s="405"/>
      <c r="AA58" s="405"/>
      <c r="AC58" s="453">
        <v>8205.2354639999994</v>
      </c>
      <c r="AD58" s="453">
        <f t="shared" si="53"/>
        <v>-3491.1963159999996</v>
      </c>
    </row>
    <row r="59" spans="1:30">
      <c r="B59" s="438" t="s">
        <v>887</v>
      </c>
      <c r="C59" s="101">
        <v>8251.1849880000009</v>
      </c>
      <c r="D59" s="1998">
        <v>8583.1224480000019</v>
      </c>
      <c r="E59" s="428">
        <f t="shared" si="61"/>
        <v>715.26020400000016</v>
      </c>
      <c r="F59" s="101">
        <f>F121+F123</f>
        <v>715.26015299999995</v>
      </c>
      <c r="G59" s="101">
        <f>G121+G123</f>
        <v>715.26015299999995</v>
      </c>
      <c r="H59" s="429">
        <f t="shared" si="58"/>
        <v>0</v>
      </c>
      <c r="I59" s="429">
        <f t="shared" si="54"/>
        <v>-5.1000000212297891E-5</v>
      </c>
      <c r="J59" s="429">
        <f t="shared" si="59"/>
        <v>27.661403999999834</v>
      </c>
      <c r="K59" s="443">
        <f t="shared" si="55"/>
        <v>0.99999992869727694</v>
      </c>
      <c r="L59" s="101">
        <f>L121+L123</f>
        <v>5722.0812240000005</v>
      </c>
      <c r="M59" s="429">
        <f t="shared" si="60"/>
        <v>-4.0800000078888843E-4</v>
      </c>
      <c r="N59" s="444">
        <f t="shared" si="56"/>
        <v>0.99999992869727716</v>
      </c>
      <c r="O59" s="442">
        <f t="shared" si="52"/>
        <v>221.29123199999958</v>
      </c>
      <c r="AC59" s="453">
        <v>8583.1224480000019</v>
      </c>
      <c r="AD59" s="453">
        <f t="shared" si="53"/>
        <v>-2861.0412240000014</v>
      </c>
    </row>
    <row r="60" spans="1:30">
      <c r="B60" s="438" t="s">
        <v>888</v>
      </c>
      <c r="C60" s="101">
        <v>6124.211045</v>
      </c>
      <c r="D60" s="1998">
        <v>5864.0006620000004</v>
      </c>
      <c r="E60" s="428">
        <f t="shared" si="61"/>
        <v>488.66672183333338</v>
      </c>
      <c r="F60" s="101">
        <f>F118+F119</f>
        <v>462.15</v>
      </c>
      <c r="G60" s="101">
        <f>G118+G119</f>
        <v>462.15</v>
      </c>
      <c r="H60" s="429">
        <f t="shared" si="58"/>
        <v>0</v>
      </c>
      <c r="I60" s="429">
        <f t="shared" si="54"/>
        <v>-26.516721833333406</v>
      </c>
      <c r="J60" s="429">
        <f t="shared" si="59"/>
        <v>-48.20092041666669</v>
      </c>
      <c r="K60" s="443">
        <f t="shared" si="55"/>
        <v>0.94573659173301083</v>
      </c>
      <c r="L60" s="101">
        <f>L118+L119</f>
        <v>3804.7868380000004</v>
      </c>
      <c r="M60" s="429">
        <f t="shared" si="60"/>
        <v>-104.54693666666662</v>
      </c>
      <c r="N60" s="444">
        <f t="shared" si="56"/>
        <v>0.97325709630010271</v>
      </c>
      <c r="O60" s="442">
        <f t="shared" si="52"/>
        <v>-278.0205253333329</v>
      </c>
      <c r="AC60" s="453">
        <v>5864.0006619999995</v>
      </c>
      <c r="AD60" s="453">
        <f t="shared" si="53"/>
        <v>-2059.213823999999</v>
      </c>
    </row>
    <row r="61" spans="1:30">
      <c r="B61" s="438" t="s">
        <v>773</v>
      </c>
      <c r="C61" s="101">
        <v>2664.605062953</v>
      </c>
      <c r="D61" s="1998">
        <v>9412.0265555429505</v>
      </c>
      <c r="E61" s="428">
        <f t="shared" si="61"/>
        <v>784.33554629524588</v>
      </c>
      <c r="F61" s="101">
        <f>F57-SUM(F58:F60)</f>
        <v>822.57322300000533</v>
      </c>
      <c r="G61" s="101">
        <f>G57-SUM(G58:G60)</f>
        <v>709.58339400000978</v>
      </c>
      <c r="H61" s="429">
        <f t="shared" si="58"/>
        <v>-112.98982899999555</v>
      </c>
      <c r="I61" s="429">
        <f t="shared" si="54"/>
        <v>-74.752152295236101</v>
      </c>
      <c r="J61" s="429">
        <f t="shared" si="59"/>
        <v>487.53297208725974</v>
      </c>
      <c r="K61" s="443"/>
      <c r="L61" s="101">
        <f>L57-SUM(L58:L60)</f>
        <v>5895.1262250000873</v>
      </c>
      <c r="M61" s="429">
        <f t="shared" si="60"/>
        <v>-379.55814536187972</v>
      </c>
      <c r="N61" s="444"/>
      <c r="O61" s="442">
        <f t="shared" si="52"/>
        <v>4118.722849698087</v>
      </c>
      <c r="AC61" s="453">
        <v>9412.0265555429542</v>
      </c>
      <c r="AD61" s="453">
        <f t="shared" si="53"/>
        <v>-3516.9003305428669</v>
      </c>
    </row>
    <row r="62" spans="1:30" s="405" customFormat="1">
      <c r="A62" s="422"/>
      <c r="B62" s="437" t="s">
        <v>889</v>
      </c>
      <c r="C62" s="97">
        <v>-42771.763928300003</v>
      </c>
      <c r="D62" s="110">
        <f>SUM(D63:D66)</f>
        <v>-28927.009554000004</v>
      </c>
      <c r="E62" s="433">
        <f t="shared" si="61"/>
        <v>-2410.5841295000005</v>
      </c>
      <c r="F62" s="97">
        <f>F100+F125-F101-F103-F102</f>
        <v>-3110.8549280000079</v>
      </c>
      <c r="G62" s="97">
        <f>G100+G125-G101-G103-G102</f>
        <v>-2469.4459289999868</v>
      </c>
      <c r="H62" s="434">
        <f t="shared" si="58"/>
        <v>641.40899900002114</v>
      </c>
      <c r="I62" s="434">
        <f t="shared" si="54"/>
        <v>-58.861799499986319</v>
      </c>
      <c r="J62" s="434">
        <f t="shared" si="59"/>
        <v>1094.8677316916801</v>
      </c>
      <c r="K62" s="447">
        <f>IF(E62&gt;=0,G62/E62,(1-(G62-E62)/E62))</f>
        <v>0.97558193519170167</v>
      </c>
      <c r="L62" s="451">
        <f>L100+L125-L101-L103-L102</f>
        <v>-32060.434527999954</v>
      </c>
      <c r="M62" s="434">
        <f t="shared" si="60"/>
        <v>-12775.761491999951</v>
      </c>
      <c r="N62" s="448">
        <f>IF(E62&gt;=0,L62/(E62*$C$2),(1-(L62-(E62*$C$2))/(E62*$C$2)))</f>
        <v>0.33751733990249289</v>
      </c>
      <c r="O62" s="442">
        <f t="shared" si="52"/>
        <v>-3545.9252424666192</v>
      </c>
      <c r="P62" s="411"/>
      <c r="Q62" s="411"/>
      <c r="R62" s="411"/>
      <c r="T62" s="411"/>
      <c r="U62" s="411"/>
      <c r="V62" s="411"/>
      <c r="W62" s="411"/>
      <c r="X62" s="411"/>
      <c r="Y62" s="411"/>
      <c r="Z62" s="411"/>
      <c r="AA62" s="411"/>
      <c r="AC62" s="453">
        <v>-49510.14577949993</v>
      </c>
      <c r="AD62" s="453">
        <f t="shared" si="53"/>
        <v>17449.711251499975</v>
      </c>
    </row>
    <row r="63" spans="1:30">
      <c r="B63" s="438" t="s">
        <v>890</v>
      </c>
      <c r="C63" s="101">
        <v>-15096.667309</v>
      </c>
      <c r="D63" s="1998">
        <v>-6736.3070830000015</v>
      </c>
      <c r="E63" s="428">
        <f t="shared" si="61"/>
        <v>-561.35892358333342</v>
      </c>
      <c r="F63" s="101">
        <f>F104</f>
        <v>-294.56435099999999</v>
      </c>
      <c r="G63" s="101">
        <f>G104</f>
        <v>0</v>
      </c>
      <c r="H63" s="429">
        <f t="shared" si="58"/>
        <v>294.56435099999999</v>
      </c>
      <c r="I63" s="429">
        <f t="shared" si="54"/>
        <v>561.35892358333342</v>
      </c>
      <c r="J63" s="429">
        <f t="shared" si="59"/>
        <v>1258.0556090833334</v>
      </c>
      <c r="K63" s="443">
        <f>IF(E63&gt;=0,G63/E63,(1-(G63-E63)/E63))</f>
        <v>2</v>
      </c>
      <c r="L63" s="430">
        <f>L104</f>
        <v>-2459.2237426266674</v>
      </c>
      <c r="M63" s="429">
        <f t="shared" si="60"/>
        <v>2031.6476460399999</v>
      </c>
      <c r="N63" s="444">
        <f>IF(E63&gt;=0,L63/(E63*$C$2),(1-(L63-(E63*$C$2))/(E63*$C$2)))</f>
        <v>1.452394974206374</v>
      </c>
      <c r="O63" s="442">
        <f t="shared" si="52"/>
        <v>7605.2211300399995</v>
      </c>
      <c r="P63" s="405"/>
      <c r="Q63" s="405"/>
      <c r="R63" s="405"/>
      <c r="T63" s="405"/>
      <c r="U63" s="405"/>
      <c r="V63" s="405"/>
      <c r="W63" s="405"/>
      <c r="X63" s="405"/>
      <c r="Y63" s="405"/>
      <c r="Z63" s="405"/>
      <c r="AA63" s="405"/>
      <c r="AC63" s="453">
        <v>-11215.307083000002</v>
      </c>
      <c r="AD63" s="453">
        <f t="shared" si="53"/>
        <v>8756.0833403733341</v>
      </c>
    </row>
    <row r="64" spans="1:30">
      <c r="B64" s="438" t="s">
        <v>891</v>
      </c>
      <c r="C64" s="101">
        <v>-16607.822134999999</v>
      </c>
      <c r="D64" s="1998">
        <v>-22190.702471000004</v>
      </c>
      <c r="E64" s="428">
        <f t="shared" si="61"/>
        <v>-1849.2252059166669</v>
      </c>
      <c r="F64" s="101">
        <f>F126+F127+F128</f>
        <v>-1822.1583840000001</v>
      </c>
      <c r="G64" s="101">
        <f>G126+G127+G128</f>
        <v>-1822.1583840000001</v>
      </c>
      <c r="H64" s="429">
        <f t="shared" si="58"/>
        <v>0</v>
      </c>
      <c r="I64" s="429">
        <f t="shared" si="54"/>
        <v>27.066821916666868</v>
      </c>
      <c r="J64" s="429">
        <f t="shared" si="59"/>
        <v>-438.17320608333353</v>
      </c>
      <c r="K64" s="443">
        <f>IF(E64&gt;=0,G64/E64,(1-(G64-E64)/E64))</f>
        <v>1.0146368445714808</v>
      </c>
      <c r="L64" s="430">
        <f>L126+L127+L128</f>
        <v>-14577.267072000001</v>
      </c>
      <c r="M64" s="429">
        <f t="shared" si="60"/>
        <v>216.53457533333494</v>
      </c>
      <c r="N64" s="444">
        <f>IF(E64&gt;=0,L64/(E64*$C$2),(1-(L64-(E64*$C$2))/(E64*$C$2)))</f>
        <v>1.0146368445714808</v>
      </c>
      <c r="O64" s="442">
        <f t="shared" si="52"/>
        <v>-3505.3856486666682</v>
      </c>
      <c r="AC64" s="453">
        <v>-21890.702471000004</v>
      </c>
      <c r="AD64" s="453">
        <f t="shared" si="53"/>
        <v>7313.4353990000036</v>
      </c>
    </row>
    <row r="65" spans="1:30">
      <c r="B65" s="438" t="s">
        <v>158</v>
      </c>
      <c r="C65" s="101">
        <v>-10848.72</v>
      </c>
      <c r="D65" s="1998"/>
      <c r="E65" s="428">
        <f t="shared" si="61"/>
        <v>0</v>
      </c>
      <c r="F65" s="101">
        <f>F129</f>
        <v>0</v>
      </c>
      <c r="G65" s="101">
        <f>G129</f>
        <v>0</v>
      </c>
      <c r="H65" s="429">
        <f t="shared" si="58"/>
        <v>0</v>
      </c>
      <c r="I65" s="429">
        <f t="shared" si="54"/>
        <v>0</v>
      </c>
      <c r="J65" s="429">
        <f t="shared" si="59"/>
        <v>904.06</v>
      </c>
      <c r="K65" s="443" t="e">
        <f>IF(E65&gt;=0,G65/E65,(1-(G65-E65)/E65))</f>
        <v>#DIV/0!</v>
      </c>
      <c r="L65" s="430">
        <f>L129</f>
        <v>-9300</v>
      </c>
      <c r="M65" s="429">
        <f t="shared" si="60"/>
        <v>-9300</v>
      </c>
      <c r="N65" s="444" t="e">
        <f>IF(E65&gt;=0,L65/(E65*$C$2),(1-(L65-(E65*$C$2))/(E65*$C$2)))</f>
        <v>#DIV/0!</v>
      </c>
      <c r="O65" s="442">
        <f t="shared" si="52"/>
        <v>-2067.5200000000004</v>
      </c>
      <c r="AC65" s="453">
        <v>-10799</v>
      </c>
      <c r="AD65" s="453">
        <f t="shared" si="53"/>
        <v>1499</v>
      </c>
    </row>
    <row r="66" spans="1:30">
      <c r="B66" s="438" t="s">
        <v>773</v>
      </c>
      <c r="C66" s="101">
        <v>-218.55448429995499</v>
      </c>
      <c r="D66" s="1998">
        <v>0</v>
      </c>
      <c r="E66" s="428">
        <f t="shared" si="61"/>
        <v>0</v>
      </c>
      <c r="F66" s="101">
        <f>F62-F63-F64-F65</f>
        <v>-994.13219300000787</v>
      </c>
      <c r="G66" s="101">
        <f>G62-G63-G64-G65</f>
        <v>-647.28754499998672</v>
      </c>
      <c r="H66" s="429">
        <f>G66-F66</f>
        <v>346.84464800002115</v>
      </c>
      <c r="I66" s="429">
        <f t="shared" si="54"/>
        <v>-647.28754499998672</v>
      </c>
      <c r="J66" s="429">
        <f t="shared" si="59"/>
        <v>-629.07467130832379</v>
      </c>
      <c r="K66" s="443"/>
      <c r="L66" s="430">
        <f>L62-L63-L64-L65</f>
        <v>-5723.9437133732881</v>
      </c>
      <c r="M66" s="429">
        <f t="shared" si="60"/>
        <v>-5723.9437133732881</v>
      </c>
      <c r="N66" s="444"/>
      <c r="O66" s="442">
        <f t="shared" si="52"/>
        <v>-5578.2407238399846</v>
      </c>
      <c r="AC66" s="453">
        <v>-5605.1362254999258</v>
      </c>
      <c r="AD66" s="453">
        <f t="shared" si="53"/>
        <v>-118.80748787336233</v>
      </c>
    </row>
    <row r="67" spans="1:30" s="405" customFormat="1">
      <c r="A67" s="422"/>
      <c r="B67" s="437" t="s">
        <v>892</v>
      </c>
      <c r="C67" s="97">
        <v>-68645.290999999997</v>
      </c>
      <c r="D67" s="110">
        <v>-33015.264946999989</v>
      </c>
      <c r="E67" s="433">
        <f t="shared" si="61"/>
        <v>-2751.2720789166656</v>
      </c>
      <c r="F67" s="2162">
        <f>F132</f>
        <v>-3567.4477119999997</v>
      </c>
      <c r="G67" s="97">
        <f>G132</f>
        <v>-3673.4689800000006</v>
      </c>
      <c r="H67" s="434">
        <f t="shared" si="58"/>
        <v>-106.02126800000087</v>
      </c>
      <c r="I67" s="434">
        <f t="shared" si="54"/>
        <v>-922.19690108333498</v>
      </c>
      <c r="J67" s="434">
        <f t="shared" si="59"/>
        <v>2046.9719366666659</v>
      </c>
      <c r="K67" s="447">
        <f>IF(E67&gt;=0,G67/E67,(1-(G67-E67)/E67))</f>
        <v>0.66481072222909443</v>
      </c>
      <c r="L67" s="451">
        <f>L132</f>
        <v>-23292.368386000002</v>
      </c>
      <c r="M67" s="434">
        <f t="shared" si="60"/>
        <v>-1282.1917546666773</v>
      </c>
      <c r="N67" s="448">
        <f>IF(E67&gt;=0,L67/(E67*$C$2),(1-(L67-(E67*$C$2))/(E67*$C$2)))</f>
        <v>0.9417455036302903</v>
      </c>
      <c r="O67" s="442">
        <f t="shared" si="52"/>
        <v>22471.15894733333</v>
      </c>
      <c r="P67" s="411"/>
      <c r="Q67" s="411"/>
      <c r="R67" s="411"/>
      <c r="T67" s="411"/>
      <c r="U67" s="411"/>
      <c r="V67" s="411"/>
      <c r="W67" s="411"/>
      <c r="X67" s="411"/>
      <c r="Y67" s="411"/>
      <c r="Z67" s="411"/>
      <c r="AA67" s="411"/>
      <c r="AC67" s="453">
        <v>-83737.264946999989</v>
      </c>
      <c r="AD67" s="453">
        <f t="shared" si="53"/>
        <v>60444.896560999987</v>
      </c>
    </row>
    <row r="68" spans="1:30" s="405" customFormat="1">
      <c r="A68" s="422"/>
      <c r="B68" s="437" t="s">
        <v>893</v>
      </c>
      <c r="C68" s="97">
        <v>-123106.220554</v>
      </c>
      <c r="D68" s="110">
        <v>-122500</v>
      </c>
      <c r="E68" s="433">
        <f t="shared" si="61"/>
        <v>-10208.333333333334</v>
      </c>
      <c r="F68" s="97">
        <f>F140+F141+F146</f>
        <v>-6423.438776</v>
      </c>
      <c r="G68" s="97">
        <f>G140+G141+G146</f>
        <v>-6579.7982410000004</v>
      </c>
      <c r="H68" s="434">
        <f t="shared" si="58"/>
        <v>-156.35946500000045</v>
      </c>
      <c r="I68" s="434">
        <f t="shared" si="54"/>
        <v>3628.5350923333335</v>
      </c>
      <c r="J68" s="434">
        <f t="shared" si="59"/>
        <v>3679.0534718333329</v>
      </c>
      <c r="K68" s="447">
        <f>IF(E68&gt;=0,G68/E68,(1-(G68-E68)/E68))</f>
        <v>1.3554483355755103</v>
      </c>
      <c r="L68" s="451">
        <f>L140+L141+L146</f>
        <v>-60800.088654000014</v>
      </c>
      <c r="M68" s="434">
        <f t="shared" si="60"/>
        <v>20866.578012666658</v>
      </c>
      <c r="N68" s="448">
        <f>IF(E68&gt;=0,L68/(E68*$C$2),(1-(L68-(E68*$C$2))/(E68*$C$2)))</f>
        <v>1.2555091185224487</v>
      </c>
      <c r="O68" s="442">
        <f t="shared" si="52"/>
        <v>21270.725048666653</v>
      </c>
      <c r="AC68" s="453">
        <v>-116042.689076</v>
      </c>
      <c r="AD68" s="453">
        <f t="shared" si="53"/>
        <v>55242.600421999981</v>
      </c>
    </row>
    <row r="69" spans="1:30" s="405" customFormat="1">
      <c r="A69" s="422"/>
      <c r="B69" s="437" t="s">
        <v>894</v>
      </c>
      <c r="C69" s="97">
        <v>-21530.307252999999</v>
      </c>
      <c r="D69" s="110">
        <v>-600</v>
      </c>
      <c r="E69" s="433">
        <f t="shared" si="61"/>
        <v>-50</v>
      </c>
      <c r="F69" s="97">
        <f>F143+F144</f>
        <v>6.66</v>
      </c>
      <c r="G69" s="97">
        <f>G143+G144</f>
        <v>-696.51</v>
      </c>
      <c r="H69" s="434">
        <f t="shared" si="58"/>
        <v>-703.17</v>
      </c>
      <c r="I69" s="434">
        <f t="shared" si="54"/>
        <v>-646.51</v>
      </c>
      <c r="J69" s="434">
        <f t="shared" si="59"/>
        <v>1097.6822710833333</v>
      </c>
      <c r="K69" s="447">
        <f>IF(E69&gt;=0,G69/E69,(1-(G69-E69)/E69))</f>
        <v>-11.930199999999999</v>
      </c>
      <c r="L69" s="451">
        <f>L143+L144</f>
        <v>-551.15129400000001</v>
      </c>
      <c r="M69" s="434">
        <f t="shared" si="60"/>
        <v>-151.15129400000001</v>
      </c>
      <c r="N69" s="448">
        <f>IF(E69&gt;=0,L69/(E69*$C$2),(1-(L69-(E69*$C$2))/(E69*$C$2)))</f>
        <v>0.62212176499999994</v>
      </c>
      <c r="O69" s="442">
        <f t="shared" si="52"/>
        <v>13802.386874666667</v>
      </c>
      <c r="AC69" s="453">
        <v>-7914.435406999999</v>
      </c>
      <c r="AD69" s="453">
        <f t="shared" si="53"/>
        <v>7363.2841129999988</v>
      </c>
    </row>
    <row r="70" spans="1:30" hidden="1">
      <c r="B70" s="438" t="s">
        <v>895</v>
      </c>
      <c r="C70" s="101"/>
      <c r="D70" s="1998">
        <v>0</v>
      </c>
      <c r="E70" s="428">
        <f t="shared" si="61"/>
        <v>0</v>
      </c>
      <c r="F70" s="101"/>
      <c r="G70" s="101"/>
      <c r="H70" s="429">
        <f t="shared" ref="H70:H82" si="62">G70-F70</f>
        <v>0</v>
      </c>
      <c r="I70" s="429">
        <f t="shared" ref="I70:I82" si="63">G70-D70/12</f>
        <v>0</v>
      </c>
      <c r="J70" s="429">
        <f t="shared" si="59"/>
        <v>0</v>
      </c>
      <c r="K70" s="443" t="e">
        <f t="shared" ref="K70:K76" si="64">IF(E70&gt;=0,G70/E70,(1-(G70-E70)/E70))</f>
        <v>#DIV/0!</v>
      </c>
      <c r="L70" s="430"/>
      <c r="M70" s="429">
        <f t="shared" ref="M70:M75" si="65">L70-D70/12*$C$2</f>
        <v>0</v>
      </c>
      <c r="N70" s="444" t="e">
        <f>IF(E70&gt;=0,L70/(E70*$C$2),(1-(L70-(E70*$C$2))/(E70*$C$2)))</f>
        <v>#DIV/0!</v>
      </c>
      <c r="O70" s="442">
        <f t="shared" ref="O70:O82" si="66">L70-C70/12*$C$2</f>
        <v>0</v>
      </c>
      <c r="P70" s="405"/>
      <c r="Q70" s="405"/>
      <c r="R70" s="405"/>
      <c r="T70" s="405"/>
      <c r="U70" s="405"/>
      <c r="V70" s="405"/>
      <c r="W70" s="405"/>
      <c r="X70" s="405"/>
      <c r="Y70" s="405"/>
      <c r="Z70" s="405"/>
      <c r="AA70" s="405"/>
      <c r="AC70" s="453"/>
      <c r="AD70" s="453">
        <f t="shared" si="53"/>
        <v>0</v>
      </c>
    </row>
    <row r="71" spans="1:30" hidden="1">
      <c r="B71" s="438" t="s">
        <v>896</v>
      </c>
      <c r="C71" s="101"/>
      <c r="D71" s="1998">
        <v>0</v>
      </c>
      <c r="E71" s="428">
        <f>D71/12</f>
        <v>0</v>
      </c>
      <c r="F71" s="101"/>
      <c r="G71" s="101"/>
      <c r="H71" s="429">
        <f t="shared" si="62"/>
        <v>0</v>
      </c>
      <c r="I71" s="429">
        <f t="shared" si="63"/>
        <v>0</v>
      </c>
      <c r="J71" s="429">
        <f>G71-C71/12</f>
        <v>0</v>
      </c>
      <c r="K71" s="443" t="e">
        <f t="shared" si="64"/>
        <v>#DIV/0!</v>
      </c>
      <c r="L71" s="430"/>
      <c r="M71" s="429">
        <f t="shared" si="65"/>
        <v>0</v>
      </c>
      <c r="N71" s="444" t="e">
        <f>IF(E71&gt;=0,L71/(E71*$C$2),(1-(L71-(E71*$C$2))/(E71*$C$2)))</f>
        <v>#DIV/0!</v>
      </c>
      <c r="O71" s="442">
        <f t="shared" si="66"/>
        <v>0</v>
      </c>
      <c r="AC71" s="453"/>
      <c r="AD71" s="453">
        <f t="shared" si="53"/>
        <v>0</v>
      </c>
    </row>
    <row r="72" spans="1:30" hidden="1">
      <c r="B72" s="438" t="s">
        <v>897</v>
      </c>
      <c r="C72" s="101"/>
      <c r="D72" s="1998">
        <v>0</v>
      </c>
      <c r="E72" s="428">
        <f>D72/12</f>
        <v>0</v>
      </c>
      <c r="F72" s="101"/>
      <c r="G72" s="101"/>
      <c r="H72" s="429">
        <f t="shared" si="62"/>
        <v>0</v>
      </c>
      <c r="I72" s="429">
        <f t="shared" si="63"/>
        <v>0</v>
      </c>
      <c r="J72" s="429">
        <f>G72-C72/12</f>
        <v>0</v>
      </c>
      <c r="K72" s="443" t="e">
        <f t="shared" si="64"/>
        <v>#DIV/0!</v>
      </c>
      <c r="L72" s="430"/>
      <c r="M72" s="429">
        <f t="shared" si="65"/>
        <v>0</v>
      </c>
      <c r="N72" s="444" t="e">
        <f t="shared" ref="N72:N82" si="67">IF(E72&gt;=0,L72/(E72*$C$2),(1-(L72-(E72*$C$2))/(E72*$C$2)))</f>
        <v>#DIV/0!</v>
      </c>
      <c r="O72" s="442">
        <f t="shared" si="66"/>
        <v>0</v>
      </c>
      <c r="AC72" s="453"/>
      <c r="AD72" s="453">
        <f t="shared" si="53"/>
        <v>0</v>
      </c>
    </row>
    <row r="73" spans="1:30" s="405" customFormat="1">
      <c r="A73" s="422"/>
      <c r="B73" s="437" t="s">
        <v>898</v>
      </c>
      <c r="C73" s="97">
        <v>-6581.8158899999999</v>
      </c>
      <c r="D73" s="110">
        <v>-7035.5662849999999</v>
      </c>
      <c r="E73" s="433">
        <f>D73/12</f>
        <v>-586.29719041666669</v>
      </c>
      <c r="F73" s="97">
        <f>F142</f>
        <v>-462.865658</v>
      </c>
      <c r="G73" s="97">
        <f>G142</f>
        <v>-501.23305499999998</v>
      </c>
      <c r="H73" s="434">
        <f t="shared" si="62"/>
        <v>-38.367396999999983</v>
      </c>
      <c r="I73" s="434">
        <f t="shared" si="63"/>
        <v>85.064135416666716</v>
      </c>
      <c r="J73" s="434">
        <f>G73-C73/12</f>
        <v>47.251602500000047</v>
      </c>
      <c r="K73" s="447">
        <f t="shared" si="64"/>
        <v>1.1450870596125726</v>
      </c>
      <c r="L73" s="451">
        <f>L142</f>
        <v>-4087.3330679999999</v>
      </c>
      <c r="M73" s="434">
        <f t="shared" si="65"/>
        <v>603.04445533333364</v>
      </c>
      <c r="N73" s="448">
        <f t="shared" si="67"/>
        <v>1.1285705579845873</v>
      </c>
      <c r="O73" s="442">
        <f t="shared" si="66"/>
        <v>300.54419200000029</v>
      </c>
      <c r="P73" s="411"/>
      <c r="Q73" s="411"/>
      <c r="R73" s="411"/>
      <c r="T73" s="411"/>
      <c r="U73" s="411"/>
      <c r="V73" s="411"/>
      <c r="W73" s="411"/>
      <c r="X73" s="411"/>
      <c r="Y73" s="411"/>
      <c r="Z73" s="411"/>
      <c r="AA73" s="411"/>
      <c r="AC73" s="453">
        <v>-7035.5662849999999</v>
      </c>
      <c r="AD73" s="453">
        <f t="shared" si="53"/>
        <v>2948.233217</v>
      </c>
    </row>
    <row r="74" spans="1:30" s="405" customFormat="1">
      <c r="A74" s="422"/>
      <c r="B74" s="437" t="s">
        <v>899</v>
      </c>
      <c r="C74" s="97">
        <v>1991.02053799999</v>
      </c>
      <c r="D74" s="110">
        <v>1000</v>
      </c>
      <c r="E74" s="433">
        <f>D74/12</f>
        <v>83.333333333333329</v>
      </c>
      <c r="F74" s="97">
        <f>F147+F148+F149+F150</f>
        <v>25.000000000011823</v>
      </c>
      <c r="G74" s="97">
        <f>G147+G148+G149+G150</f>
        <v>814.99540700001455</v>
      </c>
      <c r="H74" s="434">
        <f t="shared" si="62"/>
        <v>789.99540700000273</v>
      </c>
      <c r="I74" s="434">
        <f t="shared" si="63"/>
        <v>731.66207366668118</v>
      </c>
      <c r="J74" s="434">
        <f>G74-C74/12</f>
        <v>649.07702883334878</v>
      </c>
      <c r="K74" s="447">
        <f t="shared" si="64"/>
        <v>9.7799448840001748</v>
      </c>
      <c r="L74" s="451">
        <f>L147+L148+L149+L150</f>
        <v>1102.7763230000492</v>
      </c>
      <c r="M74" s="434">
        <f t="shared" si="65"/>
        <v>436.10965633338253</v>
      </c>
      <c r="N74" s="448">
        <f t="shared" si="67"/>
        <v>1.6541644845000738</v>
      </c>
      <c r="O74" s="442">
        <f t="shared" si="66"/>
        <v>-224.5707023332775</v>
      </c>
      <c r="AC74" s="453">
        <v>6836.015061000031</v>
      </c>
      <c r="AD74" s="453">
        <f t="shared" si="53"/>
        <v>-5733.2387379999818</v>
      </c>
    </row>
    <row r="75" spans="1:30" s="405" customFormat="1">
      <c r="A75" s="422"/>
      <c r="B75" s="432" t="s">
        <v>900</v>
      </c>
      <c r="C75" s="97">
        <v>28472.319658</v>
      </c>
      <c r="D75" s="110">
        <f>D76+D77</f>
        <v>90381.000000000015</v>
      </c>
      <c r="E75" s="433">
        <f>E76+E77</f>
        <v>7531.7500000000009</v>
      </c>
      <c r="F75" s="97">
        <f>F76+F77</f>
        <v>2270.0452829999999</v>
      </c>
      <c r="G75" s="97">
        <f>G76+G77</f>
        <v>6634.2923359999995</v>
      </c>
      <c r="H75" s="434">
        <f t="shared" si="62"/>
        <v>4364.2470529999991</v>
      </c>
      <c r="I75" s="434">
        <f t="shared" si="63"/>
        <v>-897.45766400000139</v>
      </c>
      <c r="J75" s="434">
        <f>G75-C75/12</f>
        <v>4261.5990311666665</v>
      </c>
      <c r="K75" s="447">
        <f t="shared" si="64"/>
        <v>0.88084340770737191</v>
      </c>
      <c r="L75" s="97">
        <f>L76+L77</f>
        <v>24686.638890799994</v>
      </c>
      <c r="M75" s="434">
        <f t="shared" si="65"/>
        <v>-35567.361109200014</v>
      </c>
      <c r="N75" s="448">
        <f t="shared" si="67"/>
        <v>0.40970954444186264</v>
      </c>
      <c r="O75" s="442">
        <f t="shared" si="66"/>
        <v>5705.0924521333254</v>
      </c>
      <c r="AC75" s="453">
        <v>128396.270804</v>
      </c>
      <c r="AD75" s="453">
        <f t="shared" si="53"/>
        <v>-103709.63191320001</v>
      </c>
    </row>
    <row r="76" spans="1:30">
      <c r="B76" s="454" t="s">
        <v>901</v>
      </c>
      <c r="C76" s="101">
        <v>75792.901425000004</v>
      </c>
      <c r="D76" s="1998">
        <v>171070.86316497461</v>
      </c>
      <c r="E76" s="428">
        <f>D76/12</f>
        <v>14255.905263747884</v>
      </c>
      <c r="F76" s="101">
        <f>F145-F146</f>
        <v>2270.0452829999999</v>
      </c>
      <c r="G76" s="101">
        <f>G145-G146</f>
        <v>6634.2923359999995</v>
      </c>
      <c r="H76" s="429">
        <f t="shared" si="62"/>
        <v>4364.2470529999991</v>
      </c>
      <c r="I76" s="429">
        <f t="shared" si="63"/>
        <v>-7621.612927747884</v>
      </c>
      <c r="J76" s="429">
        <f t="shared" ref="J76:J82" si="68">G76-C76/12</f>
        <v>318.21721724999952</v>
      </c>
      <c r="K76" s="443">
        <f t="shared" si="64"/>
        <v>0.46537152241539526</v>
      </c>
      <c r="L76" s="430">
        <f>L145-L146</f>
        <v>100756.451411</v>
      </c>
      <c r="M76" s="429">
        <f t="shared" ref="M76:M81" si="69">L76-D76/12*$C$2</f>
        <v>-13290.790698983066</v>
      </c>
      <c r="N76" s="444">
        <f t="shared" si="67"/>
        <v>0.88346241037406315</v>
      </c>
      <c r="O76" s="442">
        <f t="shared" si="66"/>
        <v>50227.850461000002</v>
      </c>
      <c r="P76" s="405"/>
      <c r="Q76" s="405"/>
      <c r="R76" s="405"/>
      <c r="T76" s="405"/>
      <c r="U76" s="405"/>
      <c r="V76" s="405"/>
      <c r="W76" s="405"/>
      <c r="X76" s="405"/>
      <c r="Y76" s="405"/>
      <c r="Z76" s="405"/>
      <c r="AA76" s="405"/>
      <c r="AC76" s="453">
        <v>175044.920423</v>
      </c>
      <c r="AD76" s="453">
        <f t="shared" si="53"/>
        <v>-74288.469012000001</v>
      </c>
    </row>
    <row r="77" spans="1:30">
      <c r="B77" s="454" t="s">
        <v>902</v>
      </c>
      <c r="C77" s="101">
        <v>-47320.581767000003</v>
      </c>
      <c r="D77" s="1998">
        <v>-80689.863164974595</v>
      </c>
      <c r="E77" s="428">
        <f>D77/12</f>
        <v>-6724.1552637478826</v>
      </c>
      <c r="F77" s="101">
        <f>-SUMIFS('#投资收益'!39:39,'#投资收益'!1:1,$F$1,'#投资收益'!2:2,$F$2)</f>
        <v>0</v>
      </c>
      <c r="G77" s="101">
        <f>-SUMIFS('#投资收益'!39:39,'#投资收益'!1:1,$C$1,'#投资收益'!2:2,$C$2)</f>
        <v>0</v>
      </c>
      <c r="H77" s="429">
        <f t="shared" si="62"/>
        <v>0</v>
      </c>
      <c r="I77" s="429">
        <f t="shared" si="63"/>
        <v>6724.1552637478826</v>
      </c>
      <c r="J77" s="429">
        <f t="shared" si="68"/>
        <v>3943.3818139166669</v>
      </c>
      <c r="K77" s="443"/>
      <c r="L77" s="101">
        <f>-SUMIFS('#投资收益'!39:39,'#投资收益'!1:1,$C$1,'#投资收益'!2:2,"&lt;="&amp;$C$2)</f>
        <v>-76069.812520200008</v>
      </c>
      <c r="M77" s="429">
        <f t="shared" si="69"/>
        <v>-22276.570410216947</v>
      </c>
      <c r="N77" s="444">
        <f t="shared" si="67"/>
        <v>0.58588533547259802</v>
      </c>
      <c r="O77" s="442">
        <f t="shared" si="66"/>
        <v>-44522.758008866673</v>
      </c>
      <c r="AC77" s="453">
        <v>-46648.649619000003</v>
      </c>
      <c r="AD77" s="453">
        <f t="shared" si="53"/>
        <v>-29421.162901200005</v>
      </c>
    </row>
    <row r="78" spans="1:30" s="405" customFormat="1">
      <c r="A78" s="422"/>
      <c r="B78" s="423" t="s">
        <v>1325</v>
      </c>
      <c r="C78" s="424">
        <f>SUM(C79:C81)</f>
        <v>-42935.3905816275</v>
      </c>
      <c r="D78" s="424">
        <f>D79+D80+D81</f>
        <v>-14256.795</v>
      </c>
      <c r="E78" s="425">
        <f>E79+E80+E81</f>
        <v>-1188.0662500000001</v>
      </c>
      <c r="F78" s="424">
        <f>F79+F80+F81</f>
        <v>-1512</v>
      </c>
      <c r="G78" s="424">
        <f>G79+G80+G81</f>
        <v>-1118.8599999999999</v>
      </c>
      <c r="H78" s="426">
        <f t="shared" si="62"/>
        <v>393.1400000000001</v>
      </c>
      <c r="I78" s="426">
        <f t="shared" si="63"/>
        <v>69.206250000000182</v>
      </c>
      <c r="J78" s="426">
        <f t="shared" si="68"/>
        <v>2459.0892151356247</v>
      </c>
      <c r="K78" s="445"/>
      <c r="L78" s="424">
        <f>L79+L80+L81</f>
        <v>-8557.5083632000005</v>
      </c>
      <c r="M78" s="426">
        <f t="shared" si="69"/>
        <v>947.02163680000012</v>
      </c>
      <c r="N78" s="446">
        <f t="shared" si="67"/>
        <v>1.0996389760251164</v>
      </c>
      <c r="O78" s="442">
        <f t="shared" si="66"/>
        <v>20066.085357885</v>
      </c>
      <c r="P78" s="411"/>
      <c r="Q78" s="411"/>
      <c r="R78" s="411"/>
      <c r="T78" s="411"/>
      <c r="U78" s="411"/>
      <c r="V78" s="411"/>
      <c r="W78" s="411"/>
      <c r="X78" s="411"/>
      <c r="Y78" s="411"/>
      <c r="Z78" s="411"/>
      <c r="AA78" s="411"/>
      <c r="AC78" s="453">
        <v>-18967.620758900001</v>
      </c>
      <c r="AD78" s="453">
        <f t="shared" si="53"/>
        <v>10410.1123957</v>
      </c>
    </row>
    <row r="79" spans="1:30">
      <c r="B79" s="427" t="s">
        <v>903</v>
      </c>
      <c r="C79" s="101">
        <v>-11196.7305816275</v>
      </c>
      <c r="D79" s="1998">
        <v>-14256.795</v>
      </c>
      <c r="E79" s="428">
        <f>D79/12</f>
        <v>-1188.0662500000001</v>
      </c>
      <c r="F79" s="101">
        <f>SUMIFS('利润（汇总）'!38:38,'利润（汇总）'!$1:$1,$F$1,'利润（汇总）'!$2:$2,$F$2)</f>
        <v>-1101</v>
      </c>
      <c r="G79" s="101">
        <f>SUMIFS('利润（汇总）'!38:38,'利润（汇总）'!$1:$1,$C$1,'利润（汇总）'!$2:$2,$C$2)</f>
        <v>-1118.8599999999999</v>
      </c>
      <c r="H79" s="429">
        <f t="shared" si="62"/>
        <v>-17.8599999999999</v>
      </c>
      <c r="I79" s="429">
        <f t="shared" si="63"/>
        <v>69.206250000000182</v>
      </c>
      <c r="J79" s="429">
        <f t="shared" si="68"/>
        <v>-185.79911819770825</v>
      </c>
      <c r="K79" s="443"/>
      <c r="L79" s="101">
        <f>SUMIFS('利润（汇总）'!38:38,'利润（汇总）'!$1:$1,$C$1,'利润（汇总）'!$2:$2,"&lt;="&amp;$C$2)</f>
        <v>-9256.0409111999998</v>
      </c>
      <c r="M79" s="429">
        <f t="shared" si="69"/>
        <v>248.4890888000009</v>
      </c>
      <c r="N79" s="444">
        <f t="shared" si="67"/>
        <v>1.0261442794961981</v>
      </c>
      <c r="O79" s="442">
        <f t="shared" si="66"/>
        <v>-1791.5538567816666</v>
      </c>
      <c r="P79" s="405"/>
      <c r="Q79" s="405"/>
      <c r="R79" s="405"/>
      <c r="T79" s="405"/>
      <c r="U79" s="405"/>
      <c r="V79" s="405"/>
      <c r="W79" s="405"/>
      <c r="X79" s="405"/>
      <c r="Y79" s="405"/>
      <c r="Z79" s="405"/>
      <c r="AA79" s="405"/>
      <c r="AC79" s="453">
        <v>-15288.810758900001</v>
      </c>
      <c r="AD79" s="453">
        <f t="shared" si="53"/>
        <v>6032.7698477000013</v>
      </c>
    </row>
    <row r="80" spans="1:30">
      <c r="B80" s="427" t="s">
        <v>904</v>
      </c>
      <c r="C80" s="101">
        <v>-5338.66</v>
      </c>
      <c r="D80" s="1998"/>
      <c r="E80" s="428">
        <f>D80/12</f>
        <v>0</v>
      </c>
      <c r="F80" s="101">
        <f>SUMIFS('利润（汇总）'!39:39,'利润（汇总）'!$1:$1,$F$1,'利润（汇总）'!$2:$2,$F$2)</f>
        <v>0</v>
      </c>
      <c r="G80" s="101">
        <f>SUMIFS('利润（汇总）'!39:39,'利润（汇总）'!$1:$1,$C$1,'利润（汇总）'!$2:$2,$C$2)</f>
        <v>0</v>
      </c>
      <c r="H80" s="429">
        <f t="shared" si="62"/>
        <v>0</v>
      </c>
      <c r="I80" s="429">
        <f t="shared" si="63"/>
        <v>0</v>
      </c>
      <c r="J80" s="429">
        <f t="shared" si="68"/>
        <v>444.88833333333332</v>
      </c>
      <c r="K80" s="443"/>
      <c r="L80" s="101">
        <f>SUMIFS('利润（汇总）'!39:39,'利润（汇总）'!$1:$1,$C$1,'利润（汇总）'!$2:$2,"&lt;="&amp;$C$2)</f>
        <v>698.53254800000002</v>
      </c>
      <c r="M80" s="429">
        <f t="shared" si="69"/>
        <v>698.53254800000002</v>
      </c>
      <c r="N80" s="444"/>
      <c r="O80" s="442">
        <f t="shared" si="66"/>
        <v>4257.6392146666667</v>
      </c>
      <c r="AC80" s="1785">
        <v>-224.81000000000017</v>
      </c>
      <c r="AD80" s="453">
        <f t="shared" si="53"/>
        <v>923.34254800000019</v>
      </c>
    </row>
    <row r="81" spans="1:34">
      <c r="B81" s="427" t="s">
        <v>905</v>
      </c>
      <c r="C81" s="101">
        <f>-15400-11000</f>
        <v>-26400</v>
      </c>
      <c r="D81" s="1998"/>
      <c r="E81" s="428">
        <f>D81/12</f>
        <v>0</v>
      </c>
      <c r="F81" s="101">
        <f>SUMIFS('利润（汇总）'!41:41,'利润（汇总）'!$1:$1,$F$1,'利润（汇总）'!$2:$2,$F$2)</f>
        <v>-411</v>
      </c>
      <c r="G81" s="101">
        <f>SUMIFS('利润（汇总）'!41:41,'利润（汇总）'!$1:$1,$C$1,'利润（汇总）'!$2:$2,$C$2)</f>
        <v>0</v>
      </c>
      <c r="H81" s="429">
        <f t="shared" si="62"/>
        <v>411</v>
      </c>
      <c r="I81" s="429">
        <f t="shared" si="63"/>
        <v>0</v>
      </c>
      <c r="J81" s="429">
        <f t="shared" si="68"/>
        <v>2200</v>
      </c>
      <c r="K81" s="443"/>
      <c r="L81" s="101">
        <f>G81</f>
        <v>0</v>
      </c>
      <c r="M81" s="429">
        <f t="shared" si="69"/>
        <v>0</v>
      </c>
      <c r="N81" s="444"/>
      <c r="O81" s="442">
        <f t="shared" si="66"/>
        <v>17600</v>
      </c>
      <c r="AC81" s="1785">
        <v>-3454</v>
      </c>
      <c r="AD81" s="453">
        <f t="shared" si="53"/>
        <v>3454</v>
      </c>
      <c r="AH81" s="411">
        <v>0</v>
      </c>
    </row>
    <row r="82" spans="1:34" s="405" customFormat="1">
      <c r="A82" s="422"/>
      <c r="B82" s="450" t="s">
        <v>880</v>
      </c>
      <c r="C82" s="424">
        <f>C5+C17++C24+C30+C35+C38+C43+C51+C78+C9</f>
        <v>236010.5211978431</v>
      </c>
      <c r="D82" s="424">
        <f t="shared" ref="D82:G82" si="70">D5+D17++D24+D30+D35+D38+D43+D51+D78+D9</f>
        <v>790915.25595613406</v>
      </c>
      <c r="E82" s="424">
        <f t="shared" si="70"/>
        <v>65909.604663011167</v>
      </c>
      <c r="F82" s="424">
        <f t="shared" si="70"/>
        <v>218166.09277400002</v>
      </c>
      <c r="G82" s="424">
        <f t="shared" si="70"/>
        <v>213139.47347599996</v>
      </c>
      <c r="H82" s="426">
        <f t="shared" si="62"/>
        <v>-5026.6192980000633</v>
      </c>
      <c r="I82" s="426">
        <f t="shared" si="63"/>
        <v>147229.8688129888</v>
      </c>
      <c r="J82" s="426">
        <f t="shared" si="68"/>
        <v>193471.93004284636</v>
      </c>
      <c r="K82" s="445">
        <f>IF(E82&gt;=0,G82/E82,(1-(G82-E82)/E82))</f>
        <v>3.2338150799987275</v>
      </c>
      <c r="L82" s="424">
        <f>L5+L17++L24+L30+L35+L38+L43+L51+L78+L9</f>
        <v>1526711.5211606</v>
      </c>
      <c r="M82" s="426">
        <f>L82-D82/12*$C$2</f>
        <v>999434.68385651067</v>
      </c>
      <c r="N82" s="446">
        <f t="shared" si="67"/>
        <v>2.8954647978972763</v>
      </c>
      <c r="O82" s="442">
        <f t="shared" si="66"/>
        <v>1369371.1736953713</v>
      </c>
      <c r="P82" s="411"/>
      <c r="Q82" s="411"/>
      <c r="R82" s="452">
        <f>L82-5700</f>
        <v>1521011.5211606</v>
      </c>
      <c r="T82" s="411"/>
      <c r="U82" s="411"/>
      <c r="V82" s="411"/>
      <c r="W82" s="411"/>
      <c r="X82" s="411"/>
      <c r="Y82" s="411"/>
      <c r="Z82" s="411"/>
      <c r="AA82" s="411"/>
      <c r="AC82" s="453">
        <v>391000.61251657066</v>
      </c>
      <c r="AD82" s="453">
        <f t="shared" si="53"/>
        <v>1135710.9086440294</v>
      </c>
      <c r="AH82" s="405">
        <v>0</v>
      </c>
    </row>
    <row r="83" spans="1:34">
      <c r="F83" s="491"/>
      <c r="G83" s="491"/>
      <c r="L83" s="491"/>
      <c r="P83" s="405"/>
      <c r="Q83" s="405"/>
      <c r="R83" s="405"/>
      <c r="T83" s="405"/>
      <c r="U83" s="405"/>
      <c r="V83" s="405"/>
      <c r="W83" s="405"/>
      <c r="X83" s="405"/>
      <c r="Y83" s="405"/>
      <c r="Z83" s="405"/>
      <c r="AA83" s="405"/>
      <c r="AH83" s="411">
        <v>0</v>
      </c>
    </row>
    <row r="84" spans="1:34">
      <c r="F84" s="491"/>
      <c r="G84" s="491"/>
      <c r="L84" s="491"/>
      <c r="M84" s="491"/>
      <c r="AH84" s="411">
        <v>0</v>
      </c>
    </row>
    <row r="85" spans="1:34" s="406" customFormat="1">
      <c r="A85" s="455"/>
      <c r="B85" s="456" t="s">
        <v>731</v>
      </c>
      <c r="C85" s="457">
        <f>'#母公司报表'!B3</f>
        <v>-15488.065331</v>
      </c>
      <c r="D85" s="457"/>
      <c r="E85" s="458"/>
      <c r="F85" s="457">
        <f>SUMIFS('#母公司报表'!3:3,'#母公司报表'!$1:$1,$F$1,'#母公司报表'!$2:$2,$F$2)</f>
        <v>31633.947352999996</v>
      </c>
      <c r="G85" s="457">
        <f>SUMIFS('#母公司报表'!3:3,'#母公司报表'!$1:$1,$C$1,'#母公司报表'!$2:$2,$C$2)</f>
        <v>26236.898705</v>
      </c>
      <c r="H85" s="459">
        <f>G85-F85</f>
        <v>-5397.0486479999963</v>
      </c>
      <c r="I85" s="459">
        <f>G85-D85/12</f>
        <v>26236.898705</v>
      </c>
      <c r="J85" s="459"/>
      <c r="K85" s="459"/>
      <c r="L85" s="457">
        <f>SUMIFS('#母公司报表'!3:3,'#母公司报表'!$1:$1,$C$1,'#母公司报表'!$2:$2,"&lt;="&amp;$C$2)</f>
        <v>185224.76646300001</v>
      </c>
      <c r="M85" s="475">
        <f t="shared" ref="M85:M119" si="71">L85-D85/12*$C$2</f>
        <v>185224.76646300001</v>
      </c>
      <c r="N85" s="476"/>
      <c r="P85" s="411"/>
      <c r="Q85" s="411"/>
      <c r="R85" s="411"/>
      <c r="T85" s="411"/>
      <c r="U85" s="411"/>
      <c r="V85" s="411"/>
      <c r="W85" s="411"/>
      <c r="X85" s="411"/>
      <c r="Y85" s="411"/>
      <c r="Z85" s="411"/>
      <c r="AA85" s="411"/>
      <c r="AH85" s="406">
        <v>0</v>
      </c>
    </row>
    <row r="86" spans="1:34" s="406" customFormat="1">
      <c r="A86" s="455"/>
      <c r="B86" s="460" t="s">
        <v>732</v>
      </c>
      <c r="C86" s="461">
        <f>'#母公司报表'!B4</f>
        <v>144.44192699999999</v>
      </c>
      <c r="D86" s="461">
        <v>50</v>
      </c>
      <c r="E86" s="462"/>
      <c r="F86" s="461">
        <f>SUMIFS('#母公司报表'!4:4,'#母公司报表'!$1:$1,$F$1,'#母公司报表'!$2:$2,$F$2)</f>
        <v>-23.274050999999989</v>
      </c>
      <c r="G86" s="461">
        <f>SUMIFS('#母公司报表'!4:4,'#母公司报表'!$1:$1,$C$1,'#母公司报表'!$2:$2,$C$2)</f>
        <v>4.8204900000000226</v>
      </c>
      <c r="H86" s="463">
        <f t="shared" ref="H86:H97" si="72">G86-F86</f>
        <v>28.094541000000014</v>
      </c>
      <c r="I86" s="463">
        <f t="shared" ref="I86:I97" si="73">G86-D86/12</f>
        <v>0.65382333333335563</v>
      </c>
      <c r="J86" s="463"/>
      <c r="K86" s="463"/>
      <c r="L86" s="461">
        <f>SUMIFS('#母公司报表'!4:4,'#母公司报表'!$1:$1,$C$1,'#母公司报表'!$2:$2,"&lt;="&amp;$C$2)</f>
        <v>-37.382679999999965</v>
      </c>
      <c r="M86" s="477">
        <f t="shared" si="71"/>
        <v>-70.716013333333308</v>
      </c>
      <c r="N86" s="478"/>
      <c r="AH86" s="406">
        <v>0</v>
      </c>
    </row>
    <row r="87" spans="1:34" s="406" customFormat="1">
      <c r="A87" s="455"/>
      <c r="B87" s="460" t="s">
        <v>733</v>
      </c>
      <c r="C87" s="461">
        <f>'#母公司报表'!B5</f>
        <v>69.604897999999991</v>
      </c>
      <c r="D87" s="461">
        <v>190</v>
      </c>
      <c r="E87" s="462"/>
      <c r="F87" s="461">
        <f>SUMIFS('#母公司报表'!5:5,'#母公司报表'!$1:$1,$F$1,'#母公司报表'!$2:$2,$F$2)</f>
        <v>8.8818229999999989</v>
      </c>
      <c r="G87" s="461">
        <f>SUMIFS('#母公司报表'!5:5,'#母公司报表'!$1:$1,$C$1,'#母公司报表'!$2:$2,$C$2)</f>
        <v>6.2655369999999992</v>
      </c>
      <c r="H87" s="463">
        <f t="shared" si="72"/>
        <v>-2.6162859999999997</v>
      </c>
      <c r="I87" s="463">
        <f t="shared" si="73"/>
        <v>-9.5677963333333338</v>
      </c>
      <c r="J87" s="463"/>
      <c r="K87" s="463"/>
      <c r="L87" s="461">
        <f>SUMIFS('#母公司报表'!5:5,'#母公司报表'!$1:$1,$C$1,'#母公司报表'!$2:$2,"&lt;="&amp;$C$2)</f>
        <v>59.695298000000001</v>
      </c>
      <c r="M87" s="477">
        <f t="shared" si="71"/>
        <v>-66.971368666666677</v>
      </c>
      <c r="N87" s="478"/>
      <c r="AH87" s="406">
        <v>0</v>
      </c>
    </row>
    <row r="88" spans="1:34" s="406" customFormat="1">
      <c r="A88" s="455"/>
      <c r="B88" s="460" t="s">
        <v>734</v>
      </c>
      <c r="C88" s="464">
        <f>'#母公司报表'!B6</f>
        <v>2.5222999999999999E-2</v>
      </c>
      <c r="D88" s="464">
        <v>0</v>
      </c>
      <c r="E88" s="465"/>
      <c r="F88" s="464">
        <f>SUMIFS('#母公司报表'!6:6,'#母公司报表'!$1:$1,$F$1,'#母公司报表'!$2:$2,$F$2)</f>
        <v>0</v>
      </c>
      <c r="G88" s="464">
        <f>SUMIFS('#母公司报表'!6:6,'#母公司报表'!$1:$1,$C$1,'#母公司报表'!$2:$2,$C$2)</f>
        <v>0</v>
      </c>
      <c r="H88" s="466">
        <f t="shared" si="72"/>
        <v>0</v>
      </c>
      <c r="I88" s="466">
        <f t="shared" si="73"/>
        <v>0</v>
      </c>
      <c r="J88" s="466"/>
      <c r="K88" s="466"/>
      <c r="L88" s="464">
        <f>SUMIFS('#母公司报表'!6:6,'#母公司报表'!$1:$1,$C$1,'#母公司报表'!$2:$2,"&lt;="&amp;$C$2)</f>
        <v>0</v>
      </c>
      <c r="M88" s="479">
        <f t="shared" si="71"/>
        <v>0</v>
      </c>
      <c r="N88" s="480"/>
      <c r="AH88" s="406">
        <v>0</v>
      </c>
    </row>
    <row r="89" spans="1:34" s="406" customFormat="1">
      <c r="A89" s="455"/>
      <c r="B89" s="460" t="s">
        <v>735</v>
      </c>
      <c r="C89" s="461">
        <f>'#母公司报表'!B7</f>
        <v>-3255.6471420000003</v>
      </c>
      <c r="D89" s="461">
        <f>SUM(D90:D94)</f>
        <v>13588</v>
      </c>
      <c r="E89" s="462"/>
      <c r="F89" s="461">
        <f>SUMIFS('#母公司报表'!7:7,'#母公司报表'!$1:$1,$F$1,'#母公司报表'!$2:$2,$F$2)</f>
        <v>-936.83819299999993</v>
      </c>
      <c r="G89" s="461">
        <f>SUMIFS('#母公司报表'!7:7,'#母公司报表'!$1:$1,$C$1,'#母公司报表'!$2:$2,$C$2)</f>
        <v>-108.63106500000004</v>
      </c>
      <c r="H89" s="463">
        <f t="shared" si="72"/>
        <v>828.2071279999999</v>
      </c>
      <c r="I89" s="463">
        <f t="shared" si="73"/>
        <v>-1240.9643983333333</v>
      </c>
      <c r="J89" s="463"/>
      <c r="K89" s="463"/>
      <c r="L89" s="461">
        <f>SUMIFS('#母公司报表'!7:7,'#母公司报表'!$1:$1,$C$1,'#母公司报表'!$2:$2,"&lt;="&amp;$C$2)</f>
        <v>-3085.992013</v>
      </c>
      <c r="M89" s="477">
        <f t="shared" si="71"/>
        <v>-12144.658679666667</v>
      </c>
      <c r="N89" s="478"/>
      <c r="AH89" s="406">
        <v>0</v>
      </c>
    </row>
    <row r="90" spans="1:34" s="406" customFormat="1">
      <c r="A90" s="455"/>
      <c r="B90" s="467" t="s">
        <v>39</v>
      </c>
      <c r="C90" s="468">
        <f>'#母公司报表'!B8</f>
        <v>1510.43091</v>
      </c>
      <c r="D90" s="468">
        <v>616</v>
      </c>
      <c r="E90" s="469"/>
      <c r="F90" s="468">
        <f>SUMIFS('#母公司报表'!8:8,'#母公司报表'!$1:$1,$F$1,'#母公司报表'!$2:$2,$F$2)</f>
        <v>108.09796299999999</v>
      </c>
      <c r="G90" s="468">
        <f>SUMIFS('#母公司报表'!8:8,'#母公司报表'!$1:$1,$C$1,'#母公司报表'!$2:$2,$C$2)</f>
        <v>685.10835499999996</v>
      </c>
      <c r="H90" s="470">
        <f t="shared" si="72"/>
        <v>577.01039199999991</v>
      </c>
      <c r="I90" s="470">
        <f t="shared" si="73"/>
        <v>633.77502166666659</v>
      </c>
      <c r="J90" s="470"/>
      <c r="K90" s="470"/>
      <c r="L90" s="468">
        <f>SUMIFS('#母公司报表'!8:8,'#母公司报表'!$1:$1,$C$1,'#母公司报表'!$2:$2,"&lt;="&amp;$C$2)</f>
        <v>1295.652493</v>
      </c>
      <c r="M90" s="481">
        <f t="shared" si="71"/>
        <v>884.98582633333331</v>
      </c>
      <c r="N90" s="482"/>
      <c r="AH90" s="406">
        <v>0</v>
      </c>
    </row>
    <row r="91" spans="1:34" s="406" customFormat="1">
      <c r="A91" s="455"/>
      <c r="B91" s="467" t="s">
        <v>736</v>
      </c>
      <c r="C91" s="468">
        <f>'#母公司报表'!B9</f>
        <v>59.495987999999997</v>
      </c>
      <c r="D91" s="468">
        <v>60</v>
      </c>
      <c r="E91" s="469"/>
      <c r="F91" s="468">
        <f>SUMIFS('#母公司报表'!9:9,'#母公司报表'!$1:$1,$F$1,'#母公司报表'!$2:$2,$F$2)</f>
        <v>6.8821289999999991</v>
      </c>
      <c r="G91" s="468">
        <f>SUMIFS('#母公司报表'!9:9,'#母公司报表'!$1:$1,$C$1,'#母公司报表'!$2:$2,$C$2)</f>
        <v>12.274980000000001</v>
      </c>
      <c r="H91" s="470">
        <f t="shared" si="72"/>
        <v>5.3928510000000021</v>
      </c>
      <c r="I91" s="470">
        <f t="shared" si="73"/>
        <v>7.2749800000000011</v>
      </c>
      <c r="J91" s="470"/>
      <c r="K91" s="470"/>
      <c r="L91" s="468">
        <f>SUMIFS('#母公司报表'!9:9,'#母公司报表'!$1:$1,$C$1,'#母公司报表'!$2:$2,"&lt;="&amp;$C$2)</f>
        <v>54.815643999999999</v>
      </c>
      <c r="M91" s="481">
        <f t="shared" si="71"/>
        <v>14.815643999999999</v>
      </c>
      <c r="N91" s="482"/>
      <c r="AH91" s="406">
        <v>0</v>
      </c>
    </row>
    <row r="92" spans="1:34" s="406" customFormat="1">
      <c r="A92" s="455"/>
      <c r="B92" s="467" t="s">
        <v>737</v>
      </c>
      <c r="C92" s="468">
        <f>'#母公司报表'!B10</f>
        <v>-4790.0168170000006</v>
      </c>
      <c r="D92" s="468">
        <v>12912</v>
      </c>
      <c r="E92" s="469"/>
      <c r="F92" s="468">
        <f>SUMIFS('#母公司报表'!10:10,'#母公司报表'!$1:$1,$F$1,'#母公司报表'!$2:$2,$F$2)</f>
        <v>-1031.058679</v>
      </c>
      <c r="G92" s="468">
        <f>SUMIFS('#母公司报表'!10:10,'#母公司报表'!$1:$1,$C$1,'#母公司报表'!$2:$2,$C$2)</f>
        <v>-774.46909200000005</v>
      </c>
      <c r="H92" s="470">
        <f t="shared" si="72"/>
        <v>256.58958699999994</v>
      </c>
      <c r="I92" s="470">
        <f>G92-D92/12</f>
        <v>-1850.469092</v>
      </c>
      <c r="J92" s="470"/>
      <c r="K92" s="470"/>
      <c r="L92" s="468">
        <f>SUMIFS('#母公司报表'!10:10,'#母公司报表'!$1:$1,$C$1,'#母公司报表'!$2:$2,"&lt;="&amp;$C$2)</f>
        <v>-4272.7390919999998</v>
      </c>
      <c r="M92" s="481">
        <f t="shared" si="71"/>
        <v>-12880.739092</v>
      </c>
      <c r="N92" s="482"/>
      <c r="AH92" s="406">
        <v>0</v>
      </c>
    </row>
    <row r="93" spans="1:34" s="406" customFormat="1">
      <c r="A93" s="455"/>
      <c r="B93" s="467" t="s">
        <v>738</v>
      </c>
      <c r="C93" s="468">
        <f>'#母公司报表'!B11</f>
        <v>-1.065485</v>
      </c>
      <c r="D93" s="468"/>
      <c r="E93" s="469"/>
      <c r="F93" s="468">
        <f>SUMIFS('#母公司报表'!11:11,'#母公司报表'!$1:$1,$F$1,'#母公司报表'!$2:$2,$F$2)</f>
        <v>0</v>
      </c>
      <c r="G93" s="468">
        <f>SUMIFS('#母公司报表'!11:11,'#母公司报表'!$1:$1,$C$1,'#母公司报表'!$2:$2,$C$2)</f>
        <v>0</v>
      </c>
      <c r="H93" s="470">
        <f t="shared" si="72"/>
        <v>0</v>
      </c>
      <c r="I93" s="470">
        <f t="shared" si="73"/>
        <v>0</v>
      </c>
      <c r="J93" s="470"/>
      <c r="K93" s="470"/>
      <c r="L93" s="468">
        <f>SUMIFS('#母公司报表'!11:11,'#母公司报表'!$1:$1,$C$1,'#母公司报表'!$2:$2,"&lt;="&amp;$C$2)</f>
        <v>-1.1829339999999999</v>
      </c>
      <c r="M93" s="481">
        <f t="shared" si="71"/>
        <v>-1.1829339999999999</v>
      </c>
      <c r="N93" s="482"/>
      <c r="AH93" s="406">
        <v>0</v>
      </c>
    </row>
    <row r="94" spans="1:34" s="406" customFormat="1">
      <c r="A94" s="455"/>
      <c r="B94" s="467" t="s">
        <v>160</v>
      </c>
      <c r="C94" s="468">
        <f>'#母公司报表'!B12</f>
        <v>-34.491737999999259</v>
      </c>
      <c r="D94" s="468"/>
      <c r="E94" s="469"/>
      <c r="F94" s="468">
        <f>SUMIFS('#母公司报表'!12:12,'#母公司报表'!$1:$1,$F$1,'#母公司报表'!$2:$2,$F$2)</f>
        <v>-20.759605999999962</v>
      </c>
      <c r="G94" s="468">
        <f>SUMIFS('#母公司报表'!12:12,'#母公司报表'!$1:$1,$C$1,'#母公司报表'!$2:$2,$C$2)</f>
        <v>-31.545307999999977</v>
      </c>
      <c r="H94" s="470">
        <f t="shared" si="72"/>
        <v>-10.785702000000015</v>
      </c>
      <c r="I94" s="470">
        <f t="shared" si="73"/>
        <v>-31.545307999999977</v>
      </c>
      <c r="J94" s="470"/>
      <c r="K94" s="470"/>
      <c r="L94" s="468">
        <f>SUMIFS('#母公司报表'!12:12,'#母公司报表'!$1:$1,$C$1,'#母公司报表'!$2:$2,"&lt;="&amp;$C$2)</f>
        <v>-162.53812399999987</v>
      </c>
      <c r="M94" s="481">
        <f t="shared" si="71"/>
        <v>-162.53812399999987</v>
      </c>
      <c r="N94" s="482"/>
      <c r="AH94" s="406">
        <v>0</v>
      </c>
    </row>
    <row r="95" spans="1:34" s="406" customFormat="1">
      <c r="A95" s="455"/>
      <c r="B95" s="460" t="s">
        <v>739</v>
      </c>
      <c r="C95" s="461">
        <f>'#母公司报表'!B13</f>
        <v>23521.170665000001</v>
      </c>
      <c r="D95" s="461"/>
      <c r="E95" s="462"/>
      <c r="F95" s="461">
        <f>SUMIFS('#母公司报表'!13:13,'#母公司报表'!$1:$1,$F$1,'#母公司报表'!$2:$2,$F$2)</f>
        <v>6354.6467100000218</v>
      </c>
      <c r="G95" s="461">
        <f>SUMIFS('#母公司报表'!13:13,'#母公司报表'!$1:$1,$C$1,'#母公司报表'!$2:$2,$C$2)</f>
        <v>11168.637707000029</v>
      </c>
      <c r="H95" s="463">
        <f t="shared" si="72"/>
        <v>4813.9909970000072</v>
      </c>
      <c r="I95" s="463">
        <f t="shared" si="73"/>
        <v>11168.637707000029</v>
      </c>
      <c r="J95" s="463"/>
      <c r="K95" s="463"/>
      <c r="L95" s="461">
        <f>SUMIFS('#母公司报表'!13:13,'#母公司报表'!$1:$1,$C$1,'#母公司报表'!$2:$2,"&lt;="&amp;$C$2)</f>
        <v>109637.23701100005</v>
      </c>
      <c r="M95" s="477">
        <f t="shared" si="71"/>
        <v>109637.23701100005</v>
      </c>
      <c r="N95" s="478"/>
      <c r="AH95" s="406">
        <v>0</v>
      </c>
    </row>
    <row r="96" spans="1:34" s="406" customFormat="1">
      <c r="A96" s="455"/>
      <c r="B96" s="471" t="s">
        <v>740</v>
      </c>
      <c r="C96" s="461">
        <f>'#母公司报表'!B14</f>
        <v>361570.41606199997</v>
      </c>
      <c r="D96" s="461"/>
      <c r="E96" s="462"/>
      <c r="F96" s="461">
        <f>SUMIFS('#母公司报表'!14:14,'#母公司报表'!$1:$1,$F$1,'#母公司报表'!$2:$2,$F$2)</f>
        <v>129558.27604900001</v>
      </c>
      <c r="G96" s="461">
        <f>SUMIFS('#母公司报表'!14:14,'#母公司报表'!$1:$1,$C$1,'#母公司报表'!$2:$2,$C$2)</f>
        <v>132580.76624900001</v>
      </c>
      <c r="H96" s="463">
        <f t="shared" si="72"/>
        <v>3022.4902000000002</v>
      </c>
      <c r="I96" s="463">
        <f t="shared" si="73"/>
        <v>132580.76624900001</v>
      </c>
      <c r="J96" s="463"/>
      <c r="K96" s="463"/>
      <c r="L96" s="461">
        <f>SUMIFS('#母公司报表'!14:14,'#母公司报表'!$1:$1,$C$1,'#母公司报表'!$2:$2,"&lt;="&amp;$C$2)</f>
        <v>930330.47458200005</v>
      </c>
      <c r="M96" s="477">
        <f t="shared" si="71"/>
        <v>930330.47458200005</v>
      </c>
      <c r="N96" s="478"/>
      <c r="AH96" s="406">
        <v>0</v>
      </c>
    </row>
    <row r="97" spans="1:34" s="406" customFormat="1">
      <c r="A97" s="455"/>
      <c r="B97" s="472" t="s">
        <v>741</v>
      </c>
      <c r="C97" s="468">
        <f>'#母公司报表'!B15</f>
        <v>361376.03856346098</v>
      </c>
      <c r="D97" s="468"/>
      <c r="E97" s="469"/>
      <c r="F97" s="468">
        <f>SUMIFS('#母公司报表'!15:15,'#母公司报表'!$1:$1,$F$1,'#母公司报表'!$2:$2,$F$2)</f>
        <v>117955.078494</v>
      </c>
      <c r="G97" s="468">
        <f>SUMIFS('#母公司报表'!15:15,'#母公司报表'!$1:$1,$C$1,'#母公司报表'!$2:$2,$C$2)</f>
        <v>109081.7142</v>
      </c>
      <c r="H97" s="470">
        <f t="shared" si="72"/>
        <v>-8873.3642939999991</v>
      </c>
      <c r="I97" s="470">
        <f t="shared" si="73"/>
        <v>109081.7142</v>
      </c>
      <c r="J97" s="470"/>
      <c r="K97" s="470"/>
      <c r="L97" s="468">
        <f>SUMIFS('#母公司报表'!15:15,'#母公司报表'!$1:$1,$C$1,'#母公司报表'!$2:$2,"&lt;="&amp;$C$2)</f>
        <v>773851.82047100004</v>
      </c>
      <c r="M97" s="481">
        <f t="shared" si="71"/>
        <v>773851.82047100004</v>
      </c>
      <c r="N97" s="482"/>
      <c r="AH97" s="406">
        <v>0</v>
      </c>
    </row>
    <row r="98" spans="1:34" s="406" customFormat="1">
      <c r="A98" s="455"/>
      <c r="B98" s="472" t="s">
        <v>742</v>
      </c>
      <c r="C98" s="468"/>
      <c r="D98" s="468"/>
      <c r="E98" s="469"/>
      <c r="F98" s="468">
        <f>SUMIFS('#母公司报表'!16:16,'#母公司报表'!$1:$1,$F$1,'#母公司报表'!$2:$2,$F$2)</f>
        <v>11604.197554999999</v>
      </c>
      <c r="G98" s="468">
        <f>SUMIFS('#母公司报表'!16:16,'#母公司报表'!$1:$1,$C$1,'#母公司报表'!$2:$2,$C$2)</f>
        <v>23499.052028999999</v>
      </c>
      <c r="H98" s="470">
        <f t="shared" ref="H98:H128" si="74">G98-F98</f>
        <v>11894.854474</v>
      </c>
      <c r="I98" s="470">
        <f t="shared" ref="I98:I128" si="75">G98-D98/12</f>
        <v>23499.052028999999</v>
      </c>
      <c r="J98" s="470"/>
      <c r="K98" s="470"/>
      <c r="L98" s="468">
        <f>SUMIFS('#母公司报表'!16:16,'#母公司报表'!$1:$1,$C$1,'#母公司报表'!$2:$2,"&lt;="&amp;$C$2)</f>
        <v>156479.65407699998</v>
      </c>
      <c r="M98" s="481"/>
      <c r="N98" s="482"/>
      <c r="AH98" s="406">
        <v>0</v>
      </c>
    </row>
    <row r="99" spans="1:34" s="406" customFormat="1">
      <c r="A99" s="455"/>
      <c r="B99" s="472" t="s">
        <v>160</v>
      </c>
      <c r="C99" s="468">
        <f>'#母公司报表'!B17</f>
        <v>194.37749853899004</v>
      </c>
      <c r="D99" s="468"/>
      <c r="E99" s="469"/>
      <c r="F99" s="468">
        <f>SUMIFS('#母公司报表'!17:17,'#母公司报表'!$1:$1,$F$1,'#母公司报表'!$2:$2,$F$2)</f>
        <v>-0.99999999999272404</v>
      </c>
      <c r="G99" s="468">
        <f>SUMIFS('#母公司报表'!17:17,'#母公司报表'!$1:$1,$C$1,'#母公司报表'!$2:$2,$C$2)</f>
        <v>2.0000006770715117E-5</v>
      </c>
      <c r="H99" s="470">
        <f t="shared" si="74"/>
        <v>1.0000199999994948</v>
      </c>
      <c r="I99" s="470">
        <f t="shared" si="75"/>
        <v>2.0000006770715117E-5</v>
      </c>
      <c r="J99" s="470"/>
      <c r="K99" s="470"/>
      <c r="L99" s="468">
        <f>SUMIFS('#母公司报表'!17:17,'#母公司报表'!$1:$1,$C$1,'#母公司报表'!$2:$2,"&lt;="&amp;$C$2)</f>
        <v>-0.99996600000667968</v>
      </c>
      <c r="M99" s="481">
        <f t="shared" si="71"/>
        <v>-0.99996600000667968</v>
      </c>
      <c r="N99" s="482"/>
      <c r="AH99" s="406">
        <v>0</v>
      </c>
    </row>
    <row r="100" spans="1:34" s="406" customFormat="1">
      <c r="A100" s="455"/>
      <c r="B100" s="473" t="s">
        <v>743</v>
      </c>
      <c r="C100" s="461">
        <f>'#母公司报表'!B18</f>
        <v>-242926.83981900002</v>
      </c>
      <c r="D100" s="461"/>
      <c r="E100" s="462"/>
      <c r="F100" s="461">
        <f>SUMIFS('#母公司报表'!18:18,'#母公司报表'!$1:$1,$F$1,'#母公司报表'!$2:$2,$F$2)</f>
        <v>-125181.35435199999</v>
      </c>
      <c r="G100" s="461">
        <f>SUMIFS('#母公司报表'!18:18,'#母公司报表'!$1:$1,$C$1,'#母公司报表'!$2:$2,$C$2)</f>
        <v>-126846.74689000001</v>
      </c>
      <c r="H100" s="463">
        <f t="shared" si="74"/>
        <v>-1665.3925380000146</v>
      </c>
      <c r="I100" s="463">
        <f t="shared" si="75"/>
        <v>-126846.74689000001</v>
      </c>
      <c r="J100" s="463"/>
      <c r="K100" s="463"/>
      <c r="L100" s="461">
        <f>SUMIFS('#母公司报表'!18:18,'#母公司报表'!$1:$1,$C$1,'#母公司报表'!$2:$2,"&lt;="&amp;$C$2)</f>
        <v>-889156.98134399997</v>
      </c>
      <c r="M100" s="477">
        <f t="shared" si="71"/>
        <v>-889156.98134399997</v>
      </c>
      <c r="N100" s="478"/>
      <c r="AH100" s="406">
        <v>0</v>
      </c>
    </row>
    <row r="101" spans="1:34" s="406" customFormat="1">
      <c r="A101" s="455"/>
      <c r="B101" s="472" t="s">
        <v>744</v>
      </c>
      <c r="C101" s="468">
        <f>'#母公司报表'!B19</f>
        <v>-311780.5939186</v>
      </c>
      <c r="D101" s="468"/>
      <c r="E101" s="469"/>
      <c r="F101" s="468">
        <f>SUMIFS('#母公司报表'!19:19,'#母公司报表'!$1:$1,$F$1,'#母公司报表'!$2:$2,$F$2)</f>
        <v>-112921.404255</v>
      </c>
      <c r="G101" s="468">
        <f>SUMIFS('#母公司报表'!19:19,'#母公司报表'!$1:$1,$C$1,'#母公司报表'!$2:$2,$C$2)</f>
        <v>-103014.195269</v>
      </c>
      <c r="H101" s="470">
        <f t="shared" si="74"/>
        <v>9907.2089859999978</v>
      </c>
      <c r="I101" s="470">
        <f t="shared" si="75"/>
        <v>-103014.195269</v>
      </c>
      <c r="J101" s="470"/>
      <c r="K101" s="470"/>
      <c r="L101" s="468">
        <f>SUMIFS('#母公司报表'!19:19,'#母公司报表'!$1:$1,$C$1,'#母公司报表'!$2:$2,"&lt;="&amp;$C$2)</f>
        <v>-729512.62912900001</v>
      </c>
      <c r="M101" s="481">
        <f t="shared" si="71"/>
        <v>-729512.62912900001</v>
      </c>
      <c r="N101" s="482"/>
      <c r="AH101" s="406">
        <v>0</v>
      </c>
    </row>
    <row r="102" spans="1:34" s="406" customFormat="1">
      <c r="A102" s="455"/>
      <c r="B102" s="472" t="s">
        <v>745</v>
      </c>
      <c r="C102" s="468"/>
      <c r="D102" s="468"/>
      <c r="E102" s="469"/>
      <c r="F102" s="468">
        <f>SUMIFS('#母公司报表'!20:20,'#母公司报表'!$1:$1,$F$1,'#母公司报表'!$2:$2,$F$2)</f>
        <v>-11739.083409999999</v>
      </c>
      <c r="G102" s="468">
        <f>SUMIFS('#母公司报表'!20:20,'#母公司报表'!$1:$1,$C$1,'#母公司报表'!$2:$2,$C$2)</f>
        <v>-23699.332938</v>
      </c>
      <c r="H102" s="470">
        <f t="shared" si="74"/>
        <v>-11960.249528</v>
      </c>
      <c r="I102" s="470">
        <f t="shared" si="75"/>
        <v>-23699.332938</v>
      </c>
      <c r="J102" s="470"/>
      <c r="K102" s="470"/>
      <c r="L102" s="468">
        <f>SUMIFS('#母公司报表'!20:20,'#母公司报表'!$1:$1,$C$1,'#母公司报表'!$2:$2,"&lt;="&amp;$C$2)</f>
        <v>-156825.607449</v>
      </c>
      <c r="M102" s="481"/>
      <c r="N102" s="482"/>
      <c r="AH102" s="406">
        <v>0</v>
      </c>
    </row>
    <row r="103" spans="1:34" s="406" customFormat="1">
      <c r="A103" s="455"/>
      <c r="B103" s="472" t="s">
        <v>746</v>
      </c>
      <c r="C103" s="468">
        <f>'#母公司报表'!B21</f>
        <v>87612.502494999993</v>
      </c>
      <c r="D103" s="468"/>
      <c r="E103" s="469"/>
      <c r="F103" s="468">
        <f>SUMIFS('#母公司报表'!21:21,'#母公司报表'!$1:$1,$F$1,'#母公司报表'!$2:$2,$F$2)</f>
        <v>0</v>
      </c>
      <c r="G103" s="468">
        <f>SUMIFS('#母公司报表'!21:21,'#母公司报表'!$1:$1,$C$1,'#母公司报表'!$2:$2,$C$2)</f>
        <v>0</v>
      </c>
      <c r="H103" s="470">
        <f t="shared" si="74"/>
        <v>0</v>
      </c>
      <c r="I103" s="470">
        <f t="shared" si="75"/>
        <v>0</v>
      </c>
      <c r="J103" s="470"/>
      <c r="K103" s="470"/>
      <c r="L103" s="468">
        <f>SUMIFS('#母公司报表'!21:21,'#母公司报表'!$1:$1,$C$1,'#母公司报表'!$2:$2,"&lt;="&amp;$C$2)</f>
        <v>0</v>
      </c>
      <c r="M103" s="481">
        <f t="shared" si="71"/>
        <v>0</v>
      </c>
      <c r="N103" s="482"/>
      <c r="AH103" s="406">
        <v>0</v>
      </c>
    </row>
    <row r="104" spans="1:34" s="406" customFormat="1">
      <c r="A104" s="455"/>
      <c r="B104" s="472" t="s">
        <v>747</v>
      </c>
      <c r="C104" s="468">
        <f>'#母公司报表'!B22</f>
        <v>-18564.370894999996</v>
      </c>
      <c r="D104" s="468">
        <f>D105+D106+D107+D108</f>
        <v>-18555.749693999998</v>
      </c>
      <c r="E104" s="469"/>
      <c r="F104" s="468">
        <f>SUMIFS('#母公司报表'!22:22,'#母公司报表'!$1:$1,$F$1,'#母公司报表'!$2:$2,$F$2)</f>
        <v>-294.56435099999999</v>
      </c>
      <c r="G104" s="468">
        <f>SUMIFS('#母公司报表'!22:22,'#母公司报表'!$1:$1,$C$1,'#母公司报表'!$2:$2,$C$2)</f>
        <v>0</v>
      </c>
      <c r="H104" s="470">
        <f t="shared" si="74"/>
        <v>294.56435099999999</v>
      </c>
      <c r="I104" s="470">
        <f t="shared" si="75"/>
        <v>1546.3124744999998</v>
      </c>
      <c r="J104" s="470"/>
      <c r="K104" s="470"/>
      <c r="L104" s="468">
        <f>SUMIFS('#母公司报表'!22:22,'#母公司报表'!$1:$1,$C$1,'#母公司报表'!$2:$2,"&lt;="&amp;$C$2)</f>
        <v>-2459.2237426266674</v>
      </c>
      <c r="M104" s="481">
        <f t="shared" si="71"/>
        <v>9911.2760533733308</v>
      </c>
      <c r="N104" s="482"/>
      <c r="AH104" s="406">
        <v>0</v>
      </c>
    </row>
    <row r="105" spans="1:34" s="406" customFormat="1">
      <c r="A105" s="455"/>
      <c r="B105" s="474" t="s">
        <v>748</v>
      </c>
      <c r="C105" s="468">
        <f>'#母公司报表'!B23</f>
        <v>-8531.8633449999998</v>
      </c>
      <c r="D105" s="468">
        <v>-8500</v>
      </c>
      <c r="E105" s="469"/>
      <c r="F105" s="468">
        <f>SUMIFS('#母公司报表'!23:23,'#母公司报表'!$1:$1,$F$1,'#母公司报表'!$2:$2,$F$2)</f>
        <v>0</v>
      </c>
      <c r="G105" s="468">
        <f>SUMIFS('#母公司报表'!23:23,'#母公司报表'!$1:$1,$C$1,'#母公司报表'!$2:$2,$C$2)</f>
        <v>0</v>
      </c>
      <c r="H105" s="470">
        <f>G105-F105</f>
        <v>0</v>
      </c>
      <c r="I105" s="470">
        <f t="shared" si="75"/>
        <v>708.33333333333337</v>
      </c>
      <c r="J105" s="470"/>
      <c r="K105" s="470"/>
      <c r="L105" s="468">
        <f>SUMIFS('#母公司报表'!23:23,'#母公司报表'!$1:$1,$C$1,'#母公司报表'!$2:$2,"&lt;="&amp;$C$2)</f>
        <v>0</v>
      </c>
      <c r="M105" s="481">
        <f t="shared" si="71"/>
        <v>5666.666666666667</v>
      </c>
      <c r="N105" s="482"/>
      <c r="AH105" s="406">
        <v>0</v>
      </c>
    </row>
    <row r="106" spans="1:34" s="406" customFormat="1">
      <c r="A106" s="455"/>
      <c r="B106" s="474" t="s">
        <v>1716</v>
      </c>
      <c r="C106" s="468">
        <f>'#母公司报表'!B24</f>
        <v>-6465.6478479999996</v>
      </c>
      <c r="D106" s="468">
        <v>-6455.7496940000001</v>
      </c>
      <c r="E106" s="469"/>
      <c r="F106" s="685">
        <f>SUMIFS('#母公司报表'!24:24,'#母公司报表'!$1:$1,$F$1,'#母公司报表'!$2:$2,$F$2)</f>
        <v>0</v>
      </c>
      <c r="G106" s="468">
        <f>SUMIFS('#母公司报表'!24:24,'#母公司报表'!$1:$1,$C$1,'#母公司报表'!$2:$2,$C$2)</f>
        <v>0</v>
      </c>
      <c r="H106" s="470">
        <f t="shared" si="74"/>
        <v>0</v>
      </c>
      <c r="I106" s="470">
        <f t="shared" si="75"/>
        <v>537.97914116666664</v>
      </c>
      <c r="J106" s="470"/>
      <c r="K106" s="470"/>
      <c r="L106" s="468">
        <f>SUMIFS('#母公司报表'!24:24,'#母公司报表'!$1:$1,$C$1,'#母公司报表'!$2:$2,"&lt;="&amp;$C$2)</f>
        <v>-2072.4748916266672</v>
      </c>
      <c r="M106" s="481">
        <f t="shared" si="71"/>
        <v>2231.3582377066659</v>
      </c>
      <c r="N106" s="482"/>
      <c r="AH106" s="406">
        <v>0</v>
      </c>
    </row>
    <row r="107" spans="1:34" s="406" customFormat="1">
      <c r="A107" s="455"/>
      <c r="B107" s="474" t="s">
        <v>750</v>
      </c>
      <c r="C107" s="468">
        <f>'#母公司报表'!B25</f>
        <v>-3607.5418399999999</v>
      </c>
      <c r="D107" s="468">
        <v>-3600</v>
      </c>
      <c r="E107" s="469"/>
      <c r="F107" s="468">
        <f>SUMIFS('#母公司报表'!25:25,'#母公司报表'!$1:$1,$F$1,'#母公司报表'!$2:$2,$F$2)</f>
        <v>-294.56435099999999</v>
      </c>
      <c r="G107" s="468">
        <f>SUMIFS('#母公司报表'!25:25,'#母公司报表'!$1:$1,$C$1,'#母公司报表'!$2:$2,$C$2)</f>
        <v>0</v>
      </c>
      <c r="H107" s="470">
        <f t="shared" si="74"/>
        <v>294.56435099999999</v>
      </c>
      <c r="I107" s="470">
        <f t="shared" si="75"/>
        <v>300</v>
      </c>
      <c r="J107" s="470"/>
      <c r="K107" s="470"/>
      <c r="L107" s="468">
        <f>SUMIFS('#母公司报表'!25:25,'#母公司报表'!$1:$1,$C$1,'#母公司报表'!$2:$2,"&lt;="&amp;$C$2)</f>
        <v>-386.748851</v>
      </c>
      <c r="M107" s="481">
        <f t="shared" si="71"/>
        <v>2013.2511489999999</v>
      </c>
      <c r="N107" s="482"/>
    </row>
    <row r="108" spans="1:34" s="406" customFormat="1">
      <c r="A108" s="455"/>
      <c r="B108" s="474" t="s">
        <v>751</v>
      </c>
      <c r="C108" s="468">
        <f>'#母公司报表'!B26</f>
        <v>40.682138000000002</v>
      </c>
      <c r="D108" s="468"/>
      <c r="E108" s="469"/>
      <c r="F108" s="468">
        <f>SUMIFS('#母公司报表'!26:26,'#母公司报表'!$1:$1,$F$1,'#母公司报表'!$2:$2,$F$2)</f>
        <v>0</v>
      </c>
      <c r="G108" s="468">
        <f>SUMIFS('#母公司报表'!26:26,'#母公司报表'!$1:$1,$C$1,'#母公司报表'!$2:$2,$C$2)</f>
        <v>0</v>
      </c>
      <c r="H108" s="470">
        <f t="shared" si="74"/>
        <v>0</v>
      </c>
      <c r="I108" s="470">
        <f t="shared" si="75"/>
        <v>0</v>
      </c>
      <c r="J108" s="470"/>
      <c r="K108" s="470"/>
      <c r="L108" s="468">
        <f>SUMIFS('#母公司报表'!26:26,'#母公司报表'!$1:$1,$C$1,'#母公司报表'!$2:$2,"&lt;="&amp;$C$2)</f>
        <v>0</v>
      </c>
      <c r="M108" s="481">
        <f t="shared" si="71"/>
        <v>0</v>
      </c>
      <c r="N108" s="482"/>
    </row>
    <row r="109" spans="1:34" s="406" customFormat="1">
      <c r="A109" s="455"/>
      <c r="B109" s="472" t="s">
        <v>906</v>
      </c>
      <c r="C109" s="468">
        <f>'#母公司报表'!B70</f>
        <v>0</v>
      </c>
      <c r="D109" s="468"/>
      <c r="E109" s="469"/>
      <c r="F109" s="468">
        <f>SUMIFS('#母公司报表'!70:70,'#母公司报表'!$1:$1,$F$1,'#母公司报表'!$2:$2,$F$2)</f>
        <v>0</v>
      </c>
      <c r="G109" s="468">
        <f>SUMIFS('#母公司报表'!70:70,'#母公司报表'!$1:$1,$C$1,'#母公司报表'!$2:$2,$C$2)</f>
        <v>0</v>
      </c>
      <c r="H109" s="470">
        <f t="shared" si="74"/>
        <v>0</v>
      </c>
      <c r="I109" s="470">
        <f t="shared" si="75"/>
        <v>0</v>
      </c>
      <c r="J109" s="470"/>
      <c r="K109" s="470"/>
      <c r="L109" s="468">
        <f>SUMIFS('#母公司报表'!70:70,'#母公司报表'!$1:$1,$C$1,'#母公司报表'!$2:$2,"&lt;="&amp;$C$2)</f>
        <v>0</v>
      </c>
      <c r="M109" s="481">
        <f t="shared" si="71"/>
        <v>0</v>
      </c>
      <c r="N109" s="482"/>
    </row>
    <row r="110" spans="1:34" s="406" customFormat="1">
      <c r="A110" s="455"/>
      <c r="B110" s="472" t="s">
        <v>752</v>
      </c>
      <c r="C110" s="468">
        <f>'#母公司报表'!B27</f>
        <v>-194.37750040000901</v>
      </c>
      <c r="D110" s="468"/>
      <c r="E110" s="469"/>
      <c r="F110" s="673">
        <f>SUMIFS('#母公司报表'!27:27,'#母公司报表'!$1:$1,$F$1,'#母公司报表'!$2:$2,$F$2)</f>
        <v>-226.30233599999337</v>
      </c>
      <c r="G110" s="468">
        <f>SUMIFS('#母公司报表'!27:27,'#母公司报表'!$1:$1,$C$1,'#母公司报表'!$2:$2,$C$2)</f>
        <v>-133.21868300000642</v>
      </c>
      <c r="H110" s="470">
        <f t="shared" si="74"/>
        <v>93.083652999986953</v>
      </c>
      <c r="I110" s="470">
        <f t="shared" si="75"/>
        <v>-133.21868300000642</v>
      </c>
      <c r="J110" s="470"/>
      <c r="K110" s="470"/>
      <c r="L110" s="468">
        <f>SUMIFS('#母公司报表'!27:27,'#母公司报表'!$1:$1,$C$1,'#母公司报表'!$2:$2,"&lt;="&amp;$C$2)</f>
        <v>-359.52102337332508</v>
      </c>
      <c r="M110" s="481">
        <f t="shared" si="71"/>
        <v>-359.52102337332508</v>
      </c>
      <c r="N110" s="482"/>
    </row>
    <row r="111" spans="1:34" s="406" customFormat="1">
      <c r="A111" s="455"/>
      <c r="B111" s="473" t="s">
        <v>753</v>
      </c>
      <c r="C111" s="461">
        <f>'#母公司报表'!B28</f>
        <v>74083.818450999999</v>
      </c>
      <c r="D111" s="461"/>
      <c r="E111" s="462"/>
      <c r="F111" s="461">
        <f>SUMIFS('#母公司报表'!28:28,'#母公司报表'!$1:$1,$F$1,'#母公司报表'!$2:$2,$F$2)</f>
        <v>12719.760117000007</v>
      </c>
      <c r="G111" s="461">
        <f>SUMIFS('#母公司报表'!28:28,'#母公司报表'!$1:$1,$C$1,'#母公司报表'!$2:$2,$C$2)</f>
        <v>11772.568126999999</v>
      </c>
      <c r="H111" s="463">
        <f t="shared" si="74"/>
        <v>-947.19199000000845</v>
      </c>
      <c r="I111" s="463">
        <f t="shared" si="75"/>
        <v>11772.568126999999</v>
      </c>
      <c r="J111" s="463"/>
      <c r="K111" s="463"/>
      <c r="L111" s="461">
        <f>SUMIFS('#母公司报表'!28:28,'#母公司报表'!$1:$1,$C$1,'#母公司报表'!$2:$2,"&lt;="&amp;$C$2)</f>
        <v>84577.147203</v>
      </c>
      <c r="M111" s="477">
        <f t="shared" si="71"/>
        <v>84577.147203</v>
      </c>
      <c r="N111" s="478"/>
    </row>
    <row r="112" spans="1:34" s="406" customFormat="1">
      <c r="A112" s="455"/>
      <c r="B112" s="472" t="s">
        <v>234</v>
      </c>
      <c r="C112" s="468">
        <f>'#母公司报表'!B29</f>
        <v>18261.191611999999</v>
      </c>
      <c r="D112" s="468">
        <v>9456</v>
      </c>
      <c r="E112" s="469"/>
      <c r="F112" s="468">
        <f>SUMIFS('#母公司报表'!29:29,'#母公司报表'!$1:$1,$F$1,'#母公司报表'!$2:$2,$F$2)</f>
        <v>560.34839999999997</v>
      </c>
      <c r="G112" s="468">
        <f>SUMIFS('#母公司报表'!29:29,'#母公司报表'!$1:$1,$C$1,'#母公司报表'!$2:$2,$C$2)</f>
        <v>550.19743000000005</v>
      </c>
      <c r="H112" s="470">
        <f t="shared" si="74"/>
        <v>-10.150969999999916</v>
      </c>
      <c r="I112" s="470">
        <f t="shared" si="75"/>
        <v>-237.80256999999995</v>
      </c>
      <c r="J112" s="470"/>
      <c r="K112" s="470"/>
      <c r="L112" s="468">
        <f>SUMIFS('#母公司报表'!29:29,'#母公司报表'!$1:$1,$C$1,'#母公司报表'!$2:$2,"&lt;="&amp;$C$2)</f>
        <v>4714.0391479999998</v>
      </c>
      <c r="M112" s="481">
        <f t="shared" si="71"/>
        <v>-1589.9608520000002</v>
      </c>
      <c r="N112" s="482"/>
    </row>
    <row r="113" spans="1:31" s="406" customFormat="1">
      <c r="A113" s="455"/>
      <c r="B113" s="472" t="s">
        <v>236</v>
      </c>
      <c r="C113" s="468">
        <f>'#母公司报表'!B30</f>
        <v>31790.028416000001</v>
      </c>
      <c r="D113" s="468">
        <v>32597.16</v>
      </c>
      <c r="E113" s="469"/>
      <c r="F113" s="468">
        <f>SUMIFS('#母公司报表'!30:30,'#母公司报表'!$1:$1,$F$1,'#母公司报表'!$2:$2,$F$2)</f>
        <v>8798.5383299999994</v>
      </c>
      <c r="G113" s="468">
        <f>SUMIFS('#母公司报表'!30:30,'#母公司报表'!$1:$1,$C$1,'#母公司报表'!$2:$2,$C$2)</f>
        <v>7997.4550950000003</v>
      </c>
      <c r="H113" s="470">
        <f t="shared" si="74"/>
        <v>-801.08323499999915</v>
      </c>
      <c r="I113" s="470">
        <f t="shared" si="75"/>
        <v>5281.0250950000009</v>
      </c>
      <c r="J113" s="470"/>
      <c r="K113" s="470"/>
      <c r="L113" s="468">
        <f>SUMIFS('#母公司报表'!30:30,'#母公司报表'!$1:$1,$C$1,'#母公司报表'!$2:$2,"&lt;="&amp;$C$2)</f>
        <v>55176.357857999988</v>
      </c>
      <c r="M113" s="481">
        <f t="shared" si="71"/>
        <v>33444.917857999986</v>
      </c>
      <c r="N113" s="482"/>
    </row>
    <row r="114" spans="1:31" s="406" customFormat="1">
      <c r="A114" s="455"/>
      <c r="B114" s="472" t="s">
        <v>238</v>
      </c>
      <c r="C114" s="468">
        <f>'#母公司报表'!B31</f>
        <v>5066.3090179999999</v>
      </c>
      <c r="D114" s="468">
        <v>5095.3999999999996</v>
      </c>
      <c r="E114" s="469"/>
      <c r="F114" s="468">
        <f>SUMIFS('#母公司报表'!31:31,'#母公司报表'!$1:$1,$F$1,'#母公司报表'!$2:$2,$F$2)</f>
        <v>1351.947011</v>
      </c>
      <c r="G114" s="468">
        <f>SUMIFS('#母公司报表'!31:31,'#母公司报表'!$1:$1,$C$1,'#母公司报表'!$2:$2,$C$2)</f>
        <v>1207.0990750000001</v>
      </c>
      <c r="H114" s="470">
        <f t="shared" si="74"/>
        <v>-144.84793599999989</v>
      </c>
      <c r="I114" s="470">
        <f t="shared" si="75"/>
        <v>782.48240833333352</v>
      </c>
      <c r="J114" s="470"/>
      <c r="K114" s="470"/>
      <c r="L114" s="468">
        <f>SUMIFS('#母公司报表'!31:31,'#母公司报表'!$1:$1,$C$1,'#母公司报表'!$2:$2,"&lt;="&amp;$C$2)</f>
        <v>8500.8290909999996</v>
      </c>
      <c r="M114" s="481">
        <f t="shared" si="71"/>
        <v>5103.8957576666671</v>
      </c>
      <c r="N114" s="482"/>
      <c r="O114" s="406">
        <f>L114*3</f>
        <v>25502.487272999999</v>
      </c>
      <c r="AE114" s="406">
        <f>5808+11616</f>
        <v>17424</v>
      </c>
    </row>
    <row r="115" spans="1:31" s="406" customFormat="1">
      <c r="A115" s="455"/>
      <c r="B115" s="472" t="s">
        <v>239</v>
      </c>
      <c r="C115" s="468"/>
      <c r="D115" s="468"/>
      <c r="E115" s="469"/>
      <c r="F115" s="468">
        <f>SUMIFS('#母公司报表'!32:32,'#母公司报表'!$1:$1,$F$1,'#母公司报表'!$2:$2,$F$2)</f>
        <v>382.92166666666662</v>
      </c>
      <c r="G115" s="468">
        <f>SUMIFS('#母公司报表'!32:32,'#母公司报表'!$1:$1,$C$1,'#母公司报表'!$2:$2,$C$2)</f>
        <v>382.92166666666662</v>
      </c>
      <c r="H115" s="470">
        <f>G115-F115</f>
        <v>0</v>
      </c>
      <c r="I115" s="470">
        <f>G115-D115/12</f>
        <v>382.92166666666662</v>
      </c>
      <c r="J115" s="470"/>
      <c r="K115" s="470"/>
      <c r="L115" s="468">
        <f>SUMIFS('#母公司报表'!32:32,'#母公司报表'!$1:$1,$C$1,'#母公司报表'!$2:$2,"&lt;="&amp;$C$2)</f>
        <v>3063.373333333333</v>
      </c>
      <c r="M115" s="481">
        <f t="shared" si="71"/>
        <v>3063.373333333333</v>
      </c>
      <c r="N115" s="482"/>
      <c r="AB115" s="1786">
        <f>L113+O114+O116</f>
        <v>82967.625689999986</v>
      </c>
    </row>
    <row r="116" spans="1:31" s="406" customFormat="1">
      <c r="A116" s="455"/>
      <c r="B116" s="472" t="s">
        <v>242</v>
      </c>
      <c r="C116" s="468"/>
      <c r="D116" s="468"/>
      <c r="E116" s="469"/>
      <c r="F116" s="468">
        <f>SUMIFS('#母公司报表'!33:33,'#母公司报表'!$1:$1,$F$1,'#母公司报表'!$2:$2,$F$2)</f>
        <v>7.9429999999999996</v>
      </c>
      <c r="G116" s="468">
        <f>SUMIFS('#母公司报表'!33:33,'#母公司报表'!$1:$1,$C$1,'#母公司报表'!$2:$2,$C$2)</f>
        <v>130.82300000000001</v>
      </c>
      <c r="H116" s="470">
        <f>G116-F116</f>
        <v>122.88000000000001</v>
      </c>
      <c r="I116" s="470">
        <f>G116-D116/12</f>
        <v>130.82300000000001</v>
      </c>
      <c r="J116" s="470"/>
      <c r="K116" s="470"/>
      <c r="L116" s="468">
        <f>SUMIFS('#母公司报表'!33:33,'#母公司报表'!$1:$1,$C$1,'#母公司报表'!$2:$2,"&lt;="&amp;$C$2)</f>
        <v>762.92685299999994</v>
      </c>
      <c r="M116" s="481">
        <f t="shared" si="71"/>
        <v>762.92685299999994</v>
      </c>
      <c r="N116" s="482"/>
      <c r="O116" s="406">
        <f>L116*3</f>
        <v>2288.7805589999998</v>
      </c>
    </row>
    <row r="117" spans="1:31" s="406" customFormat="1">
      <c r="A117" s="455"/>
      <c r="B117" s="472" t="s">
        <v>243</v>
      </c>
      <c r="C117" s="468">
        <f>'#母公司报表'!B34</f>
        <v>2898.92</v>
      </c>
      <c r="D117" s="468">
        <v>3100</v>
      </c>
      <c r="E117" s="469"/>
      <c r="F117" s="468">
        <f>SUMIFS('#母公司报表'!34:34,'#母公司报表'!$1:$1,$F$1,'#母公司报表'!$2:$2,$F$2)</f>
        <v>0</v>
      </c>
      <c r="G117" s="468">
        <f>SUMIFS('#母公司报表'!34:34,'#母公司报表'!$1:$1,$C$1,'#母公司报表'!$2:$2,$C$2)</f>
        <v>0</v>
      </c>
      <c r="H117" s="470">
        <f t="shared" si="74"/>
        <v>0</v>
      </c>
      <c r="I117" s="470">
        <f t="shared" si="75"/>
        <v>-258.33333333333331</v>
      </c>
      <c r="J117" s="470"/>
      <c r="K117" s="470"/>
      <c r="L117" s="468">
        <f>SUMIFS('#母公司报表'!34:34,'#母公司报表'!$1:$1,$C$1,'#母公司报表'!$2:$2,"&lt;="&amp;$C$2)</f>
        <v>0</v>
      </c>
      <c r="M117" s="481">
        <f t="shared" si="71"/>
        <v>-2066.6666666666665</v>
      </c>
      <c r="N117" s="482"/>
    </row>
    <row r="118" spans="1:31" s="406" customFormat="1">
      <c r="A118" s="455"/>
      <c r="B118" s="472" t="s">
        <v>244</v>
      </c>
      <c r="C118" s="468">
        <f>'#母公司报表'!B35</f>
        <v>5545.8</v>
      </c>
      <c r="D118" s="468">
        <v>5546</v>
      </c>
      <c r="E118" s="469"/>
      <c r="F118" s="468">
        <f>SUMIFS('#母公司报表'!35:35,'#母公司报表'!$1:$1,$F$1,'#母公司报表'!$2:$2,$F$2)</f>
        <v>462.15</v>
      </c>
      <c r="G118" s="468">
        <f>SUMIFS('#母公司报表'!35:35,'#母公司报表'!$1:$1,$C$1,'#母公司报表'!$2:$2,$C$2)</f>
        <v>462.15</v>
      </c>
      <c r="H118" s="470">
        <f t="shared" si="74"/>
        <v>0</v>
      </c>
      <c r="I118" s="470">
        <f t="shared" si="75"/>
        <v>-1.6666666666708352E-2</v>
      </c>
      <c r="J118" s="470"/>
      <c r="K118" s="470"/>
      <c r="L118" s="468">
        <f>SUMIFS('#母公司报表'!35:35,'#母公司报表'!$1:$1,$C$1,'#母公司报表'!$2:$2,"&lt;="&amp;$C$2)</f>
        <v>3697.2000000000003</v>
      </c>
      <c r="M118" s="481">
        <f t="shared" si="71"/>
        <v>-0.13333333333321207</v>
      </c>
      <c r="N118" s="482"/>
    </row>
    <row r="119" spans="1:31" s="406" customFormat="1">
      <c r="A119" s="455"/>
      <c r="B119" s="472" t="s">
        <v>245</v>
      </c>
      <c r="C119" s="468">
        <f>'#母公司报表'!B36</f>
        <v>465.48</v>
      </c>
      <c r="D119" s="468">
        <v>488</v>
      </c>
      <c r="E119" s="469"/>
      <c r="F119" s="468">
        <f>SUMIFS('#母公司报表'!36:36,'#母公司报表'!$1:$1,$F$1,'#母公司报表'!$2:$2,$F$2)</f>
        <v>0</v>
      </c>
      <c r="G119" s="468">
        <f>SUMIFS('#母公司报表'!36:36,'#母公司报表'!$1:$1,$C$1,'#母公司报表'!$2:$2,$C$2)</f>
        <v>0</v>
      </c>
      <c r="H119" s="470">
        <f t="shared" si="74"/>
        <v>0</v>
      </c>
      <c r="I119" s="470">
        <f t="shared" si="75"/>
        <v>-40.666666666666664</v>
      </c>
      <c r="J119" s="470"/>
      <c r="K119" s="470"/>
      <c r="L119" s="468">
        <f>SUMIFS('#母公司报表'!36:36,'#母公司报表'!$1:$1,$C$1,'#母公司报表'!$2:$2,"&lt;="&amp;$C$2)</f>
        <v>107.58683799999999</v>
      </c>
      <c r="M119" s="481">
        <f t="shared" si="71"/>
        <v>-217.74649533333331</v>
      </c>
      <c r="N119" s="482"/>
    </row>
    <row r="120" spans="1:31" s="406" customFormat="1">
      <c r="A120" s="455"/>
      <c r="B120" s="472" t="s">
        <v>764</v>
      </c>
      <c r="C120" s="468"/>
      <c r="D120" s="468"/>
      <c r="E120" s="469"/>
      <c r="F120" s="468">
        <f>SUMIFS('#母公司报表'!37:37,'#母公司报表'!$1:$1,$F$1,'#母公司报表'!$2:$2,$F$2)</f>
        <v>-18.249513</v>
      </c>
      <c r="G120" s="468">
        <f>SUMIFS('#母公司报表'!37:37,'#母公司报表'!$1:$1,$C$1,'#母公司报表'!$2:$2,$C$2)</f>
        <v>-67.925793999999996</v>
      </c>
      <c r="H120" s="470">
        <f t="shared" ref="H120" si="76">G120-F120</f>
        <v>-49.676280999999996</v>
      </c>
      <c r="I120" s="470">
        <f t="shared" ref="I120" si="77">G120-D120/12</f>
        <v>-67.925793999999996</v>
      </c>
      <c r="J120" s="470"/>
      <c r="K120" s="470"/>
      <c r="L120" s="468"/>
      <c r="M120" s="481"/>
      <c r="N120" s="482"/>
    </row>
    <row r="121" spans="1:31" s="406" customFormat="1">
      <c r="A121" s="455"/>
      <c r="B121" s="472" t="s">
        <v>246</v>
      </c>
      <c r="C121" s="468">
        <f>'#母公司报表'!B38</f>
        <v>8161.993152</v>
      </c>
      <c r="D121" s="468">
        <v>8161.9931560200002</v>
      </c>
      <c r="E121" s="469"/>
      <c r="F121" s="468">
        <f>SUMIFS('#母公司报表'!38:38,'#母公司报表'!$1:$1,$F$1,'#母公司报表'!$2:$2,$F$2)</f>
        <v>707.82749999999999</v>
      </c>
      <c r="G121" s="468">
        <f>SUMIFS('#母公司报表'!38:38,'#母公司报表'!$1:$1,$C$1,'#母公司报表'!$2:$2,$C$2)</f>
        <v>707.82749999999999</v>
      </c>
      <c r="H121" s="470">
        <f t="shared" si="74"/>
        <v>0</v>
      </c>
      <c r="I121" s="470">
        <f t="shared" si="75"/>
        <v>27.661403664999966</v>
      </c>
      <c r="J121" s="470"/>
      <c r="K121" s="470"/>
      <c r="L121" s="468">
        <f>SUMIFS('#母公司报表'!38:38,'#母公司报表'!$1:$1,$C$1,'#母公司报表'!$2:$2,"&lt;="&amp;$C$2)</f>
        <v>5662.6200000000008</v>
      </c>
      <c r="M121" s="481">
        <f t="shared" ref="M121:M152" si="78">L121-D121/12*$C$2</f>
        <v>221.29122932000064</v>
      </c>
      <c r="N121" s="482"/>
    </row>
    <row r="122" spans="1:31" s="406" customFormat="1">
      <c r="A122" s="455"/>
      <c r="B122" s="472" t="s">
        <v>754</v>
      </c>
      <c r="C122" s="468"/>
      <c r="D122" s="468"/>
      <c r="E122" s="469"/>
      <c r="F122" s="468">
        <f>SUMIFS('#母公司报表'!39:39,'#母公司报表'!$1:$1,$F$1,'#母公司报表'!$2:$2,$F$2)</f>
        <v>139.94880000000001</v>
      </c>
      <c r="G122" s="468">
        <f>SUMIFS('#母公司报表'!39:39,'#母公司报表'!$1:$1,$C$1,'#母公司报表'!$2:$2,$C$2)</f>
        <v>139.94880000000001</v>
      </c>
      <c r="H122" s="470">
        <f>G122-F122</f>
        <v>0</v>
      </c>
      <c r="I122" s="470">
        <f>G122-D122/12</f>
        <v>139.94880000000001</v>
      </c>
      <c r="J122" s="470"/>
      <c r="K122" s="470"/>
      <c r="L122" s="468">
        <f>SUMIFS('#母公司报表'!39:39,'#母公司报表'!$1:$1,$C$1,'#母公司报表'!$2:$2,"&lt;="&amp;$C$2)</f>
        <v>1119.5904</v>
      </c>
      <c r="M122" s="481">
        <f>L122-D122/12*$C$2</f>
        <v>1119.5904</v>
      </c>
      <c r="N122" s="482"/>
      <c r="AB122" s="1786">
        <f>L122</f>
        <v>1119.5904</v>
      </c>
    </row>
    <row r="123" spans="1:31" s="406" customFormat="1">
      <c r="A123" s="455"/>
      <c r="B123" s="472" t="s">
        <v>755</v>
      </c>
      <c r="C123" s="468">
        <f>'#母公司报表'!B40</f>
        <v>578</v>
      </c>
      <c r="D123" s="468">
        <v>578</v>
      </c>
      <c r="E123" s="469"/>
      <c r="F123" s="468">
        <f>SUMIFS('#母公司报表'!40:40,'#母公司报表'!$1:$1,$F$1,'#母公司报表'!$2:$2,$F$2)</f>
        <v>7.4326530000000002</v>
      </c>
      <c r="G123" s="468">
        <f>SUMIFS('#母公司报表'!40:40,'#母公司报表'!$1:$1,$C$1,'#母公司报表'!$2:$2,$C$2)</f>
        <v>7.4326530000000002</v>
      </c>
      <c r="H123" s="470">
        <f t="shared" si="74"/>
        <v>0</v>
      </c>
      <c r="I123" s="470">
        <f t="shared" si="75"/>
        <v>-40.734013666666662</v>
      </c>
      <c r="J123" s="470"/>
      <c r="K123" s="470"/>
      <c r="L123" s="468">
        <f>SUMIFS('#母公司报表'!40:40,'#母公司报表'!$1:$1,$C$1,'#母公司报表'!$2:$2,"&lt;="&amp;$C$2)</f>
        <v>59.461224000000009</v>
      </c>
      <c r="M123" s="481">
        <f t="shared" si="78"/>
        <v>-325.8721093333333</v>
      </c>
      <c r="N123" s="482"/>
    </row>
    <row r="124" spans="1:31" s="406" customFormat="1">
      <c r="A124" s="455"/>
      <c r="B124" s="472" t="s">
        <v>160</v>
      </c>
      <c r="C124" s="468">
        <f>'#母公司报表'!B41</f>
        <v>1316.0962529999961</v>
      </c>
      <c r="D124" s="468"/>
      <c r="E124" s="469"/>
      <c r="F124" s="468">
        <f>SUMIFS('#母公司报表'!41:41,'#母公司报表'!$1:$1,$F$1,'#母公司报表'!$2:$2,$F$2)</f>
        <v>318.95226933334197</v>
      </c>
      <c r="G124" s="468">
        <f>SUMIFS('#母公司报表'!41:41,'#母公司报表'!$1:$1,$C$1,'#母公司报表'!$2:$2,$C$2)</f>
        <v>254.6387013333333</v>
      </c>
      <c r="H124" s="470">
        <f t="shared" si="74"/>
        <v>-64.313568000008672</v>
      </c>
      <c r="I124" s="470">
        <f t="shared" si="75"/>
        <v>254.6387013333333</v>
      </c>
      <c r="J124" s="470"/>
      <c r="K124" s="470"/>
      <c r="L124" s="468">
        <f>SUMIFS('#母公司报表'!41:41,'#母公司报表'!$1:$1,$C$1,'#母公司报表'!$2:$2,"&lt;="&amp;$C$2)</f>
        <v>1868.9439006666853</v>
      </c>
      <c r="M124" s="481">
        <f t="shared" si="78"/>
        <v>1868.9439006666853</v>
      </c>
      <c r="N124" s="482"/>
    </row>
    <row r="125" spans="1:31" s="406" customFormat="1">
      <c r="A125" s="455"/>
      <c r="B125" s="473" t="s">
        <v>756</v>
      </c>
      <c r="C125" s="461">
        <f>'#母公司报表'!B42</f>
        <v>-23736.468216000001</v>
      </c>
      <c r="D125" s="461"/>
      <c r="E125" s="462"/>
      <c r="F125" s="461">
        <f>SUMIFS('#母公司报表'!42:42,'#母公司报表'!$1:$1,$F$1,'#母公司报表'!$2:$2,$F$2)</f>
        <v>-2589.9882410000087</v>
      </c>
      <c r="G125" s="461">
        <f>SUMIFS('#母公司报表'!42:42,'#母公司报表'!$1:$1,$C$1,'#母公司报表'!$2:$2,$C$2)</f>
        <v>-2336.2272459999799</v>
      </c>
      <c r="H125" s="463">
        <f t="shared" si="74"/>
        <v>253.76099500002874</v>
      </c>
      <c r="I125" s="463">
        <f t="shared" si="75"/>
        <v>-2336.2272459999799</v>
      </c>
      <c r="J125" s="463"/>
      <c r="K125" s="463"/>
      <c r="L125" s="461">
        <f>SUMIFS('#母公司报表'!42:42,'#母公司报表'!$1:$1,$C$1,'#母公司报表'!$2:$2,"&lt;="&amp;$C$2)</f>
        <v>-29241.689762000005</v>
      </c>
      <c r="M125" s="477">
        <f t="shared" si="78"/>
        <v>-29241.689762000005</v>
      </c>
      <c r="N125" s="478"/>
      <c r="AB125" s="1786">
        <f>AB115+AB122</f>
        <v>84087.216089999987</v>
      </c>
    </row>
    <row r="126" spans="1:31" s="406" customFormat="1">
      <c r="A126" s="455"/>
      <c r="B126" s="472" t="s">
        <v>757</v>
      </c>
      <c r="C126" s="468">
        <f>'#母公司报表'!B43</f>
        <v>-11813.323882999999</v>
      </c>
      <c r="D126" s="468">
        <v>-11813.3238666667</v>
      </c>
      <c r="E126" s="469"/>
      <c r="F126" s="468">
        <f>SUMIFS('#母公司报表'!43:43,'#母公司报表'!$1:$1,$F$1,'#母公司报表'!$2:$2,$F$2)</f>
        <v>-1039.638584</v>
      </c>
      <c r="G126" s="468">
        <f>SUMIFS('#母公司报表'!43:43,'#母公司报表'!$1:$1,$C$1,'#母公司报表'!$2:$2,$C$2)</f>
        <v>-1039.638584</v>
      </c>
      <c r="H126" s="470">
        <f t="shared" si="74"/>
        <v>0</v>
      </c>
      <c r="I126" s="470">
        <f t="shared" si="75"/>
        <v>-55.194928444441643</v>
      </c>
      <c r="J126" s="470"/>
      <c r="K126" s="470"/>
      <c r="L126" s="468">
        <f>SUMIFS('#母公司报表'!43:43,'#母公司报表'!$1:$1,$C$1,'#母公司报表'!$2:$2,"&lt;="&amp;$C$2)</f>
        <v>-8317.1086720000003</v>
      </c>
      <c r="M126" s="481">
        <f t="shared" si="78"/>
        <v>-441.55942755553315</v>
      </c>
      <c r="N126" s="482"/>
    </row>
    <row r="127" spans="1:31" s="406" customFormat="1">
      <c r="A127" s="455"/>
      <c r="B127" s="472" t="s">
        <v>758</v>
      </c>
      <c r="C127" s="468">
        <f>'#母公司报表'!B44</f>
        <v>-4152.2606370000003</v>
      </c>
      <c r="D127" s="468">
        <v>-4152.2605333333304</v>
      </c>
      <c r="E127" s="469"/>
      <c r="F127" s="468">
        <f>SUMIFS('#母公司报表'!44:44,'#母公司报表'!$1:$1,$F$1,'#母公司报表'!$2:$2,$F$2)</f>
        <v>-729</v>
      </c>
      <c r="G127" s="468">
        <f>SUMIFS('#母公司报表'!44:44,'#母公司报表'!$1:$1,$C$1,'#母公司报表'!$2:$2,$C$2)</f>
        <v>-729</v>
      </c>
      <c r="H127" s="470">
        <f t="shared" si="74"/>
        <v>0</v>
      </c>
      <c r="I127" s="470">
        <f t="shared" si="75"/>
        <v>-382.97828888888915</v>
      </c>
      <c r="J127" s="470"/>
      <c r="K127" s="470"/>
      <c r="L127" s="468">
        <f>SUMIFS('#母公司报表'!44:44,'#母公司报表'!$1:$1,$C$1,'#母公司报表'!$2:$2,"&lt;="&amp;$C$2)</f>
        <v>-5832</v>
      </c>
      <c r="M127" s="481">
        <f t="shared" si="78"/>
        <v>-3063.8263111111132</v>
      </c>
      <c r="N127" s="482"/>
    </row>
    <row r="128" spans="1:31" s="406" customFormat="1">
      <c r="A128" s="455"/>
      <c r="B128" s="472" t="s">
        <v>759</v>
      </c>
      <c r="C128" s="468">
        <f>'#母公司报表'!B45</f>
        <v>-642.23760000000004</v>
      </c>
      <c r="D128" s="468">
        <v>-642.24</v>
      </c>
      <c r="E128" s="469"/>
      <c r="F128" s="468">
        <f>SUMIFS('#母公司报表'!45:45,'#母公司报表'!$1:$1,$F$1,'#母公司报表'!$2:$2,$F$2)</f>
        <v>-53.519799999999996</v>
      </c>
      <c r="G128" s="468">
        <f>SUMIFS('#母公司报表'!45:45,'#母公司报表'!$1:$1,$C$1,'#母公司报表'!$2:$2,$C$2)</f>
        <v>-53.519799999999996</v>
      </c>
      <c r="H128" s="470">
        <f t="shared" si="74"/>
        <v>0</v>
      </c>
      <c r="I128" s="470">
        <f t="shared" si="75"/>
        <v>2.0000000000663931E-4</v>
      </c>
      <c r="J128" s="470"/>
      <c r="K128" s="470"/>
      <c r="L128" s="468">
        <f>SUMIFS('#母公司报表'!45:45,'#母公司报表'!$1:$1,$C$1,'#母公司报表'!$2:$2,"&lt;="&amp;$C$2)</f>
        <v>-428.15839999999992</v>
      </c>
      <c r="M128" s="481">
        <f t="shared" si="78"/>
        <v>1.6000000001099579E-3</v>
      </c>
      <c r="N128" s="482"/>
    </row>
    <row r="129" spans="1:14" s="406" customFormat="1">
      <c r="A129" s="455"/>
      <c r="B129" s="472" t="s">
        <v>158</v>
      </c>
      <c r="C129" s="468">
        <f>'#母公司报表'!B46</f>
        <v>-7000</v>
      </c>
      <c r="D129" s="468">
        <v>-10000</v>
      </c>
      <c r="E129" s="469"/>
      <c r="F129" s="468">
        <f>SUMIFS('#母公司报表'!46:46,'#母公司报表'!$1:$1,$F$1,'#母公司报表'!$2:$2,$F$2)</f>
        <v>0</v>
      </c>
      <c r="G129" s="468">
        <f>SUMIFS('#母公司报表'!46:46,'#母公司报表'!$1:$1,$C$1,'#母公司报表'!$2:$2,$C$2)</f>
        <v>0</v>
      </c>
      <c r="H129" s="470">
        <f t="shared" ref="H129:H171" si="79">G129-F129</f>
        <v>0</v>
      </c>
      <c r="I129" s="470">
        <f t="shared" ref="I129:I152" si="80">G129-D129/12</f>
        <v>833.33333333333337</v>
      </c>
      <c r="J129" s="470"/>
      <c r="K129" s="470"/>
      <c r="L129" s="468">
        <f>SUMIFS('#母公司报表'!46:46,'#母公司报表'!$1:$1,$C$1,'#母公司报表'!$2:$2,"&lt;="&amp;$C$2)</f>
        <v>-9300</v>
      </c>
      <c r="M129" s="481">
        <f t="shared" si="78"/>
        <v>-2633.333333333333</v>
      </c>
      <c r="N129" s="482"/>
    </row>
    <row r="130" spans="1:14" s="406" customFormat="1">
      <c r="A130" s="455"/>
      <c r="B130" s="2515" t="s">
        <v>1715</v>
      </c>
      <c r="C130" s="468"/>
      <c r="D130" s="468"/>
      <c r="E130" s="469"/>
      <c r="F130" s="468">
        <f>SUMIFS('#母公司报表'!47:47,'#母公司报表'!$1:$1,$F$1,'#母公司报表'!$2:$2,$F$2)</f>
        <v>-517.53492300000005</v>
      </c>
      <c r="G130" s="468">
        <f>SUMIFS('#母公司报表'!47:47,'#母公司报表'!$1:$1,$C$1,'#母公司报表'!$2:$2,$C$2)</f>
        <v>-518.37392262666697</v>
      </c>
      <c r="H130" s="470">
        <f t="shared" ref="H130" si="81">G130-F130</f>
        <v>-0.83899962666691863</v>
      </c>
      <c r="I130" s="470">
        <f t="shared" ref="I130" si="82">G130-D130/12</f>
        <v>-518.37392262666697</v>
      </c>
      <c r="J130" s="470"/>
      <c r="K130" s="470"/>
      <c r="L130" s="468"/>
      <c r="M130" s="481"/>
      <c r="N130" s="482"/>
    </row>
    <row r="131" spans="1:14" s="406" customFormat="1">
      <c r="A131" s="455"/>
      <c r="B131" s="472" t="s">
        <v>160</v>
      </c>
      <c r="C131" s="468">
        <f>'#母公司报表'!B48</f>
        <v>-128.6460960000004</v>
      </c>
      <c r="D131" s="468"/>
      <c r="E131" s="469"/>
      <c r="F131" s="468">
        <f>SUMIFS('#母公司报表'!48:48,'#母公司报表'!$1:$1,$F$1,'#母公司报表'!$2:$2,$F$2)</f>
        <v>-767.82985700000859</v>
      </c>
      <c r="G131" s="468">
        <f>SUMIFS('#母公司报表'!48:48,'#母公司报表'!$1:$1,$C$1,'#母公司报表'!$2:$2,$C$2)</f>
        <v>-514.06886199997984</v>
      </c>
      <c r="H131" s="470">
        <f t="shared" si="79"/>
        <v>253.76099500002874</v>
      </c>
      <c r="I131" s="470">
        <f t="shared" si="80"/>
        <v>-514.06886199997984</v>
      </c>
      <c r="J131" s="470"/>
      <c r="K131" s="470"/>
      <c r="L131" s="468">
        <f>SUMIFS('#母公司报表'!48:48,'#母公司报表'!$1:$1,$C$1,'#母公司报表'!$2:$2,"&lt;="&amp;$C$2)</f>
        <v>-5364.4226900000003</v>
      </c>
      <c r="M131" s="481">
        <f t="shared" si="78"/>
        <v>-5364.4226900000003</v>
      </c>
      <c r="N131" s="482"/>
    </row>
    <row r="132" spans="1:14" s="406" customFormat="1">
      <c r="A132" s="455"/>
      <c r="B132" s="473" t="s">
        <v>737</v>
      </c>
      <c r="C132" s="461">
        <f>'#母公司报表'!B49</f>
        <v>-68722.155392000001</v>
      </c>
      <c r="D132" s="461">
        <f>-77222.7939909091-175</f>
        <v>-77397.793990909093</v>
      </c>
      <c r="E132" s="462"/>
      <c r="F132" s="461">
        <f>SUMIFS('#母公司报表'!49:49,'#母公司报表'!$1:$1,$F$1,'#母公司报表'!$2:$2,$F$2)</f>
        <v>-3567.4477119999997</v>
      </c>
      <c r="G132" s="461">
        <f>SUMIFS('#母公司报表'!49:49,'#母公司报表'!$1:$1,$C$1,'#母公司报表'!$2:$2,$C$2)</f>
        <v>-3673.4689800000006</v>
      </c>
      <c r="H132" s="463">
        <f>G132-F132</f>
        <v>-106.02126800000087</v>
      </c>
      <c r="I132" s="463">
        <f t="shared" si="80"/>
        <v>2776.3471859090905</v>
      </c>
      <c r="J132" s="463"/>
      <c r="K132" s="463"/>
      <c r="L132" s="461">
        <f>SUMIFS('#母公司报表'!49:49,'#母公司报表'!$1:$1,$C$1,'#母公司报表'!$2:$2,"&lt;="&amp;$C$2)</f>
        <v>-23292.368386000002</v>
      </c>
      <c r="M132" s="477">
        <f t="shared" si="78"/>
        <v>28306.160941272727</v>
      </c>
      <c r="N132" s="478"/>
    </row>
    <row r="133" spans="1:14" s="406" customFormat="1">
      <c r="A133" s="455"/>
      <c r="B133" s="472" t="s">
        <v>79</v>
      </c>
      <c r="C133" s="468">
        <f>'#母公司报表'!B50</f>
        <v>-44568.69</v>
      </c>
      <c r="D133" s="468">
        <v>-49025.556169700001</v>
      </c>
      <c r="E133" s="469"/>
      <c r="F133" s="468">
        <f>SUMIFS('#母公司报表'!50:50,'#母公司报表'!$1:$1,$F$1,'#母公司报表'!$2:$2,$F$2)</f>
        <v>-3268.6277279999999</v>
      </c>
      <c r="G133" s="468">
        <f>SUMIFS('#母公司报表'!50:50,'#母公司报表'!$1:$1,$C$1,'#母公司报表'!$2:$2,$C$2)</f>
        <v>-2965.682773</v>
      </c>
      <c r="H133" s="470">
        <f t="shared" si="79"/>
        <v>302.94495499999994</v>
      </c>
      <c r="I133" s="470">
        <f t="shared" si="80"/>
        <v>1119.7802411416669</v>
      </c>
      <c r="J133" s="470"/>
      <c r="K133" s="470"/>
      <c r="L133" s="468">
        <f>SUMIFS('#母公司报表'!50:50,'#母公司报表'!$1:$1,$C$1,'#母公司报表'!$2:$2,"&lt;="&amp;$C$2)</f>
        <v>-22958.150098999999</v>
      </c>
      <c r="M133" s="481">
        <f t="shared" si="78"/>
        <v>9725.5540141333368</v>
      </c>
      <c r="N133" s="482"/>
    </row>
    <row r="134" spans="1:14" s="406" customFormat="1">
      <c r="A134" s="455"/>
      <c r="B134" s="472" t="s">
        <v>760</v>
      </c>
      <c r="C134" s="468">
        <f>'#母公司报表'!B51</f>
        <v>-14536.373212</v>
      </c>
      <c r="D134" s="468"/>
      <c r="E134" s="469"/>
      <c r="F134" s="468">
        <f>SUMIFS('#母公司报表'!51:51,'#母公司报表'!$1:$1,$F$1,'#母公司报表'!$2:$2,$F$2)</f>
        <v>-1331.362646</v>
      </c>
      <c r="G134" s="468">
        <f>SUMIFS('#母公司报表'!51:51,'#母公司报表'!$1:$1,$C$1,'#母公司报表'!$2:$2,$C$2)</f>
        <v>-1331.127502</v>
      </c>
      <c r="H134" s="470">
        <f t="shared" si="79"/>
        <v>0.23514399999999114</v>
      </c>
      <c r="I134" s="470">
        <f t="shared" si="80"/>
        <v>-1331.127502</v>
      </c>
      <c r="J134" s="470"/>
      <c r="K134" s="470"/>
      <c r="L134" s="468">
        <f>SUMIFS('#母公司报表'!51:51,'#母公司报表'!$1:$1,$C$1,'#母公司报表'!$2:$2,"&lt;="&amp;$C$2)</f>
        <v>-10463.043458999999</v>
      </c>
      <c r="M134" s="481">
        <f t="shared" si="78"/>
        <v>-10463.043458999999</v>
      </c>
      <c r="N134" s="482"/>
    </row>
    <row r="135" spans="1:14" s="406" customFormat="1">
      <c r="A135" s="455"/>
      <c r="B135" s="472" t="s">
        <v>761</v>
      </c>
      <c r="C135" s="468">
        <f>'#母公司报表'!B52</f>
        <v>-1913.6577749999999</v>
      </c>
      <c r="D135" s="468"/>
      <c r="E135" s="469"/>
      <c r="F135" s="468">
        <f>SUMIFS('#母公司报表'!52:52,'#母公司报表'!$1:$1,$F$1,'#母公司报表'!$2:$2,$F$2)</f>
        <v>0</v>
      </c>
      <c r="G135" s="468">
        <f>SUMIFS('#母公司报表'!52:52,'#母公司报表'!$1:$1,$C$1,'#母公司报表'!$2:$2,$C$2)</f>
        <v>0</v>
      </c>
      <c r="H135" s="470">
        <f t="shared" si="79"/>
        <v>0</v>
      </c>
      <c r="I135" s="470">
        <f t="shared" si="80"/>
        <v>0</v>
      </c>
      <c r="J135" s="470"/>
      <c r="K135" s="470"/>
      <c r="L135" s="468">
        <f>SUMIFS('#母公司报表'!52:52,'#母公司报表'!$1:$1,$C$1,'#母公司报表'!$2:$2,"&lt;="&amp;$C$2)</f>
        <v>0</v>
      </c>
      <c r="M135" s="481">
        <f t="shared" si="78"/>
        <v>0</v>
      </c>
      <c r="N135" s="482"/>
    </row>
    <row r="136" spans="1:14" s="406" customFormat="1">
      <c r="A136" s="455"/>
      <c r="B136" s="472" t="s">
        <v>762</v>
      </c>
      <c r="C136" s="468">
        <f>'#母公司报表'!B53</f>
        <v>-202.113913</v>
      </c>
      <c r="D136" s="468"/>
      <c r="E136" s="469"/>
      <c r="F136" s="468">
        <f>SUMIFS('#母公司报表'!53:53,'#母公司报表'!$1:$1,$F$1,'#母公司报表'!$2:$2,$F$2)</f>
        <v>0</v>
      </c>
      <c r="G136" s="468">
        <f>SUMIFS('#母公司报表'!53:53,'#母公司报表'!$1:$1,$C$1,'#母公司报表'!$2:$2,$C$2)</f>
        <v>0</v>
      </c>
      <c r="H136" s="470">
        <f t="shared" si="79"/>
        <v>0</v>
      </c>
      <c r="I136" s="470">
        <f t="shared" si="80"/>
        <v>0</v>
      </c>
      <c r="J136" s="470"/>
      <c r="K136" s="470"/>
      <c r="L136" s="468">
        <f>SUMIFS('#母公司报表'!53:53,'#母公司报表'!$1:$1,$C$1,'#母公司报表'!$2:$2,"&lt;="&amp;$C$2)</f>
        <v>0</v>
      </c>
      <c r="M136" s="481">
        <f t="shared" si="78"/>
        <v>0</v>
      </c>
      <c r="N136" s="482"/>
    </row>
    <row r="137" spans="1:14" s="406" customFormat="1">
      <c r="A137" s="455"/>
      <c r="B137" s="472" t="s">
        <v>763</v>
      </c>
      <c r="C137" s="468">
        <f>'#母公司报表'!B54</f>
        <v>-1350</v>
      </c>
      <c r="D137" s="468"/>
      <c r="E137" s="469"/>
      <c r="F137" s="468">
        <f>SUMIFS('#母公司报表'!54:54,'#母公司报表'!$1:$1,$F$1,'#母公司报表'!$2:$2,$F$2)</f>
        <v>-112.4</v>
      </c>
      <c r="G137" s="468">
        <f>SUMIFS('#母公司报表'!54:54,'#母公司报表'!$1:$1,$C$1,'#母公司报表'!$2:$2,$C$2)</f>
        <v>-112.4</v>
      </c>
      <c r="H137" s="470">
        <f t="shared" si="79"/>
        <v>0</v>
      </c>
      <c r="I137" s="470">
        <f t="shared" si="80"/>
        <v>-112.4</v>
      </c>
      <c r="J137" s="470"/>
      <c r="K137" s="470"/>
      <c r="L137" s="468">
        <f>SUMIFS('#母公司报表'!54:54,'#母公司报表'!$1:$1,$C$1,'#母公司报表'!$2:$2,"&lt;="&amp;$C$2)</f>
        <v>-899.19999999999993</v>
      </c>
      <c r="M137" s="481">
        <f t="shared" si="78"/>
        <v>-899.19999999999993</v>
      </c>
      <c r="N137" s="482"/>
    </row>
    <row r="138" spans="1:14" s="406" customFormat="1">
      <c r="A138" s="455"/>
      <c r="B138" s="472" t="s">
        <v>1717</v>
      </c>
      <c r="C138" s="468">
        <f>'#母公司报表'!B55</f>
        <v>-426.13377700000001</v>
      </c>
      <c r="D138" s="468"/>
      <c r="E138" s="469"/>
      <c r="F138" s="468">
        <f>SUMIFS('#母公司报表'!55:55,'#母公司报表'!$1:$1,$F$1,'#母公司报表'!$2:$2,$F$2)</f>
        <v>0</v>
      </c>
      <c r="G138" s="468">
        <f>SUMIFS('#母公司报表'!55:55,'#母公司报表'!$1:$1,$C$1,'#母公司报表'!$2:$2,$C$2)</f>
        <v>0</v>
      </c>
      <c r="H138" s="470">
        <f t="shared" si="79"/>
        <v>0</v>
      </c>
      <c r="I138" s="470">
        <f t="shared" si="80"/>
        <v>0</v>
      </c>
      <c r="J138" s="470"/>
      <c r="K138" s="470"/>
      <c r="L138" s="468">
        <f>SUMIFS('#母公司报表'!55:55,'#母公司报表'!$1:$1,$C$1,'#母公司报表'!$2:$2,"&lt;="&amp;$C$2)</f>
        <v>-212.60142999999999</v>
      </c>
      <c r="M138" s="481">
        <f t="shared" si="78"/>
        <v>-212.60142999999999</v>
      </c>
      <c r="N138" s="482"/>
    </row>
    <row r="139" spans="1:14" s="406" customFormat="1">
      <c r="A139" s="455"/>
      <c r="B139" s="472" t="s">
        <v>160</v>
      </c>
      <c r="C139" s="468">
        <f>'#母公司报表'!B56</f>
        <v>-5725.1867149999998</v>
      </c>
      <c r="D139" s="468">
        <f>D132-D133</f>
        <v>-28372.237821209092</v>
      </c>
      <c r="E139" s="469"/>
      <c r="F139" s="468">
        <f>SUMIFS('#母公司报表'!56:56,'#母公司报表'!$1:$1,$F$1,'#母公司报表'!$2:$2,$F$2)</f>
        <v>1144.9426620000004</v>
      </c>
      <c r="G139" s="468">
        <f>SUMIFS('#母公司报表'!56:56,'#母公司报表'!$1:$1,$C$1,'#母公司报表'!$2:$2,$C$2)</f>
        <v>735.7412949999997</v>
      </c>
      <c r="H139" s="470">
        <f t="shared" si="79"/>
        <v>-409.20136700000069</v>
      </c>
      <c r="I139" s="470">
        <f t="shared" si="80"/>
        <v>3100.094446767424</v>
      </c>
      <c r="J139" s="470"/>
      <c r="K139" s="470"/>
      <c r="L139" s="468">
        <f>SUMIFS('#母公司报表'!56:56,'#母公司报表'!$1:$1,$C$1,'#母公司报表'!$2:$2,"&lt;="&amp;$C$2)</f>
        <v>11240.626602</v>
      </c>
      <c r="M139" s="481">
        <f t="shared" si="78"/>
        <v>30155.451816139393</v>
      </c>
      <c r="N139" s="482"/>
    </row>
    <row r="140" spans="1:14" s="406" customFormat="1">
      <c r="A140" s="455"/>
      <c r="B140" s="473" t="s">
        <v>738</v>
      </c>
      <c r="C140" s="461">
        <f>'#母公司报表'!B57</f>
        <v>-130378.66171400002</v>
      </c>
      <c r="D140" s="461">
        <v>-119401.96</v>
      </c>
      <c r="E140" s="462"/>
      <c r="F140" s="461">
        <f>SUMIFS('#母公司报表'!57:57,'#母公司报表'!$1:$1,$F$1,'#母公司报表'!$2:$2,$F$2)</f>
        <v>-6423.438776</v>
      </c>
      <c r="G140" s="461">
        <f>SUMIFS('#母公司报表'!57:57,'#母公司报表'!$1:$1,$C$1,'#母公司报表'!$2:$2,$C$2)</f>
        <v>-6634.2840340000002</v>
      </c>
      <c r="H140" s="463">
        <f t="shared" si="79"/>
        <v>-210.84525800000029</v>
      </c>
      <c r="I140" s="463">
        <f t="shared" si="80"/>
        <v>3315.8792993333336</v>
      </c>
      <c r="J140" s="463"/>
      <c r="K140" s="463"/>
      <c r="L140" s="461">
        <f>SUMIFS('#母公司报表'!57:57,'#母公司报表'!$1:$1,$C$1,'#母公司报表'!$2:$2,"&lt;="&amp;$C$2)</f>
        <v>-60899.042657000013</v>
      </c>
      <c r="M140" s="477">
        <f t="shared" si="78"/>
        <v>18702.264009666658</v>
      </c>
      <c r="N140" s="478"/>
    </row>
    <row r="141" spans="1:14" s="406" customFormat="1">
      <c r="A141" s="455"/>
      <c r="B141" s="473" t="s">
        <v>765</v>
      </c>
      <c r="C141" s="461">
        <f>'#母公司报表'!B58</f>
        <v>9637.3606129999989</v>
      </c>
      <c r="D141" s="461">
        <v>-4499.9553289062997</v>
      </c>
      <c r="E141" s="462"/>
      <c r="F141" s="461">
        <f>SUMIFS('#母公司报表'!58:58,'#母公司报表'!$1:$1,$F$1,'#母公司报表'!$2:$2,$F$2)</f>
        <v>0</v>
      </c>
      <c r="G141" s="461">
        <f>SUMIFS('#母公司报表'!58:58,'#母公司报表'!$1:$1,$C$1,'#母公司报表'!$2:$2,$C$2)</f>
        <v>54.485793000000008</v>
      </c>
      <c r="H141" s="463">
        <f t="shared" si="79"/>
        <v>54.485793000000008</v>
      </c>
      <c r="I141" s="463">
        <f t="shared" si="80"/>
        <v>429.48207040885831</v>
      </c>
      <c r="J141" s="463"/>
      <c r="K141" s="463"/>
      <c r="L141" s="461">
        <f>SUMIFS('#母公司报表'!58:58,'#母公司报表'!$1:$1,$C$1,'#母公司报表'!$2:$2,"&lt;="&amp;$C$2)</f>
        <v>98.954003000000029</v>
      </c>
      <c r="M141" s="477">
        <f t="shared" si="78"/>
        <v>3098.9242222708663</v>
      </c>
      <c r="N141" s="478"/>
    </row>
    <row r="142" spans="1:14" s="406" customFormat="1">
      <c r="A142" s="455"/>
      <c r="B142" s="473" t="s">
        <v>766</v>
      </c>
      <c r="C142" s="461">
        <f>'#母公司报表'!B59</f>
        <v>-6803.9830489999995</v>
      </c>
      <c r="D142" s="461">
        <v>-6893</v>
      </c>
      <c r="E142" s="462"/>
      <c r="F142" s="461">
        <f>SUMIFS('#母公司报表'!59:59,'#母公司报表'!$1:$1,$F$1,'#母公司报表'!$2:$2,$F$2)</f>
        <v>-462.865658</v>
      </c>
      <c r="G142" s="461">
        <f>SUMIFS('#母公司报表'!59:59,'#母公司报表'!$1:$1,$C$1,'#母公司报表'!$2:$2,$C$2)</f>
        <v>-501.23305499999998</v>
      </c>
      <c r="H142" s="463">
        <f t="shared" si="79"/>
        <v>-38.367396999999983</v>
      </c>
      <c r="I142" s="463">
        <f t="shared" si="80"/>
        <v>73.18361166666665</v>
      </c>
      <c r="J142" s="463"/>
      <c r="K142" s="463"/>
      <c r="L142" s="461">
        <f>SUMIFS('#母公司报表'!59:59,'#母公司报表'!$1:$1,$C$1,'#母公司报表'!$2:$2,"&lt;="&amp;$C$2)</f>
        <v>-4087.3330679999999</v>
      </c>
      <c r="M142" s="477">
        <f t="shared" si="78"/>
        <v>508.00026533333312</v>
      </c>
      <c r="N142" s="478"/>
    </row>
    <row r="143" spans="1:14" s="406" customFormat="1">
      <c r="A143" s="455"/>
      <c r="B143" s="473" t="s">
        <v>767</v>
      </c>
      <c r="C143" s="461">
        <f>'#母公司报表'!B60</f>
        <v>13811.957555000001</v>
      </c>
      <c r="D143" s="461">
        <v>49227</v>
      </c>
      <c r="E143" s="462"/>
      <c r="F143" s="461">
        <f>SUMIFS('#母公司报表'!60:60,'#母公司报表'!$1:$1,$F$1,'#母公司报表'!$2:$2,$F$2)</f>
        <v>6.66</v>
      </c>
      <c r="G143" s="461">
        <f>SUMIFS('#母公司报表'!60:60,'#母公司报表'!$1:$1,$C$1,'#母公司报表'!$2:$2,$C$2)</f>
        <v>9.27</v>
      </c>
      <c r="H143" s="463">
        <f t="shared" si="79"/>
        <v>2.6099999999999994</v>
      </c>
      <c r="I143" s="463">
        <f t="shared" si="80"/>
        <v>-4092.98</v>
      </c>
      <c r="J143" s="463"/>
      <c r="K143" s="463"/>
      <c r="L143" s="461">
        <f>SUMIFS('#母公司报表'!60:60,'#母公司报表'!$1:$1,$C$1,'#母公司报表'!$2:$2,"&lt;="&amp;$C$2)</f>
        <v>249.22186000000002</v>
      </c>
      <c r="M143" s="477">
        <f t="shared" si="78"/>
        <v>-32568.778139999999</v>
      </c>
      <c r="N143" s="478"/>
    </row>
    <row r="144" spans="1:14" s="406" customFormat="1">
      <c r="A144" s="455"/>
      <c r="B144" s="473" t="s">
        <v>768</v>
      </c>
      <c r="C144" s="461">
        <f>'#母公司报表'!B61</f>
        <v>-72023.035335000008</v>
      </c>
      <c r="D144" s="461">
        <v>-5709</v>
      </c>
      <c r="E144" s="462"/>
      <c r="F144" s="461">
        <f>SUMIFS('#母公司报表'!61:61,'#母公司报表'!$1:$1,$F$1,'#母公司报表'!$2:$2,$F$2)</f>
        <v>0</v>
      </c>
      <c r="G144" s="461">
        <f>SUMIFS('#母公司报表'!61:61,'#母公司报表'!$1:$1,$C$1,'#母公司报表'!$2:$2,$C$2)</f>
        <v>-705.78</v>
      </c>
      <c r="H144" s="463">
        <f t="shared" si="79"/>
        <v>-705.78</v>
      </c>
      <c r="I144" s="463">
        <f t="shared" si="80"/>
        <v>-230.02999999999997</v>
      </c>
      <c r="J144" s="463"/>
      <c r="K144" s="463"/>
      <c r="L144" s="461">
        <f>SUMIFS('#母公司报表'!61:61,'#母公司报表'!$1:$1,$C$1,'#母公司报表'!$2:$2,"&lt;="&amp;$C$2)</f>
        <v>-800.373154</v>
      </c>
      <c r="M144" s="477">
        <f t="shared" si="78"/>
        <v>3005.6268460000001</v>
      </c>
      <c r="N144" s="478"/>
    </row>
    <row r="145" spans="1:27" s="406" customFormat="1">
      <c r="A145" s="455"/>
      <c r="B145" s="473" t="s">
        <v>185</v>
      </c>
      <c r="C145" s="461">
        <f>'#母公司报表'!B62</f>
        <v>120934.260144</v>
      </c>
      <c r="D145" s="461">
        <v>96269.905223803697</v>
      </c>
      <c r="E145" s="462"/>
      <c r="F145" s="461">
        <f>SUMIFS('#母公司报表'!62:62,'#母公司报表'!$1:$1,$F$1,'#母公司报表'!$2:$2,$F$2)</f>
        <v>2270.0452829999999</v>
      </c>
      <c r="G145" s="461">
        <f>SUMIFS('#母公司报表'!62:62,'#母公司报表'!$1:$1,$C$1,'#母公司报表'!$2:$2,$C$2)</f>
        <v>6634.2923359999995</v>
      </c>
      <c r="H145" s="463">
        <f t="shared" si="79"/>
        <v>4364.2470529999991</v>
      </c>
      <c r="I145" s="463">
        <f t="shared" si="80"/>
        <v>-1388.1997659836416</v>
      </c>
      <c r="J145" s="463"/>
      <c r="K145" s="463"/>
      <c r="L145" s="461">
        <f>SUMIFS('#母公司报表'!62:62,'#母公司报表'!$1:$1,$C$1,'#母公司报表'!$2:$2,"&lt;="&amp;$C$2)</f>
        <v>100756.451411</v>
      </c>
      <c r="M145" s="477">
        <f t="shared" si="78"/>
        <v>36576.514595130873</v>
      </c>
      <c r="N145" s="478"/>
    </row>
    <row r="146" spans="1:27" s="406" customFormat="1">
      <c r="A146" s="455"/>
      <c r="B146" s="473" t="s">
        <v>769</v>
      </c>
      <c r="C146" s="461">
        <f>'#母公司报表'!B63</f>
        <v>0</v>
      </c>
      <c r="D146" s="461"/>
      <c r="E146" s="462"/>
      <c r="F146" s="461">
        <f>SUMIFS('#母公司报表'!63:63,'#母公司报表'!$1:$1,$F$1,'#母公司报表'!$2:$2,$F$2)</f>
        <v>0</v>
      </c>
      <c r="G146" s="461">
        <f>SUMIFS('#母公司报表'!63:63,'#母公司报表'!$1:$1,$C$1,'#母公司报表'!$2:$2,$C$2)</f>
        <v>0</v>
      </c>
      <c r="H146" s="463">
        <f t="shared" si="79"/>
        <v>0</v>
      </c>
      <c r="I146" s="463">
        <f t="shared" si="80"/>
        <v>0</v>
      </c>
      <c r="J146" s="463"/>
      <c r="K146" s="463"/>
      <c r="L146" s="461">
        <f>SUMIFS('#母公司报表'!63:63,'#母公司报表'!$1:$1,$C$1,'#母公司报表'!$2:$2,"&lt;="&amp;$C$2)</f>
        <v>0</v>
      </c>
      <c r="M146" s="477">
        <f t="shared" si="78"/>
        <v>0</v>
      </c>
      <c r="N146" s="478"/>
    </row>
    <row r="147" spans="1:27" s="406" customFormat="1">
      <c r="A147" s="455"/>
      <c r="B147" s="473" t="s">
        <v>770</v>
      </c>
      <c r="C147" s="461">
        <f>'#母公司报表'!B64</f>
        <v>2860.9117289999999</v>
      </c>
      <c r="D147" s="461">
        <v>2000</v>
      </c>
      <c r="E147" s="462"/>
      <c r="F147" s="461">
        <f>SUMIFS('#母公司报表'!64:64,'#母公司报表'!$1:$1,$F$1,'#母公司报表'!$2:$2,$F$2)</f>
        <v>25</v>
      </c>
      <c r="G147" s="461">
        <f>SUMIFS('#母公司报表'!64:64,'#母公司报表'!$1:$1,$C$1,'#母公司报表'!$2:$2,$C$2)</f>
        <v>814.995407</v>
      </c>
      <c r="H147" s="463">
        <f t="shared" si="79"/>
        <v>789.995407</v>
      </c>
      <c r="I147" s="463">
        <f t="shared" si="80"/>
        <v>648.32874033333337</v>
      </c>
      <c r="J147" s="463"/>
      <c r="K147" s="463"/>
      <c r="L147" s="461">
        <f>SUMIFS('#母公司报表'!64:64,'#母公司报表'!$1:$1,$C$1,'#母公司报表'!$2:$2,"&lt;="&amp;$C$2)</f>
        <v>1102.776323</v>
      </c>
      <c r="M147" s="477">
        <f t="shared" si="78"/>
        <v>-230.55701033333321</v>
      </c>
      <c r="N147" s="478"/>
    </row>
    <row r="148" spans="1:27" s="406" customFormat="1">
      <c r="A148" s="455"/>
      <c r="B148" s="473" t="s">
        <v>771</v>
      </c>
      <c r="C148" s="461">
        <f>'#母公司报表'!B65</f>
        <v>-14821.305737000001</v>
      </c>
      <c r="D148" s="461"/>
      <c r="E148" s="462"/>
      <c r="F148" s="461">
        <f>SUMIFS('#母公司报表'!65:65,'#母公司报表'!$1:$1,$F$1,'#母公司报表'!$2:$2,$F$2)</f>
        <v>0</v>
      </c>
      <c r="G148" s="461">
        <f>SUMIFS('#母公司报表'!65:65,'#母公司报表'!$1:$1,$C$1,'#母公司报表'!$2:$2,$C$2)</f>
        <v>0</v>
      </c>
      <c r="H148" s="463">
        <f t="shared" si="79"/>
        <v>0</v>
      </c>
      <c r="I148" s="463">
        <f t="shared" si="80"/>
        <v>0</v>
      </c>
      <c r="J148" s="463"/>
      <c r="K148" s="463"/>
      <c r="L148" s="461">
        <f>SUMIFS('#母公司报表'!65:65,'#母公司报表'!$1:$1,$C$1,'#母公司报表'!$2:$2,"&lt;="&amp;$C$2)</f>
        <v>0</v>
      </c>
      <c r="M148" s="477">
        <f t="shared" si="78"/>
        <v>0</v>
      </c>
      <c r="N148" s="478"/>
    </row>
    <row r="149" spans="1:27" s="406" customFormat="1">
      <c r="A149" s="455"/>
      <c r="B149" s="473" t="s">
        <v>772</v>
      </c>
      <c r="C149" s="461">
        <f>'#母公司报表'!B66</f>
        <v>34.895372999999999</v>
      </c>
      <c r="D149" s="461"/>
      <c r="E149" s="462"/>
      <c r="F149" s="461">
        <f>SUMIFS('#母公司报表'!66:66,'#母公司报表'!$1:$1,$F$1,'#母公司报表'!$2:$2,$F$2)</f>
        <v>0</v>
      </c>
      <c r="G149" s="461">
        <f>SUMIFS('#母公司报表'!66:66,'#母公司报表'!$1:$1,$C$1,'#母公司报表'!$2:$2,$C$2)</f>
        <v>0</v>
      </c>
      <c r="H149" s="463">
        <f t="shared" si="79"/>
        <v>0</v>
      </c>
      <c r="I149" s="463">
        <f t="shared" si="80"/>
        <v>0</v>
      </c>
      <c r="J149" s="463"/>
      <c r="K149" s="463"/>
      <c r="L149" s="461">
        <f>SUMIFS('#母公司报表'!66:66,'#母公司报表'!$1:$1,$C$1,'#母公司报表'!$2:$2,"&lt;="&amp;$C$2)</f>
        <v>0</v>
      </c>
      <c r="M149" s="477">
        <f t="shared" si="78"/>
        <v>0</v>
      </c>
      <c r="N149" s="478"/>
    </row>
    <row r="150" spans="1:27" s="406" customFormat="1">
      <c r="A150" s="455"/>
      <c r="B150" s="473" t="s">
        <v>773</v>
      </c>
      <c r="C150" s="461">
        <f>'#母公司报表'!B67</f>
        <v>8.3673512563109398E-11</v>
      </c>
      <c r="D150" s="461"/>
      <c r="E150" s="462"/>
      <c r="F150" s="461">
        <f>SUMIFS('#母公司报表'!67:67,'#母公司报表'!$1:$1,$F$1,'#母公司报表'!$2:$2,$F$2)</f>
        <v>1.1823431123048067E-11</v>
      </c>
      <c r="G150" s="461">
        <f>SUMIFS('#母公司报表'!67:67,'#母公司报表'!$1:$1,$C$1,'#母公司报表'!$2:$2,$C$2)</f>
        <v>1.4551915228366852E-11</v>
      </c>
      <c r="H150" s="463">
        <f t="shared" si="79"/>
        <v>2.7284841053187847E-12</v>
      </c>
      <c r="I150" s="463">
        <f t="shared" si="80"/>
        <v>1.4551915228366852E-11</v>
      </c>
      <c r="J150" s="463"/>
      <c r="K150" s="463"/>
      <c r="L150" s="461">
        <f>SUMIFS('#母公司报表'!67:67,'#母公司报表'!$1:$1,$C$1,'#母公司报表'!$2:$2,"&lt;="&amp;$C$2)</f>
        <v>4.9112713895738125E-11</v>
      </c>
      <c r="M150" s="477">
        <f t="shared" si="78"/>
        <v>4.9112713895738125E-11</v>
      </c>
      <c r="N150" s="478"/>
    </row>
    <row r="151" spans="1:27" s="406" customFormat="1">
      <c r="A151" s="455"/>
      <c r="B151" s="483" t="s">
        <v>187</v>
      </c>
      <c r="C151" s="484">
        <f>'#母公司报表'!B68</f>
        <v>4991.53024</v>
      </c>
      <c r="D151" s="484"/>
      <c r="E151" s="485"/>
      <c r="F151" s="484">
        <f>SUMIFS('#母公司报表'!68:68,'#母公司报表'!$1:$1,$F$1,'#母公司报表'!$2:$2,$F$2)</f>
        <v>37037.363642000018</v>
      </c>
      <c r="G151" s="484">
        <f>SUMIFS('#母公司报表'!68:68,'#母公司报表'!$1:$1,$C$1,'#母公司报表'!$2:$2,$C$2)</f>
        <v>37307.991374000027</v>
      </c>
      <c r="H151" s="486">
        <f t="shared" si="79"/>
        <v>270.62773200000811</v>
      </c>
      <c r="I151" s="486">
        <f t="shared" si="80"/>
        <v>37307.991374000027</v>
      </c>
      <c r="J151" s="486"/>
      <c r="K151" s="486"/>
      <c r="L151" s="484">
        <f>SUMIFS('#母公司报表'!68:68,'#母公司报表'!$1:$1,$C$1,'#母公司报表'!$2:$2,"&lt;="&amp;$C$2)</f>
        <v>291798.32407900004</v>
      </c>
      <c r="M151" s="504">
        <f t="shared" si="78"/>
        <v>291798.32407900004</v>
      </c>
      <c r="N151" s="505"/>
    </row>
    <row r="152" spans="1:27" s="406" customFormat="1">
      <c r="A152" s="455"/>
      <c r="B152" s="487" t="s">
        <v>774</v>
      </c>
      <c r="C152" s="488">
        <f>'#母公司报表'!B69</f>
        <v>-115942.72990400001</v>
      </c>
      <c r="D152" s="488"/>
      <c r="E152" s="489"/>
      <c r="F152" s="488">
        <f>SUMIFS('#母公司报表'!69:69,'#母公司报表'!$1:$1,$F$1,'#母公司报表'!$2:$2,$F$2)</f>
        <v>34767.318359000019</v>
      </c>
      <c r="G152" s="488">
        <f>SUMIFS('#母公司报表'!69:69,'#母公司报表'!$1:$1,$C$1,'#母公司报表'!$2:$2,$C$2)</f>
        <v>30673.699038000028</v>
      </c>
      <c r="H152" s="490">
        <f t="shared" si="79"/>
        <v>-4093.619320999991</v>
      </c>
      <c r="I152" s="490">
        <f t="shared" si="80"/>
        <v>30673.699038000028</v>
      </c>
      <c r="J152" s="490"/>
      <c r="K152" s="490"/>
      <c r="L152" s="488">
        <f>SUMIFS('#母公司报表'!69:69,'#母公司报表'!$1:$1,$C$1,'#母公司报表'!$2:$2,"&lt;="&amp;$C$2)</f>
        <v>191041.87266800003</v>
      </c>
      <c r="M152" s="506">
        <f t="shared" si="78"/>
        <v>191041.87266800003</v>
      </c>
      <c r="N152" s="507"/>
    </row>
    <row r="153" spans="1:27">
      <c r="F153" s="413"/>
      <c r="G153" s="156"/>
      <c r="L153" s="491"/>
      <c r="P153" s="406"/>
      <c r="Q153" s="406"/>
      <c r="R153" s="406"/>
      <c r="T153" s="406"/>
      <c r="U153" s="406"/>
      <c r="V153" s="406"/>
      <c r="W153" s="406"/>
      <c r="X153" s="406"/>
      <c r="Y153" s="406"/>
      <c r="Z153" s="406"/>
      <c r="AA153" s="406"/>
    </row>
    <row r="154" spans="1:27">
      <c r="B154" s="411" t="s">
        <v>907</v>
      </c>
      <c r="C154" s="491">
        <v>49595.444644860901</v>
      </c>
      <c r="D154" s="413">
        <f>67640+23000</f>
        <v>90640</v>
      </c>
      <c r="F154" s="491">
        <f>F155+F156</f>
        <v>4898.7883839999995</v>
      </c>
      <c r="G154" s="491">
        <f>G155+G156</f>
        <v>5867.2380219999977</v>
      </c>
      <c r="H154" s="463">
        <f>G154-F154</f>
        <v>968.44963799999823</v>
      </c>
      <c r="L154" s="491">
        <f>L155+L156</f>
        <v>43993.237970000002</v>
      </c>
    </row>
    <row r="155" spans="1:27">
      <c r="B155" s="411" t="s">
        <v>908</v>
      </c>
      <c r="C155" s="491"/>
      <c r="F155" s="491">
        <f>SUMIFS('#母公司报表'!119:119,'#母公司报表'!1:1,F1,'#母公司报表'!2:2,F2)</f>
        <v>-134.88585500000045</v>
      </c>
      <c r="G155" s="491">
        <f>SUMIFS('#母公司报表'!119:119,'#母公司报表'!1:1,C1,'#母公司报表'!2:2,C2)</f>
        <v>-200.28090900000097</v>
      </c>
      <c r="H155" s="463">
        <f t="shared" si="79"/>
        <v>-65.395054000000528</v>
      </c>
      <c r="L155" s="491">
        <f>SUMIFS('#母公司报表'!119:119,'#母公司报表'!1:1,C1,'#母公司报表'!2:2,"&lt;="&amp;C2)</f>
        <v>-345.95337200000176</v>
      </c>
    </row>
    <row r="156" spans="1:27">
      <c r="B156" s="411" t="s">
        <v>909</v>
      </c>
      <c r="C156" s="491"/>
      <c r="F156" s="491">
        <f>SUMIFS('#母公司报表'!118:118,'#母公司报表'!1:1,F1,'#母公司报表'!2:2,F2)</f>
        <v>5033.6742389999999</v>
      </c>
      <c r="G156" s="491">
        <f>SUMIFS('#母公司报表'!118:118,'#母公司报表'!1:1,C1,'#母公司报表'!2:2,C2)</f>
        <v>6067.5189309999987</v>
      </c>
      <c r="H156" s="463">
        <f t="shared" si="79"/>
        <v>1033.8446919999988</v>
      </c>
      <c r="L156" s="491">
        <f>SUMIFS('#母公司报表'!118:118,'#母公司报表'!1:1,C1,'#母公司报表'!2:2,"&lt;="&amp;C2)</f>
        <v>44339.191342000006</v>
      </c>
    </row>
    <row r="157" spans="1:27">
      <c r="B157" s="411" t="s">
        <v>797</v>
      </c>
      <c r="D157" s="156">
        <f>D114*2</f>
        <v>10190.799999999999</v>
      </c>
      <c r="E157" s="492"/>
      <c r="F157" s="156">
        <f>F114*2</f>
        <v>2703.8940219999999</v>
      </c>
      <c r="G157" s="156">
        <f>G114*2</f>
        <v>2414.1981500000002</v>
      </c>
      <c r="H157" s="463">
        <f t="shared" si="79"/>
        <v>-289.69587199999978</v>
      </c>
      <c r="L157" s="156">
        <f>L114*2</f>
        <v>17001.658181999999</v>
      </c>
    </row>
    <row r="158" spans="1:27">
      <c r="B158" s="411" t="s">
        <v>798</v>
      </c>
      <c r="D158" s="156"/>
      <c r="E158" s="492"/>
      <c r="F158" s="156">
        <f>F116*2</f>
        <v>15.885999999999999</v>
      </c>
      <c r="G158" s="156">
        <f>G116*2</f>
        <v>261.64600000000002</v>
      </c>
      <c r="H158" s="463">
        <f t="shared" si="79"/>
        <v>245.76000000000002</v>
      </c>
      <c r="L158" s="156">
        <f>L116*2</f>
        <v>1525.8537059999999</v>
      </c>
    </row>
    <row r="159" spans="1:27">
      <c r="D159" s="156"/>
      <c r="E159" s="492"/>
      <c r="F159" s="156"/>
      <c r="G159" s="156"/>
      <c r="H159" s="463"/>
      <c r="L159" s="156"/>
    </row>
    <row r="160" spans="1:27" s="407" customFormat="1">
      <c r="A160" s="493"/>
      <c r="B160" s="407" t="s">
        <v>910</v>
      </c>
      <c r="C160" s="494"/>
      <c r="D160" s="495"/>
      <c r="E160" s="496"/>
      <c r="F160" s="495">
        <f>SUMIFS('#需填写'!58:58,'#需填写'!$1:$1,$F$1,'#需填写'!$2:$2,$F$2)</f>
        <v>0</v>
      </c>
      <c r="G160" s="495">
        <f>SUMIFS('#需填写'!58:58,'#需填写'!$1:$1,$C$1,'#需填写'!$2:$2,$C$2)</f>
        <v>0</v>
      </c>
      <c r="H160" s="463">
        <f t="shared" si="79"/>
        <v>0</v>
      </c>
      <c r="I160" s="494"/>
      <c r="J160" s="494"/>
      <c r="K160" s="494"/>
      <c r="L160" s="508">
        <f>SUMIFS('#需填写'!58:58,'#需填写'!$1:$1,$C$1,'#需填写'!$2:$2,"&lt;="&amp;$C$2)</f>
        <v>0</v>
      </c>
      <c r="M160" s="494"/>
      <c r="N160" s="509"/>
      <c r="P160" s="411"/>
      <c r="Q160" s="411"/>
      <c r="R160" s="411"/>
      <c r="T160" s="411"/>
      <c r="U160" s="411"/>
      <c r="V160" s="411"/>
      <c r="W160" s="411"/>
      <c r="X160" s="411"/>
      <c r="Y160" s="411"/>
      <c r="Z160" s="411"/>
      <c r="AA160" s="411"/>
    </row>
    <row r="161" spans="1:27" s="407" customFormat="1">
      <c r="A161" s="493"/>
      <c r="B161" s="407" t="s">
        <v>911</v>
      </c>
      <c r="C161" s="494"/>
      <c r="D161" s="495"/>
      <c r="E161" s="496"/>
      <c r="F161" s="495">
        <f>SUMIFS('#需填写'!57:57,'#需填写'!$1:$1,$F$1,'#需填写'!$2:$2,$F$2)</f>
        <v>0</v>
      </c>
      <c r="G161" s="495">
        <f>SUMIFS('#需填写'!57:57,'#需填写'!$1:$1,$C$1,'#需填写'!$2:$2,$C$2)</f>
        <v>0</v>
      </c>
      <c r="H161" s="463">
        <f t="shared" si="79"/>
        <v>0</v>
      </c>
      <c r="I161" s="494"/>
      <c r="J161" s="494"/>
      <c r="K161" s="494"/>
      <c r="L161" s="508">
        <f>SUMIFS('#需填写'!57:57,'#需填写'!$1:$1,$C$1,'#需填写'!$2:$2,"&lt;="&amp;$C$2)</f>
        <v>0</v>
      </c>
      <c r="M161" s="494"/>
      <c r="N161" s="509"/>
    </row>
    <row r="162" spans="1:27" s="408" customFormat="1">
      <c r="A162" s="497"/>
      <c r="C162" s="498"/>
      <c r="D162" s="499"/>
      <c r="E162" s="500"/>
      <c r="F162" s="499"/>
      <c r="G162" s="499"/>
      <c r="H162" s="463"/>
      <c r="I162" s="498"/>
      <c r="J162" s="498"/>
      <c r="K162" s="498"/>
      <c r="L162" s="510"/>
      <c r="M162" s="498"/>
      <c r="N162" s="511"/>
      <c r="P162" s="407"/>
      <c r="Q162" s="407"/>
      <c r="R162" s="407"/>
      <c r="T162" s="407"/>
      <c r="U162" s="407"/>
      <c r="V162" s="407"/>
      <c r="W162" s="407"/>
      <c r="X162" s="407"/>
      <c r="Y162" s="407"/>
      <c r="Z162" s="407"/>
      <c r="AA162" s="407"/>
    </row>
    <row r="163" spans="1:27" s="409" customFormat="1">
      <c r="A163" s="501"/>
      <c r="B163" s="409" t="s">
        <v>912</v>
      </c>
      <c r="C163" s="502"/>
      <c r="D163" s="503"/>
      <c r="E163" s="418"/>
      <c r="F163" s="502"/>
      <c r="G163" s="502"/>
      <c r="H163" s="463"/>
      <c r="I163" s="502"/>
      <c r="J163" s="502"/>
      <c r="K163" s="502"/>
      <c r="L163" s="502"/>
      <c r="M163" s="502"/>
      <c r="N163" s="417"/>
      <c r="P163" s="408"/>
      <c r="Q163" s="408"/>
      <c r="R163" s="408"/>
      <c r="T163" s="408"/>
      <c r="U163" s="408"/>
      <c r="V163" s="408"/>
      <c r="W163" s="408"/>
      <c r="X163" s="408"/>
      <c r="Y163" s="408"/>
      <c r="Z163" s="408"/>
      <c r="AA163" s="408"/>
    </row>
    <row r="164" spans="1:27">
      <c r="A164" s="410" t="s">
        <v>111</v>
      </c>
      <c r="B164" s="411" t="s">
        <v>111</v>
      </c>
      <c r="C164" s="156">
        <v>11845.50174</v>
      </c>
      <c r="D164" s="413">
        <v>24402</v>
      </c>
      <c r="F164" s="156">
        <f>SUMPRODUCT('利润（汇总）'!$C$3:$AAK$67,('利润（汇总）'!$B$3:$B$67=$A164)*('利润（汇总）'!$C$1:$AAK$1=$F$1)*('利润（汇总）'!$C$2:$AAK$2=$F$2))</f>
        <v>65368.601999999999</v>
      </c>
      <c r="G164" s="156">
        <f>SUMPRODUCT('利润（汇总）'!$C$3:$AAK$67,('利润（汇总）'!$B$3:$B$67=$A164)*('利润（汇总）'!$C$1:$AAK$1=$C$1)*('利润（汇总）'!$C$2:$AAK$2=$C$2))</f>
        <v>62470.785720999971</v>
      </c>
      <c r="H164" s="463">
        <f t="shared" si="79"/>
        <v>-2897.8162790000279</v>
      </c>
      <c r="L164" s="491">
        <f>SUMPRODUCT('利润（汇总）'!$C$3:$AAK$67,('利润（汇总）'!$B$3:$B$67=$A164)*('利润（汇总）'!$C$1:$AAK$1=$C$1)*('利润（汇总）'!$C$2:$AAK$2&lt;=$C$2))</f>
        <v>377387.96860900003</v>
      </c>
      <c r="N164" s="512"/>
      <c r="P164" s="409"/>
      <c r="Q164" s="409"/>
      <c r="R164" s="409"/>
      <c r="T164" s="409"/>
      <c r="U164" s="409"/>
      <c r="V164" s="409"/>
      <c r="W164" s="409"/>
      <c r="X164" s="409"/>
      <c r="Y164" s="409"/>
      <c r="Z164" s="409"/>
      <c r="AA164" s="409"/>
    </row>
    <row r="165" spans="1:27">
      <c r="A165" s="410" t="s">
        <v>112</v>
      </c>
      <c r="B165" s="411" t="s">
        <v>112</v>
      </c>
      <c r="C165" s="156">
        <f>SUMPRODUCT('利润（汇总）'!$C$3:$AAK$67,('利润（汇总）'!$B$3:$B$67=$A165)*('利润（汇总）'!$C$1:$AAK$1=$C$1-1)*('利润（汇总）'!$C$2:$AAK$2&lt;=12))</f>
        <v>1606.041256</v>
      </c>
      <c r="D165" s="413">
        <v>4488</v>
      </c>
      <c r="F165" s="156">
        <f>SUMPRODUCT('利润（汇总）'!$C$3:$AAK$67,('利润（汇总）'!$B$3:$B$67=$A165)*('利润（汇总）'!$C$1:$AAK$1=$F$1)*('利润（汇总）'!$C$2:$AAK$2=$F$2))</f>
        <v>-320</v>
      </c>
      <c r="G165" s="156">
        <f>SUMPRODUCT('利润（汇总）'!$C$3:$AAK$67,('利润（汇总）'!$B$3:$B$67=$A165)*('利润（汇总）'!$C$1:$AAK$1=$C$1)*('利润（汇总）'!$C$2:$AAK$2=$C$2))</f>
        <v>-345.42</v>
      </c>
      <c r="H165" s="463">
        <f t="shared" si="79"/>
        <v>-25.420000000000016</v>
      </c>
      <c r="L165" s="491">
        <f>SUMPRODUCT('利润（汇总）'!$C$3:$AAK$67,('利润（汇总）'!$B$3:$B$67=$A165)*('利润（汇总）'!$C$1:$AAK$1=$C$1)*('利润（汇总）'!$C$2:$AAK$2&lt;=$C$2))</f>
        <v>1066.6972350000001</v>
      </c>
      <c r="N165" s="512"/>
    </row>
    <row r="166" spans="1:27">
      <c r="A166" s="410" t="s">
        <v>110</v>
      </c>
      <c r="B166" s="411" t="s">
        <v>110</v>
      </c>
      <c r="C166" s="412">
        <v>7810</v>
      </c>
      <c r="D166" s="156">
        <v>9694.43</v>
      </c>
      <c r="E166" s="492"/>
      <c r="F166" s="156">
        <f>SUMPRODUCT('利润（汇总）'!$C$3:$AAK$67,('利润（汇总）'!$B$3:$B$67=$A166)*('利润（汇总）'!$C$1:$AAK$1=$F$1)*('利润（汇总）'!$C$2:$AAK$2=$F$2))</f>
        <v>2958</v>
      </c>
      <c r="G166" s="156">
        <f>SUMPRODUCT('利润（汇总）'!$C$3:$AAK$67,('利润（汇总）'!$B$3:$B$67=$A166)*('利润（汇总）'!$C$1:$AAK$1=$C$1)*('利润（汇总）'!$C$2:$AAK$2=$C$2))</f>
        <v>1172</v>
      </c>
      <c r="H166" s="463">
        <f t="shared" si="79"/>
        <v>-1786</v>
      </c>
      <c r="L166" s="491">
        <f>SUMPRODUCT('利润（汇总）'!$C$3:$AAK$67,('利润（汇总）'!$B$3:$B$67=$A166)*('利润（汇总）'!$C$1:$AAK$1=$C$1)*('利润（汇总）'!$C$2:$AAK$2&lt;=$C$2))</f>
        <v>32975.398689000001</v>
      </c>
    </row>
    <row r="167" spans="1:27">
      <c r="B167" s="411" t="s">
        <v>790</v>
      </c>
      <c r="C167" s="412">
        <v>47385</v>
      </c>
      <c r="D167" s="156">
        <v>33595.0064750768</v>
      </c>
      <c r="E167" s="492"/>
      <c r="F167" s="498">
        <f>SUMIFS('#母公司报表'!110:110,'#母公司报表'!$1:$1,$F$1,'#母公司报表'!$2:$2,$F$2)</f>
        <v>33287</v>
      </c>
      <c r="G167" s="412">
        <f>SUMIFS('#母公司报表'!110:110,'#母公司报表'!$1:$1,$C$1,'#母公司报表'!$2:$2,$C$2)</f>
        <v>25742</v>
      </c>
      <c r="H167" s="463">
        <f t="shared" si="79"/>
        <v>-7545</v>
      </c>
      <c r="L167" s="491">
        <f>SUMIFS('#母公司报表'!110:110,'#母公司报表'!$1:$1,$C$1,'#母公司报表'!$2:$2,"&lt;="&amp;$C$2)</f>
        <v>175689</v>
      </c>
    </row>
    <row r="168" spans="1:27">
      <c r="B168" s="411" t="s">
        <v>792</v>
      </c>
      <c r="C168" s="412">
        <v>5864</v>
      </c>
      <c r="D168" s="156">
        <v>12937.2893315563</v>
      </c>
      <c r="E168" s="492"/>
      <c r="F168" s="412">
        <f>SUMIFS('#母公司报表'!112:112,'#母公司报表'!$1:$1,$F$1,'#母公司报表'!$2:$2,$F$2)</f>
        <v>572</v>
      </c>
      <c r="G168" s="412">
        <f>SUMIFS('#母公司报表'!112:112,'#母公司报表'!$1:$1,$C$1,'#母公司报表'!$2:$2,$C$2)</f>
        <v>853</v>
      </c>
      <c r="H168" s="463">
        <f t="shared" si="79"/>
        <v>281</v>
      </c>
      <c r="L168" s="491">
        <f>SUMIFS('#母公司报表'!112:112,'#母公司报表'!$1:$1,$C$1,'#母公司报表'!$2:$2,"&lt;="&amp;$C$2)</f>
        <v>7342</v>
      </c>
    </row>
    <row r="169" spans="1:27">
      <c r="B169" s="411" t="s">
        <v>555</v>
      </c>
      <c r="C169" s="412">
        <v>-1097</v>
      </c>
      <c r="D169" s="156">
        <v>1140</v>
      </c>
      <c r="E169" s="492"/>
      <c r="F169" s="412">
        <f>SUMIFS('#母公司报表'!113:113,'#母公司报表'!$1:$1,$F$1,'#母公司报表'!$2:$2,$F$2)</f>
        <v>-336</v>
      </c>
      <c r="G169" s="412">
        <f>SUMIFS('#母公司报表'!113:113,'#母公司报表'!$1:$1,$C$1,'#母公司报表'!$2:$2,$C$2)</f>
        <v>57</v>
      </c>
      <c r="H169" s="463">
        <f t="shared" si="79"/>
        <v>393</v>
      </c>
      <c r="L169" s="491">
        <f>SUMIFS('#母公司报表'!113:113,'#母公司报表'!$1:$1,$C$1,'#母公司报表'!$2:$2,"&lt;="&amp;$C$2)</f>
        <v>632</v>
      </c>
    </row>
    <row r="170" spans="1:27">
      <c r="B170" s="411" t="s">
        <v>64</v>
      </c>
      <c r="C170" s="412">
        <v>12043</v>
      </c>
      <c r="D170" s="156">
        <f>-8879+175*(628-493)</f>
        <v>14746</v>
      </c>
      <c r="E170" s="492"/>
      <c r="F170" s="491">
        <f>SUMIFS('#母公司报表'!114:114,'#母公司报表'!$1:$1,$F$1,'#母公司报表'!$2:$2,$F$2)</f>
        <v>-1889</v>
      </c>
      <c r="G170" s="491">
        <f>SUMIFS('#母公司报表'!114:114,'#母公司报表'!$1:$1,$C$1,'#母公司报表'!$2:$2,$C$2)</f>
        <v>-415</v>
      </c>
      <c r="H170" s="463">
        <f t="shared" si="79"/>
        <v>1474</v>
      </c>
      <c r="L170" s="491">
        <f>SUMIFS('#母公司报表'!114:114,'#母公司报表'!$1:$1,$C$1,'#母公司报表'!$2:$2,"&lt;="&amp;$C$2)</f>
        <v>2865.1059750000004</v>
      </c>
    </row>
    <row r="171" spans="1:27">
      <c r="D171" s="156"/>
      <c r="E171" s="492"/>
      <c r="F171" s="491"/>
      <c r="G171" s="491"/>
      <c r="H171" s="463">
        <f t="shared" si="79"/>
        <v>0</v>
      </c>
      <c r="L171" s="491"/>
    </row>
    <row r="172" spans="1:27">
      <c r="B172" s="411" t="s">
        <v>794</v>
      </c>
      <c r="D172" s="156"/>
      <c r="E172" s="492"/>
      <c r="F172" s="491">
        <f>F85+F103-SUM(F167:F170)</f>
        <v>-5.2647000004071742E-2</v>
      </c>
      <c r="G172" s="491">
        <f>G85+G103-SUM(G167:G170)</f>
        <v>-0.10129500000039116</v>
      </c>
      <c r="H172" s="463"/>
      <c r="L172" s="491">
        <f>L85+L103-SUM(L167:L170)</f>
        <v>-1303.3395120000059</v>
      </c>
    </row>
    <row r="173" spans="1:27">
      <c r="L173" s="491">
        <f>-L114*2-L160+L117</f>
        <v>-17001.658181999999</v>
      </c>
    </row>
    <row r="174" spans="1:27" s="409" customFormat="1">
      <c r="A174" s="501"/>
      <c r="B174" s="409" t="s">
        <v>799</v>
      </c>
      <c r="C174" s="502"/>
      <c r="D174" s="503"/>
      <c r="E174" s="418"/>
      <c r="F174" s="502"/>
      <c r="G174" s="502"/>
      <c r="H174" s="502"/>
      <c r="I174" s="502"/>
      <c r="J174" s="502"/>
      <c r="K174" s="502"/>
      <c r="L174" s="513">
        <f>SUM(L167:L170)+L173</f>
        <v>169526.44779300003</v>
      </c>
      <c r="M174" s="502"/>
      <c r="N174" s="417"/>
      <c r="P174" s="411"/>
      <c r="Q174" s="411"/>
      <c r="R174" s="411"/>
      <c r="T174" s="411"/>
      <c r="U174" s="411"/>
      <c r="V174" s="411"/>
      <c r="W174" s="411"/>
      <c r="X174" s="411"/>
      <c r="Y174" s="411"/>
      <c r="Z174" s="411"/>
      <c r="AA174" s="411"/>
    </row>
    <row r="175" spans="1:27">
      <c r="B175" s="411" t="str">
        <f>'#母公司报表'!A136</f>
        <v>母公司经营利润</v>
      </c>
      <c r="F175" s="491">
        <f>SUMIFS('#母公司报表'!136:136,'#母公司报表'!$1:$1,$F$1,'#母公司报表'!$2:$2,$F$2)</f>
        <v>21912.991643000023</v>
      </c>
      <c r="G175" s="491">
        <f>SUMIFS('#母公司报表'!136:136,'#母公司报表'!$1:$1,$C$1,'#母公司报表'!$2:$2,$C$2)</f>
        <v>19055.048013000029</v>
      </c>
      <c r="H175" s="470"/>
      <c r="P175" s="409"/>
      <c r="Q175" s="409"/>
      <c r="R175" s="409"/>
      <c r="T175" s="409"/>
      <c r="U175" s="409"/>
      <c r="V175" s="409"/>
      <c r="W175" s="409"/>
      <c r="X175" s="409"/>
      <c r="Y175" s="409"/>
      <c r="Z175" s="409"/>
      <c r="AA175" s="409"/>
    </row>
    <row r="176" spans="1:27">
      <c r="B176" s="411" t="str">
        <f>'#母公司报表'!A137</f>
        <v>矿业公司经营利润</v>
      </c>
      <c r="F176" s="491">
        <f>SUMIFS('#母公司报表'!137:137,'#母公司报表'!$1:$1,$F$1,'#母公司报表'!$2:$2,$F$2)</f>
        <v>33813.008362</v>
      </c>
      <c r="G176" s="491">
        <f>SUMIFS('#母公司报表'!137:137,'#母公司报表'!$1:$1,$C$1,'#母公司报表'!$2:$2,$C$2)</f>
        <v>29428.393871999997</v>
      </c>
      <c r="H176" s="470"/>
    </row>
    <row r="177" spans="2:8">
      <c r="B177" s="411" t="str">
        <f>'#母公司报表'!A138</f>
        <v>期间费用</v>
      </c>
      <c r="F177" s="491">
        <f>SUMIFS('#母公司报表'!138:138,'#母公司报表'!$1:$1,$F$1,'#母公司报表'!$2:$2,$F$2)</f>
        <v>-12462.937518000001</v>
      </c>
      <c r="G177" s="491">
        <f>SUMIFS('#母公司报表'!138:138,'#母公司报表'!$1:$1,$C$1,'#母公司报表'!$2:$2,$C$2)</f>
        <v>-10872.419961</v>
      </c>
      <c r="H177" s="470"/>
    </row>
    <row r="178" spans="2:8">
      <c r="B178" s="411" t="s">
        <v>773</v>
      </c>
      <c r="F178" s="491">
        <f>SUMIFS('#母公司报表'!141:141,'#母公司报表'!$1:$1,$F$1,'#母公司报表'!$2:$2,$F$2)</f>
        <v>12288.554459000006</v>
      </c>
      <c r="G178" s="491">
        <f>SUMIFS('#母公司报表'!141:141,'#母公司报表'!$1:$1,$C$1,'#母公司报表'!$2:$2,$C$2)</f>
        <v>11389.820478999998</v>
      </c>
      <c r="H178" s="470"/>
    </row>
    <row r="180" spans="2:8">
      <c r="B180" s="411" t="str">
        <f>'#母公司报表'!A139</f>
        <v>管理费用</v>
      </c>
      <c r="F180" s="491">
        <f>SUMIFS('#母公司报表'!139:139,'#母公司报表'!$1:$1,$F$1,'#母公司报表'!$2:$2,$F$2)</f>
        <v>-6039.4987420000007</v>
      </c>
      <c r="G180" s="491">
        <f>SUMIFS('#母公司报表'!139:139,'#母公司报表'!$1:$1,$C$1,'#母公司报表'!$2:$2,$C$2)</f>
        <v>-4292.6217200000001</v>
      </c>
      <c r="H180" s="470"/>
    </row>
    <row r="181" spans="2:8">
      <c r="B181" s="411" t="str">
        <f>'#母公司报表'!A140</f>
        <v>财务费用+汇兑+公允</v>
      </c>
      <c r="F181" s="491">
        <f>SUMIFS('#母公司报表'!140:140,'#母公司报表'!$1:$1,$F$1,'#母公司报表'!$2:$2,$F$2)</f>
        <v>-6423.438776</v>
      </c>
      <c r="G181" s="491">
        <f>SUMIFS('#母公司报表'!140:140,'#母公司报表'!$1:$1,$C$1,'#母公司报表'!$2:$2,$C$2)</f>
        <v>-6579.7982410000004</v>
      </c>
      <c r="H181" s="470"/>
    </row>
  </sheetData>
  <customSheetViews>
    <customSheetView guid="{1683F931-F47D-47C0-A395-D48080DC7EE6}" showPageBreaks="1" hiddenRows="1" topLeftCell="D1">
      <selection activeCell="O37" sqref="O37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 hiddenRows="1">
      <pane xSplit="3" ySplit="4" topLeftCell="D5" activePane="bottomRight" state="frozen"/>
      <selection pane="bottomRight" activeCell="L82" sqref="L82"/>
      <pageMargins left="0.69930555555555596" right="0.69930555555555596" top="0.75" bottom="0.75" header="0.3" footer="0.3"/>
    </customSheetView>
    <customSheetView guid="{849C46E5-4ED4-41B9-BDA9-A6465B9DA9C2}" hiddenRows="1" hiddenColumns="1">
      <pane xSplit="3" ySplit="3" topLeftCell="D62" activePane="bottomRight" state="frozen"/>
      <selection pane="bottomRight" activeCell="G80" sqref="G80"/>
      <pageMargins left="0.69930555555555596" right="0.69930555555555596" top="0.75" bottom="0.75" header="0.3" footer="0.3"/>
    </customSheetView>
    <customSheetView guid="{8C09BCDE-4B8A-4469-B3F2-7F4528A2E78D}" hiddenRows="1" hiddenColumns="1">
      <pane xSplit="3" ySplit="3" topLeftCell="D62" activePane="bottomRight" state="frozen"/>
      <selection pane="bottomRight" activeCell="G80" sqref="G80"/>
      <pageMargins left="0.69930555555555596" right="0.69930555555555596" top="0.75" bottom="0.75" header="0.3" footer="0.3"/>
    </customSheetView>
    <customSheetView guid="{F4EB51F4-FD23-4D5B-8072-1AF5D59D6686}" hiddenRows="1" hiddenColumns="1">
      <pane xSplit="2" ySplit="3" topLeftCell="D82" activePane="bottomRight" state="frozen"/>
      <selection pane="bottomRight" activeCell="D23" sqref="D23"/>
      <pageMargins left="0.69930555555555596" right="0.69930555555555596" top="0.75" bottom="0.75" header="0.3" footer="0.3"/>
    </customSheetView>
    <customSheetView guid="{D7BCFB76-2797-401D-A6F1-E020B5162DD4}" hiddenRows="1" hiddenColumns="1">
      <pane xSplit="3" ySplit="4" topLeftCell="D5" activePane="bottomRight" state="frozen"/>
      <selection pane="bottomRight" activeCell="A9" sqref="A9:XFD16"/>
      <pageMargins left="0.69930555555555596" right="0.69930555555555596" top="0.75" bottom="0.75" header="0.3" footer="0.3"/>
      <pageSetup paperSize="9" orientation="portrait" r:id="rId2"/>
    </customSheetView>
    <customSheetView guid="{C9A88430-3808-49F4-8D86-BF8C70C55441}" hiddenRows="1" topLeftCell="A73">
      <selection activeCell="G82" sqref="G82"/>
      <pageMargins left="0.69930555555555596" right="0.69930555555555596" top="0.75" bottom="0.75" header="0.3" footer="0.3"/>
    </customSheetView>
    <customSheetView guid="{E61FFED3-723E-484A-93A0-94E1A801AF06}" hiddenRows="1">
      <pane xSplit="2" ySplit="4" topLeftCell="D59" activePane="bottomRight" state="frozen"/>
      <selection pane="bottomRight" activeCell="G77" sqref="G77"/>
      <pageMargins left="0.69930555555555596" right="0.69930555555555596" top="0.75" bottom="0.75" header="0.3" footer="0.3"/>
    </customSheetView>
    <customSheetView guid="{6B5CCA07-2BDD-4B8E-9E3C-2111BBA97430}" hiddenRows="1" hiddenColumns="1">
      <pane xSplit="3" ySplit="4" topLeftCell="O5" activePane="bottomRight" state="frozen"/>
      <selection pane="bottomRight" activeCell="U22" sqref="U22"/>
      <pageMargins left="0.69930555555555596" right="0.69930555555555596" top="0.75" bottom="0.75" header="0.3" footer="0.3"/>
      <pageSetup paperSize="9" orientation="portrait" r:id="rId3"/>
    </customSheetView>
    <customSheetView guid="{2F47A827-9643-4D8A-AC5D-6B09D79AACF9}" hiddenRows="1" hiddenColumns="1">
      <pane xSplit="3" ySplit="4" topLeftCell="D39" activePane="bottomRight" state="frozen"/>
      <selection pane="bottomRight" activeCell="O75" sqref="O75"/>
      <pageMargins left="0.69930555555555596" right="0.69930555555555596" top="0.75" bottom="0.75" header="0.3" footer="0.3"/>
    </customSheetView>
    <customSheetView guid="{B37168A1-DBAB-4BDE-9F92-6261DCDF3D92}" hiddenRows="1" hiddenColumns="1">
      <pane xSplit="3" ySplit="3" topLeftCell="D134" activePane="bottomRight" state="frozen"/>
      <selection pane="bottomRight" activeCell="B4" sqref="B4:L83"/>
      <pageMargins left="0.69930555555555596" right="0.69930555555555596" top="0.75" bottom="0.75" header="0.3" footer="0.3"/>
    </customSheetView>
    <customSheetView guid="{AE0DD889-C13C-4059-8024-0F5B234827E9}" hiddenRows="1" hiddenColumns="1" topLeftCell="A31">
      <selection activeCell="C2" sqref="C2"/>
      <pageMargins left="0.69930555555555596" right="0.69930555555555596" top="0.75" bottom="0.75" header="0.3" footer="0.3"/>
    </customSheetView>
    <customSheetView guid="{CCBBD9B0-4191-4D7A-9F7B-BAC044A49153}" hiddenRows="1" hiddenColumns="1">
      <pane xSplit="3" ySplit="3" topLeftCell="D37" state="frozen"/>
      <selection activeCell="H65" sqref="H65"/>
      <pageMargins left="0.69930555555555596" right="0.69930555555555596" top="0.75" bottom="0.75" header="0.3" footer="0.3"/>
    </customSheetView>
    <customSheetView guid="{F5F9735B-EE22-4AC6-B5AB-C856ED6C133D}" hiddenRows="1" hiddenColumns="1">
      <pane xSplit="2" ySplit="3" topLeftCell="D4" state="frozen"/>
      <selection activeCell="P27" sqref="P27"/>
      <pageMargins left="0.69930555555555596" right="0.69930555555555596" top="0.75" bottom="0.75" header="0.3" footer="0.3"/>
    </customSheetView>
    <customSheetView guid="{45B4C0D1-53B6-4553-BFF9-393760B8E0CE}" hiddenRows="1" hiddenColumns="1">
      <pane xSplit="2" ySplit="4" topLeftCell="F26" state="frozen"/>
      <selection activeCell="B39" sqref="B39"/>
      <pageMargins left="0.69930555555555596" right="0.69930555555555596" top="0.75" bottom="0.75" header="0.3" footer="0.3"/>
    </customSheetView>
    <customSheetView guid="{1BBD1596-143E-4714-99EF-E3545231CCD1}" hiddenRows="1">
      <pane xSplit="2" ySplit="4" topLeftCell="C5" state="frozen"/>
      <selection activeCell="D20" sqref="D20"/>
      <pageMargins left="0.69930555555555596" right="0.69930555555555596" top="0.75" bottom="0.75" header="0.3" footer="0.3"/>
    </customSheetView>
    <customSheetView guid="{A8456D60-99BA-4794-8966-0CBA0A37EA6F}" hiddenRows="1" hiddenColumns="1">
      <pane xSplit="2" ySplit="4" topLeftCell="C151" state="frozen"/>
      <selection activeCell="F23" sqref="F23"/>
      <pageMargins left="0.69930555555555596" right="0.69930555555555596" top="0.75" bottom="0.75" header="0.3" footer="0.3"/>
    </customSheetView>
    <customSheetView guid="{500C3980-ED13-4C97-96B1-955D50509B66}" hiddenRows="1" hiddenColumns="1" topLeftCell="A46">
      <selection activeCell="J152" sqref="J152"/>
      <pageMargins left="0.69930555555555596" right="0.69930555555555596" top="0.75" bottom="0.75" header="0.3" footer="0.3"/>
    </customSheetView>
    <customSheetView guid="{3B943BAF-34C7-494A-A071-85DE0891E5A1}" hiddenRows="1" hiddenColumns="1">
      <pane xSplit="3" ySplit="3" topLeftCell="D19" state="frozen"/>
      <selection activeCell="G10" sqref="G10"/>
      <pageMargins left="0.69930555555555596" right="0.69930555555555596" top="0.75" bottom="0.75" header="0.3" footer="0.3"/>
    </customSheetView>
    <customSheetView guid="{EEE4B3DA-ADF6-49CC-9873-068FE5927B92}" hiddenRows="1" hiddenColumns="1">
      <pane xSplit="3" ySplit="4" topLeftCell="D39" state="frozen"/>
      <selection activeCell="O75" sqref="O75"/>
      <pageMargins left="0.69930555555555596" right="0.69930555555555596" top="0.75" bottom="0.75" header="0.3" footer="0.3"/>
    </customSheetView>
    <customSheetView guid="{C52D0F53-4D1D-4D01-B833-260359FD02A5}" hiddenRows="1" hiddenColumns="1">
      <pane xSplit="3" ySplit="3" topLeftCell="D43" activePane="bottomRight" state="frozen"/>
      <selection pane="bottomRight" activeCell="L83" sqref="L83"/>
      <pageMargins left="0.69930555555555596" right="0.69930555555555596" top="0.75" bottom="0.75" header="0.3" footer="0.3"/>
    </customSheetView>
    <customSheetView guid="{6A1E79C9-91E3-4EEA-8ABB-4446083299EC}" hiddenRows="1">
      <selection activeCell="P22" sqref="P22"/>
      <pageMargins left="0.69930555555555596" right="0.69930555555555596" top="0.75" bottom="0.75" header="0.3" footer="0.3"/>
    </customSheetView>
    <customSheetView guid="{8B80B510-C931-46B1-8591-DEA916D76593}" hiddenRows="1">
      <pane xSplit="3" ySplit="3" topLeftCell="D88" activePane="bottomRight" state="frozen"/>
      <selection pane="bottomRight" activeCell="X116" sqref="X116"/>
      <pageMargins left="0.69930555555555596" right="0.69930555555555596" top="0.75" bottom="0.75" header="0.3" footer="0.3"/>
    </customSheetView>
    <customSheetView guid="{303A9D89-611D-4504-BCAA-071C53B021F7}" hiddenRows="1">
      <pane xSplit="2" ySplit="4" topLeftCell="D99" activePane="bottomRight" state="frozen"/>
      <selection pane="bottomRight" activeCell="G10" sqref="G10"/>
      <pageMargins left="0.69930555555555596" right="0.69930555555555596" top="0.75" bottom="0.75" header="0.3" footer="0.3"/>
    </customSheetView>
    <customSheetView guid="{4583A87D-5DFF-47BD-849A-FA4AAF2B9CE3}" hiddenRows="1">
      <pane xSplit="3" ySplit="3" topLeftCell="D19" activePane="bottomRight" state="frozen"/>
      <selection pane="bottomRight" activeCell="G10" sqref="G10"/>
      <pageMargins left="0.69930555555555596" right="0.69930555555555596" top="0.75" bottom="0.75" header="0.3" footer="0.3"/>
    </customSheetView>
    <customSheetView guid="{EA856AC2-CDFF-46B6-B0C4-30449DF132F4}" hiddenRows="1">
      <pane xSplit="3" ySplit="4" topLeftCell="D5" activePane="bottomRight" state="frozen"/>
      <selection pane="bottomRight" activeCell="G5" activeCellId="1" sqref="G9 G5"/>
      <pageMargins left="0.69930555555555596" right="0.69930555555555596" top="0.75" bottom="0.75" header="0.3" footer="0.3"/>
    </customSheetView>
    <customSheetView guid="{322A45A6-8B26-49B8-A4D9-EFB3C94A758D}" hiddenRows="1" topLeftCell="A27">
      <selection activeCell="G120" sqref="G120"/>
      <pageMargins left="0.69930555555555596" right="0.69930555555555596" top="0.75" bottom="0.75" header="0.3" footer="0.3"/>
      <pageSetup paperSize="9" orientation="portrait" r:id="rId4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14485-6CCA-4F29-B075-6454727A17A8}">
  <dimension ref="A1:AG101"/>
  <sheetViews>
    <sheetView topLeftCell="A43" zoomScaleNormal="85" workbookViewId="0">
      <selection activeCell="P63" sqref="P63"/>
    </sheetView>
  </sheetViews>
  <sheetFormatPr defaultColWidth="9" defaultRowHeight="14.25"/>
  <cols>
    <col min="1" max="1" width="9" style="2265"/>
    <col min="2" max="2" width="8.5" style="2282" customWidth="1"/>
    <col min="3" max="3" width="20" style="2265" customWidth="1"/>
    <col min="4" max="4" width="12.75" style="2264" hidden="1" customWidth="1"/>
    <col min="5" max="5" width="11.625" style="2264" customWidth="1"/>
    <col min="6" max="6" width="12.875" style="2264" customWidth="1"/>
    <col min="7" max="7" width="11.75" style="2264" customWidth="1"/>
    <col min="8" max="8" width="13.125" style="2264" customWidth="1"/>
    <col min="9" max="9" width="16.25" style="2264" customWidth="1"/>
    <col min="10" max="10" width="11" style="2264" customWidth="1"/>
    <col min="11" max="11" width="11" style="2307" customWidth="1"/>
    <col min="12" max="12" width="11.75" style="2307" customWidth="1"/>
    <col min="13" max="13" width="13.375" style="2264" customWidth="1"/>
    <col min="14" max="14" width="11.625" style="2264" customWidth="1"/>
    <col min="15" max="15" width="12.125" style="2264" customWidth="1"/>
    <col min="16" max="16" width="9" style="2265"/>
    <col min="17" max="17" width="24" style="2265" customWidth="1"/>
    <col min="18" max="18" width="10.25" style="2264" customWidth="1"/>
    <col min="19" max="19" width="10.125" style="2265" customWidth="1"/>
    <col min="20" max="20" width="16.5" style="2265" customWidth="1"/>
    <col min="21" max="21" width="10.75" style="2265" customWidth="1"/>
    <col min="22" max="22" width="10.375" style="2265" customWidth="1"/>
    <col min="23" max="23" width="13" style="2265" customWidth="1"/>
    <col min="24" max="24" width="17.75" style="2265" bestFit="1" customWidth="1"/>
    <col min="25" max="26" width="10.75" style="2265" bestFit="1" customWidth="1"/>
    <col min="27" max="27" width="11.875" style="2265" customWidth="1"/>
    <col min="28" max="28" width="10.75" style="2265" bestFit="1" customWidth="1"/>
    <col min="29" max="29" width="13.625" style="2265" customWidth="1"/>
    <col min="30" max="30" width="10.75" style="2265" bestFit="1" customWidth="1"/>
    <col min="31" max="16384" width="9" style="2265"/>
  </cols>
  <sheetData>
    <row r="1" spans="1:30">
      <c r="A1" s="153">
        <f>'@预测#概况#'!B1</f>
        <v>2021</v>
      </c>
      <c r="B1" s="153">
        <f>IF(A2=1,A1-1,A1)</f>
        <v>2021</v>
      </c>
    </row>
    <row r="2" spans="1:30">
      <c r="A2" s="153">
        <v>8</v>
      </c>
      <c r="B2" s="153">
        <f>IF(A2=1,12,A2-1)</f>
        <v>7</v>
      </c>
    </row>
    <row r="3" spans="1:30">
      <c r="Q3" s="2317" t="s">
        <v>1479</v>
      </c>
      <c r="W3" s="2519" t="str">
        <f>$A$2&amp;"月份太钢集团（管理口径）汇总利润"&amp;ROUND(Z23/10000,2)&amp;"亿元，比上月"&amp;IF(AA23&gt;0,"增加","减少")&amp;ABS(ROUND(AA23/10000,2))&amp;"亿元，其中太钢本部汇总利润"&amp;ROUND(Z24/10000,2)&amp;"亿元，比上月"&amp;IF(AA24&gt;0,"增加","减少")&amp;ABS(ROUND(AA24/10000,2))&amp;"亿元。"</f>
        <v>8月份太钢集团（管理口径）汇总利润21.31亿元，比上月减少0.5亿元，其中太钢本部汇总利润20.57亿元，比上月减少1.33亿元。</v>
      </c>
    </row>
    <row r="4" spans="1:30" s="2252" customFormat="1" ht="32.25" customHeight="1">
      <c r="B4" s="2635" t="s">
        <v>103</v>
      </c>
      <c r="C4" s="2636"/>
      <c r="D4" s="2249" t="s">
        <v>58</v>
      </c>
      <c r="E4" s="2249" t="str">
        <f>B2&amp;"月利润"</f>
        <v>7月利润</v>
      </c>
      <c r="F4" s="2249" t="str">
        <f>A2&amp;"月利润"</f>
        <v>8月利润</v>
      </c>
      <c r="G4" s="2249" t="s">
        <v>7</v>
      </c>
      <c r="H4" s="2250" t="s">
        <v>1429</v>
      </c>
      <c r="I4" s="2251" t="s">
        <v>1430</v>
      </c>
      <c r="J4" s="2549" t="s">
        <v>5</v>
      </c>
      <c r="K4" s="2578" t="s">
        <v>1102</v>
      </c>
      <c r="L4" s="2525"/>
      <c r="Q4" s="2318" t="s">
        <v>1480</v>
      </c>
      <c r="W4" s="2637" t="s">
        <v>103</v>
      </c>
      <c r="X4" s="2637"/>
      <c r="Y4" s="2319" t="str">
        <f>$B$2&amp;"月利润"</f>
        <v>7月利润</v>
      </c>
      <c r="Z4" s="2319" t="str">
        <f>$A$2&amp;"月利润"</f>
        <v>8月利润</v>
      </c>
      <c r="AA4" s="2319" t="s">
        <v>7</v>
      </c>
      <c r="AB4" s="2320" t="s">
        <v>1429</v>
      </c>
      <c r="AC4" s="2321" t="s">
        <v>1430</v>
      </c>
      <c r="AD4" s="2319" t="s">
        <v>5</v>
      </c>
    </row>
    <row r="5" spans="1:30" s="2258" customFormat="1" ht="14.25" customHeight="1">
      <c r="B5" s="2638" t="s">
        <v>1431</v>
      </c>
      <c r="C5" s="2253" t="s">
        <v>1432</v>
      </c>
      <c r="D5" s="2254">
        <f>SUM(D6:D8)</f>
        <v>262100</v>
      </c>
      <c r="E5" s="2254">
        <f>SUM(E6:E8)</f>
        <v>104048.417</v>
      </c>
      <c r="F5" s="2254">
        <f t="shared" ref="F5:H5" si="0">SUM(F6:F8)</f>
        <v>95185.867094999994</v>
      </c>
      <c r="G5" s="2255">
        <f t="shared" si="0"/>
        <v>-8862.5499050000017</v>
      </c>
      <c r="H5" s="2255">
        <f t="shared" si="0"/>
        <v>17177.73</v>
      </c>
      <c r="I5" s="2255">
        <f>G5-H5</f>
        <v>-26040.279905000003</v>
      </c>
      <c r="J5" s="2550">
        <f>SUM(J6:J8)</f>
        <v>806225.68434399995</v>
      </c>
      <c r="K5" s="2579">
        <f>F5-'@预测#利润分析#'!F5</f>
        <v>13696.867094999994</v>
      </c>
      <c r="L5" s="2554"/>
      <c r="M5" s="2256" t="str">
        <f>IF(I5&gt;0,"增加","减少")</f>
        <v>减少</v>
      </c>
      <c r="N5" s="2295">
        <f>SUM(N6:N8)</f>
        <v>154509.92860000001</v>
      </c>
      <c r="O5" s="2257">
        <f t="shared" ref="O5:O23" si="1">F5+N5-J5</f>
        <v>-556529.88864899997</v>
      </c>
      <c r="R5" s="2252"/>
      <c r="W5" s="2641" t="s">
        <v>1431</v>
      </c>
      <c r="X5" s="2322" t="s">
        <v>1432</v>
      </c>
      <c r="Y5" s="2323">
        <f t="shared" ref="Y5:Y11" si="2">E5</f>
        <v>104048.417</v>
      </c>
      <c r="Z5" s="2323">
        <f t="shared" ref="Z5:AD11" si="3">F5</f>
        <v>95185.867094999994</v>
      </c>
      <c r="AA5" s="2324">
        <f t="shared" si="3"/>
        <v>-8862.5499050000017</v>
      </c>
      <c r="AB5" s="2324">
        <f t="shared" si="3"/>
        <v>17177.73</v>
      </c>
      <c r="AC5" s="2324">
        <f t="shared" si="3"/>
        <v>-26040.279905000003</v>
      </c>
      <c r="AD5" s="2323">
        <f t="shared" si="3"/>
        <v>806225.68434399995</v>
      </c>
    </row>
    <row r="6" spans="1:30">
      <c r="B6" s="2639"/>
      <c r="C6" s="2259" t="s">
        <v>46</v>
      </c>
      <c r="D6" s="2260">
        <v>240000</v>
      </c>
      <c r="E6" s="2260">
        <f>SUMIFS('利润（汇总）'!7:7,'利润（汇总）'!$1:$1,$B$1,'利润（汇总）'!$2:$2,$B$2)</f>
        <v>104942</v>
      </c>
      <c r="F6" s="2260">
        <f>SUMIFS('利润（汇总）'!7:7,'利润（汇总）'!$1:$1,$A$1,'利润（汇总）'!$2:$2,$A$2)</f>
        <v>87793</v>
      </c>
      <c r="G6" s="2261">
        <f>F6-E6</f>
        <v>-17149</v>
      </c>
      <c r="H6" s="2261">
        <f>-U21</f>
        <v>17177.73</v>
      </c>
      <c r="I6" s="2262">
        <f t="shared" ref="I6:I65" si="4">G6-H6</f>
        <v>-34326.729999999996</v>
      </c>
      <c r="J6" s="2551">
        <f>SUMIFS('利润（汇总）'!7:7,'利润（汇总）'!$1:$1,$A$1,'利润（汇总）'!$2:$2,"&lt;="&amp;$A$2)</f>
        <v>771572</v>
      </c>
      <c r="K6" s="2580">
        <f>F6-'@预测#利润分析#'!F6</f>
        <v>9332</v>
      </c>
      <c r="L6" s="2555"/>
      <c r="M6" s="2256" t="str">
        <f t="shared" ref="M6:M9" si="5">IF(I6&gt;0,"增加","减少")</f>
        <v>减少</v>
      </c>
      <c r="N6" s="2264">
        <v>145501</v>
      </c>
      <c r="O6" s="2264">
        <f t="shared" si="1"/>
        <v>-538278</v>
      </c>
      <c r="W6" s="2641"/>
      <c r="X6" s="2325" t="s">
        <v>46</v>
      </c>
      <c r="Y6" s="2326">
        <f t="shared" si="2"/>
        <v>104942</v>
      </c>
      <c r="Z6" s="2326">
        <f t="shared" si="3"/>
        <v>87793</v>
      </c>
      <c r="AA6" s="2327">
        <f t="shared" si="3"/>
        <v>-17149</v>
      </c>
      <c r="AB6" s="2327">
        <f t="shared" si="3"/>
        <v>17177.73</v>
      </c>
      <c r="AC6" s="2328">
        <f t="shared" si="3"/>
        <v>-34326.729999999996</v>
      </c>
      <c r="AD6" s="2326">
        <f t="shared" si="3"/>
        <v>771572</v>
      </c>
    </row>
    <row r="7" spans="1:30">
      <c r="B7" s="2639"/>
      <c r="C7" s="2259" t="s">
        <v>1233</v>
      </c>
      <c r="D7" s="2260">
        <v>100</v>
      </c>
      <c r="E7" s="2260">
        <f>SUMIFS('利润（汇总）'!8:8,'利润（汇总）'!$1:$1,$B$1,'利润（汇总）'!$2:$2,$B$2)</f>
        <v>-4419.5829999999996</v>
      </c>
      <c r="F7" s="2260">
        <f>SUMIFS('利润（汇总）'!8:8,'利润（汇总）'!$1:$1,$A$1,'利润（汇总）'!$2:$2,$A$2)</f>
        <v>1831.02878099999</v>
      </c>
      <c r="G7" s="2261">
        <f>F7-E7</f>
        <v>6250.6117809999896</v>
      </c>
      <c r="H7" s="2261"/>
      <c r="I7" s="2262">
        <f t="shared" si="4"/>
        <v>6250.6117809999896</v>
      </c>
      <c r="J7" s="2551">
        <f>SUMIFS('利润（汇总）'!8:8,'利润（汇总）'!$1:$1,$A$1,'利润（汇总）'!$2:$2,"&lt;="&amp;$A$2)</f>
        <v>3509.3142199999756</v>
      </c>
      <c r="K7" s="2580">
        <f>F7-'@预测#利润分析#'!F7</f>
        <v>803.02878099998998</v>
      </c>
      <c r="L7" s="2555"/>
      <c r="M7" s="2256" t="str">
        <f t="shared" si="5"/>
        <v>增加</v>
      </c>
      <c r="N7" s="2263">
        <v>2978.4286000000002</v>
      </c>
      <c r="O7" s="2263">
        <f t="shared" si="1"/>
        <v>1300.1431610000145</v>
      </c>
      <c r="W7" s="2641"/>
      <c r="X7" s="2325" t="s">
        <v>1233</v>
      </c>
      <c r="Y7" s="2326">
        <f t="shared" si="2"/>
        <v>-4419.5829999999996</v>
      </c>
      <c r="Z7" s="2326">
        <f t="shared" si="3"/>
        <v>1831.02878099999</v>
      </c>
      <c r="AA7" s="2327">
        <f t="shared" si="3"/>
        <v>6250.6117809999896</v>
      </c>
      <c r="AB7" s="2329">
        <f t="shared" si="3"/>
        <v>0</v>
      </c>
      <c r="AC7" s="2328">
        <f t="shared" si="3"/>
        <v>6250.6117809999896</v>
      </c>
      <c r="AD7" s="2326">
        <f t="shared" si="3"/>
        <v>3509.3142199999756</v>
      </c>
    </row>
    <row r="8" spans="1:30">
      <c r="B8" s="2639"/>
      <c r="C8" s="2259" t="s">
        <v>1234</v>
      </c>
      <c r="D8" s="2260">
        <v>22000</v>
      </c>
      <c r="E8" s="2260">
        <f>SUMIFS('利润（汇总）'!9:9,'利润（汇总）'!$1:$1,$B$1,'利润（汇总）'!$2:$2,$B$2)</f>
        <v>3526</v>
      </c>
      <c r="F8" s="2260">
        <f>SUMIFS('利润（汇总）'!9:9,'利润（汇总）'!$1:$1,$B$1,'利润（汇总）'!$2:$2,$A$2)</f>
        <v>5561.8383140000096</v>
      </c>
      <c r="G8" s="2261">
        <f>F8-E8</f>
        <v>2035.8383140000096</v>
      </c>
      <c r="H8" s="2261"/>
      <c r="I8" s="2262">
        <f t="shared" si="4"/>
        <v>2035.8383140000096</v>
      </c>
      <c r="J8" s="2551">
        <f>SUMIFS('利润（汇总）'!9:9,'利润（汇总）'!$1:$1,$B$1,'利润（汇总）'!$2:$2,"&lt;="&amp;$A$2)</f>
        <v>31144.370124000008</v>
      </c>
      <c r="K8" s="2580">
        <f>F8-'@预测#利润分析#'!F8</f>
        <v>3561.8383140000096</v>
      </c>
      <c r="L8" s="2555"/>
      <c r="M8" s="2256" t="str">
        <f t="shared" si="5"/>
        <v>增加</v>
      </c>
      <c r="N8" s="2263">
        <v>6030.5</v>
      </c>
      <c r="O8" s="2263">
        <f t="shared" si="1"/>
        <v>-19552.03181</v>
      </c>
      <c r="W8" s="2641"/>
      <c r="X8" s="2325" t="s">
        <v>1234</v>
      </c>
      <c r="Y8" s="2326">
        <f t="shared" si="2"/>
        <v>3526</v>
      </c>
      <c r="Z8" s="2326">
        <f t="shared" si="3"/>
        <v>5561.8383140000096</v>
      </c>
      <c r="AA8" s="2327">
        <f t="shared" si="3"/>
        <v>2035.8383140000096</v>
      </c>
      <c r="AB8" s="2329">
        <f t="shared" si="3"/>
        <v>0</v>
      </c>
      <c r="AC8" s="2328">
        <f t="shared" si="3"/>
        <v>2035.8383140000096</v>
      </c>
      <c r="AD8" s="2326">
        <f t="shared" si="3"/>
        <v>31144.370124000008</v>
      </c>
    </row>
    <row r="9" spans="1:30">
      <c r="B9" s="2639"/>
      <c r="C9" s="2253" t="s">
        <v>1114</v>
      </c>
      <c r="D9" s="2254">
        <f>SUM(D10:D22)</f>
        <v>709737.92301135336</v>
      </c>
      <c r="E9" s="2254">
        <f>E10+E11+E17+E22</f>
        <v>114697.81872499999</v>
      </c>
      <c r="F9" s="2254">
        <f>F10+F11+F17+F22</f>
        <v>104736.98091299998</v>
      </c>
      <c r="G9" s="2255">
        <f t="shared" ref="G9" si="6">G10+G11+G17+G22</f>
        <v>-9960.8378120000107</v>
      </c>
      <c r="H9" s="2255">
        <f>H10+H11+H17+H22</f>
        <v>-17177.73</v>
      </c>
      <c r="I9" s="2255">
        <f t="shared" si="4"/>
        <v>7216.8921879999889</v>
      </c>
      <c r="J9" s="2550">
        <f>J10+J11+J17+J22</f>
        <v>706391.5222799998</v>
      </c>
      <c r="K9" s="2579">
        <f>F9-'@预测#利润分析#'!F9</f>
        <v>-1936.0685874615592</v>
      </c>
      <c r="L9" s="2554">
        <f>I9-'@预测#利润分析#'!I9</f>
        <v>-2120.0347413077143</v>
      </c>
      <c r="M9" s="2256" t="str">
        <f t="shared" si="5"/>
        <v>增加</v>
      </c>
      <c r="N9" s="2295">
        <f>N10+N11+N17+N22</f>
        <v>124309.84882300001</v>
      </c>
      <c r="O9" s="2257">
        <f t="shared" si="1"/>
        <v>-477344.69254399982</v>
      </c>
      <c r="P9" s="2273">
        <f>F9-'@预测#利润分析#'!F9</f>
        <v>-1936.0685874615592</v>
      </c>
      <c r="W9" s="2641"/>
      <c r="X9" s="2322" t="s">
        <v>1114</v>
      </c>
      <c r="Y9" s="2323">
        <f t="shared" si="2"/>
        <v>114697.81872499999</v>
      </c>
      <c r="Z9" s="2323">
        <f t="shared" si="3"/>
        <v>104736.98091299998</v>
      </c>
      <c r="AA9" s="2324">
        <f t="shared" si="3"/>
        <v>-9960.8378120000107</v>
      </c>
      <c r="AB9" s="2324">
        <f t="shared" si="3"/>
        <v>-17177.73</v>
      </c>
      <c r="AC9" s="2324">
        <f t="shared" si="3"/>
        <v>7216.8921879999889</v>
      </c>
      <c r="AD9" s="2323">
        <f t="shared" si="3"/>
        <v>706391.5222799998</v>
      </c>
    </row>
    <row r="10" spans="1:30" s="2258" customFormat="1" ht="15" thickBot="1">
      <c r="B10" s="2639"/>
      <c r="C10" s="2266" t="s">
        <v>1433</v>
      </c>
      <c r="D10" s="2267"/>
      <c r="E10" s="2267">
        <f>'#分板块利润分析'!F13+'#分板块利润分析'!F14+'#分板块利润分析'!F15+'#分板块利润分析'!F16</f>
        <v>28914.219978000001</v>
      </c>
      <c r="F10" s="2267">
        <f>'#分板块利润分析'!G13+'#分板块利润分析'!G14+'#分板块利润分析'!G15+'#分板块利润分析'!G16</f>
        <v>23561.155849999999</v>
      </c>
      <c r="G10" s="2268">
        <f t="shared" ref="G10:G49" si="7">F10-E10</f>
        <v>-5353.0641280000018</v>
      </c>
      <c r="H10" s="2268">
        <f>R16</f>
        <v>-5736.24</v>
      </c>
      <c r="I10" s="2255">
        <f>G10-H10</f>
        <v>383.17587199999798</v>
      </c>
      <c r="J10" s="2552">
        <f>'#分板块利润分析'!L13+'#分板块利润分析'!L14+'#分板块利润分析'!L15+'#分板块利润分析'!L16</f>
        <v>168000.594087</v>
      </c>
      <c r="K10" s="2579">
        <f>F10-'@预测#利润分析#'!F10</f>
        <v>-204.71412799999962</v>
      </c>
      <c r="L10" s="2556">
        <f>I10-'@预测#利润分析#'!I10</f>
        <v>-157.82412800000202</v>
      </c>
      <c r="M10" s="2256"/>
      <c r="N10" s="2256">
        <f>23122+E10</f>
        <v>52036.219978000001</v>
      </c>
      <c r="O10" s="2256">
        <f t="shared" si="1"/>
        <v>-92403.218259000001</v>
      </c>
      <c r="R10" s="2256"/>
      <c r="W10" s="2641"/>
      <c r="X10" s="2325" t="s">
        <v>1433</v>
      </c>
      <c r="Y10" s="2326">
        <f t="shared" si="2"/>
        <v>28914.219978000001</v>
      </c>
      <c r="Z10" s="2326">
        <f t="shared" si="3"/>
        <v>23561.155849999999</v>
      </c>
      <c r="AA10" s="2327">
        <f t="shared" si="3"/>
        <v>-5353.0641280000018</v>
      </c>
      <c r="AB10" s="2327">
        <f t="shared" si="3"/>
        <v>-5736.24</v>
      </c>
      <c r="AC10" s="2328">
        <f t="shared" si="3"/>
        <v>383.17587199999798</v>
      </c>
      <c r="AD10" s="2326">
        <f t="shared" si="3"/>
        <v>168000.594087</v>
      </c>
    </row>
    <row r="11" spans="1:30" s="2258" customFormat="1">
      <c r="B11" s="2639"/>
      <c r="C11" s="2266" t="s">
        <v>1434</v>
      </c>
      <c r="D11" s="2267">
        <f>SUM(D12:D16)</f>
        <v>320294.57844116056</v>
      </c>
      <c r="E11" s="2267">
        <f t="shared" ref="E11:F11" si="8">SUM(E12:E16)</f>
        <v>83256.655601999984</v>
      </c>
      <c r="F11" s="2267">
        <f t="shared" si="8"/>
        <v>80157.056971999977</v>
      </c>
      <c r="G11" s="2268">
        <f t="shared" si="7"/>
        <v>-3099.5986300000077</v>
      </c>
      <c r="H11" s="2268">
        <f>SUM(H12:H16)</f>
        <v>-8424.49</v>
      </c>
      <c r="I11" s="2255">
        <f>G11-H11</f>
        <v>5324.8913699999921</v>
      </c>
      <c r="J11" s="2552">
        <f>SUM(J12:J16)</f>
        <v>502406.00508199987</v>
      </c>
      <c r="K11" s="2579">
        <f>F11-'@预测#利润分析#'!F11</f>
        <v>241.66674838459585</v>
      </c>
      <c r="L11" s="2556">
        <f>I11-'@预测#利润分析#'!I11</f>
        <v>54.964440692288917</v>
      </c>
      <c r="M11" s="2256"/>
      <c r="N11" s="2296">
        <f>SUM(N12:N16)</f>
        <v>71991.067171000002</v>
      </c>
      <c r="O11" s="2256">
        <f t="shared" si="1"/>
        <v>-350257.88093899988</v>
      </c>
      <c r="Q11" s="2269" t="s">
        <v>1435</v>
      </c>
      <c r="R11" s="2305">
        <f>SUM(R12:R16)</f>
        <v>-5857</v>
      </c>
      <c r="S11" s="2533"/>
      <c r="W11" s="2641"/>
      <c r="X11" s="2325" t="s">
        <v>1434</v>
      </c>
      <c r="Y11" s="2326">
        <f t="shared" si="2"/>
        <v>83256.655601999984</v>
      </c>
      <c r="Z11" s="2326">
        <f t="shared" si="3"/>
        <v>80157.056971999977</v>
      </c>
      <c r="AA11" s="2327">
        <f t="shared" si="3"/>
        <v>-3099.5986300000077</v>
      </c>
      <c r="AB11" s="2327">
        <f t="shared" si="3"/>
        <v>-8424.49</v>
      </c>
      <c r="AC11" s="2328">
        <f t="shared" si="3"/>
        <v>5324.8913699999921</v>
      </c>
      <c r="AD11" s="2326">
        <f t="shared" si="3"/>
        <v>502406.00508199987</v>
      </c>
    </row>
    <row r="12" spans="1:30">
      <c r="B12" s="2639"/>
      <c r="C12" s="2270" t="s">
        <v>1436</v>
      </c>
      <c r="D12" s="2260">
        <v>320294.57844116056</v>
      </c>
      <c r="E12" s="2260">
        <f>SUMIFS('利润（汇总）'!5:5,'利润（汇总）'!$1:$1,$B$1,'利润（汇总）'!$2:$2,$B$2)</f>
        <v>65368.601999999999</v>
      </c>
      <c r="F12" s="2260">
        <f>SUMIFS('利润（汇总）'!5:5,'利润（汇总）'!$1:$1,$A$1,'利润（汇总）'!$2:$2,$A$2)</f>
        <v>62470.785720999971</v>
      </c>
      <c r="G12" s="2261">
        <f t="shared" si="7"/>
        <v>-2897.8162790000279</v>
      </c>
      <c r="H12" s="2261">
        <f>-R23</f>
        <v>-8424.49</v>
      </c>
      <c r="I12" s="2262">
        <f t="shared" si="4"/>
        <v>5526.6737209999719</v>
      </c>
      <c r="J12" s="2551">
        <f>SUMIFS('利润（汇总）'!5:5,'利润（汇总）'!$1:$1,$A$1,'利润（汇总）'!$2:$2,"&lt;="&amp;$A$2)</f>
        <v>377387.96860900003</v>
      </c>
      <c r="K12" s="2580">
        <f>F12-'@预测#利润分析#'!F12</f>
        <v>1749.9857209999682</v>
      </c>
      <c r="L12" s="2555">
        <f>I12-'@预测#利润分析#'!I12</f>
        <v>-2797.7165866923388</v>
      </c>
      <c r="M12" s="2263"/>
      <c r="N12" s="2263">
        <v>36946.228180999999</v>
      </c>
      <c r="O12" s="2263">
        <f t="shared" si="1"/>
        <v>-277970.95470700006</v>
      </c>
      <c r="Q12" s="2271" t="s">
        <v>1437</v>
      </c>
      <c r="R12" s="2558">
        <f>'#母公司报表'!AI146-'#母公司报表'!AH146-H10</f>
        <v>-1808.7600000000002</v>
      </c>
      <c r="S12" s="2273"/>
      <c r="W12" s="2641"/>
      <c r="X12" s="2325" t="s">
        <v>1438</v>
      </c>
      <c r="Y12" s="2326">
        <f t="shared" ref="Y12:AD12" si="9">E17</f>
        <v>2846.9431449999997</v>
      </c>
      <c r="Z12" s="2326">
        <f t="shared" si="9"/>
        <v>1364.1880909999991</v>
      </c>
      <c r="AA12" s="2327">
        <f t="shared" si="9"/>
        <v>-1482.7550540000007</v>
      </c>
      <c r="AB12" s="2327">
        <f t="shared" si="9"/>
        <v>-3016.9999999999995</v>
      </c>
      <c r="AC12" s="2328">
        <f t="shared" si="9"/>
        <v>1534.2449459999989</v>
      </c>
      <c r="AD12" s="2326">
        <f t="shared" si="9"/>
        <v>34918.225876000011</v>
      </c>
    </row>
    <row r="13" spans="1:30">
      <c r="B13" s="2639"/>
      <c r="C13" s="2270" t="s">
        <v>1439</v>
      </c>
      <c r="D13" s="2260"/>
      <c r="E13" s="2260">
        <f>SUMIFS('#需填写'!17:17,'#需填写'!$1:$1,$B$1,'#需填写'!$2:$2,$B$2)/10000</f>
        <v>8798.5383299999994</v>
      </c>
      <c r="F13" s="2260">
        <f>SUMIFS('#需填写'!17:17,'#需填写'!$1:$1,$A$1,'#需填写'!$2:$2,$A$2)/10000</f>
        <v>7997.4550950000003</v>
      </c>
      <c r="G13" s="2261">
        <f t="shared" si="7"/>
        <v>-801.08323499999915</v>
      </c>
      <c r="H13" s="2261"/>
      <c r="I13" s="2262">
        <f t="shared" si="4"/>
        <v>-801.08323499999915</v>
      </c>
      <c r="J13" s="2551">
        <f>SUMIFS('#需填写'!17:17,'#需填写'!$1:$1,$A$1,'#需填写'!$2:$2,"&lt;="&amp;$A$2)/10000</f>
        <v>55176.357858000003</v>
      </c>
      <c r="K13" s="2580">
        <f>F13-'@预测#利润分析#'!F13</f>
        <v>223.57009500000095</v>
      </c>
      <c r="L13" s="2555">
        <f>I13-'@预测#利润分析#'!I13</f>
        <v>223.57009500000095</v>
      </c>
      <c r="M13" s="2263"/>
      <c r="N13" s="2263">
        <v>8766.7564559999992</v>
      </c>
      <c r="O13" s="2263">
        <f t="shared" si="1"/>
        <v>-38412.146307000003</v>
      </c>
      <c r="Q13" s="2271" t="s">
        <v>1440</v>
      </c>
      <c r="R13" s="2311">
        <f>'#母公司报表'!AI149-'#母公司报表'!AH149</f>
        <v>281</v>
      </c>
      <c r="W13" s="2641"/>
      <c r="X13" s="2325" t="s">
        <v>1441</v>
      </c>
      <c r="Y13" s="2326">
        <f t="shared" ref="Y13:AD15" si="10">E22</f>
        <v>-320</v>
      </c>
      <c r="Z13" s="2326">
        <f t="shared" si="10"/>
        <v>-345.42</v>
      </c>
      <c r="AA13" s="2327">
        <f t="shared" si="10"/>
        <v>-25.420000000000016</v>
      </c>
      <c r="AB13" s="2329">
        <f t="shared" si="10"/>
        <v>0</v>
      </c>
      <c r="AC13" s="2328">
        <f t="shared" si="10"/>
        <v>-25.420000000000016</v>
      </c>
      <c r="AD13" s="2326">
        <f t="shared" si="10"/>
        <v>1066.6972350000001</v>
      </c>
    </row>
    <row r="14" spans="1:30">
      <c r="B14" s="2639"/>
      <c r="C14" s="2270" t="s">
        <v>1442</v>
      </c>
      <c r="D14" s="2260"/>
      <c r="E14" s="2260">
        <f>SUMIFS('#需填写'!19:19,'#需填写'!$1:$1,$B$1,'#需填写'!$2:$2,$B$2)/10000</f>
        <v>1351.947011</v>
      </c>
      <c r="F14" s="2260">
        <f>SUMIFS('#需填写'!19:19,'#需填写'!$1:$1,$A$1,'#需填写'!$2:$2,$A$2)/10000</f>
        <v>1207.0990750000001</v>
      </c>
      <c r="G14" s="2261">
        <f t="shared" si="7"/>
        <v>-144.84793599999989</v>
      </c>
      <c r="H14" s="2261"/>
      <c r="I14" s="2262">
        <f t="shared" si="4"/>
        <v>-144.84793599999989</v>
      </c>
      <c r="J14" s="2551">
        <f>SUMIFS('#需填写'!19:19,'#需填写'!$1:$1,$A$1,'#需填写'!$2:$2,"&lt;="&amp;$A$2)/10000</f>
        <v>8500.8290909999996</v>
      </c>
      <c r="K14" s="2580">
        <f>F14-'@预测#利润分析#'!F14</f>
        <v>9.99461346153862</v>
      </c>
      <c r="L14" s="2555">
        <f>I14-'@预测#利润分析#'!I14</f>
        <v>9.99461346153862</v>
      </c>
      <c r="M14" s="2263"/>
      <c r="N14" s="2263">
        <v>1379.235598</v>
      </c>
      <c r="O14" s="2263">
        <f t="shared" si="1"/>
        <v>-5914.4944179999993</v>
      </c>
      <c r="Q14" s="2271" t="s">
        <v>1443</v>
      </c>
      <c r="R14" s="2311">
        <f>'#母公司报表'!AI152-'#母公司报表'!AH152</f>
        <v>393</v>
      </c>
      <c r="W14" s="2641"/>
      <c r="X14" s="2322" t="s">
        <v>1444</v>
      </c>
      <c r="Y14" s="2323">
        <f t="shared" si="10"/>
        <v>218746.23572499998</v>
      </c>
      <c r="Z14" s="2323">
        <f t="shared" si="10"/>
        <v>199922.84800799997</v>
      </c>
      <c r="AA14" s="2324">
        <f t="shared" si="10"/>
        <v>-18823.387717000005</v>
      </c>
      <c r="AB14" s="2330">
        <f t="shared" si="10"/>
        <v>0</v>
      </c>
      <c r="AC14" s="2324">
        <f t="shared" si="10"/>
        <v>-18823.387717000005</v>
      </c>
      <c r="AD14" s="2323">
        <f t="shared" si="10"/>
        <v>1512617.2066239999</v>
      </c>
    </row>
    <row r="15" spans="1:30">
      <c r="B15" s="2639"/>
      <c r="C15" s="2270" t="s">
        <v>1445</v>
      </c>
      <c r="D15" s="2260"/>
      <c r="E15" s="2260">
        <f>SUMIFS('#需填写'!18:18,'#需填写'!$1:$1,$B$1,'#需填写'!$2:$2,$B$2)/10000</f>
        <v>2703.8940219999999</v>
      </c>
      <c r="F15" s="2260">
        <f>SUMIFS('#需填写'!18:18,'#需填写'!$1:$1,$A$1,'#需填写'!$2:$2,$A$2)/10000</f>
        <v>2414.1981500000002</v>
      </c>
      <c r="G15" s="2261">
        <f t="shared" si="7"/>
        <v>-289.69587199999978</v>
      </c>
      <c r="H15" s="2261"/>
      <c r="I15" s="2262">
        <f t="shared" si="4"/>
        <v>-289.69587199999978</v>
      </c>
      <c r="J15" s="2551">
        <f>SUMIFS('#需填写'!18:18,'#需填写'!$1:$1,$A$1,'#需填写'!$2:$2,"&lt;="&amp;$A$2)/10000</f>
        <v>17001.658181999999</v>
      </c>
      <c r="K15" s="2580">
        <f>F15-'@预测#利润分析#'!F15</f>
        <v>19.98922692307724</v>
      </c>
      <c r="L15" s="2555">
        <f>I15-'@预测#利润分析#'!I15</f>
        <v>19.98922692307724</v>
      </c>
      <c r="M15" s="2263"/>
      <c r="N15" s="2263">
        <f>N14*2</f>
        <v>2758.471196</v>
      </c>
      <c r="O15" s="2263">
        <f t="shared" si="1"/>
        <v>-11828.988835999999</v>
      </c>
      <c r="Q15" s="2271" t="s">
        <v>1435</v>
      </c>
      <c r="R15" s="2558">
        <v>1014</v>
      </c>
      <c r="S15" s="2273">
        <f>SUM(R12:R15)-I10</f>
        <v>-503.9358719999982</v>
      </c>
      <c r="W15" s="2637" t="s">
        <v>1112</v>
      </c>
      <c r="X15" s="2331" t="str">
        <f>C24</f>
        <v>资源环境业</v>
      </c>
      <c r="Y15" s="2326">
        <f t="shared" si="10"/>
        <v>6740.4001869999993</v>
      </c>
      <c r="Z15" s="2326">
        <f t="shared" si="10"/>
        <v>9255.92</v>
      </c>
      <c r="AA15" s="2327">
        <f t="shared" si="10"/>
        <v>2515.5198130000008</v>
      </c>
      <c r="AB15" s="2329">
        <f t="shared" si="10"/>
        <v>0</v>
      </c>
      <c r="AC15" s="2328">
        <f t="shared" si="10"/>
        <v>2515.5198130000008</v>
      </c>
      <c r="AD15" s="2326">
        <f t="shared" si="10"/>
        <v>54706.633082</v>
      </c>
    </row>
    <row r="16" spans="1:30" ht="15" thickBot="1">
      <c r="B16" s="2639"/>
      <c r="C16" s="2270" t="s">
        <v>1447</v>
      </c>
      <c r="D16" s="2260"/>
      <c r="E16" s="2260">
        <f>SUMIFS('#需填写'!4:4,'#需填写'!$1:$1,$B$1,'#需填写'!$2:$2,$B$2)/10000-SUMIFS('#需填写'!5:5,'#需填写'!$1:$1,$B$1,'#需填写'!$2:$2,$B$2)/10000</f>
        <v>5033.6742389999999</v>
      </c>
      <c r="F16" s="2260">
        <f>SUMIFS('#需填写'!4:4,'#需填写'!$1:$1,$A$1,'#需填写'!$2:$2,$A$2)/10000-SUMIFS('#需填写'!5:5,'#需填写'!$1:$1,$A$1,'#需填写'!$2:$2,$A$2)/10000</f>
        <v>6067.5189309999987</v>
      </c>
      <c r="G16" s="2261">
        <f t="shared" si="7"/>
        <v>1033.8446919999988</v>
      </c>
      <c r="H16" s="2308">
        <f>R22+R23</f>
        <v>0</v>
      </c>
      <c r="I16" s="2262">
        <f t="shared" si="4"/>
        <v>1033.8446919999988</v>
      </c>
      <c r="J16" s="2551">
        <f>SUMIFS('#需填写'!4:4,'#需填写'!$1:$1,$A$1,'#需填写'!$2:$2,"&lt;="&amp;$A$2)/10000-SUMIFS('#需填写'!5:5,'#需填写'!$1:$1,$A$1,'#需填写'!$2:$2,"&lt;="&amp;$A$2)/10000</f>
        <v>44339.191341999802</v>
      </c>
      <c r="K16" s="2580">
        <f>F16-'@预测#利润分析#'!F16</f>
        <v>-1761.8729080000012</v>
      </c>
      <c r="L16" s="2555">
        <f>I16-'@预测#利润分析#'!I16</f>
        <v>2599.1270919999988</v>
      </c>
      <c r="M16" s="2263"/>
      <c r="N16" s="2263">
        <v>22140.375740000003</v>
      </c>
      <c r="O16" s="2263">
        <f t="shared" si="1"/>
        <v>-16131.2966709998</v>
      </c>
      <c r="Q16" s="2274" t="s">
        <v>1448</v>
      </c>
      <c r="R16" s="2509">
        <f>Y42</f>
        <v>-5736.24</v>
      </c>
      <c r="W16" s="2637"/>
      <c r="X16" s="2331" t="str">
        <f>C31</f>
        <v>产业金融业</v>
      </c>
      <c r="Y16" s="2326">
        <f t="shared" ref="Y16:AD16" si="11">E31</f>
        <v>3249.360561</v>
      </c>
      <c r="Z16" s="2326">
        <f t="shared" si="11"/>
        <v>8282.2274499999985</v>
      </c>
      <c r="AA16" s="2327">
        <f t="shared" si="11"/>
        <v>5032.866888999999</v>
      </c>
      <c r="AB16" s="2329">
        <f t="shared" si="11"/>
        <v>0</v>
      </c>
      <c r="AC16" s="2328">
        <f t="shared" si="11"/>
        <v>5032.866888999999</v>
      </c>
      <c r="AD16" s="2326">
        <f t="shared" si="11"/>
        <v>39787.185643999997</v>
      </c>
    </row>
    <row r="17" spans="2:33" s="2258" customFormat="1" ht="15" thickBot="1">
      <c r="B17" s="2639"/>
      <c r="C17" s="2266" t="s">
        <v>1438</v>
      </c>
      <c r="D17" s="2267"/>
      <c r="E17" s="2267">
        <f>SUM(E18:E21)</f>
        <v>2846.9431449999997</v>
      </c>
      <c r="F17" s="2267">
        <f>SUM(F18:F21)</f>
        <v>1364.1880909999991</v>
      </c>
      <c r="G17" s="2268">
        <f t="shared" si="7"/>
        <v>-1482.7550540000007</v>
      </c>
      <c r="H17" s="2268">
        <f>SUM(H18:H21)</f>
        <v>-3016.9999999999995</v>
      </c>
      <c r="I17" s="2255">
        <f>G17-H17</f>
        <v>1534.2449459999989</v>
      </c>
      <c r="J17" s="2552">
        <f>SUM(J18:J21)</f>
        <v>34918.225876000011</v>
      </c>
      <c r="K17" s="2579">
        <f>F17-'@预测#利润分析#'!F17</f>
        <v>-1964.6012078461545</v>
      </c>
      <c r="L17" s="2556">
        <f>I17-'@预测#利润分析#'!I17</f>
        <v>-2008.7550540000007</v>
      </c>
      <c r="M17" s="2256"/>
      <c r="N17" s="2296">
        <f>SUM(N18:N21)</f>
        <v>-417.1679609999992</v>
      </c>
      <c r="O17" s="2256">
        <f t="shared" si="1"/>
        <v>-33971.205746000014</v>
      </c>
      <c r="W17" s="2637"/>
      <c r="X17" s="2331" t="str">
        <f>C37</f>
        <v>智慧服务业</v>
      </c>
      <c r="Y17" s="2326">
        <f t="shared" ref="Y17:AD17" si="12">E37</f>
        <v>-385.74505700000003</v>
      </c>
      <c r="Z17" s="2326">
        <f t="shared" si="12"/>
        <v>287.87</v>
      </c>
      <c r="AA17" s="2327">
        <f t="shared" si="12"/>
        <v>673.61505699999998</v>
      </c>
      <c r="AB17" s="2329">
        <f t="shared" si="12"/>
        <v>0</v>
      </c>
      <c r="AC17" s="2328">
        <f t="shared" si="12"/>
        <v>673.61505699999998</v>
      </c>
      <c r="AD17" s="2326">
        <f t="shared" si="12"/>
        <v>1929.791356</v>
      </c>
    </row>
    <row r="18" spans="2:33">
      <c r="B18" s="2639"/>
      <c r="C18" s="2270" t="s">
        <v>1450</v>
      </c>
      <c r="D18" s="2260">
        <v>62024.516129032265</v>
      </c>
      <c r="E18" s="2260">
        <f>SUMIFS('利润（汇总）'!4:4,'利润（汇总）'!$1:$1,$B$1,'利润（汇总）'!$2:$2,$B$2)</f>
        <v>2958</v>
      </c>
      <c r="F18" s="2260">
        <f>SUMIFS('利润（汇总）'!4:4,'利润（汇总）'!$1:$1,$A$1,'利润（汇总）'!$2:$2,$A$2)</f>
        <v>1172</v>
      </c>
      <c r="G18" s="2261">
        <f>F18-E18</f>
        <v>-1786</v>
      </c>
      <c r="H18" s="2261">
        <f>-R29</f>
        <v>-3016.9999999999995</v>
      </c>
      <c r="I18" s="2262">
        <f t="shared" si="4"/>
        <v>1230.9999999999995</v>
      </c>
      <c r="J18" s="2551">
        <f>SUMIFS('利润（汇总）'!4:4,'利润（汇总）'!$1:$1,$A$1,'利润（汇总）'!$2:$2,"&lt;="&amp;$A$2)</f>
        <v>32975.398689000001</v>
      </c>
      <c r="K18" s="2580">
        <f>F18-'@预测#利润分析#'!F18</f>
        <v>-1930.717461538462</v>
      </c>
      <c r="L18" s="2555">
        <f>I18-'@预测#利润分析#'!I18</f>
        <v>-1974.8713076923082</v>
      </c>
      <c r="M18" s="2263"/>
      <c r="N18" s="2263">
        <v>-2181.8734480000003</v>
      </c>
      <c r="O18" s="2263">
        <f t="shared" si="1"/>
        <v>-33985.272137</v>
      </c>
      <c r="Q18" s="2269" t="s">
        <v>1452</v>
      </c>
      <c r="R18" s="2305">
        <f>SUM(R19:R23)</f>
        <v>0</v>
      </c>
      <c r="W18" s="2637"/>
      <c r="X18" s="2331" t="str">
        <f>C42</f>
        <v>新材料产业</v>
      </c>
      <c r="Y18" s="2326">
        <f t="shared" ref="Y18:AD18" si="13">E42</f>
        <v>820</v>
      </c>
      <c r="Z18" s="2326">
        <f t="shared" si="13"/>
        <v>476.5</v>
      </c>
      <c r="AA18" s="2327">
        <f t="shared" si="13"/>
        <v>-343.5</v>
      </c>
      <c r="AB18" s="2329">
        <f t="shared" si="13"/>
        <v>0</v>
      </c>
      <c r="AC18" s="2328">
        <f t="shared" si="13"/>
        <v>-343.5</v>
      </c>
      <c r="AD18" s="2326">
        <f t="shared" si="13"/>
        <v>1530.8225520000005</v>
      </c>
    </row>
    <row r="19" spans="2:33" ht="15" thickBot="1">
      <c r="B19" s="2639"/>
      <c r="C19" s="2270" t="s">
        <v>1442</v>
      </c>
      <c r="D19" s="2260"/>
      <c r="E19" s="2260">
        <f>SUMIFS('#需填写'!23:23,'#需填写'!$1:$1,$B$1,'#需填写'!$2:$2,$B$2)/10000</f>
        <v>7.9429999999999996</v>
      </c>
      <c r="F19" s="2260">
        <f>SUMIFS('#需填写'!23:23,'#需填写'!$1:$1,$A$1,'#需填写'!$2:$2,$A$2)/10000</f>
        <v>130.82300000000001</v>
      </c>
      <c r="G19" s="2261">
        <f t="shared" si="7"/>
        <v>122.88000000000001</v>
      </c>
      <c r="H19" s="2261"/>
      <c r="I19" s="2262">
        <f t="shared" si="4"/>
        <v>122.88000000000001</v>
      </c>
      <c r="J19" s="2551">
        <f>SUMIFS('#需填写'!23:23,'#需填写'!$1:$1,$A$1,'#需填写'!$2:$2,"&lt;="&amp;$A$2)/10000</f>
        <v>762.92685299999994</v>
      </c>
      <c r="K19" s="2580">
        <f>F19-'@预测#利润分析#'!F19</f>
        <v>10.503769230769251</v>
      </c>
      <c r="L19" s="2555">
        <f>I19-'@预测#利润分析#'!I19</f>
        <v>10.503769230769251</v>
      </c>
      <c r="M19" s="2263"/>
      <c r="N19" s="2263">
        <v>154.28744</v>
      </c>
      <c r="O19" s="2263">
        <f t="shared" si="1"/>
        <v>-477.8164129999999</v>
      </c>
      <c r="Q19" s="2271" t="s">
        <v>1453</v>
      </c>
      <c r="R19" s="2272"/>
      <c r="W19" s="2637"/>
      <c r="X19" s="2331" t="str">
        <f>C45</f>
        <v>产业园区业</v>
      </c>
      <c r="Y19" s="2326">
        <f t="shared" ref="Y19:AD19" si="14">E45</f>
        <v>199.363</v>
      </c>
      <c r="Z19" s="2326">
        <f t="shared" si="14"/>
        <v>197.42</v>
      </c>
      <c r="AA19" s="2327">
        <f t="shared" si="14"/>
        <v>-1.9430000000000121</v>
      </c>
      <c r="AB19" s="2329">
        <f t="shared" si="14"/>
        <v>0</v>
      </c>
      <c r="AC19" s="2328">
        <f t="shared" si="14"/>
        <v>-1.9430000000000121</v>
      </c>
      <c r="AD19" s="2326">
        <f t="shared" si="14"/>
        <v>2920.9813489999997</v>
      </c>
    </row>
    <row r="20" spans="2:33">
      <c r="B20" s="2639"/>
      <c r="C20" s="2270" t="s">
        <v>1445</v>
      </c>
      <c r="D20" s="2260"/>
      <c r="E20" s="2260">
        <f>E19*2</f>
        <v>15.885999999999999</v>
      </c>
      <c r="F20" s="2260">
        <f>F19*2</f>
        <v>261.64600000000002</v>
      </c>
      <c r="G20" s="2261">
        <f t="shared" si="7"/>
        <v>245.76000000000002</v>
      </c>
      <c r="H20" s="2261"/>
      <c r="I20" s="2262">
        <f t="shared" si="4"/>
        <v>245.76000000000002</v>
      </c>
      <c r="J20" s="2551">
        <f>J19*2</f>
        <v>1525.8537059999999</v>
      </c>
      <c r="K20" s="2580">
        <f>F20-'@预测#利润分析#'!F20</f>
        <v>21.007538461538502</v>
      </c>
      <c r="L20" s="2555">
        <f>I20-'@预测#利润分析#'!I20</f>
        <v>21.007538461538502</v>
      </c>
      <c r="M20" s="2263"/>
      <c r="N20" s="2297">
        <f>N19*2</f>
        <v>308.57488000000001</v>
      </c>
      <c r="O20" s="2263">
        <f t="shared" si="1"/>
        <v>-955.6328259999998</v>
      </c>
      <c r="Q20" s="2271" t="s">
        <v>1455</v>
      </c>
      <c r="R20" s="2272"/>
      <c r="T20" s="2275" t="s">
        <v>1454</v>
      </c>
      <c r="U20" s="2423">
        <f>U21+U22</f>
        <v>-5736.24</v>
      </c>
      <c r="W20" s="2637"/>
      <c r="X20" s="2331" t="str">
        <f>C50</f>
        <v>其他业务</v>
      </c>
      <c r="Y20" s="2326">
        <f t="shared" ref="Y20:AD20" si="15">E50</f>
        <v>-37.721206000000002</v>
      </c>
      <c r="Z20" s="2326">
        <f t="shared" si="15"/>
        <v>-32.929459000000001</v>
      </c>
      <c r="AA20" s="2327">
        <f t="shared" si="15"/>
        <v>4.7917470000000009</v>
      </c>
      <c r="AB20" s="2329">
        <f t="shared" si="15"/>
        <v>0</v>
      </c>
      <c r="AC20" s="2328">
        <f t="shared" si="15"/>
        <v>4.7917470000000009</v>
      </c>
      <c r="AD20" s="2326">
        <f t="shared" si="15"/>
        <v>-293.98440699999998</v>
      </c>
    </row>
    <row r="21" spans="2:33">
      <c r="B21" s="2639"/>
      <c r="C21" s="2270" t="s">
        <v>1447</v>
      </c>
      <c r="D21" s="2260"/>
      <c r="E21" s="2260">
        <f>SUMIFS('#需填写'!6:6,'#需填写'!$1:$1,$B$1,'#需填写'!$2:$2,$B$2)/10000-SUMIFS('#需填写'!7:7,'#需填写'!$1:$1,$B$1,'#需填写'!$2:$2,$B$2)/10000</f>
        <v>-134.88585500000045</v>
      </c>
      <c r="F21" s="2260">
        <f>SUMIFS('#需填写'!6:6,'#需填写'!$1:$1,$A$1,'#需填写'!$2:$2,$A$2)/10000-SUMIFS('#需填写'!7:7,'#需填写'!$1:$1,$A$1,'#需填写'!$2:$2,$A$2)/10000</f>
        <v>-200.28090900000097</v>
      </c>
      <c r="G21" s="2261">
        <f t="shared" si="7"/>
        <v>-65.395054000000528</v>
      </c>
      <c r="H21" s="2261">
        <f>R28+R29+R27</f>
        <v>0</v>
      </c>
      <c r="I21" s="2262">
        <f t="shared" si="4"/>
        <v>-65.395054000000528</v>
      </c>
      <c r="J21" s="2551">
        <f>SUMIFS('#需填写'!6:6,'#需填写'!$1:$1,$A$1,'#需填写'!$2:$2,"&lt;="&amp;$A$2)/10000-SUMIFS('#需填写'!7:7,'#需填写'!$1:$1,$A$1,'#需填写'!$2:$2,"&lt;="&amp;$A$2)/10000</f>
        <v>-345.95337199998903</v>
      </c>
      <c r="K21" s="2580">
        <f>F21-'@预测#利润分析#'!F21</f>
        <v>-65.395054000000528</v>
      </c>
      <c r="L21" s="2555">
        <f>I21-'@预测#利润分析#'!I21</f>
        <v>-65.395054000000528</v>
      </c>
      <c r="M21" s="2263"/>
      <c r="N21" s="2263">
        <v>1301.8431670000009</v>
      </c>
      <c r="O21" s="2263">
        <f t="shared" si="1"/>
        <v>1447.515629999989</v>
      </c>
      <c r="Q21" s="2271" t="s">
        <v>1457</v>
      </c>
      <c r="R21" s="2272"/>
      <c r="T21" s="2271" t="s">
        <v>1456</v>
      </c>
      <c r="U21" s="2283">
        <f>R16+R22+R28</f>
        <v>-17177.73</v>
      </c>
      <c r="W21" s="2637"/>
      <c r="X21" s="2322" t="s">
        <v>1446</v>
      </c>
      <c r="Y21" s="2323">
        <f>SUM(Y15:Y20)</f>
        <v>10585.657484999998</v>
      </c>
      <c r="Z21" s="2323">
        <f>SUM(Z15:Z20)</f>
        <v>18467.007990999995</v>
      </c>
      <c r="AA21" s="2324">
        <f>SUM(AA15:AA20)</f>
        <v>7881.3505059999989</v>
      </c>
      <c r="AB21" s="2332">
        <f>H56</f>
        <v>0</v>
      </c>
      <c r="AC21" s="2333">
        <f>I56</f>
        <v>7881.3505059999989</v>
      </c>
      <c r="AD21" s="2323">
        <f>J56</f>
        <v>100581.42957599999</v>
      </c>
    </row>
    <row r="22" spans="2:33" s="2258" customFormat="1" ht="15" thickBot="1">
      <c r="B22" s="2639"/>
      <c r="C22" s="2266" t="s">
        <v>1441</v>
      </c>
      <c r="D22" s="2267">
        <v>7124.25</v>
      </c>
      <c r="E22" s="2267">
        <f>SUMIFS('利润（汇总）'!6:6,'利润（汇总）'!$1:$1,$B$1,'利润（汇总）'!$2:$2,$B$2)</f>
        <v>-320</v>
      </c>
      <c r="F22" s="2267">
        <f>SUMIFS('利润（汇总）'!6:6,'利润（汇总）'!$1:$1,$A$1,'利润（汇总）'!$2:$2,$A$2)</f>
        <v>-345.42</v>
      </c>
      <c r="G22" s="2261">
        <f t="shared" si="7"/>
        <v>-25.420000000000016</v>
      </c>
      <c r="H22" s="2268">
        <v>0</v>
      </c>
      <c r="I22" s="2255">
        <f>G22-H22</f>
        <v>-25.420000000000016</v>
      </c>
      <c r="J22" s="2552">
        <f>SUMIFS('利润（汇总）'!6:6,'利润（汇总）'!$1:$1,$A$1,'利润（汇总）'!$2:$2,"&lt;="&amp;$A$2)</f>
        <v>1066.6972350000001</v>
      </c>
      <c r="K22" s="2580">
        <f>F22-'@预测#利润分析#'!F22</f>
        <v>-8.4200000000000159</v>
      </c>
      <c r="L22" s="2555">
        <f>I22-'@预测#利润分析#'!I22</f>
        <v>-8.4200000000000159</v>
      </c>
      <c r="M22" s="2256"/>
      <c r="N22" s="2256">
        <v>699.72963500000003</v>
      </c>
      <c r="O22" s="2256">
        <f t="shared" si="1"/>
        <v>-712.38760000000002</v>
      </c>
      <c r="Q22" s="2271" t="s">
        <v>1448</v>
      </c>
      <c r="R22" s="2278">
        <f>Y34+Y38</f>
        <v>-8424.49</v>
      </c>
      <c r="T22" s="2274" t="s">
        <v>1458</v>
      </c>
      <c r="U22" s="2313">
        <f>R23+R29</f>
        <v>11441.49</v>
      </c>
      <c r="V22" s="2265"/>
      <c r="W22" s="2642" t="s">
        <v>1449</v>
      </c>
      <c r="X22" s="2642"/>
      <c r="Y22" s="2334">
        <f t="shared" ref="Y22:AD22" si="16">E64</f>
        <v>-9653.8004375899909</v>
      </c>
      <c r="Z22" s="2334">
        <f t="shared" si="16"/>
        <v>-4131.5242779999644</v>
      </c>
      <c r="AA22" s="2335">
        <f t="shared" si="16"/>
        <v>5522.2761595900265</v>
      </c>
      <c r="AB22" s="2336">
        <f t="shared" si="16"/>
        <v>0</v>
      </c>
      <c r="AC22" s="2328">
        <f t="shared" si="16"/>
        <v>5522.2761595900265</v>
      </c>
      <c r="AD22" s="2334">
        <f t="shared" si="16"/>
        <v>-1860.6141104298149</v>
      </c>
    </row>
    <row r="23" spans="2:33" s="2258" customFormat="1" ht="15" thickBot="1">
      <c r="B23" s="2640"/>
      <c r="C23" s="2253" t="s">
        <v>1444</v>
      </c>
      <c r="D23" s="2254"/>
      <c r="E23" s="2254">
        <f>E5+E9</f>
        <v>218746.23572499998</v>
      </c>
      <c r="F23" s="2254">
        <f>F5+F9</f>
        <v>199922.84800799997</v>
      </c>
      <c r="G23" s="2255">
        <f t="shared" si="7"/>
        <v>-18823.387717000005</v>
      </c>
      <c r="H23" s="2276">
        <f>H5+H9</f>
        <v>0</v>
      </c>
      <c r="I23" s="2255">
        <f t="shared" si="4"/>
        <v>-18823.387717000005</v>
      </c>
      <c r="J23" s="2550">
        <f>J5+J9</f>
        <v>1512617.2066239999</v>
      </c>
      <c r="K23" s="2579">
        <f>F23-'@预测#利润分析#'!F23</f>
        <v>11760.79850753842</v>
      </c>
      <c r="L23" s="2554"/>
      <c r="M23" s="2256" t="str">
        <f>IF(I23&gt;0,"增加","减少")</f>
        <v>减少</v>
      </c>
      <c r="N23" s="2295">
        <f>N5+N9</f>
        <v>278819.77742300002</v>
      </c>
      <c r="O23" s="2257">
        <f t="shared" si="1"/>
        <v>-1033874.5811929998</v>
      </c>
      <c r="Q23" s="2274" t="s">
        <v>1459</v>
      </c>
      <c r="R23" s="2312">
        <f>(-X33*R34)+Y37</f>
        <v>8424.49</v>
      </c>
      <c r="T23" s="2265"/>
      <c r="U23" s="2265"/>
      <c r="W23" s="2643" t="s">
        <v>1314</v>
      </c>
      <c r="X23" s="2644"/>
      <c r="Y23" s="2323">
        <f t="shared" ref="Y23:AD24" si="17">E66</f>
        <v>218166.09277240999</v>
      </c>
      <c r="Z23" s="2323">
        <f t="shared" si="17"/>
        <v>213139.47172100001</v>
      </c>
      <c r="AA23" s="2324">
        <f t="shared" si="17"/>
        <v>-5026.6210514099803</v>
      </c>
      <c r="AB23" s="2332">
        <f t="shared" si="17"/>
        <v>0</v>
      </c>
      <c r="AC23" s="2337">
        <f t="shared" si="17"/>
        <v>-5026.6210514099794</v>
      </c>
      <c r="AD23" s="2338">
        <f t="shared" si="17"/>
        <v>1526299.70120617</v>
      </c>
    </row>
    <row r="24" spans="2:33" s="2258" customFormat="1">
      <c r="B24" s="2646" t="s">
        <v>1112</v>
      </c>
      <c r="C24" s="2253" t="s">
        <v>1473</v>
      </c>
      <c r="D24" s="2254"/>
      <c r="E24" s="2254">
        <f>SUM(E25:E30)</f>
        <v>6740.4001869999993</v>
      </c>
      <c r="F24" s="2254">
        <f>SUM(F25:F30)</f>
        <v>9255.92</v>
      </c>
      <c r="G24" s="2255">
        <f>F24-E24</f>
        <v>2515.5198130000008</v>
      </c>
      <c r="H24" s="2276">
        <f>SUM(H25:H30)</f>
        <v>0</v>
      </c>
      <c r="I24" s="2255">
        <f t="shared" si="4"/>
        <v>2515.5198130000008</v>
      </c>
      <c r="J24" s="2550">
        <f>SUM(J25:J30)</f>
        <v>54706.633082</v>
      </c>
      <c r="K24" s="2579">
        <f>F24-'@预测#利润分析#'!F24</f>
        <v>2644.92</v>
      </c>
      <c r="L24" s="2554"/>
      <c r="M24" s="2256" t="str">
        <f>IF(I24&gt;0,"增加","减少")</f>
        <v>增加</v>
      </c>
      <c r="N24" s="2309"/>
      <c r="O24" s="2310"/>
      <c r="Q24" s="2306"/>
      <c r="R24" s="2307"/>
      <c r="T24" s="2265"/>
      <c r="U24" s="2265"/>
      <c r="W24" s="2643" t="s">
        <v>1451</v>
      </c>
      <c r="X24" s="2644"/>
      <c r="Y24" s="2323">
        <f t="shared" si="17"/>
        <v>219059.67577241</v>
      </c>
      <c r="Z24" s="2323">
        <f t="shared" si="17"/>
        <v>205746.60462599999</v>
      </c>
      <c r="AA24" s="2324">
        <f t="shared" si="17"/>
        <v>-13313.071146410017</v>
      </c>
      <c r="AB24" s="2332">
        <f t="shared" si="17"/>
        <v>0</v>
      </c>
      <c r="AC24" s="2337">
        <f t="shared" si="17"/>
        <v>-13313.071146409979</v>
      </c>
      <c r="AD24" s="2338">
        <f t="shared" si="17"/>
        <v>1491646.0168621698</v>
      </c>
    </row>
    <row r="25" spans="2:33" ht="15" customHeight="1" thickBot="1">
      <c r="B25" s="2639"/>
      <c r="C25" s="2277" t="s">
        <v>121</v>
      </c>
      <c r="D25" s="2260">
        <v>10613</v>
      </c>
      <c r="E25" s="2260">
        <f>SUMIFS('利润（汇总）'!17:17,'利润（汇总）'!$1:$1,$B$1,'利润（汇总）'!$2:$2,$B$2)</f>
        <v>1635</v>
      </c>
      <c r="F25" s="2260">
        <f>SUMIFS('利润（汇总）'!17:17,'利润（汇总）'!$1:$1,$A$1,'利润（汇总）'!$2:$2,$A$2)</f>
        <v>1012</v>
      </c>
      <c r="G25" s="2261">
        <f t="shared" si="7"/>
        <v>-623</v>
      </c>
      <c r="H25" s="2308"/>
      <c r="I25" s="2262">
        <f t="shared" si="4"/>
        <v>-623</v>
      </c>
      <c r="J25" s="2551">
        <f>SUMIFS('利润（汇总）'!17:17,'利润（汇总）'!$1:$1,$A$1,'利润（汇总）'!$2:$2,"&lt;="&amp;$A$2)</f>
        <v>6899.497601</v>
      </c>
      <c r="K25" s="2580">
        <f>F25-'@预测#利润分析#'!F25</f>
        <v>1501</v>
      </c>
      <c r="L25" s="2555"/>
      <c r="M25" s="2263"/>
      <c r="T25" s="2265" t="s">
        <v>1460</v>
      </c>
      <c r="W25" s="2729" t="str">
        <f>B69</f>
        <v xml:space="preserve">      医疗公司（不并表）</v>
      </c>
      <c r="X25" s="2730"/>
      <c r="Y25" s="2334">
        <f>E69</f>
        <v>191.91</v>
      </c>
      <c r="Z25" s="2334">
        <f t="shared" ref="Z25:AD25" si="18">F69</f>
        <v>442</v>
      </c>
      <c r="AA25" s="2560">
        <f t="shared" si="18"/>
        <v>250.09</v>
      </c>
      <c r="AB25" s="2336">
        <f t="shared" si="18"/>
        <v>0</v>
      </c>
      <c r="AC25" s="2335">
        <f t="shared" si="18"/>
        <v>250.09</v>
      </c>
      <c r="AD25" s="2561">
        <f t="shared" si="18"/>
        <v>1481</v>
      </c>
    </row>
    <row r="26" spans="2:33">
      <c r="B26" s="2639"/>
      <c r="C26" s="2277" t="s">
        <v>122</v>
      </c>
      <c r="D26" s="2260">
        <v>15607</v>
      </c>
      <c r="E26" s="2260">
        <f>SUMIFS('利润（汇总）'!18:18,'利润（汇总）'!$1:$1,$B$1,'利润（汇总）'!$2:$2,$B$2)</f>
        <v>1029</v>
      </c>
      <c r="F26" s="2260">
        <f>SUMIFS('利润（汇总）'!18:18,'利润（汇总）'!$1:$1,$A$1,'利润（汇总）'!$2:$2,$A$2)</f>
        <v>595</v>
      </c>
      <c r="G26" s="2261">
        <f t="shared" si="7"/>
        <v>-434</v>
      </c>
      <c r="H26" s="2308"/>
      <c r="I26" s="2262">
        <f t="shared" si="4"/>
        <v>-434</v>
      </c>
      <c r="J26" s="2551">
        <f>SUMIFS('利润（汇总）'!18:18,'利润（汇总）'!$1:$1,$A$1,'利润（汇总）'!$2:$2,"&lt;="&amp;$A$2)</f>
        <v>5169.6129249999994</v>
      </c>
      <c r="K26" s="2580">
        <f>F26-'@预测#利润分析#'!F26</f>
        <v>253</v>
      </c>
      <c r="L26" s="2555"/>
      <c r="M26" s="2263"/>
      <c r="Q26" s="2269" t="s">
        <v>1461</v>
      </c>
      <c r="R26" s="2305">
        <f>SUM(R27:R29)</f>
        <v>0</v>
      </c>
    </row>
    <row r="27" spans="2:33">
      <c r="B27" s="2639"/>
      <c r="C27" s="2277" t="s">
        <v>113</v>
      </c>
      <c r="D27" s="2260">
        <v>59</v>
      </c>
      <c r="E27" s="2260">
        <f>SUMIFS('利润（汇总）'!10:10,'利润（汇总）'!$1:$1,$B$1,'利润（汇总）'!$2:$2,$B$2)</f>
        <v>1515.6657270000001</v>
      </c>
      <c r="F27" s="2260">
        <f>SUMIFS('利润（汇总）'!10:10,'利润（汇总）'!$1:$1,$A$1,'利润（汇总）'!$2:$2,$A$2)</f>
        <v>4432.1400000000003</v>
      </c>
      <c r="G27" s="2261">
        <f t="shared" si="7"/>
        <v>2916.4742730000003</v>
      </c>
      <c r="H27" s="2308"/>
      <c r="I27" s="2262">
        <f t="shared" si="4"/>
        <v>2916.4742730000003</v>
      </c>
      <c r="J27" s="2551">
        <f>SUMIFS('利润（汇总）'!10:10,'利润（汇总）'!$1:$1,$A$1,'利润（汇总）'!$2:$2,"&lt;="&amp;$A$2)</f>
        <v>18640.875399</v>
      </c>
      <c r="K27" s="2580">
        <f>F27-'@预测#利润分析#'!F27</f>
        <v>847.14000000000033</v>
      </c>
      <c r="L27" s="2555"/>
      <c r="M27" s="2263"/>
      <c r="Q27" s="2271" t="s">
        <v>1453</v>
      </c>
      <c r="R27" s="2272">
        <v>0</v>
      </c>
    </row>
    <row r="28" spans="2:33">
      <c r="B28" s="2639"/>
      <c r="C28" s="2277" t="s">
        <v>118</v>
      </c>
      <c r="D28" s="2260">
        <v>2000</v>
      </c>
      <c r="E28" s="2260">
        <f>SUMIFS('利润（汇总）'!15:15,'利润（汇总）'!$1:$1,$B$1,'利润（汇总）'!$2:$2,$B$2)</f>
        <v>-185.81</v>
      </c>
      <c r="F28" s="2260">
        <f>SUMIFS('利润（汇总）'!15:15,'利润（汇总）'!$1:$1,$A$1,'利润（汇总）'!$2:$2,$A$2)</f>
        <v>-201.42</v>
      </c>
      <c r="G28" s="2261">
        <f t="shared" ref="G28:G42" si="19">F28-E28</f>
        <v>-15.609999999999985</v>
      </c>
      <c r="H28" s="2308"/>
      <c r="I28" s="2262">
        <f t="shared" si="4"/>
        <v>-15.609999999999985</v>
      </c>
      <c r="J28" s="2551">
        <f>SUMIFS('利润（汇总）'!15:15,'利润（汇总）'!$1:$1,$A$1,'利润（汇总）'!$2:$2,"&lt;="&amp;$A$2)</f>
        <v>199.15826100000007</v>
      </c>
      <c r="K28" s="2580">
        <f>F28-'@预测#利润分析#'!F28</f>
        <v>-347.41999999999996</v>
      </c>
      <c r="L28" s="2555"/>
      <c r="M28" s="2263"/>
      <c r="Q28" s="2271" t="s">
        <v>1448</v>
      </c>
      <c r="R28" s="2278">
        <f>Y40</f>
        <v>-3016.9999999999995</v>
      </c>
      <c r="T28" s="2273"/>
    </row>
    <row r="29" spans="2:33" ht="15" thickBot="1">
      <c r="B29" s="2639"/>
      <c r="C29" s="2277" t="s">
        <v>133</v>
      </c>
      <c r="D29" s="2260">
        <v>-110</v>
      </c>
      <c r="E29" s="2260">
        <f>SUMIFS('利润（汇总）'!29:29,'利润（汇总）'!$1:$1,$B$1,'利润（汇总）'!$2:$2,$B$2)</f>
        <v>-9</v>
      </c>
      <c r="F29" s="2260">
        <f>SUMIFS('利润（汇总）'!29:29,'利润（汇总）'!$1:$1,$A$1,'利润（汇总）'!$2:$2,$A$2)</f>
        <v>-7</v>
      </c>
      <c r="G29" s="2261">
        <f t="shared" si="19"/>
        <v>2</v>
      </c>
      <c r="H29" s="2308"/>
      <c r="I29" s="2262">
        <f t="shared" si="4"/>
        <v>2</v>
      </c>
      <c r="J29" s="2551">
        <f>SUMIFS('利润（汇总）'!29:29,'利润（汇总）'!$1:$1,$A$1,'利润（汇总）'!$2:$2,"&lt;="&amp;$A$2)</f>
        <v>23.695625999999997</v>
      </c>
      <c r="K29" s="2580">
        <f>F29-'@预测#利润分析#'!F29</f>
        <v>2</v>
      </c>
      <c r="L29" s="2555"/>
      <c r="M29" s="2263"/>
      <c r="Q29" s="2274" t="s">
        <v>1459</v>
      </c>
      <c r="R29" s="2312">
        <f>Y39</f>
        <v>3016.9999999999995</v>
      </c>
      <c r="W29" s="2273"/>
    </row>
    <row r="30" spans="2:33">
      <c r="B30" s="2639"/>
      <c r="C30" s="2277" t="s">
        <v>115</v>
      </c>
      <c r="D30" s="2260">
        <v>32205</v>
      </c>
      <c r="E30" s="2260">
        <f>SUMIFS('利润（汇总）'!12:12,'利润（汇总）'!$1:$1,$B$1,'利润（汇总）'!$2:$2,$B$2)</f>
        <v>2755.5444600000001</v>
      </c>
      <c r="F30" s="2260">
        <f>SUMIFS('利润（汇总）'!12:12,'利润（汇总）'!$1:$1,$A$1,'利润（汇总）'!$2:$2,$A$2)</f>
        <v>3425.2</v>
      </c>
      <c r="G30" s="2261">
        <f t="shared" si="19"/>
        <v>669.65553999999975</v>
      </c>
      <c r="H30" s="2308"/>
      <c r="I30" s="2262">
        <f t="shared" si="4"/>
        <v>669.65553999999975</v>
      </c>
      <c r="J30" s="2551">
        <f>SUMIFS('利润（汇总）'!12:12,'利润（汇总）'!$1:$1,$A$1,'利润（汇总）'!$2:$2,"&lt;="&amp;$A$2)</f>
        <v>23773.793270000002</v>
      </c>
      <c r="K30" s="2580">
        <f>F30-'@预测#利润分析#'!F30</f>
        <v>389.19999999999982</v>
      </c>
      <c r="L30" s="2555"/>
      <c r="M30" s="2263"/>
    </row>
    <row r="31" spans="2:33">
      <c r="B31" s="2639"/>
      <c r="C31" s="2253" t="s">
        <v>1474</v>
      </c>
      <c r="D31" s="2260"/>
      <c r="E31" s="2254">
        <f>SUM(E32:E36)</f>
        <v>3249.360561</v>
      </c>
      <c r="F31" s="2254">
        <f>SUM(F32:F36)</f>
        <v>8282.2274499999985</v>
      </c>
      <c r="G31" s="2255">
        <f t="shared" si="19"/>
        <v>5032.866888999999</v>
      </c>
      <c r="H31" s="2276">
        <f>SUM(H32:H36)</f>
        <v>0</v>
      </c>
      <c r="I31" s="2255">
        <f t="shared" si="4"/>
        <v>5032.866888999999</v>
      </c>
      <c r="J31" s="2550">
        <f>SUM(J32:J36)</f>
        <v>39787.185643999997</v>
      </c>
      <c r="K31" s="2579">
        <f>F31-'@预测#利润分析#'!F31</f>
        <v>3156.7274499999985</v>
      </c>
      <c r="L31" s="2554"/>
      <c r="M31" s="2256" t="str">
        <f>IF(I31&gt;0,"增加","减少")</f>
        <v>增加</v>
      </c>
      <c r="P31" s="2454"/>
      <c r="Q31" s="2454"/>
      <c r="R31" s="2441" t="s">
        <v>1662</v>
      </c>
      <c r="S31" s="2441" t="s">
        <v>1676</v>
      </c>
      <c r="T31" s="2441" t="s">
        <v>1676</v>
      </c>
      <c r="U31" s="2441" t="s">
        <v>1676</v>
      </c>
      <c r="V31" s="2441" t="s">
        <v>1678</v>
      </c>
      <c r="W31" s="2441" t="s">
        <v>1678</v>
      </c>
      <c r="X31" s="2441" t="s">
        <v>1678</v>
      </c>
      <c r="Y31" s="2441" t="s">
        <v>1678</v>
      </c>
      <c r="Z31" s="2441" t="s">
        <v>1675</v>
      </c>
      <c r="AA31" s="2441" t="s">
        <v>1675</v>
      </c>
      <c r="AB31" s="2441" t="s">
        <v>1675</v>
      </c>
      <c r="AC31" s="2441" t="s">
        <v>1675</v>
      </c>
      <c r="AD31" s="2441" t="s">
        <v>1680</v>
      </c>
      <c r="AE31" s="2441" t="s">
        <v>1680</v>
      </c>
      <c r="AF31" s="2441" t="s">
        <v>1680</v>
      </c>
      <c r="AG31" s="2441" t="s">
        <v>1680</v>
      </c>
    </row>
    <row r="32" spans="2:33">
      <c r="B32" s="2639"/>
      <c r="C32" s="2277" t="s">
        <v>124</v>
      </c>
      <c r="D32" s="2260">
        <v>41785</v>
      </c>
      <c r="E32" s="2260">
        <f>SUMIFS('利润（汇总）'!22:22,'利润（汇总）'!$1:$1,$B$1,'利润（汇总）'!$2:$2,$B$2)</f>
        <v>2995.2456000000002</v>
      </c>
      <c r="F32" s="2260">
        <f>SUMIFS('利润（汇总）'!22:22,'利润（汇总）'!$1:$1,$A$1,'利润（汇总）'!$2:$2,$A$2)</f>
        <v>4040.4353660000002</v>
      </c>
      <c r="G32" s="2261">
        <f t="shared" si="19"/>
        <v>1045.189766</v>
      </c>
      <c r="H32" s="2308"/>
      <c r="I32" s="2262">
        <f t="shared" si="4"/>
        <v>1045.189766</v>
      </c>
      <c r="J32" s="2551">
        <f>SUMIFS('利润（汇总）'!22:22,'利润（汇总）'!$1:$1,$A$1,'利润（汇总）'!$2:$2,"&lt;="&amp;$A$2)</f>
        <v>26105.465911000003</v>
      </c>
      <c r="K32" s="2580">
        <f>F32-'@预测#利润分析#'!F32</f>
        <v>146.43536600000016</v>
      </c>
      <c r="L32" s="2555"/>
      <c r="M32" s="2263"/>
      <c r="P32" s="2454" t="s">
        <v>1072</v>
      </c>
      <c r="Q32" s="2454" t="s">
        <v>1677</v>
      </c>
      <c r="R32" s="2441" t="str">
        <f>$A$2&amp;"月"</f>
        <v>8月</v>
      </c>
      <c r="S32" s="2441" t="str">
        <f>$B$2&amp;"月"</f>
        <v>7月</v>
      </c>
      <c r="T32" s="2441" t="s">
        <v>1656</v>
      </c>
      <c r="U32" s="2441" t="s">
        <v>584</v>
      </c>
      <c r="V32" s="2441" t="str">
        <f>$A$2&amp;"月"</f>
        <v>8月</v>
      </c>
      <c r="W32" s="2441" t="str">
        <f>$B$2&amp;"月"</f>
        <v>7月</v>
      </c>
      <c r="X32" s="2441" t="s">
        <v>825</v>
      </c>
      <c r="Y32" s="2441" t="s">
        <v>585</v>
      </c>
      <c r="Z32" s="2441" t="str">
        <f>$A$2&amp;"月"</f>
        <v>8月</v>
      </c>
      <c r="AA32" s="2441" t="str">
        <f>$B$2&amp;"月"</f>
        <v>7月</v>
      </c>
      <c r="AB32" s="2441" t="s">
        <v>825</v>
      </c>
      <c r="AC32" s="2441" t="s">
        <v>585</v>
      </c>
      <c r="AD32" s="2441" t="str">
        <f>$A$2&amp;"月"</f>
        <v>8月</v>
      </c>
      <c r="AE32" s="2441" t="str">
        <f>$B$2&amp;"月"</f>
        <v>7月</v>
      </c>
      <c r="AF32" s="2441" t="s">
        <v>825</v>
      </c>
      <c r="AG32" s="2441" t="s">
        <v>585</v>
      </c>
    </row>
    <row r="33" spans="2:33">
      <c r="B33" s="2639"/>
      <c r="C33" s="2277" t="s">
        <v>126</v>
      </c>
      <c r="D33" s="2260">
        <v>8200</v>
      </c>
      <c r="E33" s="2260">
        <f>SUMIFS('利润（汇总）'!24:24,'利润（汇总）'!$1:$1,$B$1,'利润（汇总）'!$2:$2,$B$2)</f>
        <v>-467</v>
      </c>
      <c r="F33" s="2260">
        <f>SUMIFS('利润（汇总）'!24:24,'利润（汇总）'!$1:$1,$A$1,'利润（汇总）'!$2:$2,$A$2)</f>
        <v>2484</v>
      </c>
      <c r="G33" s="2261">
        <f t="shared" si="19"/>
        <v>2951</v>
      </c>
      <c r="H33" s="2308"/>
      <c r="I33" s="2262">
        <f t="shared" si="4"/>
        <v>2951</v>
      </c>
      <c r="J33" s="2551">
        <f>SUMIFS('利润（汇总）'!24:24,'利润（汇总）'!$1:$1,$A$1,'利润（汇总）'!$2:$2,"&lt;="&amp;$A$2)</f>
        <v>6580.5110649999997</v>
      </c>
      <c r="K33" s="2580">
        <f>F33-'@预测#利润分析#'!F33</f>
        <v>2024</v>
      </c>
      <c r="L33" s="2555"/>
      <c r="M33" s="2263"/>
      <c r="P33" s="2277" t="s">
        <v>1658</v>
      </c>
      <c r="Q33" s="2277" t="s">
        <v>1657</v>
      </c>
      <c r="R33" s="2455">
        <f>R34+R35</f>
        <v>57.8</v>
      </c>
      <c r="S33" s="2455">
        <f>S34+S35</f>
        <v>51.81</v>
      </c>
      <c r="T33" s="2455">
        <f>R33-S33</f>
        <v>5.9899999999999949</v>
      </c>
      <c r="U33" s="2260">
        <f>-T33*AE33</f>
        <v>-6091.8299999999945</v>
      </c>
      <c r="V33" s="2503">
        <v>1295</v>
      </c>
      <c r="W33" s="2504">
        <v>1473</v>
      </c>
      <c r="X33" s="2260">
        <f>V33-W33</f>
        <v>-178</v>
      </c>
      <c r="Y33" s="2260">
        <f>-X33*R33</f>
        <v>10288.4</v>
      </c>
      <c r="Z33" s="2503">
        <v>469</v>
      </c>
      <c r="AA33" s="2503">
        <v>456</v>
      </c>
      <c r="AB33" s="2380">
        <f>Z33-AA33</f>
        <v>13</v>
      </c>
      <c r="AC33" s="2260">
        <f>AB33*R33</f>
        <v>751.4</v>
      </c>
      <c r="AD33" s="2260">
        <f t="shared" ref="AD33:AD42" si="20">V33-Z33</f>
        <v>826</v>
      </c>
      <c r="AE33" s="2260">
        <f t="shared" ref="AE33:AE42" si="21">W33-AA33</f>
        <v>1017</v>
      </c>
      <c r="AF33" s="2260">
        <f>AD33-AE33</f>
        <v>-191</v>
      </c>
      <c r="AG33" s="2260">
        <f>Y33+AC33</f>
        <v>11039.8</v>
      </c>
    </row>
    <row r="34" spans="2:33">
      <c r="B34" s="2639"/>
      <c r="C34" s="2277" t="s">
        <v>127</v>
      </c>
      <c r="D34" s="2260">
        <v>7693</v>
      </c>
      <c r="E34" s="2260">
        <f>SUMIFS('利润（汇总）'!19:19,'利润（汇总）'!$1:$1,$B$1,'利润（汇总）'!$2:$2,$B$2)</f>
        <v>519.64996300000007</v>
      </c>
      <c r="F34" s="2260">
        <f>SUMIFS('利润（汇总）'!19:19,'利润（汇总）'!$1:$1,$A$1,'利润（汇总）'!$2:$2,$A$2)</f>
        <v>1246.7662150000001</v>
      </c>
      <c r="G34" s="2261">
        <f t="shared" si="19"/>
        <v>727.11625200000003</v>
      </c>
      <c r="H34" s="2308"/>
      <c r="I34" s="2262">
        <f t="shared" si="4"/>
        <v>727.11625200000003</v>
      </c>
      <c r="J34" s="2551">
        <f>SUMIFS('利润（汇总）'!19:19,'利润（汇总）'!$1:$1,$A$1,'利润（汇总）'!$2:$2,"&lt;="&amp;$A$2)</f>
        <v>5057.9174039999998</v>
      </c>
      <c r="K34" s="2580">
        <f>F34-'@预测#利润分析#'!F34</f>
        <v>714.7662150000001</v>
      </c>
      <c r="L34" s="2555"/>
      <c r="M34" s="2263"/>
      <c r="P34" s="2277" t="s">
        <v>1658</v>
      </c>
      <c r="Q34" s="2277" t="s">
        <v>1661</v>
      </c>
      <c r="R34" s="2455">
        <f>SUMIFS('#采购&amp;股份关联'!82:82,'#采购&amp;股份关联'!$1:$1,$A$1,'#采购&amp;股份关联'!$2:$2,$A$2)</f>
        <v>26.52</v>
      </c>
      <c r="S34" s="2455">
        <f>SUMIFS('#采购&amp;股份关联'!82:82,'#采购&amp;股份关联'!$1:$1,$B$1,'#采购&amp;股份关联'!$2:$2,$B$2)</f>
        <v>25.97</v>
      </c>
      <c r="T34" s="2455">
        <f t="shared" ref="T34:T35" si="22">R34-S34</f>
        <v>0.55000000000000071</v>
      </c>
      <c r="U34" s="2260">
        <f t="shared" ref="U34:U42" si="23">T34*AE34</f>
        <v>0</v>
      </c>
      <c r="V34" s="2503">
        <v>1295</v>
      </c>
      <c r="W34" s="2503">
        <v>1473</v>
      </c>
      <c r="X34" s="2380">
        <f>V34-W34</f>
        <v>-178</v>
      </c>
      <c r="Y34" s="2260">
        <f>X34*R34</f>
        <v>-4720.5599999999995</v>
      </c>
      <c r="Z34" s="2380">
        <f>V33</f>
        <v>1295</v>
      </c>
      <c r="AA34" s="2260">
        <f>W33</f>
        <v>1473</v>
      </c>
      <c r="AB34" s="2260">
        <f t="shared" ref="AB34:AB42" si="24">Z34-AA34</f>
        <v>-178</v>
      </c>
      <c r="AC34" s="2260">
        <f t="shared" ref="AC34:AC42" si="25">AB34*R34</f>
        <v>-4720.5599999999995</v>
      </c>
      <c r="AD34" s="2260">
        <f t="shared" si="20"/>
        <v>0</v>
      </c>
      <c r="AE34" s="2260">
        <f t="shared" si="21"/>
        <v>0</v>
      </c>
      <c r="AF34" s="2260">
        <f t="shared" ref="AF34:AF42" si="26">AD34-AE34</f>
        <v>0</v>
      </c>
      <c r="AG34" s="2260">
        <f>Y34+AC34</f>
        <v>-9441.119999999999</v>
      </c>
    </row>
    <row r="35" spans="2:33">
      <c r="B35" s="2639"/>
      <c r="C35" s="2277" t="s">
        <v>128</v>
      </c>
      <c r="D35" s="2260">
        <v>2790</v>
      </c>
      <c r="E35" s="2260">
        <f>SUMIFS('利润（汇总）'!20:20,'利润（汇总）'!$1:$1,$B$1,'利润（汇总）'!$2:$2,$B$2)</f>
        <v>195.67499799999999</v>
      </c>
      <c r="F35" s="2260">
        <f>SUMIFS('利润（汇总）'!20:20,'利润（汇总）'!$1:$1,$A$1,'利润（汇总）'!$2:$2,$A$2)</f>
        <v>472.78586899999993</v>
      </c>
      <c r="G35" s="2261">
        <f t="shared" si="19"/>
        <v>277.11087099999997</v>
      </c>
      <c r="H35" s="2308"/>
      <c r="I35" s="2262">
        <f t="shared" si="4"/>
        <v>277.11087099999997</v>
      </c>
      <c r="J35" s="2551">
        <f>SUMIFS('利润（汇总）'!20:20,'利润（汇总）'!$1:$1,$A$1,'利润（汇总）'!$2:$2,"&lt;="&amp;$A$2)</f>
        <v>1848.1791479999997</v>
      </c>
      <c r="K35" s="2580">
        <f>F35-'@预测#利润分析#'!F35</f>
        <v>267.78586899999993</v>
      </c>
      <c r="L35" s="2555"/>
      <c r="M35" s="2263"/>
      <c r="P35" s="2277" t="s">
        <v>1658</v>
      </c>
      <c r="Q35" s="2277" t="s">
        <v>1660</v>
      </c>
      <c r="R35" s="2456">
        <v>31.28</v>
      </c>
      <c r="S35" s="2456">
        <v>25.84</v>
      </c>
      <c r="T35" s="2455">
        <f t="shared" si="22"/>
        <v>5.4400000000000013</v>
      </c>
      <c r="U35" s="2260">
        <f>T35*AE35</f>
        <v>608.02880000000005</v>
      </c>
      <c r="V35" s="2504">
        <v>1414.96</v>
      </c>
      <c r="W35" s="2504">
        <v>1584.77</v>
      </c>
      <c r="X35" s="2260">
        <f>V35-W35</f>
        <v>-169.80999999999995</v>
      </c>
      <c r="Y35" s="2260">
        <f>X35*R35</f>
        <v>-5311.6567999999988</v>
      </c>
      <c r="Z35" s="2380">
        <f>Z34</f>
        <v>1295</v>
      </c>
      <c r="AA35" s="2260">
        <f>AA34</f>
        <v>1473</v>
      </c>
      <c r="AB35" s="2260">
        <f t="shared" si="24"/>
        <v>-178</v>
      </c>
      <c r="AC35" s="2260">
        <f t="shared" si="25"/>
        <v>-5567.84</v>
      </c>
      <c r="AD35" s="2260">
        <f t="shared" si="20"/>
        <v>119.96000000000004</v>
      </c>
      <c r="AE35" s="2260">
        <f t="shared" si="21"/>
        <v>111.76999999999998</v>
      </c>
      <c r="AF35" s="2260">
        <f t="shared" si="26"/>
        <v>8.1900000000000546</v>
      </c>
      <c r="AG35" s="2260">
        <f t="shared" ref="AG35:AG41" si="27">Y35+AC35</f>
        <v>-10879.496799999999</v>
      </c>
    </row>
    <row r="36" spans="2:33">
      <c r="B36" s="2639"/>
      <c r="C36" s="2277" t="s">
        <v>125</v>
      </c>
      <c r="D36" s="2260">
        <v>265</v>
      </c>
      <c r="E36" s="2260">
        <f>SUMIFS('利润（汇总）'!23:23,'利润（汇总）'!$1:$1,$B$1,'利润（汇总）'!$2:$2,$B$2)</f>
        <v>5.79</v>
      </c>
      <c r="F36" s="2260">
        <f>SUMIFS('利润（汇总）'!23:23,'利润（汇总）'!$1:$1,$A$1,'利润（汇总）'!$2:$2,$A$2)</f>
        <v>38.24</v>
      </c>
      <c r="G36" s="2261">
        <f t="shared" si="19"/>
        <v>32.450000000000003</v>
      </c>
      <c r="H36" s="2308"/>
      <c r="I36" s="2262">
        <f t="shared" si="4"/>
        <v>32.450000000000003</v>
      </c>
      <c r="J36" s="2551">
        <f>SUMIFS('利润（汇总）'!23:23,'利润（汇总）'!$1:$1,$A$1,'利润（汇总）'!$2:$2,"&lt;="&amp;$A$2)</f>
        <v>195.11211599999999</v>
      </c>
      <c r="K36" s="2580">
        <f>F36-'@预测#利润分析#'!F36</f>
        <v>3.740000000000002</v>
      </c>
      <c r="L36" s="2555"/>
      <c r="M36" s="2263"/>
      <c r="P36" s="2277" t="s">
        <v>1666</v>
      </c>
      <c r="Q36" s="2277" t="s">
        <v>1667</v>
      </c>
      <c r="R36" s="2380">
        <f>ROUND(SUMIFS(矿产品购销!$3:$3,矿产品购销!1:1,$A$1,矿产品购销!$2:$2,$A$2)/10000,2)</f>
        <v>31.28</v>
      </c>
      <c r="S36" s="2380">
        <f>ROUND(SUMIFS(矿产品购销!$3:$3,矿产品购销!1:1,$B$1,矿产品购销!$2:$2,$B$2)/10000,2)</f>
        <v>25.36</v>
      </c>
      <c r="T36" s="2455">
        <f t="shared" ref="T36:T42" si="28">R36-S36</f>
        <v>5.9200000000000017</v>
      </c>
      <c r="U36" s="2260">
        <f t="shared" si="23"/>
        <v>0</v>
      </c>
      <c r="V36" s="2260">
        <f>ROUND(SUMIFS(矿产品购销!$4:$4,矿产品购销!1:1,$A$1,矿产品购销!$2:$2,$A$2),2)</f>
        <v>1415.48</v>
      </c>
      <c r="W36" s="2260">
        <f>ROUND(SUMIFS(矿产品购销!$4:$4,矿产品购销!1:1,$B$1,矿产品购销!$2:$2,$B$2),2)</f>
        <v>1584.77</v>
      </c>
      <c r="X36" s="2260">
        <f t="shared" ref="X36:X42" si="29">V36-W36</f>
        <v>-169.28999999999996</v>
      </c>
      <c r="Y36" s="2260">
        <f>X36*R36</f>
        <v>-5295.3911999999991</v>
      </c>
      <c r="Z36" s="2260">
        <f>V35</f>
        <v>1414.96</v>
      </c>
      <c r="AA36" s="2260">
        <f>W35</f>
        <v>1584.77</v>
      </c>
      <c r="AB36" s="2380">
        <f t="shared" si="24"/>
        <v>-169.80999999999995</v>
      </c>
      <c r="AC36" s="2260">
        <f t="shared" si="25"/>
        <v>-5311.6567999999988</v>
      </c>
      <c r="AD36" s="2260">
        <f t="shared" si="20"/>
        <v>0.51999999999998181</v>
      </c>
      <c r="AE36" s="2260">
        <f t="shared" si="21"/>
        <v>0</v>
      </c>
      <c r="AF36" s="2260">
        <f t="shared" si="26"/>
        <v>0.51999999999998181</v>
      </c>
      <c r="AG36" s="2260">
        <f t="shared" si="27"/>
        <v>-10607.047999999999</v>
      </c>
    </row>
    <row r="37" spans="2:33">
      <c r="B37" s="2639"/>
      <c r="C37" s="2253" t="s">
        <v>1475</v>
      </c>
      <c r="D37" s="2260"/>
      <c r="E37" s="2254">
        <f>SUM(E38:E41)</f>
        <v>-385.74505700000003</v>
      </c>
      <c r="F37" s="2254">
        <f>SUM(F38:F41)</f>
        <v>287.87</v>
      </c>
      <c r="G37" s="2255">
        <f t="shared" si="19"/>
        <v>673.61505699999998</v>
      </c>
      <c r="H37" s="2276">
        <f>SUM(H38:H41)</f>
        <v>0</v>
      </c>
      <c r="I37" s="2255">
        <f t="shared" si="4"/>
        <v>673.61505699999998</v>
      </c>
      <c r="J37" s="2550">
        <f>SUM(J38:J41)</f>
        <v>1929.791356</v>
      </c>
      <c r="K37" s="2579">
        <f>F37-'@预测#利润分析#'!F37</f>
        <v>247.87</v>
      </c>
      <c r="L37" s="2554"/>
      <c r="M37" s="2256" t="str">
        <f>IF(I37&gt;0,"增加","减少")</f>
        <v>增加</v>
      </c>
      <c r="P37" s="2277" t="s">
        <v>1659</v>
      </c>
      <c r="Q37" s="2277" t="s">
        <v>1670</v>
      </c>
      <c r="R37" s="2455">
        <f>SUMIFS('#采购&amp;股份关联'!84:84,'#采购&amp;股份关联'!$1:$1,$A$1,'#采购&amp;股份关联'!$2:$2,$A$2)</f>
        <v>21.41</v>
      </c>
      <c r="S37" s="2455">
        <f>SUMIFS('#采购&amp;股份关联'!84:84,'#采购&amp;股份关联'!$1:$1,$B$1,'#采购&amp;股份关联'!$2:$2,$B$2)</f>
        <v>24.19</v>
      </c>
      <c r="T37" s="2455">
        <f t="shared" si="28"/>
        <v>-2.7800000000000011</v>
      </c>
      <c r="U37" s="2260">
        <f>-T37*AE37</f>
        <v>2704.940000000001</v>
      </c>
      <c r="V37" s="2503">
        <v>1355</v>
      </c>
      <c r="W37" s="2504">
        <v>1528</v>
      </c>
      <c r="X37" s="2260">
        <f t="shared" si="29"/>
        <v>-173</v>
      </c>
      <c r="Y37" s="2260">
        <f>-X37*R37</f>
        <v>3703.93</v>
      </c>
      <c r="Z37" s="2503">
        <v>595</v>
      </c>
      <c r="AA37" s="2503">
        <v>555</v>
      </c>
      <c r="AB37" s="2380">
        <f t="shared" si="24"/>
        <v>40</v>
      </c>
      <c r="AC37" s="2260">
        <f t="shared" si="25"/>
        <v>856.4</v>
      </c>
      <c r="AD37" s="2260">
        <f t="shared" si="20"/>
        <v>760</v>
      </c>
      <c r="AE37" s="2260">
        <f t="shared" si="21"/>
        <v>973</v>
      </c>
      <c r="AF37" s="2260">
        <f t="shared" si="26"/>
        <v>-213</v>
      </c>
      <c r="AG37" s="2260">
        <f t="shared" si="27"/>
        <v>4560.33</v>
      </c>
    </row>
    <row r="38" spans="2:33">
      <c r="B38" s="2639"/>
      <c r="C38" s="2277" t="s">
        <v>132</v>
      </c>
      <c r="D38" s="2260">
        <v>3350</v>
      </c>
      <c r="E38" s="2260">
        <f>SUMIFS('利润（汇总）'!28:28,'利润（汇总）'!$1:$1,$B$1,'利润（汇总）'!$2:$2,$B$2)</f>
        <v>-191.368336</v>
      </c>
      <c r="F38" s="2260">
        <f>SUMIFS('利润（汇总）'!28:28,'利润（汇总）'!$1:$1,$A$1,'利润（汇总）'!$2:$2,$A$2)</f>
        <v>61.28</v>
      </c>
      <c r="G38" s="2261">
        <f t="shared" si="19"/>
        <v>252.648336</v>
      </c>
      <c r="H38" s="2308"/>
      <c r="I38" s="2262">
        <f t="shared" si="4"/>
        <v>252.648336</v>
      </c>
      <c r="J38" s="2551">
        <f>SUMIFS('利润（汇总）'!28:28,'利润（汇总）'!$1:$1,$A$1,'利润（汇总）'!$2:$2,"&lt;="&amp;$A$2)</f>
        <v>1066.09726</v>
      </c>
      <c r="K38" s="2580">
        <f>F38-'@预测#利润分析#'!F38</f>
        <v>61.28</v>
      </c>
      <c r="L38" s="2555"/>
      <c r="M38" s="2263"/>
      <c r="P38" s="2277" t="s">
        <v>1669</v>
      </c>
      <c r="Q38" s="2277" t="s">
        <v>1668</v>
      </c>
      <c r="R38" s="2455">
        <f>R37</f>
        <v>21.41</v>
      </c>
      <c r="S38" s="2455">
        <f>S37</f>
        <v>24.19</v>
      </c>
      <c r="T38" s="2455">
        <f t="shared" si="28"/>
        <v>-2.7800000000000011</v>
      </c>
      <c r="U38" s="2260">
        <f>T38*AE38</f>
        <v>0</v>
      </c>
      <c r="V38" s="2503">
        <v>1355</v>
      </c>
      <c r="W38" s="2503">
        <v>1528</v>
      </c>
      <c r="X38" s="2380">
        <f>V38-W38</f>
        <v>-173</v>
      </c>
      <c r="Y38" s="2260">
        <f>X38*R38</f>
        <v>-3703.93</v>
      </c>
      <c r="Z38" s="2260">
        <f>V37</f>
        <v>1355</v>
      </c>
      <c r="AA38" s="2260">
        <f>W37</f>
        <v>1528</v>
      </c>
      <c r="AB38" s="2260">
        <f t="shared" si="24"/>
        <v>-173</v>
      </c>
      <c r="AC38" s="2260">
        <f t="shared" si="25"/>
        <v>-3703.93</v>
      </c>
      <c r="AD38" s="2260">
        <f t="shared" si="20"/>
        <v>0</v>
      </c>
      <c r="AE38" s="2260">
        <f t="shared" si="21"/>
        <v>0</v>
      </c>
      <c r="AF38" s="2260">
        <f t="shared" si="26"/>
        <v>0</v>
      </c>
      <c r="AG38" s="2260">
        <f t="shared" si="27"/>
        <v>-7407.86</v>
      </c>
    </row>
    <row r="39" spans="2:33">
      <c r="B39" s="2639"/>
      <c r="C39" s="2277" t="s">
        <v>117</v>
      </c>
      <c r="D39" s="2260">
        <v>680</v>
      </c>
      <c r="E39" s="2260">
        <f>SUMIFS('利润（汇总）'!14:14,'利润（汇总）'!$1:$1,$B$1,'利润（汇总）'!$2:$2,$B$2)</f>
        <v>-210.11</v>
      </c>
      <c r="F39" s="2260">
        <f>SUMIFS('利润（汇总）'!14:14,'利润（汇总）'!$1:$1,$A$1,'利润（汇总）'!$2:$2,$A$2)</f>
        <v>186.59</v>
      </c>
      <c r="G39" s="2261">
        <f t="shared" si="19"/>
        <v>396.70000000000005</v>
      </c>
      <c r="H39" s="2308"/>
      <c r="I39" s="2262">
        <f t="shared" si="4"/>
        <v>396.70000000000005</v>
      </c>
      <c r="J39" s="2551">
        <f>SUMIFS('利润（汇总）'!14:14,'利润（汇总）'!$1:$1,$A$1,'利润（汇总）'!$2:$2,"&lt;="&amp;$A$2)</f>
        <v>367.80561299999999</v>
      </c>
      <c r="K39" s="2580">
        <f>F39-'@预测#利润分析#'!F39</f>
        <v>176.59</v>
      </c>
      <c r="L39" s="2555"/>
      <c r="M39" s="2263"/>
      <c r="P39" s="2277" t="s">
        <v>1663</v>
      </c>
      <c r="Q39" s="2277" t="s">
        <v>1671</v>
      </c>
      <c r="R39" s="2455">
        <f>SUMIFS('#采购&amp;股份关联'!83:83,'#采购&amp;股份关联'!$1:$1,$A$1,'#采购&amp;股份关联'!$2:$2,$A$2)</f>
        <v>17.239999999999998</v>
      </c>
      <c r="S39" s="2455">
        <f>SUMIFS('#采购&amp;股份关联'!83:83,'#采购&amp;股份关联'!$1:$1,$B$1,'#采购&amp;股份关联'!$2:$2,$B$2)</f>
        <v>7.57</v>
      </c>
      <c r="T39" s="2455">
        <f t="shared" si="28"/>
        <v>9.6699999999999982</v>
      </c>
      <c r="U39" s="2260">
        <f>-T39*AE39</f>
        <v>-6827.0199999999986</v>
      </c>
      <c r="V39" s="2503">
        <v>1375</v>
      </c>
      <c r="W39" s="2503">
        <v>1550</v>
      </c>
      <c r="X39" s="2380">
        <f t="shared" si="29"/>
        <v>-175</v>
      </c>
      <c r="Y39" s="2260">
        <f>-X39*R39</f>
        <v>3016.9999999999995</v>
      </c>
      <c r="Z39" s="2503">
        <v>1162</v>
      </c>
      <c r="AA39" s="2503">
        <v>844</v>
      </c>
      <c r="AB39" s="2260">
        <f t="shared" si="24"/>
        <v>318</v>
      </c>
      <c r="AC39" s="2260">
        <f t="shared" si="25"/>
        <v>5482.32</v>
      </c>
      <c r="AD39" s="2260">
        <f t="shared" si="20"/>
        <v>213</v>
      </c>
      <c r="AE39" s="2260">
        <f t="shared" si="21"/>
        <v>706</v>
      </c>
      <c r="AF39" s="2260">
        <f t="shared" si="26"/>
        <v>-493</v>
      </c>
      <c r="AG39" s="2260">
        <f t="shared" si="27"/>
        <v>8499.32</v>
      </c>
    </row>
    <row r="40" spans="2:33">
      <c r="B40" s="2639"/>
      <c r="C40" s="2277" t="s">
        <v>134</v>
      </c>
      <c r="D40" s="2260">
        <v>290</v>
      </c>
      <c r="E40" s="2260">
        <f>SUMIFS('利润（汇总）'!30:30,'利润（汇总）'!$1:$1,$B$1,'利润（汇总）'!$2:$2,$B$2)</f>
        <v>1.73327899999999</v>
      </c>
      <c r="F40" s="2260">
        <f>SUMIFS('利润（汇总）'!30:30,'利润（汇总）'!$1:$1,$A$1,'利润（汇总）'!$2:$2,$A$2)</f>
        <v>27</v>
      </c>
      <c r="G40" s="2261">
        <f t="shared" si="19"/>
        <v>25.266721000000011</v>
      </c>
      <c r="H40" s="2308"/>
      <c r="I40" s="2262">
        <f t="shared" si="4"/>
        <v>25.266721000000011</v>
      </c>
      <c r="J40" s="2551">
        <f>SUMIFS('利润（汇总）'!30:30,'利润（汇总）'!$1:$1,$A$1,'利润（汇总）'!$2:$2,"&lt;="&amp;$A$2)</f>
        <v>208.22421899999998</v>
      </c>
      <c r="K40" s="2580">
        <f>F40-'@预测#利润分析#'!F40</f>
        <v>12</v>
      </c>
      <c r="L40" s="2555"/>
      <c r="M40" s="2263"/>
      <c r="P40" s="2277" t="s">
        <v>1672</v>
      </c>
      <c r="Q40" s="2277" t="s">
        <v>1668</v>
      </c>
      <c r="R40" s="2455">
        <f>R39</f>
        <v>17.239999999999998</v>
      </c>
      <c r="S40" s="2455">
        <f>S39</f>
        <v>7.57</v>
      </c>
      <c r="T40" s="2455">
        <f t="shared" si="28"/>
        <v>9.6699999999999982</v>
      </c>
      <c r="U40" s="2260">
        <f t="shared" si="23"/>
        <v>0</v>
      </c>
      <c r="V40" s="2503">
        <v>1375</v>
      </c>
      <c r="W40" s="2503">
        <v>1550</v>
      </c>
      <c r="X40" s="2380">
        <f t="shared" si="29"/>
        <v>-175</v>
      </c>
      <c r="Y40" s="2260">
        <f>X40*R40</f>
        <v>-3016.9999999999995</v>
      </c>
      <c r="Z40" s="2380">
        <f>V39</f>
        <v>1375</v>
      </c>
      <c r="AA40" s="2380">
        <f>W39</f>
        <v>1550</v>
      </c>
      <c r="AB40" s="2380">
        <f t="shared" si="24"/>
        <v>-175</v>
      </c>
      <c r="AC40" s="2260">
        <f t="shared" si="25"/>
        <v>-3016.9999999999995</v>
      </c>
      <c r="AD40" s="2260">
        <f t="shared" si="20"/>
        <v>0</v>
      </c>
      <c r="AE40" s="2260">
        <f t="shared" si="21"/>
        <v>0</v>
      </c>
      <c r="AF40" s="2260">
        <f t="shared" si="26"/>
        <v>0</v>
      </c>
      <c r="AG40" s="2260">
        <f t="shared" si="27"/>
        <v>-6033.9999999999991</v>
      </c>
    </row>
    <row r="41" spans="2:33">
      <c r="B41" s="2639"/>
      <c r="C41" s="2277" t="s">
        <v>119</v>
      </c>
      <c r="D41" s="2260">
        <v>80</v>
      </c>
      <c r="E41" s="2260">
        <f>SUMIFS('利润（汇总）'!16:16,'利润（汇总）'!$1:$1,$B$1,'利润（汇总）'!$2:$2,$B$2)</f>
        <v>14</v>
      </c>
      <c r="F41" s="2260">
        <f>SUMIFS('利润（汇总）'!16:16,'利润（汇总）'!$1:$1,$A$1,'利润（汇总）'!$2:$2,$A$2)</f>
        <v>13</v>
      </c>
      <c r="G41" s="2261">
        <f t="shared" si="19"/>
        <v>-1</v>
      </c>
      <c r="H41" s="2308"/>
      <c r="I41" s="2262">
        <f t="shared" si="4"/>
        <v>-1</v>
      </c>
      <c r="J41" s="2551">
        <f>SUMIFS('利润（汇总）'!16:16,'利润（汇总）'!$1:$1,$A$1,'利润（汇总）'!$2:$2,"&lt;="&amp;$A$2)</f>
        <v>287.664264</v>
      </c>
      <c r="K41" s="2580">
        <f>F41-'@预测#利润分析#'!F41</f>
        <v>-2</v>
      </c>
      <c r="L41" s="2555"/>
      <c r="M41" s="2263"/>
      <c r="P41" s="2277" t="s">
        <v>1673</v>
      </c>
      <c r="Q41" s="2277" t="s">
        <v>1674</v>
      </c>
      <c r="R41" s="2455">
        <f>R42</f>
        <v>30.84</v>
      </c>
      <c r="S41" s="2455">
        <f>S42</f>
        <v>31.43</v>
      </c>
      <c r="T41" s="2455">
        <f t="shared" si="28"/>
        <v>-0.58999999999999986</v>
      </c>
      <c r="U41" s="2260">
        <f>-T41*AE41</f>
        <v>483.20999999999987</v>
      </c>
      <c r="V41" s="2503">
        <v>1300</v>
      </c>
      <c r="W41" s="2503">
        <v>1300</v>
      </c>
      <c r="X41" s="2380">
        <f t="shared" si="29"/>
        <v>0</v>
      </c>
      <c r="Y41" s="2260">
        <f>-X41*R41</f>
        <v>0</v>
      </c>
      <c r="Z41" s="2504">
        <v>520</v>
      </c>
      <c r="AA41" s="2504">
        <v>481</v>
      </c>
      <c r="AB41" s="2260">
        <f t="shared" si="24"/>
        <v>39</v>
      </c>
      <c r="AC41" s="2260">
        <f t="shared" si="25"/>
        <v>1202.76</v>
      </c>
      <c r="AD41" s="2260">
        <f t="shared" si="20"/>
        <v>780</v>
      </c>
      <c r="AE41" s="2260">
        <f t="shared" si="21"/>
        <v>819</v>
      </c>
      <c r="AF41" s="2260">
        <f t="shared" si="26"/>
        <v>-39</v>
      </c>
      <c r="AG41" s="2260">
        <f t="shared" si="27"/>
        <v>1202.76</v>
      </c>
    </row>
    <row r="42" spans="2:33">
      <c r="B42" s="2639"/>
      <c r="C42" s="2253" t="s">
        <v>1476</v>
      </c>
      <c r="D42" s="2260"/>
      <c r="E42" s="2254">
        <f>SUM(E43:E44)</f>
        <v>820</v>
      </c>
      <c r="F42" s="2254">
        <f>SUM(F43:F44)</f>
        <v>476.5</v>
      </c>
      <c r="G42" s="2255">
        <f t="shared" si="19"/>
        <v>-343.5</v>
      </c>
      <c r="H42" s="2276">
        <f>SUM(H43:H44)</f>
        <v>0</v>
      </c>
      <c r="I42" s="2262">
        <f t="shared" si="4"/>
        <v>-343.5</v>
      </c>
      <c r="J42" s="2550">
        <f>SUM(J43:J44)</f>
        <v>1530.8225520000005</v>
      </c>
      <c r="K42" s="2579">
        <f>F42-'@预测#利润分析#'!F42</f>
        <v>760.5</v>
      </c>
      <c r="L42" s="2554"/>
      <c r="M42" s="2263"/>
      <c r="P42" s="2277" t="s">
        <v>1664</v>
      </c>
      <c r="Q42" s="2277" t="s">
        <v>1665</v>
      </c>
      <c r="R42" s="2455">
        <f>SUMIFS('#采购&amp;股份关联'!80:80,'#采购&amp;股份关联'!$1:$1,$A$1,'#采购&amp;股份关联'!$2:$2,$A$2)</f>
        <v>30.84</v>
      </c>
      <c r="S42" s="2455">
        <f>SUMIFS('#采购&amp;股份关联'!80:80,'#采购&amp;股份关联'!$1:$1,$B$1,'#采购&amp;股份关联'!$2:$2,$B$2)</f>
        <v>31.43</v>
      </c>
      <c r="T42" s="2455">
        <f t="shared" si="28"/>
        <v>-0.58999999999999986</v>
      </c>
      <c r="U42" s="2260">
        <f t="shared" si="23"/>
        <v>-142.18999999999997</v>
      </c>
      <c r="V42" s="2503">
        <v>1355</v>
      </c>
      <c r="W42" s="2503">
        <v>1541</v>
      </c>
      <c r="X42" s="2380">
        <f t="shared" si="29"/>
        <v>-186</v>
      </c>
      <c r="Y42" s="2260">
        <f>X42*R42</f>
        <v>-5736.24</v>
      </c>
      <c r="Z42" s="2380">
        <f>V41</f>
        <v>1300</v>
      </c>
      <c r="AA42" s="2380">
        <f>W41</f>
        <v>1300</v>
      </c>
      <c r="AB42" s="2380">
        <f t="shared" si="24"/>
        <v>0</v>
      </c>
      <c r="AC42" s="2260">
        <f t="shared" si="25"/>
        <v>0</v>
      </c>
      <c r="AD42" s="2260">
        <f t="shared" si="20"/>
        <v>55</v>
      </c>
      <c r="AE42" s="2260">
        <f t="shared" si="21"/>
        <v>241</v>
      </c>
      <c r="AF42" s="2260">
        <f t="shared" si="26"/>
        <v>-186</v>
      </c>
      <c r="AG42" s="2260">
        <f>Y42+AC42</f>
        <v>-5736.24</v>
      </c>
    </row>
    <row r="43" spans="2:33">
      <c r="B43" s="2639"/>
      <c r="C43" s="2277" t="s">
        <v>114</v>
      </c>
      <c r="D43" s="2260">
        <v>1236</v>
      </c>
      <c r="E43" s="2260">
        <f>SUMIFS('利润（汇总）'!11:11,'利润（汇总）'!$1:$1,$B$1,'利润（汇总）'!$2:$2,$B$2)</f>
        <v>1096</v>
      </c>
      <c r="F43" s="2260">
        <f>SUMIFS('利润（汇总）'!11:11,'利润（汇总）'!$1:$1,$A$1,'利润（汇总）'!$2:$2,$A$2)</f>
        <v>677.5</v>
      </c>
      <c r="G43" s="2261">
        <f t="shared" si="7"/>
        <v>-418.5</v>
      </c>
      <c r="H43" s="2308"/>
      <c r="I43" s="2262">
        <f t="shared" si="4"/>
        <v>-418.5</v>
      </c>
      <c r="J43" s="2551">
        <f>SUMIFS('利润（汇总）'!11:11,'利润（汇总）'!$1:$1,$A$1,'利润（汇总）'!$2:$2,"&lt;="&amp;$A$2)</f>
        <v>3761.6320850000002</v>
      </c>
      <c r="K43" s="2580">
        <f>F43-'@预测#利润分析#'!F43</f>
        <v>691.5</v>
      </c>
      <c r="L43" s="2555"/>
      <c r="M43" s="2263"/>
    </row>
    <row r="44" spans="2:33">
      <c r="B44" s="2639"/>
      <c r="C44" s="2277" t="s">
        <v>116</v>
      </c>
      <c r="D44" s="2260">
        <v>-1500</v>
      </c>
      <c r="E44" s="2260">
        <f>SUMIFS('利润（汇总）'!13:13,'利润（汇总）'!$1:$1,$B$1,'利润（汇总）'!$2:$2,$B$2)</f>
        <v>-276</v>
      </c>
      <c r="F44" s="2260">
        <f>SUMIFS('利润（汇总）'!13:13,'利润（汇总）'!$1:$1,$A$1,'利润（汇总）'!$2:$2,$A$2)</f>
        <v>-201</v>
      </c>
      <c r="G44" s="2261">
        <f t="shared" si="7"/>
        <v>75</v>
      </c>
      <c r="H44" s="2308"/>
      <c r="I44" s="2262">
        <f t="shared" si="4"/>
        <v>75</v>
      </c>
      <c r="J44" s="2551">
        <f>SUMIFS('利润（汇总）'!13:13,'利润（汇总）'!$1:$1,$A$1,'利润（汇总）'!$2:$2,"&lt;="&amp;$A$2)</f>
        <v>-2230.8095329999996</v>
      </c>
      <c r="K44" s="2580">
        <f>F44-'@预测#利润分析#'!F44</f>
        <v>69</v>
      </c>
      <c r="L44" s="2555"/>
      <c r="M44" s="2263"/>
      <c r="Q44" s="2306" t="s">
        <v>1712</v>
      </c>
      <c r="R44" s="2505">
        <f>R33+R37+R39+R41</f>
        <v>127.28999999999999</v>
      </c>
      <c r="S44" s="2505">
        <f>S33+S37+S39+S41</f>
        <v>115</v>
      </c>
    </row>
    <row r="45" spans="2:33">
      <c r="B45" s="2639"/>
      <c r="C45" s="2253" t="s">
        <v>1477</v>
      </c>
      <c r="D45" s="2260"/>
      <c r="E45" s="2254">
        <f>SUM(E46:E49)</f>
        <v>199.363</v>
      </c>
      <c r="F45" s="2254">
        <f>SUM(F46:F49)</f>
        <v>197.42</v>
      </c>
      <c r="G45" s="2255">
        <f>F45-E45</f>
        <v>-1.9430000000000121</v>
      </c>
      <c r="H45" s="2276">
        <f>SUM(H46:H49)</f>
        <v>0</v>
      </c>
      <c r="I45" s="2262">
        <f t="shared" si="4"/>
        <v>-1.9430000000000121</v>
      </c>
      <c r="J45" s="2550">
        <f>SUM(J46:J49)</f>
        <v>2920.9813489999997</v>
      </c>
      <c r="K45" s="2579">
        <f>F45-'@预测#利润分析#'!F45</f>
        <v>77.419999999999987</v>
      </c>
      <c r="L45" s="2554"/>
      <c r="M45" s="2263"/>
      <c r="Q45" s="2306" t="s">
        <v>1661</v>
      </c>
      <c r="R45" s="2505">
        <f>R34+R38+R40+R42</f>
        <v>96.01</v>
      </c>
      <c r="S45" s="2505">
        <f>S34+S38+S40+S42</f>
        <v>89.16</v>
      </c>
      <c r="V45" s="2273"/>
      <c r="X45" s="2273"/>
      <c r="AD45" s="2265">
        <f>1431*3000</f>
        <v>4293000</v>
      </c>
    </row>
    <row r="46" spans="2:33">
      <c r="B46" s="2639"/>
      <c r="C46" s="2277" t="s">
        <v>129</v>
      </c>
      <c r="D46" s="2260">
        <v>2065</v>
      </c>
      <c r="E46" s="2260">
        <f>SUMIFS('利润（汇总）'!25:25,'利润（汇总）'!$1:$1,$B$1,'利润（汇总）'!$2:$2,$B$2)</f>
        <v>130.30000000000001</v>
      </c>
      <c r="F46" s="2260">
        <f>SUMIFS('利润（汇总）'!25:25,'利润（汇总）'!$1:$1,$A$1,'利润（汇总）'!$2:$2,$A$2)</f>
        <v>48.7</v>
      </c>
      <c r="G46" s="2261">
        <f>F46-E46</f>
        <v>-81.600000000000009</v>
      </c>
      <c r="H46" s="2308"/>
      <c r="I46" s="2262">
        <f t="shared" si="4"/>
        <v>-81.600000000000009</v>
      </c>
      <c r="J46" s="2551">
        <f>SUMIFS('利润（汇总）'!25:25,'利润（汇总）'!$1:$1,$A$1,'利润（汇总）'!$2:$2,"&lt;="&amp;$A$2)</f>
        <v>1391.215281</v>
      </c>
      <c r="K46" s="2580">
        <f>F46-'@预测#利润分析#'!F46</f>
        <v>18.700000000000003</v>
      </c>
      <c r="L46" s="2555"/>
      <c r="M46" s="2263"/>
      <c r="Q46" s="2306" t="s">
        <v>1713</v>
      </c>
      <c r="R46" s="2506">
        <f>R35</f>
        <v>31.28</v>
      </c>
      <c r="S46" s="2506">
        <f>S35</f>
        <v>25.84</v>
      </c>
    </row>
    <row r="47" spans="2:33">
      <c r="B47" s="2639"/>
      <c r="C47" s="2277" t="s">
        <v>130</v>
      </c>
      <c r="D47" s="2260">
        <v>1700</v>
      </c>
      <c r="E47" s="2260">
        <f>SUMIFS('利润（汇总）'!26:26,'利润（汇总）'!$1:$1,$B$1,'利润（汇总）'!$2:$2,$B$2)</f>
        <v>112.7</v>
      </c>
      <c r="F47" s="2260">
        <f>SUMIFS('利润（汇总）'!26:26,'利润（汇总）'!$1:$1,$A$1,'利润（汇总）'!$2:$2,$A$2)</f>
        <v>197</v>
      </c>
      <c r="G47" s="2261">
        <f>F47-E47</f>
        <v>84.3</v>
      </c>
      <c r="H47" s="2308"/>
      <c r="I47" s="2262">
        <f t="shared" si="4"/>
        <v>84.3</v>
      </c>
      <c r="J47" s="2551">
        <f>SUMIFS('利润（汇总）'!26:26,'利润（汇总）'!$1:$1,$A$1,'利润（汇总）'!$2:$2,"&lt;="&amp;$A$2)</f>
        <v>1358.2425489999998</v>
      </c>
      <c r="K47" s="2580">
        <f>F47-'@预测#利润分析#'!F47</f>
        <v>21</v>
      </c>
      <c r="L47" s="2555"/>
      <c r="M47" s="2263"/>
      <c r="V47" s="2273"/>
    </row>
    <row r="48" spans="2:33">
      <c r="B48" s="2639"/>
      <c r="C48" s="2277" t="s">
        <v>123</v>
      </c>
      <c r="D48" s="2260">
        <v>400</v>
      </c>
      <c r="E48" s="2260">
        <f>SUMIFS('利润（汇总）'!21:21,'利润（汇总）'!$1:$1,$B$1,'利润（汇总）'!$2:$2,$B$2)</f>
        <v>58</v>
      </c>
      <c r="F48" s="2260">
        <f>SUMIFS('利润（汇总）'!21:21,'利润（汇总）'!$1:$1,$A$1,'利润（汇总）'!$2:$2,$A$2)</f>
        <v>-61.28</v>
      </c>
      <c r="G48" s="2261">
        <f t="shared" si="7"/>
        <v>-119.28</v>
      </c>
      <c r="H48" s="2308"/>
      <c r="I48" s="2262">
        <f t="shared" si="4"/>
        <v>-119.28</v>
      </c>
      <c r="J48" s="2551">
        <f>SUMIFS('利润（汇总）'!21:21,'利润（汇总）'!$1:$1,$A$1,'利润（汇总）'!$2:$2,"&lt;="&amp;$A$2)</f>
        <v>4.5201540000000193</v>
      </c>
      <c r="K48" s="2580">
        <f>F48-'@预测#利润分析#'!F48</f>
        <v>175.72</v>
      </c>
      <c r="L48" s="2555"/>
      <c r="M48" s="2263"/>
    </row>
    <row r="49" spans="2:21">
      <c r="B49" s="2639"/>
      <c r="C49" s="2277" t="s">
        <v>131</v>
      </c>
      <c r="D49" s="2260">
        <v>1118</v>
      </c>
      <c r="E49" s="2260">
        <f>SUMIFS('利润（汇总）'!27:27,'利润（汇总）'!$1:$1,$B$1,'利润（汇总）'!$2:$2,$B$2)</f>
        <v>-101.637</v>
      </c>
      <c r="F49" s="2260">
        <f>SUMIFS('利润（汇总）'!27:27,'利润（汇总）'!$1:$1,$A$1,'利润（汇总）'!$2:$2,$A$2)</f>
        <v>13</v>
      </c>
      <c r="G49" s="2261">
        <f t="shared" si="7"/>
        <v>114.637</v>
      </c>
      <c r="H49" s="2308"/>
      <c r="I49" s="2262">
        <f t="shared" si="4"/>
        <v>114.637</v>
      </c>
      <c r="J49" s="2551">
        <f>SUMIFS('利润（汇总）'!27:27,'利润（汇总）'!$1:$1,$A$1,'利润（汇总）'!$2:$2,"&lt;="&amp;$A$2)</f>
        <v>167.00336499999997</v>
      </c>
      <c r="K49" s="2580">
        <f>F49-'@预测#利润分析#'!F49</f>
        <v>-138</v>
      </c>
      <c r="L49" s="2555"/>
      <c r="M49" s="2263"/>
    </row>
    <row r="50" spans="2:21">
      <c r="B50" s="2639"/>
      <c r="C50" s="2253" t="s">
        <v>1478</v>
      </c>
      <c r="D50" s="2260"/>
      <c r="E50" s="2254">
        <f>SUM(E51:E55)</f>
        <v>-37.721206000000002</v>
      </c>
      <c r="F50" s="2254">
        <f>SUM(F51:F55)</f>
        <v>-32.929459000000001</v>
      </c>
      <c r="G50" s="2255">
        <f>F50-E50</f>
        <v>4.7917470000000009</v>
      </c>
      <c r="H50" s="2276">
        <f>SUM(H51:H55)</f>
        <v>0</v>
      </c>
      <c r="I50" s="2262">
        <f t="shared" si="4"/>
        <v>4.7917470000000009</v>
      </c>
      <c r="J50" s="2550">
        <f>SUM(J51:J55)</f>
        <v>-293.98440699999998</v>
      </c>
      <c r="K50" s="2579">
        <f>F50-'@预测#利润分析#'!F50</f>
        <v>5.0705409999999986</v>
      </c>
      <c r="L50" s="2554"/>
      <c r="M50" s="2263"/>
    </row>
    <row r="51" spans="2:21">
      <c r="B51" s="2639"/>
      <c r="C51" s="2277" t="s">
        <v>136</v>
      </c>
      <c r="D51" s="2260">
        <v>-17</v>
      </c>
      <c r="E51" s="2260">
        <f>SUMIFS('利润（汇总）'!32:32,'利润（汇总）'!$1:$1,$B$1,'利润（汇总）'!$2:$2,$B$2)</f>
        <v>-1.22</v>
      </c>
      <c r="F51" s="2260">
        <f>SUMIFS('利润（汇总）'!32:32,'利润（汇总）'!$1:$1,$A$1,'利润（汇总）'!$2:$2,$A$2)</f>
        <v>-1.3644670000000001</v>
      </c>
      <c r="G51" s="2261">
        <f>F51-E51</f>
        <v>-0.14446700000000012</v>
      </c>
      <c r="H51" s="2308"/>
      <c r="I51" s="2262">
        <f t="shared" si="4"/>
        <v>-0.14446700000000012</v>
      </c>
      <c r="J51" s="2551">
        <f>SUMIFS('利润（汇总）'!32:32,'利润（汇总）'!$1:$1,$A$1,'利润（汇总）'!$2:$2,"&lt;="&amp;$A$2)</f>
        <v>-10.917778</v>
      </c>
      <c r="K51" s="2580">
        <f>F51-'@预测#利润分析#'!F52</f>
        <v>-0.3644670000000001</v>
      </c>
      <c r="L51" s="2555"/>
      <c r="M51" s="2263"/>
    </row>
    <row r="52" spans="2:21">
      <c r="B52" s="2639"/>
      <c r="C52" s="2277" t="s">
        <v>135</v>
      </c>
      <c r="D52" s="2260">
        <v>-142</v>
      </c>
      <c r="E52" s="2260">
        <f>SUMIFS('利润（汇总）'!31:31,'利润（汇总）'!$1:$1,$B$1,'利润（汇总）'!$2:$2,$B$2)</f>
        <v>-11.501206</v>
      </c>
      <c r="F52" s="2260">
        <f>SUMIFS('利润（汇总）'!31:31,'利润（汇总）'!$1:$1,$A$1,'利润（汇总）'!$2:$2,$A$2)</f>
        <v>-7.3065769999999999</v>
      </c>
      <c r="G52" s="2261">
        <f t="shared" ref="G52:G69" si="30">F52-E52</f>
        <v>4.1946289999999999</v>
      </c>
      <c r="H52" s="2308"/>
      <c r="I52" s="2262">
        <f t="shared" si="4"/>
        <v>4.1946289999999999</v>
      </c>
      <c r="J52" s="2551">
        <f>SUMIFS('利润（汇总）'!31:31,'利润（汇总）'!$1:$1,$A$1,'利润（汇总）'!$2:$2,"&lt;="&amp;$A$2)</f>
        <v>-81.290147000000005</v>
      </c>
      <c r="K52" s="2580">
        <f>F52-'@预测#利润分析#'!F53</f>
        <v>4.6934230000000001</v>
      </c>
      <c r="L52" s="2555"/>
      <c r="M52" s="2263"/>
    </row>
    <row r="53" spans="2:21">
      <c r="B53" s="2639"/>
      <c r="C53" s="2277" t="s">
        <v>138</v>
      </c>
      <c r="D53" s="2260">
        <v>-57</v>
      </c>
      <c r="E53" s="2260">
        <f>SUMIFS('利润（汇总）'!34:34,'利润（汇总）'!$1:$1,$B$1,'利润（汇总）'!$2:$2,$B$2)</f>
        <v>0</v>
      </c>
      <c r="F53" s="2260">
        <f>SUMIFS('利润（汇总）'!34:34,'利润（汇总）'!$1:$1,$A$1,'利润（汇总）'!$2:$2,$A$2)</f>
        <v>0.99154300000000006</v>
      </c>
      <c r="G53" s="2261">
        <f t="shared" si="30"/>
        <v>0.99154300000000006</v>
      </c>
      <c r="H53" s="2261"/>
      <c r="I53" s="2262">
        <f t="shared" si="4"/>
        <v>0.99154300000000006</v>
      </c>
      <c r="J53" s="2551">
        <f>SUMIFS('利润（汇总）'!34:34,'利润（汇总）'!$1:$1,$A$1,'利润（汇总）'!$2:$2,"&lt;="&amp;$A$2)</f>
        <v>-17.599278000000002</v>
      </c>
      <c r="K53" s="2580">
        <f>F53-'@预测#利润分析#'!F54</f>
        <v>0.99154300000000006</v>
      </c>
      <c r="L53" s="2555"/>
      <c r="M53" s="2263"/>
    </row>
    <row r="54" spans="2:21">
      <c r="B54" s="2639"/>
      <c r="C54" s="2277" t="s">
        <v>139</v>
      </c>
      <c r="D54" s="2260">
        <v>586</v>
      </c>
      <c r="E54" s="2260">
        <f>SUMIFS('利润（汇总）'!35:35,'利润（汇总）'!$1:$1,$B$1,'利润（汇总）'!$2:$2,$B$2)</f>
        <v>-17</v>
      </c>
      <c r="F54" s="2260">
        <f>SUMIFS('利润（汇总）'!35:35,'利润（汇总）'!$1:$1,$A$1,'利润（汇总）'!$2:$2,$A$2)</f>
        <v>-17.068158</v>
      </c>
      <c r="G54" s="2261">
        <f t="shared" si="30"/>
        <v>-6.8158000000000385E-2</v>
      </c>
      <c r="H54" s="2261"/>
      <c r="I54" s="2262">
        <f t="shared" si="4"/>
        <v>-6.8158000000000385E-2</v>
      </c>
      <c r="J54" s="2551">
        <f>SUMIFS('利润（汇总）'!35:35,'利润（汇总）'!$1:$1,$A$1,'利润（汇总）'!$2:$2,"&lt;="&amp;$A$2)</f>
        <v>-124.90513499999999</v>
      </c>
      <c r="K54" s="2580">
        <f>F54-'@预测#利润分析#'!F55</f>
        <v>-6.8158000000000385E-2</v>
      </c>
      <c r="L54" s="2555"/>
      <c r="M54" s="2263"/>
    </row>
    <row r="55" spans="2:21">
      <c r="B55" s="2639"/>
      <c r="C55" s="2277" t="s">
        <v>140</v>
      </c>
      <c r="D55" s="2260">
        <v>270</v>
      </c>
      <c r="E55" s="2260">
        <f>SUMIFS('利润（汇总）'!36:36,'利润（汇总）'!$1:$1,$B$1,'利润（汇总）'!$2:$2,$B$2)</f>
        <v>-8</v>
      </c>
      <c r="F55" s="2260">
        <f>SUMIFS('利润（汇总）'!36:36,'利润（汇总）'!$1:$1,$A$1,'利润（汇总）'!$2:$2,$A$2)</f>
        <v>-8.1818000000000008</v>
      </c>
      <c r="G55" s="2261">
        <f t="shared" si="30"/>
        <v>-0.18180000000000085</v>
      </c>
      <c r="H55" s="2261"/>
      <c r="I55" s="2262">
        <f t="shared" si="4"/>
        <v>-0.18180000000000085</v>
      </c>
      <c r="J55" s="2551">
        <f>SUMIFS('利润（汇总）'!36:36,'利润（汇总）'!$1:$1,$A$1,'利润（汇总）'!$2:$2,"&lt;="&amp;$A$2)</f>
        <v>-59.272069000000002</v>
      </c>
      <c r="K55" s="2580">
        <f>F55-'@预测#利润分析#'!F56</f>
        <v>-0.18180000000000085</v>
      </c>
      <c r="L55" s="2555"/>
      <c r="M55" s="2263"/>
      <c r="Q55" s="2445"/>
      <c r="R55" s="2446"/>
      <c r="S55" s="2264"/>
      <c r="T55" s="2264"/>
      <c r="U55" s="2263"/>
    </row>
    <row r="56" spans="2:21">
      <c r="B56" s="2640"/>
      <c r="C56" s="2253" t="s">
        <v>1446</v>
      </c>
      <c r="D56" s="2254"/>
      <c r="E56" s="2254">
        <f>E50+E45+E42+E37+E31+E24</f>
        <v>10585.657485</v>
      </c>
      <c r="F56" s="2254">
        <f>F50+F45+F42+F37+F31+F24</f>
        <v>18467.007990999999</v>
      </c>
      <c r="G56" s="2255">
        <f t="shared" si="30"/>
        <v>7881.3505059999989</v>
      </c>
      <c r="H56" s="2276">
        <f>H50+H45+H42+H37+H31+H24</f>
        <v>0</v>
      </c>
      <c r="I56" s="2255">
        <f t="shared" si="4"/>
        <v>7881.3505059999989</v>
      </c>
      <c r="J56" s="2550">
        <f>J50+J45+J42+J37+J31+J24</f>
        <v>100581.42957599999</v>
      </c>
      <c r="K56" s="2579">
        <f>F56-'@预测#利润分析#'!F57</f>
        <v>6892.5079909999986</v>
      </c>
      <c r="L56" s="2554"/>
      <c r="M56" s="2256" t="str">
        <f>IF(I56&gt;0,"增加","减少")</f>
        <v>增加</v>
      </c>
      <c r="N56" s="2256"/>
      <c r="O56" s="2256"/>
      <c r="Q56" s="2445"/>
      <c r="T56" s="2264"/>
      <c r="U56" s="2263"/>
    </row>
    <row r="57" spans="2:21">
      <c r="B57" s="2647" t="s">
        <v>1199</v>
      </c>
      <c r="C57" s="2277" t="s">
        <v>1131</v>
      </c>
      <c r="D57" s="2260">
        <v>90381</v>
      </c>
      <c r="E57" s="2260">
        <f>SUMIFS('#投资收益'!52:52,'#投资收益'!$1:$1,$B$1,'#投资收益'!$2:$2,$B$2,'#投资收益'!$3:$3,$C$57)</f>
        <v>2270.0452814100004</v>
      </c>
      <c r="F57" s="2260">
        <f>SUMIFS('#投资收益'!52:52,'#投资收益'!$1:$1,$A$1,'#投资收益'!$2:$2,$A$2,'#投资收益'!$3:$3,$C$57)</f>
        <v>6634.2905809999993</v>
      </c>
      <c r="G57" s="2261">
        <f t="shared" si="30"/>
        <v>4364.2452995899985</v>
      </c>
      <c r="H57" s="2261"/>
      <c r="I57" s="2262">
        <f t="shared" si="4"/>
        <v>4364.2452995899985</v>
      </c>
      <c r="J57" s="2551">
        <f>SUMIFS('#投资收益'!52:52,'#投资收益'!$1:$1,$A$1,'#投资收益'!$2:$2,"&lt;="&amp;$A$2,'#投资收益'!$3:$3,$C$57)</f>
        <v>100755.63145657</v>
      </c>
      <c r="K57" s="2580">
        <f>F57-'@预测#利润分析#'!F58</f>
        <v>-952.77941900000042</v>
      </c>
      <c r="L57" s="2555"/>
      <c r="M57" s="2263"/>
      <c r="Q57" s="2445"/>
      <c r="R57" s="2446"/>
      <c r="S57" s="2264"/>
      <c r="T57" s="2264"/>
      <c r="U57" s="2263"/>
    </row>
    <row r="58" spans="2:21">
      <c r="B58" s="2647"/>
      <c r="C58" s="2277" t="s">
        <v>108</v>
      </c>
      <c r="D58" s="2260">
        <v>9691</v>
      </c>
      <c r="E58" s="2260">
        <f>SUMIFS('#投资收益'!4:4,'#投资收益'!$1:$1,$B$1,'#投资收益'!$2:$2,$B$2,'#投资收益'!$3:$3,$C$57)+SUMIFS('#投资收益'!35:35,'#投资收益'!$1:$1,$B$1,'#投资收益'!$2:$2,$B$2,'#投资收益'!$3:$3,$C$57)</f>
        <v>2270.0452814100004</v>
      </c>
      <c r="F58" s="2260">
        <f>SUMIFS('#投资收益'!4:4,'#投资收益'!$1:$1,$A$1,'#投资收益'!$2:$2,$A$2,'#投资收益'!$3:$3,$C$57)+SUMIFS('#投资收益'!35:35,'#投资收益'!$1:$1,$A$1,'#投资收益'!$2:$2,$A$2,'#投资收益'!$3:$3,$C$57)</f>
        <v>6918.1805809999996</v>
      </c>
      <c r="G58" s="2261">
        <f t="shared" si="30"/>
        <v>4648.1352995899997</v>
      </c>
      <c r="H58" s="2261"/>
      <c r="I58" s="2262">
        <f t="shared" si="4"/>
        <v>4648.1352995899997</v>
      </c>
      <c r="J58" s="2551">
        <f>SUMIFS('#投资收益'!4:4,'#投资收益'!$1:$1,$A$1,'#投资收益'!$2:$2,"&lt;="&amp;$A$2,'#投资收益'!$3:$3,$C$57)+SUMIFS('#投资收益'!35:35,'#投资收益'!$1:$1,$A$1,'#投资收益'!$2:$2,"&lt;="&amp;$A$2,'#投资收益'!$3:$3,$C$57)</f>
        <v>20747.075856370004</v>
      </c>
      <c r="K58" s="2580">
        <f>F58-'@预测#利润分析#'!F59</f>
        <v>-668.88941900000009</v>
      </c>
      <c r="L58" s="2555"/>
      <c r="M58" s="2256" t="str">
        <f>IF(I58+I59&gt;0,"增加","减少")</f>
        <v>增加</v>
      </c>
      <c r="Q58" s="2445"/>
      <c r="R58" s="2446"/>
      <c r="S58" s="2264"/>
      <c r="T58" s="2264"/>
      <c r="U58" s="2263"/>
    </row>
    <row r="59" spans="2:21">
      <c r="B59" s="2647"/>
      <c r="C59" s="2277" t="s">
        <v>1707</v>
      </c>
      <c r="D59" s="2260"/>
      <c r="E59" s="2260">
        <f>SUMIFS('#投资收益'!14:14,'#投资收益'!$1:$1,$B$1,'#投资收益'!$2:$2,$B$2,'#投资收益'!$3:$3,$C$57)</f>
        <v>0</v>
      </c>
      <c r="F59" s="2260">
        <f>SUMIFS('#投资收益'!14:14,'#投资收益'!$1:$1,$A$1,'#投资收益'!$2:$2,$A$2,'#投资收益'!$3:$3,$C$57)</f>
        <v>0</v>
      </c>
      <c r="G59" s="2261">
        <f t="shared" si="30"/>
        <v>0</v>
      </c>
      <c r="H59" s="2261"/>
      <c r="I59" s="2262">
        <f t="shared" si="4"/>
        <v>0</v>
      </c>
      <c r="J59" s="2551">
        <f>SUMIFS('#投资收益'!14:14,'#投资收益'!$1:$1,$A$1,'#投资收益'!$2:$2,"&lt;="&amp;$A$2,'#投资收益'!$3:$3,$C$57)</f>
        <v>4222.6330799999996</v>
      </c>
      <c r="K59" s="2580">
        <f>F59-'@预测#利润分析#'!F60</f>
        <v>0</v>
      </c>
      <c r="L59" s="2555"/>
      <c r="M59" s="2263"/>
      <c r="Q59" s="2445"/>
      <c r="R59" s="2446"/>
      <c r="S59" s="2264"/>
      <c r="T59" s="2264"/>
      <c r="U59" s="2263"/>
    </row>
    <row r="60" spans="2:21">
      <c r="B60" s="2647"/>
      <c r="C60" s="2277" t="s">
        <v>1708</v>
      </c>
      <c r="D60" s="2260"/>
      <c r="E60" s="2260">
        <f>SUMIFS('#投资收益'!39:39,'#投资收益'!$1:$1,$B$1,'#投资收益'!$2:$2,$B$2,'#投资收益'!$3:$3,$C$57)</f>
        <v>0</v>
      </c>
      <c r="F60" s="2260">
        <f>SUMIFS('#投资收益'!39:39,'#投资收益'!$1:$1,$A$1,'#投资收益'!$2:$2,$A$2,'#投资收益'!$3:$3,$C$57)</f>
        <v>0</v>
      </c>
      <c r="G60" s="2261">
        <f>F60-E60</f>
        <v>0</v>
      </c>
      <c r="H60" s="2261"/>
      <c r="I60" s="2262">
        <f t="shared" si="4"/>
        <v>0</v>
      </c>
      <c r="J60" s="2551">
        <f>SUMIFS('#投资收益'!39:39,'#投资收益'!$1:$1,$A$1,'#投资收益'!$2:$2,"&lt;="&amp;$A$2,'#投资收益'!$3:$3,$C$57)</f>
        <v>76069.812520200008</v>
      </c>
      <c r="K60" s="2580">
        <f>F60-'@预测#利润分析#'!F61</f>
        <v>0</v>
      </c>
      <c r="L60" s="2555"/>
      <c r="M60" s="2263"/>
      <c r="Q60" s="2445"/>
      <c r="R60" s="2446"/>
      <c r="S60" s="2264"/>
      <c r="T60" s="2264"/>
      <c r="U60" s="2263"/>
    </row>
    <row r="61" spans="2:21">
      <c r="B61" s="2647"/>
      <c r="C61" s="2277" t="s">
        <v>1462</v>
      </c>
      <c r="D61" s="2260"/>
      <c r="E61" s="2260">
        <f>'#分板块利润分析'!F67</f>
        <v>-3567.4477119999997</v>
      </c>
      <c r="F61" s="2260">
        <f>'#分板块利润分析'!G67</f>
        <v>-3673.4689800000006</v>
      </c>
      <c r="G61" s="2261">
        <f t="shared" si="30"/>
        <v>-106.02126800000087</v>
      </c>
      <c r="H61" s="2261"/>
      <c r="I61" s="2262">
        <f t="shared" si="4"/>
        <v>-106.02126800000087</v>
      </c>
      <c r="J61" s="2551">
        <f>-SUMIFS('#母公司报表'!95:95,'#母公司报表'!$1:$1,$A$1,'#母公司报表'!$2:$2,"&lt;="&amp;$A$2)/10000</f>
        <v>-23292.368386000002</v>
      </c>
      <c r="K61" s="2580">
        <f>F61-'@预测#利润分析#'!F62</f>
        <v>-315.02126800000087</v>
      </c>
      <c r="L61" s="2555"/>
      <c r="M61" s="2263"/>
      <c r="Q61" s="2445"/>
      <c r="R61" s="2446"/>
      <c r="S61" s="2264"/>
      <c r="T61" s="2264"/>
      <c r="U61" s="2263"/>
    </row>
    <row r="62" spans="2:21">
      <c r="B62" s="2647"/>
      <c r="C62" s="2277" t="s">
        <v>1463</v>
      </c>
      <c r="D62" s="2260"/>
      <c r="E62" s="2260">
        <f>'#分板块利润分析'!F68</f>
        <v>-6423.438776</v>
      </c>
      <c r="F62" s="2260">
        <f>'#分板块利润分析'!G68</f>
        <v>-6579.7982410000004</v>
      </c>
      <c r="G62" s="2261">
        <f t="shared" si="30"/>
        <v>-156.35946500000045</v>
      </c>
      <c r="H62" s="2261"/>
      <c r="I62" s="2262">
        <f t="shared" si="4"/>
        <v>-156.35946500000045</v>
      </c>
      <c r="J62" s="2551">
        <f>'#分板块利润分析'!L68</f>
        <v>-60800.088654000014</v>
      </c>
      <c r="K62" s="2580">
        <f>F62-'@预测#利润分析#'!F63</f>
        <v>-97.359465000000455</v>
      </c>
      <c r="L62" s="2555"/>
      <c r="M62" s="2263"/>
      <c r="Q62" s="2445"/>
      <c r="R62" s="2446"/>
      <c r="S62" s="2264"/>
      <c r="T62" s="2264"/>
      <c r="U62" s="2263"/>
    </row>
    <row r="63" spans="2:21">
      <c r="B63" s="2647"/>
      <c r="C63" s="2277" t="s">
        <v>1464</v>
      </c>
      <c r="D63" s="2260"/>
      <c r="E63" s="2347">
        <f>'#分板块利润分析'!F52-E61-E62</f>
        <v>-1932.9592309999907</v>
      </c>
      <c r="F63" s="2347">
        <f>'#分板块利润分析'!G52-F61-F62</f>
        <v>-512.54763799996272</v>
      </c>
      <c r="G63" s="2261">
        <f t="shared" si="30"/>
        <v>1420.411593000028</v>
      </c>
      <c r="H63" s="2261"/>
      <c r="I63" s="2262">
        <f t="shared" si="4"/>
        <v>1420.411593000028</v>
      </c>
      <c r="J63" s="2553">
        <f>'#分板块利润分析'!L52-J61-J62</f>
        <v>-18523.788526999801</v>
      </c>
      <c r="K63" s="2580">
        <f>F63-'@预测#利润分析#'!F64</f>
        <v>704.41159300002801</v>
      </c>
      <c r="L63" s="2555"/>
      <c r="M63" s="2263"/>
      <c r="Q63" s="2445"/>
      <c r="R63" s="2446"/>
      <c r="S63" s="2264"/>
      <c r="T63" s="2264"/>
      <c r="U63" s="2263"/>
    </row>
    <row r="64" spans="2:21" s="2258" customFormat="1">
      <c r="B64" s="2647"/>
      <c r="C64" s="2253" t="s">
        <v>1449</v>
      </c>
      <c r="D64" s="2254"/>
      <c r="E64" s="2254">
        <f>E57+E61+E62+E63</f>
        <v>-9653.8004375899909</v>
      </c>
      <c r="F64" s="2254">
        <f>F57+F61+F62+F63</f>
        <v>-4131.5242779999644</v>
      </c>
      <c r="G64" s="2255">
        <f t="shared" si="30"/>
        <v>5522.2761595900265</v>
      </c>
      <c r="H64" s="2255"/>
      <c r="I64" s="2255">
        <f t="shared" si="4"/>
        <v>5522.2761595900265</v>
      </c>
      <c r="J64" s="2550">
        <f>J57+J61+J62+J63</f>
        <v>-1860.6141104298149</v>
      </c>
      <c r="K64" s="2579">
        <f>F64-'@预测#利润分析#'!F65</f>
        <v>-660.74855899997419</v>
      </c>
      <c r="L64" s="2554"/>
      <c r="M64" s="2256"/>
      <c r="P64" s="2265"/>
      <c r="Q64" s="2445"/>
      <c r="R64" s="2446"/>
      <c r="S64" s="2264"/>
      <c r="T64" s="2264"/>
      <c r="U64" s="2263"/>
    </row>
    <row r="65" spans="1:21" s="2258" customFormat="1">
      <c r="B65" s="2648" t="s">
        <v>1465</v>
      </c>
      <c r="C65" s="2648"/>
      <c r="D65" s="2267"/>
      <c r="E65" s="2267">
        <f>SUMIFS('利润（汇总）'!38:38,'利润（汇总）'!$1:$1,$B$1,'利润（汇总）'!$2:$2,$B$2)+SUMIFS('利润（汇总）'!39:39,'利润（汇总）'!$1:$1,$B$1,'利润（汇总）'!$2:$2,$B$2)+SUMIFS('利润（汇总）'!40:40,'利润（汇总）'!$1:$1,$B$1,'利润（汇总）'!$2:$2,$B$2)+SUMIFS('利润（汇总）'!41:41,'利润（汇总）'!$1:$1,$B$1,'利润（汇总）'!$2:$2,$B$2)</f>
        <v>-1512</v>
      </c>
      <c r="F65" s="2267">
        <f>SUMIFS('利润（汇总）'!38:38,'利润（汇总）'!$1:$1,$A$1,'利润（汇总）'!$2:$2,$A$2)+SUMIFS('利润（汇总）'!39:39,'利润（汇总）'!$1:$1,$A$1,'利润（汇总）'!$2:$2,$A$2)+SUMIFS('利润（汇总）'!40:40,'利润（汇总）'!$1:$1,$A$1,'利润（汇总）'!$2:$2,$A$2)+SUMIFS('利润（汇总）'!41:41,'利润（汇总）'!$1:$1,$A$1,'利润（汇总）'!$2:$2,$A$2)</f>
        <v>-1118.8599999999999</v>
      </c>
      <c r="G65" s="2268">
        <f t="shared" si="30"/>
        <v>393.1400000000001</v>
      </c>
      <c r="H65" s="2268"/>
      <c r="I65" s="2255">
        <f t="shared" si="4"/>
        <v>393.1400000000001</v>
      </c>
      <c r="J65" s="2552">
        <f>SUMIFS('利润（汇总）'!38:38,'利润（汇总）'!$1:$1,$A$1,'利润（汇总）'!$2:$2,"&lt;="&amp;$A$2)+SUMIFS('利润（汇总）'!39:39,'利润（汇总）'!$1:$1,$A$1,'利润（汇总）'!$2:$2,"&lt;="&amp;$A$2)+SUMIFS('利润（汇总）'!40:40,'利润（汇总）'!$1:$1,$A$1,'利润（汇总）'!$2:$2,"&lt;="&amp;$A$2)+SUMIFS('利润（汇总）'!41:41,'利润（汇总）'!$1:$1,$A$1,'利润（汇总）'!$2:$2,"&lt;="&amp;$A$2)</f>
        <v>-85038.320883400011</v>
      </c>
      <c r="K65" s="2579">
        <f>F65-'@预测#利润分析#'!F66</f>
        <v>312.18500000000017</v>
      </c>
      <c r="L65" s="2556"/>
      <c r="M65" s="2256"/>
      <c r="P65" s="2265"/>
      <c r="Q65" s="2445"/>
      <c r="R65" s="2446"/>
      <c r="S65" s="2264"/>
      <c r="T65" s="2264"/>
      <c r="U65" s="2263"/>
    </row>
    <row r="66" spans="1:21" s="2258" customFormat="1">
      <c r="B66" s="2649" t="s">
        <v>1314</v>
      </c>
      <c r="C66" s="2649"/>
      <c r="D66" s="2254"/>
      <c r="E66" s="2254">
        <f>E23+E56+E64+E65</f>
        <v>218166.09277240999</v>
      </c>
      <c r="F66" s="2254">
        <f>F23+F56+F64+F65</f>
        <v>213139.47172100001</v>
      </c>
      <c r="G66" s="2255">
        <f t="shared" si="30"/>
        <v>-5026.6210514099803</v>
      </c>
      <c r="H66" s="2255"/>
      <c r="I66" s="2255">
        <f>I23+I56+I64+I65</f>
        <v>-5026.6210514099794</v>
      </c>
      <c r="J66" s="2550">
        <f>J23+J56+J64+J65</f>
        <v>1526299.70120617</v>
      </c>
      <c r="K66" s="2579">
        <f>F66-'@预测#利润分析#'!F67</f>
        <v>18304.742939538468</v>
      </c>
      <c r="L66" s="2554"/>
      <c r="M66" s="2256" t="str">
        <f>IF(I66&gt;0,"增加","减少")</f>
        <v>减少</v>
      </c>
      <c r="N66" s="2459">
        <f>J66-F66</f>
        <v>1313160.22948517</v>
      </c>
      <c r="P66" s="2273"/>
      <c r="Q66" s="2445"/>
      <c r="R66" s="2446"/>
      <c r="S66" s="2263"/>
      <c r="T66" s="2447"/>
      <c r="U66" s="2263"/>
    </row>
    <row r="67" spans="1:21">
      <c r="A67" s="2273"/>
      <c r="B67" s="2650" t="s">
        <v>1451</v>
      </c>
      <c r="C67" s="2650"/>
      <c r="D67" s="2260"/>
      <c r="E67" s="2260">
        <f>E66-E7-E8</f>
        <v>219059.67577241</v>
      </c>
      <c r="F67" s="2260">
        <f>F66-F7-F8</f>
        <v>205746.60462599999</v>
      </c>
      <c r="G67" s="2261">
        <f t="shared" si="30"/>
        <v>-13313.071146410017</v>
      </c>
      <c r="H67" s="2261"/>
      <c r="I67" s="2261">
        <f>I66-I7-I8</f>
        <v>-13313.071146409979</v>
      </c>
      <c r="J67" s="2551">
        <f>J66-J7-J8</f>
        <v>1491646.0168621698</v>
      </c>
      <c r="K67" s="2580">
        <f>F67-'@预测#利润分析#'!F68</f>
        <v>13939.875844538445</v>
      </c>
      <c r="L67" s="2555"/>
      <c r="M67" s="2263"/>
      <c r="P67" s="2273"/>
      <c r="Q67" s="2264"/>
    </row>
    <row r="68" spans="1:21">
      <c r="B68" s="2645" t="s">
        <v>1466</v>
      </c>
      <c r="C68" s="2645"/>
      <c r="D68" s="2260"/>
      <c r="E68" s="2260">
        <f>E64+E10+E16+E21+E13+E14+E15+E19+E20</f>
        <v>37037.416287410007</v>
      </c>
      <c r="F68" s="2260">
        <f>F64+F10+F16+F21+F13+F14+F15+F19+F20</f>
        <v>37308.090914000029</v>
      </c>
      <c r="G68" s="2261">
        <f t="shared" si="30"/>
        <v>270.67462659002194</v>
      </c>
      <c r="H68" s="2261"/>
      <c r="I68" s="2261">
        <f>I67-I8-I9</f>
        <v>-22565.801648409979</v>
      </c>
      <c r="J68" s="2551">
        <f>J64+J10+J16+J21+J13+J14+J15+J19+J20</f>
        <v>293100.84363657003</v>
      </c>
      <c r="K68" s="2580">
        <f>F68-'@预测#利润分析#'!F69</f>
        <v>-2407.6654059230495</v>
      </c>
      <c r="L68" s="2555"/>
      <c r="M68" s="2263"/>
      <c r="R68" s="2446"/>
      <c r="S68" s="2264"/>
    </row>
    <row r="69" spans="1:21">
      <c r="B69" s="2645" t="s">
        <v>1729</v>
      </c>
      <c r="C69" s="2645"/>
      <c r="D69" s="2263"/>
      <c r="E69" s="2260">
        <v>191.91</v>
      </c>
      <c r="F69" s="2260">
        <v>442</v>
      </c>
      <c r="G69" s="2261">
        <f t="shared" si="30"/>
        <v>250.09</v>
      </c>
      <c r="H69" s="2261"/>
      <c r="I69" s="2261">
        <f>F69-E69</f>
        <v>250.09</v>
      </c>
      <c r="J69" s="2551">
        <f>1039+442</f>
        <v>1481</v>
      </c>
      <c r="K69" s="2580">
        <f>F69-'@预测#利润分析#'!F70</f>
        <v>382</v>
      </c>
      <c r="L69" s="2555"/>
      <c r="M69" s="2263"/>
    </row>
    <row r="70" spans="1:21">
      <c r="B70" s="2279"/>
      <c r="C70" s="2264"/>
      <c r="D70" s="2263"/>
      <c r="E70" s="2263">
        <f>E56-E25-E26-E27</f>
        <v>6405.9917580000001</v>
      </c>
      <c r="F70" s="2263">
        <f>F56-F25-F26-F27</f>
        <v>12427.867990999999</v>
      </c>
      <c r="G70" s="2280"/>
      <c r="H70" s="2280"/>
      <c r="I70" s="2280"/>
      <c r="J70" s="2281">
        <f>J9+J64</f>
        <v>704530.90816957003</v>
      </c>
      <c r="K70" s="2557"/>
      <c r="L70" s="2557"/>
      <c r="M70" s="2263"/>
      <c r="N70" s="2264">
        <v>4.4966999999999997</v>
      </c>
    </row>
    <row r="71" spans="1:21">
      <c r="C71" s="2265" t="s">
        <v>1313</v>
      </c>
      <c r="D71" s="2263">
        <v>793797.5495701927</v>
      </c>
      <c r="E71" s="2263">
        <v>130205.63173395001</v>
      </c>
      <c r="F71" s="2263">
        <v>145868.33462350076</v>
      </c>
      <c r="G71" s="2280">
        <f t="shared" ref="G71:G81" si="31">F71-E71</f>
        <v>15662.702889550754</v>
      </c>
      <c r="H71" s="2280"/>
      <c r="I71" s="2280"/>
      <c r="J71" s="2263">
        <v>368943.66452282068</v>
      </c>
      <c r="K71" s="2297"/>
      <c r="L71" s="2297"/>
      <c r="M71" s="2263"/>
      <c r="N71" s="2264">
        <v>1.4635</v>
      </c>
    </row>
    <row r="72" spans="1:21">
      <c r="C72" s="2265" t="s">
        <v>105</v>
      </c>
      <c r="D72" s="2263">
        <v>45945</v>
      </c>
      <c r="E72" s="2263">
        <v>16940.717150889999</v>
      </c>
      <c r="F72" s="2263">
        <v>16331.592203999997</v>
      </c>
      <c r="G72" s="2280">
        <f t="shared" si="31"/>
        <v>-609.12494689000232</v>
      </c>
      <c r="H72" s="2280"/>
      <c r="I72" s="2280"/>
      <c r="J72" s="2263">
        <v>46304.764060079993</v>
      </c>
      <c r="K72" s="2297"/>
      <c r="L72" s="2297"/>
      <c r="M72" s="2263"/>
      <c r="N72" s="2264">
        <v>2.8683999999999998</v>
      </c>
    </row>
    <row r="73" spans="1:21">
      <c r="C73" s="2265" t="s">
        <v>106</v>
      </c>
      <c r="D73" s="2263">
        <v>-44436</v>
      </c>
      <c r="E73" s="2263">
        <v>16649.151089999999</v>
      </c>
      <c r="F73" s="2263">
        <v>14300.612203999997</v>
      </c>
      <c r="G73" s="2280">
        <f t="shared" si="31"/>
        <v>-2348.5388860000021</v>
      </c>
      <c r="H73" s="2280"/>
      <c r="I73" s="2280"/>
      <c r="J73" s="2263">
        <v>42585.013049999994</v>
      </c>
      <c r="K73" s="2297"/>
      <c r="L73" s="2297"/>
      <c r="M73" s="2263"/>
      <c r="N73" s="2264">
        <v>0.46239999999999998</v>
      </c>
      <c r="Q73" s="2265">
        <v>232084</v>
      </c>
      <c r="R73" s="2263">
        <f>Q73+F66</f>
        <v>445223.47172100004</v>
      </c>
    </row>
    <row r="74" spans="1:21">
      <c r="C74" s="2265" t="s">
        <v>109</v>
      </c>
      <c r="D74" s="2263">
        <v>80690</v>
      </c>
      <c r="E74" s="2263">
        <v>0</v>
      </c>
      <c r="F74" s="2263">
        <v>0</v>
      </c>
      <c r="G74" s="2280">
        <f t="shared" si="31"/>
        <v>0</v>
      </c>
      <c r="H74" s="2280"/>
      <c r="I74" s="2280"/>
      <c r="J74" s="2263">
        <v>0</v>
      </c>
      <c r="K74" s="2297"/>
      <c r="L74" s="2297"/>
      <c r="M74" s="2263"/>
      <c r="N74" s="2264">
        <v>-0.1663</v>
      </c>
    </row>
    <row r="75" spans="1:21">
      <c r="C75" s="2265" t="s">
        <v>141</v>
      </c>
      <c r="D75" s="2263">
        <v>106386.99999999996</v>
      </c>
      <c r="E75" s="2263">
        <v>3673.4039770000254</v>
      </c>
      <c r="F75" s="2263">
        <v>7348.5846000000001</v>
      </c>
      <c r="G75" s="2280">
        <f t="shared" si="31"/>
        <v>3675.1806229999747</v>
      </c>
      <c r="H75" s="2280"/>
      <c r="I75" s="2280"/>
      <c r="J75" s="2263">
        <v>17090.699248999983</v>
      </c>
      <c r="K75" s="2297"/>
      <c r="L75" s="2297"/>
      <c r="M75" s="2263"/>
      <c r="N75" s="2264">
        <v>-0.1313</v>
      </c>
    </row>
    <row r="76" spans="1:21">
      <c r="C76" s="2265" t="s">
        <v>142</v>
      </c>
      <c r="D76" s="2263">
        <v>-14256.795</v>
      </c>
      <c r="E76" s="2263">
        <v>-823.81710894000003</v>
      </c>
      <c r="F76" s="2263">
        <v>-305.39249999999998</v>
      </c>
      <c r="G76" s="2280">
        <f t="shared" si="31"/>
        <v>518.4246089400001</v>
      </c>
      <c r="H76" s="2280"/>
      <c r="I76" s="2280"/>
      <c r="J76" s="2263">
        <v>-2454.68166776</v>
      </c>
      <c r="K76" s="2297"/>
      <c r="L76" s="2297"/>
      <c r="M76" s="2263"/>
    </row>
    <row r="77" spans="1:21">
      <c r="C77" s="2265" t="s">
        <v>143</v>
      </c>
      <c r="D77" s="2263">
        <v>-14256.795</v>
      </c>
      <c r="E77" s="2263">
        <v>-823.81710894000003</v>
      </c>
      <c r="F77" s="2263">
        <v>-305.39249999999998</v>
      </c>
      <c r="G77" s="2280">
        <f t="shared" si="31"/>
        <v>518.4246089400001</v>
      </c>
      <c r="H77" s="2280"/>
      <c r="I77" s="2280"/>
      <c r="J77" s="2263">
        <v>-2454.68166776</v>
      </c>
      <c r="K77" s="2297"/>
      <c r="L77" s="2297"/>
      <c r="M77" s="2263"/>
    </row>
    <row r="78" spans="1:21">
      <c r="C78" s="2265" t="s">
        <v>144</v>
      </c>
      <c r="D78" s="2263">
        <v>0</v>
      </c>
      <c r="E78" s="2263">
        <v>0</v>
      </c>
      <c r="F78" s="2263">
        <v>0</v>
      </c>
      <c r="G78" s="2280">
        <f t="shared" si="31"/>
        <v>0</v>
      </c>
      <c r="H78" s="2280"/>
      <c r="I78" s="2280"/>
      <c r="J78" s="2263">
        <v>0</v>
      </c>
      <c r="K78" s="2297"/>
      <c r="L78" s="2297"/>
      <c r="M78" s="2263"/>
    </row>
    <row r="79" spans="1:21">
      <c r="C79" s="2265" t="s">
        <v>145</v>
      </c>
      <c r="D79" s="2263">
        <v>0</v>
      </c>
      <c r="E79" s="2263">
        <v>0</v>
      </c>
      <c r="F79" s="2263">
        <v>0</v>
      </c>
      <c r="G79" s="2280">
        <f t="shared" si="31"/>
        <v>0</v>
      </c>
      <c r="H79" s="2280"/>
      <c r="I79" s="2280"/>
      <c r="J79" s="2263">
        <v>0</v>
      </c>
      <c r="K79" s="2297"/>
      <c r="L79" s="2297"/>
      <c r="M79" s="2263"/>
    </row>
    <row r="80" spans="1:21">
      <c r="C80" s="2265" t="s">
        <v>146</v>
      </c>
      <c r="D80" s="2263">
        <v>0</v>
      </c>
      <c r="E80" s="2263">
        <v>0</v>
      </c>
      <c r="F80" s="2263">
        <v>0</v>
      </c>
      <c r="G80" s="2280">
        <f t="shared" si="31"/>
        <v>0</v>
      </c>
      <c r="H80" s="2280"/>
      <c r="I80" s="2280"/>
      <c r="J80" s="2263">
        <v>0</v>
      </c>
      <c r="K80" s="2297"/>
      <c r="L80" s="2297"/>
      <c r="M80" s="2263"/>
      <c r="N80" s="2264">
        <v>20.55</v>
      </c>
    </row>
    <row r="81" spans="2:21">
      <c r="C81" s="2265" t="s">
        <v>1359</v>
      </c>
      <c r="D81" s="2263">
        <v>815897.5495701927</v>
      </c>
      <c r="E81" s="2263">
        <v>136400.08173395001</v>
      </c>
      <c r="F81" s="2263">
        <v>148817.33462350076</v>
      </c>
      <c r="G81" s="2280">
        <f t="shared" si="31"/>
        <v>12417.252889550757</v>
      </c>
      <c r="H81" s="2280"/>
      <c r="I81" s="2280"/>
      <c r="J81" s="2263">
        <v>380901.59312282066</v>
      </c>
      <c r="K81" s="2297"/>
      <c r="L81" s="2297"/>
      <c r="M81" s="2263"/>
      <c r="N81" s="2264">
        <v>21.21</v>
      </c>
    </row>
    <row r="82" spans="2:21">
      <c r="N82" s="2264">
        <f>N81-N80</f>
        <v>0.66000000000000014</v>
      </c>
    </row>
    <row r="85" spans="2:21">
      <c r="C85" s="2265" t="str">
        <f>"领导，现将"&amp;$A$2&amp;"月利润及产值情况汇报如下："</f>
        <v>领导，现将8月利润及产值情况汇报如下：</v>
      </c>
    </row>
    <row r="86" spans="2:21">
      <c r="B86" s="2514"/>
      <c r="C86" s="2265" t="str">
        <f>"（1）"&amp;$A$2&amp;"月汇总利润（管理口径）"&amp;ROUND(F66/10000,2)&amp;"亿元，比上月"&amp;ROUND(E66/10000,2)&amp;"亿元"&amp;M66&amp;ROUND(ABS(I66/10000),2)&amp;"亿元，其中："</f>
        <v>（1）8月汇总利润（管理口径）21.31亿元，比上月21.82亿元减少0.5亿元，其中：</v>
      </c>
    </row>
    <row r="87" spans="2:21">
      <c r="C87" s="2265" t="str">
        <f>"①"&amp;$C$5&amp;ROUND(F5/10000,2)&amp;"亿元，剔除关联交易价变动影响后，比上月"&amp;M5&amp;ABS(ROUND(I5/10000,2))&amp;"亿元；（"&amp;C6&amp;ROUND(F6/10000,2)&amp;"亿元，比上月"&amp;M6&amp;ABS(ROUND(I6/10000,2))&amp;"亿元；"&amp;C7&amp;ROUND(F7/10000,2)&amp;"亿元，比上月"&amp;M7&amp;ABS(ROUND(I7/10000,2))&amp;"亿元；"&amp;C8&amp;ROUND(F8/10000,2)&amp;"亿元，比上月"&amp;M8&amp;ABS(ROUND(I8/10000,2))&amp;"亿元）；"</f>
        <v>①钢铁板块9.52亿元，剔除关联交易价变动影响后，比上月减少2.6亿元；（太钢不锈8.78亿元，比上月减少3.43亿元；宝钢德盛0.18亿元，比上月增加0.63亿元；宁波宝新0.56亿元，比上月增加0.2亿元）；</v>
      </c>
    </row>
    <row r="88" spans="2:21">
      <c r="C88" s="2265" t="str">
        <f>"②"&amp;$C$9&amp;ROUND(F9/10000,2)&amp;"亿元，剔除关联交易价变动影响后，比上月"&amp;M9&amp;ABS(ROUND(I9/10000,2))&amp;"亿元；"</f>
        <v>②矿山系统10.47亿元，剔除关联交易价变动影响后，比上月增加0.72亿元；</v>
      </c>
    </row>
    <row r="89" spans="2:21">
      <c r="C89" s="2265" t="str">
        <f>"③"&amp;"多元业务"&amp;ROUND(F56/10000,2)&amp;"亿元，比上月"&amp;ROUND(E56/10000,2)&amp;"亿元"&amp;M56&amp;ABS(ROUND(I56/10000,2))&amp;"亿元；"</f>
        <v>③多元业务1.85亿元，比上月1.06亿元增加0.79亿元；</v>
      </c>
    </row>
    <row r="90" spans="2:21">
      <c r="C90" s="2265" t="str">
        <f>"④"&amp;"投资收益"&amp;ROUND((F58+F59)/10000,2)&amp;"亿元，比上月"&amp;ROUND((E58+E59)/10000,2)&amp;"亿元"&amp;M58&amp;ABS(ROUND((I58+I59)/10000,2))&amp;"亿元。"</f>
        <v>④投资收益0.69亿元，比上月0.23亿元增加0.46亿元。</v>
      </c>
    </row>
    <row r="91" spans="2:21">
      <c r="C91" s="2265" t="str">
        <f>"（2）1-"&amp;$A$2&amp;"月累计汇总利润（管理口径）"&amp;ROUND(J66/10000,2)&amp;"亿元，其中："</f>
        <v>（2）1-8月累计汇总利润（管理口径）152.63亿元，其中：</v>
      </c>
      <c r="T91" s="2265">
        <f>23.13-18.63</f>
        <v>4.5</v>
      </c>
      <c r="U91" s="2265">
        <f>23.13-15.63</f>
        <v>7.4999999999999982</v>
      </c>
    </row>
    <row r="92" spans="2:21">
      <c r="C92" s="2265" t="str">
        <f>"①"&amp;$C$5&amp;ROUND(J5/10000,2)&amp;"亿元（"&amp;C6&amp;ROUND(J6/10000,2)&amp;"亿元，"&amp;C7&amp;ROUND(J7/10000,2)&amp;"亿元，"&amp;C8&amp;ROUND(J8/10000,2)&amp;"亿元）；"</f>
        <v>①钢铁板块80.62亿元（太钢不锈77.16亿元，宝钢德盛0.35亿元，宁波宝新3.11亿元）；</v>
      </c>
    </row>
    <row r="93" spans="2:21">
      <c r="C93" s="2265" t="str">
        <f>"②"&amp;$C$9&amp;ROUND(J9/10000,2)&amp;"亿元；"</f>
        <v>②矿山系统70.64亿元；</v>
      </c>
    </row>
    <row r="94" spans="2:21">
      <c r="C94" s="2265" t="str">
        <f>"③"&amp;"多元业务"&amp;ROUND(J56/10000,2)&amp;"亿元；"</f>
        <v>③多元业务10.06亿元；</v>
      </c>
    </row>
    <row r="95" spans="2:21">
      <c r="C95" s="2265" t="str">
        <f>"④"&amp;"投资收益"&amp;ROUND((J58+J59)/10000,2)&amp;"亿元。"</f>
        <v>④投资收益2.5亿元。</v>
      </c>
    </row>
    <row r="96" spans="2:21">
      <c r="C96" s="2265" t="str">
        <f>"（3）1-"&amp;$A$2&amp;"月"&amp;"汇总利润（商业计划书口径）"&amp;ROUND(F23/10000,2)&amp;"亿元，比上月"&amp;ROUND(E23/10000,2)&amp;"亿元"&amp;M23&amp;ABS(ROUND(I23/10000,2))&amp;"亿元。"</f>
        <v>（3）1-8月汇总利润（商业计划书口径）19.99亿元，比上月21.87亿元减少1.88亿元。</v>
      </c>
    </row>
    <row r="97" spans="2:3">
      <c r="B97" s="2282" t="s">
        <v>1725</v>
      </c>
      <c r="C97" s="2265" t="str">
        <f>"（3）"&amp;$A$2&amp;"月太钢集团产值（太原地区）"&amp;ROUND('#经营概况'!$H$77,2)&amp;"亿元，比同期"&amp;ROUND('#经营概况'!$D$77,2)&amp;"亿元"&amp;IF('#经营概况'!I77&gt;0,"增加","减少")&amp;ABS(ROUND('#经营概况'!I77,2))&amp;"亿元，"&amp;IF('#经营概况'!I77&gt;0,"增幅","降幅")&amp;ROUND('#经营概况'!J77*100,2)&amp;"%；"&amp;"1-"&amp;$A$2&amp;"月太钢集团产值（太原地区）累计"&amp;ROUND('#经营概况'!$M$77,2)&amp;"亿元，比同期"&amp;ROUND('#经营概况'!$E$77,2)&amp;"亿元"&amp;IF('#经营概况'!N77&gt;0,"增加","减少")&amp;ABS(ROUND('#经营概况'!N77,2))&amp;"亿元，"&amp;IF('#经营概况'!N77&gt;0,"增幅","降幅")&amp;ROUND('#经营概况'!O77*100,2)&amp;"%。"</f>
        <v>（3）8月太钢集团产值（太原地区）101.69亿元，比同期55.24亿元增加46.45亿元，增幅84.1%；1-8月太钢集团产值（太原地区）累计720.07亿元，比同期466.83亿元增加253.24亿元，增幅54.25%。</v>
      </c>
    </row>
    <row r="98" spans="2:3">
      <c r="B98" s="2282" t="s">
        <v>1726</v>
      </c>
      <c r="C98" s="2265" t="str">
        <f>"（3）"&amp;$A$2&amp;"月太钢集团产值（太原地区）"&amp;ROUND('#经营概况'!$H$81,2)&amp;"亿元，按此报出后，比同期"&amp;ROUND('#经营概况'!$D$81,2)&amp;"亿元"&amp;IF('#经营概况'!I81&gt;0,"增加","减少")&amp;ABS(ROUND('#经营概况'!I81,2))&amp;"亿元，"&amp;IF('#经营概况'!I81&gt;0,"增幅","降幅")&amp;ROUND('#经营概况'!J81*100,2)&amp;"%；"&amp;"1-"&amp;$A$2&amp;"月太钢集团产值（太原地区）累计"&amp;ROUND('#经营概况'!$M$81,2)&amp;"亿元，比同期"&amp;ROUND('#经营概况'!$E$81,2)&amp;"亿元"&amp;IF('#经营概况'!N81&gt;0,"增加","减少")&amp;ABS(ROUND('#经营概况'!N81,2))&amp;"亿元，"&amp;IF('#经营概况'!N81&gt;0,"增幅","降幅")&amp;ROUND('#经营概况'!O81*100,2)&amp;"%。"</f>
        <v>（3）8月太钢集团产值（太原地区）105.09亿元，按此报出后，比同期55.24亿元增加49.85亿元，增幅90.25%；1-8月太钢集团产值（太原地区）累计721.77亿元，比同期475.83亿元增加245.94亿元，增幅51.69%。</v>
      </c>
    </row>
    <row r="99" spans="2:3">
      <c r="B99" s="2282" t="s">
        <v>1754</v>
      </c>
      <c r="C99" s="2265" t="str">
        <f>"（3）"&amp;$A$2&amp;"月太钢集团汇总产值（太原地区）"&amp;ROUND('#经营概况'!$H$77,2)&amp;"亿元，建议按照"&amp;ROUND('#经营概况'!$H$81,2)&amp;"亿元报出，按此报出后，比同期"&amp;ROUND('#经营概况'!$D$81,2)&amp;"亿元"&amp;IF('#经营概况'!I81&gt;0,"增加","减少")&amp;ABS(ROUND('#经营概况'!I81,2))&amp;"亿元，"&amp;IF('#经营概况'!I81&gt;0,"增幅","降幅")&amp;ROUND('#经营概况'!J81*100,2)&amp;"%；"&amp;"1-"&amp;$A$2&amp;"月太钢集团产值（太原地区）累计"&amp;ROUND('#经营概况'!$M$81,2)&amp;"亿元，比同期"&amp;ROUND('#经营概况'!$E$81,2)&amp;"亿元"&amp;IF('#经营概况'!N81&gt;0,"增加","减少")&amp;ABS(ROUND('#经营概况'!N81,2))&amp;"亿元，"&amp;IF('#经营概况'!N81&gt;0,"增幅","降幅")&amp;ROUND('#经营概况'!O81*100,2)&amp;"%。"</f>
        <v>（3）8月太钢集团汇总产值（太原地区）101.69亿元，建议按照105.09亿元报出，按此报出后，比同期55.24亿元增加49.85亿元，增幅90.25%；1-8月太钢集团产值（太原地区）累计721.77亿元，比同期475.83亿元增加245.94亿元，增幅51.69%。</v>
      </c>
    </row>
    <row r="100" spans="2:3">
      <c r="C100" s="2265" t="str">
        <f>C85&amp;"
"&amp;C86&amp;"
"&amp;C87&amp;"
"&amp;C88&amp;"
"&amp;C89&amp;"
"&amp;C90&amp;"
"&amp;C91&amp;"
"&amp;C92&amp;"
"&amp;C93&amp;"
"&amp;C94&amp;"
"&amp;C95&amp;"
"&amp;C99</f>
        <v>领导，现将8月利润及产值情况汇报如下：
（1）8月汇总利润（管理口径）21.31亿元，比上月21.82亿元减少0.5亿元，其中：
①钢铁板块9.52亿元，剔除关联交易价变动影响后，比上月减少2.6亿元；（太钢不锈8.78亿元，比上月减少3.43亿元；宝钢德盛0.18亿元，比上月增加0.63亿元；宁波宝新0.56亿元，比上月增加0.2亿元）；
②矿山系统10.47亿元，剔除关联交易价变动影响后，比上月增加0.72亿元；
③多元业务1.85亿元，比上月1.06亿元增加0.79亿元；
④投资收益0.69亿元，比上月0.23亿元增加0.46亿元。
（2）1-8月累计汇总利润（管理口径）152.63亿元，其中：
①钢铁板块80.62亿元（太钢不锈77.16亿元，宝钢德盛0.35亿元，宁波宝新3.11亿元）；
②矿山系统70.64亿元；
③多元业务10.06亿元；
④投资收益2.5亿元。
（3）8月太钢集团汇总产值（太原地区）101.69亿元，建议按照105.09亿元报出，按此报出后，比同期55.24亿元增加49.85亿元，增幅90.25%；1-8月太钢集团产值（太原地区）累计721.77亿元，比同期475.83亿元增加245.94亿元，增幅51.69%。</v>
      </c>
    </row>
    <row r="101" spans="2:3">
      <c r="C101" s="2513"/>
    </row>
  </sheetData>
  <customSheetViews>
    <customSheetView guid="{1683F931-F47D-47C0-A395-D48080DC7EE6}" showPageBreaks="1" hiddenRows="1" hiddenColumns="1" topLeftCell="F1">
      <selection activeCell="L20" sqref="L20"/>
      <pageMargins left="0.7" right="0.7" top="0.75" bottom="0.75" header="0.3" footer="0.3"/>
      <pageSetup paperSize="9" orientation="portrait" r:id="rId1"/>
    </customSheetView>
    <customSheetView guid="{43897816-D2F0-4C3D-8F57-E0039BD2296B}" hiddenRows="1" hiddenColumns="1" topLeftCell="A22">
      <selection activeCell="C99" sqref="C99"/>
      <pageMargins left="0.7" right="0.7" top="0.75" bottom="0.75" header="0.3" footer="0.3"/>
      <pageSetup paperSize="9" orientation="portrait" r:id="rId2"/>
    </customSheetView>
    <customSheetView guid="{849C46E5-4ED4-41B9-BDA9-A6465B9DA9C2}" fitToPage="1" hiddenRows="1" hiddenColumns="1" topLeftCell="A39">
      <selection activeCell="F89" sqref="F89"/>
      <pageMargins left="0.7" right="0.7" top="0.75" bottom="0.75" header="0.3" footer="0.3"/>
      <pageSetup paperSize="9" scale="10" orientation="portrait" r:id="rId3"/>
    </customSheetView>
    <customSheetView guid="{8C09BCDE-4B8A-4469-B3F2-7F4528A2E78D}" showPageBreaks="1" fitToPage="1" hiddenRows="1" hiddenColumns="1" topLeftCell="A4">
      <selection activeCell="F28" sqref="F28"/>
      <pageMargins left="0.7" right="0.7" top="0.75" bottom="0.75" header="0.3" footer="0.3"/>
      <pageSetup paperSize="9" scale="10" orientation="portrait" r:id="rId4"/>
    </customSheetView>
    <customSheetView guid="{F4EB51F4-FD23-4D5B-8072-1AF5D59D6686}" hiddenRows="1" hiddenColumns="1" topLeftCell="A15">
      <selection activeCell="N20" sqref="N20"/>
      <pageMargins left="0.7" right="0.7" top="0.75" bottom="0.75" header="0.3" footer="0.3"/>
      <pageSetup paperSize="9" orientation="portrait" r:id="rId5"/>
    </customSheetView>
    <customSheetView guid="{D7BCFB76-2797-401D-A6F1-E020B5162DD4}" fitToPage="1">
      <selection activeCell="G53" sqref="G53"/>
      <pageMargins left="0.7" right="0.7" top="0.75" bottom="0.75" header="0.3" footer="0.3"/>
      <pageSetup paperSize="9" scale="10" orientation="portrait" r:id="rId6"/>
    </customSheetView>
    <customSheetView guid="{C9A88430-3808-49F4-8D86-BF8C70C55441}" hiddenColumns="1" topLeftCell="A61">
      <selection activeCell="H91" sqref="H91"/>
      <pageMargins left="0.7" right="0.7" top="0.75" bottom="0.75" header="0.3" footer="0.3"/>
      <pageSetup paperSize="9" orientation="portrait" r:id="rId7"/>
    </customSheetView>
    <customSheetView guid="{E61FFED3-723E-484A-93A0-94E1A801AF06}" hiddenColumns="1" topLeftCell="A13">
      <selection activeCell="F62" sqref="F62"/>
      <pageMargins left="0.7" right="0.7" top="0.75" bottom="0.75" header="0.3" footer="0.3"/>
      <pageSetup paperSize="9" orientation="portrait" r:id="rId8"/>
    </customSheetView>
    <customSheetView guid="{6A1E79C9-91E3-4EEA-8ABB-4446083299EC}" hiddenColumns="1" topLeftCell="A40">
      <selection activeCell="J58" sqref="J58"/>
      <pageMargins left="0.7" right="0.7" top="0.75" bottom="0.75" header="0.3" footer="0.3"/>
      <pageSetup paperSize="9" orientation="portrait" r:id="rId9"/>
    </customSheetView>
    <customSheetView guid="{8B80B510-C931-46B1-8591-DEA916D76593}" scale="85" hiddenRows="1" hiddenColumns="1">
      <selection activeCell="I11" sqref="I11"/>
      <pageMargins left="0.7" right="0.7" top="0.75" bottom="0.75" header="0.3" footer="0.3"/>
      <pageSetup paperSize="9" orientation="portrait" r:id="rId10"/>
    </customSheetView>
    <customSheetView guid="{303A9D89-611D-4504-BCAA-071C53B021F7}" scale="70" fitToPage="1" hiddenRows="1" hiddenColumns="1">
      <selection activeCell="I17" sqref="I17"/>
      <pageMargins left="0.7" right="0.7" top="0.75" bottom="0.75" header="0.3" footer="0.3"/>
      <pageSetup paperSize="9" scale="26" orientation="portrait" r:id="rId11"/>
    </customSheetView>
    <customSheetView guid="{4583A87D-5DFF-47BD-849A-FA4AAF2B9CE3}" hiddenRows="1" hiddenColumns="1">
      <selection activeCell="F22" sqref="F22"/>
      <pageMargins left="0.7" right="0.7" top="0.75" bottom="0.75" header="0.3" footer="0.3"/>
      <pageSetup paperSize="9" orientation="portrait" r:id="rId12"/>
    </customSheetView>
    <customSheetView guid="{EA856AC2-CDFF-46B6-B0C4-30449DF132F4}" hiddenRows="1" hiddenColumns="1">
      <selection activeCell="A82" sqref="A82:XFD82"/>
      <pageMargins left="0.7" right="0.7" top="0.75" bottom="0.75" header="0.3" footer="0.3"/>
      <pageSetup paperSize="9" orientation="portrait" r:id="rId13"/>
    </customSheetView>
    <customSheetView guid="{322A45A6-8B26-49B8-A4D9-EFB3C94A758D}" showPageBreaks="1" fitToPage="1" hiddenColumns="1">
      <selection activeCell="C58" sqref="C58"/>
      <pageMargins left="0.7" right="0.7" top="0.75" bottom="0.75" header="0.3" footer="0.3"/>
      <pageSetup paperSize="9" scale="10" orientation="portrait" r:id="rId14"/>
    </customSheetView>
  </customSheetViews>
  <mergeCells count="16">
    <mergeCell ref="B69:C69"/>
    <mergeCell ref="B68:C68"/>
    <mergeCell ref="B4:C4"/>
    <mergeCell ref="W4:X4"/>
    <mergeCell ref="B5:B23"/>
    <mergeCell ref="W5:W14"/>
    <mergeCell ref="W22:X22"/>
    <mergeCell ref="W23:X23"/>
    <mergeCell ref="W24:X24"/>
    <mergeCell ref="B57:B64"/>
    <mergeCell ref="B65:C65"/>
    <mergeCell ref="B66:C66"/>
    <mergeCell ref="B67:C67"/>
    <mergeCell ref="B24:B56"/>
    <mergeCell ref="W15:W21"/>
    <mergeCell ref="W25:X25"/>
  </mergeCells>
  <phoneticPr fontId="133" type="noConversion"/>
  <pageMargins left="0.7" right="0.7" top="0.75" bottom="0.75" header="0.3" footer="0.3"/>
  <pageSetup paperSize="9" orientation="portrait" r:id="rId1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AB66"/>
  <sheetViews>
    <sheetView zoomScaleNormal="85" workbookViewId="0">
      <selection activeCell="I32" sqref="I32"/>
    </sheetView>
  </sheetViews>
  <sheetFormatPr defaultRowHeight="14.25"/>
  <cols>
    <col min="2" max="2" width="28.25" customWidth="1"/>
    <col min="3" max="3" width="12" customWidth="1"/>
    <col min="4" max="5" width="9.5" bestFit="1" customWidth="1"/>
    <col min="6" max="6" width="13.375" customWidth="1"/>
    <col min="7" max="8" width="9.5" bestFit="1" customWidth="1"/>
    <col min="9" max="10" width="10" bestFit="1" customWidth="1"/>
    <col min="11" max="11" width="9.5" customWidth="1"/>
    <col min="12" max="12" width="9.875" bestFit="1" customWidth="1"/>
    <col min="13" max="13" width="10.75" bestFit="1" customWidth="1"/>
    <col min="14" max="14" width="9.5" customWidth="1"/>
    <col min="15" max="15" width="11" bestFit="1" customWidth="1"/>
    <col min="16" max="16" width="9.875" bestFit="1" customWidth="1"/>
    <col min="17" max="17" width="10" bestFit="1" customWidth="1"/>
    <col min="18" max="19" width="9.875" bestFit="1" customWidth="1"/>
    <col min="20" max="20" width="10" bestFit="1" customWidth="1"/>
    <col min="21" max="21" width="10.625" bestFit="1" customWidth="1"/>
    <col min="22" max="22" width="9.625" bestFit="1" customWidth="1"/>
    <col min="23" max="23" width="9.125" bestFit="1" customWidth="1"/>
  </cols>
  <sheetData>
    <row r="1" spans="2:28">
      <c r="B1" s="1551" t="s">
        <v>0</v>
      </c>
      <c r="C1" s="1551">
        <f>'#经营概况'!B1</f>
        <v>2021</v>
      </c>
      <c r="D1" s="1551"/>
      <c r="E1" s="1551"/>
      <c r="F1" s="1551"/>
      <c r="G1" s="1551"/>
      <c r="H1" s="1551"/>
      <c r="I1" s="1551">
        <f>IF(C2=1,C1-1,C1)</f>
        <v>2021</v>
      </c>
    </row>
    <row r="2" spans="2:28">
      <c r="B2" s="1551" t="s">
        <v>1</v>
      </c>
      <c r="C2" s="1551">
        <f>'#经营概况'!B2</f>
        <v>8</v>
      </c>
      <c r="D2" s="1551"/>
      <c r="E2" s="1551"/>
      <c r="F2" s="1551"/>
      <c r="G2" s="1551"/>
      <c r="H2" s="1551"/>
      <c r="I2" s="1551">
        <f>IF(C2=1,12,C2-1)</f>
        <v>7</v>
      </c>
    </row>
    <row r="4" spans="2:28">
      <c r="B4" s="1552" t="s">
        <v>1117</v>
      </c>
    </row>
    <row r="6" spans="2:28">
      <c r="B6" s="1553" t="s">
        <v>3</v>
      </c>
      <c r="C6" s="1553" t="str">
        <f>($C$1-1)&amp;"年"&amp;$C$2&amp;"月"</f>
        <v>2020年8月</v>
      </c>
      <c r="D6" s="1553"/>
      <c r="E6" s="1553"/>
      <c r="F6" s="1554" t="str">
        <f>$C$1&amp;"年预算"</f>
        <v>2021年预算</v>
      </c>
      <c r="G6" s="1555"/>
      <c r="H6" s="1556"/>
      <c r="I6" s="2731" t="str">
        <f>$I$1&amp;"年"&amp;($I$2)&amp;"月"</f>
        <v>2021年7月</v>
      </c>
      <c r="J6" s="2732"/>
      <c r="K6" s="2733"/>
      <c r="L6" s="2731" t="str">
        <f>$C$1&amp;"年"&amp;$C$2&amp;"月"</f>
        <v>2021年8月</v>
      </c>
      <c r="M6" s="2732"/>
      <c r="N6" s="2733"/>
      <c r="O6" s="1557" t="s">
        <v>7</v>
      </c>
      <c r="P6" s="1558"/>
      <c r="Q6" s="1559"/>
      <c r="R6" s="1557" t="s">
        <v>8</v>
      </c>
      <c r="S6" s="1558"/>
      <c r="T6" s="1559"/>
      <c r="U6" s="1554" t="s">
        <v>9</v>
      </c>
      <c r="V6" s="1555"/>
      <c r="W6" s="1556"/>
      <c r="X6" s="1553"/>
      <c r="Y6" s="1553"/>
      <c r="Z6" s="1553"/>
    </row>
    <row r="7" spans="2:28">
      <c r="B7" s="1553"/>
      <c r="C7" s="1553" t="s">
        <v>69</v>
      </c>
      <c r="D7" s="1553" t="s">
        <v>39</v>
      </c>
      <c r="E7" s="1553" t="s">
        <v>577</v>
      </c>
      <c r="F7" s="1553" t="s">
        <v>69</v>
      </c>
      <c r="G7" s="1553" t="s">
        <v>39</v>
      </c>
      <c r="H7" s="1553" t="s">
        <v>577</v>
      </c>
      <c r="I7" s="1560" t="s">
        <v>69</v>
      </c>
      <c r="J7" s="1560" t="s">
        <v>39</v>
      </c>
      <c r="K7" s="1560" t="s">
        <v>577</v>
      </c>
      <c r="L7" s="1560" t="s">
        <v>69</v>
      </c>
      <c r="M7" s="1560" t="s">
        <v>39</v>
      </c>
      <c r="N7" s="1560" t="s">
        <v>577</v>
      </c>
      <c r="O7" s="1560" t="s">
        <v>69</v>
      </c>
      <c r="P7" s="1560" t="s">
        <v>39</v>
      </c>
      <c r="Q7" s="1560" t="s">
        <v>577</v>
      </c>
      <c r="R7" s="1560" t="s">
        <v>69</v>
      </c>
      <c r="S7" s="1560" t="s">
        <v>39</v>
      </c>
      <c r="T7" s="1560" t="s">
        <v>577</v>
      </c>
      <c r="U7" s="1553" t="s">
        <v>69</v>
      </c>
      <c r="V7" s="1553" t="s">
        <v>39</v>
      </c>
      <c r="W7" s="1553" t="s">
        <v>577</v>
      </c>
      <c r="X7" s="1549" t="s">
        <v>584</v>
      </c>
      <c r="Y7" s="1549" t="s">
        <v>585</v>
      </c>
      <c r="Z7" s="1553"/>
    </row>
    <row r="8" spans="2:28">
      <c r="B8" s="1561" t="s">
        <v>52</v>
      </c>
      <c r="C8" s="1562">
        <f>SUMIFS(钢材数据!$C:$C,钢材数据!$A:$A,C1-1,钢材数据!$B:$B,C2)</f>
        <v>43.621228099999996</v>
      </c>
      <c r="D8" s="1562">
        <f>SUMIFS(钢材数据!$D:$D,钢材数据!$A:$A,$C$1-1,钢材数据!$B:$B,$C$2)</f>
        <v>17.054229808300001</v>
      </c>
      <c r="E8" s="1563">
        <f>D8/C8*10000</f>
        <v>3909.6170720374562</v>
      </c>
      <c r="F8" s="1561">
        <v>875</v>
      </c>
      <c r="G8" s="1561">
        <v>224</v>
      </c>
      <c r="H8" s="1563">
        <f>G8/F8*10000</f>
        <v>2560</v>
      </c>
      <c r="I8" s="1564">
        <f>SUMIFS(钢材数据!$C:$C,钢材数据!$A:$A,I1,钢材数据!$B:$B,I2)</f>
        <v>66.619788999999997</v>
      </c>
      <c r="J8" s="1564">
        <f>SUMIFS(钢材数据!$D:$D,钢材数据!$A:$A,$I$1,钢材数据!$B:$B,$I$2)</f>
        <v>36.150041198699995</v>
      </c>
      <c r="K8" s="1565">
        <f>J8/I8*10000</f>
        <v>5426.321779358982</v>
      </c>
      <c r="L8" s="1564">
        <f>SUMIFS(钢材数据!$C:$C,钢材数据!$A:$A,C1,钢材数据!$B:$B,C2)</f>
        <v>69.811199999999999</v>
      </c>
      <c r="M8" s="1564">
        <f>SUMIFS(钢材数据!$D:$D,钢材数据!$A:$A,$C$1,钢材数据!$B:$B,$C$2)</f>
        <v>38.409999999999997</v>
      </c>
      <c r="N8" s="1565">
        <f>M8/L8*10000</f>
        <v>5501.9824899156574</v>
      </c>
      <c r="O8" s="1566">
        <f>L8-I8</f>
        <v>3.1914110000000022</v>
      </c>
      <c r="P8" s="1566">
        <f t="shared" ref="P8:Q12" si="0">M8-J8</f>
        <v>2.2599588013000016</v>
      </c>
      <c r="Q8" s="1567">
        <f t="shared" si="0"/>
        <v>75.66071055667544</v>
      </c>
      <c r="R8" s="1566">
        <f t="shared" ref="R8:T12" si="1">L8-C8</f>
        <v>26.189971900000003</v>
      </c>
      <c r="S8" s="1566">
        <f t="shared" si="1"/>
        <v>21.355770191699996</v>
      </c>
      <c r="T8" s="1567">
        <f t="shared" si="1"/>
        <v>1592.3654178782012</v>
      </c>
      <c r="U8" s="749">
        <f>L8-F8/12</f>
        <v>-3.1054666666666719</v>
      </c>
      <c r="V8" s="749">
        <f>M8-G8/12</f>
        <v>19.743333333333329</v>
      </c>
      <c r="W8" s="1568">
        <f>N8-H8</f>
        <v>2941.9824899156574</v>
      </c>
      <c r="X8" s="752">
        <f>E8*R8</f>
        <v>102392.76125642126</v>
      </c>
      <c r="Y8" s="752">
        <f>T8*L8</f>
        <v>111164.94066057868</v>
      </c>
      <c r="Z8" s="1569"/>
    </row>
    <row r="9" spans="2:28">
      <c r="B9" s="1561" t="s">
        <v>51</v>
      </c>
      <c r="C9" s="1562">
        <f>SUMIFS(钢材数据!$F:$F,钢材数据!$A:$A,C1-1,钢材数据!$B:$B,C2)</f>
        <v>27.891867307622508</v>
      </c>
      <c r="D9" s="1562">
        <f>SUMIFS(钢材数据!$G:$G,钢材数据!$A:$A,C1-1,钢材数据!$B:$B,C2)</f>
        <v>32.195271778066768</v>
      </c>
      <c r="E9" s="1563">
        <f>D9/C9*10000</f>
        <v>11542.888621612004</v>
      </c>
      <c r="F9" s="1561">
        <v>650</v>
      </c>
      <c r="G9" s="1561">
        <v>450</v>
      </c>
      <c r="H9" s="1563">
        <f>G9/F9*10000</f>
        <v>6923.0769230769229</v>
      </c>
      <c r="I9" s="1564">
        <f>SUMIFS(钢材数据!$F:$F,钢材数据!$A:$A,I1,钢材数据!$B:$B,I2)</f>
        <v>37.680016000000016</v>
      </c>
      <c r="J9" s="1564">
        <f>SUMIFS(钢材数据!$G:$G,钢材数据!$A:$A,I1,钢材数据!$B:$B,I2)</f>
        <v>53.872827244217973</v>
      </c>
      <c r="K9" s="1565">
        <f>J9/I9*10000</f>
        <v>14297.453388612666</v>
      </c>
      <c r="L9" s="1564">
        <f>SUMIFS(钢材数据!$F:$F,钢材数据!$A:$A,C1,钢材数据!$B:$B,C2)</f>
        <v>34.83624600000001</v>
      </c>
      <c r="M9" s="1564">
        <f>SUMIFS(钢材数据!$G:$G,钢材数据!$A:$A,C1,钢材数据!$B:$B,C2)</f>
        <v>53.209969458400003</v>
      </c>
      <c r="N9" s="1565">
        <f>M9/L9*10000</f>
        <v>15274.312122609304</v>
      </c>
      <c r="O9" s="1566">
        <f>L9-I9</f>
        <v>-2.8437700000000063</v>
      </c>
      <c r="P9" s="1566">
        <f t="shared" si="0"/>
        <v>-0.66285778581796961</v>
      </c>
      <c r="Q9" s="1567">
        <f t="shared" si="0"/>
        <v>976.85873399663797</v>
      </c>
      <c r="R9" s="1566">
        <f t="shared" si="1"/>
        <v>6.9443786923775015</v>
      </c>
      <c r="S9" s="1566">
        <f t="shared" si="1"/>
        <v>21.014697680333235</v>
      </c>
      <c r="T9" s="1567">
        <f t="shared" si="1"/>
        <v>3731.4235009972999</v>
      </c>
      <c r="U9" s="749">
        <f>L9-F9/12</f>
        <v>-19.330420666666654</v>
      </c>
      <c r="V9" s="749">
        <f>M9-G9/12</f>
        <v>15.709969458400003</v>
      </c>
      <c r="W9" s="1568">
        <f>N9-H9</f>
        <v>8351.2351995323806</v>
      </c>
      <c r="X9" s="752">
        <f>E9*R9</f>
        <v>80158.189792409117</v>
      </c>
      <c r="Y9" s="752">
        <f>T9*L9</f>
        <v>129988.78701092322</v>
      </c>
      <c r="Z9" s="1569"/>
    </row>
    <row r="10" spans="2:28">
      <c r="B10" s="1561" t="s">
        <v>1118</v>
      </c>
      <c r="C10" s="1562">
        <f>C9-C11</f>
        <v>16.495593207622505</v>
      </c>
      <c r="D10" s="1562">
        <f>D9-D11</f>
        <v>24.50071217526677</v>
      </c>
      <c r="E10" s="1563">
        <f>D10/C10*10000</f>
        <v>14852.883353079507</v>
      </c>
      <c r="F10" s="1563">
        <f>F9-F11</f>
        <v>650</v>
      </c>
      <c r="G10" s="1562">
        <f>G9-G11</f>
        <v>450</v>
      </c>
      <c r="H10" s="1563">
        <f>G10/F10*10000</f>
        <v>6923.0769230769229</v>
      </c>
      <c r="I10" s="1564">
        <f>I9-I11</f>
        <v>20.224708200000016</v>
      </c>
      <c r="J10" s="1564">
        <f>J9-J11</f>
        <v>38.13805150421797</v>
      </c>
      <c r="K10" s="1565">
        <f>J10/I10*10000</f>
        <v>18857.157852204728</v>
      </c>
      <c r="L10" s="1564">
        <f>L9-L11</f>
        <v>19.97624600000001</v>
      </c>
      <c r="M10" s="1564">
        <f>M9-M11</f>
        <v>39.469969458400001</v>
      </c>
      <c r="N10" s="1565">
        <f>M10/L10*10000</f>
        <v>19758.451842453273</v>
      </c>
      <c r="O10" s="1566">
        <f>L10-I10</f>
        <v>-0.24846220000000585</v>
      </c>
      <c r="P10" s="1566">
        <f t="shared" si="0"/>
        <v>1.3319179541820318</v>
      </c>
      <c r="Q10" s="1567">
        <f t="shared" si="0"/>
        <v>901.29399024854501</v>
      </c>
      <c r="R10" s="1566">
        <f t="shared" si="1"/>
        <v>3.480652792377505</v>
      </c>
      <c r="S10" s="1566">
        <f t="shared" si="1"/>
        <v>14.969257283133231</v>
      </c>
      <c r="T10" s="1567">
        <f t="shared" si="1"/>
        <v>4905.5684893737653</v>
      </c>
      <c r="U10" s="749"/>
      <c r="V10" s="749"/>
      <c r="W10" s="1568"/>
      <c r="X10" s="752"/>
      <c r="Y10" s="752"/>
      <c r="Z10" s="1569"/>
    </row>
    <row r="11" spans="2:28">
      <c r="B11" s="1561" t="s">
        <v>559</v>
      </c>
      <c r="C11" s="1562">
        <f>SUMIFS('#销量数据'!93:93,'#销量数据'!1:1,$C$1-1,'#销量数据'!2:2,$C$2,'#销量数据'!3:3,"销量")</f>
        <v>11.396274100000001</v>
      </c>
      <c r="D11" s="1562">
        <f>SUMIFS('#销量数据'!93:93,'#销量数据'!1:1,$C$1-1,'#销量数据'!2:2,$C$2,'#销量数据'!3:3,"收入")</f>
        <v>7.6945596028000001</v>
      </c>
      <c r="E11" s="1563">
        <f>D11/C11*10000</f>
        <v>6751.820406636235</v>
      </c>
      <c r="F11" s="1561"/>
      <c r="G11" s="1561"/>
      <c r="H11" s="1563" t="e">
        <f>G11/F11*10000</f>
        <v>#DIV/0!</v>
      </c>
      <c r="I11" s="1564">
        <f>SUMIFS('#销量数据'!93:93,'#销量数据'!1:1,$I$1,'#销量数据'!2:2,$I$2,'#销量数据'!3:3,"销量")</f>
        <v>17.4553078</v>
      </c>
      <c r="J11" s="1564">
        <f>SUMIFS('#销量数据'!93:93,'#销量数据'!1:1,$I$1,'#销量数据'!2:2,$I$2,'#销量数据'!3:3,"收入")</f>
        <v>15.73477574</v>
      </c>
      <c r="K11" s="1565">
        <f>J11/I11*10000</f>
        <v>9014.321557824378</v>
      </c>
      <c r="L11" s="1564">
        <f>SUMIFS('#销量数据'!93:93,'#销量数据'!1:1,$C$1,'#销量数据'!2:2,$C$2,'#销量数据'!3:3,"销量")</f>
        <v>14.86</v>
      </c>
      <c r="M11" s="1564">
        <f>SUMIFS('#销量数据'!93:93,'#销量数据'!1:1,$C$1,'#销量数据'!2:2,$C$2,'#销量数据'!3:3,"收入")</f>
        <v>13.74</v>
      </c>
      <c r="N11" s="1565">
        <f>M11/L11*10000</f>
        <v>9246.2987886944829</v>
      </c>
      <c r="O11" s="1566">
        <f>L11-I11</f>
        <v>-2.5953078000000005</v>
      </c>
      <c r="P11" s="1566">
        <f t="shared" si="0"/>
        <v>-1.9947757399999997</v>
      </c>
      <c r="Q11" s="1567">
        <f t="shared" si="0"/>
        <v>231.9772308701049</v>
      </c>
      <c r="R11" s="1566">
        <f t="shared" si="1"/>
        <v>3.4637258999999982</v>
      </c>
      <c r="S11" s="1566">
        <f t="shared" si="1"/>
        <v>6.0454403972000001</v>
      </c>
      <c r="T11" s="1567">
        <f t="shared" si="1"/>
        <v>2494.4783820582479</v>
      </c>
      <c r="U11" s="749"/>
      <c r="V11" s="749"/>
      <c r="W11" s="1568"/>
      <c r="X11" s="752"/>
      <c r="Y11" s="752"/>
      <c r="Z11" s="1569"/>
    </row>
    <row r="12" spans="2:28">
      <c r="B12" s="1553" t="s">
        <v>187</v>
      </c>
      <c r="C12" s="1570">
        <f>SUMIFS(钢材数据!$I:$I,钢材数据!$A:$A,C1-1,钢材数据!$B:$B,C2)</f>
        <v>71.513095407622501</v>
      </c>
      <c r="D12" s="1570">
        <f>SUMIFS(钢材数据!$J:$J,钢材数据!$A:$A,C1-1,钢材数据!$B:$B,C2)</f>
        <v>49.249501586366769</v>
      </c>
      <c r="E12" s="1571">
        <f>D12/C12*10000</f>
        <v>6886.7808484091038</v>
      </c>
      <c r="F12" s="1553">
        <f>F8+F9</f>
        <v>1525</v>
      </c>
      <c r="G12" s="1553">
        <f>G8+G9</f>
        <v>674</v>
      </c>
      <c r="H12" s="1571">
        <f>G12/F12*10000</f>
        <v>4419.6721311475412</v>
      </c>
      <c r="I12" s="1572">
        <f>SUMIFS(钢材数据!$I:$I,钢材数据!$A:$A,I1,钢材数据!$B:$B,I2)</f>
        <v>104.29980500000002</v>
      </c>
      <c r="J12" s="1572">
        <f>SUMIFS(钢材数据!$J:$J,钢材数据!$A:$A,I1,钢材数据!$B:$B,I2)</f>
        <v>90.022868442917968</v>
      </c>
      <c r="K12" s="1573">
        <f>J12/I12*10000</f>
        <v>8631.163638601045</v>
      </c>
      <c r="L12" s="1572">
        <f>SUMIFS(钢材数据!$I:$I,钢材数据!$A:$A,C1,钢材数据!$B:$B,C2)</f>
        <v>104.647446</v>
      </c>
      <c r="M12" s="1572">
        <f>SUMIFS(钢材数据!$J:$J,钢材数据!$A:$A,C1,钢材数据!$B:$B,C2)</f>
        <v>91.619969458399993</v>
      </c>
      <c r="N12" s="1573">
        <f>M12/L12*10000</f>
        <v>8755.1080279971666</v>
      </c>
      <c r="O12" s="1574">
        <f>L12-I12</f>
        <v>0.34764099999998166</v>
      </c>
      <c r="P12" s="1574">
        <f t="shared" si="0"/>
        <v>1.5971010154820249</v>
      </c>
      <c r="Q12" s="1575">
        <f t="shared" si="0"/>
        <v>123.94438939612155</v>
      </c>
      <c r="R12" s="1574">
        <f t="shared" si="1"/>
        <v>33.134350592377501</v>
      </c>
      <c r="S12" s="1574">
        <f t="shared" si="1"/>
        <v>42.370467872033224</v>
      </c>
      <c r="T12" s="1575">
        <f t="shared" si="1"/>
        <v>1868.3271795880628</v>
      </c>
      <c r="U12" s="750">
        <f>L12-F12/12</f>
        <v>-22.435887333333326</v>
      </c>
      <c r="V12" s="750">
        <f>M12-G12/12</f>
        <v>35.453302791733329</v>
      </c>
      <c r="W12" s="751">
        <f>N12-H12</f>
        <v>4335.4358968496254</v>
      </c>
      <c r="X12" s="1576">
        <f>X8+X9</f>
        <v>182550.95104883038</v>
      </c>
      <c r="Y12" s="1576">
        <f>Y8+Y9</f>
        <v>241153.7276715019</v>
      </c>
      <c r="Z12" s="1571">
        <f>T12*L12</f>
        <v>195515.6676362741</v>
      </c>
    </row>
    <row r="13" spans="2:28">
      <c r="B13" s="1578" t="s">
        <v>604</v>
      </c>
      <c r="C13" s="1599">
        <f>C11/C9</f>
        <v>0.40858770674294503</v>
      </c>
      <c r="D13" s="1580"/>
      <c r="E13" s="1600"/>
      <c r="F13" s="1599">
        <f>F11/F9</f>
        <v>0</v>
      </c>
      <c r="G13" s="1578"/>
      <c r="H13" s="1600"/>
      <c r="I13" s="1599">
        <f>I11/I9</f>
        <v>0.46325107186790981</v>
      </c>
      <c r="J13" s="1626"/>
      <c r="K13" s="1627"/>
      <c r="L13" s="1599">
        <f>L11/L9</f>
        <v>0.42656720244770335</v>
      </c>
    </row>
    <row r="15" spans="2:28">
      <c r="B15" s="1577" t="s">
        <v>68</v>
      </c>
      <c r="C15" s="746"/>
      <c r="D15" s="746"/>
      <c r="E15" s="746"/>
      <c r="F15" s="746"/>
      <c r="G15" s="746"/>
      <c r="H15" s="746"/>
      <c r="I15" s="746"/>
      <c r="J15" s="746"/>
      <c r="K15" s="746"/>
      <c r="L15" s="746"/>
      <c r="M15" s="746"/>
      <c r="N15" s="746"/>
      <c r="O15" s="746"/>
      <c r="P15" s="746"/>
      <c r="Q15" s="746"/>
      <c r="R15" s="746"/>
      <c r="S15" s="746"/>
      <c r="T15" s="746"/>
      <c r="U15" s="746"/>
      <c r="V15" s="746"/>
      <c r="W15" s="746"/>
      <c r="X15" s="746"/>
      <c r="Y15" s="746"/>
      <c r="Z15" s="746"/>
      <c r="AA15" s="746"/>
      <c r="AB15" s="154"/>
    </row>
    <row r="16" spans="2:28">
      <c r="B16" s="1578" t="s">
        <v>52</v>
      </c>
      <c r="C16" s="1579">
        <f>SUMIFS('#产量数据'!186:186,'#产量数据'!$1:$1,$C$1-1,'#产量数据'!$2:$2,$C$2)/10000</f>
        <v>69.268369989999982</v>
      </c>
      <c r="D16" s="745"/>
      <c r="E16" s="745"/>
      <c r="F16" s="745"/>
      <c r="G16" s="745"/>
      <c r="H16" s="745"/>
      <c r="I16" s="1580">
        <f>SUMIFS('#产量数据'!188:188,'#产量数据'!$1:$1,$I$1,'#产量数据'!$2:$2,$I$2)/10000</f>
        <v>68.402428100000023</v>
      </c>
      <c r="J16" s="745"/>
      <c r="K16" s="745"/>
      <c r="L16" s="1580">
        <f>SUMIFS('#产量数据'!188:188,'#产量数据'!$1:$1,$C$1,'#产量数据'!$2:$2,$C$2)/10000</f>
        <v>69.981456100000003</v>
      </c>
      <c r="M16" s="745"/>
      <c r="N16" s="745"/>
      <c r="O16" s="745"/>
      <c r="P16" s="745"/>
      <c r="Q16" s="745"/>
      <c r="R16" s="745"/>
      <c r="S16" s="745"/>
      <c r="T16" s="745"/>
      <c r="U16" s="745"/>
      <c r="V16" s="745"/>
      <c r="W16" s="745"/>
      <c r="X16" s="745"/>
      <c r="Y16" s="745"/>
      <c r="Z16" s="745"/>
      <c r="AA16" s="745"/>
      <c r="AB16" s="154"/>
    </row>
    <row r="17" spans="2:28">
      <c r="B17" s="1578" t="s">
        <v>51</v>
      </c>
      <c r="C17" s="1579">
        <f>SUMIFS('#产量数据'!185:185,'#产量数据'!$1:$1,$C$1-1,'#产量数据'!$2:$2,$C$2)/10000</f>
        <v>41.2082853</v>
      </c>
      <c r="D17" s="745"/>
      <c r="E17" s="745"/>
      <c r="F17" s="745"/>
      <c r="G17" s="745"/>
      <c r="H17" s="745"/>
      <c r="I17" s="1580">
        <f>SUMIFS('#产量数据'!187:187,'#产量数据'!$1:$1,$I$1,'#产量数据'!$2:$2,$I$2)/10000</f>
        <v>35.570664029999989</v>
      </c>
      <c r="J17" s="745"/>
      <c r="K17" s="745"/>
      <c r="L17" s="1580">
        <f>SUMIFS('#产量数据'!187:187,'#产量数据'!$1:$1,$C$1,'#产量数据'!$2:$2,$C$2)/10000</f>
        <v>34.412647700000001</v>
      </c>
      <c r="M17" s="745"/>
      <c r="N17" s="745"/>
      <c r="O17" s="745"/>
      <c r="P17" s="745"/>
      <c r="Q17" s="745"/>
      <c r="R17" s="745"/>
      <c r="S17" s="745"/>
      <c r="T17" s="745"/>
      <c r="U17" s="745"/>
      <c r="V17" s="745"/>
      <c r="W17" s="745"/>
      <c r="X17" s="745"/>
      <c r="Y17" s="745"/>
      <c r="Z17" s="745"/>
      <c r="AA17" s="745"/>
      <c r="AB17" s="154"/>
    </row>
    <row r="18" spans="2:28">
      <c r="B18" s="1581" t="s">
        <v>187</v>
      </c>
      <c r="C18" s="1582">
        <f>C16+C17</f>
        <v>110.47665528999998</v>
      </c>
      <c r="D18" s="1583"/>
      <c r="E18" s="1583"/>
      <c r="F18" s="1583"/>
      <c r="G18" s="1583"/>
      <c r="H18" s="1583"/>
      <c r="I18" s="1582">
        <f>I16+I17</f>
        <v>103.97309213000001</v>
      </c>
      <c r="J18" s="1583"/>
      <c r="K18" s="1583"/>
      <c r="L18" s="1582">
        <f>L16+L17</f>
        <v>104.39410380000001</v>
      </c>
      <c r="M18" s="1583"/>
      <c r="N18" s="1583"/>
      <c r="O18" s="1583"/>
      <c r="P18" s="1583"/>
      <c r="Q18" s="1583"/>
      <c r="R18" s="1583"/>
      <c r="S18" s="1583"/>
      <c r="T18" s="1583"/>
      <c r="U18" s="1583"/>
      <c r="V18" s="1583"/>
      <c r="W18" s="1583"/>
      <c r="X18" s="1583"/>
      <c r="Y18" s="1583"/>
      <c r="Z18" s="1583"/>
      <c r="AA18" s="1583"/>
      <c r="AB18" s="154"/>
    </row>
    <row r="19" spans="2:28">
      <c r="B19" s="1577" t="s">
        <v>35</v>
      </c>
      <c r="C19" s="1577"/>
      <c r="D19" s="1577"/>
      <c r="E19" s="1577"/>
      <c r="F19" s="1577"/>
      <c r="G19" s="1577"/>
      <c r="H19" s="1577"/>
      <c r="I19" s="1577"/>
      <c r="J19" s="1577"/>
      <c r="K19" s="1577"/>
      <c r="L19" s="1577"/>
      <c r="M19" s="1577"/>
      <c r="N19" s="1577"/>
      <c r="O19" s="1577"/>
      <c r="P19" s="1577"/>
      <c r="Q19" s="1577"/>
      <c r="R19" s="1577"/>
      <c r="S19" s="1577"/>
      <c r="T19" s="1577"/>
      <c r="U19" s="1577"/>
      <c r="V19" s="1577"/>
      <c r="W19" s="1577"/>
      <c r="X19" s="1577"/>
      <c r="Y19" s="1577"/>
      <c r="Z19" s="1577"/>
      <c r="AA19" s="1577"/>
      <c r="AB19" s="154"/>
    </row>
    <row r="20" spans="2:28">
      <c r="B20" s="1578" t="s">
        <v>52</v>
      </c>
      <c r="C20" s="1580">
        <f>IFERROR(C8/C16*100,"")</f>
        <v>62.974237889959625</v>
      </c>
      <c r="D20" s="1584" t="str">
        <f>"注：1、"&amp;C2&amp;"月钢材产销率"&amp;ABS(ROUND(L22,2))&amp;"%，其中碳钢"&amp;ABS(ROUND(L20,2))&amp;"%，"&amp;"不锈钢"&amp;ABS(ROUND(L21,2))&amp;"%。"</f>
        <v>注：1、8月钢材产销率100.24%，其中碳钢99.76%，不锈钢101.23%。</v>
      </c>
      <c r="E20" s="745"/>
      <c r="F20" s="745"/>
      <c r="G20" s="745"/>
      <c r="H20" s="745"/>
      <c r="I20" s="1580">
        <f>IFERROR(I8/I16*100,"")</f>
        <v>97.393894998297554</v>
      </c>
      <c r="J20" s="745"/>
      <c r="K20" s="745"/>
      <c r="L20" s="1580">
        <f>IFERROR(L8/L16*100,"")</f>
        <v>99.756712550026521</v>
      </c>
      <c r="M20" s="745"/>
      <c r="N20" s="745"/>
      <c r="O20" s="745"/>
      <c r="P20" s="745"/>
      <c r="Q20" s="745"/>
      <c r="R20" s="745"/>
      <c r="S20" s="745"/>
      <c r="T20" s="745"/>
      <c r="U20" s="745"/>
      <c r="V20" s="745"/>
      <c r="W20" s="745"/>
      <c r="X20" s="745"/>
      <c r="Y20" s="745"/>
      <c r="Z20" s="745"/>
      <c r="AA20" s="745"/>
      <c r="AB20" s="154"/>
    </row>
    <row r="21" spans="2:28">
      <c r="B21" s="1578" t="s">
        <v>51</v>
      </c>
      <c r="C21" s="1580">
        <f>IFERROR(C9/C17*100,"")</f>
        <v>67.685095617464356</v>
      </c>
      <c r="D21" s="745"/>
      <c r="E21" s="745"/>
      <c r="F21" s="745"/>
      <c r="G21" s="745"/>
      <c r="H21" s="745"/>
      <c r="I21" s="1580">
        <f>IFERROR(I9/I17*100,"")</f>
        <v>105.93003259152268</v>
      </c>
      <c r="J21" s="745"/>
      <c r="K21" s="745"/>
      <c r="L21" s="1580">
        <f>IFERROR(L9/L17*100,"")</f>
        <v>101.23093783335948</v>
      </c>
      <c r="M21" s="745"/>
      <c r="N21" s="745"/>
      <c r="O21" s="745"/>
      <c r="P21" s="1585"/>
      <c r="Q21" s="745"/>
      <c r="R21" s="745"/>
      <c r="S21" s="745"/>
      <c r="T21" s="745"/>
      <c r="U21" s="745"/>
      <c r="V21" s="745"/>
      <c r="W21" s="745"/>
      <c r="X21" s="745"/>
      <c r="Y21" s="745"/>
      <c r="Z21" s="745"/>
      <c r="AA21" s="745"/>
      <c r="AB21" s="154"/>
    </row>
    <row r="22" spans="2:28">
      <c r="B22" s="1581" t="s">
        <v>187</v>
      </c>
      <c r="C22" s="1586">
        <f>IFERROR(C12/C18*100,"")</f>
        <v>64.731408839180943</v>
      </c>
      <c r="D22" s="1583"/>
      <c r="E22" s="1583"/>
      <c r="F22" s="1583"/>
      <c r="G22" s="1583"/>
      <c r="H22" s="1583"/>
      <c r="I22" s="1586">
        <f>IFERROR(I12/I18*100,"")</f>
        <v>100.31422829051915</v>
      </c>
      <c r="J22" s="1583"/>
      <c r="K22" s="1583"/>
      <c r="L22" s="1586">
        <f>IFERROR(L12/L18*100,"")</f>
        <v>100.24267864829352</v>
      </c>
      <c r="M22" s="1583"/>
      <c r="N22" s="1583"/>
      <c r="O22" s="1583"/>
      <c r="P22" s="1587"/>
      <c r="Q22" s="1583"/>
      <c r="R22" s="1583"/>
      <c r="S22" s="1583"/>
      <c r="T22" s="1583"/>
      <c r="U22" s="1583"/>
      <c r="V22" s="1583"/>
      <c r="W22" s="1583"/>
      <c r="X22" s="1583"/>
      <c r="Y22" s="1583"/>
      <c r="Z22" s="1583"/>
      <c r="AA22" s="1583"/>
      <c r="AB22" s="154" t="s">
        <v>1119</v>
      </c>
    </row>
    <row r="23" spans="2:28">
      <c r="B23" s="1577" t="s">
        <v>1120</v>
      </c>
      <c r="C23" s="746"/>
      <c r="D23" s="746"/>
      <c r="E23" s="746"/>
      <c r="F23" s="746"/>
      <c r="G23" s="746"/>
      <c r="H23" s="746"/>
      <c r="I23" s="746"/>
      <c r="J23" s="746"/>
      <c r="K23" s="746"/>
      <c r="L23" s="1588" t="s">
        <v>49</v>
      </c>
      <c r="M23" s="745"/>
      <c r="N23" s="745" t="s">
        <v>50</v>
      </c>
      <c r="O23" s="1589"/>
      <c r="P23" s="746"/>
      <c r="Q23" s="1577" t="s">
        <v>1121</v>
      </c>
      <c r="R23" s="745"/>
      <c r="S23" s="746"/>
      <c r="T23" s="746"/>
      <c r="U23" s="746"/>
      <c r="V23" s="1588" t="s">
        <v>49</v>
      </c>
      <c r="W23" s="745"/>
      <c r="X23" s="745" t="s">
        <v>50</v>
      </c>
      <c r="Y23" s="1589"/>
      <c r="Z23" s="746"/>
      <c r="AA23" s="746"/>
      <c r="AB23" s="154" t="s">
        <v>50</v>
      </c>
    </row>
    <row r="24" spans="2:28">
      <c r="B24" s="745"/>
      <c r="C24" s="1590" t="str">
        <f>"    2、碳钢销量比上月"&amp;IF(L24&gt;=0,"增加","减少")&amp;ABS(ROUND(L24,2))&amp;"万吨，影响收入"&amp;IF(M24&gt;=0,"增加","减少")&amp;ABS(ROUND(M24,2))&amp;"亿元；单价比上月"&amp;IF(N24&gt;=0,"增加","减少")&amp;ABS(ROUND(N24,0))&amp;"元/吨，影响收入"&amp;IF(O24&gt;=0,"增加","减少")&amp;ABS(ROUND(O24,2))&amp;"亿元。"</f>
        <v xml:space="preserve">    2、碳钢销量比上月增加3.19万吨，影响收入增加1.73亿元；单价比上月增加76元/吨，影响收入增加0.53亿元。</v>
      </c>
      <c r="D24" s="745"/>
      <c r="E24" s="745"/>
      <c r="F24" s="745"/>
      <c r="G24" s="1591"/>
      <c r="H24" s="1591"/>
      <c r="I24" s="1591"/>
      <c r="J24" s="1591"/>
      <c r="K24" s="746" t="s">
        <v>52</v>
      </c>
      <c r="L24" s="1592">
        <f>O8</f>
        <v>3.1914110000000022</v>
      </c>
      <c r="M24" s="1592">
        <f>L24*K8/10000</f>
        <v>1.7317623016185841</v>
      </c>
      <c r="N24" s="1592">
        <f>Q8</f>
        <v>75.66071055667544</v>
      </c>
      <c r="O24" s="1592">
        <f>N24*L8/10000</f>
        <v>0.52819649968141802</v>
      </c>
      <c r="P24" s="745"/>
      <c r="Q24" s="1590" t="str">
        <f>"    2、碳钢销量比预算"&amp;IF(V24&gt;=0,"增加","减少")&amp;ABS(ROUND(V24,2))&amp;"万吨，影响收入"&amp;IF(W24&gt;=0,"增加","减少")&amp;ABS(ROUND(W24,2))&amp;"亿元；单价比预算"&amp;IF(X24&gt;=0,"增加","减少")&amp;ABS(ROUND(X24,0))&amp;"元/吨，影响收入"&amp;IF(Y24&gt;=0,"增加","减少")&amp;ABS(ROUND(Y24,2))&amp;"亿元。"</f>
        <v xml:space="preserve">    2、碳钢销量比预算减少3.11万吨，影响收入减少0.79亿元；单价比预算增加2942元/吨，影响收入增加20.54亿元。</v>
      </c>
      <c r="R24" s="745"/>
      <c r="S24" s="1584"/>
      <c r="T24" s="1584"/>
      <c r="U24" s="746" t="s">
        <v>52</v>
      </c>
      <c r="V24" s="1592">
        <f>U8</f>
        <v>-3.1054666666666719</v>
      </c>
      <c r="W24" s="1592">
        <f>V24*H8/10000</f>
        <v>-0.79499946666666799</v>
      </c>
      <c r="X24" s="1593">
        <f>W8</f>
        <v>2941.9824899156574</v>
      </c>
      <c r="Y24" s="1592">
        <f>X24*L8/10000</f>
        <v>20.538332799999996</v>
      </c>
      <c r="Z24" s="1584"/>
      <c r="AA24" s="1584"/>
      <c r="AB24" s="1592" t="e">
        <f>'#利润因素分析（ppt）'!K8/10000</f>
        <v>#REF!</v>
      </c>
    </row>
    <row r="25" spans="2:28">
      <c r="B25" s="745"/>
      <c r="C25" s="1590" t="str">
        <f>"    3、不锈钢销量比上月"&amp;IF(L25&gt;=0,"增加","减少")&amp;ABS(ROUND(L25,2))&amp;"万吨，影响收入"&amp;IF(M25&gt;=0,"增加","减少")&amp;ABS(ROUND(M25,2))&amp;"亿元；单价比上月"&amp;IF(N25&gt;=0,"增加","减少")&amp;ABS(ROUND(N25,0))&amp;"元/吨，影响收入"&amp;IF(O25&gt;=0,"增加","减少")&amp;ABS(ROUND(O25,2))&amp;"亿元。"</f>
        <v xml:space="preserve">    3、不锈钢销量比上月减少2.84万吨，影响收入减少4.07亿元；单价比上月增加977元/吨，影响收入增加3.4亿元。</v>
      </c>
      <c r="D25" s="745"/>
      <c r="E25" s="745"/>
      <c r="F25" s="745"/>
      <c r="G25" s="1591"/>
      <c r="H25" s="1591"/>
      <c r="I25" s="1591"/>
      <c r="J25" s="1591"/>
      <c r="K25" s="746" t="s">
        <v>51</v>
      </c>
      <c r="L25" s="1592">
        <f>O9</f>
        <v>-2.8437700000000063</v>
      </c>
      <c r="M25" s="1592">
        <f>L25*K9/10000</f>
        <v>-4.0658669022935126</v>
      </c>
      <c r="N25" s="1592">
        <f>Q9</f>
        <v>976.85873399663797</v>
      </c>
      <c r="O25" s="1592">
        <f>N25*L9/10000</f>
        <v>3.4030091164755452</v>
      </c>
      <c r="P25" s="745"/>
      <c r="Q25" s="1590" t="str">
        <f>"    3、不锈钢销量比预算"&amp;IF(V25&gt;=0,"增加","减少")&amp;ABS(ROUND(V25,2))&amp;"万吨，影响收入"&amp;IF(W25&gt;=0,"增加","减少")&amp;ABS(ROUND(W25,2))&amp;"亿元；单价比预算"&amp;IF(X25&gt;=0,"增加","减少")&amp;ABS(ROUND(X25,0))&amp;"元/吨，影响收入"&amp;IF(Y25&gt;=0,"增加","减少")&amp;ABS(ROUND(Y25,2))&amp;"亿元。"</f>
        <v xml:space="preserve">    3、不锈钢销量比预算减少19.33万吨，影响收入减少13.38亿元；单价比预算增加8351元/吨，影响收入增加29.09亿元。</v>
      </c>
      <c r="R25" s="745"/>
      <c r="S25" s="745"/>
      <c r="T25" s="745"/>
      <c r="U25" s="746" t="s">
        <v>51</v>
      </c>
      <c r="V25" s="1592">
        <f>U9</f>
        <v>-19.330420666666654</v>
      </c>
      <c r="W25" s="1592">
        <f>V25*H9/10000</f>
        <v>-13.382598923076912</v>
      </c>
      <c r="X25" s="1593">
        <f>W9</f>
        <v>8351.2351995323806</v>
      </c>
      <c r="Y25" s="1592">
        <f>X25*L9/10000</f>
        <v>29.092568381476919</v>
      </c>
      <c r="Z25" s="745"/>
      <c r="AA25" s="745"/>
      <c r="AB25" s="154" t="s">
        <v>725</v>
      </c>
    </row>
    <row r="26" spans="2:28">
      <c r="B26" s="1594"/>
      <c r="C26" s="1595"/>
      <c r="D26" s="1594"/>
      <c r="E26" s="1594"/>
      <c r="F26" s="1594"/>
      <c r="G26" s="1596"/>
      <c r="H26" s="1596"/>
      <c r="I26" s="1596"/>
      <c r="J26" s="1596"/>
      <c r="K26" s="1583" t="s">
        <v>187</v>
      </c>
      <c r="L26" s="1597">
        <f>SUM(L24:L25)</f>
        <v>0.34764099999999587</v>
      </c>
      <c r="M26" s="1597">
        <f>SUM(M24:M25)</f>
        <v>-2.3341046006749284</v>
      </c>
      <c r="N26" s="1597"/>
      <c r="O26" s="1597">
        <f>SUM(O24:O25)</f>
        <v>3.9312056161569631</v>
      </c>
      <c r="P26" s="1594"/>
      <c r="Q26" s="1594"/>
      <c r="R26" s="1594"/>
      <c r="S26" s="1594"/>
      <c r="T26" s="1594"/>
      <c r="U26" s="1583" t="s">
        <v>187</v>
      </c>
      <c r="V26" s="1597">
        <f>SUM(V24:V25)</f>
        <v>-22.435887333333326</v>
      </c>
      <c r="W26" s="1597">
        <f>SUM(W24:W25)</f>
        <v>-14.177598389743581</v>
      </c>
      <c r="X26" s="1597"/>
      <c r="Y26" s="1597">
        <f>SUM(Y24:Y25)</f>
        <v>49.630901181476915</v>
      </c>
      <c r="Z26" s="1594"/>
      <c r="AA26" s="1594"/>
      <c r="AB26" s="1592" t="e">
        <f>V12-W26-AB24</f>
        <v>#REF!</v>
      </c>
    </row>
    <row r="27" spans="2:28">
      <c r="B27" s="745"/>
      <c r="C27" s="745"/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745"/>
      <c r="V27" s="745"/>
      <c r="W27" s="745"/>
      <c r="X27" s="745"/>
      <c r="Y27" s="745"/>
      <c r="Z27" s="745"/>
      <c r="AA27" s="745"/>
      <c r="AB27" s="154"/>
    </row>
    <row r="28" spans="2:28">
      <c r="B28" s="1552" t="s">
        <v>1122</v>
      </c>
      <c r="C28" s="745"/>
      <c r="D28" s="745"/>
      <c r="E28" s="745"/>
      <c r="F28" s="745"/>
      <c r="G28" s="745"/>
      <c r="H28" s="745"/>
      <c r="I28" s="745"/>
      <c r="J28" s="745"/>
      <c r="K28" s="745"/>
      <c r="L28" s="745"/>
      <c r="M28" s="745"/>
      <c r="N28" s="745"/>
      <c r="O28" s="745"/>
      <c r="P28" s="745"/>
      <c r="Q28" s="745"/>
      <c r="R28" s="745"/>
      <c r="S28" s="745"/>
      <c r="T28" s="745"/>
      <c r="U28" s="745"/>
      <c r="V28" s="745"/>
      <c r="W28" s="745"/>
      <c r="X28" s="745"/>
      <c r="Y28" s="745"/>
      <c r="Z28" s="745"/>
      <c r="AA28" s="745"/>
      <c r="AB28" s="154"/>
    </row>
    <row r="29" spans="2:28">
      <c r="B29" s="1551"/>
      <c r="C29" s="745"/>
      <c r="D29" s="745"/>
      <c r="E29" s="745"/>
      <c r="F29" s="745"/>
      <c r="G29" s="745"/>
      <c r="H29" s="745"/>
      <c r="I29" s="745"/>
      <c r="J29" s="745"/>
      <c r="K29" s="745"/>
      <c r="L29" s="745"/>
      <c r="M29" s="745"/>
      <c r="N29" s="745"/>
      <c r="O29" s="745"/>
      <c r="P29" s="745"/>
      <c r="Q29" s="745"/>
      <c r="R29" s="745"/>
      <c r="S29" s="745"/>
      <c r="T29" s="745"/>
      <c r="U29" s="745"/>
      <c r="V29" s="745"/>
      <c r="W29" s="745"/>
      <c r="X29" s="745"/>
      <c r="Y29" s="745"/>
      <c r="Z29" s="745"/>
      <c r="AA29" s="745"/>
      <c r="AB29" s="154"/>
    </row>
    <row r="30" spans="2:28">
      <c r="B30" s="1553" t="s">
        <v>3</v>
      </c>
      <c r="C30" s="1553" t="str">
        <f>C1-1&amp;"年1-"&amp;C2&amp;"月"</f>
        <v>2020年1-8月</v>
      </c>
      <c r="D30" s="1553"/>
      <c r="E30" s="1553"/>
      <c r="F30" s="1553" t="str">
        <f>C1-1&amp;"全年"</f>
        <v>2020全年</v>
      </c>
      <c r="G30" s="1553"/>
      <c r="H30" s="1553"/>
      <c r="I30" s="1554" t="str">
        <f>C1&amp;"年1-"&amp;C2&amp;"月"</f>
        <v>2021年1-8月</v>
      </c>
      <c r="J30" s="1555"/>
      <c r="K30" s="1556"/>
      <c r="L30" s="1554" t="s">
        <v>8</v>
      </c>
      <c r="M30" s="1555"/>
      <c r="N30" s="1556"/>
      <c r="O30" s="1554" t="s">
        <v>9</v>
      </c>
      <c r="P30" s="1555"/>
      <c r="Q30" s="1556"/>
      <c r="R30" s="745"/>
      <c r="S30" s="745" t="s">
        <v>1123</v>
      </c>
      <c r="T30" s="745"/>
      <c r="U30" s="745"/>
      <c r="V30" s="745"/>
      <c r="W30" s="745"/>
      <c r="X30" s="745"/>
      <c r="Y30" s="745"/>
      <c r="Z30" s="745"/>
      <c r="AA30" s="745"/>
      <c r="AB30" s="154"/>
    </row>
    <row r="31" spans="2:28">
      <c r="B31" s="1553"/>
      <c r="C31" s="1553" t="s">
        <v>69</v>
      </c>
      <c r="D31" s="1553" t="s">
        <v>39</v>
      </c>
      <c r="E31" s="1553" t="s">
        <v>577</v>
      </c>
      <c r="F31" s="1553" t="s">
        <v>69</v>
      </c>
      <c r="G31" s="1553" t="s">
        <v>39</v>
      </c>
      <c r="H31" s="1553" t="s">
        <v>577</v>
      </c>
      <c r="I31" s="1553" t="s">
        <v>69</v>
      </c>
      <c r="J31" s="1553" t="s">
        <v>39</v>
      </c>
      <c r="K31" s="1553" t="s">
        <v>577</v>
      </c>
      <c r="L31" s="1553" t="s">
        <v>69</v>
      </c>
      <c r="M31" s="1553" t="s">
        <v>39</v>
      </c>
      <c r="N31" s="1553" t="s">
        <v>577</v>
      </c>
      <c r="O31" s="1553" t="s">
        <v>69</v>
      </c>
      <c r="P31" s="1553" t="s">
        <v>39</v>
      </c>
      <c r="Q31" s="1553" t="s">
        <v>577</v>
      </c>
      <c r="R31" s="747">
        <f>N36*I36/10000</f>
        <v>124.6960268333809</v>
      </c>
      <c r="S31" s="745">
        <v>-503</v>
      </c>
      <c r="T31" s="745">
        <f>S31*I36/10000</f>
        <v>-40.395680955657866</v>
      </c>
      <c r="U31" s="745"/>
      <c r="V31" s="745"/>
      <c r="W31" s="745"/>
      <c r="X31" s="745"/>
      <c r="Y31" s="745"/>
      <c r="Z31" s="745"/>
      <c r="AA31" s="745"/>
      <c r="AB31" s="154"/>
    </row>
    <row r="32" spans="2:28">
      <c r="B32" s="1561" t="s">
        <v>52</v>
      </c>
      <c r="C32" s="1562">
        <f>SUMIFS(钢材数据!$C:$C,钢材数据!$A:$A,C1-1,钢材数据!$B:$B,"&lt;="&amp;C2)</f>
        <v>399.00165419999996</v>
      </c>
      <c r="D32" s="1562">
        <f>SUMIFS(钢材数据!$D:$D,钢材数据!$A:$A,$C$1-1,钢材数据!$B:$B,"&lt;="&amp;C2)</f>
        <v>147.7783192494</v>
      </c>
      <c r="E32" s="1563">
        <f>D32/C32*10000</f>
        <v>3703.7019193741485</v>
      </c>
      <c r="F32" s="1562">
        <f>SUMIFS(钢材数据!$C:$C,钢材数据!$A:$A,C1-1,钢材数据!$B:$B,"&lt;=12")</f>
        <v>608.56185859999994</v>
      </c>
      <c r="G32" s="1562">
        <f>SUMIFS(钢材数据!$D:$D,钢材数据!$A:$A,$C$1-1,钢材数据!$B:$B,"&lt;=12")</f>
        <v>231.15324802219999</v>
      </c>
      <c r="H32" s="1563">
        <f>G32/F32*10000</f>
        <v>3798.3525381293098</v>
      </c>
      <c r="I32" s="1562">
        <f>SUMIFS(钢材数据!$C:$C,钢材数据!$A:$A,C1,钢材数据!$B:$B,"&lt;="&amp;C2)</f>
        <v>527.67115909999995</v>
      </c>
      <c r="J32" s="1562">
        <f>SUMIFS(钢材数据!$D:$D,钢材数据!$A:$A,$C$1,钢材数据!$B:$B,"&lt;="&amp;C2)</f>
        <v>271.93026645659995</v>
      </c>
      <c r="K32" s="1563">
        <f>J32/I32*10000</f>
        <v>5153.4040048807346</v>
      </c>
      <c r="L32" s="749">
        <f t="shared" ref="L32:N36" si="2">I32-C32</f>
        <v>128.66950489999999</v>
      </c>
      <c r="M32" s="749">
        <f t="shared" si="2"/>
        <v>124.15194720719995</v>
      </c>
      <c r="N32" s="1568">
        <f t="shared" si="2"/>
        <v>1449.7020855065862</v>
      </c>
      <c r="O32" s="749">
        <f>I32-F8/12*$C$2</f>
        <v>-55.662174233333417</v>
      </c>
      <c r="P32" s="749">
        <f>J32-G8/12*$C$2</f>
        <v>122.59693312326661</v>
      </c>
      <c r="Q32" s="1568">
        <f>K32-H8</f>
        <v>2593.4040048807346</v>
      </c>
      <c r="R32" s="745"/>
      <c r="S32" s="745"/>
      <c r="T32" s="745"/>
      <c r="U32" s="745"/>
      <c r="V32" s="745"/>
      <c r="W32" s="745"/>
      <c r="X32" s="745"/>
      <c r="Y32" s="745"/>
      <c r="Z32" s="745"/>
      <c r="AA32" s="745"/>
      <c r="AB32" s="154"/>
    </row>
    <row r="33" spans="2:28">
      <c r="B33" s="1561" t="s">
        <v>51</v>
      </c>
      <c r="C33" s="1562">
        <f>SUMIFS(钢材数据!$F:$F,钢材数据!$A:$A,C1-1,钢材数据!$B:$B,"&lt;="&amp;C2)</f>
        <v>241.76811635225047</v>
      </c>
      <c r="D33" s="1562">
        <f>SUMIFS(钢材数据!$G:$G,钢材数据!$A:$A,C1-1,钢材数据!$B:$B,"&lt;="&amp;C2)</f>
        <v>262.79890884867575</v>
      </c>
      <c r="E33" s="1563">
        <f>D33/C33*10000</f>
        <v>10869.874523313236</v>
      </c>
      <c r="F33" s="1562">
        <f>SUMIFS(钢材数据!$F:$F,钢材数据!$A:$A,C1-1,钢材数据!$B:$B,"&lt;=12")</f>
        <v>378.38242268387478</v>
      </c>
      <c r="G33" s="1562">
        <f>SUMIFS(钢材数据!$G:$G,钢材数据!$A:$A,C1-1,钢材数据!$B:$B,"&lt;=12")</f>
        <v>411.43985143200592</v>
      </c>
      <c r="H33" s="1563">
        <f>G33/F33*10000</f>
        <v>10873.651278874269</v>
      </c>
      <c r="I33" s="1562">
        <f>SUMIFS(钢材数据!$F:$F,钢材数据!$A:$A,C1,钢材数据!$B:$B,"&lt;="&amp;C2)</f>
        <v>275.42388972023599</v>
      </c>
      <c r="J33" s="1562">
        <f>SUMIFS(钢材数据!$G:$G,钢材数据!$A:$A,C1,钢材数据!$B:$B,"&lt;="&amp;C2)</f>
        <v>367.35392323552469</v>
      </c>
      <c r="K33" s="1563">
        <f>J33/I33*10000</f>
        <v>13337.765420736283</v>
      </c>
      <c r="L33" s="749">
        <f t="shared" si="2"/>
        <v>33.655773367985518</v>
      </c>
      <c r="M33" s="749">
        <f t="shared" si="2"/>
        <v>104.55501438684894</v>
      </c>
      <c r="N33" s="1568">
        <f t="shared" si="2"/>
        <v>2467.8908974230471</v>
      </c>
      <c r="O33" s="749">
        <f>I33-F9/12*$C$2</f>
        <v>-157.90944361309732</v>
      </c>
      <c r="P33" s="749">
        <f>J33-G9/12*$C$2</f>
        <v>67.35392323552469</v>
      </c>
      <c r="Q33" s="1568">
        <f>K33-H9</f>
        <v>6414.6884976593601</v>
      </c>
      <c r="R33" s="745"/>
      <c r="S33" s="745"/>
      <c r="T33" s="745"/>
      <c r="U33" s="745"/>
      <c r="V33" s="745"/>
      <c r="W33" s="745"/>
      <c r="X33" s="745"/>
      <c r="Y33" s="745"/>
      <c r="Z33" s="745"/>
      <c r="AA33" s="745"/>
      <c r="AB33" s="154"/>
    </row>
    <row r="34" spans="2:28">
      <c r="B34" s="1561" t="s">
        <v>1118</v>
      </c>
      <c r="C34" s="1562">
        <f>C33-C35</f>
        <v>134.99808875225045</v>
      </c>
      <c r="D34" s="1562">
        <f>D33-D35</f>
        <v>192.53298693867575</v>
      </c>
      <c r="E34" s="1563">
        <f>D34/C34*10000</f>
        <v>14261.904647554959</v>
      </c>
      <c r="F34" s="1562">
        <f>F33-F35</f>
        <v>378.38242268387478</v>
      </c>
      <c r="G34" s="1562">
        <f>G33-G35</f>
        <v>411.43985143200592</v>
      </c>
      <c r="H34" s="1563"/>
      <c r="I34" s="1562">
        <f>I33-I35</f>
        <v>151.76312582023598</v>
      </c>
      <c r="J34" s="1562">
        <f>J33-J35</f>
        <v>261.84352703282468</v>
      </c>
      <c r="K34" s="1563">
        <f>J34/I34*10000</f>
        <v>17253.435287236993</v>
      </c>
      <c r="L34" s="749">
        <f t="shared" si="2"/>
        <v>16.765037067985531</v>
      </c>
      <c r="M34" s="749">
        <f t="shared" si="2"/>
        <v>69.310540094148934</v>
      </c>
      <c r="N34" s="1568">
        <f t="shared" si="2"/>
        <v>2991.5306396820342</v>
      </c>
      <c r="O34" s="749">
        <f t="shared" ref="O34:P36" si="3">I34-F10/12*$C$2</f>
        <v>-281.57020751309733</v>
      </c>
      <c r="P34" s="749">
        <f t="shared" si="3"/>
        <v>-38.156472967175318</v>
      </c>
      <c r="Q34" s="1568">
        <f>K34-H10</f>
        <v>10330.358364160071</v>
      </c>
      <c r="R34" s="745"/>
      <c r="S34" s="745"/>
      <c r="T34" s="745"/>
      <c r="U34" s="745"/>
      <c r="V34" s="745"/>
      <c r="W34" s="745"/>
      <c r="X34" s="745"/>
      <c r="Y34" s="745"/>
      <c r="Z34" s="745"/>
      <c r="AA34" s="745"/>
      <c r="AB34" s="154"/>
    </row>
    <row r="35" spans="2:28">
      <c r="B35" s="1561" t="s">
        <v>559</v>
      </c>
      <c r="C35" s="1562">
        <f>SUMIFS('#销量数据'!93:93,'#销量数据'!1:1,$C$1-1,'#销量数据'!2:2,"&lt;="&amp;$C$2,'#销量数据'!3:3,"销量")</f>
        <v>106.77002760000002</v>
      </c>
      <c r="D35" s="1562">
        <f>SUMIFS('#销量数据'!93:93,'#销量数据'!1:1,$C$1-1,'#销量数据'!2:2,"&lt;="&amp;$C$2,'#销量数据'!3:3,"收入")</f>
        <v>70.265921910000003</v>
      </c>
      <c r="E35" s="1563">
        <f>D35/C35*10000</f>
        <v>6581.0530810427535</v>
      </c>
      <c r="F35" s="1562"/>
      <c r="G35" s="1562"/>
      <c r="H35" s="1563"/>
      <c r="I35" s="1562">
        <f>SUMIFS('#销量数据'!93:93,'#销量数据'!1:1,C1,'#销量数据'!2:2,"&lt;="&amp;C2,'#销量数据'!3:3,"销量")</f>
        <v>123.66076390000001</v>
      </c>
      <c r="J35" s="1562">
        <f>SUMIFS('#销量数据'!93:93,'#销量数据'!1:1,C1,'#销量数据'!2:2,"&lt;="&amp;C2,'#销量数据'!3:3,"收入")</f>
        <v>105.51039620269999</v>
      </c>
      <c r="K35" s="1563">
        <f>J35/I35*10000</f>
        <v>8532.2452227468402</v>
      </c>
      <c r="L35" s="749">
        <f t="shared" si="2"/>
        <v>16.890736299999986</v>
      </c>
      <c r="M35" s="749">
        <f t="shared" si="2"/>
        <v>35.244474292699991</v>
      </c>
      <c r="N35" s="1568">
        <f t="shared" si="2"/>
        <v>1951.1921417040867</v>
      </c>
      <c r="O35" s="749">
        <f t="shared" si="3"/>
        <v>123.66076390000001</v>
      </c>
      <c r="P35" s="749">
        <f t="shared" si="3"/>
        <v>105.51039620269999</v>
      </c>
      <c r="Q35" s="1568" t="e">
        <f>K35-H11</f>
        <v>#DIV/0!</v>
      </c>
      <c r="R35" s="745"/>
      <c r="S35" s="745"/>
      <c r="T35" s="745"/>
      <c r="U35" s="745"/>
      <c r="V35" s="745"/>
      <c r="W35" s="745"/>
      <c r="X35" s="745"/>
      <c r="Y35" s="745"/>
      <c r="Z35" s="745"/>
      <c r="AA35" s="745"/>
      <c r="AB35" s="154"/>
    </row>
    <row r="36" spans="2:28">
      <c r="B36" s="1553" t="s">
        <v>187</v>
      </c>
      <c r="C36" s="1570">
        <f>C32+C33</f>
        <v>640.76977055225041</v>
      </c>
      <c r="D36" s="1570">
        <f>D32+D33</f>
        <v>410.57722809807575</v>
      </c>
      <c r="E36" s="1571">
        <f>D36/C36*10000</f>
        <v>6407.5623877234075</v>
      </c>
      <c r="F36" s="1570">
        <f>F32+F33</f>
        <v>986.94428128387472</v>
      </c>
      <c r="G36" s="1570">
        <f>G32+G33</f>
        <v>642.59309945420591</v>
      </c>
      <c r="H36" s="1571">
        <f>G36/F36*10000</f>
        <v>6510.9359427898326</v>
      </c>
      <c r="I36" s="1598">
        <f>I32+I33</f>
        <v>803.09504882023589</v>
      </c>
      <c r="J36" s="1598">
        <f>J32+J33</f>
        <v>639.28418969212464</v>
      </c>
      <c r="K36" s="1571">
        <f>J36/I36*10000</f>
        <v>7960.2556463428209</v>
      </c>
      <c r="L36" s="750">
        <f t="shared" si="2"/>
        <v>162.32527826798548</v>
      </c>
      <c r="M36" s="750">
        <f t="shared" si="2"/>
        <v>228.70696159404889</v>
      </c>
      <c r="N36" s="751">
        <f t="shared" si="2"/>
        <v>1552.6932586194134</v>
      </c>
      <c r="O36" s="750">
        <f t="shared" si="3"/>
        <v>-213.57161784643074</v>
      </c>
      <c r="P36" s="750">
        <f t="shared" si="3"/>
        <v>189.95085635879133</v>
      </c>
      <c r="Q36" s="751">
        <f>K36-H12</f>
        <v>3540.5835151952797</v>
      </c>
      <c r="R36" s="745"/>
      <c r="S36" s="745"/>
      <c r="T36" s="745"/>
      <c r="U36" s="745"/>
      <c r="V36" s="745"/>
      <c r="W36" s="745"/>
      <c r="X36" s="745"/>
      <c r="Y36" s="745"/>
      <c r="Z36" s="745"/>
      <c r="AA36" s="745"/>
      <c r="AB36" s="154"/>
    </row>
    <row r="37" spans="2:28">
      <c r="B37" s="1578" t="s">
        <v>604</v>
      </c>
      <c r="C37" s="1599">
        <f>C35/C33</f>
        <v>0.44162162162209428</v>
      </c>
      <c r="D37" s="1580"/>
      <c r="E37" s="1600"/>
      <c r="F37" s="1599">
        <f>F35/F33</f>
        <v>0</v>
      </c>
      <c r="G37" s="1580"/>
      <c r="H37" s="1600"/>
      <c r="I37" s="1599">
        <f>I35/I33</f>
        <v>0.4489834343186766</v>
      </c>
      <c r="J37" s="1588"/>
      <c r="K37" s="1600"/>
      <c r="L37" s="1601"/>
      <c r="M37" s="1601"/>
      <c r="N37" s="1602"/>
      <c r="O37" s="1601"/>
      <c r="P37" s="1601"/>
      <c r="Q37" s="1602"/>
      <c r="R37" s="745"/>
      <c r="S37" s="745"/>
      <c r="T37" s="745"/>
      <c r="U37" s="745"/>
      <c r="V37" s="745"/>
      <c r="W37" s="745"/>
      <c r="X37" s="745"/>
      <c r="Y37" s="745"/>
      <c r="Z37" s="745"/>
      <c r="AA37" s="745"/>
      <c r="AB37" s="154"/>
    </row>
    <row r="38" spans="2:28">
      <c r="B38" s="1594"/>
      <c r="C38" s="1594"/>
      <c r="D38" s="1594"/>
      <c r="E38" s="1594"/>
      <c r="F38" s="1594"/>
      <c r="G38" s="1594"/>
      <c r="H38" s="1594"/>
      <c r="I38" s="1594"/>
      <c r="J38" s="1594"/>
      <c r="K38" s="1594"/>
      <c r="L38" s="1594"/>
      <c r="M38" s="1594"/>
      <c r="N38" s="1594"/>
      <c r="O38" s="1594"/>
      <c r="P38" s="1594"/>
      <c r="Q38" s="1594"/>
      <c r="R38" s="1594"/>
      <c r="S38" s="1594"/>
      <c r="T38" s="1594"/>
      <c r="U38" s="1594"/>
      <c r="V38" s="1594"/>
      <c r="W38" s="1594"/>
      <c r="X38" s="1594"/>
      <c r="Y38" s="1594"/>
      <c r="Z38" s="1594"/>
      <c r="AA38" s="1594"/>
      <c r="AB38" s="154"/>
    </row>
    <row r="39" spans="2:28">
      <c r="B39" s="1577" t="s">
        <v>68</v>
      </c>
      <c r="C39" s="746"/>
      <c r="D39" s="746"/>
      <c r="E39" s="746"/>
      <c r="F39" s="746"/>
      <c r="G39" s="746"/>
      <c r="H39" s="746"/>
      <c r="I39" s="745"/>
      <c r="J39" s="746"/>
      <c r="K39" s="746"/>
      <c r="L39" s="746"/>
      <c r="M39" s="746"/>
      <c r="N39" s="746"/>
      <c r="O39" s="746"/>
      <c r="P39" s="746"/>
      <c r="Q39" s="746"/>
      <c r="R39" s="746"/>
      <c r="S39" s="746"/>
      <c r="T39" s="746"/>
      <c r="U39" s="746"/>
      <c r="V39" s="746"/>
      <c r="W39" s="746"/>
      <c r="X39" s="746"/>
      <c r="Y39" s="746"/>
      <c r="Z39" s="746"/>
      <c r="AA39" s="746"/>
      <c r="AB39" s="154"/>
    </row>
    <row r="40" spans="2:28">
      <c r="B40" s="1578" t="s">
        <v>52</v>
      </c>
      <c r="C40" s="747"/>
      <c r="D40" s="1590"/>
      <c r="E40" s="745"/>
      <c r="F40" s="745"/>
      <c r="G40" s="745"/>
      <c r="H40" s="745"/>
      <c r="I40" s="1580">
        <f>'#经营概况'!L134</f>
        <v>526.40811269999995</v>
      </c>
      <c r="J40" s="745"/>
      <c r="K40" s="745"/>
      <c r="L40" s="1588"/>
      <c r="M40" s="745"/>
      <c r="N40" s="745"/>
      <c r="O40" s="745"/>
      <c r="P40" s="745"/>
      <c r="Q40" s="745"/>
      <c r="R40" s="745"/>
      <c r="S40" s="745"/>
      <c r="T40" s="745"/>
      <c r="U40" s="745"/>
      <c r="V40" s="745"/>
      <c r="W40" s="745"/>
      <c r="X40" s="745"/>
      <c r="Y40" s="745"/>
      <c r="Z40" s="745"/>
      <c r="AA40" s="745"/>
      <c r="AB40" s="154"/>
    </row>
    <row r="41" spans="2:28">
      <c r="B41" s="1578" t="s">
        <v>51</v>
      </c>
      <c r="C41" s="747"/>
      <c r="D41" s="745"/>
      <c r="E41" s="745"/>
      <c r="F41" s="745"/>
      <c r="G41" s="745"/>
      <c r="H41" s="745"/>
      <c r="I41" s="1580">
        <f>'#经营概况'!L129</f>
        <v>274.63009980000004</v>
      </c>
      <c r="J41" s="745"/>
      <c r="K41" s="745"/>
      <c r="L41" s="1588"/>
      <c r="M41" s="745"/>
      <c r="N41" s="745"/>
      <c r="O41" s="745"/>
      <c r="P41" s="745"/>
      <c r="Q41" s="745"/>
      <c r="R41" s="745"/>
      <c r="S41" s="745"/>
      <c r="T41" s="745"/>
      <c r="U41" s="745"/>
      <c r="V41" s="745"/>
      <c r="W41" s="745"/>
      <c r="X41" s="745"/>
      <c r="Y41" s="745"/>
      <c r="Z41" s="745"/>
      <c r="AA41" s="745"/>
      <c r="AB41" s="154"/>
    </row>
    <row r="42" spans="2:28">
      <c r="B42" s="1581" t="s">
        <v>187</v>
      </c>
      <c r="C42" s="1603"/>
      <c r="D42" s="1583"/>
      <c r="E42" s="1583"/>
      <c r="F42" s="1583"/>
      <c r="G42" s="1583"/>
      <c r="H42" s="1583"/>
      <c r="I42" s="1586">
        <f>'#经营概况'!L124</f>
        <v>801.03821249999987</v>
      </c>
      <c r="J42" s="1583"/>
      <c r="K42" s="1583"/>
      <c r="L42" s="1582"/>
      <c r="M42" s="1583"/>
      <c r="N42" s="1583"/>
      <c r="O42" s="1583"/>
      <c r="P42" s="1583"/>
      <c r="Q42" s="1583"/>
      <c r="R42" s="1583"/>
      <c r="S42" s="1583"/>
      <c r="T42" s="1583"/>
      <c r="U42" s="1583"/>
      <c r="V42" s="1583"/>
      <c r="W42" s="1583"/>
      <c r="X42" s="1583"/>
      <c r="Y42" s="1583"/>
      <c r="Z42" s="1583"/>
      <c r="AA42" s="1583"/>
      <c r="AB42" s="154"/>
    </row>
    <row r="43" spans="2:28">
      <c r="B43" s="1577" t="s">
        <v>35</v>
      </c>
      <c r="C43" s="1577"/>
      <c r="D43" s="1577"/>
      <c r="E43" s="1577"/>
      <c r="F43" s="1577"/>
      <c r="G43" s="1577"/>
      <c r="H43" s="1577"/>
      <c r="I43" s="1604"/>
      <c r="J43" s="1577"/>
      <c r="K43" s="1577"/>
      <c r="L43" s="1577"/>
      <c r="M43" s="1577"/>
      <c r="N43" s="1577"/>
      <c r="O43" s="1577"/>
      <c r="P43" s="1577"/>
      <c r="Q43" s="1577"/>
      <c r="R43" s="1577"/>
      <c r="S43" s="1577"/>
      <c r="T43" s="1577"/>
      <c r="U43" s="745"/>
      <c r="V43" s="745"/>
      <c r="W43" s="745"/>
      <c r="X43" s="745"/>
      <c r="Y43" s="745"/>
      <c r="Z43" s="1577"/>
      <c r="AA43" s="1577"/>
      <c r="AB43" s="154"/>
    </row>
    <row r="44" spans="2:28">
      <c r="B44" s="1578" t="s">
        <v>52</v>
      </c>
      <c r="C44" s="1578"/>
      <c r="D44" s="1605" t="str">
        <f>"注：1、"&amp;"累计钢材产销率"&amp;ABS(ROUND(I46,2))&amp;"%，其中碳钢"&amp;ABS(ROUND(I44,2))&amp;"%，"&amp;"不锈钢"&amp;ABS(ROUND(I45,2))&amp;"%。"</f>
        <v>注：1、累计钢材产销率100.26%，其中碳钢100.24%，不锈钢100.29%。</v>
      </c>
      <c r="E44" s="1578"/>
      <c r="F44" s="1578"/>
      <c r="G44" s="1578"/>
      <c r="H44" s="1578"/>
      <c r="I44" s="1580">
        <f>IFERROR(I32/I40*100,"")</f>
        <v>100.23993672770766</v>
      </c>
      <c r="J44" s="1578"/>
      <c r="K44" s="1578"/>
      <c r="L44" s="1578"/>
      <c r="M44" s="1578"/>
      <c r="N44" s="1578"/>
      <c r="O44" s="1578"/>
      <c r="P44" s="1578"/>
      <c r="Q44" s="1578"/>
      <c r="R44" s="1578"/>
      <c r="S44" s="1578"/>
      <c r="T44" s="1578"/>
      <c r="U44" s="745"/>
      <c r="V44" s="745"/>
      <c r="W44" s="745"/>
      <c r="X44" s="745"/>
      <c r="Y44" s="745"/>
      <c r="Z44" s="1578"/>
      <c r="AA44" s="1578"/>
      <c r="AB44" s="154"/>
    </row>
    <row r="45" spans="2:28">
      <c r="B45" s="1578" t="s">
        <v>51</v>
      </c>
      <c r="C45" s="1578"/>
      <c r="D45" s="1578"/>
      <c r="E45" s="1578"/>
      <c r="F45" s="1578"/>
      <c r="G45" s="1578"/>
      <c r="H45" s="1578"/>
      <c r="I45" s="1580">
        <f>IFERROR(I33/I41*100,"")</f>
        <v>100.28903966492166</v>
      </c>
      <c r="J45" s="1578"/>
      <c r="K45" s="1578"/>
      <c r="L45" s="1578"/>
      <c r="M45" s="1578"/>
      <c r="N45" s="1578"/>
      <c r="O45" s="1578"/>
      <c r="P45" s="1578"/>
      <c r="Q45" s="1578"/>
      <c r="R45" s="1578"/>
      <c r="S45" s="1578"/>
      <c r="T45" s="1578"/>
      <c r="U45" s="745"/>
      <c r="V45" s="745"/>
      <c r="W45" s="745"/>
      <c r="X45" s="745"/>
      <c r="Y45" s="745"/>
      <c r="Z45" s="1578"/>
      <c r="AA45" s="1578"/>
      <c r="AB45" s="154"/>
    </row>
    <row r="46" spans="2:28">
      <c r="B46" s="1581" t="s">
        <v>187</v>
      </c>
      <c r="C46" s="1581"/>
      <c r="D46" s="1581"/>
      <c r="E46" s="1581"/>
      <c r="F46" s="1581"/>
      <c r="G46" s="1581"/>
      <c r="H46" s="1581"/>
      <c r="I46" s="1586">
        <f>IFERROR(I36/I42*100,"")</f>
        <v>100.25677131104854</v>
      </c>
      <c r="J46" s="1581"/>
      <c r="K46" s="1581"/>
      <c r="L46" s="1581"/>
      <c r="M46" s="1581"/>
      <c r="N46" s="1581"/>
      <c r="O46" s="1581"/>
      <c r="P46" s="1581"/>
      <c r="Q46" s="1581"/>
      <c r="R46" s="1581"/>
      <c r="S46" s="1581"/>
      <c r="T46" s="1581"/>
      <c r="U46" s="1594"/>
      <c r="V46" s="1594"/>
      <c r="W46" s="1594"/>
      <c r="X46" s="1594"/>
      <c r="Y46" s="1594"/>
      <c r="Z46" s="1581"/>
      <c r="AA46" s="1581"/>
      <c r="AB46" s="154" t="s">
        <v>1119</v>
      </c>
    </row>
    <row r="47" spans="2:28">
      <c r="B47" s="1577" t="s">
        <v>1120</v>
      </c>
      <c r="C47" s="1577"/>
      <c r="D47" s="1577"/>
      <c r="E47" s="1577"/>
      <c r="F47" s="1577"/>
      <c r="G47" s="1577"/>
      <c r="H47" s="1577"/>
      <c r="I47" s="1577"/>
      <c r="J47" s="1577"/>
      <c r="K47" s="1577"/>
      <c r="L47" s="1577" t="s">
        <v>49</v>
      </c>
      <c r="M47" s="1577"/>
      <c r="N47" s="1577" t="s">
        <v>50</v>
      </c>
      <c r="O47" s="1577"/>
      <c r="P47" s="1577"/>
      <c r="Q47" s="1577" t="s">
        <v>1121</v>
      </c>
      <c r="R47" s="1577"/>
      <c r="S47" s="1577"/>
      <c r="T47" s="1577"/>
      <c r="U47" s="746"/>
      <c r="V47" s="1588" t="s">
        <v>49</v>
      </c>
      <c r="W47" s="745"/>
      <c r="X47" s="745" t="s">
        <v>50</v>
      </c>
      <c r="Y47" s="1589"/>
      <c r="Z47" s="1577"/>
      <c r="AA47" s="1577"/>
      <c r="AB47" s="154" t="s">
        <v>50</v>
      </c>
    </row>
    <row r="48" spans="2:28">
      <c r="B48" s="745"/>
      <c r="C48" s="1590" t="str">
        <f>"    2、碳钢销量比同期"&amp;IF(L48&gt;=0,"增加","减少")&amp;ABS(ROUND(L48,2))&amp;"万吨，影响收入"&amp;IF(M48&gt;=0,"增加","减少")&amp;ABS(ROUND(M48,2))&amp;"亿元；单价比同期"&amp;IF(N48&gt;=0,"增加","减少")&amp;ABS(ROUND(N48,0))&amp;"元/吨，影响收入"&amp;IF(O48&gt;=0,"增加","减少")&amp;ABS(ROUND(O48,2))&amp;"亿元。"</f>
        <v xml:space="preserve">    2、碳钢销量比同期增加128.67万吨，影响收入增加47.66亿元；单价比同期增加1450元/吨，影响收入增加76.5亿元。</v>
      </c>
      <c r="D48" s="745"/>
      <c r="E48" s="745"/>
      <c r="F48" s="745"/>
      <c r="G48" s="745"/>
      <c r="H48" s="745"/>
      <c r="I48" s="745"/>
      <c r="J48" s="745"/>
      <c r="K48" s="746" t="s">
        <v>52</v>
      </c>
      <c r="L48" s="1592">
        <f>L32</f>
        <v>128.66950489999999</v>
      </c>
      <c r="M48" s="1592">
        <f>L48*E32/10000</f>
        <v>47.655349226305141</v>
      </c>
      <c r="N48" s="1592">
        <f>N32</f>
        <v>1449.7020855065862</v>
      </c>
      <c r="O48" s="1592">
        <f>N48*I32/10000</f>
        <v>76.496597980894748</v>
      </c>
      <c r="P48" s="745"/>
      <c r="Q48" s="1590" t="str">
        <f>"    2、碳钢销量比预算"&amp;IF(V48&gt;=0,"增加","减少")&amp;ABS(ROUND(V48,2))&amp;"万吨，影响收入"&amp;IF(W48&gt;=0,"增加","减少")&amp;ABS(ROUND(W48,2))&amp;"亿元；单价比预算"&amp;IF(X48&gt;=0,"增加","减少")&amp;ABS(ROUND(X48,0))&amp;"元/吨，影响收入"&amp;IF(Y48&gt;=0,"增加","减少")&amp;ABS(ROUND(Y48,2))&amp;"亿元。"</f>
        <v xml:space="preserve">    2、碳钢销量比预算减少55.66万吨，影响收入减少14.25亿元；单价比预算增加2593元/吨，影响收入增加136.85亿元。</v>
      </c>
      <c r="R48" s="745"/>
      <c r="S48" s="745"/>
      <c r="T48" s="745"/>
      <c r="U48" s="746" t="s">
        <v>52</v>
      </c>
      <c r="V48" s="1592">
        <f>O32</f>
        <v>-55.662174233333417</v>
      </c>
      <c r="W48" s="1592">
        <f>V48*H8/10000</f>
        <v>-14.249516603733355</v>
      </c>
      <c r="X48" s="1593">
        <f>Q32</f>
        <v>2593.4040048807346</v>
      </c>
      <c r="Y48" s="1592">
        <f>X48*I32/10000</f>
        <v>136.84644972699994</v>
      </c>
      <c r="Z48" s="745"/>
      <c r="AA48" s="745"/>
      <c r="AB48" s="1592" t="e">
        <f>'#利润因素分析（ppt）'!K36/10000</f>
        <v>#REF!</v>
      </c>
    </row>
    <row r="49" spans="2:28">
      <c r="B49" s="745"/>
      <c r="C49" s="1590" t="str">
        <f>"    3、不锈钢销量比同期"&amp;IF(L49&gt;=0,"增加","减少")&amp;ABS(ROUND(L49,2))&amp;"万吨，影响收入"&amp;IF(M49&gt;=0,"增加","减少")&amp;ABS(ROUND(M49,2))&amp;"亿元；单价比同期"&amp;IF(N49&gt;=0,"增加","减少")&amp;ABS(ROUND(N49,0))&amp;"元/吨，影响收入"&amp;IF(O49&gt;=0,"增加","减少")&amp;ABS(ROUND(O49,2))&amp;"亿元。"</f>
        <v xml:space="preserve">    3、不锈钢销量比同期增加33.66万吨，影响收入增加36.58亿元；单价比同期增加2468元/吨，影响收入增加67.97亿元。</v>
      </c>
      <c r="D49" s="745"/>
      <c r="E49" s="745"/>
      <c r="F49" s="745"/>
      <c r="G49" s="745"/>
      <c r="H49" s="745"/>
      <c r="I49" s="745"/>
      <c r="J49" s="745"/>
      <c r="K49" s="746" t="s">
        <v>51</v>
      </c>
      <c r="L49" s="1592">
        <f>L33</f>
        <v>33.655773367985518</v>
      </c>
      <c r="M49" s="1592">
        <f>L49*E33/10000</f>
        <v>36.583403349506987</v>
      </c>
      <c r="N49" s="1592">
        <f>N33</f>
        <v>2467.8908974230471</v>
      </c>
      <c r="O49" s="1592">
        <f>N49*I33/10000</f>
        <v>67.971611037341958</v>
      </c>
      <c r="P49" s="745"/>
      <c r="Q49" s="1590" t="str">
        <f>"    3、不锈钢销量比预算"&amp;IF(V49&gt;=0,"增加","减少")&amp;ABS(ROUND(V49,2))&amp;"万吨，影响收入"&amp;IF(W49&gt;=0,"增加","减少")&amp;ABS(ROUND(W49,2))&amp;"亿元；单价比预算"&amp;IF(X49&gt;=0,"增加","减少")&amp;ABS(ROUND(X49,0))&amp;"元/吨，影响收入"&amp;IF(Y49&gt;=0,"增加","减少")&amp;ABS(ROUND(Y49,2))&amp;"亿元。"</f>
        <v xml:space="preserve">    3、不锈钢销量比预算减少157.91万吨，影响收入减少109.32亿元；单价比预算增加6415元/吨，影响收入增加176.68亿元。</v>
      </c>
      <c r="R49" s="745"/>
      <c r="S49" s="745"/>
      <c r="T49" s="745"/>
      <c r="U49" s="746" t="s">
        <v>51</v>
      </c>
      <c r="V49" s="1592">
        <f>O33</f>
        <v>-157.90944361309732</v>
      </c>
      <c r="W49" s="1592">
        <f>V49*H9/10000</f>
        <v>-109.32192250137506</v>
      </c>
      <c r="X49" s="1593">
        <f>Q33</f>
        <v>6414.6884976593601</v>
      </c>
      <c r="Y49" s="1592">
        <f>X49*I33/10000</f>
        <v>176.67584573689979</v>
      </c>
      <c r="Z49" s="745"/>
      <c r="AA49" s="745"/>
      <c r="AB49" s="154" t="s">
        <v>725</v>
      </c>
    </row>
    <row r="50" spans="2:28">
      <c r="B50" s="1594"/>
      <c r="C50" s="1595"/>
      <c r="D50" s="1594"/>
      <c r="E50" s="1594"/>
      <c r="F50" s="1594"/>
      <c r="G50" s="1594"/>
      <c r="H50" s="1594"/>
      <c r="I50" s="1594"/>
      <c r="J50" s="1594"/>
      <c r="K50" s="1583" t="s">
        <v>187</v>
      </c>
      <c r="L50" s="1606">
        <f>SUM(L48:L49)</f>
        <v>162.32527826798551</v>
      </c>
      <c r="M50" s="1606">
        <f>SUM(M48:M49)</f>
        <v>84.238752575812128</v>
      </c>
      <c r="N50" s="1606"/>
      <c r="O50" s="1606">
        <f>SUM(O48:O49)</f>
        <v>144.46820901823671</v>
      </c>
      <c r="P50" s="1594"/>
      <c r="Q50" s="1594"/>
      <c r="R50" s="1594"/>
      <c r="S50" s="1594"/>
      <c r="T50" s="1594"/>
      <c r="U50" s="1583" t="s">
        <v>187</v>
      </c>
      <c r="V50" s="1597">
        <f>SUM(V48:V49)</f>
        <v>-213.57161784643074</v>
      </c>
      <c r="W50" s="1597">
        <f>SUM(W48:W49)</f>
        <v>-123.57143910510841</v>
      </c>
      <c r="X50" s="1597"/>
      <c r="Y50" s="1597">
        <f>SUM(Y48:Y49)</f>
        <v>313.5222954638997</v>
      </c>
      <c r="Z50" s="1594"/>
      <c r="AA50" s="1594"/>
      <c r="AB50" s="1592" t="e">
        <f>P36-W50-AB48</f>
        <v>#REF!</v>
      </c>
    </row>
    <row r="51" spans="2:28">
      <c r="B51" s="745"/>
      <c r="C51" s="745"/>
      <c r="D51" s="745"/>
      <c r="E51" s="745"/>
      <c r="F51" s="745"/>
      <c r="G51" s="745"/>
      <c r="H51" s="745"/>
      <c r="I51" s="745"/>
      <c r="J51" s="745"/>
      <c r="K51" s="745"/>
      <c r="L51" s="745"/>
      <c r="M51" s="745"/>
      <c r="N51" s="745"/>
      <c r="O51" s="745"/>
      <c r="P51" s="745"/>
      <c r="Q51" s="745"/>
      <c r="R51" s="745"/>
      <c r="S51" s="745"/>
      <c r="T51" s="745"/>
      <c r="U51" s="745"/>
      <c r="V51" s="745"/>
      <c r="W51" s="745"/>
      <c r="X51" s="745"/>
      <c r="Y51" s="745"/>
      <c r="Z51" s="745"/>
      <c r="AA51" s="745"/>
      <c r="AB51" s="154"/>
    </row>
    <row r="52" spans="2:28">
      <c r="B52" s="745"/>
      <c r="C52" s="745"/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745"/>
      <c r="V52" s="745"/>
      <c r="W52" s="745"/>
      <c r="X52" s="745"/>
      <c r="Y52" s="745"/>
      <c r="Z52" s="745"/>
      <c r="AA52" s="745"/>
      <c r="AB52" s="154"/>
    </row>
    <row r="53" spans="2:28">
      <c r="B53" s="1607" t="s">
        <v>1124</v>
      </c>
      <c r="C53" s="1608" t="s">
        <v>88</v>
      </c>
      <c r="D53" s="1609" t="str">
        <f>"（1）"&amp;C2&amp;"月钢材销售量"&amp;ABS(ROUND(L12,2))&amp;"万吨，比上月"&amp;ABS(ROUND(I12,2))&amp;"万吨"&amp;IF(O12&gt;=0,"增加","减少")&amp;ABS(ROUND(O12,2))&amp;"万吨，比预算"&amp;IF(U12&gt;=0,"增加","减少")&amp;ABS(ROUND(U12,2))&amp;"万吨，累计钢材销售量"&amp;ABS(ROUND(I36,2))&amp;"万吨，比预算"&amp;IF(O36&gt;=0,"增加","减少")&amp;ABS(ROUND(O36,2))&amp;"万吨，其中："</f>
        <v>（1）8月钢材销售量104.65万吨，比上月104.3万吨增加0.35万吨，比预算减少22.44万吨，累计钢材销售量803.1万吨，比预算减少213.57万吨，其中：</v>
      </c>
      <c r="E53" s="1610"/>
      <c r="F53" s="1610"/>
      <c r="G53" s="1610"/>
      <c r="H53" s="1610"/>
      <c r="I53" s="1610"/>
      <c r="J53" s="1610"/>
      <c r="K53" s="1608" t="s">
        <v>35</v>
      </c>
      <c r="L53" s="1611" t="str">
        <f>L54&amp;L55</f>
        <v>（2）8月钢材产销率100.24%（产104.39万吨、销104.65万吨），其中不锈材产销率101.23%（产34.41万吨、销34.84万吨）；累计钢材产销率100.26%（产801.04万吨、销803.1万吨），其中不锈材产销率100.29%（产274.63万吨、销275.42万吨）。</v>
      </c>
      <c r="M53" s="1612"/>
      <c r="N53" s="1612"/>
      <c r="O53" s="1613"/>
      <c r="P53" s="1613"/>
      <c r="Q53" s="1614"/>
      <c r="R53" s="1614"/>
      <c r="S53" s="1614"/>
      <c r="T53" s="1610"/>
      <c r="U53" s="1610"/>
      <c r="V53" s="1610"/>
      <c r="W53" s="1610"/>
      <c r="X53" s="1610"/>
      <c r="Y53" s="1610"/>
      <c r="Z53" s="1610"/>
      <c r="AA53" s="745"/>
      <c r="AB53" s="154"/>
    </row>
    <row r="54" spans="2:28">
      <c r="B54" s="745"/>
      <c r="C54" s="745"/>
      <c r="D54" s="1615" t="str">
        <f>"不锈材"&amp;ABS(ROUND(L9,2))&amp;"万吨，比上月"&amp;ABS(ROUND(I9,2))&amp;"万吨"&amp;IF(O9&gt;=0,"增加","减少")&amp;ABS(ROUND(O9,2))&amp;"万吨，比预算"&amp;IF(U9&gt;=0,"增加","减少")&amp;ABS(ROUND(U9,2))&amp;"万吨；累计"&amp;ABS(ROUND(I33,2))&amp;"万吨，比预算"&amp;IF(O33&gt;=0,"增加","减少")&amp;ABS(ROUND(O33,2))&amp;"万吨。"</f>
        <v>不锈材34.84万吨，比上月37.68万吨减少2.84万吨，比预算减少19.33万吨；累计275.42万吨，比预算减少157.91万吨。</v>
      </c>
      <c r="E54" s="745"/>
      <c r="F54" s="745"/>
      <c r="G54" s="745"/>
      <c r="H54" s="745"/>
      <c r="I54" s="745"/>
      <c r="J54" s="745"/>
      <c r="K54" s="745"/>
      <c r="L54" s="1616" t="str">
        <f>"（2）"&amp;C2&amp;"月钢材产销率"&amp;ABS(ROUND(L22,2))&amp;"%（产"&amp;ABS(ROUND(L18,2))&amp;"万吨、销"&amp;ABS(ROUND(L12,2))&amp;"万吨），其中不锈材产销率"&amp;ABS(ROUND(L21,2))&amp;"%（产"&amp;ABS(ROUND(L17,2))&amp;"万吨、销"&amp;ABS(ROUND(L9,2))&amp;"万吨）；"</f>
        <v>（2）8月钢材产销率100.24%（产104.39万吨、销104.65万吨），其中不锈材产销率101.23%（产34.41万吨、销34.84万吨）；</v>
      </c>
      <c r="M54" s="1585"/>
      <c r="N54" s="1585"/>
      <c r="O54" s="154"/>
      <c r="P54" s="154"/>
      <c r="Q54" s="1617"/>
      <c r="R54" s="1617"/>
      <c r="S54" s="1617"/>
      <c r="T54" s="745"/>
      <c r="U54" s="745"/>
      <c r="V54" s="745"/>
      <c r="W54" s="745"/>
      <c r="X54" s="745"/>
      <c r="Y54" s="745"/>
      <c r="Z54" s="745"/>
      <c r="AA54" s="745"/>
      <c r="AB54" s="154"/>
    </row>
    <row r="55" spans="2:28">
      <c r="B55" s="1594"/>
      <c r="C55" s="1594"/>
      <c r="D55" s="1618" t="str">
        <f>"碳钢"&amp;ABS(ROUND(L8,2))&amp;"万吨，比上月"&amp;ABS(ROUND(I8,2))&amp;"万吨"&amp;IF(O8&gt;=0,"增加","减少")&amp;ABS(ROUND(O8,2))&amp;"万吨，比预算"&amp;IF(U8&gt;=0,"增加","减少")&amp;ABS(ROUND(U8,2))&amp;"万吨；累计"&amp;ABS(ROUND(I32,2))&amp;"万吨，比预算"&amp;IF(O32&gt;=0,"增加","减少")&amp;ABS(ROUND(O32,2))&amp;"万吨。"</f>
        <v>碳钢69.81万吨，比上月66.62万吨增加3.19万吨，比预算减少3.11万吨；累计527.67万吨，比预算减少55.66万吨。</v>
      </c>
      <c r="E55" s="1594"/>
      <c r="F55" s="1594"/>
      <c r="G55" s="1594"/>
      <c r="H55" s="1594"/>
      <c r="I55" s="1594"/>
      <c r="J55" s="1594"/>
      <c r="K55" s="1594"/>
      <c r="L55" s="1619" t="str">
        <f>"累计钢材产销率"&amp;ABS(ROUND(I46,2))&amp;"%（产"&amp;ABS(ROUND(I42,2))&amp;"万吨、销"&amp;ABS(ROUND(I36,2))&amp;"万吨），其中不锈材产销率"&amp;ABS(ROUND(I45,2))&amp;"%（产"&amp;ABS(ROUND(I41,2))&amp;"万吨、销"&amp;ABS(ROUND(I33,2))&amp;"万吨）。"</f>
        <v>累计钢材产销率100.26%（产801.04万吨、销803.1万吨），其中不锈材产销率100.29%（产274.63万吨、销275.42万吨）。</v>
      </c>
      <c r="M55" s="1587"/>
      <c r="N55" s="1587"/>
      <c r="O55" s="1620"/>
      <c r="P55" s="1620"/>
      <c r="Q55" s="1621"/>
      <c r="R55" s="1621"/>
      <c r="S55" s="1621"/>
      <c r="T55" s="1619"/>
      <c r="U55" s="1594"/>
      <c r="V55" s="1594"/>
      <c r="W55" s="1594"/>
      <c r="X55" s="1594"/>
      <c r="Y55" s="1594"/>
      <c r="Z55" s="1594"/>
      <c r="AA55" s="745"/>
      <c r="AB55" s="154"/>
    </row>
    <row r="56" spans="2:28">
      <c r="B56" s="745"/>
      <c r="C56" s="745"/>
      <c r="D56" s="745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/>
      <c r="R56" s="745"/>
      <c r="S56" s="745"/>
      <c r="T56" s="745"/>
      <c r="U56" s="745"/>
      <c r="V56" s="745"/>
      <c r="W56" s="745"/>
      <c r="X56" s="745"/>
      <c r="Y56" s="745"/>
      <c r="Z56" s="745"/>
      <c r="AA56" s="745"/>
      <c r="AB56" s="154"/>
    </row>
    <row r="57" spans="2:28">
      <c r="B57" s="745" t="s">
        <v>1125</v>
      </c>
      <c r="C57" s="745"/>
      <c r="D57" s="745"/>
      <c r="E57" s="745"/>
      <c r="F57" s="745"/>
      <c r="G57" s="745"/>
      <c r="H57" s="745"/>
      <c r="I57" s="745"/>
      <c r="J57" s="745"/>
      <c r="K57" s="745"/>
      <c r="L57" s="745"/>
      <c r="M57" s="745"/>
      <c r="N57" s="745"/>
      <c r="O57" s="745"/>
      <c r="P57" s="745"/>
      <c r="Q57" s="745"/>
      <c r="R57" s="745"/>
      <c r="S57" s="745"/>
      <c r="T57" s="745" t="s">
        <v>1126</v>
      </c>
      <c r="U57" s="745"/>
      <c r="V57" s="745"/>
      <c r="W57" s="745"/>
      <c r="X57" s="154"/>
      <c r="Y57" s="154" t="e">
        <f>"￭钢材销量"&amp;ABS(ROUND(I36,2))&amp;"万吨，比预算"&amp;IF(O36&gt;=0,"↑","↓")&amp;ABS(ROUND(O36,2))&amp;"万吨，影响收入"&amp;IF(#REF!&gt;=0,"↑","↓")&amp;ABS(ROUND(#REF!,2))&amp;"亿元"</f>
        <v>#REF!</v>
      </c>
      <c r="Z57" s="745"/>
      <c r="AA57" s="745"/>
      <c r="AB57" s="154"/>
    </row>
    <row r="58" spans="2:28">
      <c r="B58" s="745"/>
      <c r="C58" s="745"/>
      <c r="D58" s="745"/>
      <c r="E58" s="745"/>
      <c r="F58" s="745"/>
      <c r="G58" s="745"/>
      <c r="H58" s="745"/>
      <c r="I58" s="745"/>
      <c r="J58" s="745" t="s">
        <v>49</v>
      </c>
      <c r="K58" s="745" t="s">
        <v>52</v>
      </c>
      <c r="L58" s="1622" t="e">
        <f>#REF!</f>
        <v>#REF!</v>
      </c>
      <c r="M58" s="1622" t="e">
        <f>L58*H8/10000</f>
        <v>#REF!</v>
      </c>
      <c r="N58" s="745"/>
      <c r="O58" s="745" t="str">
        <f>"￭钢材销量"&amp;ABS(ROUND(I36,2))&amp;"万吨，比预算"&amp;IF(O36&gt;=0,"↑","↓")&amp;ABS(ROUND(O36,2))&amp;"万吨，影响收入"&amp;IF(W50&gt;=0,"↑","↓")&amp;ABS(ROUND(W50,2))&amp;"亿元"</f>
        <v>￭钢材销量803.1万吨，比预算↓213.57万吨，影响收入↓123.57亿元</v>
      </c>
      <c r="P58" s="745"/>
      <c r="Q58" s="745"/>
      <c r="R58" s="745"/>
      <c r="S58" s="745"/>
      <c r="T58" s="745"/>
      <c r="U58" s="745" t="s">
        <v>69</v>
      </c>
      <c r="V58" s="745" t="s">
        <v>41</v>
      </c>
      <c r="W58" s="1623"/>
      <c r="X58" s="154"/>
      <c r="Y58" s="154" t="e">
        <f>"￭钢材售价"&amp;IF(#REF!&gt;=0,"高于","低于")&amp;"预算影响收入"&amp;IF(#REF!&gt;=0,"↑","↓")&amp;ABS(ROUND(#REF!,2))&amp;"亿元"</f>
        <v>#REF!</v>
      </c>
      <c r="Z58" s="745"/>
      <c r="AA58" s="745"/>
      <c r="AB58" s="154"/>
    </row>
    <row r="59" spans="2:28">
      <c r="B59" s="745"/>
      <c r="C59" s="745"/>
      <c r="D59" s="745"/>
      <c r="E59" s="745"/>
      <c r="F59" s="745"/>
      <c r="G59" s="745"/>
      <c r="H59" s="745"/>
      <c r="I59" s="745"/>
      <c r="J59" s="745"/>
      <c r="K59" s="745" t="s">
        <v>51</v>
      </c>
      <c r="L59" s="1622" t="e">
        <f>#REF!</f>
        <v>#REF!</v>
      </c>
      <c r="M59" s="1622" t="e">
        <f>L59*H9/10000</f>
        <v>#REF!</v>
      </c>
      <c r="N59" s="745"/>
      <c r="O59" s="745" t="str">
        <f>"￭钢材售价"&amp;IF(Y26&gt;=0,"高于","低于")&amp;"预算影响收入"&amp;IF(Y26&gt;=0,"↑","↓")&amp;ABS(ROUND(M63,2))&amp;"亿元"</f>
        <v>￭钢材售价高于预算影响收入↑0亿元</v>
      </c>
      <c r="P59" s="745"/>
      <c r="Q59" s="745"/>
      <c r="R59" s="745"/>
      <c r="S59" s="745"/>
      <c r="T59" s="745" t="s">
        <v>52</v>
      </c>
      <c r="U59" s="745">
        <f>F8/12*$C$2</f>
        <v>583.33333333333337</v>
      </c>
      <c r="V59" s="1622">
        <f>O32</f>
        <v>-55.662174233333417</v>
      </c>
      <c r="W59" s="745"/>
      <c r="X59" s="154"/>
      <c r="Y59" s="154" t="e">
        <f>"￭品种结构影响收入"&amp;IF(U66&gt;=0,"↑","↓")&amp;ABS(ROUND(U66,2))&amp;"亿元"</f>
        <v>#REF!</v>
      </c>
      <c r="Z59" s="745"/>
      <c r="AA59" s="745"/>
      <c r="AB59" s="154"/>
    </row>
    <row r="60" spans="2:28">
      <c r="B60" s="745"/>
      <c r="C60" s="745"/>
      <c r="D60" s="745"/>
      <c r="E60" s="745"/>
      <c r="F60" s="745"/>
      <c r="G60" s="745"/>
      <c r="H60" s="745"/>
      <c r="I60" s="745"/>
      <c r="J60" s="745"/>
      <c r="K60" s="745" t="s">
        <v>187</v>
      </c>
      <c r="L60" s="1622" t="e">
        <f>L58+L59</f>
        <v>#REF!</v>
      </c>
      <c r="M60" s="747" t="e">
        <f>M58+M59</f>
        <v>#REF!</v>
      </c>
      <c r="N60" s="745"/>
      <c r="O60" s="745" t="e">
        <f>"￭品种结构影响收入"&amp;IF(M64&gt;=0,"↑","↓")&amp;ABS(ROUND(M64,2))&amp;"亿元"</f>
        <v>#REF!</v>
      </c>
      <c r="P60" s="745"/>
      <c r="Q60" s="745"/>
      <c r="R60" s="745"/>
      <c r="S60" s="745"/>
      <c r="T60" s="745" t="s">
        <v>51</v>
      </c>
      <c r="U60" s="745">
        <f>F9/12*$C$2</f>
        <v>433.33333333333331</v>
      </c>
      <c r="V60" s="1622">
        <f>O33</f>
        <v>-157.90944361309732</v>
      </c>
      <c r="W60" s="745"/>
      <c r="X60" s="154"/>
      <c r="Y60" s="154"/>
      <c r="Z60" s="745"/>
      <c r="AA60" s="745"/>
      <c r="AB60" s="154"/>
    </row>
    <row r="61" spans="2:28">
      <c r="B61" s="745"/>
      <c r="C61" s="745"/>
      <c r="D61" s="745"/>
      <c r="E61" s="745"/>
      <c r="F61" s="745"/>
      <c r="G61" s="745"/>
      <c r="H61" s="745"/>
      <c r="I61" s="745"/>
      <c r="J61" s="745"/>
      <c r="K61" s="745"/>
      <c r="L61" s="1624"/>
      <c r="M61" s="747"/>
      <c r="N61" s="745"/>
      <c r="O61" s="745"/>
      <c r="P61" s="745"/>
      <c r="Q61" s="745"/>
      <c r="R61" s="745"/>
      <c r="S61" s="745"/>
      <c r="T61" s="745" t="s">
        <v>187</v>
      </c>
      <c r="U61" s="745">
        <f>F12/12*$C$2</f>
        <v>1016.6666666666666</v>
      </c>
      <c r="V61" s="1622">
        <f>O36</f>
        <v>-213.57161784643074</v>
      </c>
      <c r="W61" s="745"/>
      <c r="X61" s="154"/>
      <c r="Y61" s="154"/>
      <c r="Z61" s="745"/>
      <c r="AA61" s="745"/>
      <c r="AB61" s="154"/>
    </row>
    <row r="62" spans="2:28">
      <c r="B62" s="745"/>
      <c r="C62" s="745"/>
      <c r="D62" s="745"/>
      <c r="E62" s="745"/>
      <c r="F62" s="745"/>
      <c r="G62" s="745"/>
      <c r="H62" s="745"/>
      <c r="I62" s="745"/>
      <c r="J62" s="745"/>
      <c r="K62" s="745"/>
      <c r="L62" s="1624"/>
      <c r="M62" s="747"/>
      <c r="N62" s="745"/>
      <c r="O62" s="745"/>
      <c r="P62" s="745"/>
      <c r="Q62" s="745"/>
      <c r="R62" s="745"/>
      <c r="S62" s="745"/>
      <c r="T62" s="745"/>
      <c r="U62" s="745"/>
      <c r="V62" s="745"/>
      <c r="W62" s="745"/>
      <c r="X62" s="154"/>
      <c r="Y62" s="154"/>
      <c r="Z62" s="745"/>
      <c r="AA62" s="745"/>
      <c r="AB62" s="154"/>
    </row>
    <row r="63" spans="2:28">
      <c r="B63" s="745"/>
      <c r="C63" s="745"/>
      <c r="D63" s="745"/>
      <c r="E63" s="745"/>
      <c r="F63" s="745"/>
      <c r="G63" s="745"/>
      <c r="H63" s="745"/>
      <c r="I63" s="745"/>
      <c r="J63" s="745"/>
      <c r="K63" s="745" t="s">
        <v>50</v>
      </c>
      <c r="L63" s="745"/>
      <c r="M63" s="1622"/>
      <c r="N63" s="745"/>
      <c r="O63" s="745"/>
      <c r="P63" s="745"/>
      <c r="Q63" s="745"/>
      <c r="R63" s="745"/>
      <c r="S63" s="745"/>
      <c r="T63" s="745" t="s">
        <v>49</v>
      </c>
      <c r="U63" s="745"/>
      <c r="V63" s="745"/>
      <c r="W63" s="745"/>
      <c r="X63" s="154"/>
      <c r="Y63" s="154"/>
      <c r="Z63" s="745"/>
      <c r="AA63" s="745"/>
      <c r="AB63" s="154"/>
    </row>
    <row r="64" spans="2:28">
      <c r="B64" s="745"/>
      <c r="C64" s="745"/>
      <c r="D64" s="745"/>
      <c r="E64" s="745"/>
      <c r="F64" s="745"/>
      <c r="G64" s="745"/>
      <c r="H64" s="745"/>
      <c r="I64" s="745"/>
      <c r="J64" s="745"/>
      <c r="K64" s="745" t="s">
        <v>725</v>
      </c>
      <c r="L64" s="747"/>
      <c r="M64" s="747" t="e">
        <f>#REF!-M60-M63</f>
        <v>#REF!</v>
      </c>
      <c r="N64" s="745"/>
      <c r="O64" s="745"/>
      <c r="P64" s="745"/>
      <c r="Q64" s="745"/>
      <c r="R64" s="745"/>
      <c r="S64" s="745"/>
      <c r="T64" s="745" t="s">
        <v>52</v>
      </c>
      <c r="U64" s="747">
        <f>V59*H8/10000</f>
        <v>-14.249516603733355</v>
      </c>
      <c r="V64" s="745"/>
      <c r="W64" s="745"/>
      <c r="X64" s="154"/>
      <c r="Y64" s="154"/>
      <c r="Z64" s="745"/>
      <c r="AA64" s="745"/>
      <c r="AB64" s="154"/>
    </row>
    <row r="65" spans="2:28">
      <c r="B65" s="745"/>
      <c r="C65" s="745"/>
      <c r="D65" s="745"/>
      <c r="E65" s="745"/>
      <c r="F65" s="745"/>
      <c r="G65" s="745"/>
      <c r="H65" s="745"/>
      <c r="I65" s="745"/>
      <c r="J65" s="745"/>
      <c r="K65" s="745"/>
      <c r="L65" s="747"/>
      <c r="M65" s="745"/>
      <c r="N65" s="745"/>
      <c r="O65" s="745"/>
      <c r="P65" s="745"/>
      <c r="Q65" s="745"/>
      <c r="R65" s="745"/>
      <c r="S65" s="745"/>
      <c r="T65" s="745" t="s">
        <v>51</v>
      </c>
      <c r="U65" s="747">
        <f>V60*H9/10000</f>
        <v>-109.32192250137506</v>
      </c>
      <c r="V65" s="745"/>
      <c r="W65" s="745"/>
      <c r="X65" s="154"/>
      <c r="Y65" s="154"/>
      <c r="Z65" s="745"/>
      <c r="AA65" s="745"/>
      <c r="AB65" s="154"/>
    </row>
    <row r="66" spans="2:28">
      <c r="B66" s="745"/>
      <c r="C66" s="745"/>
      <c r="D66" s="745"/>
      <c r="E66" s="745"/>
      <c r="F66" s="745"/>
      <c r="G66" s="745"/>
      <c r="H66" s="745"/>
      <c r="I66" s="745"/>
      <c r="J66" s="745"/>
      <c r="K66" s="745"/>
      <c r="L66" s="745"/>
      <c r="M66" s="745"/>
      <c r="N66" s="745"/>
      <c r="O66" s="745"/>
      <c r="P66" s="745"/>
      <c r="Q66" s="745"/>
      <c r="R66" s="745"/>
      <c r="S66" s="745"/>
      <c r="T66" s="745" t="s">
        <v>725</v>
      </c>
      <c r="U66" s="1625" t="e">
        <f>P36-#REF!-#REF!</f>
        <v>#REF!</v>
      </c>
      <c r="V66" s="745"/>
      <c r="W66" s="745"/>
      <c r="X66" s="154"/>
      <c r="Y66" s="154"/>
      <c r="Z66" s="745"/>
      <c r="AA66" s="745"/>
      <c r="AB66" s="154"/>
    </row>
  </sheetData>
  <customSheetViews>
    <customSheetView guid="{1683F931-F47D-47C0-A395-D48080DC7EE6}" showPageBreaks="1">
      <selection activeCell="I32" sqref="I32"/>
      <pageMargins left="0.7" right="0.7" top="0.75" bottom="0.75" header="0.3" footer="0.3"/>
      <pageSetup paperSize="9" orientation="portrait" r:id="rId1"/>
    </customSheetView>
    <customSheetView guid="{43897816-D2F0-4C3D-8F57-E0039BD2296B}">
      <selection activeCell="L26" sqref="L26"/>
      <pageMargins left="0.7" right="0.7" top="0.75" bottom="0.75" header="0.3" footer="0.3"/>
      <pageSetup paperSize="9" orientation="portrait" r:id="rId2"/>
    </customSheetView>
    <customSheetView guid="{849C46E5-4ED4-41B9-BDA9-A6465B9DA9C2}" scale="85" topLeftCell="C22">
      <selection activeCell="J32" sqref="J32"/>
      <pageMargins left="0.7" right="0.7" top="0.75" bottom="0.75" header="0.3" footer="0.3"/>
      <pageSetup paperSize="9" orientation="portrait" r:id="rId3"/>
    </customSheetView>
    <customSheetView guid="{8C09BCDE-4B8A-4469-B3F2-7F4528A2E78D}" scale="85" topLeftCell="C22">
      <selection activeCell="J32" sqref="J32"/>
      <pageMargins left="0.7" right="0.7" top="0.75" bottom="0.75" header="0.3" footer="0.3"/>
      <pageSetup paperSize="9" orientation="portrait" r:id="rId4"/>
    </customSheetView>
    <customSheetView guid="{F4EB51F4-FD23-4D5B-8072-1AF5D59D6686}" showPageBreaks="1" topLeftCell="D22">
      <selection activeCell="I12" sqref="I12"/>
      <pageMargins left="0.7" right="0.7" top="0.75" bottom="0.75" header="0.3" footer="0.3"/>
      <pageSetup paperSize="9" orientation="portrait" r:id="rId5"/>
    </customSheetView>
    <customSheetView guid="{D7BCFB76-2797-401D-A6F1-E020B5162DD4}" topLeftCell="H1">
      <selection activeCell="R30" sqref="R30"/>
      <pageMargins left="0.7" right="0.7" top="0.75" bottom="0.75" header="0.3" footer="0.3"/>
      <pageSetup paperSize="9" orientation="portrait" r:id="rId6"/>
    </customSheetView>
    <customSheetView guid="{C9A88430-3808-49F4-8D86-BF8C70C55441}">
      <selection activeCell="J28" sqref="J28"/>
      <pageMargins left="0.7" right="0.7" top="0.75" bottom="0.75" header="0.3" footer="0.3"/>
      <pageSetup paperSize="9" orientation="portrait" r:id="rId7"/>
    </customSheetView>
    <customSheetView guid="{E61FFED3-723E-484A-93A0-94E1A801AF06}">
      <selection activeCell="J28" sqref="J28"/>
      <pageMargins left="0.7" right="0.7" top="0.75" bottom="0.75" header="0.3" footer="0.3"/>
      <pageSetup paperSize="9" orientation="portrait" r:id="rId8"/>
    </customSheetView>
    <customSheetView guid="{6B5CCA07-2BDD-4B8E-9E3C-2111BBA97430}">
      <selection activeCell="D20" sqref="D20"/>
      <pageMargins left="0.7" right="0.7" top="0.75" bottom="0.75" header="0.3" footer="0.3"/>
      <pageSetup paperSize="9" orientation="portrait" r:id="rId9"/>
    </customSheetView>
    <customSheetView guid="{2F47A827-9643-4D8A-AC5D-6B09D79AACF9}">
      <selection activeCell="L26" sqref="L26"/>
      <pageMargins left="0.7" right="0.7" top="0.75" bottom="0.75" header="0.3" footer="0.3"/>
      <pageSetup paperSize="9" orientation="portrait" r:id="rId10"/>
    </customSheetView>
    <customSheetView guid="{B37168A1-DBAB-4BDE-9F92-6261DCDF3D92}">
      <selection activeCell="I32" sqref="I32"/>
      <pageMargins left="0.7" right="0.7" top="0.75" bottom="0.75" header="0.3" footer="0.3"/>
    </customSheetView>
    <customSheetView guid="{AE0DD889-C13C-4059-8024-0F5B234827E9}" showPageBreaks="1">
      <selection activeCell="I32" sqref="I32"/>
      <pageMargins left="0.7" right="0.7" top="0.75" bottom="0.75" header="0.3" footer="0.3"/>
      <pageSetup paperSize="9" orientation="portrait" r:id="rId11"/>
    </customSheetView>
    <customSheetView guid="{C52D0F53-4D1D-4D01-B833-260359FD02A5}" showPageBreaks="1">
      <selection activeCell="I32" sqref="I32"/>
      <pageMargins left="0.7" right="0.7" top="0.75" bottom="0.75" header="0.3" footer="0.3"/>
      <pageSetup paperSize="9" orientation="portrait" r:id="rId12"/>
    </customSheetView>
    <customSheetView guid="{6A1E79C9-91E3-4EEA-8ABB-4446083299EC}">
      <selection activeCell="J28" sqref="J28"/>
      <pageMargins left="0.7" right="0.7" top="0.75" bottom="0.75" header="0.3" footer="0.3"/>
      <pageSetup paperSize="9" orientation="portrait" r:id="rId13"/>
    </customSheetView>
    <customSheetView guid="{8B80B510-C931-46B1-8591-DEA916D76593}" topLeftCell="A7">
      <selection activeCell="I34" sqref="I34"/>
      <pageMargins left="0.7" right="0.7" top="0.75" bottom="0.75" header="0.3" footer="0.3"/>
      <pageSetup paperSize="9" orientation="portrait" r:id="rId14"/>
    </customSheetView>
    <customSheetView guid="{303A9D89-611D-4504-BCAA-071C53B021F7}" topLeftCell="D1">
      <selection activeCell="J32" sqref="J32"/>
      <pageMargins left="0.7" right="0.7" top="0.75" bottom="0.75" header="0.3" footer="0.3"/>
      <pageSetup paperSize="9" orientation="portrait" r:id="rId15"/>
    </customSheetView>
    <customSheetView guid="{4583A87D-5DFF-47BD-849A-FA4AAF2B9CE3}">
      <selection activeCell="L26" sqref="L26"/>
      <pageMargins left="0.7" right="0.7" top="0.75" bottom="0.75" header="0.3" footer="0.3"/>
      <pageSetup paperSize="9" orientation="portrait" r:id="rId16"/>
    </customSheetView>
    <customSheetView guid="{EA856AC2-CDFF-46B6-B0C4-30449DF132F4}" showPageBreaks="1">
      <selection activeCell="L26" sqref="L26"/>
      <pageMargins left="0.7" right="0.7" top="0.75" bottom="0.75" header="0.3" footer="0.3"/>
      <pageSetup paperSize="9" orientation="portrait" r:id="rId17"/>
    </customSheetView>
    <customSheetView guid="{322A45A6-8B26-49B8-A4D9-EFB3C94A758D}">
      <selection activeCell="Q26" sqref="Q26"/>
      <pageMargins left="0.7" right="0.7" top="0.75" bottom="0.75" header="0.3" footer="0.3"/>
      <pageSetup paperSize="9" orientation="portrait" r:id="rId18"/>
    </customSheetView>
  </customSheetViews>
  <mergeCells count="2">
    <mergeCell ref="L6:N6"/>
    <mergeCell ref="I6:K6"/>
  </mergeCells>
  <phoneticPr fontId="133" type="noConversion"/>
  <pageMargins left="0.7" right="0.7" top="0.75" bottom="0.75" header="0.3" footer="0.3"/>
  <pageSetup paperSize="9" orientation="portrait" r:id="rId19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7" tint="0.39979247413556324"/>
  </sheetPr>
  <dimension ref="A2:AE63"/>
  <sheetViews>
    <sheetView topLeftCell="A7" workbookViewId="0">
      <selection activeCell="J30" sqref="J30"/>
    </sheetView>
  </sheetViews>
  <sheetFormatPr defaultColWidth="9" defaultRowHeight="14.25"/>
  <cols>
    <col min="1" max="2" width="5.375" style="136" customWidth="1"/>
    <col min="3" max="5" width="9.5" style="137" customWidth="1"/>
    <col min="6" max="7" width="12.75" style="137" customWidth="1"/>
    <col min="8" max="11" width="9.5" style="137" customWidth="1"/>
    <col min="12" max="12" width="8.875" style="719" customWidth="1"/>
    <col min="13" max="13" width="8.5" style="719" customWidth="1"/>
    <col min="14" max="14" width="13.75" style="719" customWidth="1"/>
    <col min="15" max="15" width="12.75" style="719" customWidth="1"/>
    <col min="16" max="16" width="12.75" style="720" customWidth="1"/>
    <col min="17" max="17" width="17.75" style="137" customWidth="1"/>
    <col min="18" max="18" width="8.25" style="137" customWidth="1"/>
    <col min="19" max="19" width="13.75" style="137" customWidth="1"/>
    <col min="20" max="20" width="9" style="137" customWidth="1"/>
    <col min="21" max="16384" width="9" style="136"/>
  </cols>
  <sheetData>
    <row r="2" spans="1:31">
      <c r="C2" s="137" t="s">
        <v>52</v>
      </c>
      <c r="D2" s="137" t="s">
        <v>52</v>
      </c>
      <c r="E2" s="137" t="s">
        <v>52</v>
      </c>
      <c r="F2" s="137" t="s">
        <v>51</v>
      </c>
      <c r="G2" s="137" t="s">
        <v>51</v>
      </c>
      <c r="H2" s="137" t="s">
        <v>51</v>
      </c>
      <c r="I2" s="137" t="s">
        <v>187</v>
      </c>
      <c r="J2" s="137" t="s">
        <v>187</v>
      </c>
      <c r="K2" s="137" t="s">
        <v>187</v>
      </c>
      <c r="L2" s="722" t="s">
        <v>726</v>
      </c>
      <c r="M2" s="722"/>
      <c r="N2" s="722"/>
      <c r="O2" s="722"/>
      <c r="P2" s="723"/>
      <c r="Q2" s="738" t="s">
        <v>727</v>
      </c>
      <c r="R2" s="738"/>
      <c r="S2" s="738"/>
      <c r="T2" s="738"/>
    </row>
    <row r="3" spans="1:31" ht="57">
      <c r="A3" s="136" t="s">
        <v>0</v>
      </c>
      <c r="B3" s="136" t="s">
        <v>1</v>
      </c>
      <c r="C3" s="137" t="s">
        <v>69</v>
      </c>
      <c r="D3" s="137" t="s">
        <v>39</v>
      </c>
      <c r="E3" s="137" t="s">
        <v>577</v>
      </c>
      <c r="F3" s="137" t="s">
        <v>69</v>
      </c>
      <c r="G3" s="137" t="s">
        <v>39</v>
      </c>
      <c r="H3" s="137" t="s">
        <v>577</v>
      </c>
      <c r="I3" s="137" t="s">
        <v>69</v>
      </c>
      <c r="J3" s="137" t="s">
        <v>39</v>
      </c>
      <c r="K3" s="137" t="s">
        <v>577</v>
      </c>
      <c r="L3" s="719" t="s">
        <v>562</v>
      </c>
      <c r="M3" s="719" t="s">
        <v>563</v>
      </c>
      <c r="N3" s="719" t="s">
        <v>564</v>
      </c>
      <c r="O3" s="719" t="s">
        <v>565</v>
      </c>
      <c r="P3" s="724" t="s">
        <v>728</v>
      </c>
      <c r="Q3" s="137" t="s">
        <v>562</v>
      </c>
      <c r="R3" s="137" t="s">
        <v>563</v>
      </c>
      <c r="S3" s="137" t="s">
        <v>564</v>
      </c>
      <c r="T3" s="137" t="s">
        <v>565</v>
      </c>
      <c r="V3" s="531" t="s">
        <v>566</v>
      </c>
      <c r="W3" s="531" t="s">
        <v>567</v>
      </c>
      <c r="X3" s="531" t="s">
        <v>568</v>
      </c>
      <c r="Y3" s="531" t="s">
        <v>569</v>
      </c>
      <c r="Z3" s="531" t="s">
        <v>570</v>
      </c>
      <c r="AA3" s="531" t="s">
        <v>729</v>
      </c>
      <c r="AB3" s="531" t="s">
        <v>572</v>
      </c>
      <c r="AC3" s="531" t="s">
        <v>573</v>
      </c>
      <c r="AD3" s="743" t="s">
        <v>730</v>
      </c>
      <c r="AE3" s="533" t="s">
        <v>575</v>
      </c>
    </row>
    <row r="4" spans="1:31">
      <c r="A4" s="136">
        <v>2017</v>
      </c>
      <c r="B4" s="137">
        <v>1</v>
      </c>
      <c r="C4" s="721">
        <v>41.837562699999999</v>
      </c>
      <c r="D4" s="721">
        <v>16.875599999999999</v>
      </c>
      <c r="E4" s="138">
        <v>4033.6001695433401</v>
      </c>
      <c r="F4" s="721">
        <v>22.804099999999998</v>
      </c>
      <c r="G4" s="721">
        <v>27.761299999999999</v>
      </c>
      <c r="H4" s="138">
        <v>12173.819620156</v>
      </c>
      <c r="I4" s="721">
        <v>64.641662699999998</v>
      </c>
      <c r="J4" s="721">
        <v>44.636899999999997</v>
      </c>
      <c r="K4" s="138">
        <v>6905.2833939557704</v>
      </c>
      <c r="V4" s="739"/>
      <c r="W4" s="739"/>
      <c r="X4" s="739"/>
      <c r="Y4" s="739"/>
      <c r="Z4" s="739"/>
      <c r="AA4" s="739"/>
      <c r="AB4" s="739"/>
      <c r="AC4" s="739"/>
      <c r="AD4" s="739"/>
      <c r="AE4" s="739"/>
    </row>
    <row r="5" spans="1:31">
      <c r="A5" s="136">
        <v>2017</v>
      </c>
      <c r="B5" s="137">
        <v>2</v>
      </c>
      <c r="C5" s="721">
        <v>47.845342000000002</v>
      </c>
      <c r="D5" s="721">
        <v>18.957429923399999</v>
      </c>
      <c r="E5" s="138">
        <v>3962.2310408816802</v>
      </c>
      <c r="F5" s="721">
        <v>28.712017400000001</v>
      </c>
      <c r="G5" s="721">
        <v>36.126057454700003</v>
      </c>
      <c r="H5" s="138">
        <v>12582.2079833025</v>
      </c>
      <c r="I5" s="721">
        <v>76.557359399999996</v>
      </c>
      <c r="J5" s="721">
        <v>55.083487378100003</v>
      </c>
      <c r="K5" s="138">
        <v>7195.0610378680303</v>
      </c>
      <c r="V5" s="739"/>
      <c r="W5" s="739"/>
      <c r="X5" s="739"/>
      <c r="Y5" s="739"/>
      <c r="Z5" s="739"/>
      <c r="AA5" s="739"/>
      <c r="AB5" s="739"/>
      <c r="AC5" s="739"/>
      <c r="AD5" s="739"/>
      <c r="AE5" s="739"/>
    </row>
    <row r="6" spans="1:31">
      <c r="A6" s="136">
        <v>2017</v>
      </c>
      <c r="B6" s="137">
        <v>3</v>
      </c>
      <c r="C6" s="721">
        <v>50.508483200000001</v>
      </c>
      <c r="D6" s="721">
        <v>20.351527429099999</v>
      </c>
      <c r="E6" s="138">
        <v>4029.32856813645</v>
      </c>
      <c r="F6" s="721">
        <v>32.633763600000002</v>
      </c>
      <c r="G6" s="721">
        <v>39.945194923599999</v>
      </c>
      <c r="H6" s="138">
        <v>12240.449925794001</v>
      </c>
      <c r="I6" s="721">
        <v>83.142246799999995</v>
      </c>
      <c r="J6" s="721">
        <v>60.296722352700002</v>
      </c>
      <c r="K6" s="138">
        <v>7252.2363387345904</v>
      </c>
      <c r="V6" s="739"/>
      <c r="W6" s="739"/>
      <c r="X6" s="739"/>
      <c r="Y6" s="739"/>
      <c r="Z6" s="739"/>
      <c r="AA6" s="739"/>
      <c r="AB6" s="739"/>
      <c r="AC6" s="739"/>
      <c r="AD6" s="739"/>
      <c r="AE6" s="739"/>
    </row>
    <row r="7" spans="1:31">
      <c r="A7" s="136">
        <v>2017</v>
      </c>
      <c r="B7" s="137">
        <v>4</v>
      </c>
      <c r="C7" s="721">
        <v>47.166888499999999</v>
      </c>
      <c r="D7" s="721">
        <v>16.567094655399998</v>
      </c>
      <c r="E7" s="138">
        <v>3512.4417111805001</v>
      </c>
      <c r="F7" s="721">
        <v>31.53998</v>
      </c>
      <c r="G7" s="721">
        <v>36.955653434799999</v>
      </c>
      <c r="H7" s="138">
        <v>11717.0820763995</v>
      </c>
      <c r="I7" s="721">
        <v>78.706868499999999</v>
      </c>
      <c r="J7" s="721">
        <v>53.522748090199997</v>
      </c>
      <c r="K7" s="138">
        <v>6800.2639553878298</v>
      </c>
      <c r="V7" s="739"/>
      <c r="W7" s="739"/>
      <c r="X7" s="739"/>
      <c r="Y7" s="739"/>
      <c r="Z7" s="739"/>
      <c r="AA7" s="739"/>
      <c r="AB7" s="739"/>
      <c r="AC7" s="739"/>
      <c r="AD7" s="739"/>
      <c r="AE7" s="739"/>
    </row>
    <row r="8" spans="1:31">
      <c r="A8" s="136">
        <v>2017</v>
      </c>
      <c r="B8" s="137">
        <v>5</v>
      </c>
      <c r="C8" s="721">
        <v>49.964976399999998</v>
      </c>
      <c r="D8" s="721">
        <v>15.740605240000001</v>
      </c>
      <c r="E8" s="138">
        <v>3150.32776438978</v>
      </c>
      <c r="F8" s="721">
        <v>29.642709100000001</v>
      </c>
      <c r="G8" s="721">
        <v>33.972540416599998</v>
      </c>
      <c r="H8" s="138">
        <v>11460.673281242</v>
      </c>
      <c r="I8" s="721">
        <v>79.607685500000002</v>
      </c>
      <c r="J8" s="721">
        <v>49.713145656599998</v>
      </c>
      <c r="K8" s="138">
        <v>6244.76711568257</v>
      </c>
      <c r="O8" s="719" t="str">
        <f t="shared" ref="O8:O15" si="0">IFERROR(C8/L8,"")</f>
        <v/>
      </c>
      <c r="Q8" s="137" t="str">
        <f t="shared" ref="Q8:Q15" si="1">IFERROR(F8/M8,"")</f>
        <v/>
      </c>
      <c r="R8" s="137" t="str">
        <f t="shared" ref="R8:R15" si="2">IFERROR(I8/N8,"")</f>
        <v/>
      </c>
    </row>
    <row r="9" spans="1:31">
      <c r="A9" s="136">
        <v>2017</v>
      </c>
      <c r="B9" s="137">
        <v>6</v>
      </c>
      <c r="C9" s="721">
        <v>48.272045400000003</v>
      </c>
      <c r="D9" s="721">
        <v>15.349786873899999</v>
      </c>
      <c r="E9" s="138">
        <v>3179.8501071802498</v>
      </c>
      <c r="F9" s="721">
        <v>35.691645800000003</v>
      </c>
      <c r="G9" s="721">
        <v>37.5801026676383</v>
      </c>
      <c r="H9" s="138">
        <v>10529.1033308524</v>
      </c>
      <c r="I9" s="721">
        <v>83.9636912</v>
      </c>
      <c r="J9" s="721">
        <v>52.929889541538302</v>
      </c>
      <c r="K9" s="138">
        <v>6303.9021730786299</v>
      </c>
      <c r="O9" s="719" t="str">
        <f t="shared" si="0"/>
        <v/>
      </c>
      <c r="Q9" s="137" t="str">
        <f t="shared" si="1"/>
        <v/>
      </c>
      <c r="R9" s="137" t="str">
        <f t="shared" si="2"/>
        <v/>
      </c>
    </row>
    <row r="10" spans="1:31">
      <c r="A10" s="136">
        <v>2017</v>
      </c>
      <c r="B10" s="137">
        <v>7</v>
      </c>
      <c r="C10" s="721">
        <v>50.977818800000001</v>
      </c>
      <c r="D10" s="721">
        <v>17.960957733099999</v>
      </c>
      <c r="E10" s="138">
        <v>3523.2887863574101</v>
      </c>
      <c r="F10" s="721">
        <v>31.962761499999999</v>
      </c>
      <c r="G10" s="721">
        <v>34.525172718900002</v>
      </c>
      <c r="H10" s="138">
        <v>10801.686430911201</v>
      </c>
      <c r="I10" s="721">
        <v>82.940580299999993</v>
      </c>
      <c r="J10" s="721">
        <v>52.486130451999998</v>
      </c>
      <c r="K10" s="138">
        <v>6328.16050504532</v>
      </c>
      <c r="O10" s="719" t="str">
        <f t="shared" si="0"/>
        <v/>
      </c>
      <c r="Q10" s="137" t="str">
        <f t="shared" si="1"/>
        <v/>
      </c>
      <c r="R10" s="137" t="str">
        <f t="shared" si="2"/>
        <v/>
      </c>
    </row>
    <row r="11" spans="1:31">
      <c r="A11" s="136">
        <v>2017</v>
      </c>
      <c r="B11" s="137">
        <v>8</v>
      </c>
      <c r="C11" s="721">
        <v>50.737464299999999</v>
      </c>
      <c r="D11" s="721">
        <v>19.122403394300001</v>
      </c>
      <c r="E11" s="138">
        <v>3768.8922097551499</v>
      </c>
      <c r="F11" s="721">
        <v>36.273927299999997</v>
      </c>
      <c r="G11" s="721">
        <v>39.272230157341298</v>
      </c>
      <c r="H11" s="138">
        <v>10826.5724393568</v>
      </c>
      <c r="I11" s="721">
        <v>87.011391599999996</v>
      </c>
      <c r="J11" s="721">
        <v>58.394633551641299</v>
      </c>
      <c r="K11" s="138">
        <v>6711.1481011690103</v>
      </c>
      <c r="O11" s="719" t="str">
        <f t="shared" si="0"/>
        <v/>
      </c>
      <c r="Q11" s="137" t="str">
        <f t="shared" si="1"/>
        <v/>
      </c>
      <c r="R11" s="137" t="str">
        <f t="shared" si="2"/>
        <v/>
      </c>
    </row>
    <row r="12" spans="1:31">
      <c r="A12" s="136">
        <v>2017</v>
      </c>
      <c r="B12" s="137">
        <v>9</v>
      </c>
      <c r="C12" s="721">
        <v>49.650414499999997</v>
      </c>
      <c r="D12" s="721">
        <v>19.8677417036</v>
      </c>
      <c r="E12" s="138">
        <v>4001.5258490138099</v>
      </c>
      <c r="F12" s="721">
        <v>33.215379300000002</v>
      </c>
      <c r="G12" s="721">
        <v>37.824337140231798</v>
      </c>
      <c r="H12" s="138">
        <v>11387.5975338423</v>
      </c>
      <c r="I12" s="721">
        <v>82.865793800000006</v>
      </c>
      <c r="J12" s="721">
        <v>57.692078843831801</v>
      </c>
      <c r="K12" s="138">
        <v>6962.1102023199101</v>
      </c>
      <c r="O12" s="719" t="str">
        <f t="shared" si="0"/>
        <v/>
      </c>
      <c r="Q12" s="137" t="str">
        <f t="shared" si="1"/>
        <v/>
      </c>
      <c r="R12" s="137" t="str">
        <f t="shared" si="2"/>
        <v/>
      </c>
    </row>
    <row r="13" spans="1:31">
      <c r="A13" s="136">
        <v>2017</v>
      </c>
      <c r="B13" s="137">
        <v>10</v>
      </c>
      <c r="C13" s="721">
        <v>52.722713300000002</v>
      </c>
      <c r="D13" s="721">
        <v>20.843193490299999</v>
      </c>
      <c r="E13" s="138">
        <v>3953.3613097071002</v>
      </c>
      <c r="F13" s="721">
        <v>29.619895880000001</v>
      </c>
      <c r="G13" s="721">
        <v>34.782246302799997</v>
      </c>
      <c r="H13" s="138">
        <v>11742.8658236053</v>
      </c>
      <c r="I13" s="721">
        <v>82.342609179999997</v>
      </c>
      <c r="J13" s="721">
        <v>55.6254397931</v>
      </c>
      <c r="K13" s="138">
        <v>6755.36521699275</v>
      </c>
      <c r="O13" s="719" t="str">
        <f t="shared" si="0"/>
        <v/>
      </c>
      <c r="Q13" s="137" t="str">
        <f t="shared" si="1"/>
        <v/>
      </c>
      <c r="R13" s="137" t="str">
        <f t="shared" si="2"/>
        <v/>
      </c>
    </row>
    <row r="14" spans="1:31">
      <c r="A14" s="136">
        <v>2017</v>
      </c>
      <c r="B14" s="137">
        <v>11</v>
      </c>
      <c r="C14" s="721">
        <v>50.685194799999998</v>
      </c>
      <c r="D14" s="721">
        <v>19.615348596400001</v>
      </c>
      <c r="E14" s="138">
        <v>3870.0351599319501</v>
      </c>
      <c r="F14" s="721">
        <v>30.103293699999998</v>
      </c>
      <c r="G14" s="721">
        <v>35.639945873499997</v>
      </c>
      <c r="H14" s="138">
        <v>11839.218069848601</v>
      </c>
      <c r="I14" s="721">
        <v>80.7884885</v>
      </c>
      <c r="J14" s="721">
        <v>55.255294469900001</v>
      </c>
      <c r="K14" s="138">
        <v>6839.5009605731102</v>
      </c>
      <c r="O14" s="719" t="str">
        <f t="shared" si="0"/>
        <v/>
      </c>
      <c r="Q14" s="137" t="str">
        <f t="shared" si="1"/>
        <v/>
      </c>
      <c r="R14" s="137" t="str">
        <f t="shared" si="2"/>
        <v/>
      </c>
    </row>
    <row r="15" spans="1:31">
      <c r="A15" s="136">
        <v>2017</v>
      </c>
      <c r="B15" s="137">
        <v>12</v>
      </c>
      <c r="C15" s="721">
        <v>58.809107599999997</v>
      </c>
      <c r="D15" s="721">
        <v>23.3298923105</v>
      </c>
      <c r="E15" s="138">
        <v>3967.0542986610499</v>
      </c>
      <c r="F15" s="721">
        <v>35.556389500000002</v>
      </c>
      <c r="G15" s="721">
        <v>39.412286393800002</v>
      </c>
      <c r="H15" s="138">
        <v>11084.4455660494</v>
      </c>
      <c r="I15" s="721">
        <v>94.365497099999999</v>
      </c>
      <c r="J15" s="721">
        <v>62.742178704300002</v>
      </c>
      <c r="K15" s="138">
        <v>6648.8473682082704</v>
      </c>
      <c r="O15" s="719" t="str">
        <f t="shared" si="0"/>
        <v/>
      </c>
      <c r="Q15" s="137" t="str">
        <f t="shared" si="1"/>
        <v/>
      </c>
      <c r="R15" s="137" t="str">
        <f t="shared" si="2"/>
        <v/>
      </c>
    </row>
    <row r="16" spans="1:31">
      <c r="A16" s="136">
        <v>2018</v>
      </c>
      <c r="B16" s="137">
        <v>1</v>
      </c>
      <c r="C16" s="721">
        <f>SUMIFS('#销量数据'!$84:$84,'#销量数据'!$3:$3,"销量",'#销量数据'!$1:$1,A16,'#销量数据'!$2:$2,B16)/10000</f>
        <v>50.407501400000001</v>
      </c>
      <c r="D16" s="721">
        <f>SUMIFS('#销量数据'!$84:$84,'#销量数据'!$3:$3,"收入",'#销量数据'!$1:$1,A16,'#销量数据'!$2:$2,B16)/10000</f>
        <v>20.452030608300003</v>
      </c>
      <c r="E16" s="331">
        <f t="shared" ref="E16:E39" si="3">IFERROR(D16/C16*10000,"")</f>
        <v>4057.3386976685183</v>
      </c>
      <c r="F16" s="721">
        <f>SUMIFS('#销量数据'!$83:$83,'#销量数据'!$3:$3,"销量",'#销量数据'!$1:$1,A16,'#销量数据'!$2:$2,B16)/10000</f>
        <v>33.235247000000015</v>
      </c>
      <c r="G16" s="721">
        <f>SUMIFS('#销量数据'!$83:$83,'#销量数据'!$3:$3,"收入",'#销量数据'!$1:$1,A16,'#销量数据'!$2:$2,B16)/10000</f>
        <v>39.408177825898726</v>
      </c>
      <c r="H16" s="331">
        <f t="shared" ref="H16:H39" si="4">IFERROR(G16/F16*10000,"")</f>
        <v>11857.34465156787</v>
      </c>
      <c r="I16" s="721">
        <f t="shared" ref="I16:I27" si="5">C16+F16</f>
        <v>83.642748400000016</v>
      </c>
      <c r="J16" s="721">
        <f t="shared" ref="J16:J27" si="6">D16+G16</f>
        <v>59.860208434198725</v>
      </c>
      <c r="K16" s="331">
        <f t="shared" ref="K16:K39" si="7">IFERROR(J16/I16*10000,"")</f>
        <v>7156.6524987835901</v>
      </c>
      <c r="L16" s="725">
        <v>15393.626526357601</v>
      </c>
      <c r="M16" s="726">
        <v>9688.6840757808495</v>
      </c>
      <c r="N16" s="725">
        <v>4021.98672873131</v>
      </c>
      <c r="O16" s="725">
        <v>6121.2182128857203</v>
      </c>
      <c r="P16" s="720">
        <v>0.17</v>
      </c>
      <c r="Q16" s="740">
        <f t="shared" ref="Q16:Q21" si="8">L16/(1+$P16)</f>
        <v>13156.945749023591</v>
      </c>
      <c r="R16" s="740">
        <f t="shared" ref="R16:R21" si="9">M16/(1+$P16)</f>
        <v>8280.926560496453</v>
      </c>
      <c r="S16" s="740">
        <f t="shared" ref="S16:S30" si="10">N16/(1+$P16)</f>
        <v>3437.5954946421457</v>
      </c>
      <c r="T16" s="740">
        <f t="shared" ref="T16:T30" si="11">O16/(1+$P16)</f>
        <v>5231.8104383638638</v>
      </c>
    </row>
    <row r="17" spans="1:20">
      <c r="A17" s="136">
        <v>2018</v>
      </c>
      <c r="B17" s="137">
        <v>2</v>
      </c>
      <c r="C17" s="721">
        <f>SUMIFS('#销量数据'!$84:$84,'#销量数据'!$3:$3,"销量",'#销量数据'!$1:$1,A17,'#销量数据'!$2:$2,B17)/10000</f>
        <v>42.367143900000002</v>
      </c>
      <c r="D17" s="721">
        <f>SUMIFS('#销量数据'!$84:$84,'#销量数据'!$3:$3,"收入",'#销量数据'!$1:$1,A17,'#销量数据'!$2:$2,B17)/10000</f>
        <v>16.886831746200002</v>
      </c>
      <c r="E17" s="138">
        <f t="shared" si="3"/>
        <v>3985.8319895384784</v>
      </c>
      <c r="F17" s="721">
        <f>SUMIFS('#销量数据'!$83:$83,'#销量数据'!$3:$3,"销量",'#销量数据'!$1:$1,A17,'#销量数据'!$2:$2,B17)/10000</f>
        <v>25.575108399999994</v>
      </c>
      <c r="G17" s="721">
        <f>SUMIFS('#销量数据'!$83:$83,'#销量数据'!$3:$3,"收入",'#销量数据'!$1:$1,A17,'#销量数据'!$2:$2,B17)/10000</f>
        <v>30.016134002122119</v>
      </c>
      <c r="H17" s="138">
        <f t="shared" si="4"/>
        <v>11736.464038651788</v>
      </c>
      <c r="I17" s="721">
        <f t="shared" si="5"/>
        <v>67.942252299999993</v>
      </c>
      <c r="J17" s="721">
        <f t="shared" si="6"/>
        <v>46.902965748322117</v>
      </c>
      <c r="K17" s="331">
        <f t="shared" si="7"/>
        <v>6903.3575073757338</v>
      </c>
      <c r="L17" s="725">
        <v>15506</v>
      </c>
      <c r="M17" s="726">
        <v>9461</v>
      </c>
      <c r="N17" s="725">
        <v>4061</v>
      </c>
      <c r="O17" s="725">
        <v>6090</v>
      </c>
      <c r="P17" s="720">
        <v>0.17</v>
      </c>
      <c r="Q17" s="740">
        <f t="shared" si="8"/>
        <v>13252.991452991453</v>
      </c>
      <c r="R17" s="740">
        <f t="shared" si="9"/>
        <v>8086.3247863247871</v>
      </c>
      <c r="S17" s="740">
        <f t="shared" si="10"/>
        <v>3470.9401709401714</v>
      </c>
      <c r="T17" s="740">
        <f t="shared" si="11"/>
        <v>5205.1282051282051</v>
      </c>
    </row>
    <row r="18" spans="1:20">
      <c r="A18" s="136">
        <v>2018</v>
      </c>
      <c r="B18" s="137">
        <v>3</v>
      </c>
      <c r="C18" s="721">
        <f>SUMIFS('#销量数据'!$84:$84,'#销量数据'!$3:$3,"销量",'#销量数据'!$1:$1,A18,'#销量数据'!$2:$2,B18)/10000</f>
        <v>56.375920300000011</v>
      </c>
      <c r="D18" s="721">
        <f>SUMIFS('#销量数据'!$84:$84,'#销量数据'!$3:$3,"收入",'#销量数据'!$1:$1,A18,'#销量数据'!$2:$2,B18)/10000</f>
        <v>23.032067244299995</v>
      </c>
      <c r="E18" s="138">
        <f t="shared" si="3"/>
        <v>4085.4441260979274</v>
      </c>
      <c r="F18" s="721">
        <f>SUMIFS('#销量数据'!$83:$83,'#销量数据'!$3:$3,"销量",'#销量数据'!$1:$1,A18,'#销量数据'!$2:$2,B18)/10000</f>
        <v>38.673673600000029</v>
      </c>
      <c r="G18" s="721">
        <f>SUMIFS('#销量数据'!$83:$83,'#销量数据'!$3:$3,"收入",'#销量数据'!$1:$1,A18,'#销量数据'!$2:$2,B18)/10000</f>
        <v>45.098663163133004</v>
      </c>
      <c r="H18" s="138">
        <f t="shared" si="4"/>
        <v>11661.334175177239</v>
      </c>
      <c r="I18" s="721">
        <f t="shared" si="5"/>
        <v>95.049593900000048</v>
      </c>
      <c r="J18" s="721">
        <f t="shared" si="6"/>
        <v>68.130730407432992</v>
      </c>
      <c r="K18" s="331">
        <f t="shared" si="7"/>
        <v>7167.9138870505958</v>
      </c>
      <c r="L18" s="725">
        <v>15220</v>
      </c>
      <c r="M18" s="725">
        <v>9452</v>
      </c>
      <c r="N18" s="725">
        <v>3919</v>
      </c>
      <c r="O18" s="725">
        <v>6031</v>
      </c>
      <c r="P18" s="720">
        <v>0.17</v>
      </c>
      <c r="Q18" s="740">
        <f t="shared" si="8"/>
        <v>13008.54700854701</v>
      </c>
      <c r="R18" s="740">
        <f t="shared" si="9"/>
        <v>8078.6324786324794</v>
      </c>
      <c r="S18" s="740">
        <f t="shared" si="10"/>
        <v>3349.5726495726499</v>
      </c>
      <c r="T18" s="740">
        <f t="shared" si="11"/>
        <v>5154.7008547008554</v>
      </c>
    </row>
    <row r="19" spans="1:20">
      <c r="A19" s="136">
        <v>2018</v>
      </c>
      <c r="B19" s="137">
        <v>4</v>
      </c>
      <c r="C19" s="721">
        <f>SUMIFS('#销量数据'!$84:$84,'#销量数据'!$3:$3,"销量",'#销量数据'!$1:$1,A19,'#销量数据'!$2:$2,B19)/10000</f>
        <v>50.5545513</v>
      </c>
      <c r="D19" s="721">
        <f>SUMIFS('#销量数据'!$84:$84,'#销量数据'!$3:$3,"收入",'#销量数据'!$1:$1,A19,'#销量数据'!$2:$2,B19)/10000</f>
        <v>20.087373996100006</v>
      </c>
      <c r="E19" s="138">
        <f t="shared" si="3"/>
        <v>3973.4056538051018</v>
      </c>
      <c r="F19" s="721">
        <f>SUMIFS('#销量数据'!$83:$83,'#销量数据'!$3:$3,"销量",'#销量数据'!$1:$1,A19,'#销量数据'!$2:$2,B19)/10000</f>
        <v>32.073113600000013</v>
      </c>
      <c r="G19" s="721">
        <f>SUMIFS('#销量数据'!$83:$83,'#销量数据'!$3:$3,"收入",'#销量数据'!$1:$1,A19,'#销量数据'!$2:$2,B19)/10000</f>
        <v>38.221988758656543</v>
      </c>
      <c r="H19" s="138">
        <f t="shared" si="4"/>
        <v>11917.143198300688</v>
      </c>
      <c r="I19" s="721">
        <f t="shared" si="5"/>
        <v>82.627664900000013</v>
      </c>
      <c r="J19" s="721">
        <f t="shared" si="6"/>
        <v>58.309362754756549</v>
      </c>
      <c r="K19" s="331">
        <f t="shared" si="7"/>
        <v>7056.8813514608401</v>
      </c>
      <c r="L19" s="725">
        <v>14835</v>
      </c>
      <c r="M19" s="726">
        <v>8998</v>
      </c>
      <c r="N19" s="725">
        <v>3934</v>
      </c>
      <c r="O19" s="725">
        <v>5698</v>
      </c>
      <c r="P19" s="720">
        <v>0.17</v>
      </c>
      <c r="Q19" s="740">
        <f t="shared" si="8"/>
        <v>12679.48717948718</v>
      </c>
      <c r="R19" s="740">
        <f t="shared" si="9"/>
        <v>7690.598290598291</v>
      </c>
      <c r="S19" s="740">
        <f t="shared" si="10"/>
        <v>3362.3931623931626</v>
      </c>
      <c r="T19" s="740">
        <f t="shared" si="11"/>
        <v>4870.0854700854707</v>
      </c>
    </row>
    <row r="20" spans="1:20">
      <c r="A20" s="136">
        <v>2018</v>
      </c>
      <c r="B20" s="137">
        <v>5</v>
      </c>
      <c r="C20" s="721">
        <f>SUMIFS('#销量数据'!$84:$84,'#销量数据'!$3:$3,"销量",'#销量数据'!$1:$1,A20,'#销量数据'!$2:$2,B20)/10000</f>
        <v>55.15649659999999</v>
      </c>
      <c r="D20" s="721">
        <f>SUMIFS('#销量数据'!$84:$84,'#销量数据'!$3:$3,"收入",'#销量数据'!$1:$1,A20,'#销量数据'!$2:$2,B20)/10000</f>
        <v>22.0435400189</v>
      </c>
      <c r="E20" s="138">
        <f t="shared" si="3"/>
        <v>3996.5446280538426</v>
      </c>
      <c r="F20" s="721">
        <f>SUMIFS('#销量数据'!$83:$83,'#销量数据'!$3:$3,"销量",'#销量数据'!$1:$1,A20,'#销量数据'!$2:$2,B20)/10000</f>
        <v>33.077021400000007</v>
      </c>
      <c r="G20" s="721">
        <f>SUMIFS('#销量数据'!$83:$83,'#销量数据'!$3:$3,"收入",'#销量数据'!$1:$1,A20,'#销量数据'!$2:$2,B20)/10000</f>
        <v>39.823987271600025</v>
      </c>
      <c r="H20" s="138">
        <f t="shared" si="4"/>
        <v>12039.774316438305</v>
      </c>
      <c r="I20" s="721">
        <f t="shared" si="5"/>
        <v>88.233518000000004</v>
      </c>
      <c r="J20" s="721">
        <f t="shared" si="6"/>
        <v>61.867527290500021</v>
      </c>
      <c r="K20" s="331">
        <f t="shared" si="7"/>
        <v>7011.79423566677</v>
      </c>
      <c r="L20" s="725">
        <v>15143</v>
      </c>
      <c r="M20" s="726">
        <v>8618</v>
      </c>
      <c r="N20" s="725">
        <v>4092</v>
      </c>
      <c r="O20" s="725">
        <v>5533</v>
      </c>
      <c r="P20" s="720">
        <v>0.16</v>
      </c>
      <c r="Q20" s="740">
        <f t="shared" si="8"/>
        <v>13054.310344827587</v>
      </c>
      <c r="R20" s="740">
        <f t="shared" si="9"/>
        <v>7429.310344827587</v>
      </c>
      <c r="S20" s="740">
        <f t="shared" si="10"/>
        <v>3527.5862068965521</v>
      </c>
      <c r="T20" s="740">
        <f t="shared" si="11"/>
        <v>4769.8275862068967</v>
      </c>
    </row>
    <row r="21" spans="1:20">
      <c r="A21" s="136">
        <v>2018</v>
      </c>
      <c r="B21" s="137">
        <v>6</v>
      </c>
      <c r="C21" s="721">
        <f>SUMIFS('#销量数据'!$84:$84,'#销量数据'!$3:$3,"销量",'#销量数据'!$1:$1,A21,'#销量数据'!$2:$2,B21)/10000</f>
        <v>53.469632499999996</v>
      </c>
      <c r="D21" s="721">
        <f>SUMIFS('#销量数据'!$84:$84,'#销量数据'!$3:$3,"收入",'#销量数据'!$1:$1,A21,'#销量数据'!$2:$2,B21)/10000</f>
        <v>21.931979975399997</v>
      </c>
      <c r="E21" s="138">
        <f t="shared" si="3"/>
        <v>4101.7637395207457</v>
      </c>
      <c r="F21" s="721">
        <f>SUMIFS('#销量数据'!$83:$83,'#销量数据'!$3:$3,"销量",'#销量数据'!$1:$1,A21,'#销量数据'!$2:$2,B21)/10000</f>
        <v>32.321072600000001</v>
      </c>
      <c r="G21" s="721">
        <f>SUMIFS('#销量数据'!$83:$83,'#销量数据'!$3:$3,"收入",'#销量数据'!$1:$1,A21,'#销量数据'!$2:$2,B21)/10000</f>
        <v>38.151481412767545</v>
      </c>
      <c r="H21" s="138">
        <f t="shared" si="4"/>
        <v>11803.903256839176</v>
      </c>
      <c r="I21" s="721">
        <f t="shared" si="5"/>
        <v>85.790705099999997</v>
      </c>
      <c r="J21" s="721">
        <f t="shared" si="6"/>
        <v>60.083461388167542</v>
      </c>
      <c r="K21" s="331">
        <f t="shared" si="7"/>
        <v>7003.4931311186465</v>
      </c>
      <c r="L21" s="725">
        <v>15775</v>
      </c>
      <c r="M21" s="726">
        <v>8730</v>
      </c>
      <c r="N21" s="725">
        <v>4227</v>
      </c>
      <c r="O21" s="725">
        <v>5835</v>
      </c>
      <c r="P21" s="720">
        <v>0.16</v>
      </c>
      <c r="Q21" s="740">
        <f t="shared" si="8"/>
        <v>13599.137931034484</v>
      </c>
      <c r="R21" s="740">
        <f t="shared" si="9"/>
        <v>7525.8620689655181</v>
      </c>
      <c r="S21" s="740">
        <f t="shared" si="10"/>
        <v>3643.9655172413795</v>
      </c>
      <c r="T21" s="740">
        <f t="shared" si="11"/>
        <v>5030.1724137931042</v>
      </c>
    </row>
    <row r="22" spans="1:20">
      <c r="A22" s="136">
        <v>2018</v>
      </c>
      <c r="B22" s="137">
        <v>7</v>
      </c>
      <c r="C22" s="721">
        <f>SUMIFS('#销量数据'!$84:$84,'#销量数据'!$3:$3,"销量",'#销量数据'!$1:$1,A22,'#销量数据'!$2:$2,B22)/10000</f>
        <v>49.965852500000004</v>
      </c>
      <c r="D22" s="721">
        <f>SUMIFS('#销量数据'!$84:$84,'#销量数据'!$3:$3,"收入",'#销量数据'!$1:$1,A22,'#销量数据'!$2:$2,B22)/10000</f>
        <v>21.247395095199998</v>
      </c>
      <c r="E22" s="138">
        <f t="shared" si="3"/>
        <v>4252.383184135605</v>
      </c>
      <c r="F22" s="721">
        <f>SUMIFS('#销量数据'!$83:$83,'#销量数据'!$3:$3,"销量",'#销量数据'!$1:$1,A22,'#销量数据'!$2:$2,B22)/10000</f>
        <v>31.186524530852981</v>
      </c>
      <c r="G22" s="721">
        <f>SUMIFS('#销量数据'!$83:$83,'#销量数据'!$3:$3,"收入",'#销量数据'!$1:$1,A22,'#销量数据'!$2:$2,B22)/10000</f>
        <v>37.202672956200004</v>
      </c>
      <c r="H22" s="138">
        <f t="shared" si="4"/>
        <v>11929.085884320075</v>
      </c>
      <c r="I22" s="721">
        <f t="shared" si="5"/>
        <v>81.152377030852989</v>
      </c>
      <c r="J22" s="721">
        <f t="shared" si="6"/>
        <v>58.450068051400002</v>
      </c>
      <c r="K22" s="331">
        <f t="shared" si="7"/>
        <v>7202.5084402861185</v>
      </c>
      <c r="L22" s="725">
        <v>15625</v>
      </c>
      <c r="M22" s="726">
        <v>8698</v>
      </c>
      <c r="N22" s="725">
        <v>4181</v>
      </c>
      <c r="O22" s="725">
        <v>5752</v>
      </c>
      <c r="P22" s="720">
        <v>0.16</v>
      </c>
      <c r="Q22" s="740">
        <f t="shared" ref="Q22:Q30" si="12">L22/(1+$P22)</f>
        <v>13469.827586206897</v>
      </c>
      <c r="R22" s="740">
        <f t="shared" ref="R22:R30" si="13">M22/(1+$P22)</f>
        <v>7498.2758620689656</v>
      </c>
      <c r="S22" s="740">
        <f t="shared" si="10"/>
        <v>3604.3103448275865</v>
      </c>
      <c r="T22" s="740">
        <f t="shared" si="11"/>
        <v>4958.620689655173</v>
      </c>
    </row>
    <row r="23" spans="1:20">
      <c r="A23" s="136">
        <v>2018</v>
      </c>
      <c r="B23" s="137">
        <v>8</v>
      </c>
      <c r="C23" s="721">
        <f>SUMIFS('#销量数据'!$84:$84,'#销量数据'!$3:$3,"销量",'#销量数据'!$1:$1,A23,'#销量数据'!$2:$2,B23)/10000</f>
        <v>55.196073399999996</v>
      </c>
      <c r="D23" s="721">
        <f>SUMIFS('#销量数据'!$84:$84,'#销量数据'!$3:$3,"收入",'#销量数据'!$1:$1,A23,'#销量数据'!$2:$2,B23)/10000</f>
        <v>22.636927143300017</v>
      </c>
      <c r="E23" s="138">
        <f t="shared" si="3"/>
        <v>4101.1843323079602</v>
      </c>
      <c r="F23" s="721">
        <f>SUMIFS('#销量数据'!$83:$83,'#销量数据'!$3:$3,"销量",'#销量数据'!$1:$1,A23,'#销量数据'!$2:$2,B23)/10000</f>
        <v>31.987700530852994</v>
      </c>
      <c r="G23" s="721">
        <f>SUMIFS('#销量数据'!$83:$83,'#销量数据'!$3:$3,"收入",'#销量数据'!$1:$1,A23,'#销量数据'!$2:$2,B23)/10000</f>
        <v>38.53009676837241</v>
      </c>
      <c r="H23" s="138">
        <f t="shared" si="4"/>
        <v>12045.284946696653</v>
      </c>
      <c r="I23" s="721">
        <f t="shared" si="5"/>
        <v>87.183773930852993</v>
      </c>
      <c r="J23" s="721">
        <f t="shared" si="6"/>
        <v>61.16702391167243</v>
      </c>
      <c r="K23" s="331">
        <f t="shared" si="7"/>
        <v>7015.8724672993721</v>
      </c>
      <c r="L23" s="725">
        <v>15648</v>
      </c>
      <c r="M23" s="726">
        <v>8502</v>
      </c>
      <c r="N23" s="725">
        <v>4302</v>
      </c>
      <c r="O23" s="725">
        <v>5725</v>
      </c>
      <c r="P23" s="720">
        <v>0.16</v>
      </c>
      <c r="Q23" s="740">
        <f t="shared" si="12"/>
        <v>13489.655172413793</v>
      </c>
      <c r="R23" s="740">
        <f t="shared" si="13"/>
        <v>7329.310344827587</v>
      </c>
      <c r="S23" s="740">
        <f t="shared" si="10"/>
        <v>3708.6206896551726</v>
      </c>
      <c r="T23" s="740">
        <f t="shared" si="11"/>
        <v>4935.3448275862074</v>
      </c>
    </row>
    <row r="24" spans="1:20">
      <c r="A24" s="136">
        <v>2018</v>
      </c>
      <c r="B24" s="137">
        <v>9</v>
      </c>
      <c r="C24" s="721">
        <f>SUMIFS('#销量数据'!$84:$84,'#销量数据'!$3:$3,"销量",'#销量数据'!$1:$1,A24,'#销量数据'!$2:$2,B24)/10000</f>
        <v>47.3825954</v>
      </c>
      <c r="D24" s="721">
        <f>SUMIFS('#销量数据'!$84:$84,'#销量数据'!$3:$3,"收入",'#销量数据'!$1:$1,A24,'#销量数据'!$2:$2,B24)/10000</f>
        <v>20.07017448409999</v>
      </c>
      <c r="E24" s="138">
        <f t="shared" si="3"/>
        <v>4235.7693399167392</v>
      </c>
      <c r="F24" s="721">
        <f>SUMIFS('#销量数据'!$83:$83,'#销量数据'!$3:$3,"销量",'#销量数据'!$1:$1,A24,'#销量数据'!$2:$2,B24)/10000</f>
        <v>31.481515461399987</v>
      </c>
      <c r="G24" s="721">
        <f>SUMIFS('#销量数据'!$83:$83,'#销量数据'!$3:$3,"收入",'#销量数据'!$1:$1,A24,'#销量数据'!$2:$2,B24)/10000</f>
        <v>37.544197129160942</v>
      </c>
      <c r="H24" s="138">
        <f t="shared" si="4"/>
        <v>11925.790921721831</v>
      </c>
      <c r="I24" s="721">
        <f t="shared" si="5"/>
        <v>78.864110861399979</v>
      </c>
      <c r="J24" s="721">
        <f t="shared" si="6"/>
        <v>57.614371613260928</v>
      </c>
      <c r="K24" s="331">
        <f t="shared" si="7"/>
        <v>7305.5247797715638</v>
      </c>
      <c r="L24" s="725">
        <v>15833</v>
      </c>
      <c r="M24" s="726">
        <v>8400</v>
      </c>
      <c r="N24" s="725">
        <v>4238</v>
      </c>
      <c r="O24" s="725">
        <v>5716</v>
      </c>
      <c r="P24" s="720">
        <v>0.16</v>
      </c>
      <c r="Q24" s="740">
        <f t="shared" si="12"/>
        <v>13649.137931034484</v>
      </c>
      <c r="R24" s="740">
        <f t="shared" si="13"/>
        <v>7241.3793103448279</v>
      </c>
      <c r="S24" s="740">
        <f t="shared" si="10"/>
        <v>3653.4482758620693</v>
      </c>
      <c r="T24" s="740">
        <f t="shared" si="11"/>
        <v>4927.5862068965516</v>
      </c>
    </row>
    <row r="25" spans="1:20">
      <c r="A25" s="136">
        <v>2018</v>
      </c>
      <c r="B25" s="137">
        <v>10</v>
      </c>
      <c r="C25" s="721">
        <f>SUMIFS('#销量数据'!$84:$84,'#销量数据'!$3:$3,"销量",'#销量数据'!$1:$1,A25,'#销量数据'!$2:$2,B25)/10000</f>
        <v>51.650399999999998</v>
      </c>
      <c r="D25" s="721">
        <f>SUMIFS('#销量数据'!$84:$84,'#销量数据'!$3:$3,"收入",'#销量数据'!$1:$1,A25,'#销量数据'!$2:$2,B25)/10000</f>
        <v>21.0763</v>
      </c>
      <c r="E25" s="138">
        <f t="shared" si="3"/>
        <v>4080.5685919179718</v>
      </c>
      <c r="F25" s="721">
        <f>SUMIFS('#销量数据'!$83:$83,'#销量数据'!$3:$3,"销量",'#销量数据'!$1:$1,A25,'#销量数据'!$2:$2,B25)/10000</f>
        <v>31.073499999999999</v>
      </c>
      <c r="G25" s="721">
        <f>SUMIFS('#销量数据'!$83:$83,'#销量数据'!$3:$3,"收入",'#销量数据'!$1:$1,A25,'#销量数据'!$2:$2,B25)/10000</f>
        <v>37.073099999999997</v>
      </c>
      <c r="H25" s="138">
        <f t="shared" si="4"/>
        <v>11930.77702865786</v>
      </c>
      <c r="I25" s="721">
        <f t="shared" si="5"/>
        <v>82.7239</v>
      </c>
      <c r="J25" s="721">
        <f t="shared" si="6"/>
        <v>58.1494</v>
      </c>
      <c r="K25" s="331">
        <f t="shared" si="7"/>
        <v>7029.3349322263575</v>
      </c>
      <c r="L25" s="725">
        <v>15867</v>
      </c>
      <c r="M25" s="726">
        <v>8408</v>
      </c>
      <c r="N25" s="725">
        <v>4132</v>
      </c>
      <c r="O25" s="725">
        <v>5652</v>
      </c>
      <c r="P25" s="720">
        <v>0.16</v>
      </c>
      <c r="Q25" s="740">
        <f t="shared" si="12"/>
        <v>13678.448275862071</v>
      </c>
      <c r="R25" s="740">
        <f t="shared" si="13"/>
        <v>7248.2758620689656</v>
      </c>
      <c r="S25" s="740">
        <f t="shared" si="10"/>
        <v>3562.0689655172418</v>
      </c>
      <c r="T25" s="740">
        <f t="shared" si="11"/>
        <v>4872.4137931034484</v>
      </c>
    </row>
    <row r="26" spans="1:20">
      <c r="A26" s="136">
        <v>2018</v>
      </c>
      <c r="B26" s="137">
        <v>11</v>
      </c>
      <c r="C26" s="721">
        <f>SUMIFS('#销量数据'!$84:$84,'#销量数据'!$3:$3,"销量",'#销量数据'!$1:$1,A26,'#销量数据'!$2:$2,B26)/10000</f>
        <v>48.793979700000001</v>
      </c>
      <c r="D26" s="721">
        <f>SUMIFS('#销量数据'!$84:$84,'#销量数据'!$3:$3,"收入",'#销量数据'!$1:$1,A26,'#销量数据'!$2:$2,B26)/10000</f>
        <v>20.019530985099991</v>
      </c>
      <c r="E26" s="138">
        <f t="shared" si="3"/>
        <v>4102.8690646235582</v>
      </c>
      <c r="F26" s="721">
        <f>SUMIFS('#销量数据'!$83:$83,'#销量数据'!$3:$3,"销量",'#销量数据'!$1:$1,A26,'#销量数据'!$2:$2,B26)/10000</f>
        <v>29.234445716399989</v>
      </c>
      <c r="G26" s="721">
        <f>SUMIFS('#销量数据'!$83:$83,'#销量数据'!$3:$3,"收入",'#销量数据'!$1:$1,A26,'#销量数据'!$2:$2,B26)/10000</f>
        <v>35.125945984900007</v>
      </c>
      <c r="H26" s="138">
        <f t="shared" si="4"/>
        <v>12015.259781441657</v>
      </c>
      <c r="I26" s="721">
        <f t="shared" si="5"/>
        <v>78.028425416399983</v>
      </c>
      <c r="J26" s="721">
        <f t="shared" si="6"/>
        <v>55.145476969999997</v>
      </c>
      <c r="K26" s="331">
        <f t="shared" si="7"/>
        <v>7067.3573990139175</v>
      </c>
      <c r="L26" s="725">
        <v>15523</v>
      </c>
      <c r="M26" s="726">
        <v>8416</v>
      </c>
      <c r="N26" s="725">
        <v>3785</v>
      </c>
      <c r="O26" s="725">
        <v>5315</v>
      </c>
      <c r="P26" s="720">
        <v>0.16</v>
      </c>
      <c r="Q26" s="740">
        <f t="shared" si="12"/>
        <v>13381.896551724139</v>
      </c>
      <c r="R26" s="740">
        <f t="shared" si="13"/>
        <v>7255.1724137931042</v>
      </c>
      <c r="S26" s="740">
        <f t="shared" si="10"/>
        <v>3262.9310344827591</v>
      </c>
      <c r="T26" s="740">
        <f t="shared" si="11"/>
        <v>4581.8965517241386</v>
      </c>
    </row>
    <row r="27" spans="1:20">
      <c r="A27" s="136">
        <v>2018</v>
      </c>
      <c r="B27" s="137">
        <v>12</v>
      </c>
      <c r="C27" s="721">
        <f>SUMIFS('#销量数据'!$84:$84,'#销量数据'!$3:$3,"销量",'#销量数据'!$1:$1,A27,'#销量数据'!$2:$2,B27)/10000</f>
        <v>62.319202600000004</v>
      </c>
      <c r="D27" s="721">
        <f>SUMIFS('#销量数据'!$84:$84,'#销量数据'!$3:$3,"收入",'#销量数据'!$1:$1,A27,'#销量数据'!$2:$2,B27)/10000</f>
        <v>23.254237931899993</v>
      </c>
      <c r="E27" s="138">
        <f t="shared" si="3"/>
        <v>3731.4723169933491</v>
      </c>
      <c r="F27" s="721">
        <f>SUMIFS('#销量数据'!$83:$83,'#销量数据'!$3:$3,"销量",'#销量数据'!$1:$1,A27,'#销量数据'!$2:$2,B27)/10000</f>
        <v>31.939204542921974</v>
      </c>
      <c r="G27" s="721">
        <f>SUMIFS('#销量数据'!$83:$83,'#销量数据'!$3:$3,"收入",'#销量数据'!$1:$1,A27,'#销量数据'!$2:$2,B27)/10000</f>
        <v>36.403165102288824</v>
      </c>
      <c r="H27" s="138">
        <f t="shared" si="4"/>
        <v>11397.642998080271</v>
      </c>
      <c r="I27" s="721">
        <f t="shared" si="5"/>
        <v>94.258407142921982</v>
      </c>
      <c r="J27" s="721">
        <f t="shared" si="6"/>
        <v>59.657403034188818</v>
      </c>
      <c r="K27" s="331">
        <f t="shared" si="7"/>
        <v>6329.1333730827419</v>
      </c>
      <c r="L27" s="727">
        <v>14831</v>
      </c>
      <c r="M27" s="727">
        <v>8274</v>
      </c>
      <c r="N27" s="727">
        <v>3641</v>
      </c>
      <c r="O27" s="727">
        <v>5097</v>
      </c>
      <c r="P27" s="720">
        <v>0.16</v>
      </c>
      <c r="Q27" s="740">
        <f t="shared" si="12"/>
        <v>12785.344827586208</v>
      </c>
      <c r="R27" s="740">
        <f t="shared" si="13"/>
        <v>7132.7586206896558</v>
      </c>
      <c r="S27" s="740">
        <f t="shared" si="10"/>
        <v>3138.7931034482763</v>
      </c>
      <c r="T27" s="740">
        <f t="shared" si="11"/>
        <v>4393.9655172413795</v>
      </c>
    </row>
    <row r="28" spans="1:20">
      <c r="A28" s="136">
        <v>2019</v>
      </c>
      <c r="B28" s="137">
        <v>1</v>
      </c>
      <c r="C28" s="721">
        <f>SUMIFS('#销量数据'!$84:$84,'#销量数据'!$3:$3,"销量",'#销量数据'!$1:$1,A28,'#销量数据'!$2:$2,B28)/10000</f>
        <v>48.968053600000005</v>
      </c>
      <c r="D28" s="721">
        <f>SUMIFS('#销量数据'!$84:$84,'#销量数据'!$3:$3,"收入",'#销量数据'!$1:$1,A28,'#销量数据'!$2:$2,B28)/10000</f>
        <v>17.013262263299996</v>
      </c>
      <c r="E28" s="138">
        <f t="shared" si="3"/>
        <v>3474.3595083999817</v>
      </c>
      <c r="F28" s="721">
        <f>SUMIFS('#销量数据'!$83:$83,'#销量数据'!$3:$3,"销量",'#销量数据'!$1:$1,A28,'#销量数据'!$2:$2,B28)/10000</f>
        <v>30.620217893568125</v>
      </c>
      <c r="G28" s="721">
        <f>SUMIFS('#销量数据'!$83:$83,'#销量数据'!$3:$3,"收入",'#销量数据'!$1:$1,A28,'#销量数据'!$2:$2,B28)/10000</f>
        <v>35.123713025869662</v>
      </c>
      <c r="H28" s="138">
        <f t="shared" si="4"/>
        <v>11470.758682369635</v>
      </c>
      <c r="I28" s="728">
        <f>C28+F28</f>
        <v>79.588271493568129</v>
      </c>
      <c r="J28" s="728">
        <f>D28+G28</f>
        <v>52.136975289169655</v>
      </c>
      <c r="K28" s="331">
        <f t="shared" si="7"/>
        <v>6550.836487683122</v>
      </c>
      <c r="L28" s="727">
        <v>14800</v>
      </c>
      <c r="M28" s="727">
        <v>8227</v>
      </c>
      <c r="N28" s="727">
        <v>3650</v>
      </c>
      <c r="O28" s="727">
        <v>5067</v>
      </c>
      <c r="P28" s="729">
        <v>0.16</v>
      </c>
      <c r="Q28" s="740">
        <f t="shared" si="12"/>
        <v>12758.620689655174</v>
      </c>
      <c r="R28" s="740">
        <f t="shared" si="13"/>
        <v>7092.2413793103451</v>
      </c>
      <c r="S28" s="740">
        <f t="shared" si="10"/>
        <v>3146.5517241379312</v>
      </c>
      <c r="T28" s="740">
        <f t="shared" si="11"/>
        <v>4368.1034482758623</v>
      </c>
    </row>
    <row r="29" spans="1:20">
      <c r="A29" s="136">
        <v>2019</v>
      </c>
      <c r="B29" s="137">
        <v>2</v>
      </c>
      <c r="C29" s="721">
        <f>SUMIFS('#销量数据'!$84:$84,'#销量数据'!$3:$3,"销量",'#销量数据'!$1:$1,A29,'#销量数据'!$2:$2,B29)/10000</f>
        <v>47.593986899999997</v>
      </c>
      <c r="D29" s="721">
        <f>SUMIFS('#销量数据'!$84:$84,'#销量数据'!$3:$3,"收入",'#销量数据'!$1:$1,A29,'#销量数据'!$2:$2,B29)/10000</f>
        <v>17.214552621000003</v>
      </c>
      <c r="E29" s="138">
        <f t="shared" si="3"/>
        <v>3616.9595661673816</v>
      </c>
      <c r="F29" s="721">
        <f>SUMIFS('#销量数据'!$83:$83,'#销量数据'!$3:$3,"销量",'#销量数据'!$1:$1,A29,'#销量数据'!$2:$2,B29)/10000</f>
        <v>28.193247527999997</v>
      </c>
      <c r="G29" s="721">
        <f>SUMIFS('#销量数据'!$83:$83,'#销量数据'!$3:$3,"收入",'#销量数据'!$1:$1,A29,'#销量数据'!$2:$2,B29)/10000</f>
        <v>30.412566218032502</v>
      </c>
      <c r="H29" s="138">
        <f t="shared" si="4"/>
        <v>10787.180933245947</v>
      </c>
      <c r="I29" s="728">
        <f t="shared" ref="I29:I39" si="14">C29+F29</f>
        <v>75.787234427999991</v>
      </c>
      <c r="J29" s="728">
        <f t="shared" ref="J29:J39" si="15">D29+G29</f>
        <v>47.627118839032505</v>
      </c>
      <c r="K29" s="331">
        <f t="shared" si="7"/>
        <v>6284.3194105835346</v>
      </c>
      <c r="L29" s="727">
        <v>15038</v>
      </c>
      <c r="M29" s="727">
        <v>8106</v>
      </c>
      <c r="N29" s="727">
        <v>3738</v>
      </c>
      <c r="O29" s="727">
        <v>5402</v>
      </c>
      <c r="P29" s="729">
        <v>0.16</v>
      </c>
      <c r="Q29" s="740">
        <f t="shared" si="12"/>
        <v>12963.793103448277</v>
      </c>
      <c r="R29" s="740">
        <f t="shared" si="13"/>
        <v>6987.9310344827591</v>
      </c>
      <c r="S29" s="740">
        <f t="shared" si="10"/>
        <v>3222.4137931034484</v>
      </c>
      <c r="T29" s="740">
        <f t="shared" si="11"/>
        <v>4656.8965517241386</v>
      </c>
    </row>
    <row r="30" spans="1:20">
      <c r="A30" s="136">
        <v>2019</v>
      </c>
      <c r="B30" s="137">
        <v>3</v>
      </c>
      <c r="C30" s="721">
        <f>SUMIFS('#销量数据'!$84:$84,'#销量数据'!$3:$3,"销量",'#销量数据'!$1:$1,A30,'#销量数据'!$2:$2,B30)/10000</f>
        <v>55.191802300000006</v>
      </c>
      <c r="D30" s="721">
        <f>SUMIFS('#销量数据'!$84:$84,'#销量数据'!$3:$3,"收入",'#销量数据'!$1:$1,A30,'#销量数据'!$2:$2,B30)/10000</f>
        <v>21.009099100600004</v>
      </c>
      <c r="E30" s="138">
        <f t="shared" si="3"/>
        <v>3806.5615227426629</v>
      </c>
      <c r="F30" s="721">
        <f>SUMIFS('#销量数据'!$83:$83,'#销量数据'!$3:$3,"销量",'#销量数据'!$1:$1,A30,'#销量数据'!$2:$2,B30)/10000</f>
        <v>38.072453944999985</v>
      </c>
      <c r="G30" s="721">
        <f>SUMIFS('#销量数据'!$83:$83,'#销量数据'!$3:$3,"收入",'#销量数据'!$1:$1,A30,'#销量数据'!$2:$2,B30)/10000</f>
        <v>43.335510420946385</v>
      </c>
      <c r="H30" s="138">
        <f t="shared" si="4"/>
        <v>11382.379103682018</v>
      </c>
      <c r="I30" s="728">
        <f t="shared" si="14"/>
        <v>93.264256244999984</v>
      </c>
      <c r="J30" s="728">
        <f t="shared" si="15"/>
        <v>64.344609521546388</v>
      </c>
      <c r="K30" s="331">
        <f t="shared" si="7"/>
        <v>6899.1714631290997</v>
      </c>
      <c r="L30" s="727">
        <v>15140</v>
      </c>
      <c r="M30" s="727">
        <v>8271</v>
      </c>
      <c r="N30" s="727">
        <v>3799</v>
      </c>
      <c r="O30" s="727">
        <v>5739</v>
      </c>
      <c r="P30" s="729">
        <v>0.16</v>
      </c>
      <c r="Q30" s="740">
        <f t="shared" si="12"/>
        <v>13051.724137931036</v>
      </c>
      <c r="R30" s="740">
        <f t="shared" si="13"/>
        <v>7130.1724137931042</v>
      </c>
      <c r="S30" s="740">
        <f t="shared" si="10"/>
        <v>3275</v>
      </c>
      <c r="T30" s="740">
        <f t="shared" si="11"/>
        <v>4947.4137931034484</v>
      </c>
    </row>
    <row r="31" spans="1:20">
      <c r="A31" s="136">
        <v>2019</v>
      </c>
      <c r="B31" s="137">
        <v>4</v>
      </c>
      <c r="C31" s="721">
        <f>SUMIFS('#销量数据'!$84:$84,'#销量数据'!$3:$3,"销量",'#销量数据'!$1:$1,A31,'#销量数据'!$2:$2,B31)/10000</f>
        <v>54.755951000000003</v>
      </c>
      <c r="D31" s="721">
        <f>SUMIFS('#销量数据'!$84:$84,'#销量数据'!$3:$3,"收入",'#销量数据'!$1:$1,A31,'#销量数据'!$2:$2,B31)/10000</f>
        <v>22.099349073100004</v>
      </c>
      <c r="E31" s="138">
        <f t="shared" si="3"/>
        <v>4035.9721033974929</v>
      </c>
      <c r="F31" s="721">
        <f>SUMIFS('#销量数据'!$83:$83,'#销量数据'!$3:$3,"销量",'#销量数据'!$1:$1,A31,'#销量数据'!$2:$2,B31)/10000</f>
        <v>29.14148011499999</v>
      </c>
      <c r="G31" s="721">
        <f>SUMIFS('#销量数据'!$83:$83,'#销量数据'!$3:$3,"收入",'#销量数据'!$1:$1,A31,'#销量数据'!$2:$2,B31)/10000</f>
        <v>34.737084635337993</v>
      </c>
      <c r="H31" s="138">
        <f t="shared" si="4"/>
        <v>11920.151103600869</v>
      </c>
      <c r="I31" s="728">
        <f t="shared" si="14"/>
        <v>83.897431114999989</v>
      </c>
      <c r="J31" s="728">
        <f t="shared" si="15"/>
        <v>56.836433708437994</v>
      </c>
      <c r="K31" s="331">
        <f t="shared" si="7"/>
        <v>6774.5141839362268</v>
      </c>
      <c r="L31" s="727">
        <v>14616</v>
      </c>
      <c r="M31" s="727">
        <v>8286</v>
      </c>
      <c r="N31" s="727">
        <v>3910</v>
      </c>
      <c r="O31" s="727">
        <v>5660</v>
      </c>
      <c r="P31" s="729">
        <v>0.13</v>
      </c>
      <c r="Q31" s="740">
        <f t="shared" ref="Q31:Q39" si="16">L31/(1+$P31)</f>
        <v>12934.513274336285</v>
      </c>
      <c r="R31" s="740">
        <f t="shared" ref="R31:R39" si="17">M31/(1+$P31)</f>
        <v>7332.7433628318595</v>
      </c>
      <c r="S31" s="740">
        <f t="shared" ref="S31:S39" si="18">N31/(1+$P31)</f>
        <v>3460.176991150443</v>
      </c>
      <c r="T31" s="740">
        <f t="shared" ref="T31:T39" si="19">O31/(1+$P31)</f>
        <v>5008.8495575221241</v>
      </c>
    </row>
    <row r="32" spans="1:20">
      <c r="A32" s="136">
        <v>2019</v>
      </c>
      <c r="B32" s="137">
        <v>5</v>
      </c>
      <c r="C32" s="721">
        <f>SUMIFS('#销量数据'!$84:$84,'#销量数据'!$3:$3,"销量",'#销量数据'!$1:$1,A32,'#销量数据'!$2:$2,B32)/10000</f>
        <v>53.769905700000002</v>
      </c>
      <c r="D32" s="721">
        <f>SUMIFS('#销量数据'!$84:$84,'#销量数据'!$3:$3,"收入",'#销量数据'!$1:$1,A32,'#销量数据'!$2:$2,B32)/10000</f>
        <v>21.7553019484</v>
      </c>
      <c r="E32" s="138">
        <f t="shared" si="3"/>
        <v>4045.9996470479209</v>
      </c>
      <c r="F32" s="721">
        <f>SUMIFS('#销量数据'!$83:$83,'#销量数据'!$3:$3,"销量",'#销量数据'!$1:$1,A32,'#销量数据'!$2:$2,B32)/10000</f>
        <v>29.398527045000012</v>
      </c>
      <c r="G32" s="721">
        <f>SUMIFS('#销量数据'!$83:$83,'#销量数据'!$3:$3,"收入",'#销量数据'!$1:$1,A32,'#销量数据'!$2:$2,B32)/10000</f>
        <v>35.792195527614751</v>
      </c>
      <c r="H32" s="138">
        <f t="shared" si="4"/>
        <v>12174.826130856154</v>
      </c>
      <c r="I32" s="728">
        <f t="shared" si="14"/>
        <v>83.168432745000018</v>
      </c>
      <c r="J32" s="728">
        <f t="shared" si="15"/>
        <v>57.547497476014755</v>
      </c>
      <c r="K32" s="331">
        <f t="shared" si="7"/>
        <v>6919.3918385427842</v>
      </c>
      <c r="L32" s="727">
        <v>14414</v>
      </c>
      <c r="M32" s="727">
        <v>8090</v>
      </c>
      <c r="N32" s="727">
        <v>3906</v>
      </c>
      <c r="O32" s="727">
        <v>5391</v>
      </c>
      <c r="P32" s="729">
        <v>0.13</v>
      </c>
      <c r="Q32" s="740">
        <f t="shared" si="16"/>
        <v>12755.752212389381</v>
      </c>
      <c r="R32" s="740">
        <f t="shared" si="17"/>
        <v>7159.2920353982308</v>
      </c>
      <c r="S32" s="740">
        <f t="shared" si="18"/>
        <v>3456.6371681415931</v>
      </c>
      <c r="T32" s="740">
        <f t="shared" si="19"/>
        <v>4770.7964601769918</v>
      </c>
    </row>
    <row r="33" spans="1:31">
      <c r="A33" s="136">
        <v>2019</v>
      </c>
      <c r="B33" s="137">
        <v>6</v>
      </c>
      <c r="C33" s="721">
        <f>SUMIFS('#销量数据'!$84:$84,'#销量数据'!$3:$3,"销量",'#销量数据'!$1:$1,A33,'#销量数据'!$2:$2,B33)/10000</f>
        <v>48.737198499999998</v>
      </c>
      <c r="D33" s="721">
        <f>SUMIFS('#销量数据'!$84:$84,'#销量数据'!$3:$3,"收入",'#销量数据'!$1:$1,A33,'#销量数据'!$2:$2,B33)/10000</f>
        <v>20.186066671899997</v>
      </c>
      <c r="E33" s="138">
        <f t="shared" si="3"/>
        <v>4141.8192454988975</v>
      </c>
      <c r="F33" s="721">
        <f>SUMIFS('#销量数据'!$83:$83,'#销量数据'!$3:$3,"销量",'#销量数据'!$1:$1,A33,'#销量数据'!$2:$2,B33)/10000</f>
        <v>29.997352039999992</v>
      </c>
      <c r="G33" s="721">
        <f>SUMIFS('#销量数据'!$83:$83,'#销量数据'!$3:$3,"收入",'#销量数据'!$1:$1,A33,'#销量数据'!$2:$2,B33)/10000</f>
        <v>35.463125056339301</v>
      </c>
      <c r="H33" s="138">
        <f t="shared" si="4"/>
        <v>11822.085165734286</v>
      </c>
      <c r="I33" s="728">
        <f t="shared" si="14"/>
        <v>78.734550539999987</v>
      </c>
      <c r="J33" s="728">
        <f t="shared" si="15"/>
        <v>55.649191728239302</v>
      </c>
      <c r="K33" s="331">
        <f t="shared" si="7"/>
        <v>7067.9506451195793</v>
      </c>
      <c r="L33" s="727">
        <v>14374</v>
      </c>
      <c r="M33" s="727">
        <v>7942</v>
      </c>
      <c r="N33" s="727">
        <v>3797</v>
      </c>
      <c r="O33" s="727">
        <v>5221</v>
      </c>
      <c r="P33" s="729">
        <v>0.13</v>
      </c>
      <c r="Q33" s="740">
        <f t="shared" si="16"/>
        <v>12720.353982300887</v>
      </c>
      <c r="R33" s="740">
        <f t="shared" si="17"/>
        <v>7028.3185840707974</v>
      </c>
      <c r="S33" s="740">
        <f t="shared" si="18"/>
        <v>3360.176991150443</v>
      </c>
      <c r="T33" s="740">
        <f t="shared" si="19"/>
        <v>4620.353982300885</v>
      </c>
    </row>
    <row r="34" spans="1:31">
      <c r="A34" s="136">
        <v>2019</v>
      </c>
      <c r="B34" s="137">
        <v>7</v>
      </c>
      <c r="C34" s="721">
        <f>SUMIFS('#销量数据'!$84:$84,'#销量数据'!$3:$3,"销量",'#销量数据'!$1:$1,A34,'#销量数据'!$2:$2,B34)/10000</f>
        <v>57.67280559999999</v>
      </c>
      <c r="D34" s="721">
        <f>SUMIFS('#销量数据'!$84:$84,'#销量数据'!$3:$3,"收入",'#销量数据'!$1:$1,A34,'#销量数据'!$2:$2,B34)/10000</f>
        <v>22.393563737900003</v>
      </c>
      <c r="E34" s="138">
        <f t="shared" si="3"/>
        <v>3882.863596616844</v>
      </c>
      <c r="F34" s="721">
        <f>SUMIFS('#销量数据'!$83:$83,'#销量数据'!$3:$3,"销量",'#销量数据'!$1:$1,A34,'#销量数据'!$2:$2,B34)/10000</f>
        <v>30.059798109999999</v>
      </c>
      <c r="G34" s="721">
        <f>SUMIFS('#销量数据'!$83:$83,'#销量数据'!$3:$3,"收入",'#销量数据'!$1:$1,A34,'#销量数据'!$2:$2,B34)/10000</f>
        <v>35.992874022945863</v>
      </c>
      <c r="H34" s="138">
        <f t="shared" si="4"/>
        <v>11973.757738237138</v>
      </c>
      <c r="I34" s="728">
        <f t="shared" si="14"/>
        <v>87.732603709999992</v>
      </c>
      <c r="J34" s="728">
        <f t="shared" si="15"/>
        <v>58.386437760845865</v>
      </c>
      <c r="K34" s="331">
        <f t="shared" si="7"/>
        <v>6655.0444523272281</v>
      </c>
      <c r="L34" s="730">
        <v>14848</v>
      </c>
      <c r="M34" s="730">
        <v>7785</v>
      </c>
      <c r="N34" s="730">
        <v>3851</v>
      </c>
      <c r="O34" s="730">
        <v>5280</v>
      </c>
      <c r="P34" s="729">
        <v>0.13</v>
      </c>
      <c r="Q34" s="740">
        <f t="shared" si="16"/>
        <v>13139.823008849558</v>
      </c>
      <c r="R34" s="740">
        <f t="shared" si="17"/>
        <v>6889.3805309734516</v>
      </c>
      <c r="S34" s="740">
        <f t="shared" si="18"/>
        <v>3407.964601769912</v>
      </c>
      <c r="T34" s="740">
        <f t="shared" si="19"/>
        <v>4672.5663716814161</v>
      </c>
    </row>
    <row r="35" spans="1:31">
      <c r="A35" s="136">
        <v>2019</v>
      </c>
      <c r="B35" s="137">
        <v>8</v>
      </c>
      <c r="C35" s="721">
        <f>SUMIFS('#销量数据'!$84:$84,'#销量数据'!$3:$3,"销量",'#销量数据'!$1:$1,A35,'#销量数据'!$2:$2,B35)/10000</f>
        <v>55.563272900000008</v>
      </c>
      <c r="D35" s="721">
        <f>SUMIFS('#销量数据'!$84:$84,'#销量数据'!$3:$3,"收入",'#销量数据'!$1:$1,A35,'#销量数据'!$2:$2,B35)/10000</f>
        <v>21.909719123500004</v>
      </c>
      <c r="E35" s="138">
        <f t="shared" si="3"/>
        <v>3943.2016834091137</v>
      </c>
      <c r="F35" s="721">
        <f>SUMIFS('#销量数据'!$83:$83,'#销量数据'!$3:$3,"销量",'#销量数据'!$1:$1,A35,'#销量数据'!$2:$2,B35)/10000</f>
        <v>32.838495389999991</v>
      </c>
      <c r="G35" s="721">
        <f>SUMIFS('#销量数据'!$83:$83,'#销量数据'!$3:$3,"收入",'#销量数据'!$1:$1,A35,'#销量数据'!$2:$2,B35)/10000</f>
        <v>39.877288776420883</v>
      </c>
      <c r="H35" s="138">
        <f t="shared" si="4"/>
        <v>12143.457945568465</v>
      </c>
      <c r="I35" s="728">
        <f t="shared" si="14"/>
        <v>88.401768290000007</v>
      </c>
      <c r="J35" s="728">
        <f t="shared" si="15"/>
        <v>61.787007899920887</v>
      </c>
      <c r="K35" s="331">
        <f t="shared" si="7"/>
        <v>6989.3407219219871</v>
      </c>
      <c r="L35" s="731">
        <v>15300</v>
      </c>
      <c r="M35" s="727">
        <v>7950</v>
      </c>
      <c r="N35" s="727">
        <v>3660</v>
      </c>
      <c r="O35" s="727">
        <v>5280</v>
      </c>
      <c r="P35" s="729">
        <v>0.13</v>
      </c>
      <c r="Q35" s="740">
        <f t="shared" si="16"/>
        <v>13539.823008849558</v>
      </c>
      <c r="R35" s="740">
        <f t="shared" si="17"/>
        <v>7035.3982300884963</v>
      </c>
      <c r="S35" s="740">
        <f t="shared" si="18"/>
        <v>3238.9380530973453</v>
      </c>
      <c r="T35" s="740">
        <f t="shared" si="19"/>
        <v>4672.5663716814161</v>
      </c>
    </row>
    <row r="36" spans="1:31">
      <c r="A36" s="136">
        <v>2019</v>
      </c>
      <c r="B36" s="137">
        <v>9</v>
      </c>
      <c r="C36" s="721">
        <f>SUMIFS('#销量数据'!$84:$84,'#销量数据'!$3:$3,"销量",'#销量数据'!$1:$1,A36,'#销量数据'!$2:$2,B36)/10000</f>
        <v>49.944841000000004</v>
      </c>
      <c r="D36" s="721">
        <f>SUMIFS('#销量数据'!$84:$84,'#销量数据'!$3:$3,"收入",'#销量数据'!$1:$1,A36,'#销量数据'!$2:$2,B36)/10000</f>
        <v>19.379489295299997</v>
      </c>
      <c r="E36" s="138">
        <f t="shared" si="3"/>
        <v>3880.17839426098</v>
      </c>
      <c r="F36" s="721">
        <f>SUMIFS('#销量数据'!$83:$83,'#销量数据'!$3:$3,"销量",'#销量数据'!$1:$1,A36,'#销量数据'!$2:$2,B36)/10000</f>
        <v>34.099377730000008</v>
      </c>
      <c r="G36" s="721">
        <f>SUMIFS('#销量数据'!$83:$83,'#销量数据'!$3:$3,"收入",'#销量数据'!$1:$1,A36,'#销量数据'!$2:$2,B36)/10000</f>
        <v>40.227024000780801</v>
      </c>
      <c r="H36" s="138">
        <f t="shared" si="4"/>
        <v>11796.996508059383</v>
      </c>
      <c r="I36" s="728">
        <f t="shared" si="14"/>
        <v>84.044218730000011</v>
      </c>
      <c r="J36" s="728">
        <f t="shared" si="15"/>
        <v>59.606513296080799</v>
      </c>
      <c r="K36" s="331">
        <f t="shared" si="7"/>
        <v>7092.2800160201805</v>
      </c>
      <c r="L36" s="727">
        <v>15862</v>
      </c>
      <c r="M36" s="727">
        <v>8079</v>
      </c>
      <c r="N36" s="727">
        <v>3665</v>
      </c>
      <c r="O36" s="727">
        <v>5332</v>
      </c>
      <c r="P36" s="729">
        <v>0.13</v>
      </c>
      <c r="Q36" s="740">
        <f t="shared" si="16"/>
        <v>14037.168141592922</v>
      </c>
      <c r="R36" s="740">
        <f t="shared" si="17"/>
        <v>7149.5575221238942</v>
      </c>
      <c r="S36" s="740">
        <f t="shared" si="18"/>
        <v>3243.3628318584074</v>
      </c>
      <c r="T36" s="740">
        <f t="shared" si="19"/>
        <v>4718.5840707964608</v>
      </c>
    </row>
    <row r="37" spans="1:31">
      <c r="A37" s="136">
        <v>2019</v>
      </c>
      <c r="B37" s="137">
        <v>10</v>
      </c>
      <c r="C37" s="721">
        <f>SUMIFS('#销量数据'!$84:$84,'#销量数据'!$3:$3,"销量",'#销量数据'!$1:$1,A37,'#销量数据'!$2:$2,B37)/10000</f>
        <v>48.591973299999999</v>
      </c>
      <c r="D37" s="721">
        <f>SUMIFS('#销量数据'!$84:$84,'#销量数据'!$3:$3,"收入",'#销量数据'!$1:$1,A37,'#销量数据'!$2:$2,B37)/10000</f>
        <v>17.8421541196</v>
      </c>
      <c r="E37" s="138">
        <f t="shared" si="3"/>
        <v>3671.8315614484422</v>
      </c>
      <c r="F37" s="721">
        <f>SUMIFS('#销量数据'!$83:$83,'#销量数据'!$3:$3,"销量",'#销量数据'!$1:$1,A37,'#销量数据'!$2:$2,B37)/10000</f>
        <v>30.350301549999987</v>
      </c>
      <c r="G37" s="721">
        <f>SUMIFS('#销量数据'!$83:$83,'#销量数据'!$3:$3,"收入",'#销量数据'!$1:$1,A37,'#销量数据'!$2:$2,B37)/10000</f>
        <v>34.308661147992552</v>
      </c>
      <c r="H37" s="138">
        <f t="shared" si="4"/>
        <v>11304.224141388331</v>
      </c>
      <c r="I37" s="728">
        <f t="shared" si="14"/>
        <v>78.94227484999999</v>
      </c>
      <c r="J37" s="728">
        <f t="shared" si="15"/>
        <v>52.150815267592549</v>
      </c>
      <c r="K37" s="331">
        <f t="shared" si="7"/>
        <v>6606.1961562021743</v>
      </c>
      <c r="L37" s="732">
        <v>16103</v>
      </c>
      <c r="M37" s="732">
        <v>8287</v>
      </c>
      <c r="N37" s="732">
        <v>3557</v>
      </c>
      <c r="O37" s="732">
        <v>5251</v>
      </c>
      <c r="P37" s="729">
        <v>0.13</v>
      </c>
      <c r="Q37" s="740">
        <f t="shared" si="16"/>
        <v>14250.442477876108</v>
      </c>
      <c r="R37" s="740">
        <f t="shared" si="17"/>
        <v>7333.6283185840712</v>
      </c>
      <c r="S37" s="740">
        <f t="shared" si="18"/>
        <v>3147.7876106194694</v>
      </c>
      <c r="T37" s="740">
        <f t="shared" si="19"/>
        <v>4646.9026548672573</v>
      </c>
    </row>
    <row r="38" spans="1:31">
      <c r="A38" s="136">
        <v>2019</v>
      </c>
      <c r="B38" s="137">
        <v>11</v>
      </c>
      <c r="C38" s="721">
        <f>SUMIFS('#销量数据'!$84:$84,'#销量数据'!$3:$3,"销量",'#销量数据'!$1:$1,A38,'#销量数据'!$2:$2,B38)/10000</f>
        <v>54.241537800000017</v>
      </c>
      <c r="D38" s="721">
        <f>SUMIFS('#销量数据'!$84:$84,'#销量数据'!$3:$3,"收入",'#销量数据'!$1:$1,A38,'#销量数据'!$2:$2,B38)/10000</f>
        <v>20.322162267699994</v>
      </c>
      <c r="E38" s="138">
        <f t="shared" si="3"/>
        <v>3746.6051096545398</v>
      </c>
      <c r="F38" s="721">
        <f>SUMIFS('#销量数据'!$83:$83,'#销量数据'!$3:$3,"销量",'#销量数据'!$1:$1,A38,'#销量数据'!$2:$2,B38)/10000</f>
        <v>28.964673640000004</v>
      </c>
      <c r="G38" s="721">
        <f>SUMIFS('#销量数据'!$83:$83,'#销量数据'!$3:$3,"收入",'#销量数据'!$1:$1,A38,'#销量数据'!$2:$2,B38)/10000</f>
        <v>32.733317277326066</v>
      </c>
      <c r="H38" s="138">
        <f t="shared" si="4"/>
        <v>11301.11724515397</v>
      </c>
      <c r="I38" s="728">
        <f t="shared" si="14"/>
        <v>83.206211440000018</v>
      </c>
      <c r="J38" s="728">
        <f t="shared" si="15"/>
        <v>53.05547954502606</v>
      </c>
      <c r="K38" s="331">
        <f t="shared" si="7"/>
        <v>6376.3844822191377</v>
      </c>
      <c r="L38" s="732">
        <v>15519</v>
      </c>
      <c r="M38" s="732">
        <v>8255</v>
      </c>
      <c r="N38" s="732">
        <v>3650</v>
      </c>
      <c r="O38" s="732">
        <v>5166</v>
      </c>
      <c r="P38" s="729">
        <v>0.13</v>
      </c>
      <c r="Q38" s="740">
        <f t="shared" si="16"/>
        <v>13733.628318584073</v>
      </c>
      <c r="R38" s="740">
        <f t="shared" si="17"/>
        <v>7305.3097345132746</v>
      </c>
      <c r="S38" s="740">
        <f t="shared" si="18"/>
        <v>3230.0884955752217</v>
      </c>
      <c r="T38" s="740">
        <f t="shared" si="19"/>
        <v>4571.6814159292044</v>
      </c>
    </row>
    <row r="39" spans="1:31">
      <c r="A39" s="136">
        <v>2019</v>
      </c>
      <c r="B39" s="137">
        <v>12</v>
      </c>
      <c r="C39" s="721">
        <f>SUMIFS('#销量数据'!$84:$84,'#销量数据'!$3:$3,"销量",'#销量数据'!$1:$1,A39,'#销量数据'!$2:$2,B39)/10000</f>
        <v>60.509021300000001</v>
      </c>
      <c r="D39" s="721">
        <f>SUMIFS('#销量数据'!$84:$84,'#销量数据'!$3:$3,"收入",'#销量数据'!$1:$1,A39,'#销量数据'!$2:$2,B39)/10000</f>
        <v>22.086666913200002</v>
      </c>
      <c r="E39" s="138">
        <f t="shared" si="3"/>
        <v>3650.1444641941357</v>
      </c>
      <c r="F39" s="721">
        <f>SUMIFS('#销量数据'!$83:$83,'#销量数据'!$3:$3,"销量",'#销量数据'!$1:$1,A39,'#销量数据'!$2:$2,B39)/10000</f>
        <v>34.487306042299998</v>
      </c>
      <c r="G39" s="721">
        <f>SUMIFS('#销量数据'!$83:$83,'#销量数据'!$3:$3,"收入",'#销量数据'!$1:$1,A39,'#销量数据'!$2:$2,B39)/10000</f>
        <v>37.592988943729473</v>
      </c>
      <c r="H39" s="138">
        <f t="shared" si="4"/>
        <v>10900.529283911083</v>
      </c>
      <c r="I39" s="728">
        <f t="shared" si="14"/>
        <v>94.996327342299992</v>
      </c>
      <c r="J39" s="728">
        <f t="shared" si="15"/>
        <v>59.679655856929472</v>
      </c>
      <c r="K39" s="331">
        <f t="shared" si="7"/>
        <v>6282.3119089526426</v>
      </c>
      <c r="L39" s="732">
        <v>14934</v>
      </c>
      <c r="M39" s="732">
        <v>8105</v>
      </c>
      <c r="N39" s="732">
        <v>3745</v>
      </c>
      <c r="O39" s="732">
        <v>5310</v>
      </c>
      <c r="P39" s="729">
        <v>0.13</v>
      </c>
      <c r="Q39" s="740">
        <f t="shared" si="16"/>
        <v>13215.929203539825</v>
      </c>
      <c r="R39" s="740">
        <f t="shared" si="17"/>
        <v>7172.566371681417</v>
      </c>
      <c r="S39" s="740">
        <f t="shared" si="18"/>
        <v>3314.1592920353987</v>
      </c>
      <c r="T39" s="740">
        <f t="shared" si="19"/>
        <v>4699.1150442477883</v>
      </c>
    </row>
    <row r="40" spans="1:31">
      <c r="A40" s="136">
        <v>2020</v>
      </c>
      <c r="B40" s="137">
        <v>1</v>
      </c>
      <c r="C40" s="721">
        <f>SUMIFS('#销量数据'!$84:$84,'#销量数据'!$3:$3,"销量",'#销量数据'!$1:$1,A40,'#销量数据'!$2:$2,B40)/10000</f>
        <v>52.003166299999997</v>
      </c>
      <c r="D40" s="721">
        <f>SUMIFS('#销量数据'!$84:$84,'#销量数据'!$3:$3,"收入",'#销量数据'!$1:$1,A40,'#销量数据'!$2:$2,B40)/10000</f>
        <v>19.151281029900002</v>
      </c>
      <c r="E40" s="138">
        <f>IFERROR(D40/C40*10000,"")</f>
        <v>3682.7144176988318</v>
      </c>
      <c r="F40" s="721">
        <f>SUMIFS('#销量数据'!$83:$83,'#销量数据'!$3:$3,"销量",'#销量数据'!$1:$1,A40,'#销量数据'!$2:$2,B40)/10000</f>
        <v>22.952416700000008</v>
      </c>
      <c r="G40" s="721">
        <f>SUMIFS('#销量数据'!$83:$83,'#销量数据'!$3:$3,"收入",'#销量数据'!$1:$1,A40,'#销量数据'!$2:$2,B40)/10000</f>
        <v>25.346426376971259</v>
      </c>
      <c r="H40" s="138">
        <f>IFERROR(G40/F40*10000,"")</f>
        <v>11043.031637261643</v>
      </c>
      <c r="I40" s="728">
        <f>C40+F40</f>
        <v>74.955583000000004</v>
      </c>
      <c r="J40" s="728">
        <f>D40+G40</f>
        <v>44.497707406871257</v>
      </c>
      <c r="K40" s="331">
        <f>IFERROR(J40/I40*10000,"")</f>
        <v>5936.5434335786904</v>
      </c>
      <c r="L40" s="732">
        <v>14762</v>
      </c>
      <c r="M40" s="732">
        <v>8012</v>
      </c>
      <c r="N40" s="732">
        <v>3755</v>
      </c>
      <c r="O40" s="732">
        <v>5436</v>
      </c>
      <c r="P40" s="729">
        <v>0.13</v>
      </c>
      <c r="Q40" s="740">
        <f t="shared" ref="Q40:T46" si="20">L40/1.13</f>
        <v>13063.716814159294</v>
      </c>
      <c r="R40" s="740">
        <f t="shared" si="20"/>
        <v>7090.2654867256642</v>
      </c>
      <c r="S40" s="740">
        <f t="shared" si="20"/>
        <v>3323.0088495575224</v>
      </c>
      <c r="T40" s="740">
        <f t="shared" si="20"/>
        <v>4810.6194690265493</v>
      </c>
      <c r="V40" s="322">
        <v>13554</v>
      </c>
      <c r="W40" s="322">
        <v>109369</v>
      </c>
      <c r="X40" s="322">
        <v>664.7</v>
      </c>
      <c r="Y40" s="322">
        <v>1869.2</v>
      </c>
      <c r="Z40" s="322">
        <v>1206.5999999999999</v>
      </c>
      <c r="AA40" s="322">
        <v>980</v>
      </c>
      <c r="AB40" s="322">
        <v>5847</v>
      </c>
      <c r="AC40" s="322">
        <v>92.44</v>
      </c>
      <c r="AD40" s="322">
        <v>679</v>
      </c>
      <c r="AE40" s="322">
        <v>1440</v>
      </c>
    </row>
    <row r="41" spans="1:31">
      <c r="A41" s="136">
        <v>2020</v>
      </c>
      <c r="B41" s="137">
        <v>2</v>
      </c>
      <c r="C41" s="721">
        <f>SUMIFS('#销量数据'!$84:$84,'#销量数据'!$3:$3,"销量",'#销量数据'!$1:$1,A41,'#销量数据'!$2:$2,B41)/10000</f>
        <v>51.155554500000001</v>
      </c>
      <c r="D41" s="721">
        <f>SUMIFS('#销量数据'!$84:$84,'#销量数据'!$3:$3,"收入",'#销量数据'!$1:$1,A41,'#销量数据'!$2:$2,B41)/10000</f>
        <v>19.030182621200002</v>
      </c>
      <c r="E41" s="138">
        <f t="shared" ref="E41:E51" si="21">IFERROR(D41/C41*10000,"")</f>
        <v>3720.061840244543</v>
      </c>
      <c r="F41" s="721">
        <f>SUMIFS('#销量数据'!$83:$83,'#销量数据'!$3:$3,"销量",'#销量数据'!$1:$1,A41,'#销量数据'!$2:$2,B41)/10000</f>
        <v>26.553282240000019</v>
      </c>
      <c r="G41" s="721">
        <f>SUMIFS('#销量数据'!$83:$83,'#销量数据'!$3:$3,"收入",'#销量数据'!$1:$1,A41,'#销量数据'!$2:$2,B41)/10000</f>
        <v>27.992858652447396</v>
      </c>
      <c r="H41" s="138">
        <f t="shared" ref="H41:H51" si="22">IFERROR(G41/F41*10000,"")</f>
        <v>10542.146315259961</v>
      </c>
      <c r="I41" s="721">
        <f t="shared" ref="I41:I51" si="23">C41+F41</f>
        <v>77.708836740000024</v>
      </c>
      <c r="J41" s="721">
        <f t="shared" ref="J41:J51" si="24">D41+G41</f>
        <v>47.023041273647394</v>
      </c>
      <c r="K41" s="138">
        <f t="shared" ref="K41:K51" si="25">IFERROR(J41/I41*10000,"")</f>
        <v>6051.1832690248793</v>
      </c>
      <c r="L41" s="732">
        <v>14520</v>
      </c>
      <c r="M41" s="732">
        <v>7973</v>
      </c>
      <c r="N41" s="732">
        <v>3397</v>
      </c>
      <c r="O41" s="732">
        <v>5460</v>
      </c>
      <c r="P41" s="729">
        <v>0.13</v>
      </c>
      <c r="Q41" s="740">
        <f t="shared" si="20"/>
        <v>12849.557522123894</v>
      </c>
      <c r="R41" s="740">
        <f t="shared" si="20"/>
        <v>7055.7522123893814</v>
      </c>
      <c r="S41" s="740">
        <f t="shared" si="20"/>
        <v>3006.1946902654872</v>
      </c>
      <c r="T41" s="740">
        <f t="shared" si="20"/>
        <v>4831.8584070796469</v>
      </c>
      <c r="V41" s="322">
        <v>12744</v>
      </c>
      <c r="W41" s="322">
        <v>103743</v>
      </c>
      <c r="X41" s="322">
        <v>626.1</v>
      </c>
      <c r="Y41" s="322">
        <v>1832.5</v>
      </c>
      <c r="Z41" s="322">
        <v>1251.0999999999999</v>
      </c>
      <c r="AA41" s="322">
        <v>973</v>
      </c>
      <c r="AB41" s="322">
        <v>5863</v>
      </c>
      <c r="AC41" s="322">
        <v>86.46</v>
      </c>
      <c r="AD41" s="322">
        <v>634</v>
      </c>
      <c r="AE41" s="322">
        <v>1443</v>
      </c>
    </row>
    <row r="42" spans="1:31">
      <c r="A42" s="136">
        <v>2020</v>
      </c>
      <c r="B42" s="137">
        <v>3</v>
      </c>
      <c r="C42" s="721">
        <f>SUMIFS('#销量数据'!$84:$84,'#销量数据'!$3:$3,"销量",'#销量数据'!$1:$1,A42,'#销量数据'!$2:$2,B42)/10000</f>
        <v>56.180098500000007</v>
      </c>
      <c r="D42" s="721">
        <f>SUMIFS('#销量数据'!$84:$84,'#销量数据'!$3:$3,"收入",'#销量数据'!$1:$1,A42,'#销量数据'!$2:$2,B42)/10000</f>
        <v>20.064400172799996</v>
      </c>
      <c r="E42" s="138">
        <f>IFERROR(D42/C42*10000,"")</f>
        <v>3571.4426831772093</v>
      </c>
      <c r="F42" s="721">
        <f>SUMIFS('#销量数据'!$83:$83,'#销量数据'!$3:$3,"销量",'#销量数据'!$1:$1,A42,'#销量数据'!$2:$2,B42)/10000</f>
        <v>32.38974679999999</v>
      </c>
      <c r="G42" s="721">
        <f>SUMIFS('#销量数据'!$83:$83,'#销量数据'!$3:$3,"收入",'#销量数据'!$1:$1,A42,'#销量数据'!$2:$2,B42)/10000</f>
        <v>37.316330822825456</v>
      </c>
      <c r="H42" s="138">
        <f>IFERROR(G42/F42*10000,"")</f>
        <v>11521.031965222237</v>
      </c>
      <c r="I42" s="721">
        <f>C42+F42</f>
        <v>88.569845299999997</v>
      </c>
      <c r="J42" s="721">
        <f>D42+G42</f>
        <v>57.380730995625456</v>
      </c>
      <c r="K42" s="138">
        <f>IFERROR(J42/I42*10000,"")</f>
        <v>6478.5854374327846</v>
      </c>
      <c r="L42" s="732">
        <v>13430</v>
      </c>
      <c r="M42" s="732">
        <v>7648</v>
      </c>
      <c r="N42" s="732">
        <v>3360</v>
      </c>
      <c r="O42" s="732">
        <v>5372</v>
      </c>
      <c r="P42" s="729">
        <v>0.13</v>
      </c>
      <c r="Q42" s="740">
        <f t="shared" si="20"/>
        <v>11884.955752212391</v>
      </c>
      <c r="R42" s="740">
        <f t="shared" si="20"/>
        <v>6768.1415929203549</v>
      </c>
      <c r="S42" s="740">
        <f t="shared" si="20"/>
        <v>2973.4513274336286</v>
      </c>
      <c r="T42" s="740">
        <f t="shared" si="20"/>
        <v>4753.9823008849562</v>
      </c>
      <c r="V42" s="322">
        <v>11873</v>
      </c>
      <c r="W42" s="322">
        <v>97785</v>
      </c>
      <c r="X42" s="322">
        <v>654.1</v>
      </c>
      <c r="Y42" s="322">
        <v>1808.7</v>
      </c>
      <c r="Z42" s="322">
        <v>1264.3</v>
      </c>
      <c r="AA42" s="322">
        <v>913</v>
      </c>
      <c r="AB42" s="322">
        <v>5673</v>
      </c>
      <c r="AC42" s="322">
        <v>88.02</v>
      </c>
      <c r="AD42" s="322">
        <v>652</v>
      </c>
      <c r="AE42" s="322">
        <v>1442</v>
      </c>
    </row>
    <row r="43" spans="1:31">
      <c r="A43" s="136">
        <v>2020</v>
      </c>
      <c r="B43" s="137">
        <v>4</v>
      </c>
      <c r="C43" s="721">
        <f>SUMIFS('#销量数据'!$84:$84,'#销量数据'!$3:$3,"销量",'#销量数据'!$1:$1,A43,'#销量数据'!$2:$2,B43)/10000</f>
        <v>61.7686402</v>
      </c>
      <c r="D43" s="721">
        <f>SUMIFS('#销量数据'!$84:$84,'#销量数据'!$3:$3,"收入",'#销量数据'!$1:$1,A43,'#销量数据'!$2:$2,B43)/10000</f>
        <v>22.137906194199996</v>
      </c>
      <c r="E43" s="138">
        <f t="shared" si="21"/>
        <v>3584.0041358397907</v>
      </c>
      <c r="F43" s="721">
        <f>SUMIFS('#销量数据'!$83:$83,'#销量数据'!$3:$3,"销量",'#销量数据'!$1:$1,A43,'#销量数据'!$2:$2,B43)/10000</f>
        <v>35.014427769328471</v>
      </c>
      <c r="G43" s="721">
        <f>SUMIFS('#销量数据'!$83:$83,'#销量数据'!$3:$3,"收入",'#销量数据'!$1:$1,A43,'#销量数据'!$2:$2,B43)/10000</f>
        <v>38.273970350567545</v>
      </c>
      <c r="H43" s="138">
        <f t="shared" si="22"/>
        <v>10930.914137084465</v>
      </c>
      <c r="I43" s="721">
        <f t="shared" si="23"/>
        <v>96.783067969328471</v>
      </c>
      <c r="J43" s="721">
        <f t="shared" si="24"/>
        <v>60.411876544767537</v>
      </c>
      <c r="K43" s="138">
        <f t="shared" si="25"/>
        <v>6241.988171310365</v>
      </c>
      <c r="L43" s="733">
        <v>12961</v>
      </c>
      <c r="M43" s="734">
        <v>7080</v>
      </c>
      <c r="N43" s="733">
        <v>3295</v>
      </c>
      <c r="O43" s="733">
        <v>4952</v>
      </c>
      <c r="P43" s="729">
        <v>0.13</v>
      </c>
      <c r="Q43" s="740">
        <f t="shared" si="20"/>
        <v>11469.911504424779</v>
      </c>
      <c r="R43" s="740">
        <f t="shared" si="20"/>
        <v>6265.4867256637172</v>
      </c>
      <c r="S43" s="740">
        <f t="shared" si="20"/>
        <v>2915.9292035398234</v>
      </c>
      <c r="T43" s="740">
        <f t="shared" si="20"/>
        <v>4382.3008849557527</v>
      </c>
      <c r="V43" s="322">
        <v>11753</v>
      </c>
      <c r="W43" s="322">
        <v>97492</v>
      </c>
      <c r="X43" s="322">
        <v>596.6</v>
      </c>
      <c r="Y43" s="322">
        <v>1685.1</v>
      </c>
      <c r="Z43" s="322">
        <v>1114.3</v>
      </c>
      <c r="AA43" s="322">
        <v>935</v>
      </c>
      <c r="AB43" s="322">
        <v>5900</v>
      </c>
      <c r="AC43" s="322">
        <v>83.84</v>
      </c>
      <c r="AD43" s="322">
        <v>648</v>
      </c>
      <c r="AE43" s="322">
        <v>1360</v>
      </c>
    </row>
    <row r="44" spans="1:31">
      <c r="A44" s="136">
        <v>2020</v>
      </c>
      <c r="B44" s="137">
        <v>5</v>
      </c>
      <c r="C44" s="721">
        <f>SUMIFS('#销量数据'!$84:$84,'#销量数据'!$3:$3,"销量",'#销量数据'!$1:$1,A44,'#销量数据'!$2:$2,B44)/10000</f>
        <v>55.013609299999999</v>
      </c>
      <c r="D44" s="721">
        <f>SUMIFS('#销量数据'!$84:$84,'#销量数据'!$3:$3,"收入",'#销量数据'!$1:$1,A44,'#销量数据'!$2:$2,B44)/10000</f>
        <v>19.519631603600001</v>
      </c>
      <c r="E44" s="138">
        <f t="shared" si="21"/>
        <v>3548.1459682377176</v>
      </c>
      <c r="F44" s="721">
        <f>SUMIFS('#销量数据'!$83:$83,'#销量数据'!$3:$3,"销量",'#销量数据'!$1:$1,A44,'#销量数据'!$2:$2,B44)/10000</f>
        <v>34.873012865063515</v>
      </c>
      <c r="G44" s="721">
        <f>SUMIFS('#销量数据'!$83:$83,'#销量数据'!$3:$3,"收入",'#销量数据'!$1:$1,A44,'#销量数据'!$2:$2,B44)/10000</f>
        <v>35.388799679443672</v>
      </c>
      <c r="H44" s="138">
        <f t="shared" si="22"/>
        <v>10147.904288159994</v>
      </c>
      <c r="I44" s="721">
        <f t="shared" si="23"/>
        <v>89.886622165063514</v>
      </c>
      <c r="J44" s="721">
        <f t="shared" si="24"/>
        <v>54.908431283043669</v>
      </c>
      <c r="K44" s="138">
        <f t="shared" si="25"/>
        <v>6108.6321813509066</v>
      </c>
      <c r="L44" s="733">
        <v>13771</v>
      </c>
      <c r="M44" s="735">
        <v>6911</v>
      </c>
      <c r="N44" s="733">
        <v>3532</v>
      </c>
      <c r="O44" s="733">
        <v>4955</v>
      </c>
      <c r="P44" s="736">
        <v>0.13</v>
      </c>
      <c r="Q44" s="740">
        <f t="shared" si="20"/>
        <v>12186.725663716816</v>
      </c>
      <c r="R44" s="740">
        <f t="shared" si="20"/>
        <v>6115.9292035398239</v>
      </c>
      <c r="S44" s="740">
        <f t="shared" si="20"/>
        <v>3125.6637168141597</v>
      </c>
      <c r="T44" s="740">
        <f t="shared" si="20"/>
        <v>4384.9557522123896</v>
      </c>
      <c r="V44" s="741">
        <v>12137</v>
      </c>
      <c r="W44" s="741">
        <v>101177</v>
      </c>
      <c r="X44" s="742">
        <v>679.4</v>
      </c>
      <c r="Y44" s="742">
        <v>1800.7</v>
      </c>
      <c r="Z44" s="742">
        <v>1133.2</v>
      </c>
      <c r="AA44" s="741">
        <v>994</v>
      </c>
      <c r="AB44" s="741">
        <v>6121</v>
      </c>
      <c r="AC44" s="744">
        <v>92.54</v>
      </c>
      <c r="AD44" s="741">
        <v>695</v>
      </c>
      <c r="AE44" s="741">
        <v>1323</v>
      </c>
    </row>
    <row r="45" spans="1:31">
      <c r="A45" s="136">
        <v>2020</v>
      </c>
      <c r="B45" s="137">
        <v>6</v>
      </c>
      <c r="C45" s="721">
        <f>SUMIFS('#销量数据'!$84:$84,'#销量数据'!$3:$3,"销量",'#销量数据'!$1:$1,A45,'#销量数据'!$2:$2,B45)/10000</f>
        <v>41.488118199999995</v>
      </c>
      <c r="D45" s="721">
        <f>SUMIFS('#销量数据'!$84:$84,'#销量数据'!$3:$3,"收入",'#销量数据'!$1:$1,A45,'#销量数据'!$2:$2,B45)/10000</f>
        <v>16.055067514800005</v>
      </c>
      <c r="E45" s="138">
        <f t="shared" si="21"/>
        <v>3869.7989234903416</v>
      </c>
      <c r="F45" s="721">
        <f>SUMIFS('#销量数据'!$83:$83,'#销量数据'!$3:$3,"销量",'#销量数据'!$1:$1,A45,'#销量数据'!$2:$2,B45)/10000</f>
        <v>31.870306109437387</v>
      </c>
      <c r="G45" s="721">
        <f>SUMIFS('#销量数据'!$83:$83,'#销量数据'!$3:$3,"收入",'#销量数据'!$1:$1,A45,'#销量数据'!$2:$2,B45)/10000</f>
        <v>32.893063675109005</v>
      </c>
      <c r="H45" s="138">
        <f t="shared" si="22"/>
        <v>10320.912375977699</v>
      </c>
      <c r="I45" s="721">
        <f t="shared" si="23"/>
        <v>73.358424309437382</v>
      </c>
      <c r="J45" s="721">
        <f t="shared" si="24"/>
        <v>48.948131189909006</v>
      </c>
      <c r="K45" s="137">
        <f t="shared" si="25"/>
        <v>6672.4621814991669</v>
      </c>
      <c r="L45" s="737">
        <v>13821</v>
      </c>
      <c r="M45" s="737">
        <v>7086</v>
      </c>
      <c r="N45" s="737">
        <v>3689</v>
      </c>
      <c r="O45" s="737">
        <v>5210</v>
      </c>
      <c r="P45" s="736">
        <v>0.13</v>
      </c>
      <c r="Q45" s="740">
        <f t="shared" si="20"/>
        <v>12230.973451327434</v>
      </c>
      <c r="R45" s="740">
        <f t="shared" si="20"/>
        <v>6270.7964601769918</v>
      </c>
      <c r="S45" s="740">
        <f t="shared" si="20"/>
        <v>3264.6017699115046</v>
      </c>
      <c r="T45" s="740">
        <f t="shared" si="20"/>
        <v>4610.6194690265493</v>
      </c>
    </row>
    <row r="46" spans="1:31">
      <c r="A46" s="136">
        <v>2020</v>
      </c>
      <c r="B46" s="137">
        <v>7</v>
      </c>
      <c r="C46" s="721">
        <f>SUMIFS('#销量数据'!$84:$84,'#销量数据'!$3:$3,"销量",'#销量数据'!$1:$1,A46,'#销量数据'!$2:$2,B46)/10000</f>
        <v>37.771239100000003</v>
      </c>
      <c r="D46" s="721">
        <f>SUMIFS('#销量数据'!$84:$84,'#销量数据'!$3:$3,"收入",'#销量数据'!$1:$1,A46,'#销量数据'!$2:$2,B46)/10000</f>
        <v>14.765620304599999</v>
      </c>
      <c r="E46" s="138">
        <f t="shared" si="21"/>
        <v>3909.2231699118383</v>
      </c>
      <c r="F46" s="721">
        <f>SUMIFS('#销量数据'!$83:$83,'#销量数据'!$3:$3,"销量",'#销量数据'!$1:$1,A46,'#销量数据'!$2:$2,B46)/10000</f>
        <v>30.223056560798554</v>
      </c>
      <c r="G46" s="721">
        <f>SUMIFS('#销量数据'!$83:$83,'#销量数据'!$3:$3,"收入",'#销量数据'!$1:$1,A46,'#销量数据'!$2:$2,B46)/10000</f>
        <v>33.392187513244615</v>
      </c>
      <c r="H46" s="138">
        <f t="shared" si="22"/>
        <v>11048.580558379608</v>
      </c>
      <c r="I46" s="721">
        <f t="shared" si="23"/>
        <v>67.994295660798556</v>
      </c>
      <c r="J46" s="721">
        <f t="shared" si="24"/>
        <v>48.157807817844613</v>
      </c>
      <c r="K46" s="137">
        <f t="shared" si="25"/>
        <v>7082.6247040028566</v>
      </c>
      <c r="L46" s="741">
        <v>13965</v>
      </c>
      <c r="M46" s="741">
        <v>7326</v>
      </c>
      <c r="N46" s="741">
        <v>3807</v>
      </c>
      <c r="O46" s="741">
        <v>5257</v>
      </c>
      <c r="P46" s="736">
        <v>0.13</v>
      </c>
      <c r="Q46" s="740">
        <f t="shared" si="20"/>
        <v>12358.407079646018</v>
      </c>
      <c r="R46" s="740">
        <f t="shared" si="20"/>
        <v>6483.1858407079653</v>
      </c>
      <c r="S46" s="740">
        <f t="shared" si="20"/>
        <v>3369.0265486725666</v>
      </c>
      <c r="T46" s="740">
        <f t="shared" si="20"/>
        <v>4652.212389380531</v>
      </c>
    </row>
    <row r="47" spans="1:31">
      <c r="A47" s="136">
        <v>2020</v>
      </c>
      <c r="B47" s="137">
        <v>8</v>
      </c>
      <c r="C47" s="721">
        <f>SUMIFS('#销量数据'!$84:$84,'#销量数据'!$3:$3,"销量",'#销量数据'!$1:$1,A47,'#销量数据'!$2:$2,B47)/10000</f>
        <v>43.621228099999996</v>
      </c>
      <c r="D47" s="721">
        <f>SUMIFS('#销量数据'!$84:$84,'#销量数据'!$3:$3,"收入",'#销量数据'!$1:$1,A47,'#销量数据'!$2:$2,B47)/10000</f>
        <v>17.054229808300001</v>
      </c>
      <c r="E47" s="138">
        <f t="shared" si="21"/>
        <v>3909.6170720374562</v>
      </c>
      <c r="F47" s="721">
        <f>SUMIFS('#销量数据'!$83:$83,'#销量数据'!$3:$3,"销量",'#销量数据'!$1:$1,A47,'#销量数据'!$2:$2,B47)/10000</f>
        <v>27.891867307622508</v>
      </c>
      <c r="G47" s="721">
        <f>SUMIFS('#销量数据'!$83:$83,'#销量数据'!$3:$3,"收入",'#销量数据'!$1:$1,A47,'#销量数据'!$2:$2,B47)/10000</f>
        <v>32.195271778066768</v>
      </c>
      <c r="H47" s="138">
        <f t="shared" si="22"/>
        <v>11542.888621612004</v>
      </c>
      <c r="I47" s="721">
        <f t="shared" si="23"/>
        <v>71.513095407622501</v>
      </c>
      <c r="J47" s="721">
        <f t="shared" si="24"/>
        <v>49.249501586366769</v>
      </c>
      <c r="K47" s="137">
        <f t="shared" si="25"/>
        <v>6886.7808484091038</v>
      </c>
      <c r="L47" s="741">
        <v>14750</v>
      </c>
      <c r="M47" s="741">
        <v>7552</v>
      </c>
      <c r="N47" s="741">
        <v>3922</v>
      </c>
      <c r="O47" s="741">
        <v>5440</v>
      </c>
      <c r="P47" s="736">
        <v>0.13</v>
      </c>
      <c r="Q47" s="740"/>
      <c r="R47" s="740"/>
      <c r="S47" s="740"/>
      <c r="T47" s="740"/>
    </row>
    <row r="48" spans="1:31">
      <c r="A48" s="136">
        <v>2020</v>
      </c>
      <c r="B48" s="137">
        <v>9</v>
      </c>
      <c r="C48" s="721">
        <f>SUMIFS('#销量数据'!$84:$84,'#销量数据'!$3:$3,"销量",'#销量数据'!$1:$1,A48,'#销量数据'!$2:$2,B48)/10000</f>
        <v>37.330266899999998</v>
      </c>
      <c r="D48" s="721">
        <f>SUMIFS('#销量数据'!$84:$84,'#销量数据'!$3:$3,"收入",'#销量数据'!$1:$1,A48,'#销量数据'!$2:$2,B48)/10000</f>
        <v>15.298636470699996</v>
      </c>
      <c r="E48" s="138">
        <f t="shared" si="21"/>
        <v>4098.1856657178087</v>
      </c>
      <c r="F48" s="721">
        <f>SUMIFS('#销量数据'!$83:$83,'#销量数据'!$3:$3,"销量",'#销量数据'!$1:$1,A48,'#销量数据'!$2:$2,B48)/10000</f>
        <v>30.268849877313968</v>
      </c>
      <c r="G48" s="721">
        <f>SUMIFS('#销量数据'!$83:$83,'#销量数据'!$3:$3,"收入",'#销量数据'!$1:$1,A48,'#销量数据'!$2:$2,B48)/10000</f>
        <v>32.621345314198123</v>
      </c>
      <c r="H48" s="138">
        <f t="shared" si="22"/>
        <v>10777.200140216532</v>
      </c>
      <c r="I48" s="721">
        <f t="shared" si="23"/>
        <v>67.599116777313967</v>
      </c>
      <c r="J48" s="721">
        <f t="shared" si="24"/>
        <v>47.91998178489812</v>
      </c>
      <c r="K48" s="137">
        <f t="shared" si="25"/>
        <v>7088.8473207064008</v>
      </c>
      <c r="L48" s="741">
        <v>15217</v>
      </c>
      <c r="M48" s="741">
        <v>7967</v>
      </c>
      <c r="N48" s="741">
        <v>3909</v>
      </c>
      <c r="O48" s="741">
        <v>5790</v>
      </c>
      <c r="P48" s="736">
        <v>0.13</v>
      </c>
      <c r="Q48" s="740"/>
      <c r="R48" s="740"/>
      <c r="S48" s="740"/>
      <c r="T48" s="740"/>
    </row>
    <row r="49" spans="1:20">
      <c r="A49" s="136">
        <v>2020</v>
      </c>
      <c r="B49" s="137">
        <v>10</v>
      </c>
      <c r="C49" s="721">
        <f>SUMIFS('#销量数据'!$84:$84,'#销量数据'!$3:$3,"销量",'#销量数据'!$1:$1,A49,'#销量数据'!$2:$2,B49)/10000</f>
        <v>50.518827199999997</v>
      </c>
      <c r="D49" s="721">
        <f>SUMIFS('#销量数据'!$84:$84,'#销量数据'!$3:$3,"收入",'#销量数据'!$1:$1,A49,'#销量数据'!$2:$2,B49)/10000</f>
        <v>20.137561667300005</v>
      </c>
      <c r="E49" s="138">
        <f t="shared" si="21"/>
        <v>3986.1498739028539</v>
      </c>
      <c r="F49" s="721">
        <f>SUMIFS('#销量数据'!$83:$83,'#销量数据'!$3:$3,"销量",'#销量数据'!$1:$1,A49,'#销量数据'!$2:$2,B49)/10000</f>
        <v>32.815024583166988</v>
      </c>
      <c r="G49" s="721">
        <f>SUMIFS('#销量数据'!$83:$83,'#销量数据'!$3:$3,"收入",'#销量数据'!$1:$1,A49,'#销量数据'!$2:$2,B49)/10000</f>
        <v>36.742313442299235</v>
      </c>
      <c r="H49" s="138">
        <f t="shared" si="22"/>
        <v>11196.795952164795</v>
      </c>
      <c r="I49" s="721">
        <f t="shared" si="23"/>
        <v>83.333851783166978</v>
      </c>
      <c r="J49" s="721">
        <f t="shared" si="24"/>
        <v>56.87987510959924</v>
      </c>
      <c r="K49" s="137">
        <f t="shared" si="25"/>
        <v>6825.5425487351222</v>
      </c>
      <c r="P49" s="736">
        <v>0.13</v>
      </c>
      <c r="Q49" s="740"/>
      <c r="R49" s="740"/>
      <c r="S49" s="740"/>
      <c r="T49" s="740"/>
    </row>
    <row r="50" spans="1:20">
      <c r="A50" s="136">
        <v>2020</v>
      </c>
      <c r="B50" s="137">
        <v>11</v>
      </c>
      <c r="C50" s="721">
        <f>SUMIFS('#销量数据'!$84:$84,'#销量数据'!$3:$3,"销量",'#销量数据'!$1:$1,A50,'#销量数据'!$2:$2,B50)/10000</f>
        <v>60.796889700000001</v>
      </c>
      <c r="D50" s="721">
        <f>SUMIFS('#销量数据'!$84:$84,'#销量数据'!$3:$3,"收入",'#销量数据'!$1:$1,A50,'#销量数据'!$2:$2,B50)/10000</f>
        <v>23.267619824600001</v>
      </c>
      <c r="E50" s="138">
        <f t="shared" si="21"/>
        <v>3827.1069358010268</v>
      </c>
      <c r="F50" s="721">
        <f>SUMIFS('#销量数据'!$83:$83,'#销量数据'!$3:$3,"销量",'#销量数据'!$1:$1,A50,'#销量数据'!$2:$2,B50)/10000</f>
        <v>34.874929571143376</v>
      </c>
      <c r="G50" s="721">
        <f>SUMIFS('#销量数据'!$83:$83,'#销量数据'!$3:$3,"收入",'#销量数据'!$1:$1,A50,'#销量数据'!$2:$2,B50)/10000</f>
        <v>37.773401903702762</v>
      </c>
      <c r="H50" s="138">
        <f t="shared" si="22"/>
        <v>10831.104856182325</v>
      </c>
      <c r="I50" s="721">
        <f t="shared" si="23"/>
        <v>95.671819271143377</v>
      </c>
      <c r="J50" s="721">
        <f t="shared" si="24"/>
        <v>61.041021728302766</v>
      </c>
      <c r="K50" s="137">
        <f t="shared" si="25"/>
        <v>6380.2509655749818</v>
      </c>
      <c r="P50" s="736">
        <v>0.13</v>
      </c>
      <c r="Q50" s="740"/>
      <c r="R50" s="740"/>
      <c r="S50" s="740"/>
      <c r="T50" s="740"/>
    </row>
    <row r="51" spans="1:20">
      <c r="A51" s="136">
        <v>2020</v>
      </c>
      <c r="B51" s="137">
        <v>12</v>
      </c>
      <c r="C51" s="721">
        <f>SUMIFS('#销量数据'!$84:$84,'#销量数据'!$3:$3,"销量",'#销量数据'!$1:$1,A51,'#销量数据'!$2:$2,B51)/10000</f>
        <v>60.9142206</v>
      </c>
      <c r="D51" s="721">
        <f>SUMIFS('#销量数据'!$84:$84,'#销量数据'!$3:$3,"收入",'#销量数据'!$1:$1,A51,'#销量数据'!$2:$2,B51)/10000</f>
        <v>24.671110810199998</v>
      </c>
      <c r="E51" s="138">
        <f t="shared" si="21"/>
        <v>4050.1397813501694</v>
      </c>
      <c r="F51" s="721">
        <f>SUMIFS('#销量数据'!$83:$83,'#销量数据'!$3:$3,"销量",'#销量数据'!$1:$1,A51,'#销量数据'!$2:$2,B51)/10000</f>
        <v>38.655502300000016</v>
      </c>
      <c r="G51" s="721">
        <f>SUMIFS('#销量数据'!$83:$83,'#销量数据'!$3:$3,"收入",'#销量数据'!$1:$1,A51,'#销量数据'!$2:$2,B51)/10000</f>
        <v>41.503881923129981</v>
      </c>
      <c r="H51" s="138">
        <f t="shared" si="22"/>
        <v>10736.862659557255</v>
      </c>
      <c r="I51" s="721">
        <f t="shared" si="23"/>
        <v>99.569722900000016</v>
      </c>
      <c r="J51" s="721">
        <f t="shared" si="24"/>
        <v>66.174992733329987</v>
      </c>
      <c r="K51" s="137">
        <f t="shared" si="25"/>
        <v>6646.0959020435293</v>
      </c>
      <c r="P51" s="736">
        <v>0.13</v>
      </c>
    </row>
    <row r="52" spans="1:20">
      <c r="A52" s="136">
        <v>2021</v>
      </c>
      <c r="B52" s="137">
        <v>1</v>
      </c>
      <c r="C52" s="721">
        <f>SUMIFS('#销量数据'!$84:$84,'#销量数据'!$3:$3,"销量",'#销量数据'!$1:$1,A52,'#销量数据'!$2:$2,B52)/10000</f>
        <v>57.907459699999997</v>
      </c>
      <c r="D52" s="721">
        <f>SUMIFS('#销量数据'!$84:$84,'#销量数据'!$3:$3,"收入",'#销量数据'!$1:$1,A52,'#销量数据'!$2:$2,B52)/10000</f>
        <v>25.1186942239</v>
      </c>
      <c r="E52" s="138">
        <f t="shared" ref="E52:E63" si="26">IFERROR(D52/C52*10000,"")</f>
        <v>4337.730294858713</v>
      </c>
      <c r="F52" s="721">
        <f>SUMIFS('#销量数据'!$83:$83,'#销量数据'!$3:$3,"销量",'#销量数据'!$1:$1,A52,'#销量数据'!$2:$2,B52)/10000</f>
        <v>35.524932400000012</v>
      </c>
      <c r="G52" s="721">
        <f>SUMIFS('#销量数据'!$83:$83,'#销量数据'!$3:$3,"收入",'#销量数据'!$1:$1,A52,'#销量数据'!$2:$2,B52)/10000</f>
        <v>40.071821357760321</v>
      </c>
      <c r="H52" s="138">
        <f t="shared" ref="H52:H63" si="27">IFERROR(G52/F52*10000,"")</f>
        <v>11279.914879657957</v>
      </c>
      <c r="I52" s="721">
        <f t="shared" ref="I52:I63" si="28">C52+F52</f>
        <v>93.432392100000015</v>
      </c>
      <c r="J52" s="721">
        <f t="shared" ref="J52:J63" si="29">D52+G52</f>
        <v>65.190515581660321</v>
      </c>
      <c r="K52" s="137">
        <f t="shared" ref="K52:K63" si="30">IFERROR(J52/I52*10000,"")</f>
        <v>6977.2927906937657</v>
      </c>
      <c r="P52" s="736">
        <v>0.13</v>
      </c>
    </row>
    <row r="53" spans="1:20">
      <c r="A53" s="136">
        <v>2021</v>
      </c>
      <c r="B53" s="137">
        <v>2</v>
      </c>
      <c r="C53" s="721">
        <f>SUMIFS('#销量数据'!$84:$84,'#销量数据'!$3:$3,"销量",'#销量数据'!$1:$1,A53,'#销量数据'!$2:$2,B53)/10000</f>
        <v>55.327513600000003</v>
      </c>
      <c r="D53" s="721">
        <f>SUMIFS('#销量数据'!$84:$84,'#销量数据'!$3:$3,"收入",'#销量数据'!$1:$1,A53,'#销量数据'!$2:$2,B53)/10000</f>
        <v>25.650830750700003</v>
      </c>
      <c r="E53" s="138">
        <f t="shared" si="26"/>
        <v>4636.179918755648</v>
      </c>
      <c r="F53" s="721">
        <f>SUMIFS('#销量数据'!$83:$83,'#销量数据'!$3:$3,"销量",'#销量数据'!$1:$1,A53,'#销量数据'!$2:$2,B53)/10000</f>
        <v>30.298664600000006</v>
      </c>
      <c r="G53" s="721">
        <f>SUMIFS('#销量数据'!$83:$83,'#销量数据'!$3:$3,"收入",'#销量数据'!$1:$1,A53,'#销量数据'!$2:$2,B53)/10000</f>
        <v>37.263916033337765</v>
      </c>
      <c r="H53" s="138">
        <f t="shared" si="27"/>
        <v>12298.864166223933</v>
      </c>
      <c r="I53" s="721">
        <f t="shared" si="28"/>
        <v>85.626178200000012</v>
      </c>
      <c r="J53" s="721">
        <f t="shared" si="29"/>
        <v>62.914746784037767</v>
      </c>
      <c r="K53" s="137">
        <f t="shared" si="30"/>
        <v>7347.6065505441138</v>
      </c>
      <c r="P53" s="736">
        <v>0.13</v>
      </c>
    </row>
    <row r="54" spans="1:20">
      <c r="A54" s="136">
        <v>2021</v>
      </c>
      <c r="B54" s="137">
        <v>3</v>
      </c>
      <c r="C54" s="721">
        <f>SUMIFS('#销量数据'!$84:$84,'#销量数据'!$3:$3,"销量",'#销量数据'!$1:$1,A54,'#销量数据'!$2:$2,B54)/10000</f>
        <v>67.364103999999998</v>
      </c>
      <c r="D54" s="721">
        <f>SUMIFS('#销量数据'!$84:$84,'#销量数据'!$3:$3,"收入",'#销量数据'!$1:$1,A54,'#销量数据'!$2:$2,B54)/10000</f>
        <v>33.501822528600002</v>
      </c>
      <c r="E54" s="138">
        <f t="shared" si="26"/>
        <v>4973.245473375554</v>
      </c>
      <c r="F54" s="721">
        <f>SUMIFS('#销量数据'!$83:$83,'#销量数据'!$3:$3,"销量",'#销量数据'!$1:$1,A54,'#销量数据'!$2:$2,B54)/10000</f>
        <v>33.378409621960074</v>
      </c>
      <c r="G54" s="721">
        <f>SUMIFS('#销量数据'!$83:$83,'#销量数据'!$3:$3,"收入",'#销量数据'!$1:$1,A54,'#销量数据'!$2:$2,B54)/10000</f>
        <v>43.74704105686591</v>
      </c>
      <c r="H54" s="138">
        <f t="shared" si="27"/>
        <v>13106.388696267957</v>
      </c>
      <c r="I54" s="721">
        <f t="shared" si="28"/>
        <v>100.74251362196007</v>
      </c>
      <c r="J54" s="721">
        <f t="shared" si="29"/>
        <v>77.248863585465912</v>
      </c>
      <c r="K54" s="137">
        <f t="shared" si="30"/>
        <v>7667.9507794837309</v>
      </c>
      <c r="P54" s="736">
        <v>0.13</v>
      </c>
    </row>
    <row r="55" spans="1:20">
      <c r="A55" s="136">
        <v>2021</v>
      </c>
      <c r="B55" s="137">
        <v>4</v>
      </c>
      <c r="C55" s="721">
        <f>SUMIFS('#销量数据'!$84:$84,'#销量数据'!$3:$3,"销量",'#销量数据'!$1:$1,A55,'#销量数据'!$2:$2,B55)/10000</f>
        <v>70.307253299999999</v>
      </c>
      <c r="D55" s="721">
        <f>SUMIFS('#销量数据'!$84:$84,'#销量数据'!$3:$3,"收入",'#销量数据'!$1:$1,A55,'#销量数据'!$2:$2,B55)/10000</f>
        <v>37.5495005143</v>
      </c>
      <c r="E55" s="138">
        <f t="shared" si="26"/>
        <v>5340.7719334556914</v>
      </c>
      <c r="F55" s="721">
        <f>SUMIFS('#销量数据'!$83:$83,'#销量数据'!$3:$3,"销量",'#销量数据'!$1:$1,A55,'#销量数据'!$2:$2,B55)/10000</f>
        <v>32.433057999999981</v>
      </c>
      <c r="G55" s="721">
        <f>SUMIFS('#销量数据'!$83:$83,'#销量数据'!$3:$3,"收入",'#销量数据'!$1:$1,A55,'#销量数据'!$2:$2,B55)/10000</f>
        <v>42.472291763928396</v>
      </c>
      <c r="H55" s="138">
        <f t="shared" si="27"/>
        <v>13095.37070600263</v>
      </c>
      <c r="I55" s="721">
        <f t="shared" si="28"/>
        <v>102.74031129999997</v>
      </c>
      <c r="J55" s="721">
        <f t="shared" si="29"/>
        <v>80.021792278228389</v>
      </c>
      <c r="K55" s="137">
        <f t="shared" si="30"/>
        <v>7788.7434119764457</v>
      </c>
      <c r="P55" s="736">
        <v>0.13</v>
      </c>
    </row>
    <row r="56" spans="1:20">
      <c r="A56" s="136">
        <v>2021</v>
      </c>
      <c r="B56" s="137">
        <v>5</v>
      </c>
      <c r="C56" s="721">
        <f>SUMIFS('#销量数据'!$84:$84,'#销量数据'!$3:$3,"销量",'#销量数据'!$1:$1,A56,'#销量数据'!$2:$2,B56)/10000</f>
        <v>70.88523330000001</v>
      </c>
      <c r="D56" s="721">
        <f>SUMIFS('#销量数据'!$84:$84,'#销量数据'!$3:$3,"收入",'#销量数据'!$1:$1,A56,'#销量数据'!$2:$2,B56)/10000</f>
        <v>39.261990762400004</v>
      </c>
      <c r="E56" s="138">
        <f t="shared" si="26"/>
        <v>5538.8109673330218</v>
      </c>
      <c r="F56" s="721">
        <f>SUMIFS('#销量数据'!$83:$83,'#销量数据'!$3:$3,"销量",'#销量数据'!$1:$1,A56,'#销量数据'!$2:$2,B56)/10000</f>
        <v>37.282737798275868</v>
      </c>
      <c r="G56" s="721">
        <f>SUMIFS('#销量数据'!$83:$83,'#销量数据'!$3:$3,"收入",'#销量数据'!$1:$1,A56,'#销量数据'!$2:$2,B56)/10000</f>
        <v>49.614772826616033</v>
      </c>
      <c r="H56" s="138">
        <f t="shared" si="27"/>
        <v>13307.706396205285</v>
      </c>
      <c r="I56" s="721">
        <f t="shared" si="28"/>
        <v>108.16797109827587</v>
      </c>
      <c r="J56" s="721">
        <f t="shared" si="29"/>
        <v>88.876763589016036</v>
      </c>
      <c r="K56" s="137">
        <f t="shared" si="30"/>
        <v>8216.5508594283583</v>
      </c>
      <c r="P56" s="736">
        <v>0.13</v>
      </c>
    </row>
    <row r="57" spans="1:20">
      <c r="A57" s="136">
        <v>2021</v>
      </c>
      <c r="B57" s="137">
        <v>6</v>
      </c>
      <c r="C57" s="721">
        <f>SUMIFS('#销量数据'!$84:$84,'#销量数据'!$3:$3,"销量",'#销量数据'!$1:$1,A57,'#销量数据'!$2:$2,B57)/10000</f>
        <v>69.4486062</v>
      </c>
      <c r="D57" s="721">
        <f>SUMIFS('#销量数据'!$84:$84,'#销量数据'!$3:$3,"收入",'#销量数据'!$1:$1,A57,'#销量数据'!$2:$2,B57)/10000</f>
        <v>36.287386478000002</v>
      </c>
      <c r="E57" s="138">
        <f t="shared" si="26"/>
        <v>5225.0705181179001</v>
      </c>
      <c r="F57" s="721">
        <f>SUMIFS('#销量数据'!$83:$83,'#销量数据'!$3:$3,"销量",'#销量数据'!$1:$1,A57,'#销量数据'!$2:$2,B57)/10000</f>
        <v>33.9898253</v>
      </c>
      <c r="G57" s="721">
        <f>SUMIFS('#销量数据'!$83:$83,'#销量数据'!$3:$3,"收入",'#销量数据'!$1:$1,A57,'#销量数据'!$2:$2,B57)/10000</f>
        <v>47.101283494398295</v>
      </c>
      <c r="H57" s="138">
        <f t="shared" si="27"/>
        <v>13857.465602919205</v>
      </c>
      <c r="I57" s="721">
        <f t="shared" si="28"/>
        <v>103.43843150000001</v>
      </c>
      <c r="J57" s="721">
        <f t="shared" si="29"/>
        <v>83.388669972398304</v>
      </c>
      <c r="K57" s="137">
        <f t="shared" si="30"/>
        <v>8061.6719301663334</v>
      </c>
      <c r="P57" s="736">
        <v>0.13</v>
      </c>
    </row>
    <row r="58" spans="1:20">
      <c r="A58" s="136">
        <v>2021</v>
      </c>
      <c r="B58" s="137">
        <v>7</v>
      </c>
      <c r="C58" s="721">
        <f>SUMIFS('#销量数据'!$84:$84,'#销量数据'!$3:$3,"销量",'#销量数据'!$1:$1,A58,'#销量数据'!$2:$2,B58)/10000</f>
        <v>66.619788999999997</v>
      </c>
      <c r="D58" s="721">
        <f>SUMIFS('#销量数据'!$84:$84,'#销量数据'!$3:$3,"收入",'#销量数据'!$1:$1,A58,'#销量数据'!$2:$2,B58)/10000</f>
        <v>36.150041198699995</v>
      </c>
      <c r="E58" s="138">
        <f t="shared" si="26"/>
        <v>5426.321779358982</v>
      </c>
      <c r="F58" s="721">
        <f>SUMIFS('#销量数据'!$83:$83,'#销量数据'!$3:$3,"销量",'#销量数据'!$1:$1,A58,'#销量数据'!$2:$2,B58)/10000</f>
        <v>37.680016000000016</v>
      </c>
      <c r="G58" s="721">
        <f>SUMIFS('#销量数据'!$83:$83,'#销量数据'!$3:$3,"收入",'#销量数据'!$1:$1,A58,'#销量数据'!$2:$2,B58)/10000</f>
        <v>53.872827244217973</v>
      </c>
      <c r="H58" s="138">
        <f t="shared" si="27"/>
        <v>14297.453388612666</v>
      </c>
      <c r="I58" s="721">
        <f t="shared" si="28"/>
        <v>104.29980500000002</v>
      </c>
      <c r="J58" s="721">
        <f t="shared" si="29"/>
        <v>90.022868442917968</v>
      </c>
      <c r="K58" s="137">
        <f t="shared" si="30"/>
        <v>8631.163638601045</v>
      </c>
      <c r="P58" s="736">
        <v>0.13</v>
      </c>
    </row>
    <row r="59" spans="1:20">
      <c r="A59" s="136">
        <v>2021</v>
      </c>
      <c r="B59" s="137">
        <v>8</v>
      </c>
      <c r="C59" s="721">
        <f>SUMIFS('#销量数据'!$84:$84,'#销量数据'!$3:$3,"销量",'#销量数据'!$1:$1,A59,'#销量数据'!$2:$2,B59)/10000</f>
        <v>69.811199999999999</v>
      </c>
      <c r="D59" s="721">
        <f>SUMIFS('#销量数据'!$84:$84,'#销量数据'!$3:$3,"收入",'#销量数据'!$1:$1,A59,'#销量数据'!$2:$2,B59)/10000</f>
        <v>38.409999999999997</v>
      </c>
      <c r="E59" s="138">
        <f t="shared" si="26"/>
        <v>5501.9824899156574</v>
      </c>
      <c r="F59" s="721">
        <f>SUMIFS('#销量数据'!$83:$83,'#销量数据'!$3:$3,"销量",'#销量数据'!$1:$1,A59,'#销量数据'!$2:$2,B59)/10000</f>
        <v>34.83624600000001</v>
      </c>
      <c r="G59" s="721">
        <f>SUMIFS('#销量数据'!$83:$83,'#销量数据'!$3:$3,"收入",'#销量数据'!$1:$1,A59,'#销量数据'!$2:$2,B59)/10000</f>
        <v>53.209969458400003</v>
      </c>
      <c r="H59" s="138">
        <f t="shared" si="27"/>
        <v>15274.312122609304</v>
      </c>
      <c r="I59" s="721">
        <f t="shared" si="28"/>
        <v>104.647446</v>
      </c>
      <c r="J59" s="721">
        <f t="shared" si="29"/>
        <v>91.619969458399993</v>
      </c>
      <c r="K59" s="137">
        <f t="shared" si="30"/>
        <v>8755.1080279971666</v>
      </c>
      <c r="P59" s="736">
        <v>0.13</v>
      </c>
    </row>
    <row r="60" spans="1:20">
      <c r="A60" s="136">
        <v>2021</v>
      </c>
      <c r="B60" s="137">
        <v>9</v>
      </c>
      <c r="C60" s="721">
        <f>SUMIFS('#销量数据'!$84:$84,'#销量数据'!$3:$3,"销量",'#销量数据'!$1:$1,A60,'#销量数据'!$2:$2,B60)/10000</f>
        <v>0</v>
      </c>
      <c r="D60" s="721">
        <f>SUMIFS('#销量数据'!$84:$84,'#销量数据'!$3:$3,"收入",'#销量数据'!$1:$1,A60,'#销量数据'!$2:$2,B60)/10000</f>
        <v>0</v>
      </c>
      <c r="E60" s="138" t="str">
        <f t="shared" si="26"/>
        <v/>
      </c>
      <c r="F60" s="721">
        <f>SUMIFS('#销量数据'!$83:$83,'#销量数据'!$3:$3,"销量",'#销量数据'!$1:$1,A60,'#销量数据'!$2:$2,B60)/10000</f>
        <v>0</v>
      </c>
      <c r="G60" s="721">
        <f>SUMIFS('#销量数据'!$83:$83,'#销量数据'!$3:$3,"收入",'#销量数据'!$1:$1,A60,'#销量数据'!$2:$2,B60)/10000</f>
        <v>0</v>
      </c>
      <c r="H60" s="138" t="str">
        <f t="shared" si="27"/>
        <v/>
      </c>
      <c r="I60" s="721">
        <f t="shared" si="28"/>
        <v>0</v>
      </c>
      <c r="J60" s="721">
        <f t="shared" si="29"/>
        <v>0</v>
      </c>
      <c r="K60" s="137" t="str">
        <f t="shared" si="30"/>
        <v/>
      </c>
      <c r="P60" s="736">
        <v>0.13</v>
      </c>
    </row>
    <row r="61" spans="1:20">
      <c r="A61" s="136">
        <v>2021</v>
      </c>
      <c r="B61" s="137">
        <v>10</v>
      </c>
      <c r="C61" s="721">
        <f>SUMIFS('#销量数据'!$84:$84,'#销量数据'!$3:$3,"销量",'#销量数据'!$1:$1,A61,'#销量数据'!$2:$2,B61)/10000</f>
        <v>0</v>
      </c>
      <c r="D61" s="721">
        <f>SUMIFS('#销量数据'!$84:$84,'#销量数据'!$3:$3,"收入",'#销量数据'!$1:$1,A61,'#销量数据'!$2:$2,B61)/10000</f>
        <v>0</v>
      </c>
      <c r="E61" s="138" t="str">
        <f t="shared" si="26"/>
        <v/>
      </c>
      <c r="F61" s="721">
        <f>SUMIFS('#销量数据'!$83:$83,'#销量数据'!$3:$3,"销量",'#销量数据'!$1:$1,A61,'#销量数据'!$2:$2,B61)/10000</f>
        <v>0</v>
      </c>
      <c r="G61" s="721">
        <f>SUMIFS('#销量数据'!$83:$83,'#销量数据'!$3:$3,"收入",'#销量数据'!$1:$1,A61,'#销量数据'!$2:$2,B61)/10000</f>
        <v>0</v>
      </c>
      <c r="H61" s="138" t="str">
        <f t="shared" si="27"/>
        <v/>
      </c>
      <c r="I61" s="721">
        <f t="shared" si="28"/>
        <v>0</v>
      </c>
      <c r="J61" s="721">
        <f t="shared" si="29"/>
        <v>0</v>
      </c>
      <c r="K61" s="137" t="str">
        <f t="shared" si="30"/>
        <v/>
      </c>
      <c r="P61" s="736">
        <v>0.13</v>
      </c>
    </row>
    <row r="62" spans="1:20">
      <c r="A62" s="136">
        <v>2021</v>
      </c>
      <c r="B62" s="137">
        <v>11</v>
      </c>
      <c r="C62" s="721">
        <f>SUMIFS('#销量数据'!$84:$84,'#销量数据'!$3:$3,"销量",'#销量数据'!$1:$1,A62,'#销量数据'!$2:$2,B62)/10000</f>
        <v>0</v>
      </c>
      <c r="D62" s="721">
        <f>SUMIFS('#销量数据'!$84:$84,'#销量数据'!$3:$3,"收入",'#销量数据'!$1:$1,A62,'#销量数据'!$2:$2,B62)/10000</f>
        <v>0</v>
      </c>
      <c r="E62" s="138" t="str">
        <f t="shared" si="26"/>
        <v/>
      </c>
      <c r="F62" s="721">
        <f>SUMIFS('#销量数据'!$83:$83,'#销量数据'!$3:$3,"销量",'#销量数据'!$1:$1,A62,'#销量数据'!$2:$2,B62)/10000</f>
        <v>0</v>
      </c>
      <c r="G62" s="721">
        <f>SUMIFS('#销量数据'!$83:$83,'#销量数据'!$3:$3,"收入",'#销量数据'!$1:$1,A62,'#销量数据'!$2:$2,B62)/10000</f>
        <v>0</v>
      </c>
      <c r="H62" s="138" t="str">
        <f t="shared" si="27"/>
        <v/>
      </c>
      <c r="I62" s="721">
        <f t="shared" si="28"/>
        <v>0</v>
      </c>
      <c r="J62" s="721">
        <f t="shared" si="29"/>
        <v>0</v>
      </c>
      <c r="K62" s="137" t="str">
        <f t="shared" si="30"/>
        <v/>
      </c>
      <c r="P62" s="736">
        <v>0.13</v>
      </c>
    </row>
    <row r="63" spans="1:20">
      <c r="A63" s="136">
        <v>2021</v>
      </c>
      <c r="B63" s="137">
        <v>12</v>
      </c>
      <c r="C63" s="721">
        <f>SUMIFS('#销量数据'!$84:$84,'#销量数据'!$3:$3,"销量",'#销量数据'!$1:$1,A63,'#销量数据'!$2:$2,B63)/10000</f>
        <v>0</v>
      </c>
      <c r="D63" s="721">
        <f>SUMIFS('#销量数据'!$84:$84,'#销量数据'!$3:$3,"收入",'#销量数据'!$1:$1,A63,'#销量数据'!$2:$2,B63)/10000</f>
        <v>0</v>
      </c>
      <c r="E63" s="138" t="str">
        <f t="shared" si="26"/>
        <v/>
      </c>
      <c r="F63" s="721">
        <f>SUMIFS('#销量数据'!$83:$83,'#销量数据'!$3:$3,"销量",'#销量数据'!$1:$1,A63,'#销量数据'!$2:$2,B63)/10000</f>
        <v>0</v>
      </c>
      <c r="G63" s="721">
        <f>SUMIFS('#销量数据'!$83:$83,'#销量数据'!$3:$3,"收入",'#销量数据'!$1:$1,A63,'#销量数据'!$2:$2,B63)/10000</f>
        <v>0</v>
      </c>
      <c r="H63" s="138" t="str">
        <f t="shared" si="27"/>
        <v/>
      </c>
      <c r="I63" s="721">
        <f t="shared" si="28"/>
        <v>0</v>
      </c>
      <c r="J63" s="721">
        <f t="shared" si="29"/>
        <v>0</v>
      </c>
      <c r="K63" s="137" t="str">
        <f t="shared" si="30"/>
        <v/>
      </c>
      <c r="P63" s="736">
        <v>0.13</v>
      </c>
    </row>
  </sheetData>
  <customSheetViews>
    <customSheetView guid="{1683F931-F47D-47C0-A395-D48080DC7EE6}" showPageBreaks="1">
      <selection activeCell="J30" sqref="J30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 topLeftCell="A7">
      <selection activeCell="H25" sqref="H25"/>
      <pageMargins left="0.69930555555555596" right="0.69930555555555596" top="0.75" bottom="0.75" header="0.3" footer="0.3"/>
    </customSheetView>
    <customSheetView guid="{849C46E5-4ED4-41B9-BDA9-A6465B9DA9C2}" topLeftCell="A22">
      <selection activeCell="J57" sqref="J57"/>
      <pageMargins left="0.69930555555555596" right="0.69930555555555596" top="0.75" bottom="0.75" header="0.3" footer="0.3"/>
    </customSheetView>
    <customSheetView guid="{8C09BCDE-4B8A-4469-B3F2-7F4528A2E78D}" topLeftCell="A22">
      <selection activeCell="J57" sqref="J57"/>
      <pageMargins left="0.69930555555555596" right="0.69930555555555596" top="0.75" bottom="0.75" header="0.3" footer="0.3"/>
    </customSheetView>
    <customSheetView guid="{F4EB51F4-FD23-4D5B-8072-1AF5D59D6686}" topLeftCell="A40">
      <selection activeCell="J57" sqref="J57"/>
      <pageMargins left="0.69930555555555596" right="0.69930555555555596" top="0.75" bottom="0.75" header="0.3" footer="0.3"/>
    </customSheetView>
    <customSheetView guid="{D7BCFB76-2797-401D-A6F1-E020B5162DD4}">
      <selection activeCell="A17" sqref="A17:XFD17"/>
      <pageMargins left="0.69930555555555596" right="0.69930555555555596" top="0.75" bottom="0.75" header="0.3" footer="0.3"/>
    </customSheetView>
    <customSheetView guid="{C9A88430-3808-49F4-8D86-BF8C70C55441}" topLeftCell="A7">
      <selection activeCell="J30" sqref="J30"/>
      <pageMargins left="0.69930555555555596" right="0.69930555555555596" top="0.75" bottom="0.75" header="0.3" footer="0.3"/>
    </customSheetView>
    <customSheetView guid="{E61FFED3-723E-484A-93A0-94E1A801AF06}" topLeftCell="A16">
      <selection activeCell="G45" sqref="G45"/>
      <pageMargins left="0.69930555555555596" right="0.69930555555555596" top="0.75" bottom="0.75" header="0.3" footer="0.3"/>
    </customSheetView>
    <customSheetView guid="{6B5CCA07-2BDD-4B8E-9E3C-2111BBA97430}" topLeftCell="A41">
      <selection activeCell="D73" sqref="D73"/>
      <pageMargins left="0.69930555555555596" right="0.69930555555555596" top="0.75" bottom="0.75" header="0.3" footer="0.3"/>
      <pageSetup paperSize="9" orientation="portrait" r:id="rId2"/>
    </customSheetView>
    <customSheetView guid="{2F47A827-9643-4D8A-AC5D-6B09D79AACF9}" topLeftCell="A7">
      <selection activeCell="H25" sqref="H25"/>
      <pageMargins left="0.69930555555555596" right="0.69930555555555596" top="0.75" bottom="0.75" header="0.3" footer="0.3"/>
    </customSheetView>
    <customSheetView guid="{B37168A1-DBAB-4BDE-9F92-6261DCDF3D92}">
      <selection activeCell="F46" sqref="F46:T46"/>
      <pageMargins left="0.69930555555555596" right="0.69930555555555596" top="0.75" bottom="0.75" header="0.3" footer="0.3"/>
    </customSheetView>
    <customSheetView guid="{AE0DD889-C13C-4059-8024-0F5B234827E9}" topLeftCell="A22">
      <selection activeCell="J40" sqref="J40:J44"/>
      <pageMargins left="0.69930555555555596" right="0.69930555555555596" top="0.75" bottom="0.75" header="0.3" footer="0.3"/>
    </customSheetView>
    <customSheetView guid="{CCBBD9B0-4191-4D7A-9F7B-BAC044A49153}">
      <selection activeCell="Q1" sqref="Q1:T1048576"/>
      <pageMargins left="0.69930555555555596" right="0.69930555555555596" top="0.75" bottom="0.75" header="0.3" footer="0.3"/>
    </customSheetView>
    <customSheetView guid="{F5F9735B-EE22-4AC6-B5AB-C856ED6C133D}" topLeftCell="A7">
      <selection activeCell="H25" sqref="H25"/>
      <pageMargins left="0.69930555555555596" right="0.69930555555555596" top="0.75" bottom="0.75" header="0.3" footer="0.3"/>
    </customSheetView>
    <customSheetView guid="{45B4C0D1-53B6-4553-BFF9-393760B8E0CE}" topLeftCell="A7">
      <selection activeCell="H25" sqref="H25"/>
      <pageMargins left="0.69930555555555596" right="0.69930555555555596" top="0.75" bottom="0.75" header="0.3" footer="0.3"/>
    </customSheetView>
    <customSheetView guid="{1BBD1596-143E-4714-99EF-E3545231CCD1}" topLeftCell="A7">
      <selection activeCell="H25" sqref="H25"/>
      <pageMargins left="0.69930555555555596" right="0.69930555555555596" top="0.75" bottom="0.75" header="0.3" footer="0.3"/>
    </customSheetView>
    <customSheetView guid="{A8456D60-99BA-4794-8966-0CBA0A37EA6F}" topLeftCell="A7">
      <selection activeCell="H25" sqref="H25"/>
      <pageMargins left="0.69930555555555596" right="0.69930555555555596" top="0.75" bottom="0.75" header="0.3" footer="0.3"/>
    </customSheetView>
    <customSheetView guid="{500C3980-ED13-4C97-96B1-955D50509B66}">
      <selection activeCell="H25" sqref="H25"/>
      <pageMargins left="0.69930555555555596" right="0.69930555555555596" top="0.75" bottom="0.75" header="0.3" footer="0.3"/>
    </customSheetView>
    <customSheetView guid="{3B943BAF-34C7-494A-A071-85DE0891E5A1}">
      <selection activeCell="Q1" sqref="Q1:T1048576"/>
      <pageMargins left="0.69930555555555596" right="0.69930555555555596" top="0.75" bottom="0.75" header="0.3" footer="0.3"/>
    </customSheetView>
    <customSheetView guid="{EEE4B3DA-ADF6-49CC-9873-068FE5927B92}">
      <pane xSplit="2" ySplit="3" topLeftCell="I31" state="frozen"/>
      <selection activeCell="T43" sqref="T43"/>
      <pageMargins left="0.69930555555555596" right="0.69930555555555596" top="0.75" bottom="0.75" header="0.3" footer="0.3"/>
    </customSheetView>
    <customSheetView guid="{C52D0F53-4D1D-4D01-B833-260359FD02A5}" topLeftCell="A7">
      <selection activeCell="V40" sqref="V40"/>
      <pageMargins left="0.69930555555555596" right="0.69930555555555596" top="0.75" bottom="0.75" header="0.3" footer="0.3"/>
    </customSheetView>
    <customSheetView guid="{6A1E79C9-91E3-4EEA-8ABB-4446083299EC}" topLeftCell="A7">
      <selection activeCell="J30" sqref="J30"/>
      <pageMargins left="0.69930555555555596" right="0.69930555555555596" top="0.75" bottom="0.75" header="0.3" footer="0.3"/>
    </customSheetView>
    <customSheetView guid="{8B80B510-C931-46B1-8591-DEA916D76593}" topLeftCell="A16">
      <selection activeCell="N25" sqref="N25"/>
      <pageMargins left="0.69930555555555596" right="0.69930555555555596" top="0.75" bottom="0.75" header="0.3" footer="0.3"/>
    </customSheetView>
    <customSheetView guid="{303A9D89-611D-4504-BCAA-071C53B021F7}" topLeftCell="A7">
      <selection activeCell="H25" sqref="H25"/>
      <pageMargins left="0.69930555555555596" right="0.69930555555555596" top="0.75" bottom="0.75" header="0.3" footer="0.3"/>
    </customSheetView>
    <customSheetView guid="{4583A87D-5DFF-47BD-849A-FA4AAF2B9CE3}">
      <selection activeCell="Q1" sqref="Q1:T1048576"/>
      <pageMargins left="0.69930555555555596" right="0.69930555555555596" top="0.75" bottom="0.75" header="0.3" footer="0.3"/>
    </customSheetView>
    <customSheetView guid="{EA856AC2-CDFF-46B6-B0C4-30449DF132F4}" topLeftCell="A7">
      <selection activeCell="H25" sqref="H25"/>
      <pageMargins left="0.69930555555555596" right="0.69930555555555596" top="0.75" bottom="0.75" header="0.3" footer="0.3"/>
    </customSheetView>
    <customSheetView guid="{322A45A6-8B26-49B8-A4D9-EFB3C94A758D}">
      <selection activeCell="J30" sqref="J30"/>
      <pageMargins left="0.69930555555555596" right="0.69930555555555596" top="0.75" bottom="0.75" header="0.3" footer="0.3"/>
      <pageSetup paperSize="9" orientation="portrait" r:id="rId3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046CB-2922-4457-8BD2-11AF28C57E49}">
  <dimension ref="A1:AA40"/>
  <sheetViews>
    <sheetView zoomScaleNormal="85" workbookViewId="0">
      <selection activeCell="A12" sqref="A12:XFD12"/>
    </sheetView>
  </sheetViews>
  <sheetFormatPr defaultRowHeight="14.25"/>
  <cols>
    <col min="4" max="4" width="10.125" customWidth="1"/>
    <col min="5" max="5" width="14.625" customWidth="1"/>
    <col min="6" max="8" width="12.75" bestFit="1" customWidth="1"/>
    <col min="9" max="9" width="12.75" customWidth="1"/>
    <col min="10" max="17" width="8.5" customWidth="1"/>
    <col min="18" max="18" width="12.75" bestFit="1" customWidth="1"/>
    <col min="20" max="20" width="15.25" customWidth="1"/>
    <col min="21" max="21" width="17.5" customWidth="1"/>
    <col min="22" max="22" width="11" customWidth="1"/>
    <col min="23" max="23" width="13.375" customWidth="1"/>
    <col min="24" max="24" width="9.75" customWidth="1"/>
    <col min="25" max="25" width="13.125" customWidth="1"/>
    <col min="26" max="26" width="11.625" customWidth="1"/>
    <col min="27" max="27" width="11.5" customWidth="1"/>
  </cols>
  <sheetData>
    <row r="1" spans="1:27">
      <c r="A1">
        <f>'#经营概况'!B1</f>
        <v>2021</v>
      </c>
    </row>
    <row r="2" spans="1:27" ht="15" thickBot="1">
      <c r="A2">
        <f>'#经营概况'!B2</f>
        <v>8</v>
      </c>
      <c r="F2" s="322">
        <v>1</v>
      </c>
      <c r="G2" s="322">
        <v>2</v>
      </c>
      <c r="H2" s="322">
        <v>3</v>
      </c>
      <c r="I2" s="322">
        <v>4</v>
      </c>
      <c r="J2" s="322">
        <v>5</v>
      </c>
      <c r="K2" s="322">
        <v>6</v>
      </c>
      <c r="L2" s="322">
        <v>7</v>
      </c>
      <c r="M2" s="322">
        <v>8</v>
      </c>
      <c r="N2" s="322">
        <v>9</v>
      </c>
      <c r="O2" s="322">
        <v>10</v>
      </c>
      <c r="P2" s="322">
        <v>11</v>
      </c>
      <c r="Q2" s="322">
        <v>12</v>
      </c>
    </row>
    <row r="3" spans="1:27" ht="24.75" customHeight="1">
      <c r="C3" s="2738" t="s">
        <v>1187</v>
      </c>
      <c r="D3" s="2739"/>
      <c r="E3" s="2739"/>
      <c r="F3" s="2386" t="s">
        <v>1505</v>
      </c>
      <c r="G3" s="2386" t="s">
        <v>1506</v>
      </c>
      <c r="H3" s="2386" t="s">
        <v>1507</v>
      </c>
      <c r="I3" s="2386" t="s">
        <v>425</v>
      </c>
      <c r="J3" s="2386" t="s">
        <v>426</v>
      </c>
      <c r="K3" s="2386" t="s">
        <v>427</v>
      </c>
      <c r="L3" s="2386" t="s">
        <v>428</v>
      </c>
      <c r="M3" s="2386" t="s">
        <v>429</v>
      </c>
      <c r="N3" s="2386" t="s">
        <v>430</v>
      </c>
      <c r="O3" s="2386" t="s">
        <v>431</v>
      </c>
      <c r="P3" s="2386" t="s">
        <v>432</v>
      </c>
      <c r="Q3" s="2386" t="s">
        <v>421</v>
      </c>
      <c r="R3" s="2387" t="s">
        <v>1133</v>
      </c>
      <c r="T3" s="2415" t="s">
        <v>1562</v>
      </c>
      <c r="U3" s="2741" t="s">
        <v>1529</v>
      </c>
      <c r="V3" s="2743"/>
      <c r="W3" s="2741" t="s">
        <v>1354</v>
      </c>
      <c r="X3" s="2743"/>
      <c r="Y3" s="2741" t="s">
        <v>1563</v>
      </c>
      <c r="Z3" s="2742"/>
      <c r="AA3" s="2743"/>
    </row>
    <row r="4" spans="1:27" ht="24.75" customHeight="1">
      <c r="C4" s="2740" t="s">
        <v>1528</v>
      </c>
      <c r="D4" s="2734" t="s">
        <v>1529</v>
      </c>
      <c r="E4" s="2734"/>
      <c r="F4" s="2388">
        <v>2297</v>
      </c>
      <c r="G4" s="2388">
        <v>2394</v>
      </c>
      <c r="H4" s="2388">
        <v>2786</v>
      </c>
      <c r="I4" s="2394"/>
      <c r="J4" s="2394"/>
      <c r="K4" s="2394"/>
      <c r="L4" s="2394"/>
      <c r="M4" s="2394"/>
      <c r="N4" s="2394"/>
      <c r="O4" s="2394"/>
      <c r="P4" s="2394"/>
      <c r="Q4" s="2394"/>
      <c r="R4" s="2390">
        <v>2580</v>
      </c>
      <c r="T4" s="2407">
        <v>1</v>
      </c>
      <c r="U4" s="2416" t="s">
        <v>1574</v>
      </c>
      <c r="V4" s="2284">
        <v>1936</v>
      </c>
      <c r="W4" s="2417" t="s">
        <v>1130</v>
      </c>
      <c r="X4" s="2418">
        <v>747</v>
      </c>
      <c r="Y4" s="2416" t="s">
        <v>1235</v>
      </c>
      <c r="Z4" s="2419">
        <v>0.24690000000000001</v>
      </c>
      <c r="AA4" s="2284">
        <v>93</v>
      </c>
    </row>
    <row r="5" spans="1:27" ht="24.75" customHeight="1">
      <c r="C5" s="2740"/>
      <c r="D5" s="2734" t="s">
        <v>1354</v>
      </c>
      <c r="E5" s="2388" t="s">
        <v>1130</v>
      </c>
      <c r="F5" s="2391">
        <f>F7/F19</f>
        <v>536.88516992385337</v>
      </c>
      <c r="G5" s="2391">
        <f t="shared" ref="G5:R5" si="0">G7/G19</f>
        <v>852.96666753485908</v>
      </c>
      <c r="H5" s="2391">
        <f t="shared" si="0"/>
        <v>848.50260021125496</v>
      </c>
      <c r="I5" s="2391" t="e">
        <f t="shared" si="0"/>
        <v>#DIV/0!</v>
      </c>
      <c r="J5" s="2391" t="e">
        <f t="shared" si="0"/>
        <v>#DIV/0!</v>
      </c>
      <c r="K5" s="2391" t="e">
        <f t="shared" si="0"/>
        <v>#DIV/0!</v>
      </c>
      <c r="L5" s="2391" t="e">
        <f t="shared" si="0"/>
        <v>#DIV/0!</v>
      </c>
      <c r="M5" s="2391" t="e">
        <f t="shared" si="0"/>
        <v>#DIV/0!</v>
      </c>
      <c r="N5" s="2391" t="e">
        <f t="shared" si="0"/>
        <v>#DIV/0!</v>
      </c>
      <c r="O5" s="2391" t="e">
        <f t="shared" si="0"/>
        <v>#DIV/0!</v>
      </c>
      <c r="P5" s="2391" t="e">
        <f t="shared" si="0"/>
        <v>#DIV/0!</v>
      </c>
      <c r="Q5" s="2391" t="e">
        <f t="shared" si="0"/>
        <v>#DIV/0!</v>
      </c>
      <c r="R5" s="2392">
        <f t="shared" si="0"/>
        <v>1899.5888247482542</v>
      </c>
      <c r="T5" s="2407">
        <v>2</v>
      </c>
      <c r="U5" s="2412" t="s">
        <v>1565</v>
      </c>
      <c r="V5" s="2407">
        <v>2152</v>
      </c>
      <c r="W5" s="2416" t="s">
        <v>1420</v>
      </c>
      <c r="X5" s="2284">
        <v>666</v>
      </c>
      <c r="Y5" s="2412" t="s">
        <v>1572</v>
      </c>
      <c r="Z5" s="2420">
        <v>0.1968</v>
      </c>
      <c r="AA5" s="2407">
        <v>89</v>
      </c>
    </row>
    <row r="6" spans="1:27" ht="24.75" customHeight="1">
      <c r="C6" s="2740"/>
      <c r="D6" s="2734"/>
      <c r="E6" s="2388" t="s">
        <v>1420</v>
      </c>
      <c r="F6" s="2391">
        <f>F8/F20</f>
        <v>473.76525712242335</v>
      </c>
      <c r="G6" s="2391">
        <f t="shared" ref="G6:Q6" si="1">G8/G20</f>
        <v>800.31033601010108</v>
      </c>
      <c r="H6" s="2391">
        <f t="shared" si="1"/>
        <v>734.64835237126329</v>
      </c>
      <c r="I6" s="2391" t="e">
        <f t="shared" si="1"/>
        <v>#DIV/0!</v>
      </c>
      <c r="J6" s="2391" t="e">
        <f t="shared" si="1"/>
        <v>#DIV/0!</v>
      </c>
      <c r="K6" s="2391" t="e">
        <f t="shared" si="1"/>
        <v>#DIV/0!</v>
      </c>
      <c r="L6" s="2391" t="e">
        <f t="shared" si="1"/>
        <v>#DIV/0!</v>
      </c>
      <c r="M6" s="2391" t="e">
        <f t="shared" si="1"/>
        <v>#DIV/0!</v>
      </c>
      <c r="N6" s="2391" t="e">
        <f t="shared" si="1"/>
        <v>#DIV/0!</v>
      </c>
      <c r="O6" s="2391" t="e">
        <f t="shared" si="1"/>
        <v>#DIV/0!</v>
      </c>
      <c r="P6" s="2391" t="e">
        <f t="shared" si="1"/>
        <v>#DIV/0!</v>
      </c>
      <c r="Q6" s="2391" t="e">
        <f t="shared" si="1"/>
        <v>#DIV/0!</v>
      </c>
      <c r="R6" s="2392">
        <f>R8/$R$20-1</f>
        <v>1697.3462218460636</v>
      </c>
      <c r="T6" s="2407">
        <v>3</v>
      </c>
      <c r="U6" s="2416" t="s">
        <v>1420</v>
      </c>
      <c r="V6" s="2418">
        <v>2580</v>
      </c>
      <c r="W6" s="2412" t="s">
        <v>1570</v>
      </c>
      <c r="X6" s="2407">
        <v>522</v>
      </c>
      <c r="Y6" s="2417" t="s">
        <v>1420</v>
      </c>
      <c r="Z6" s="2421">
        <v>0.18920000000000001</v>
      </c>
      <c r="AA6" s="2418">
        <v>88</v>
      </c>
    </row>
    <row r="7" spans="1:27" ht="24.75" customHeight="1">
      <c r="C7" s="2740"/>
      <c r="D7" s="2734" t="s">
        <v>1530</v>
      </c>
      <c r="E7" s="2388" t="s">
        <v>1130</v>
      </c>
      <c r="F7" s="2391">
        <f>F21</f>
        <v>50162.4657090006</v>
      </c>
      <c r="G7" s="2391">
        <f t="shared" ref="G7:I7" si="2">G21</f>
        <v>73036.275873000006</v>
      </c>
      <c r="H7" s="2391">
        <f t="shared" si="2"/>
        <v>85480.284760050898</v>
      </c>
      <c r="I7" s="2391">
        <f t="shared" si="2"/>
        <v>80526.160772339397</v>
      </c>
      <c r="J7" s="2391">
        <f t="shared" ref="J7:Q7" si="3">J21</f>
        <v>124336.63731899799</v>
      </c>
      <c r="K7" s="2391">
        <f t="shared" si="3"/>
        <v>117965.187737215</v>
      </c>
      <c r="L7" s="2391">
        <f t="shared" si="3"/>
        <v>0</v>
      </c>
      <c r="M7" s="2391">
        <f t="shared" si="3"/>
        <v>0</v>
      </c>
      <c r="N7" s="2391">
        <f t="shared" si="3"/>
        <v>0</v>
      </c>
      <c r="O7" s="2391">
        <f t="shared" si="3"/>
        <v>0</v>
      </c>
      <c r="P7" s="2391">
        <f t="shared" si="3"/>
        <v>0</v>
      </c>
      <c r="Q7" s="2391">
        <f t="shared" si="3"/>
        <v>0</v>
      </c>
      <c r="R7" s="2392">
        <f>SUM(F7:Q7)</f>
        <v>531507.01217060385</v>
      </c>
      <c r="T7" s="2407">
        <v>4</v>
      </c>
      <c r="U7" s="2412" t="s">
        <v>1567</v>
      </c>
      <c r="V7" s="2407">
        <v>2698</v>
      </c>
      <c r="W7" s="2412" t="s">
        <v>1568</v>
      </c>
      <c r="X7" s="2407">
        <v>365</v>
      </c>
      <c r="Y7" s="2412" t="s">
        <v>1568</v>
      </c>
      <c r="Z7" s="2420">
        <v>0.18440000000000001</v>
      </c>
      <c r="AA7" s="2407">
        <v>85</v>
      </c>
    </row>
    <row r="8" spans="1:27" ht="24.75" customHeight="1">
      <c r="C8" s="2740"/>
      <c r="D8" s="2734"/>
      <c r="E8" s="2388" t="s">
        <v>1420</v>
      </c>
      <c r="F8" s="2391">
        <f>F24</f>
        <v>52981.1687040006</v>
      </c>
      <c r="G8" s="2391">
        <f t="shared" ref="G8:I8" si="4">G24</f>
        <v>79230.723265000008</v>
      </c>
      <c r="H8" s="2391">
        <f t="shared" si="4"/>
        <v>90016.462616050892</v>
      </c>
      <c r="I8" s="2391">
        <f t="shared" si="4"/>
        <v>86740.232778339385</v>
      </c>
      <c r="J8" s="2391">
        <f t="shared" ref="J8:Q8" si="5">J24</f>
        <v>128601.63731899799</v>
      </c>
      <c r="K8" s="2391">
        <f t="shared" si="5"/>
        <v>122091.187737215</v>
      </c>
      <c r="L8" s="2391">
        <f t="shared" si="5"/>
        <v>-893.58299999999963</v>
      </c>
      <c r="M8" s="2391">
        <f t="shared" si="5"/>
        <v>7392.8670949999996</v>
      </c>
      <c r="N8" s="2391">
        <f t="shared" si="5"/>
        <v>0</v>
      </c>
      <c r="O8" s="2391">
        <f t="shared" si="5"/>
        <v>0</v>
      </c>
      <c r="P8" s="2391">
        <f t="shared" si="5"/>
        <v>0</v>
      </c>
      <c r="Q8" s="2391">
        <f t="shared" si="5"/>
        <v>0</v>
      </c>
      <c r="R8" s="2392">
        <f t="shared" ref="R8:R9" si="6">SUM(F8:Q8)</f>
        <v>566160.6965146038</v>
      </c>
      <c r="T8" s="2407">
        <v>5</v>
      </c>
      <c r="U8" s="2412" t="s">
        <v>1569</v>
      </c>
      <c r="V8" s="2407">
        <v>2824</v>
      </c>
      <c r="W8" s="2412" t="s">
        <v>1572</v>
      </c>
      <c r="X8" s="2407">
        <v>317</v>
      </c>
      <c r="Y8" s="2412" t="s">
        <v>1564</v>
      </c>
      <c r="Z8" s="2420">
        <v>0.1115</v>
      </c>
      <c r="AA8" s="2407">
        <v>69</v>
      </c>
    </row>
    <row r="9" spans="1:27" ht="24.75" customHeight="1">
      <c r="C9" s="2740"/>
      <c r="D9" s="2734"/>
      <c r="E9" s="2388" t="s">
        <v>1531</v>
      </c>
      <c r="F9" s="2391">
        <f>F25</f>
        <v>38244</v>
      </c>
      <c r="G9" s="2391">
        <f t="shared" ref="G9:I9" si="7">G25</f>
        <v>60116.331542</v>
      </c>
      <c r="H9" s="2391">
        <f t="shared" si="7"/>
        <v>72798.662575999988</v>
      </c>
      <c r="I9" s="2391">
        <f t="shared" si="7"/>
        <v>0</v>
      </c>
      <c r="J9" s="2391">
        <f t="shared" ref="J9:Q9" si="8">J25</f>
        <v>0</v>
      </c>
      <c r="K9" s="2391">
        <f t="shared" si="8"/>
        <v>0</v>
      </c>
      <c r="L9" s="2391">
        <f t="shared" si="8"/>
        <v>0</v>
      </c>
      <c r="M9" s="2391">
        <f t="shared" si="8"/>
        <v>0</v>
      </c>
      <c r="N9" s="2391">
        <f t="shared" si="8"/>
        <v>0</v>
      </c>
      <c r="O9" s="2391">
        <f t="shared" si="8"/>
        <v>0</v>
      </c>
      <c r="P9" s="2391">
        <f t="shared" si="8"/>
        <v>0</v>
      </c>
      <c r="Q9" s="2391">
        <f t="shared" si="8"/>
        <v>0</v>
      </c>
      <c r="R9" s="2392">
        <f t="shared" si="6"/>
        <v>171158.99411799997</v>
      </c>
      <c r="T9" s="2407">
        <v>6</v>
      </c>
      <c r="U9" s="2412" t="s">
        <v>1571</v>
      </c>
      <c r="V9" s="2407">
        <v>2839</v>
      </c>
      <c r="W9" s="2412" t="s">
        <v>1566</v>
      </c>
      <c r="X9" s="2407">
        <v>308</v>
      </c>
      <c r="Y9" s="2412" t="s">
        <v>1570</v>
      </c>
      <c r="Z9" s="2422">
        <v>0.1091</v>
      </c>
      <c r="AA9" s="2407">
        <v>67</v>
      </c>
    </row>
    <row r="10" spans="1:27" ht="24.75" customHeight="1">
      <c r="C10" s="2740"/>
      <c r="D10" s="2734" t="s">
        <v>1546</v>
      </c>
      <c r="E10" s="2734"/>
      <c r="F10" s="2400">
        <v>0.14476554717104201</v>
      </c>
      <c r="G10" s="2400">
        <v>0.17381653682881457</v>
      </c>
      <c r="H10" s="2400">
        <v>0.18924725153918714</v>
      </c>
      <c r="I10" s="2394"/>
      <c r="J10" s="2394"/>
      <c r="K10" s="2394"/>
      <c r="L10" s="2394"/>
      <c r="M10" s="2394"/>
      <c r="N10" s="2394"/>
      <c r="O10" s="2394"/>
      <c r="P10" s="2394"/>
      <c r="Q10" s="2394"/>
      <c r="R10" s="2401">
        <f>H10</f>
        <v>0.18924725153918714</v>
      </c>
      <c r="T10" s="2407">
        <v>7</v>
      </c>
      <c r="U10" s="2412" t="s">
        <v>1572</v>
      </c>
      <c r="V10" s="2407">
        <v>2847</v>
      </c>
      <c r="W10" s="2412" t="s">
        <v>1573</v>
      </c>
      <c r="X10" s="2407">
        <v>274</v>
      </c>
      <c r="Y10" s="2412" t="s">
        <v>1573</v>
      </c>
      <c r="Z10" s="2420">
        <v>6.6500000000000004E-2</v>
      </c>
      <c r="AA10" s="2407">
        <v>50</v>
      </c>
    </row>
    <row r="11" spans="1:27" ht="24.75" customHeight="1">
      <c r="C11" s="2402"/>
      <c r="D11" s="2389"/>
      <c r="E11" s="2389"/>
      <c r="F11" s="2389"/>
      <c r="G11" s="2389"/>
      <c r="H11" s="2389"/>
      <c r="I11" s="2389"/>
      <c r="J11" s="2389"/>
      <c r="K11" s="2389"/>
      <c r="L11" s="2389"/>
      <c r="M11" s="2389"/>
      <c r="N11" s="2389"/>
      <c r="O11" s="2389"/>
      <c r="P11" s="2389"/>
      <c r="Q11" s="2389"/>
      <c r="R11" s="2403"/>
      <c r="T11" s="2412">
        <v>8</v>
      </c>
      <c r="U11" s="2412" t="s">
        <v>1573</v>
      </c>
      <c r="V11" s="2407">
        <v>2866</v>
      </c>
      <c r="W11" s="2412" t="s">
        <v>1564</v>
      </c>
      <c r="X11" s="2407">
        <v>211</v>
      </c>
      <c r="Y11" s="2412" t="s">
        <v>1566</v>
      </c>
      <c r="Z11" s="2420">
        <v>3.2399999999999998E-2</v>
      </c>
      <c r="AA11" s="2407">
        <v>33</v>
      </c>
    </row>
    <row r="12" spans="1:27" ht="24.75" customHeight="1">
      <c r="C12" s="2736" t="s">
        <v>1532</v>
      </c>
      <c r="D12" s="2734" t="s">
        <v>1529</v>
      </c>
      <c r="E12" s="2734"/>
      <c r="F12" s="2391">
        <v>2626.3180128689382</v>
      </c>
      <c r="G12" s="2391">
        <v>2697.7124571951881</v>
      </c>
      <c r="H12" s="2391">
        <v>2675.1008386735703</v>
      </c>
      <c r="I12" s="2395"/>
      <c r="J12" s="2395"/>
      <c r="K12" s="2395"/>
      <c r="L12" s="2395"/>
      <c r="M12" s="2395"/>
      <c r="N12" s="2395"/>
      <c r="O12" s="2395"/>
      <c r="P12" s="2395"/>
      <c r="Q12" s="2395"/>
      <c r="R12" s="2392">
        <v>2666</v>
      </c>
    </row>
    <row r="13" spans="1:27" ht="24.75" customHeight="1">
      <c r="C13" s="2736"/>
      <c r="D13" s="2734" t="s">
        <v>1354</v>
      </c>
      <c r="E13" s="2388" t="s">
        <v>1130</v>
      </c>
      <c r="F13" s="2391">
        <f>F15/F19</f>
        <v>348.82961868425281</v>
      </c>
      <c r="G13" s="2391">
        <f t="shared" ref="G13:H13" si="9">G15/G19</f>
        <v>728.75839123928108</v>
      </c>
      <c r="H13" s="2391">
        <f t="shared" si="9"/>
        <v>935.87147441891</v>
      </c>
      <c r="I13" s="2395"/>
      <c r="J13" s="2395"/>
      <c r="K13" s="2395"/>
      <c r="L13" s="2395"/>
      <c r="M13" s="2395"/>
      <c r="N13" s="2395"/>
      <c r="O13" s="2395"/>
      <c r="P13" s="2395"/>
      <c r="Q13" s="2395"/>
      <c r="R13" s="2392">
        <f>R15/$R$19</f>
        <v>676.46209117203603</v>
      </c>
      <c r="T13" s="2415" t="s">
        <v>1562</v>
      </c>
      <c r="U13" s="2741" t="s">
        <v>1529</v>
      </c>
      <c r="V13" s="2743"/>
      <c r="W13" s="2741" t="s">
        <v>1354</v>
      </c>
      <c r="X13" s="2743"/>
      <c r="Y13" s="2741" t="s">
        <v>1563</v>
      </c>
      <c r="Z13" s="2742"/>
      <c r="AA13" s="2743"/>
    </row>
    <row r="14" spans="1:27" ht="24.75" customHeight="1">
      <c r="C14" s="2736"/>
      <c r="D14" s="2734"/>
      <c r="E14" s="2388" t="s">
        <v>1420</v>
      </c>
      <c r="F14" s="2391">
        <f>F16/F20</f>
        <v>316.64748908164711</v>
      </c>
      <c r="G14" s="2391">
        <f t="shared" ref="G14:H14" si="10">G16/G20</f>
        <v>692.88124510101022</v>
      </c>
      <c r="H14" s="2391">
        <f t="shared" si="10"/>
        <v>806.48186253204017</v>
      </c>
      <c r="I14" s="2395"/>
      <c r="J14" s="2395"/>
      <c r="K14" s="2395"/>
      <c r="L14" s="2395"/>
      <c r="M14" s="2395"/>
      <c r="N14" s="2395"/>
      <c r="O14" s="2395"/>
      <c r="P14" s="2395"/>
      <c r="Q14" s="2395"/>
      <c r="R14" s="2392">
        <f>R16/$R$20</f>
        <v>608.42378985196626</v>
      </c>
      <c r="T14" s="2407">
        <v>1</v>
      </c>
      <c r="U14" s="2416" t="s">
        <v>1235</v>
      </c>
      <c r="V14" s="2284">
        <v>1936</v>
      </c>
      <c r="W14" s="2417" t="s">
        <v>1130</v>
      </c>
      <c r="X14" s="2418">
        <v>747</v>
      </c>
      <c r="Y14" s="2416" t="s">
        <v>1235</v>
      </c>
      <c r="Z14" s="2419">
        <v>0.24690000000000001</v>
      </c>
      <c r="AA14" s="2284">
        <v>93</v>
      </c>
    </row>
    <row r="15" spans="1:27" ht="24.75" customHeight="1">
      <c r="C15" s="2736"/>
      <c r="D15" s="2734" t="s">
        <v>1530</v>
      </c>
      <c r="E15" s="2388" t="s">
        <v>1130</v>
      </c>
      <c r="F15" s="2391">
        <f>F7-F33</f>
        <v>32591.985709000601</v>
      </c>
      <c r="G15" s="2391">
        <f>G7-G33</f>
        <v>62400.79587300001</v>
      </c>
      <c r="H15" s="2391">
        <f>H7-H33</f>
        <v>94282.044760050892</v>
      </c>
      <c r="I15" s="2395"/>
      <c r="J15" s="2395"/>
      <c r="K15" s="2395"/>
      <c r="L15" s="2395"/>
      <c r="M15" s="2395"/>
      <c r="N15" s="2395"/>
      <c r="O15" s="2395"/>
      <c r="P15" s="2395"/>
      <c r="Q15" s="2395"/>
      <c r="R15" s="2392">
        <f>SUM(F15:Q15)</f>
        <v>189274.8263420515</v>
      </c>
      <c r="T15" s="2407">
        <v>2</v>
      </c>
      <c r="U15" s="2412" t="s">
        <v>1565</v>
      </c>
      <c r="V15" s="2407">
        <v>2152</v>
      </c>
      <c r="W15" s="2416" t="s">
        <v>1420</v>
      </c>
      <c r="X15" s="2284">
        <v>680</v>
      </c>
      <c r="Y15" s="2412" t="s">
        <v>1572</v>
      </c>
      <c r="Z15" s="2420">
        <v>0.1968</v>
      </c>
      <c r="AA15" s="2407">
        <v>89</v>
      </c>
    </row>
    <row r="16" spans="1:27" ht="24.75" customHeight="1">
      <c r="C16" s="2736"/>
      <c r="D16" s="2734"/>
      <c r="E16" s="2388" t="s">
        <v>1420</v>
      </c>
      <c r="F16" s="2391">
        <f>F8-F33</f>
        <v>35410.688704000597</v>
      </c>
      <c r="G16" s="2391">
        <f>G8-G33</f>
        <v>68595.243265000012</v>
      </c>
      <c r="H16" s="2391">
        <f>H8-H33</f>
        <v>98818.222616050887</v>
      </c>
      <c r="I16" s="2395"/>
      <c r="J16" s="2395"/>
      <c r="K16" s="2395"/>
      <c r="L16" s="2395"/>
      <c r="M16" s="2395"/>
      <c r="N16" s="2395"/>
      <c r="O16" s="2395"/>
      <c r="P16" s="2395"/>
      <c r="Q16" s="2395"/>
      <c r="R16" s="2392">
        <f t="shared" ref="R16:R17" si="11">SUM(F16:Q16)</f>
        <v>202824.1545850515</v>
      </c>
      <c r="T16" s="2407">
        <v>3</v>
      </c>
      <c r="U16" s="2416" t="s">
        <v>1420</v>
      </c>
      <c r="V16" s="2418">
        <v>2666</v>
      </c>
      <c r="W16" s="2412" t="s">
        <v>1570</v>
      </c>
      <c r="X16" s="2407">
        <v>522</v>
      </c>
      <c r="Y16" s="2412" t="s">
        <v>1568</v>
      </c>
      <c r="Z16" s="2420">
        <v>0.18440000000000001</v>
      </c>
      <c r="AA16" s="2407">
        <v>85</v>
      </c>
    </row>
    <row r="17" spans="3:27" ht="24.75" customHeight="1">
      <c r="C17" s="2736"/>
      <c r="D17" s="2734"/>
      <c r="E17" s="2388" t="s">
        <v>1531</v>
      </c>
      <c r="F17" s="2391">
        <f>F9+F33</f>
        <v>55814.479999999996</v>
      </c>
      <c r="G17" s="2391">
        <f>G9+G33</f>
        <v>70751.811541999996</v>
      </c>
      <c r="H17" s="2391">
        <f>H9+H33</f>
        <v>63996.902575999986</v>
      </c>
      <c r="I17" s="2395"/>
      <c r="J17" s="2395"/>
      <c r="K17" s="2395"/>
      <c r="L17" s="2395"/>
      <c r="M17" s="2395"/>
      <c r="N17" s="2395"/>
      <c r="O17" s="2395"/>
      <c r="P17" s="2395"/>
      <c r="Q17" s="2395"/>
      <c r="R17" s="2392">
        <f t="shared" si="11"/>
        <v>190563.19411799998</v>
      </c>
      <c r="T17" s="2407">
        <v>4</v>
      </c>
      <c r="U17" s="2412" t="s">
        <v>1567</v>
      </c>
      <c r="V17" s="2407">
        <v>2698</v>
      </c>
      <c r="W17" s="2412" t="s">
        <v>1568</v>
      </c>
      <c r="X17" s="2407">
        <v>365</v>
      </c>
      <c r="Y17" s="2417" t="s">
        <v>1420</v>
      </c>
      <c r="Z17" s="2421">
        <v>0.1741</v>
      </c>
      <c r="AA17" s="2418">
        <v>84</v>
      </c>
    </row>
    <row r="18" spans="3:27" ht="24.75" customHeight="1" thickBot="1">
      <c r="C18" s="2737"/>
      <c r="D18" s="2735" t="s">
        <v>1546</v>
      </c>
      <c r="E18" s="2735"/>
      <c r="F18" s="2398">
        <f>F38</f>
        <v>9.3001806197892792E-2</v>
      </c>
      <c r="G18" s="2398">
        <f t="shared" ref="G18:H18" si="12">G38</f>
        <v>0.13534351003096684</v>
      </c>
      <c r="H18" s="2398">
        <f t="shared" si="12"/>
        <v>0.17414068216542747</v>
      </c>
      <c r="I18" s="2396"/>
      <c r="J18" s="2396"/>
      <c r="K18" s="2396"/>
      <c r="L18" s="2396"/>
      <c r="M18" s="2396"/>
      <c r="N18" s="2396"/>
      <c r="O18" s="2396"/>
      <c r="P18" s="2396"/>
      <c r="Q18" s="2396"/>
      <c r="R18" s="2393">
        <f>H18</f>
        <v>0.17414068216542747</v>
      </c>
      <c r="T18" s="2407">
        <v>5</v>
      </c>
      <c r="U18" s="2412" t="s">
        <v>1569</v>
      </c>
      <c r="V18" s="2407">
        <v>2824</v>
      </c>
      <c r="W18" s="2412" t="s">
        <v>1572</v>
      </c>
      <c r="X18" s="2407">
        <v>317</v>
      </c>
      <c r="Y18" s="2412" t="s">
        <v>1564</v>
      </c>
      <c r="Z18" s="2420">
        <v>0.1115</v>
      </c>
      <c r="AA18" s="2407">
        <v>69</v>
      </c>
    </row>
    <row r="19" spans="3:27">
      <c r="E19" s="2399" t="s">
        <v>1553</v>
      </c>
      <c r="F19" s="331">
        <f>'#销量数据'!BY82/10000</f>
        <v>93.432392100000015</v>
      </c>
      <c r="G19" s="331">
        <f>'#销量数据'!CA82/10000</f>
        <v>85.626178200000012</v>
      </c>
      <c r="H19" s="331">
        <f>'#销量数据'!CC82/10000</f>
        <v>100.74251362196007</v>
      </c>
      <c r="R19" s="186">
        <f>SUM(F19:H19)</f>
        <v>279.80108392196013</v>
      </c>
      <c r="T19" s="2407">
        <v>6</v>
      </c>
      <c r="U19" s="2412" t="s">
        <v>1571</v>
      </c>
      <c r="V19" s="2407">
        <v>2839</v>
      </c>
      <c r="W19" s="2412" t="s">
        <v>1566</v>
      </c>
      <c r="X19" s="2407">
        <v>308</v>
      </c>
      <c r="Y19" s="2412" t="s">
        <v>1570</v>
      </c>
      <c r="Z19" s="2422">
        <v>0.1091</v>
      </c>
      <c r="AA19" s="2407">
        <v>67</v>
      </c>
    </row>
    <row r="20" spans="3:27">
      <c r="E20" s="1358" t="s">
        <v>1533</v>
      </c>
      <c r="F20" s="2383">
        <v>111.83</v>
      </c>
      <c r="G20" s="2383">
        <v>99</v>
      </c>
      <c r="H20" s="2383">
        <v>122.53</v>
      </c>
      <c r="I20" s="2382"/>
      <c r="J20" s="2382"/>
      <c r="K20" s="2382"/>
      <c r="L20" s="2382"/>
      <c r="M20" s="2382"/>
      <c r="N20" s="2382"/>
      <c r="O20" s="2382"/>
      <c r="P20" s="2382"/>
      <c r="Q20" s="2382"/>
      <c r="R20" s="2384">
        <f>SUM(F20:Q20)</f>
        <v>333.36</v>
      </c>
      <c r="T20" s="2407">
        <v>7</v>
      </c>
      <c r="U20" s="2412" t="s">
        <v>1572</v>
      </c>
      <c r="V20" s="2407">
        <v>2847</v>
      </c>
      <c r="W20" s="2412" t="s">
        <v>1573</v>
      </c>
      <c r="X20" s="2407">
        <v>274</v>
      </c>
      <c r="Y20" s="2412" t="s">
        <v>1573</v>
      </c>
      <c r="Z20" s="2420">
        <v>6.6500000000000004E-2</v>
      </c>
      <c r="AA20" s="2407">
        <v>50</v>
      </c>
    </row>
    <row r="21" spans="3:27">
      <c r="E21" s="1358" t="s">
        <v>1547</v>
      </c>
      <c r="F21" s="331">
        <f>'利润（汇总）'!AO52</f>
        <v>50162.4657090006</v>
      </c>
      <c r="G21" s="331">
        <f>'利润（汇总）'!AP52</f>
        <v>73036.275873000006</v>
      </c>
      <c r="H21" s="331">
        <f>'利润（汇总）'!AQ52</f>
        <v>85480.284760050898</v>
      </c>
      <c r="I21" s="331">
        <f>'利润（汇总）'!AR52</f>
        <v>80526.160772339397</v>
      </c>
      <c r="J21" s="331">
        <f>'利润（汇总）'!AS52</f>
        <v>124336.63731899799</v>
      </c>
      <c r="K21" s="331">
        <f>'利润（汇总）'!AT52</f>
        <v>117965.187737215</v>
      </c>
      <c r="L21" s="331">
        <f>'利润（汇总）'!AU52</f>
        <v>0</v>
      </c>
      <c r="M21" s="331">
        <f>'利润（汇总）'!AV52</f>
        <v>0</v>
      </c>
      <c r="N21" s="331">
        <f>'利润（汇总）'!AW52</f>
        <v>0</v>
      </c>
      <c r="O21" s="331">
        <f>'利润（汇总）'!AX52</f>
        <v>0</v>
      </c>
      <c r="P21" s="331">
        <f>'利润（汇总）'!AY52</f>
        <v>0</v>
      </c>
      <c r="Q21" s="331">
        <f>'利润（汇总）'!AZ52</f>
        <v>0</v>
      </c>
      <c r="R21" s="186">
        <f t="shared" ref="R21:R25" si="13">SUM(F21:Q21)</f>
        <v>531507.01217060385</v>
      </c>
      <c r="T21" s="2412">
        <v>8</v>
      </c>
      <c r="U21" s="2412" t="s">
        <v>1573</v>
      </c>
      <c r="V21" s="2407">
        <v>2866</v>
      </c>
      <c r="W21" s="2412" t="s">
        <v>1564</v>
      </c>
      <c r="X21" s="2407">
        <v>211</v>
      </c>
      <c r="Y21" s="2412" t="s">
        <v>1566</v>
      </c>
      <c r="Z21" s="2420">
        <v>3.2399999999999998E-2</v>
      </c>
      <c r="AA21" s="2407">
        <v>33</v>
      </c>
    </row>
    <row r="22" spans="3:27">
      <c r="E22" s="1358" t="s">
        <v>1548</v>
      </c>
      <c r="F22" s="331">
        <f>'利润（汇总）'!AO8</f>
        <v>1485.978609</v>
      </c>
      <c r="G22" s="331">
        <f>'利润（汇总）'!AP8</f>
        <v>1492.3743449999999</v>
      </c>
      <c r="H22" s="331">
        <f>'利润（汇总）'!AQ8</f>
        <v>995.02528599999619</v>
      </c>
      <c r="I22" s="331">
        <f>'利润（汇总）'!AR8</f>
        <v>547.49019899998871</v>
      </c>
      <c r="J22" s="331">
        <f>'利润（汇总）'!AS8</f>
        <v>468</v>
      </c>
      <c r="K22" s="331">
        <f>'利润（汇总）'!AT8</f>
        <v>1109</v>
      </c>
      <c r="L22" s="331">
        <f>'利润（汇总）'!AU8</f>
        <v>-4419.5829999999996</v>
      </c>
      <c r="M22" s="331">
        <f>'利润（汇总）'!AV8</f>
        <v>1831.02878099999</v>
      </c>
      <c r="N22" s="331">
        <f>'利润（汇总）'!AW8</f>
        <v>0</v>
      </c>
      <c r="O22" s="331">
        <f>'利润（汇总）'!AX8</f>
        <v>0</v>
      </c>
      <c r="P22" s="331">
        <f>'利润（汇总）'!AY8</f>
        <v>0</v>
      </c>
      <c r="Q22" s="331">
        <f>'利润（汇总）'!AZ8</f>
        <v>0</v>
      </c>
      <c r="R22" s="186">
        <f t="shared" si="13"/>
        <v>3509.3142199999756</v>
      </c>
    </row>
    <row r="23" spans="3:27">
      <c r="E23" s="1358" t="s">
        <v>1549</v>
      </c>
      <c r="F23" s="331">
        <f>'利润（汇总）'!AO9</f>
        <v>1332.7243859999999</v>
      </c>
      <c r="G23" s="331">
        <f>'利润（汇总）'!AP9</f>
        <v>4702.0730469999999</v>
      </c>
      <c r="H23" s="331">
        <f>'利润（汇总）'!AQ9</f>
        <v>3541.1525700000047</v>
      </c>
      <c r="I23" s="331">
        <f>'利润（汇总）'!AR9</f>
        <v>5666.581806999995</v>
      </c>
      <c r="J23" s="331">
        <f>'利润（汇总）'!AS9</f>
        <v>3797</v>
      </c>
      <c r="K23" s="331">
        <f>'利润（汇总）'!AT9</f>
        <v>3017</v>
      </c>
      <c r="L23" s="331">
        <f>'利润（汇总）'!AU9</f>
        <v>3526</v>
      </c>
      <c r="M23" s="331">
        <f>'利润（汇总）'!AV9</f>
        <v>5561.8383140000096</v>
      </c>
      <c r="N23" s="331">
        <f>'利润（汇总）'!AW9</f>
        <v>0</v>
      </c>
      <c r="O23" s="331">
        <f>'利润（汇总）'!AX9</f>
        <v>0</v>
      </c>
      <c r="P23" s="331">
        <f>'利润（汇总）'!AY9</f>
        <v>0</v>
      </c>
      <c r="Q23" s="331">
        <f>'利润（汇总）'!AZ9</f>
        <v>0</v>
      </c>
      <c r="R23" s="186">
        <f t="shared" si="13"/>
        <v>31144.370124000008</v>
      </c>
    </row>
    <row r="24" spans="3:27">
      <c r="E24" s="1358" t="s">
        <v>1534</v>
      </c>
      <c r="F24" s="331">
        <f>F21+F22+F23</f>
        <v>52981.1687040006</v>
      </c>
      <c r="G24" s="331">
        <f t="shared" ref="G24:H24" si="14">G21+G22+G23</f>
        <v>79230.723265000008</v>
      </c>
      <c r="H24" s="331">
        <f t="shared" si="14"/>
        <v>90016.462616050892</v>
      </c>
      <c r="I24" s="331">
        <f t="shared" ref="I24" si="15">I21+I22+I23</f>
        <v>86740.232778339385</v>
      </c>
      <c r="J24" s="331">
        <f t="shared" ref="J24" si="16">J21+J22+J23</f>
        <v>128601.63731899799</v>
      </c>
      <c r="K24" s="331">
        <f t="shared" ref="K24" si="17">K21+K22+K23</f>
        <v>122091.187737215</v>
      </c>
      <c r="L24" s="331">
        <f t="shared" ref="L24" si="18">L21+L22+L23</f>
        <v>-893.58299999999963</v>
      </c>
      <c r="M24" s="331">
        <f t="shared" ref="M24" si="19">M21+M22+M23</f>
        <v>7392.8670949999996</v>
      </c>
      <c r="N24" s="331">
        <f t="shared" ref="N24" si="20">N21+N22+N23</f>
        <v>0</v>
      </c>
      <c r="O24" s="331">
        <f t="shared" ref="O24" si="21">O21+O22+O23</f>
        <v>0</v>
      </c>
      <c r="P24" s="331">
        <f t="shared" ref="P24" si="22">P21+P22+P23</f>
        <v>0</v>
      </c>
      <c r="Q24" s="331">
        <f t="shared" ref="Q24" si="23">Q21+Q22+Q23</f>
        <v>0</v>
      </c>
      <c r="R24" s="186">
        <f t="shared" si="13"/>
        <v>566160.6965146038</v>
      </c>
    </row>
    <row r="25" spans="3:27">
      <c r="E25" s="1358" t="s">
        <v>1535</v>
      </c>
      <c r="F25" s="2381">
        <v>38244</v>
      </c>
      <c r="G25" s="2381">
        <v>60116.331542</v>
      </c>
      <c r="H25" s="2381">
        <v>72798.662575999988</v>
      </c>
      <c r="I25" s="2381"/>
      <c r="J25" s="2381"/>
      <c r="K25" s="2381"/>
      <c r="L25" s="2381"/>
      <c r="M25" s="2381"/>
      <c r="N25" s="2381"/>
      <c r="O25" s="2381"/>
      <c r="P25" s="2381"/>
      <c r="Q25" s="2381"/>
      <c r="R25" s="2384">
        <f t="shared" si="13"/>
        <v>171158.99411799997</v>
      </c>
    </row>
    <row r="26" spans="3:27">
      <c r="E26" s="1358" t="s">
        <v>1536</v>
      </c>
      <c r="F26" s="2385">
        <v>168.1</v>
      </c>
      <c r="G26" s="2385">
        <v>165.6</v>
      </c>
      <c r="H26" s="2385">
        <v>166.9</v>
      </c>
      <c r="I26" s="2381"/>
      <c r="J26" s="2381"/>
      <c r="K26" s="2381"/>
      <c r="L26" s="2381"/>
      <c r="M26" s="2381"/>
      <c r="N26" s="2381"/>
      <c r="O26" s="2381"/>
      <c r="P26" s="2381"/>
      <c r="Q26" s="2381"/>
      <c r="R26" s="2382"/>
    </row>
    <row r="27" spans="3:27">
      <c r="E27" s="1358" t="s">
        <v>1537</v>
      </c>
      <c r="F27" s="2385">
        <v>6.4709000000000003</v>
      </c>
      <c r="G27" s="2385">
        <v>6.4713000000000003</v>
      </c>
      <c r="H27" s="2385">
        <v>6.5712999999999999</v>
      </c>
      <c r="I27" s="2381"/>
      <c r="J27" s="2381"/>
      <c r="K27" s="2381"/>
      <c r="L27" s="2381"/>
      <c r="M27" s="2381"/>
      <c r="N27" s="2381"/>
      <c r="O27" s="2381"/>
      <c r="P27" s="2381"/>
      <c r="Q27" s="2381"/>
      <c r="R27" s="2382"/>
    </row>
    <row r="28" spans="3:27">
      <c r="E28" s="1358" t="s">
        <v>1538</v>
      </c>
      <c r="F28" s="331">
        <f>F27*F26</f>
        <v>1087.75829</v>
      </c>
      <c r="G28" s="331">
        <f t="shared" ref="G28:H28" si="24">G27*G26</f>
        <v>1071.6472799999999</v>
      </c>
      <c r="H28" s="331">
        <f t="shared" si="24"/>
        <v>1096.7499700000001</v>
      </c>
    </row>
    <row r="29" spans="3:27">
      <c r="E29" s="1358" t="s">
        <v>1542</v>
      </c>
      <c r="F29" s="331">
        <f>F28/62*65*0.85</f>
        <v>969.33299229838713</v>
      </c>
      <c r="G29" s="331">
        <f t="shared" ref="G29:H29" si="25">G28/62*65*0.85</f>
        <v>954.97600354838698</v>
      </c>
      <c r="H29" s="331">
        <f t="shared" si="25"/>
        <v>977.34573939516122</v>
      </c>
    </row>
    <row r="30" spans="3:27">
      <c r="E30" s="1358" t="s">
        <v>1541</v>
      </c>
      <c r="F30" s="331">
        <f>'#采购&amp;股份关联'!AO61</f>
        <v>782.94961306113805</v>
      </c>
      <c r="G30" s="331">
        <f>'#采购&amp;股份关联'!AP61</f>
        <v>819.95571609638932</v>
      </c>
      <c r="H30" s="331">
        <f>'#采购&amp;股份关联'!AQ61</f>
        <v>1035</v>
      </c>
    </row>
    <row r="31" spans="3:27">
      <c r="E31" s="1358" t="s">
        <v>1540</v>
      </c>
      <c r="F31" s="331">
        <f>F29-F30</f>
        <v>186.38337923724907</v>
      </c>
      <c r="G31" s="331">
        <f t="shared" ref="G31:H31" si="26">G29-G30</f>
        <v>135.02028745199766</v>
      </c>
      <c r="H31" s="331">
        <f t="shared" si="26"/>
        <v>-57.654260604838782</v>
      </c>
    </row>
    <row r="32" spans="3:27">
      <c r="E32" s="1358" t="s">
        <v>1539</v>
      </c>
      <c r="F32" s="322">
        <f>'#采购&amp;股份关联'!AO79</f>
        <v>99.17</v>
      </c>
      <c r="G32" s="322">
        <f>'#采购&amp;股份关联'!AP79</f>
        <v>97.780000000000015</v>
      </c>
      <c r="H32" s="322">
        <f>'#采购&amp;股份关联'!AQ79</f>
        <v>89.14</v>
      </c>
      <c r="R32" s="186">
        <f t="shared" ref="R32" si="27">SUM(F32:Q32)</f>
        <v>286.09000000000003</v>
      </c>
    </row>
    <row r="33" spans="4:18">
      <c r="E33" s="1358" t="s">
        <v>1543</v>
      </c>
      <c r="F33" s="2381">
        <v>17570.48</v>
      </c>
      <c r="G33" s="2381">
        <v>10635.48</v>
      </c>
      <c r="H33" s="2381">
        <v>-8801.76</v>
      </c>
      <c r="I33" s="2382"/>
      <c r="J33" s="2382"/>
      <c r="K33" s="2382"/>
      <c r="L33" s="2382"/>
      <c r="M33" s="2382"/>
      <c r="N33" s="2382"/>
      <c r="O33" s="2382"/>
      <c r="P33" s="2382"/>
      <c r="Q33" s="2382"/>
      <c r="R33" s="2384">
        <f>SUM(F33:Q33)</f>
        <v>19404.199999999997</v>
      </c>
    </row>
    <row r="34" spans="4:18">
      <c r="E34" s="1358" t="s">
        <v>1544</v>
      </c>
      <c r="F34">
        <v>0.9</v>
      </c>
      <c r="G34">
        <v>0.9</v>
      </c>
      <c r="H34">
        <v>0.9</v>
      </c>
      <c r="I34">
        <v>0.9</v>
      </c>
      <c r="J34">
        <v>0.9</v>
      </c>
      <c r="K34">
        <v>0.9</v>
      </c>
      <c r="L34">
        <v>0.9</v>
      </c>
      <c r="M34">
        <v>0.9</v>
      </c>
      <c r="N34">
        <v>0.9</v>
      </c>
      <c r="O34">
        <v>0.9</v>
      </c>
      <c r="P34">
        <v>0.9</v>
      </c>
      <c r="Q34">
        <v>0.9</v>
      </c>
      <c r="R34">
        <v>0.9</v>
      </c>
    </row>
    <row r="35" spans="4:18">
      <c r="E35" s="1358" t="s">
        <v>1545</v>
      </c>
      <c r="F35">
        <f>F34*F16</f>
        <v>31869.619833600536</v>
      </c>
      <c r="G35">
        <f t="shared" ref="G35:I35" si="28">G34*G16</f>
        <v>61735.718938500009</v>
      </c>
      <c r="H35">
        <f t="shared" si="28"/>
        <v>88936.400354445796</v>
      </c>
      <c r="I35">
        <f t="shared" si="28"/>
        <v>0</v>
      </c>
      <c r="J35">
        <f t="shared" ref="J35" si="29">J34*J16</f>
        <v>0</v>
      </c>
      <c r="K35">
        <f t="shared" ref="K35:L35" si="30">K34*K16</f>
        <v>0</v>
      </c>
      <c r="L35">
        <f t="shared" si="30"/>
        <v>0</v>
      </c>
      <c r="M35">
        <f t="shared" ref="M35" si="31">M34*M16</f>
        <v>0</v>
      </c>
      <c r="N35">
        <f t="shared" ref="N35:O35" si="32">N34*N16</f>
        <v>0</v>
      </c>
      <c r="O35">
        <f t="shared" si="32"/>
        <v>0</v>
      </c>
      <c r="P35">
        <f t="shared" ref="P35" si="33">P34*P16</f>
        <v>0</v>
      </c>
      <c r="Q35">
        <f t="shared" ref="Q35" si="34">Q34*Q16</f>
        <v>0</v>
      </c>
      <c r="R35">
        <f>R34*R16</f>
        <v>182541.73912654634</v>
      </c>
    </row>
    <row r="36" spans="4:18">
      <c r="D36">
        <v>409.0828063376</v>
      </c>
      <c r="E36" s="1358" t="s">
        <v>1550</v>
      </c>
      <c r="F36" s="188">
        <v>413.34302309079999</v>
      </c>
      <c r="G36">
        <v>420.85286254537903</v>
      </c>
      <c r="H36">
        <v>429.51153867886501</v>
      </c>
    </row>
    <row r="37" spans="4:18">
      <c r="E37" s="1358" t="s">
        <v>1551</v>
      </c>
      <c r="F37">
        <f>($D$36+F36)/2</f>
        <v>411.2129147142</v>
      </c>
      <c r="G37">
        <f>($D$36+G36)/2</f>
        <v>414.96783444148952</v>
      </c>
      <c r="H37">
        <f>($D$36+H36)/2</f>
        <v>419.29717250823251</v>
      </c>
    </row>
    <row r="38" spans="4:18">
      <c r="E38" s="1358" t="s">
        <v>1552</v>
      </c>
      <c r="F38" s="2397">
        <f>SUMIFS(35:35,$2:$2,"&lt;="&amp;F2)*12/F2/10000/F37</f>
        <v>9.3001806197892792E-2</v>
      </c>
      <c r="G38" s="2397">
        <f t="shared" ref="G38:H38" si="35">SUMIFS(35:35,$2:$2,"&lt;="&amp;G2)*12/G2/10000/G37</f>
        <v>0.13534351003096684</v>
      </c>
      <c r="H38" s="2397">
        <f t="shared" si="35"/>
        <v>0.17414068216542747</v>
      </c>
    </row>
    <row r="40" spans="4:18">
      <c r="R40" s="186"/>
    </row>
  </sheetData>
  <customSheetViews>
    <customSheetView guid="{1683F931-F47D-47C0-A395-D48080DC7EE6}" showPageBreaks="1">
      <selection activeCell="A12" sqref="A12:XFD12"/>
      <pageMargins left="0.7" right="0.7" top="0.75" bottom="0.75" header="0.3" footer="0.3"/>
      <pageSetup paperSize="9" orientation="portrait" r:id="rId1"/>
    </customSheetView>
    <customSheetView guid="{43897816-D2F0-4C3D-8F57-E0039BD2296B}">
      <selection activeCell="A12" sqref="A12:XFD12"/>
      <pageMargins left="0.7" right="0.7" top="0.75" bottom="0.75" header="0.3" footer="0.3"/>
    </customSheetView>
    <customSheetView guid="{849C46E5-4ED4-41B9-BDA9-A6465B9DA9C2}" scale="115" fitToPage="1" hiddenColumns="1" topLeftCell="B1">
      <selection activeCell="F17" sqref="F17"/>
      <pageMargins left="0.7" right="0.7" top="0.75" bottom="0.75" header="0.3" footer="0.3"/>
      <pageSetup paperSize="9" scale="39" orientation="portrait" r:id="rId2"/>
    </customSheetView>
    <customSheetView guid="{8C09BCDE-4B8A-4469-B3F2-7F4528A2E78D}" scale="115" fitToPage="1" hiddenColumns="1" topLeftCell="B1">
      <selection activeCell="F17" sqref="F17"/>
      <pageMargins left="0.7" right="0.7" top="0.75" bottom="0.75" header="0.3" footer="0.3"/>
      <pageSetup paperSize="9" scale="39" orientation="portrait" r:id="rId3"/>
    </customSheetView>
    <customSheetView guid="{F4EB51F4-FD23-4D5B-8072-1AF5D59D6686}">
      <selection activeCell="D11" sqref="D11"/>
      <pageMargins left="0.7" right="0.7" top="0.75" bottom="0.75" header="0.3" footer="0.3"/>
    </customSheetView>
    <customSheetView guid="{D7BCFB76-2797-401D-A6F1-E020B5162DD4}">
      <selection activeCell="A12" sqref="A12:XFD12"/>
      <pageMargins left="0.7" right="0.7" top="0.75" bottom="0.75" header="0.3" footer="0.3"/>
    </customSheetView>
    <customSheetView guid="{C9A88430-3808-49F4-8D86-BF8C70C55441}" topLeftCell="A4">
      <selection activeCell="C12" sqref="C12:C18"/>
      <pageMargins left="0.7" right="0.7" top="0.75" bottom="0.75" header="0.3" footer="0.3"/>
      <pageSetup paperSize="9" orientation="portrait" r:id="rId4"/>
    </customSheetView>
    <customSheetView guid="{E61FFED3-723E-484A-93A0-94E1A801AF06}">
      <selection activeCell="A12" sqref="A12:XFD12"/>
      <pageMargins left="0.7" right="0.7" top="0.75" bottom="0.75" header="0.3" footer="0.3"/>
      <pageSetup paperSize="9" orientation="portrait" r:id="rId5"/>
    </customSheetView>
    <customSheetView guid="{6B5CCA07-2BDD-4B8E-9E3C-2111BBA97430}">
      <selection sqref="A1:A1048576"/>
      <pageMargins left="0.7" right="0.7" top="0.75" bottom="0.75" header="0.3" footer="0.3"/>
    </customSheetView>
    <customSheetView guid="{C52D0F53-4D1D-4D01-B833-260359FD02A5}">
      <selection activeCell="D11" sqref="D11"/>
      <pageMargins left="0.7" right="0.7" top="0.75" bottom="0.75" header="0.3" footer="0.3"/>
    </customSheetView>
    <customSheetView guid="{6A1E79C9-91E3-4EEA-8ABB-4446083299EC}">
      <selection activeCell="A12" sqref="A12:XFD12"/>
      <pageMargins left="0.7" right="0.7" top="0.75" bottom="0.75" header="0.3" footer="0.3"/>
      <pageSetup paperSize="9" orientation="portrait" r:id="rId6"/>
    </customSheetView>
    <customSheetView guid="{8B80B510-C931-46B1-8591-DEA916D76593}">
      <selection activeCell="F11" sqref="F11"/>
      <pageMargins left="0.7" right="0.7" top="0.75" bottom="0.75" header="0.3" footer="0.3"/>
    </customSheetView>
    <customSheetView guid="{303A9D89-611D-4504-BCAA-071C53B021F7}">
      <selection activeCell="D11" sqref="D11"/>
      <pageMargins left="0.7" right="0.7" top="0.75" bottom="0.75" header="0.3" footer="0.3"/>
    </customSheetView>
    <customSheetView guid="{4583A87D-5DFF-47BD-849A-FA4AAF2B9CE3}">
      <selection activeCell="D11" sqref="D11"/>
      <pageMargins left="0.7" right="0.7" top="0.75" bottom="0.75" header="0.3" footer="0.3"/>
    </customSheetView>
    <customSheetView guid="{EA856AC2-CDFF-46B6-B0C4-30449DF132F4}">
      <selection activeCell="A12" sqref="A12:XFD12"/>
      <pageMargins left="0.7" right="0.7" top="0.75" bottom="0.75" header="0.3" footer="0.3"/>
    </customSheetView>
    <customSheetView guid="{322A45A6-8B26-49B8-A4D9-EFB3C94A758D}">
      <selection activeCell="A12" sqref="A12:XFD12"/>
      <pageMargins left="0.7" right="0.7" top="0.75" bottom="0.75" header="0.3" footer="0.3"/>
      <pageSetup paperSize="9" orientation="portrait" r:id="rId7"/>
    </customSheetView>
  </customSheetViews>
  <mergeCells count="17">
    <mergeCell ref="Y3:AA3"/>
    <mergeCell ref="W3:X3"/>
    <mergeCell ref="U3:V3"/>
    <mergeCell ref="U13:V13"/>
    <mergeCell ref="W13:X13"/>
    <mergeCell ref="Y13:AA13"/>
    <mergeCell ref="C3:E3"/>
    <mergeCell ref="D5:D6"/>
    <mergeCell ref="C4:C10"/>
    <mergeCell ref="D7:D9"/>
    <mergeCell ref="D4:E4"/>
    <mergeCell ref="D10:E10"/>
    <mergeCell ref="D12:E12"/>
    <mergeCell ref="D13:D14"/>
    <mergeCell ref="D15:D17"/>
    <mergeCell ref="D18:E18"/>
    <mergeCell ref="C12:C18"/>
  </mergeCells>
  <phoneticPr fontId="133" type="noConversion"/>
  <pageMargins left="0.7" right="0.7" top="0.75" bottom="0.75" header="0.3" footer="0.3"/>
  <pageSetup paperSize="9" orientation="portrait" r:id="rId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57"/>
  <sheetViews>
    <sheetView workbookViewId="0">
      <selection activeCell="N14" sqref="N14"/>
    </sheetView>
  </sheetViews>
  <sheetFormatPr defaultColWidth="9" defaultRowHeight="14.25"/>
  <cols>
    <col min="1" max="1" width="30" style="573" customWidth="1"/>
    <col min="2" max="4" width="13.5" style="573" customWidth="1"/>
    <col min="5" max="5" width="14.75" style="573" customWidth="1"/>
    <col min="6" max="6" width="17.375" style="573" customWidth="1"/>
    <col min="7" max="7" width="9" style="573"/>
    <col min="8" max="8" width="9.25" style="573" customWidth="1"/>
    <col min="9" max="9" width="19.25" style="573" customWidth="1"/>
    <col min="10" max="10" width="9.5" style="573" customWidth="1"/>
    <col min="11" max="11" width="14.875" style="573" customWidth="1"/>
    <col min="12" max="13" width="9.375" style="573" customWidth="1"/>
    <col min="14" max="14" width="9" style="573"/>
    <col min="15" max="15" width="15.125" style="573" customWidth="1"/>
    <col min="16" max="16" width="7.75" style="573" customWidth="1"/>
    <col min="17" max="18" width="9.375" style="573" customWidth="1"/>
    <col min="19" max="19" width="7.125" style="573" customWidth="1"/>
    <col min="20" max="20" width="9" style="573" customWidth="1"/>
    <col min="21" max="16384" width="9" style="573"/>
  </cols>
  <sheetData>
    <row r="1" spans="1:20" ht="48" customHeight="1">
      <c r="A1" s="2744" t="str">
        <f>"太钢集团"&amp;F1&amp;"月利润分析-比预算"</f>
        <v>太钢集团3月利润分析-比预算</v>
      </c>
      <c r="B1" s="2744"/>
      <c r="C1" s="2744"/>
      <c r="D1" s="2744"/>
      <c r="E1" s="573">
        <v>2020</v>
      </c>
      <c r="F1" s="573">
        <v>3</v>
      </c>
    </row>
    <row r="2" spans="1:20">
      <c r="A2" s="574" t="s">
        <v>3</v>
      </c>
      <c r="B2" s="574" t="s">
        <v>58</v>
      </c>
      <c r="C2" s="574" t="str">
        <f>F1&amp;"月"</f>
        <v>3月</v>
      </c>
      <c r="D2" s="574" t="s">
        <v>813</v>
      </c>
      <c r="E2" s="575"/>
      <c r="F2" s="573" t="s">
        <v>50</v>
      </c>
      <c r="O2" s="573" t="s">
        <v>814</v>
      </c>
    </row>
    <row r="3" spans="1:20">
      <c r="A3" s="576" t="s">
        <v>815</v>
      </c>
      <c r="B3" s="577"/>
      <c r="C3" s="577"/>
      <c r="D3" s="578">
        <f>D22-D6</f>
        <v>-41467.550727530237</v>
      </c>
      <c r="F3" s="579"/>
      <c r="G3" s="579"/>
      <c r="H3" s="574" t="s">
        <v>58</v>
      </c>
      <c r="I3" s="574" t="str">
        <f>F1&amp;"月"</f>
        <v>3月</v>
      </c>
      <c r="J3" s="574" t="s">
        <v>77</v>
      </c>
      <c r="K3" s="574" t="s">
        <v>813</v>
      </c>
      <c r="L3" s="579"/>
      <c r="M3" s="579"/>
      <c r="O3" s="573" t="str">
        <f>钢铁分析!U48</f>
        <v>碳钢</v>
      </c>
      <c r="P3" s="606">
        <f>钢铁分析!V48</f>
        <v>-55.662174233333417</v>
      </c>
      <c r="Q3" s="606">
        <f>钢铁分析!W48</f>
        <v>-14.249516603733355</v>
      </c>
    </row>
    <row r="4" spans="1:20">
      <c r="A4" s="579" t="s">
        <v>816</v>
      </c>
      <c r="B4" s="574"/>
      <c r="C4" s="574"/>
      <c r="D4" s="580" t="e">
        <f>K8</f>
        <v>#REF!</v>
      </c>
      <c r="F4" s="579" t="s">
        <v>562</v>
      </c>
      <c r="G4" s="574" t="s">
        <v>196</v>
      </c>
      <c r="H4" s="581">
        <f>15300/1.13</f>
        <v>13539.823008849558</v>
      </c>
      <c r="I4" s="581" t="e">
        <f>SUMPRODUCT(#REF!,(#REF!=$E$1)*(#REF!=$F$1)*(#REF!=F4))/1.13</f>
        <v>#REF!</v>
      </c>
      <c r="J4" s="607">
        <f>J9-J5</f>
        <v>19.749656744974864</v>
      </c>
      <c r="K4" s="581" t="e">
        <f>(I4-H4)*J4</f>
        <v>#REF!</v>
      </c>
      <c r="L4" s="580" t="e">
        <f>(I4-H4)*1.17</f>
        <v>#REF!</v>
      </c>
      <c r="M4" s="608" t="e">
        <f>L4/1.17/H4</f>
        <v>#REF!</v>
      </c>
      <c r="N4"/>
      <c r="O4" s="573" t="str">
        <f>钢铁分析!U49</f>
        <v>不锈钢</v>
      </c>
      <c r="P4" s="606">
        <f>钢铁分析!V49</f>
        <v>-157.90944361309732</v>
      </c>
      <c r="Q4" s="606">
        <f>钢铁分析!W49</f>
        <v>-109.32192250137506</v>
      </c>
      <c r="R4"/>
      <c r="S4"/>
      <c r="T4"/>
    </row>
    <row r="5" spans="1:20">
      <c r="A5" s="579" t="s">
        <v>817</v>
      </c>
      <c r="B5" s="574"/>
      <c r="C5" s="574"/>
      <c r="D5" s="580" t="e">
        <f>D3-D4-D12</f>
        <v>#REF!</v>
      </c>
      <c r="F5" s="579" t="s">
        <v>563</v>
      </c>
      <c r="G5" s="574" t="s">
        <v>196</v>
      </c>
      <c r="H5" s="581">
        <f>8000/1.13</f>
        <v>7079.6460176991159</v>
      </c>
      <c r="I5" s="581" t="e">
        <f>SUMPRODUCT(#REF!,(#REF!=$E$1)*(#REF!=$F$1)*(#REF!=F5))/1.13</f>
        <v>#REF!</v>
      </c>
      <c r="J5" s="607">
        <f>J9*J10</f>
        <v>12.640090055025127</v>
      </c>
      <c r="K5" s="581" t="e">
        <f>(I5-H5)*J5</f>
        <v>#REF!</v>
      </c>
      <c r="L5" s="580" t="e">
        <f>(I5-H5)*1.17</f>
        <v>#REF!</v>
      </c>
      <c r="M5" s="608" t="e">
        <f>L5/1.17/H5</f>
        <v>#REF!</v>
      </c>
      <c r="N5"/>
      <c r="O5" s="573" t="str">
        <f>钢铁分析!U50</f>
        <v>合计</v>
      </c>
      <c r="P5" s="606">
        <f>钢铁分析!V50</f>
        <v>-213.57161784643074</v>
      </c>
      <c r="Q5" s="606">
        <f>钢铁分析!W50</f>
        <v>-123.57143910510841</v>
      </c>
      <c r="R5"/>
      <c r="S5"/>
      <c r="T5"/>
    </row>
    <row r="6" spans="1:20">
      <c r="A6" s="576" t="s">
        <v>818</v>
      </c>
      <c r="B6" s="582">
        <f>B7+B8</f>
        <v>72799.166666666672</v>
      </c>
      <c r="C6" s="582">
        <f>C7+C8</f>
        <v>0</v>
      </c>
      <c r="D6" s="578">
        <f>D7+D8-D12</f>
        <v>34882.500000000007</v>
      </c>
      <c r="E6" s="583"/>
      <c r="F6" s="579" t="s">
        <v>564</v>
      </c>
      <c r="G6" s="574" t="s">
        <v>196</v>
      </c>
      <c r="H6" s="581">
        <f>3600/1.13</f>
        <v>3185.8407079646022</v>
      </c>
      <c r="I6" s="581" t="e">
        <f>SUMPRODUCT(#REF!,(#REF!=$E$1)*(#REF!=$F$1)*(#REF!=F6))/1.13</f>
        <v>#REF!</v>
      </c>
      <c r="J6" s="607">
        <f>J8-J4-J5-J7</f>
        <v>47.813453100000018</v>
      </c>
      <c r="K6" s="581" t="e">
        <f>(I6-H6)*J6</f>
        <v>#REF!</v>
      </c>
      <c r="L6" s="580" t="e">
        <f>(I6-H6)*1.17</f>
        <v>#REF!</v>
      </c>
      <c r="M6" s="608" t="e">
        <f>L6/1.17/H6</f>
        <v>#REF!</v>
      </c>
      <c r="N6"/>
      <c r="R6"/>
      <c r="S6"/>
      <c r="T6"/>
    </row>
    <row r="7" spans="1:20">
      <c r="A7" s="579" t="s">
        <v>819</v>
      </c>
      <c r="B7" s="581">
        <f>225000/12</f>
        <v>18750</v>
      </c>
      <c r="C7" s="581"/>
      <c r="D7" s="580">
        <f>C7-B7</f>
        <v>-18750</v>
      </c>
      <c r="F7" s="579" t="s">
        <v>565</v>
      </c>
      <c r="G7" s="574" t="s">
        <v>196</v>
      </c>
      <c r="H7" s="581">
        <f>4900/1.13</f>
        <v>4336.283185840708</v>
      </c>
      <c r="I7" s="581" t="e">
        <f>SUMPRODUCT(#REF!,(#REF!=$E$1)*(#REF!=$F$1)*(#REF!=F7))/1.13</f>
        <v>#REF!</v>
      </c>
      <c r="J7" s="607">
        <f>SUMPRODUCT('#销量数据'!$C$4:$AAB$114,('#销量数据'!$C$1:$AAB$1=$E$1)*('#销量数据'!$C$2:$AAB$2=$F$1)*('#销量数据'!$C$3:$AAB$3="销量")*('#销量数据'!$B$4:$B$114="冷轧硅钢厂")*('#销量数据'!$A$4:$A$114="碳钢"))/10000</f>
        <v>8.3666453999999995</v>
      </c>
      <c r="K7" s="581" t="e">
        <f>(I7-H7)*J7</f>
        <v>#REF!</v>
      </c>
      <c r="L7" s="580" t="e">
        <f>(I7-H7)*1.17</f>
        <v>#REF!</v>
      </c>
      <c r="M7" s="608" t="e">
        <f>L7/1.17/H7</f>
        <v>#REF!</v>
      </c>
      <c r="N7"/>
      <c r="O7" s="180" t="s">
        <v>725</v>
      </c>
      <c r="P7" t="s">
        <v>69</v>
      </c>
      <c r="Q7" t="s">
        <v>585</v>
      </c>
      <c r="R7"/>
      <c r="S7"/>
      <c r="T7"/>
    </row>
    <row r="8" spans="1:20" ht="16.5">
      <c r="A8" s="579" t="s">
        <v>820</v>
      </c>
      <c r="B8" s="581">
        <f>B9+B11+B13</f>
        <v>54049.166666666672</v>
      </c>
      <c r="C8" s="581">
        <f>C9+C11+C13</f>
        <v>0</v>
      </c>
      <c r="D8" s="580">
        <f t="shared" ref="D8:D13" si="0">B8-C8</f>
        <v>54049.166666666672</v>
      </c>
      <c r="E8" s="583">
        <f>D9+D11-D12+D13</f>
        <v>53632.500000000007</v>
      </c>
      <c r="F8" s="584" t="s">
        <v>69</v>
      </c>
      <c r="G8" s="584"/>
      <c r="H8" s="584"/>
      <c r="I8" s="584"/>
      <c r="J8" s="609">
        <f>SUMPRODUCT(钢材数据!$C$4:$K$133,(钢材数据!$C$2:$K$2="合计")*(钢材数据!$B$4:$B$133=$F$1)*(钢材数据!$A$4:$A$133=$E$1)*(钢材数据!$C$3:$K$3="销量"))</f>
        <v>88.569845299999997</v>
      </c>
      <c r="K8" s="610" t="e">
        <f>SUM(K4:K7)</f>
        <v>#REF!</v>
      </c>
      <c r="L8" s="584"/>
      <c r="M8" s="584"/>
      <c r="O8" t="s">
        <v>821</v>
      </c>
      <c r="P8" s="184">
        <f>J9*H10</f>
        <v>14.575386059999996</v>
      </c>
      <c r="Q8" s="186" t="e">
        <f>I5-I4</f>
        <v>#REF!</v>
      </c>
      <c r="R8"/>
      <c r="S8"/>
      <c r="T8"/>
    </row>
    <row r="9" spans="1:20" ht="16.5">
      <c r="A9" s="585" t="s">
        <v>822</v>
      </c>
      <c r="B9" s="581">
        <f>217070/12</f>
        <v>18089.166666666668</v>
      </c>
      <c r="C9" s="581"/>
      <c r="D9" s="580">
        <f t="shared" si="0"/>
        <v>18089.166666666668</v>
      </c>
      <c r="F9" s="584" t="s">
        <v>396</v>
      </c>
      <c r="G9" s="584"/>
      <c r="H9" s="584"/>
      <c r="I9" s="584"/>
      <c r="J9" s="609">
        <f>SUMPRODUCT(钢材数据!$C$4:$K$133,(钢材数据!$C$2:$K$2="不锈钢")*(钢材数据!$B$4:$B$133=$F$1)*(钢材数据!$A$4:$A$133=$E$1)*(钢材数据!$C$3:$K$3="销量"))</f>
        <v>32.38974679999999</v>
      </c>
      <c r="K9" s="584"/>
      <c r="L9" s="584"/>
      <c r="M9" s="584"/>
      <c r="O9" s="573" t="s">
        <v>823</v>
      </c>
      <c r="P9" s="611">
        <f>J5</f>
        <v>12.640090055025127</v>
      </c>
      <c r="Q9" s="573" t="s">
        <v>586</v>
      </c>
    </row>
    <row r="10" spans="1:20" ht="16.5">
      <c r="A10" s="585" t="s">
        <v>824</v>
      </c>
      <c r="B10" s="581"/>
      <c r="C10" s="581"/>
      <c r="D10" s="580">
        <f t="shared" si="0"/>
        <v>0</v>
      </c>
      <c r="F10" s="584" t="s">
        <v>604</v>
      </c>
      <c r="G10" s="584"/>
      <c r="H10" s="586">
        <v>0.45</v>
      </c>
      <c r="I10" s="584"/>
      <c r="J10" s="612">
        <f>SUMIFS('#销量数据'!94:94,'#销量数据'!1:1,E1,'#销量数据'!2:2,F1)/100</f>
        <v>0.3902497334442</v>
      </c>
      <c r="K10" s="584"/>
      <c r="L10" s="613">
        <f>J10-H10</f>
        <v>-5.9750266555800013E-2</v>
      </c>
      <c r="M10" s="584"/>
      <c r="O10" s="573" t="s">
        <v>825</v>
      </c>
      <c r="P10" s="611">
        <f>P9-P8</f>
        <v>-1.9352960049748695</v>
      </c>
      <c r="Q10" s="590" t="e">
        <f>P10*Q8</f>
        <v>#REF!</v>
      </c>
    </row>
    <row r="11" spans="1:20">
      <c r="A11" s="585" t="s">
        <v>826</v>
      </c>
      <c r="B11" s="581">
        <f>244200/12</f>
        <v>20350</v>
      </c>
      <c r="C11" s="581"/>
      <c r="D11" s="580">
        <f t="shared" si="0"/>
        <v>20350</v>
      </c>
      <c r="E11" s="583">
        <f>D11-D12</f>
        <v>19933.333333333332</v>
      </c>
    </row>
    <row r="12" spans="1:20">
      <c r="A12" s="585" t="s">
        <v>827</v>
      </c>
      <c r="B12" s="581">
        <f>5000/12</f>
        <v>416.66666666666669</v>
      </c>
      <c r="C12" s="581"/>
      <c r="D12" s="580">
        <f t="shared" si="0"/>
        <v>416.66666666666669</v>
      </c>
      <c r="E12" s="583"/>
      <c r="F12" s="583"/>
    </row>
    <row r="13" spans="1:20">
      <c r="A13" s="585" t="s">
        <v>828</v>
      </c>
      <c r="B13" s="581">
        <f>187320/12</f>
        <v>15610</v>
      </c>
      <c r="C13" s="581"/>
      <c r="D13" s="580">
        <f t="shared" si="0"/>
        <v>15610</v>
      </c>
      <c r="F13" s="583"/>
    </row>
    <row r="14" spans="1:20" ht="29.25" customHeight="1">
      <c r="A14" s="576" t="s">
        <v>829</v>
      </c>
      <c r="B14" s="577">
        <f>B15+B16+B18+B17</f>
        <v>0</v>
      </c>
      <c r="C14" s="577">
        <f>C15+C16+C18+C17</f>
        <v>0</v>
      </c>
      <c r="D14" s="578">
        <f t="shared" ref="D14:D23" si="1">C14-B14</f>
        <v>0</v>
      </c>
      <c r="F14" s="587" t="s">
        <v>470</v>
      </c>
      <c r="G14" s="588" t="s">
        <v>58</v>
      </c>
      <c r="H14" s="588" t="str">
        <f>F1&amp;"月"</f>
        <v>3月</v>
      </c>
      <c r="I14" s="588" t="s">
        <v>9</v>
      </c>
      <c r="J14" s="588" t="s">
        <v>77</v>
      </c>
      <c r="K14" s="614" t="s">
        <v>589</v>
      </c>
    </row>
    <row r="15" spans="1:20">
      <c r="A15" s="579" t="s">
        <v>830</v>
      </c>
      <c r="B15" s="574"/>
      <c r="C15" s="574"/>
      <c r="D15" s="580">
        <f t="shared" si="1"/>
        <v>0</v>
      </c>
      <c r="F15" s="589" t="s">
        <v>593</v>
      </c>
      <c r="G15" s="590">
        <v>14000</v>
      </c>
      <c r="H15" s="590">
        <v>17121.304347826099</v>
      </c>
      <c r="I15" s="590">
        <f>H15-G15</f>
        <v>3121.3043478260988</v>
      </c>
      <c r="J15" s="611">
        <f>0.1234+0.5616+4.4733*0.1</f>
        <v>1.1323300000000001</v>
      </c>
      <c r="K15" s="615">
        <f>-I15*6.8*J15</f>
        <v>-24033.556554782703</v>
      </c>
    </row>
    <row r="16" spans="1:20">
      <c r="A16" s="579" t="s">
        <v>831</v>
      </c>
      <c r="B16" s="574"/>
      <c r="C16" s="574"/>
      <c r="D16" s="580">
        <f t="shared" si="1"/>
        <v>0</v>
      </c>
      <c r="F16" s="589" t="s">
        <v>595</v>
      </c>
      <c r="G16" s="590">
        <v>6500</v>
      </c>
      <c r="H16" s="590">
        <v>6421.0526315789502</v>
      </c>
      <c r="I16" s="590">
        <f>H16-G16</f>
        <v>-78.947368421049759</v>
      </c>
      <c r="J16" s="611">
        <f>(2.4339*0.69+6.6021*0.53+2.1989*0.49)/0.5</f>
        <v>12.51193</v>
      </c>
      <c r="K16" s="615">
        <f>-I16*J16</f>
        <v>987.78394736838504</v>
      </c>
    </row>
    <row r="17" spans="1:21">
      <c r="A17" s="579" t="s">
        <v>832</v>
      </c>
      <c r="B17" s="574"/>
      <c r="C17" s="574"/>
      <c r="D17" s="580">
        <f t="shared" si="1"/>
        <v>0</v>
      </c>
      <c r="F17" s="591" t="s">
        <v>598</v>
      </c>
      <c r="G17" s="592">
        <v>84</v>
      </c>
      <c r="H17" s="592">
        <v>89.56</v>
      </c>
      <c r="I17" s="592">
        <f>H17-G17</f>
        <v>5.5600000000000023</v>
      </c>
      <c r="J17" s="616">
        <v>106.19</v>
      </c>
      <c r="K17" s="617">
        <f>-I17*6.8*J17</f>
        <v>-4014.8315200000015</v>
      </c>
    </row>
    <row r="18" spans="1:21">
      <c r="A18" s="579" t="s">
        <v>833</v>
      </c>
      <c r="B18" s="574"/>
      <c r="C18" s="574"/>
      <c r="D18" s="580">
        <f t="shared" si="1"/>
        <v>0</v>
      </c>
      <c r="K18" s="618">
        <f>SUM(K15:K17)</f>
        <v>-27060.604127414321</v>
      </c>
      <c r="O18" s="587" t="s">
        <v>39</v>
      </c>
      <c r="P18" s="2745">
        <f>钢铁分析!AC23</f>
        <v>0</v>
      </c>
      <c r="Q18" s="2745"/>
      <c r="R18" s="2745"/>
      <c r="S18" s="2745"/>
      <c r="T18" s="2745"/>
      <c r="U18" s="2746"/>
    </row>
    <row r="19" spans="1:21">
      <c r="A19" s="576" t="s">
        <v>834</v>
      </c>
      <c r="B19" s="577">
        <v>0</v>
      </c>
      <c r="C19" s="577">
        <v>0</v>
      </c>
      <c r="D19" s="578">
        <f t="shared" si="1"/>
        <v>0</v>
      </c>
      <c r="O19" s="620"/>
      <c r="P19" s="2747">
        <f>钢铁分析!AC24</f>
        <v>0</v>
      </c>
      <c r="Q19" s="2747"/>
      <c r="R19" s="2747"/>
      <c r="S19" s="2747"/>
      <c r="T19" s="2747"/>
      <c r="U19" s="2748"/>
    </row>
    <row r="20" spans="1:21" ht="42" customHeight="1">
      <c r="A20" s="576" t="s">
        <v>835</v>
      </c>
      <c r="B20" s="577"/>
      <c r="C20" s="577"/>
      <c r="D20" s="578">
        <f t="shared" si="1"/>
        <v>0</v>
      </c>
      <c r="O20" s="620"/>
      <c r="P20" s="2749" t="e">
        <f>钢铁分析!AC25&amp;"，其中：铬钢比"&amp;J10*100&amp;"%,比预算"&amp;IF(L10&gt;=0,"↑","↓")&amp;ABS(ROUND(L10*100,2))&amp;"个百分点，影响收入"&amp;IF(Q10&gt;=0,"↑","↓")&amp;ABS(ROUND(Q10/10000,2))&amp;"亿元。"</f>
        <v>#REF!</v>
      </c>
      <c r="Q20" s="2749"/>
      <c r="R20" s="2749"/>
      <c r="S20" s="2749"/>
      <c r="T20" s="2749"/>
      <c r="U20" s="2750"/>
    </row>
    <row r="21" spans="1:21">
      <c r="A21" s="576" t="s">
        <v>836</v>
      </c>
      <c r="B21" s="577"/>
      <c r="C21" s="577"/>
      <c r="D21" s="578">
        <f t="shared" si="1"/>
        <v>0</v>
      </c>
      <c r="E21" s="583">
        <f>D21+E6</f>
        <v>0</v>
      </c>
      <c r="O21" s="620"/>
      <c r="U21" s="636"/>
    </row>
    <row r="22" spans="1:21">
      <c r="A22" s="593" t="s">
        <v>187</v>
      </c>
      <c r="B22" s="574">
        <f>180000/12</f>
        <v>15000</v>
      </c>
      <c r="C22" s="581">
        <v>8414.9492724697702</v>
      </c>
      <c r="D22" s="580">
        <f t="shared" si="1"/>
        <v>-6585.0507275302298</v>
      </c>
      <c r="O22" s="620"/>
      <c r="U22" s="636"/>
    </row>
    <row r="23" spans="1:21">
      <c r="A23" s="594" t="s">
        <v>837</v>
      </c>
      <c r="B23" s="575"/>
      <c r="C23" s="575"/>
      <c r="D23" s="580">
        <f t="shared" si="1"/>
        <v>0</v>
      </c>
      <c r="O23" s="620" t="s">
        <v>838</v>
      </c>
      <c r="P23" s="2747" t="e">
        <f>"￭产品价格"&amp;IF(K8&gt;=0,"升高增利","降低减利")&amp;ABS(ROUND(K8/10000,2))&amp;"亿元"</f>
        <v>#REF!</v>
      </c>
      <c r="Q23" s="2747"/>
      <c r="R23" s="2747"/>
      <c r="S23" s="2747"/>
      <c r="T23" s="2747"/>
      <c r="U23" s="2748"/>
    </row>
    <row r="24" spans="1:21">
      <c r="D24" s="595">
        <f>D3+D6+D14+D19+D21+D20+D23</f>
        <v>-6585.0507275302298</v>
      </c>
      <c r="O24" s="620"/>
      <c r="P24" s="2747" t="e">
        <f>"￭原材料采购价格"&amp;IF(D5&gt;=0,"降低增利","升高减利")&amp;ABS(ROUND(D5/10000,2))&amp;"亿元"</f>
        <v>#REF!</v>
      </c>
      <c r="Q24" s="2747"/>
      <c r="R24" s="2747"/>
      <c r="S24" s="2747"/>
      <c r="T24" s="2747"/>
      <c r="U24" s="2748"/>
    </row>
    <row r="25" spans="1:21">
      <c r="D25" s="595">
        <f>D24-D22</f>
        <v>0</v>
      </c>
      <c r="E25" s="573">
        <f>6.54+0.87</f>
        <v>7.41</v>
      </c>
      <c r="O25" s="620"/>
      <c r="P25" s="2747" t="str">
        <f>"￭汇兑"&amp;IF(C12&gt;=0,"损失","收益")&amp;IF(C12&gt;=0,IF(D12&gt;=0,"减少","增加"),IF(D12&gt;=0,"增加","减少"))&amp;IF(D12&gt;=0,"增利","减利")&amp;ABS(ROUND(D12/10000,2))&amp;"亿元"</f>
        <v>￭汇兑损失减少增利0.04亿元</v>
      </c>
      <c r="Q25" s="2747"/>
      <c r="R25" s="2747"/>
      <c r="S25" s="2747"/>
      <c r="T25" s="2747"/>
      <c r="U25" s="2748"/>
    </row>
    <row r="26" spans="1:21">
      <c r="O26" s="620"/>
      <c r="U26" s="636"/>
    </row>
    <row r="27" spans="1:21">
      <c r="O27" s="620" t="s">
        <v>839</v>
      </c>
      <c r="P27" s="2747" t="str">
        <f>"￭降本增效完成"&amp;ABS(ROUND(C7/10000,2))&amp;"亿元，比预算"&amp;ABS(ROUND(B7/10000,2))&amp;"亿元"&amp;IF(D7&gt;=0,"增加增利","减少减利")&amp;ABS(ROUND(D7/10000,2))&amp;"亿元"</f>
        <v>￭降本增效完成0亿元，比预算1.88亿元减少减利1.88亿元</v>
      </c>
      <c r="Q27" s="2747"/>
      <c r="R27" s="2747"/>
      <c r="S27" s="2747"/>
      <c r="T27" s="2747"/>
      <c r="U27" s="2748"/>
    </row>
    <row r="28" spans="1:21" ht="23.25">
      <c r="A28" s="2744" t="str">
        <f>"太钢集团1-"&amp;F1&amp;"月累计利润分析-比预算"</f>
        <v>太钢集团1-3月累计利润分析-比预算</v>
      </c>
      <c r="B28" s="2744"/>
      <c r="C28" s="2744"/>
      <c r="D28" s="2744"/>
      <c r="O28" s="621"/>
      <c r="P28" s="2751" t="str">
        <f>"￭期间费用"&amp;IF(D8-D12&gt;=0,"降低增利","升高减利")&amp;ABS(ROUND((D8-D12)/10000,2))&amp;"亿元"</f>
        <v>￭期间费用降低增利5.36亿元</v>
      </c>
      <c r="Q28" s="2751"/>
      <c r="R28" s="2751"/>
      <c r="S28" s="2751"/>
      <c r="T28" s="2751"/>
      <c r="U28" s="2752"/>
    </row>
    <row r="29" spans="1:21">
      <c r="A29" s="574" t="s">
        <v>3</v>
      </c>
      <c r="B29" s="574" t="s">
        <v>58</v>
      </c>
      <c r="C29" s="574" t="str">
        <f>"1-"&amp;F1&amp;"月"</f>
        <v>1-3月</v>
      </c>
      <c r="D29" s="574" t="s">
        <v>813</v>
      </c>
      <c r="E29" s="575"/>
    </row>
    <row r="30" spans="1:21">
      <c r="A30" s="576" t="s">
        <v>815</v>
      </c>
      <c r="B30" s="577"/>
      <c r="C30" s="577"/>
      <c r="D30" s="578">
        <f>D49-D33</f>
        <v>665798.35388383397</v>
      </c>
      <c r="O30" s="623" t="s">
        <v>840</v>
      </c>
      <c r="P30" s="619"/>
      <c r="Q30" s="619"/>
      <c r="R30" s="635"/>
    </row>
    <row r="31" spans="1:21">
      <c r="A31" s="579" t="s">
        <v>816</v>
      </c>
      <c r="B31" s="574"/>
      <c r="C31" s="574"/>
      <c r="D31" s="580" t="e">
        <f>K39</f>
        <v>#REF!</v>
      </c>
      <c r="F31" s="579"/>
      <c r="G31" s="579"/>
      <c r="H31" s="574" t="s">
        <v>58</v>
      </c>
      <c r="I31" s="574" t="str">
        <f>"1-"&amp;F1&amp;"月累计"</f>
        <v>1-3月累计</v>
      </c>
      <c r="J31" s="574" t="s">
        <v>77</v>
      </c>
      <c r="K31" s="574" t="s">
        <v>813</v>
      </c>
      <c r="L31" s="579"/>
      <c r="M31" s="579"/>
      <c r="O31" s="589">
        <f t="shared" ref="O31:P34" si="2">H32*1.17</f>
        <v>15841.592920353982</v>
      </c>
      <c r="P31" s="573" t="e">
        <f t="shared" si="2"/>
        <v>#REF!</v>
      </c>
      <c r="Q31" s="580" t="e">
        <f>P31-O31</f>
        <v>#REF!</v>
      </c>
      <c r="R31" s="637" t="e">
        <f>Q31/O31</f>
        <v>#REF!</v>
      </c>
    </row>
    <row r="32" spans="1:21">
      <c r="A32" s="579" t="s">
        <v>817</v>
      </c>
      <c r="B32" s="574"/>
      <c r="C32" s="574"/>
      <c r="D32" s="580" t="e">
        <f>D30-D31-D39</f>
        <v>#REF!</v>
      </c>
      <c r="F32" s="579" t="s">
        <v>562</v>
      </c>
      <c r="G32" s="574" t="s">
        <v>196</v>
      </c>
      <c r="H32" s="596">
        <f>H4</f>
        <v>13539.823008849558</v>
      </c>
      <c r="I32" s="596" t="e">
        <f>钢材数据!#REF!</f>
        <v>#REF!</v>
      </c>
      <c r="J32" s="624">
        <f>J37-J33</f>
        <v>45.125747256595972</v>
      </c>
      <c r="K32" s="596" t="e">
        <f>(I32-H32)*J32</f>
        <v>#REF!</v>
      </c>
      <c r="L32" s="625" t="e">
        <f>(I32-H32)*1.17</f>
        <v>#REF!</v>
      </c>
      <c r="M32" s="626" t="e">
        <f>L32/1.17/H32</f>
        <v>#REF!</v>
      </c>
      <c r="O32" s="589">
        <f t="shared" si="2"/>
        <v>8283.1858407079653</v>
      </c>
      <c r="P32" s="573" t="e">
        <f t="shared" si="2"/>
        <v>#REF!</v>
      </c>
      <c r="Q32" s="580" t="e">
        <f>P32-O32</f>
        <v>#REF!</v>
      </c>
      <c r="R32" s="637" t="e">
        <f>Q32/O32</f>
        <v>#REF!</v>
      </c>
    </row>
    <row r="33" spans="1:18">
      <c r="A33" s="576" t="s">
        <v>818</v>
      </c>
      <c r="B33" s="582">
        <f>B34+B35</f>
        <v>224676.25</v>
      </c>
      <c r="C33" s="582">
        <f>C34+C35</f>
        <v>589584.89452301501</v>
      </c>
      <c r="D33" s="578">
        <f>D34+D35-D39</f>
        <v>-263811.85547698499</v>
      </c>
      <c r="E33" s="583"/>
      <c r="F33" s="579" t="s">
        <v>563</v>
      </c>
      <c r="G33" s="574" t="s">
        <v>196</v>
      </c>
      <c r="H33" s="596">
        <f>H5</f>
        <v>7079.6460176991159</v>
      </c>
      <c r="I33" s="596" t="e">
        <f>钢材数据!#REF!</f>
        <v>#REF!</v>
      </c>
      <c r="J33" s="624">
        <f>J37*J38</f>
        <v>36.769698483404042</v>
      </c>
      <c r="K33" s="596" t="e">
        <f>(I33-H33)*J33</f>
        <v>#REF!</v>
      </c>
      <c r="L33" s="625" t="e">
        <f>(I33-H33)*1.17</f>
        <v>#REF!</v>
      </c>
      <c r="M33" s="626" t="e">
        <f>L33/1.17/H33</f>
        <v>#REF!</v>
      </c>
      <c r="O33" s="589">
        <f t="shared" si="2"/>
        <v>3727.4336283185844</v>
      </c>
      <c r="P33" s="573" t="e">
        <f t="shared" si="2"/>
        <v>#REF!</v>
      </c>
      <c r="Q33" s="580" t="e">
        <f>P33-O33</f>
        <v>#REF!</v>
      </c>
      <c r="R33" s="637" t="e">
        <f>Q33/O33</f>
        <v>#REF!</v>
      </c>
    </row>
    <row r="34" spans="1:18">
      <c r="A34" s="579" t="s">
        <v>819</v>
      </c>
      <c r="B34" s="581">
        <f>215000/12*F1</f>
        <v>53750</v>
      </c>
      <c r="C34" s="581">
        <v>102463.894523015</v>
      </c>
      <c r="D34" s="580">
        <f>C34-B34</f>
        <v>48713.894523014998</v>
      </c>
      <c r="F34" s="579" t="s">
        <v>564</v>
      </c>
      <c r="G34" s="574" t="s">
        <v>196</v>
      </c>
      <c r="H34" s="596">
        <f>H6</f>
        <v>3185.8407079646022</v>
      </c>
      <c r="I34" s="596" t="e">
        <f>钢材数据!#REF!</f>
        <v>#REF!</v>
      </c>
      <c r="J34" s="624">
        <f>J36-J32-J33-J35</f>
        <v>137.37601000000001</v>
      </c>
      <c r="K34" s="596" t="e">
        <f>(I34-H34)*J34</f>
        <v>#REF!</v>
      </c>
      <c r="L34" s="625" t="e">
        <f>(I34-H34)*1.17</f>
        <v>#REF!</v>
      </c>
      <c r="M34" s="626" t="e">
        <f>L34/1.17/H34</f>
        <v>#REF!</v>
      </c>
      <c r="O34" s="591">
        <f t="shared" si="2"/>
        <v>5073.4513274336277</v>
      </c>
      <c r="P34" s="622" t="e">
        <f t="shared" si="2"/>
        <v>#REF!</v>
      </c>
      <c r="Q34" s="638" t="e">
        <f>P34-O34</f>
        <v>#REF!</v>
      </c>
      <c r="R34" s="639" t="e">
        <f>Q34/O34</f>
        <v>#REF!</v>
      </c>
    </row>
    <row r="35" spans="1:18">
      <c r="A35" s="585" t="s">
        <v>820</v>
      </c>
      <c r="B35" s="597">
        <f>B36+B38+B40</f>
        <v>170926.25</v>
      </c>
      <c r="C35" s="597">
        <f>C36+C38+C40</f>
        <v>487121</v>
      </c>
      <c r="D35" s="598">
        <f t="shared" ref="D35:D40" si="3">B35-C35</f>
        <v>-316194.75</v>
      </c>
      <c r="E35" s="583">
        <f>D36+D38-D39+D40</f>
        <v>-312525.75</v>
      </c>
      <c r="F35" s="579" t="s">
        <v>565</v>
      </c>
      <c r="G35" s="574" t="s">
        <v>196</v>
      </c>
      <c r="H35" s="596">
        <f>H7</f>
        <v>4336.283185840708</v>
      </c>
      <c r="I35" s="596" t="e">
        <f>钢材数据!#REF!</f>
        <v>#REF!</v>
      </c>
      <c r="J35" s="624">
        <f>SUMPRODUCT('#销量数据'!$C$4:$AAB$114,('#销量数据'!$C$1:$AAB$1=$E$1)*('#销量数据'!$C$2:$AAB$2&lt;=$F$1)*('#销量数据'!$C$3:$AAB$3="销量")*('#销量数据'!$B$4:$B$114="冷轧硅钢厂")*('#销量数据'!$A$4:$A$114="碳钢"))/10000</f>
        <v>21.9628093</v>
      </c>
      <c r="K35" s="596" t="e">
        <f>(I35-H35)*J35</f>
        <v>#REF!</v>
      </c>
      <c r="L35" s="625" t="e">
        <f>(I35-H35)*1.17</f>
        <v>#REF!</v>
      </c>
      <c r="M35" s="626" t="e">
        <f>L35/1.17/H35</f>
        <v>#REF!</v>
      </c>
    </row>
    <row r="36" spans="1:18">
      <c r="A36" s="599" t="s">
        <v>822</v>
      </c>
      <c r="B36" s="600">
        <f>233834/12*F1</f>
        <v>58458.5</v>
      </c>
      <c r="C36" s="600">
        <v>149130</v>
      </c>
      <c r="D36" s="601">
        <f t="shared" si="3"/>
        <v>-90671.5</v>
      </c>
      <c r="F36" s="602" t="s">
        <v>69</v>
      </c>
      <c r="G36" s="602"/>
      <c r="H36" s="603"/>
      <c r="I36" s="603"/>
      <c r="J36" s="627">
        <f>SUMPRODUCT(钢材数据!$C$4:$K$133,(钢材数据!$C$2:$K$2="合计")*(钢材数据!$B$4:$B$133&lt;=$F$1)*(钢材数据!$A$4:$A$133=$E$1)*(钢材数据!$C$3:$K$3="销量"))</f>
        <v>241.23426504000003</v>
      </c>
      <c r="K36" s="596" t="e">
        <f>SUM(K32:K35)</f>
        <v>#REF!</v>
      </c>
      <c r="L36" s="603"/>
      <c r="M36" s="603"/>
    </row>
    <row r="37" spans="1:18">
      <c r="A37" s="579" t="s">
        <v>824</v>
      </c>
      <c r="B37" s="581"/>
      <c r="C37" s="581"/>
      <c r="D37" s="580">
        <f t="shared" si="3"/>
        <v>0</v>
      </c>
      <c r="F37" s="602" t="s">
        <v>396</v>
      </c>
      <c r="G37" s="602"/>
      <c r="H37" s="603"/>
      <c r="I37" s="603"/>
      <c r="J37" s="627">
        <f>SUMPRODUCT(钢材数据!$C$4:$K$133,(钢材数据!$C$2:$K$2="不锈钢")*(钢材数据!$B$4:$B$133&lt;=$F$1)*(钢材数据!$A$4:$A$133=$E$1)*(钢材数据!$C$3:$K$3="销量"))</f>
        <v>81.895445740000014</v>
      </c>
      <c r="K37" s="603"/>
      <c r="L37" s="603"/>
      <c r="M37" s="603"/>
    </row>
    <row r="38" spans="1:18">
      <c r="A38" s="599" t="s">
        <v>826</v>
      </c>
      <c r="B38" s="600">
        <f>255948/12*F1</f>
        <v>63987</v>
      </c>
      <c r="C38" s="604">
        <v>199001</v>
      </c>
      <c r="D38" s="601">
        <f t="shared" si="3"/>
        <v>-135014</v>
      </c>
      <c r="E38" s="583">
        <f>D38-D39</f>
        <v>-131345</v>
      </c>
      <c r="F38" s="602" t="s">
        <v>604</v>
      </c>
      <c r="G38" s="602"/>
      <c r="H38" s="603"/>
      <c r="I38" s="603"/>
      <c r="J38" s="628">
        <f>钢铁分析!I37</f>
        <v>0.4489834343186766</v>
      </c>
      <c r="K38" s="603"/>
      <c r="L38" s="603"/>
      <c r="M38" s="603"/>
    </row>
    <row r="39" spans="1:18">
      <c r="A39" s="579" t="s">
        <v>841</v>
      </c>
      <c r="B39" s="581">
        <v>0</v>
      </c>
      <c r="C39" s="574">
        <v>3669</v>
      </c>
      <c r="D39" s="580">
        <f t="shared" si="3"/>
        <v>-3669</v>
      </c>
      <c r="E39" s="583"/>
      <c r="F39" s="583"/>
      <c r="K39" s="629" t="e">
        <f>SUM(K32:K35)</f>
        <v>#REF!</v>
      </c>
    </row>
    <row r="40" spans="1:18">
      <c r="A40" s="599" t="s">
        <v>828</v>
      </c>
      <c r="B40" s="600">
        <f>193923/12*F1</f>
        <v>48480.75</v>
      </c>
      <c r="C40" s="600">
        <v>138990</v>
      </c>
      <c r="D40" s="601">
        <f t="shared" si="3"/>
        <v>-90509.25</v>
      </c>
      <c r="F40" s="583"/>
      <c r="I40" s="630"/>
      <c r="J40" s="575"/>
    </row>
    <row r="41" spans="1:18">
      <c r="A41" s="576" t="s">
        <v>829</v>
      </c>
      <c r="B41" s="577">
        <f>B42+B43+B45+B44</f>
        <v>0</v>
      </c>
      <c r="C41" s="577">
        <f>C42+C43+C45+C44</f>
        <v>0</v>
      </c>
      <c r="D41" s="578">
        <f t="shared" ref="D41:D50" si="4">C41-B41</f>
        <v>0</v>
      </c>
      <c r="F41"/>
      <c r="G41"/>
      <c r="H41"/>
      <c r="I41"/>
      <c r="J41"/>
      <c r="K41"/>
      <c r="L41"/>
      <c r="M41"/>
      <c r="N41"/>
    </row>
    <row r="42" spans="1:18">
      <c r="A42" s="579" t="s">
        <v>830</v>
      </c>
      <c r="B42" s="574"/>
      <c r="C42" s="574"/>
      <c r="D42" s="580">
        <f t="shared" si="4"/>
        <v>0</v>
      </c>
      <c r="F42" s="587" t="s">
        <v>470</v>
      </c>
      <c r="G42" s="588" t="s">
        <v>58</v>
      </c>
      <c r="H42" s="588" t="str">
        <f>"1-"&amp;F1&amp;"月累计"</f>
        <v>1-3月累计</v>
      </c>
      <c r="I42" s="588" t="s">
        <v>9</v>
      </c>
      <c r="J42" s="588" t="s">
        <v>77</v>
      </c>
      <c r="K42" s="614" t="s">
        <v>589</v>
      </c>
      <c r="L42"/>
      <c r="M42"/>
      <c r="N42"/>
    </row>
    <row r="43" spans="1:18">
      <c r="A43" s="579" t="s">
        <v>831</v>
      </c>
      <c r="B43" s="574"/>
      <c r="C43" s="574"/>
      <c r="D43" s="580">
        <f t="shared" si="4"/>
        <v>0</v>
      </c>
      <c r="F43" s="589" t="s">
        <v>593</v>
      </c>
      <c r="G43" s="590">
        <f>G15</f>
        <v>14000</v>
      </c>
      <c r="H43" s="590">
        <v>12723</v>
      </c>
      <c r="I43" s="590">
        <f>H43-G43</f>
        <v>-1277</v>
      </c>
      <c r="J43" s="611">
        <f>(J48+J49+J50*0.1)/10000</f>
        <v>4.1566100000000006</v>
      </c>
      <c r="K43" s="615">
        <f>-I43*6.9*J43</f>
        <v>36625.137693000011</v>
      </c>
      <c r="L43"/>
      <c r="M43"/>
      <c r="N43"/>
    </row>
    <row r="44" spans="1:18">
      <c r="A44" s="579" t="s">
        <v>832</v>
      </c>
      <c r="B44" s="574"/>
      <c r="C44" s="574"/>
      <c r="D44" s="580">
        <f t="shared" si="4"/>
        <v>0</v>
      </c>
      <c r="F44" s="589" t="s">
        <v>595</v>
      </c>
      <c r="G44" s="590">
        <f>G16</f>
        <v>6500</v>
      </c>
      <c r="H44" s="590">
        <v>5794</v>
      </c>
      <c r="I44" s="590">
        <f>H44-G44</f>
        <v>-706</v>
      </c>
      <c r="J44" s="611">
        <f>(J52*69+J53*53+J54*49)/50/10000</f>
        <v>31.502164</v>
      </c>
      <c r="K44" s="615">
        <f>-I44*J44</f>
        <v>22240.527784000002</v>
      </c>
      <c r="L44"/>
      <c r="M44"/>
      <c r="N44"/>
    </row>
    <row r="45" spans="1:18">
      <c r="A45" s="579" t="s">
        <v>833</v>
      </c>
      <c r="B45" s="574"/>
      <c r="C45" s="574"/>
      <c r="D45" s="580">
        <f t="shared" si="4"/>
        <v>0</v>
      </c>
      <c r="F45" s="591" t="s">
        <v>598</v>
      </c>
      <c r="G45" s="592">
        <f>G17</f>
        <v>84</v>
      </c>
      <c r="H45" s="592">
        <v>88.97</v>
      </c>
      <c r="I45" s="592">
        <f>H45-G45</f>
        <v>4.9699999999999989</v>
      </c>
      <c r="J45" s="616">
        <f>J56/10000</f>
        <v>310.77390000000003</v>
      </c>
      <c r="K45" s="617">
        <f>-I45*6.9*J45</f>
        <v>-10657.369352699998</v>
      </c>
      <c r="L45"/>
      <c r="M45"/>
      <c r="N45"/>
    </row>
    <row r="46" spans="1:18">
      <c r="A46" s="576" t="s">
        <v>834</v>
      </c>
      <c r="B46" s="577">
        <v>0</v>
      </c>
      <c r="C46" s="577">
        <v>0</v>
      </c>
      <c r="D46" s="578">
        <f t="shared" si="4"/>
        <v>0</v>
      </c>
      <c r="F46"/>
      <c r="G46"/>
      <c r="H46"/>
      <c r="I46"/>
      <c r="J46"/>
      <c r="K46" s="186">
        <f>K43+K44+K45</f>
        <v>48208.296124300017</v>
      </c>
      <c r="L46"/>
      <c r="M46" s="186" t="e">
        <f>K46+K39</f>
        <v>#REF!</v>
      </c>
      <c r="N46"/>
      <c r="O46" s="631" t="e">
        <f>IF(M46&gt;=0,"减","加")&amp;"：价格影响"&amp;ABS(ROUND(M46/10000,2))&amp;"亿元，其中销售价格"&amp;IF(K39&gt;=0,"增利","减利")&amp;ABS(ROUND(K39/10000,2))&amp;"亿元（304"&amp;IF(K32&gt;=0,"增利","减利")&amp;ABS(ROUND(K32/10000,2))&amp;"亿元，430"&amp;IF(K33&gt;=0,"增利","减利")&amp;ABS(ROUND(K33/10000,2))&amp;"亿元，Q235"&amp;IF(K34&gt;=0,"增利","减利")&amp;ABS(ROUND(K34/10000,2))&amp;"亿元，硅钢"&amp;IF(K35&gt;=0,"增利","减利")&amp;ABS(ROUND(K35/10000,2))&amp;"亿元），原料价格"&amp;IF(K46&gt;=0,"增利","减利")&amp;ABS(ROUND(K46/10000,2))&amp;"亿元（镍"&amp;IF(K43&gt;=0,"增利","减利")&amp;ABS(ROUND(K43/10000,2))&amp;"亿元，高铬"&amp;IF(K44&gt;=0,"增利","减利")&amp;ABS(ROUND(K44/10000,2))&amp;"亿元，铁矿"&amp;IF(K45&gt;=0,"增利","减利")&amp;ABS(ROUND(K45/10000,2))&amp;"亿元）。"</f>
        <v>#REF!</v>
      </c>
    </row>
    <row r="47" spans="1:18">
      <c r="A47" s="576" t="s">
        <v>835</v>
      </c>
      <c r="B47" s="577"/>
      <c r="C47" s="577"/>
      <c r="D47" s="578">
        <f t="shared" si="4"/>
        <v>0</v>
      </c>
      <c r="F47"/>
      <c r="G47"/>
      <c r="H47" s="605"/>
      <c r="I47" s="605"/>
      <c r="J47" s="605"/>
      <c r="K47" s="605"/>
      <c r="L47" s="605"/>
      <c r="M47" s="605"/>
      <c r="N47"/>
    </row>
    <row r="48" spans="1:18">
      <c r="A48" s="576" t="s">
        <v>836</v>
      </c>
      <c r="B48" s="577"/>
      <c r="C48" s="577"/>
      <c r="D48" s="578">
        <f t="shared" si="4"/>
        <v>0</v>
      </c>
      <c r="E48" s="583">
        <f>D48+E33</f>
        <v>0</v>
      </c>
      <c r="F48"/>
      <c r="G48"/>
      <c r="H48" s="605"/>
      <c r="I48" s="632" t="s">
        <v>583</v>
      </c>
      <c r="J48" s="605">
        <f>SUMIFS('#采购&amp;股份关联'!4:4,'#采购&amp;股份关联'!$1:$1,$E$1,'#采购&amp;股份关联'!$2:$2,"&lt;="&amp;$F$1)</f>
        <v>6084</v>
      </c>
      <c r="K48" s="605"/>
      <c r="L48" s="605"/>
      <c r="M48" s="605"/>
      <c r="N48"/>
    </row>
    <row r="49" spans="1:14">
      <c r="A49" s="593" t="s">
        <v>187</v>
      </c>
      <c r="B49" s="574">
        <f>260000/12*F1</f>
        <v>65000</v>
      </c>
      <c r="C49" s="581">
        <v>466986.49840684899</v>
      </c>
      <c r="D49" s="580">
        <f t="shared" si="4"/>
        <v>401986.49840684899</v>
      </c>
      <c r="F49"/>
      <c r="G49"/>
      <c r="H49" s="605"/>
      <c r="I49" s="632" t="s">
        <v>590</v>
      </c>
      <c r="J49" s="605">
        <f>SUMIFS('#采购&amp;股份关联'!5:5,'#采购&amp;股份关联'!$1:$1,$E$1,'#采购&amp;股份关联'!$2:$2,"&lt;="&amp;$F$1)</f>
        <v>16387</v>
      </c>
      <c r="K49" s="605"/>
      <c r="L49" s="605"/>
      <c r="M49" s="605"/>
      <c r="N49"/>
    </row>
    <row r="50" spans="1:14">
      <c r="A50" s="594" t="s">
        <v>837</v>
      </c>
      <c r="B50" s="575"/>
      <c r="C50" s="575"/>
      <c r="D50" s="580">
        <f t="shared" si="4"/>
        <v>0</v>
      </c>
      <c r="F50"/>
      <c r="G50"/>
      <c r="H50"/>
      <c r="I50" s="188" t="s">
        <v>594</v>
      </c>
      <c r="J50" s="605">
        <f>SUMIFS('#采购&amp;股份关联'!9:9,'#采购&amp;股份关联'!$1:$1,$E$1,'#采购&amp;股份关联'!$2:$2,"&lt;="&amp;$F$1)</f>
        <v>190951</v>
      </c>
      <c r="K50"/>
      <c r="L50"/>
      <c r="M50"/>
      <c r="N50"/>
    </row>
    <row r="51" spans="1:14">
      <c r="D51" s="595">
        <f>D30+D33+D41+D46+D48+D47+D50</f>
        <v>401986.49840684899</v>
      </c>
      <c r="F51"/>
      <c r="G51"/>
      <c r="H51" s="605"/>
      <c r="I51" s="605"/>
      <c r="J51" s="605"/>
      <c r="K51" s="605"/>
      <c r="L51" s="605"/>
      <c r="M51" s="605"/>
      <c r="N51"/>
    </row>
    <row r="52" spans="1:14">
      <c r="D52" s="595">
        <f>D51-D49</f>
        <v>0</v>
      </c>
      <c r="E52" s="573">
        <f>6.54+0.87</f>
        <v>7.41</v>
      </c>
      <c r="F52"/>
      <c r="G52"/>
      <c r="H52" s="605"/>
      <c r="I52" s="633" t="s">
        <v>596</v>
      </c>
      <c r="J52" s="605">
        <f>SUMIFS('#采购&amp;股份关联'!6:6,'#采购&amp;股份关联'!$1:$1,$E$1,'#采购&amp;股份关联'!$2:$2,"&lt;="&amp;$F$1)</f>
        <v>49053</v>
      </c>
      <c r="K52" s="605"/>
      <c r="L52" s="605"/>
      <c r="M52" s="605"/>
      <c r="N52"/>
    </row>
    <row r="53" spans="1:14">
      <c r="F53"/>
      <c r="G53"/>
      <c r="H53"/>
      <c r="I53" s="633" t="s">
        <v>599</v>
      </c>
      <c r="J53" s="605">
        <f>SUMIFS('#采购&amp;股份关联'!7:7,'#采购&amp;股份关联'!$1:$1,$E$1,'#采购&amp;股份关联'!$2:$2,"&lt;="&amp;$F$1)</f>
        <v>175065</v>
      </c>
      <c r="K53"/>
      <c r="L53"/>
      <c r="M53"/>
      <c r="N53"/>
    </row>
    <row r="54" spans="1:14">
      <c r="F54"/>
      <c r="G54"/>
      <c r="H54"/>
      <c r="I54" s="633" t="s">
        <v>601</v>
      </c>
      <c r="J54" s="605">
        <f>SUMIFS('#采购&amp;股份关联'!8:8,'#采购&amp;股份关联'!$1:$1,$E$1,'#采购&amp;股份关联'!$2:$2,"&lt;="&amp;$F$1)</f>
        <v>63020</v>
      </c>
      <c r="K54"/>
      <c r="L54"/>
      <c r="M54"/>
      <c r="N54"/>
    </row>
    <row r="55" spans="1:14">
      <c r="F55"/>
      <c r="G55"/>
      <c r="H55"/>
      <c r="I55"/>
      <c r="J55"/>
      <c r="K55"/>
      <c r="L55"/>
      <c r="M55"/>
      <c r="N55"/>
    </row>
    <row r="56" spans="1:14">
      <c r="F56"/>
      <c r="G56"/>
      <c r="H56"/>
      <c r="I56" s="634" t="s">
        <v>602</v>
      </c>
      <c r="J56" s="605">
        <f>SUMIFS('#采购&amp;股份关联'!13:13,'#采购&amp;股份关联'!$1:$1,$E$1,'#采购&amp;股份关联'!$2:$2,"&lt;="&amp;$F$1)</f>
        <v>3107739</v>
      </c>
      <c r="K56"/>
      <c r="L56"/>
      <c r="M56"/>
      <c r="N56"/>
    </row>
    <row r="57" spans="1:14">
      <c r="F57"/>
      <c r="G57"/>
      <c r="H57"/>
      <c r="I57"/>
      <c r="J57"/>
      <c r="K57"/>
      <c r="L57"/>
      <c r="M57"/>
      <c r="N57"/>
    </row>
  </sheetData>
  <customSheetViews>
    <customSheetView guid="{1683F931-F47D-47C0-A395-D48080DC7EE6}" showPageBreaks="1" printArea="1">
      <selection activeCell="N14" sqref="N14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"/>
    </customSheetView>
    <customSheetView guid="{43897816-D2F0-4C3D-8F57-E0039BD2296B}" showPageBreaks="1" topLeftCell="A22">
      <selection activeCell="F57" sqref="F57:K59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2"/>
    </customSheetView>
    <customSheetView guid="{849C46E5-4ED4-41B9-BDA9-A6465B9DA9C2}">
      <selection activeCell="F62" sqref="F6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3"/>
    </customSheetView>
    <customSheetView guid="{8C09BCDE-4B8A-4469-B3F2-7F4528A2E78D}" showPageBreaks="1" printArea="1">
      <selection activeCell="F62" sqref="F6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4"/>
    </customSheetView>
    <customSheetView guid="{F4EB51F4-FD23-4D5B-8072-1AF5D59D6686}" showPageBreaks="1" printArea="1" topLeftCell="A16">
      <selection activeCell="H25" sqref="H25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5"/>
    </customSheetView>
    <customSheetView guid="{D7BCFB76-2797-401D-A6F1-E020B5162DD4}">
      <selection activeCell="E20" sqref="E20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6"/>
    </customSheetView>
    <customSheetView guid="{C9A88430-3808-49F4-8D86-BF8C70C55441}" showPageBreaks="1" printArea="1">
      <selection activeCell="N14" sqref="N14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7"/>
    </customSheetView>
    <customSheetView guid="{E61FFED3-723E-484A-93A0-94E1A801AF06}" showPageBreaks="1" topLeftCell="A22">
      <selection activeCell="H32" sqref="H3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8"/>
    </customSheetView>
    <customSheetView guid="{6B5CCA07-2BDD-4B8E-9E3C-2111BBA97430}" topLeftCell="A19">
      <selection activeCell="H10" sqref="H10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9"/>
    </customSheetView>
    <customSheetView guid="{2F47A827-9643-4D8A-AC5D-6B09D79AACF9}" showPageBreaks="1" topLeftCell="D1">
      <selection activeCell="H15" sqref="H15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0"/>
    </customSheetView>
    <customSheetView guid="{B37168A1-DBAB-4BDE-9F92-6261DCDF3D92}" showPageBreaks="1" printArea="1">
      <selection activeCell="F2" sqref="F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1"/>
    </customSheetView>
    <customSheetView guid="{AE0DD889-C13C-4059-8024-0F5B234827E9}" showPageBreaks="1" printArea="1" topLeftCell="A13">
      <selection activeCell="D12" sqref="D1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2"/>
    </customSheetView>
    <customSheetView guid="{CCBBD9B0-4191-4D7A-9F7B-BAC044A49153}" showPageBreaks="1" printArea="1" topLeftCell="A22">
      <selection activeCell="F2" sqref="F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F5F9735B-EE22-4AC6-B5AB-C856ED6C133D}" showPageBreaks="1" printArea="1">
      <selection activeCell="I20" sqref="I20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45B4C0D1-53B6-4553-BFF9-393760B8E0CE}" showPageBreaks="1">
      <selection activeCell="F17" sqref="F17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1BBD1596-143E-4714-99EF-E3545231CCD1}">
      <selection activeCell="F17" sqref="F17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A8456D60-99BA-4794-8966-0CBA0A37EA6F}" topLeftCell="A22">
      <selection activeCell="F17" sqref="F17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500C3980-ED13-4C97-96B1-955D50509B66}" showPageBreaks="1" printArea="1" topLeftCell="A19">
      <selection activeCell="F28" sqref="F28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3B943BAF-34C7-494A-A071-85DE0891E5A1}" showPageBreaks="1" printArea="1">
      <selection activeCell="F2" sqref="F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EEE4B3DA-ADF6-49CC-9873-068FE5927B92}" showPageBreaks="1" topLeftCell="D1">
      <selection activeCell="H15" sqref="H15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/>
    </customSheetView>
    <customSheetView guid="{C52D0F53-4D1D-4D01-B833-260359FD02A5}" showPageBreaks="1" printArea="1">
      <selection activeCell="E24" sqref="E24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3"/>
    </customSheetView>
    <customSheetView guid="{6A1E79C9-91E3-4EEA-8ABB-4446083299EC}" showPageBreaks="1" printArea="1">
      <selection activeCell="N14" sqref="N14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4"/>
    </customSheetView>
    <customSheetView guid="{8B80B510-C931-46B1-8591-DEA916D76593}">
      <selection activeCell="F2" sqref="F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5"/>
    </customSheetView>
    <customSheetView guid="{303A9D89-611D-4504-BCAA-071C53B021F7}" showPageBreaks="1">
      <selection activeCell="F17" sqref="F17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6"/>
    </customSheetView>
    <customSheetView guid="{4583A87D-5DFF-47BD-849A-FA4AAF2B9CE3}" showPageBreaks="1" printArea="1">
      <selection activeCell="F2" sqref="F2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7"/>
    </customSheetView>
    <customSheetView guid="{EA856AC2-CDFF-46B6-B0C4-30449DF132F4}" showPageBreaks="1">
      <selection activeCell="F57" sqref="F57:K59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8"/>
    </customSheetView>
    <customSheetView guid="{322A45A6-8B26-49B8-A4D9-EFB3C94A758D}" showPageBreaks="1" printArea="1">
      <selection activeCell="N14" sqref="N14"/>
      <pageMargins left="0.70763888888888904" right="0.70763888888888904" top="0.74791666666666701" bottom="0.74791666666666701" header="0.31388888888888899" footer="0.31388888888888899"/>
      <printOptions horizontalCentered="1"/>
      <pageSetup paperSize="9" orientation="landscape" r:id="rId19"/>
    </customSheetView>
  </customSheetViews>
  <mergeCells count="10">
    <mergeCell ref="P24:U24"/>
    <mergeCell ref="P25:U25"/>
    <mergeCell ref="P27:U27"/>
    <mergeCell ref="A28:D28"/>
    <mergeCell ref="P28:U28"/>
    <mergeCell ref="A1:D1"/>
    <mergeCell ref="P18:U18"/>
    <mergeCell ref="P19:U19"/>
    <mergeCell ref="P20:U20"/>
    <mergeCell ref="P23:U23"/>
  </mergeCells>
  <phoneticPr fontId="133" type="noConversion"/>
  <printOptions horizontalCentered="1"/>
  <pageMargins left="0.70763888888888904" right="0.70763888888888904" top="0.74791666666666701" bottom="0.74791666666666701" header="0.31388888888888899" footer="0.31388888888888899"/>
  <pageSetup paperSize="9" orientation="landscape" r:id="rId2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Z108"/>
  <sheetViews>
    <sheetView topLeftCell="AD30" zoomScaleNormal="85" workbookViewId="0">
      <selection activeCell="AU63" sqref="AU63"/>
    </sheetView>
  </sheetViews>
  <sheetFormatPr defaultColWidth="9" defaultRowHeight="14.25"/>
  <cols>
    <col min="1" max="1" width="5.375" customWidth="1"/>
    <col min="2" max="3" width="42" customWidth="1"/>
    <col min="4" max="28" width="9" style="523" customWidth="1"/>
    <col min="29" max="31" width="9.875" style="523" customWidth="1"/>
    <col min="32" max="32" width="11" style="523" customWidth="1"/>
    <col min="33" max="40" width="9" customWidth="1"/>
  </cols>
  <sheetData>
    <row r="1" spans="2:52" s="189" customFormat="1">
      <c r="B1" s="189" t="s">
        <v>0</v>
      </c>
      <c r="C1" s="189">
        <v>2017</v>
      </c>
      <c r="D1" s="189">
        <v>2017</v>
      </c>
      <c r="E1" s="189">
        <v>2018</v>
      </c>
      <c r="F1" s="189">
        <v>2018</v>
      </c>
      <c r="G1" s="189">
        <v>2018</v>
      </c>
      <c r="H1" s="189">
        <v>2018</v>
      </c>
      <c r="I1" s="189">
        <v>2018</v>
      </c>
      <c r="J1" s="189">
        <v>2018</v>
      </c>
      <c r="K1" s="189">
        <v>2018</v>
      </c>
      <c r="L1" s="189">
        <v>2018</v>
      </c>
      <c r="M1" s="189">
        <v>2018</v>
      </c>
      <c r="N1" s="189">
        <v>2018</v>
      </c>
      <c r="O1" s="189">
        <v>2018</v>
      </c>
      <c r="P1" s="189">
        <v>2018</v>
      </c>
      <c r="Q1" s="189">
        <v>2019</v>
      </c>
      <c r="R1" s="189">
        <v>2019</v>
      </c>
      <c r="S1" s="189">
        <v>2019</v>
      </c>
      <c r="T1" s="189">
        <v>2019</v>
      </c>
      <c r="U1" s="189">
        <v>2019</v>
      </c>
      <c r="V1" s="189">
        <v>2019</v>
      </c>
      <c r="W1" s="189">
        <v>2019</v>
      </c>
      <c r="X1" s="189">
        <v>2019</v>
      </c>
      <c r="Y1" s="189">
        <v>2019</v>
      </c>
      <c r="Z1" s="189">
        <v>2019</v>
      </c>
      <c r="AA1" s="189">
        <v>2019</v>
      </c>
      <c r="AB1" s="189">
        <v>2019</v>
      </c>
      <c r="AC1" s="189">
        <v>2020</v>
      </c>
      <c r="AD1" s="189">
        <v>2020</v>
      </c>
      <c r="AE1" s="189">
        <v>2020</v>
      </c>
      <c r="AF1" s="189">
        <v>2020</v>
      </c>
      <c r="AG1" s="189">
        <v>2020</v>
      </c>
      <c r="AH1" s="189">
        <v>2020</v>
      </c>
      <c r="AI1" s="189">
        <v>2020</v>
      </c>
      <c r="AJ1" s="189">
        <v>2020</v>
      </c>
      <c r="AK1" s="189">
        <v>2020</v>
      </c>
      <c r="AL1" s="189">
        <v>2020</v>
      </c>
      <c r="AM1" s="189">
        <v>2020</v>
      </c>
      <c r="AN1" s="189">
        <v>2020</v>
      </c>
      <c r="AO1" s="189">
        <v>2021</v>
      </c>
      <c r="AP1" s="189">
        <v>2021</v>
      </c>
      <c r="AQ1" s="189">
        <v>2021</v>
      </c>
      <c r="AR1" s="189">
        <v>2021</v>
      </c>
      <c r="AS1" s="189">
        <v>2021</v>
      </c>
      <c r="AT1" s="189">
        <v>2021</v>
      </c>
      <c r="AU1" s="189">
        <v>2021</v>
      </c>
      <c r="AV1" s="189">
        <v>2021</v>
      </c>
      <c r="AW1" s="189">
        <v>2021</v>
      </c>
      <c r="AX1" s="189">
        <v>2021</v>
      </c>
      <c r="AY1" s="189">
        <v>2021</v>
      </c>
      <c r="AZ1" s="189">
        <v>2021</v>
      </c>
    </row>
    <row r="2" spans="2:52" s="190" customFormat="1">
      <c r="B2" s="207" t="s">
        <v>1</v>
      </c>
      <c r="C2" s="190" t="s">
        <v>5</v>
      </c>
      <c r="D2" s="190">
        <v>12</v>
      </c>
      <c r="E2" s="190">
        <v>1</v>
      </c>
      <c r="F2" s="190">
        <v>2</v>
      </c>
      <c r="G2" s="190">
        <v>3</v>
      </c>
      <c r="H2" s="190">
        <v>4</v>
      </c>
      <c r="I2" s="190">
        <v>5</v>
      </c>
      <c r="J2" s="190">
        <v>6</v>
      </c>
      <c r="K2" s="190">
        <v>7</v>
      </c>
      <c r="L2" s="190">
        <v>8</v>
      </c>
      <c r="M2" s="190">
        <v>9</v>
      </c>
      <c r="N2" s="190">
        <v>10</v>
      </c>
      <c r="O2" s="190">
        <v>11</v>
      </c>
      <c r="P2" s="190">
        <v>12</v>
      </c>
      <c r="Q2" s="190">
        <v>1</v>
      </c>
      <c r="R2" s="190">
        <v>2</v>
      </c>
      <c r="S2" s="190">
        <v>3</v>
      </c>
      <c r="T2" s="190">
        <v>4</v>
      </c>
      <c r="U2" s="190">
        <v>5</v>
      </c>
      <c r="V2" s="190">
        <v>6</v>
      </c>
      <c r="W2" s="190">
        <v>7</v>
      </c>
      <c r="X2" s="190">
        <v>8</v>
      </c>
      <c r="Y2" s="190">
        <v>9</v>
      </c>
      <c r="Z2" s="190">
        <v>10</v>
      </c>
      <c r="AA2" s="190">
        <v>11</v>
      </c>
      <c r="AB2" s="190">
        <v>12</v>
      </c>
      <c r="AC2" s="190">
        <v>1</v>
      </c>
      <c r="AD2" s="190">
        <v>2</v>
      </c>
      <c r="AE2" s="190">
        <v>3</v>
      </c>
      <c r="AF2" s="190">
        <v>4</v>
      </c>
      <c r="AG2" s="190">
        <v>5</v>
      </c>
      <c r="AH2" s="190">
        <v>6</v>
      </c>
      <c r="AI2" s="190">
        <v>7</v>
      </c>
      <c r="AJ2" s="190">
        <v>8</v>
      </c>
      <c r="AK2" s="190">
        <v>9</v>
      </c>
      <c r="AL2" s="190">
        <v>10</v>
      </c>
      <c r="AM2" s="190">
        <v>11</v>
      </c>
      <c r="AN2" s="190">
        <v>12</v>
      </c>
      <c r="AO2" s="190">
        <v>1</v>
      </c>
      <c r="AP2" s="190">
        <v>2</v>
      </c>
      <c r="AQ2" s="190">
        <v>3</v>
      </c>
      <c r="AR2" s="190">
        <v>4</v>
      </c>
      <c r="AS2" s="190">
        <v>5</v>
      </c>
      <c r="AT2" s="190">
        <v>6</v>
      </c>
      <c r="AU2" s="190">
        <v>7</v>
      </c>
      <c r="AV2" s="190">
        <v>8</v>
      </c>
      <c r="AW2" s="190">
        <v>9</v>
      </c>
      <c r="AX2" s="190">
        <v>10</v>
      </c>
      <c r="AY2" s="190">
        <v>11</v>
      </c>
      <c r="AZ2" s="190">
        <v>12</v>
      </c>
    </row>
    <row r="3" spans="2:52" s="514" customFormat="1">
      <c r="B3" s="524" t="s">
        <v>842</v>
      </c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525"/>
      <c r="U3" s="525"/>
      <c r="V3" s="525"/>
      <c r="W3" s="525"/>
      <c r="X3" s="525"/>
      <c r="Y3" s="525"/>
      <c r="Z3" s="525"/>
      <c r="AA3" s="525"/>
      <c r="AB3" s="525"/>
      <c r="AC3" s="562"/>
      <c r="AD3" s="562">
        <v>199330</v>
      </c>
      <c r="AE3" s="562">
        <v>186196</v>
      </c>
      <c r="AF3" s="562">
        <v>155969</v>
      </c>
      <c r="AG3" s="567">
        <v>221524</v>
      </c>
    </row>
    <row r="4" spans="2:52">
      <c r="B4" s="526" t="s">
        <v>583</v>
      </c>
      <c r="AC4" s="563">
        <v>1450</v>
      </c>
      <c r="AD4" s="563">
        <v>2595</v>
      </c>
      <c r="AE4" s="563">
        <v>2039</v>
      </c>
      <c r="AF4" s="563">
        <v>1849</v>
      </c>
      <c r="AG4" s="568">
        <v>1354</v>
      </c>
    </row>
    <row r="5" spans="2:52">
      <c r="B5" s="526" t="s">
        <v>590</v>
      </c>
      <c r="AC5" s="563">
        <v>3364</v>
      </c>
      <c r="AD5" s="563">
        <v>5358</v>
      </c>
      <c r="AE5" s="563">
        <v>7665</v>
      </c>
      <c r="AF5" s="563">
        <v>5283</v>
      </c>
      <c r="AG5" s="568">
        <v>6104</v>
      </c>
    </row>
    <row r="6" spans="2:52">
      <c r="B6" s="526" t="s">
        <v>596</v>
      </c>
      <c r="AC6" s="563">
        <v>14708</v>
      </c>
      <c r="AD6" s="563">
        <v>13550</v>
      </c>
      <c r="AE6" s="563">
        <v>20795</v>
      </c>
      <c r="AF6" s="563">
        <v>15872</v>
      </c>
      <c r="AG6" s="568">
        <v>13661</v>
      </c>
    </row>
    <row r="7" spans="2:52">
      <c r="B7" s="526" t="s">
        <v>599</v>
      </c>
      <c r="AC7" s="563">
        <v>54432</v>
      </c>
      <c r="AD7" s="563">
        <v>65388</v>
      </c>
      <c r="AE7" s="563">
        <v>55245</v>
      </c>
      <c r="AF7" s="563">
        <v>53643</v>
      </c>
      <c r="AG7" s="568">
        <v>60174</v>
      </c>
    </row>
    <row r="8" spans="2:52">
      <c r="B8" s="526" t="s">
        <v>601</v>
      </c>
      <c r="AC8" s="563">
        <v>18955</v>
      </c>
      <c r="AD8" s="563">
        <v>21624</v>
      </c>
      <c r="AE8" s="563">
        <v>22441</v>
      </c>
      <c r="AF8" s="563">
        <v>10965</v>
      </c>
      <c r="AG8" s="568">
        <v>18284</v>
      </c>
    </row>
    <row r="9" spans="2:52">
      <c r="B9" s="526" t="s">
        <v>843</v>
      </c>
      <c r="AC9" s="563">
        <v>50326</v>
      </c>
      <c r="AD9" s="563">
        <v>75693</v>
      </c>
      <c r="AE9" s="563">
        <v>64932</v>
      </c>
      <c r="AF9" s="563">
        <v>58513</v>
      </c>
      <c r="AG9" s="568">
        <v>75841</v>
      </c>
    </row>
    <row r="10" spans="2:52">
      <c r="B10" s="526" t="s">
        <v>844</v>
      </c>
      <c r="AD10" s="563">
        <v>2957</v>
      </c>
      <c r="AE10" s="563">
        <v>6058</v>
      </c>
      <c r="AF10" s="563">
        <v>3966</v>
      </c>
      <c r="AG10" s="568">
        <v>2348</v>
      </c>
    </row>
    <row r="11" spans="2:52">
      <c r="B11" s="526" t="s">
        <v>845</v>
      </c>
      <c r="AC11" s="563"/>
      <c r="AD11" s="563">
        <v>7278</v>
      </c>
      <c r="AE11" s="563">
        <v>3914</v>
      </c>
      <c r="AF11" s="563">
        <v>3987</v>
      </c>
      <c r="AG11" s="568">
        <v>3636</v>
      </c>
    </row>
    <row r="12" spans="2:52">
      <c r="B12" s="526" t="s">
        <v>846</v>
      </c>
      <c r="AC12" s="563"/>
      <c r="AD12" s="563">
        <v>2295</v>
      </c>
      <c r="AE12" s="563">
        <v>1009</v>
      </c>
      <c r="AF12" s="563">
        <v>1891</v>
      </c>
      <c r="AG12" s="568">
        <v>30542</v>
      </c>
    </row>
    <row r="13" spans="2:52" s="514" customFormat="1">
      <c r="B13" s="527" t="s">
        <v>847</v>
      </c>
      <c r="D13" s="525"/>
      <c r="E13" s="525"/>
      <c r="F13" s="525"/>
      <c r="G13" s="525"/>
      <c r="H13" s="525"/>
      <c r="I13" s="525"/>
      <c r="J13" s="525"/>
      <c r="K13" s="525"/>
      <c r="L13" s="525"/>
      <c r="M13" s="525"/>
      <c r="N13" s="525"/>
      <c r="O13" s="525"/>
      <c r="P13" s="525"/>
      <c r="Q13" s="525"/>
      <c r="R13" s="525"/>
      <c r="S13" s="525"/>
      <c r="T13" s="525"/>
      <c r="U13" s="525"/>
      <c r="V13" s="525"/>
      <c r="W13" s="525"/>
      <c r="X13" s="525"/>
      <c r="Y13" s="525"/>
      <c r="Z13" s="525"/>
      <c r="AA13" s="525"/>
      <c r="AB13" s="525"/>
      <c r="AC13" s="562">
        <v>943060</v>
      </c>
      <c r="AD13" s="562">
        <v>1126200</v>
      </c>
      <c r="AE13" s="562">
        <v>1038479</v>
      </c>
      <c r="AF13" s="562">
        <v>1109051</v>
      </c>
      <c r="AG13" s="567">
        <v>1097037</v>
      </c>
    </row>
    <row r="14" spans="2:52">
      <c r="B14" s="526" t="s">
        <v>848</v>
      </c>
      <c r="AC14" s="563">
        <v>240976</v>
      </c>
      <c r="AD14" s="563">
        <v>316143</v>
      </c>
      <c r="AE14" s="563">
        <v>274511</v>
      </c>
      <c r="AF14" s="563">
        <v>297942</v>
      </c>
      <c r="AG14" s="568">
        <v>288312</v>
      </c>
    </row>
    <row r="15" spans="2:52">
      <c r="B15" s="526" t="s">
        <v>849</v>
      </c>
      <c r="AC15" s="563">
        <v>263536</v>
      </c>
      <c r="AD15" s="563">
        <v>254604</v>
      </c>
      <c r="AE15" s="563">
        <v>241430</v>
      </c>
      <c r="AF15" s="563">
        <v>330272</v>
      </c>
      <c r="AG15" s="568">
        <v>287966</v>
      </c>
    </row>
    <row r="16" spans="2:52">
      <c r="B16" s="526" t="s">
        <v>850</v>
      </c>
      <c r="AC16" s="563">
        <v>114646</v>
      </c>
      <c r="AD16" s="563">
        <v>246749</v>
      </c>
      <c r="AE16" s="563">
        <v>167742</v>
      </c>
      <c r="AF16" s="563">
        <v>175439</v>
      </c>
      <c r="AG16" s="568">
        <v>169606</v>
      </c>
    </row>
    <row r="17" spans="1:48">
      <c r="B17" s="526" t="s">
        <v>851</v>
      </c>
      <c r="AC17" s="563">
        <v>233643</v>
      </c>
      <c r="AD17" s="563">
        <v>226537</v>
      </c>
      <c r="AE17" s="563">
        <v>237537</v>
      </c>
      <c r="AF17" s="563">
        <v>207562</v>
      </c>
      <c r="AG17" s="568">
        <v>259180</v>
      </c>
    </row>
    <row r="18" spans="1:48">
      <c r="B18" s="526" t="s">
        <v>852</v>
      </c>
      <c r="AC18" s="563">
        <v>90260</v>
      </c>
      <c r="AD18" s="563">
        <v>59924</v>
      </c>
      <c r="AE18" s="563">
        <v>117260</v>
      </c>
      <c r="AF18" s="563">
        <v>97836</v>
      </c>
      <c r="AG18" s="568">
        <v>91974</v>
      </c>
    </row>
    <row r="19" spans="1:48">
      <c r="AC19" s="563"/>
    </row>
    <row r="20" spans="1:48" s="515" customFormat="1" ht="18.75">
      <c r="B20" s="528" t="s">
        <v>853</v>
      </c>
      <c r="D20" s="529"/>
      <c r="E20" s="529"/>
      <c r="F20" s="529"/>
      <c r="G20" s="529"/>
      <c r="H20" s="529"/>
      <c r="I20" s="529"/>
      <c r="J20" s="529"/>
      <c r="K20" s="529"/>
      <c r="L20" s="529"/>
      <c r="M20" s="529"/>
      <c r="N20" s="529"/>
      <c r="O20" s="529"/>
      <c r="P20" s="529"/>
      <c r="Q20" s="529"/>
      <c r="R20" s="529"/>
      <c r="S20" s="529"/>
      <c r="T20" s="529"/>
      <c r="U20" s="529"/>
      <c r="V20" s="529"/>
      <c r="W20" s="529"/>
      <c r="X20" s="529"/>
      <c r="Y20" s="529"/>
      <c r="Z20" s="529"/>
      <c r="AA20" s="529"/>
      <c r="AB20" s="529"/>
      <c r="AC20" s="564"/>
      <c r="AD20" s="529"/>
      <c r="AE20" s="529"/>
      <c r="AF20" s="529"/>
    </row>
    <row r="21" spans="1:48" s="516" customFormat="1">
      <c r="A21" s="530" t="s">
        <v>854</v>
      </c>
      <c r="B21" s="531" t="s">
        <v>566</v>
      </c>
      <c r="D21" s="532"/>
      <c r="E21" s="532">
        <v>12880</v>
      </c>
      <c r="F21" s="532">
        <v>13577</v>
      </c>
      <c r="G21" s="532">
        <v>13404</v>
      </c>
      <c r="H21" s="532">
        <v>13935</v>
      </c>
      <c r="I21" s="532">
        <v>14356</v>
      </c>
      <c r="J21" s="532">
        <v>15111</v>
      </c>
      <c r="K21" s="532">
        <v>13772</v>
      </c>
      <c r="L21" s="532">
        <v>13433</v>
      </c>
      <c r="M21" s="551">
        <v>12527</v>
      </c>
      <c r="N21" s="551">
        <v>12327</v>
      </c>
      <c r="O21" s="551">
        <v>11253</v>
      </c>
      <c r="P21" s="551">
        <v>10837</v>
      </c>
      <c r="Q21" s="551">
        <v>11455</v>
      </c>
      <c r="R21" s="551">
        <v>12650</v>
      </c>
      <c r="S21" s="551">
        <v>13050</v>
      </c>
      <c r="T21" s="551">
        <v>12819</v>
      </c>
      <c r="U21" s="551">
        <v>11998.333333333299</v>
      </c>
      <c r="V21" s="551">
        <v>11970</v>
      </c>
      <c r="W21" s="551">
        <v>13462.391304347801</v>
      </c>
      <c r="X21" s="551">
        <v>15685.4545454545</v>
      </c>
      <c r="Y21" s="551">
        <v>17673.0952380952</v>
      </c>
      <c r="Z21" s="551">
        <v>17121.304347826099</v>
      </c>
      <c r="AA21" s="551">
        <v>15200</v>
      </c>
      <c r="AB21" s="551">
        <v>13801</v>
      </c>
      <c r="AC21" s="558">
        <v>13748</v>
      </c>
      <c r="AD21" s="558">
        <v>12744</v>
      </c>
      <c r="AE21" s="558">
        <v>11873</v>
      </c>
      <c r="AF21" s="558">
        <v>11753</v>
      </c>
      <c r="AG21" s="516">
        <v>12137</v>
      </c>
      <c r="AH21" s="569">
        <v>12703</v>
      </c>
      <c r="AI21" s="516">
        <v>13341</v>
      </c>
      <c r="AJ21" s="516">
        <v>14487</v>
      </c>
      <c r="AK21" s="516">
        <v>14866</v>
      </c>
      <c r="AL21" s="516">
        <v>15219</v>
      </c>
      <c r="AM21" s="516">
        <v>15796</v>
      </c>
      <c r="AN21" s="516">
        <v>16807</v>
      </c>
      <c r="AO21" s="516">
        <v>17848</v>
      </c>
      <c r="AP21" s="516">
        <v>18568</v>
      </c>
      <c r="AQ21" s="516">
        <v>16461</v>
      </c>
      <c r="AR21" s="516">
        <v>16481</v>
      </c>
      <c r="AS21" s="516">
        <v>17606</v>
      </c>
      <c r="AT21" s="516">
        <v>17943</v>
      </c>
      <c r="AU21">
        <v>18817</v>
      </c>
      <c r="AV21" s="516">
        <v>19160</v>
      </c>
    </row>
    <row r="22" spans="1:48" s="516" customFormat="1">
      <c r="A22" s="530"/>
      <c r="B22" s="531" t="s">
        <v>567</v>
      </c>
      <c r="D22" s="532"/>
      <c r="E22" s="532">
        <v>100079</v>
      </c>
      <c r="F22" s="532">
        <v>102668</v>
      </c>
      <c r="G22" s="532">
        <v>101315</v>
      </c>
      <c r="H22" s="532">
        <v>103038</v>
      </c>
      <c r="I22" s="532">
        <v>107636</v>
      </c>
      <c r="J22" s="532">
        <v>115802</v>
      </c>
      <c r="K22" s="532">
        <v>111486</v>
      </c>
      <c r="L22" s="532">
        <v>111054</v>
      </c>
      <c r="M22" s="551">
        <v>103345</v>
      </c>
      <c r="N22" s="551">
        <v>102496</v>
      </c>
      <c r="O22" s="551">
        <v>93676</v>
      </c>
      <c r="P22" s="551">
        <v>89721</v>
      </c>
      <c r="Q22" s="551">
        <v>92793</v>
      </c>
      <c r="R22" s="551">
        <v>100227</v>
      </c>
      <c r="S22" s="551">
        <v>102086</v>
      </c>
      <c r="T22" s="551">
        <v>100667</v>
      </c>
      <c r="U22" s="551">
        <v>97553</v>
      </c>
      <c r="V22" s="551">
        <v>98602</v>
      </c>
      <c r="W22" s="551">
        <v>106755</v>
      </c>
      <c r="X22" s="551">
        <v>122915</v>
      </c>
      <c r="Y22" s="551">
        <v>139786</v>
      </c>
      <c r="Z22" s="551">
        <v>132746</v>
      </c>
      <c r="AA22" s="551">
        <v>121304</v>
      </c>
      <c r="AB22" s="551">
        <v>109442</v>
      </c>
      <c r="AC22" s="558">
        <v>109369</v>
      </c>
      <c r="AD22" s="558">
        <v>103743</v>
      </c>
      <c r="AE22" s="558">
        <v>97785</v>
      </c>
      <c r="AF22" s="558">
        <v>97492</v>
      </c>
      <c r="AG22" s="516">
        <v>101177</v>
      </c>
      <c r="AH22" s="569">
        <v>102820</v>
      </c>
      <c r="AI22" s="516">
        <v>107249</v>
      </c>
      <c r="AJ22" s="516">
        <v>115330</v>
      </c>
      <c r="AK22" s="516">
        <v>116533</v>
      </c>
      <c r="AL22" s="516">
        <v>119163</v>
      </c>
      <c r="AM22" s="516">
        <v>118244</v>
      </c>
      <c r="AN22" s="516">
        <v>125387</v>
      </c>
      <c r="AO22" s="516">
        <v>132156</v>
      </c>
      <c r="AP22" s="516">
        <v>137561</v>
      </c>
      <c r="AQ22" s="516">
        <v>124124</v>
      </c>
      <c r="AR22" s="516">
        <v>123826</v>
      </c>
      <c r="AS22" s="516">
        <v>129884</v>
      </c>
      <c r="AT22" s="516">
        <v>132735</v>
      </c>
      <c r="AU22">
        <v>140305</v>
      </c>
      <c r="AV22" s="516">
        <v>143448</v>
      </c>
    </row>
    <row r="23" spans="1:48" s="516" customFormat="1">
      <c r="A23" s="530"/>
      <c r="B23" s="531" t="s">
        <v>568</v>
      </c>
      <c r="D23" s="532"/>
      <c r="E23" s="532">
        <v>535.79999999999995</v>
      </c>
      <c r="F23" s="532">
        <v>530.6</v>
      </c>
      <c r="G23" s="532">
        <v>479.2</v>
      </c>
      <c r="H23" s="532">
        <v>454.2</v>
      </c>
      <c r="I23" s="532">
        <v>469.7</v>
      </c>
      <c r="J23" s="532">
        <v>464.8</v>
      </c>
      <c r="K23" s="532">
        <v>469.2</v>
      </c>
      <c r="L23" s="532">
        <v>494</v>
      </c>
      <c r="M23" s="551">
        <v>497.4</v>
      </c>
      <c r="N23" s="551">
        <v>521.29999999999995</v>
      </c>
      <c r="O23" s="551">
        <v>506.6</v>
      </c>
      <c r="P23" s="551">
        <v>482.5</v>
      </c>
      <c r="Q23" s="551">
        <v>526</v>
      </c>
      <c r="R23" s="551">
        <v>619.4</v>
      </c>
      <c r="S23" s="551">
        <v>617</v>
      </c>
      <c r="T23" s="551">
        <v>644.79999999999995</v>
      </c>
      <c r="U23" s="551">
        <v>696.3</v>
      </c>
      <c r="V23" s="551">
        <v>777.3</v>
      </c>
      <c r="W23" s="551">
        <v>877.7</v>
      </c>
      <c r="X23" s="551">
        <v>633.70000000000005</v>
      </c>
      <c r="Y23" s="551">
        <v>647</v>
      </c>
      <c r="Z23" s="551">
        <v>630.20000000000005</v>
      </c>
      <c r="AA23" s="551">
        <v>628.5</v>
      </c>
      <c r="AB23" s="551">
        <v>643.79999999999995</v>
      </c>
      <c r="AC23" s="558">
        <v>664.7</v>
      </c>
      <c r="AD23" s="558">
        <v>626.1</v>
      </c>
      <c r="AE23" s="558">
        <v>654.1</v>
      </c>
      <c r="AF23" s="558">
        <v>596.6</v>
      </c>
      <c r="AG23" s="516">
        <v>679.4</v>
      </c>
      <c r="AH23" s="569">
        <v>760</v>
      </c>
      <c r="AI23" s="516">
        <v>809</v>
      </c>
      <c r="AJ23" s="516">
        <v>852</v>
      </c>
      <c r="AK23" s="516">
        <v>811.8</v>
      </c>
      <c r="AL23" s="516">
        <v>791.2</v>
      </c>
      <c r="AM23" s="516">
        <v>845.1</v>
      </c>
      <c r="AN23" s="516">
        <v>996.5</v>
      </c>
      <c r="AO23" s="516">
        <v>1041.8</v>
      </c>
      <c r="AP23" s="516">
        <v>1061.4000000000001</v>
      </c>
      <c r="AQ23" s="516">
        <v>1085.5999999999999</v>
      </c>
      <c r="AR23" s="516">
        <v>1054.0999999999999</v>
      </c>
      <c r="AS23" s="516">
        <v>1165.2</v>
      </c>
      <c r="AT23" s="516">
        <v>1176.8</v>
      </c>
      <c r="AU23">
        <v>1178.5</v>
      </c>
      <c r="AV23" s="516">
        <v>860.8</v>
      </c>
    </row>
    <row r="24" spans="1:48" s="516" customFormat="1">
      <c r="A24" s="530"/>
      <c r="B24" s="531" t="s">
        <v>569</v>
      </c>
      <c r="D24" s="532"/>
      <c r="E24" s="532">
        <v>2018.7</v>
      </c>
      <c r="F24" s="532">
        <v>2149.9</v>
      </c>
      <c r="G24" s="532">
        <v>1994.8</v>
      </c>
      <c r="H24" s="532">
        <v>1851.6</v>
      </c>
      <c r="I24" s="532">
        <v>2034.6</v>
      </c>
      <c r="J24" s="532">
        <v>2090.5</v>
      </c>
      <c r="K24" s="532">
        <v>2075</v>
      </c>
      <c r="L24" s="532">
        <v>2497.8000000000002</v>
      </c>
      <c r="M24" s="551">
        <v>2317.3000000000002</v>
      </c>
      <c r="N24" s="551">
        <v>2422.3000000000002</v>
      </c>
      <c r="O24" s="551">
        <v>2289.6999999999998</v>
      </c>
      <c r="P24" s="551">
        <v>2017.2</v>
      </c>
      <c r="Q24" s="551">
        <v>2001</v>
      </c>
      <c r="R24" s="551">
        <v>2106</v>
      </c>
      <c r="S24" s="551">
        <v>2009.6</v>
      </c>
      <c r="T24" s="551">
        <v>2035.5</v>
      </c>
      <c r="U24" s="551">
        <v>2185</v>
      </c>
      <c r="V24" s="551">
        <v>2102.8000000000002</v>
      </c>
      <c r="W24" s="551">
        <v>2143.6</v>
      </c>
      <c r="X24" s="551">
        <v>1969.9</v>
      </c>
      <c r="Y24" s="551">
        <v>1935.4</v>
      </c>
      <c r="Z24" s="551">
        <v>1790.7</v>
      </c>
      <c r="AA24" s="551">
        <v>1784.1</v>
      </c>
      <c r="AB24" s="551">
        <v>1868.2</v>
      </c>
      <c r="AC24" s="558">
        <v>1869.2</v>
      </c>
      <c r="AD24" s="558">
        <v>1832.5</v>
      </c>
      <c r="AE24" s="558">
        <v>1808.7</v>
      </c>
      <c r="AF24" s="558">
        <v>1685.1</v>
      </c>
      <c r="AG24" s="516">
        <v>1800.7</v>
      </c>
      <c r="AH24" s="569">
        <v>1942.9</v>
      </c>
      <c r="AI24" s="516">
        <v>1926.8</v>
      </c>
      <c r="AJ24" s="516">
        <v>1988.5</v>
      </c>
      <c r="AK24" s="516">
        <v>1971.5</v>
      </c>
      <c r="AL24" s="516">
        <v>2123.6</v>
      </c>
      <c r="AM24" s="516">
        <v>2405.1</v>
      </c>
      <c r="AN24" s="516">
        <v>2653.6</v>
      </c>
      <c r="AO24" s="516">
        <v>2777.5</v>
      </c>
      <c r="AP24" s="516">
        <v>2589.3000000000002</v>
      </c>
      <c r="AQ24" s="516">
        <v>2304.8000000000002</v>
      </c>
      <c r="AR24" s="516">
        <v>2508.4</v>
      </c>
      <c r="AS24" s="516">
        <v>2599.4</v>
      </c>
      <c r="AT24" s="516">
        <v>2662.5</v>
      </c>
      <c r="AU24">
        <v>2697.5</v>
      </c>
      <c r="AV24" s="516">
        <v>3019.1</v>
      </c>
    </row>
    <row r="25" spans="1:48" s="516" customFormat="1">
      <c r="A25" s="530"/>
      <c r="B25" s="531" t="s">
        <v>570</v>
      </c>
      <c r="D25" s="532"/>
      <c r="E25" s="532">
        <v>1321.1</v>
      </c>
      <c r="F25" s="532">
        <v>1371.2</v>
      </c>
      <c r="G25" s="532">
        <v>1297.0999999999999</v>
      </c>
      <c r="H25" s="532">
        <v>1188</v>
      </c>
      <c r="I25" s="532">
        <v>1226.4000000000001</v>
      </c>
      <c r="J25" s="532">
        <v>1224.5999999999999</v>
      </c>
      <c r="K25" s="532">
        <v>1163.7</v>
      </c>
      <c r="L25" s="532">
        <v>1256.2</v>
      </c>
      <c r="M25" s="551">
        <v>1277.5</v>
      </c>
      <c r="N25" s="551">
        <v>1376.1</v>
      </c>
      <c r="O25" s="551">
        <v>1355.5</v>
      </c>
      <c r="P25" s="551">
        <v>1290.5</v>
      </c>
      <c r="Q25" s="551">
        <v>1212.5</v>
      </c>
      <c r="R25" s="551">
        <v>1280.5999999999999</v>
      </c>
      <c r="S25" s="551">
        <v>1244</v>
      </c>
      <c r="T25" s="551">
        <v>1307.7</v>
      </c>
      <c r="U25" s="551">
        <v>1378.6</v>
      </c>
      <c r="V25" s="551">
        <v>1390.5</v>
      </c>
      <c r="W25" s="551">
        <v>1396</v>
      </c>
      <c r="X25" s="551">
        <v>1367.3</v>
      </c>
      <c r="Y25" s="551">
        <v>1308.5</v>
      </c>
      <c r="Z25" s="551">
        <v>1246</v>
      </c>
      <c r="AA25" s="551">
        <v>1238.3</v>
      </c>
      <c r="AB25" s="551">
        <v>1208.9000000000001</v>
      </c>
      <c r="AC25" s="558">
        <v>1206.5999999999999</v>
      </c>
      <c r="AD25" s="558">
        <v>1251.0999999999999</v>
      </c>
      <c r="AE25" s="558">
        <v>1264.3</v>
      </c>
      <c r="AF25" s="558">
        <v>1114.3</v>
      </c>
      <c r="AG25" s="516">
        <v>1133.2</v>
      </c>
      <c r="AH25" s="569">
        <v>1181.0999999999999</v>
      </c>
      <c r="AI25" s="516">
        <v>1207.7</v>
      </c>
      <c r="AJ25" s="516">
        <v>1211</v>
      </c>
      <c r="AK25" s="516">
        <v>1265.7</v>
      </c>
      <c r="AL25" s="516">
        <v>1344.5</v>
      </c>
      <c r="AM25" s="516">
        <v>1353</v>
      </c>
      <c r="AN25" s="516">
        <v>1584.7</v>
      </c>
      <c r="AO25" s="516">
        <v>1665.9</v>
      </c>
      <c r="AP25" s="516">
        <v>1513</v>
      </c>
      <c r="AQ25" s="516">
        <v>1541.3</v>
      </c>
      <c r="AR25" s="516">
        <v>1663.5</v>
      </c>
      <c r="AS25" s="516">
        <v>1882.7</v>
      </c>
      <c r="AT25" s="516">
        <v>1933.6</v>
      </c>
      <c r="AU25">
        <v>2032.6</v>
      </c>
      <c r="AV25" s="516">
        <v>2341.8000000000002</v>
      </c>
    </row>
    <row r="26" spans="1:48" s="516" customFormat="1">
      <c r="A26" s="530" t="s">
        <v>855</v>
      </c>
      <c r="B26" s="531" t="s">
        <v>729</v>
      </c>
      <c r="D26" s="532"/>
      <c r="E26" s="532">
        <v>999</v>
      </c>
      <c r="F26" s="532">
        <v>1012</v>
      </c>
      <c r="G26" s="532">
        <v>1026</v>
      </c>
      <c r="H26" s="532">
        <v>985</v>
      </c>
      <c r="I26" s="532">
        <v>1021</v>
      </c>
      <c r="J26" s="532">
        <v>1065</v>
      </c>
      <c r="K26" s="532">
        <v>1096</v>
      </c>
      <c r="L26" s="532">
        <v>1102</v>
      </c>
      <c r="M26" s="551">
        <v>1095</v>
      </c>
      <c r="N26" s="551">
        <v>1091</v>
      </c>
      <c r="O26" s="551">
        <v>1035</v>
      </c>
      <c r="P26" s="551">
        <v>964</v>
      </c>
      <c r="Q26" s="551">
        <v>966</v>
      </c>
      <c r="R26" s="551">
        <v>1017</v>
      </c>
      <c r="S26" s="551">
        <v>1065</v>
      </c>
      <c r="T26" s="551">
        <v>1005.45454545455</v>
      </c>
      <c r="U26" s="551">
        <v>960.71428571428601</v>
      </c>
      <c r="V26" s="551">
        <v>956.05263157894694</v>
      </c>
      <c r="W26" s="551">
        <v>1016.30434782609</v>
      </c>
      <c r="X26" s="551">
        <v>1092.72727272727</v>
      </c>
      <c r="Y26" s="551">
        <v>1156.42857142857</v>
      </c>
      <c r="Z26" s="551">
        <v>1215.2631578947401</v>
      </c>
      <c r="AA26" s="551">
        <v>1117</v>
      </c>
      <c r="AB26" s="551">
        <v>1000</v>
      </c>
      <c r="AC26" s="558">
        <v>980</v>
      </c>
      <c r="AD26" s="558">
        <v>973</v>
      </c>
      <c r="AE26" s="558">
        <v>913</v>
      </c>
      <c r="AF26" s="558">
        <v>935</v>
      </c>
      <c r="AG26" s="516">
        <v>994</v>
      </c>
      <c r="AH26" s="569">
        <v>987</v>
      </c>
      <c r="AI26" s="516">
        <v>976</v>
      </c>
      <c r="AJ26" s="516">
        <v>1069</v>
      </c>
      <c r="AK26" s="516">
        <v>1178</v>
      </c>
      <c r="AL26" s="516">
        <v>1195</v>
      </c>
      <c r="AM26" s="516">
        <v>1128</v>
      </c>
      <c r="AN26" s="516">
        <v>1075</v>
      </c>
      <c r="AO26" s="516">
        <v>1109</v>
      </c>
      <c r="AP26" s="516">
        <v>1151</v>
      </c>
      <c r="AQ26" s="516">
        <v>1163</v>
      </c>
      <c r="AR26" s="516">
        <v>1088</v>
      </c>
      <c r="AS26" s="516">
        <v>1129</v>
      </c>
      <c r="AT26" s="516">
        <v>1177</v>
      </c>
      <c r="AU26">
        <v>1310</v>
      </c>
      <c r="AV26" s="516">
        <v>1413</v>
      </c>
    </row>
    <row r="27" spans="1:48" s="516" customFormat="1">
      <c r="A27" s="530"/>
      <c r="B27" s="531" t="s">
        <v>572</v>
      </c>
      <c r="D27" s="532"/>
      <c r="E27" s="532">
        <v>7705</v>
      </c>
      <c r="F27" s="532">
        <v>8113</v>
      </c>
      <c r="G27" s="532">
        <v>7991</v>
      </c>
      <c r="H27" s="532">
        <v>7175</v>
      </c>
      <c r="I27" s="532">
        <v>7077</v>
      </c>
      <c r="J27" s="532">
        <v>7485</v>
      </c>
      <c r="K27" s="532">
        <v>7514</v>
      </c>
      <c r="L27" s="532">
        <v>6907</v>
      </c>
      <c r="M27" s="551">
        <v>6917</v>
      </c>
      <c r="N27" s="551">
        <v>7075</v>
      </c>
      <c r="O27" s="551">
        <v>6816</v>
      </c>
      <c r="P27" s="551">
        <v>6700</v>
      </c>
      <c r="Q27" s="551">
        <v>6605</v>
      </c>
      <c r="R27" s="551">
        <v>6744</v>
      </c>
      <c r="S27" s="551">
        <v>7314</v>
      </c>
      <c r="T27" s="551">
        <v>7125</v>
      </c>
      <c r="U27" s="551">
        <v>6814.2857142857101</v>
      </c>
      <c r="V27" s="551">
        <v>6452.6315789473701</v>
      </c>
      <c r="W27" s="551">
        <v>6245.6521739130403</v>
      </c>
      <c r="X27" s="551">
        <v>6325</v>
      </c>
      <c r="Y27" s="551">
        <v>6464.2857142857101</v>
      </c>
      <c r="Z27" s="551">
        <v>6421.0526315789502</v>
      </c>
      <c r="AA27" s="551">
        <v>6164</v>
      </c>
      <c r="AB27" s="551">
        <v>5798</v>
      </c>
      <c r="AC27" s="558">
        <v>5847</v>
      </c>
      <c r="AD27" s="558">
        <v>5863</v>
      </c>
      <c r="AE27" s="558">
        <v>5673</v>
      </c>
      <c r="AF27" s="558">
        <v>5900</v>
      </c>
      <c r="AG27" s="516">
        <v>6121</v>
      </c>
      <c r="AH27" s="569">
        <v>6260</v>
      </c>
      <c r="AI27" s="516">
        <v>5998</v>
      </c>
      <c r="AJ27" s="516">
        <v>5900</v>
      </c>
      <c r="AK27" s="516">
        <v>5967</v>
      </c>
      <c r="AL27" s="516">
        <v>5906</v>
      </c>
      <c r="AM27" s="516">
        <v>5819</v>
      </c>
      <c r="AN27" s="516">
        <v>5843</v>
      </c>
      <c r="AO27" s="516">
        <v>7480</v>
      </c>
      <c r="AP27" s="516">
        <v>8724</v>
      </c>
      <c r="AQ27" s="516">
        <v>8791</v>
      </c>
      <c r="AR27" s="516">
        <v>7973</v>
      </c>
      <c r="AS27" s="516">
        <v>7311</v>
      </c>
      <c r="AT27" s="516">
        <v>7748</v>
      </c>
      <c r="AU27">
        <v>9407</v>
      </c>
      <c r="AV27" s="516">
        <v>10632</v>
      </c>
    </row>
    <row r="28" spans="1:48" s="516" customFormat="1">
      <c r="A28" s="530"/>
      <c r="B28" s="531" t="s">
        <v>573</v>
      </c>
      <c r="D28" s="532"/>
      <c r="E28" s="532">
        <v>75.849999999999994</v>
      </c>
      <c r="F28" s="532">
        <v>77.510000000000005</v>
      </c>
      <c r="G28" s="532">
        <v>69.7</v>
      </c>
      <c r="H28" s="532">
        <v>65.27</v>
      </c>
      <c r="I28" s="532">
        <v>65.95</v>
      </c>
      <c r="J28" s="532">
        <v>64.849999999999994</v>
      </c>
      <c r="K28" s="532">
        <v>64.349999999999994</v>
      </c>
      <c r="L28" s="532">
        <v>67.16</v>
      </c>
      <c r="M28" s="551">
        <v>68.73</v>
      </c>
      <c r="N28" s="551">
        <v>72.81</v>
      </c>
      <c r="O28" s="551">
        <v>72.28</v>
      </c>
      <c r="P28" s="551">
        <v>69.2</v>
      </c>
      <c r="Q28" s="551">
        <v>76.03</v>
      </c>
      <c r="R28" s="551">
        <v>87.33</v>
      </c>
      <c r="S28" s="551">
        <v>85.7</v>
      </c>
      <c r="T28" s="551">
        <v>93.240476190476201</v>
      </c>
      <c r="U28" s="551">
        <v>98.568181818181799</v>
      </c>
      <c r="V28" s="551">
        <v>109.783333333333</v>
      </c>
      <c r="W28" s="551">
        <v>120.01521739130401</v>
      </c>
      <c r="X28" s="551">
        <v>90.91</v>
      </c>
      <c r="Y28" s="551">
        <v>92.911904761904793</v>
      </c>
      <c r="Z28" s="551">
        <v>89.56</v>
      </c>
      <c r="AA28" s="551">
        <v>89.56</v>
      </c>
      <c r="AB28" s="551">
        <v>91.5</v>
      </c>
      <c r="AC28" s="558">
        <v>92.44</v>
      </c>
      <c r="AD28" s="558">
        <v>86.46</v>
      </c>
      <c r="AE28" s="558">
        <v>88.02</v>
      </c>
      <c r="AF28" s="558">
        <v>83.84</v>
      </c>
      <c r="AG28" s="516">
        <v>92.54</v>
      </c>
      <c r="AH28" s="569">
        <v>102.95</v>
      </c>
      <c r="AI28" s="516">
        <v>108.05</v>
      </c>
      <c r="AJ28" s="516">
        <v>122.53</v>
      </c>
      <c r="AK28" s="516">
        <v>123.98</v>
      </c>
      <c r="AL28" s="516">
        <v>120.19</v>
      </c>
      <c r="AM28" s="516">
        <v>124.62</v>
      </c>
      <c r="AN28" s="516">
        <v>155.84</v>
      </c>
      <c r="AO28" s="516">
        <v>168.13</v>
      </c>
      <c r="AP28" s="516">
        <v>165.61</v>
      </c>
      <c r="AQ28" s="516">
        <v>166.9</v>
      </c>
      <c r="AR28" s="516">
        <v>179.63</v>
      </c>
      <c r="AS28" s="516">
        <v>205.69</v>
      </c>
      <c r="AT28" s="516">
        <v>214.55</v>
      </c>
      <c r="AU28">
        <v>211.99</v>
      </c>
      <c r="AV28" s="516">
        <v>159.25</v>
      </c>
    </row>
    <row r="29" spans="1:48" s="516" customFormat="1">
      <c r="A29" s="530"/>
      <c r="B29" s="531" t="s">
        <v>856</v>
      </c>
      <c r="D29" s="532"/>
      <c r="E29" s="532">
        <v>539</v>
      </c>
      <c r="F29" s="532">
        <v>532</v>
      </c>
      <c r="G29" s="532">
        <v>486</v>
      </c>
      <c r="H29" s="532">
        <v>453</v>
      </c>
      <c r="I29" s="532">
        <v>465</v>
      </c>
      <c r="J29" s="532">
        <v>456</v>
      </c>
      <c r="K29" s="532">
        <v>458</v>
      </c>
      <c r="L29" s="532">
        <v>486</v>
      </c>
      <c r="M29" s="551">
        <v>498</v>
      </c>
      <c r="N29" s="551">
        <v>546</v>
      </c>
      <c r="O29" s="551">
        <v>568</v>
      </c>
      <c r="P29" s="551">
        <v>540.65</v>
      </c>
      <c r="Q29" s="551">
        <v>563</v>
      </c>
      <c r="R29" s="551">
        <v>639</v>
      </c>
      <c r="S29" s="551">
        <v>624</v>
      </c>
      <c r="T29" s="551">
        <v>657.72727272727298</v>
      </c>
      <c r="U29" s="551">
        <v>707.19047619047603</v>
      </c>
      <c r="V29" s="551">
        <v>802.68421052631595</v>
      </c>
      <c r="W29" s="551">
        <v>886.08695652173901</v>
      </c>
      <c r="X29" s="551">
        <v>743.13636363636397</v>
      </c>
      <c r="Y29" s="551">
        <v>735.57142857142901</v>
      </c>
      <c r="Z29" s="551">
        <v>705.15789473684197</v>
      </c>
      <c r="AA29" s="551">
        <v>647</v>
      </c>
      <c r="AB29" s="551">
        <v>664</v>
      </c>
      <c r="AC29" s="558">
        <v>679</v>
      </c>
      <c r="AD29" s="558">
        <v>634</v>
      </c>
      <c r="AE29" s="558">
        <v>652</v>
      </c>
      <c r="AF29" s="558">
        <v>648</v>
      </c>
      <c r="AG29" s="516">
        <v>695</v>
      </c>
      <c r="AH29" s="516">
        <v>776</v>
      </c>
      <c r="AI29" s="516">
        <v>818</v>
      </c>
      <c r="AJ29" s="516">
        <v>915</v>
      </c>
      <c r="AK29" s="516">
        <v>922</v>
      </c>
      <c r="AL29" s="516">
        <v>878</v>
      </c>
      <c r="AM29" s="516">
        <v>872</v>
      </c>
      <c r="AN29" s="516">
        <v>1022</v>
      </c>
      <c r="AO29" s="516">
        <v>1130</v>
      </c>
      <c r="AP29" s="516">
        <v>1124</v>
      </c>
      <c r="AQ29" s="516">
        <v>1132</v>
      </c>
      <c r="AR29" s="516">
        <v>1195</v>
      </c>
      <c r="AS29" s="516">
        <v>1453</v>
      </c>
      <c r="AT29" s="516">
        <v>1455</v>
      </c>
      <c r="AU29">
        <v>1456</v>
      </c>
      <c r="AV29" s="516">
        <v>1128</v>
      </c>
    </row>
    <row r="30" spans="1:48" s="516" customFormat="1">
      <c r="A30" s="530"/>
      <c r="B30" s="533" t="s">
        <v>575</v>
      </c>
      <c r="D30" s="532"/>
      <c r="E30" s="532">
        <v>1545</v>
      </c>
      <c r="F30" s="532">
        <v>1640</v>
      </c>
      <c r="G30" s="532">
        <v>1640</v>
      </c>
      <c r="H30" s="532">
        <v>1623</v>
      </c>
      <c r="I30" s="532">
        <v>1575</v>
      </c>
      <c r="J30" s="532">
        <v>1600</v>
      </c>
      <c r="K30" s="532">
        <v>1584</v>
      </c>
      <c r="L30" s="532">
        <v>1558</v>
      </c>
      <c r="M30" s="551">
        <v>1590</v>
      </c>
      <c r="N30" s="551">
        <v>1626</v>
      </c>
      <c r="O30" s="551">
        <v>1675</v>
      </c>
      <c r="P30" s="551">
        <v>1730</v>
      </c>
      <c r="Q30" s="551">
        <v>1680</v>
      </c>
      <c r="R30" s="551">
        <v>1680</v>
      </c>
      <c r="S30" s="551">
        <v>1680</v>
      </c>
      <c r="T30" s="551">
        <v>1633.6363636363601</v>
      </c>
      <c r="U30" s="551">
        <v>1622.8571428571399</v>
      </c>
      <c r="V30" s="551">
        <v>1640</v>
      </c>
      <c r="W30" s="551">
        <v>1603.47826086957</v>
      </c>
      <c r="X30" s="551">
        <v>1600</v>
      </c>
      <c r="Y30" s="551">
        <v>1544.7619047619</v>
      </c>
      <c r="Z30" s="551">
        <v>1418.94736842105</v>
      </c>
      <c r="AA30" s="551">
        <v>1375</v>
      </c>
      <c r="AB30" s="551">
        <v>1400</v>
      </c>
      <c r="AC30" s="558">
        <v>1440</v>
      </c>
      <c r="AD30" s="558">
        <v>1443</v>
      </c>
      <c r="AE30" s="558">
        <v>1442</v>
      </c>
      <c r="AF30" s="558">
        <v>1360</v>
      </c>
      <c r="AG30" s="516">
        <v>1323</v>
      </c>
      <c r="AH30" s="516">
        <v>1287</v>
      </c>
      <c r="AI30" s="516">
        <v>1278</v>
      </c>
      <c r="AJ30" s="516">
        <v>1250</v>
      </c>
      <c r="AK30" s="516">
        <v>1251</v>
      </c>
      <c r="AL30" s="516">
        <v>1286</v>
      </c>
      <c r="AM30" s="516">
        <v>1346</v>
      </c>
      <c r="AN30" s="516">
        <v>1459</v>
      </c>
      <c r="AO30" s="516">
        <v>1524</v>
      </c>
      <c r="AP30" s="516">
        <v>1540</v>
      </c>
      <c r="AQ30" s="516">
        <v>1475</v>
      </c>
      <c r="AR30" s="516">
        <v>1510</v>
      </c>
      <c r="AS30" s="516">
        <v>1832</v>
      </c>
      <c r="AT30" s="516">
        <v>1983</v>
      </c>
      <c r="AU30">
        <v>2220</v>
      </c>
      <c r="AV30" s="516">
        <v>2866</v>
      </c>
    </row>
    <row r="31" spans="1:48">
      <c r="AC31" s="565"/>
    </row>
    <row r="32" spans="1:48" s="517" customFormat="1">
      <c r="B32" s="534" t="s">
        <v>857</v>
      </c>
      <c r="D32" s="535"/>
      <c r="E32" s="535">
        <v>0.17</v>
      </c>
      <c r="F32" s="535">
        <v>0.17</v>
      </c>
      <c r="G32" s="535">
        <v>0.17</v>
      </c>
      <c r="H32" s="535">
        <v>0.17</v>
      </c>
      <c r="I32" s="535">
        <v>0.16</v>
      </c>
      <c r="J32" s="535">
        <v>0.16</v>
      </c>
      <c r="K32" s="535">
        <v>0.16</v>
      </c>
      <c r="L32" s="535">
        <v>0.16</v>
      </c>
      <c r="M32" s="535">
        <v>0.16</v>
      </c>
      <c r="N32" s="535">
        <v>0.16</v>
      </c>
      <c r="O32" s="535">
        <v>0.16</v>
      </c>
      <c r="P32" s="535">
        <v>0.16</v>
      </c>
      <c r="Q32" s="535">
        <v>0.16</v>
      </c>
      <c r="R32" s="535">
        <v>0.16</v>
      </c>
      <c r="S32" s="535">
        <v>0.16</v>
      </c>
      <c r="T32" s="535">
        <v>0.13</v>
      </c>
      <c r="U32" s="535">
        <v>0.13</v>
      </c>
      <c r="V32" s="535">
        <v>0.13</v>
      </c>
      <c r="W32" s="535">
        <v>0.13</v>
      </c>
      <c r="X32" s="535">
        <v>0.13</v>
      </c>
      <c r="Y32" s="535">
        <v>0.13</v>
      </c>
      <c r="Z32" s="535">
        <v>0.13</v>
      </c>
      <c r="AA32" s="535">
        <v>0.13</v>
      </c>
      <c r="AB32" s="535">
        <v>0.13</v>
      </c>
      <c r="AC32" s="535">
        <v>0.13</v>
      </c>
      <c r="AD32" s="566">
        <v>0.13</v>
      </c>
      <c r="AE32" s="566">
        <v>0.13</v>
      </c>
      <c r="AF32" s="566">
        <v>0.13</v>
      </c>
      <c r="AG32" s="566">
        <v>0.13</v>
      </c>
      <c r="AH32" s="566">
        <v>0.13</v>
      </c>
      <c r="AI32" s="566">
        <v>0.13</v>
      </c>
      <c r="AJ32" s="566">
        <v>0.13</v>
      </c>
      <c r="AK32" s="566">
        <v>0.13</v>
      </c>
      <c r="AL32" s="566">
        <v>0.13</v>
      </c>
      <c r="AM32" s="566">
        <v>0.13</v>
      </c>
      <c r="AN32" s="566">
        <v>0.13</v>
      </c>
      <c r="AO32" s="566">
        <v>0.13</v>
      </c>
      <c r="AP32" s="566">
        <v>0.13</v>
      </c>
      <c r="AQ32" s="566">
        <v>0.13</v>
      </c>
      <c r="AR32" s="566">
        <v>0.13</v>
      </c>
      <c r="AS32" s="566">
        <v>0.13</v>
      </c>
      <c r="AT32" s="566">
        <v>0.13</v>
      </c>
      <c r="AU32" s="566">
        <v>0.13</v>
      </c>
      <c r="AV32" s="566">
        <v>0.13</v>
      </c>
    </row>
    <row r="33" spans="2:49" s="517" customFormat="1">
      <c r="B33" s="536" t="s">
        <v>858</v>
      </c>
      <c r="D33" s="537">
        <f t="shared" ref="D33:AN33" si="0">D29/(1+D32)</f>
        <v>0</v>
      </c>
      <c r="E33" s="537">
        <f t="shared" si="0"/>
        <v>460.68376068376074</v>
      </c>
      <c r="F33" s="537">
        <f t="shared" si="0"/>
        <v>454.70085470085473</v>
      </c>
      <c r="G33" s="537">
        <f t="shared" si="0"/>
        <v>415.38461538461542</v>
      </c>
      <c r="H33" s="537">
        <f t="shared" si="0"/>
        <v>387.17948717948718</v>
      </c>
      <c r="I33" s="537">
        <f t="shared" si="0"/>
        <v>400.86206896551727</v>
      </c>
      <c r="J33" s="537">
        <f t="shared" si="0"/>
        <v>393.10344827586209</v>
      </c>
      <c r="K33" s="537">
        <f t="shared" si="0"/>
        <v>394.82758620689657</v>
      </c>
      <c r="L33" s="537">
        <f t="shared" si="0"/>
        <v>418.96551724137936</v>
      </c>
      <c r="M33" s="537">
        <f t="shared" si="0"/>
        <v>429.31034482758622</v>
      </c>
      <c r="N33" s="537">
        <f t="shared" si="0"/>
        <v>470.68965517241384</v>
      </c>
      <c r="O33" s="537">
        <f t="shared" si="0"/>
        <v>489.65517241379314</v>
      </c>
      <c r="P33" s="552">
        <f t="shared" si="0"/>
        <v>466.07758620689657</v>
      </c>
      <c r="Q33" s="537">
        <f t="shared" si="0"/>
        <v>485.34482758620692</v>
      </c>
      <c r="R33" s="537">
        <f t="shared" si="0"/>
        <v>550.86206896551732</v>
      </c>
      <c r="S33" s="537">
        <f t="shared" si="0"/>
        <v>537.93103448275861</v>
      </c>
      <c r="T33" s="537">
        <f t="shared" si="0"/>
        <v>582.05953338696725</v>
      </c>
      <c r="U33" s="537">
        <f t="shared" si="0"/>
        <v>625.8322798145806</v>
      </c>
      <c r="V33" s="537">
        <f t="shared" si="0"/>
        <v>710.34000931532387</v>
      </c>
      <c r="W33" s="537">
        <f t="shared" si="0"/>
        <v>784.14774913428244</v>
      </c>
      <c r="X33" s="537">
        <f t="shared" si="0"/>
        <v>657.64279967819823</v>
      </c>
      <c r="Y33" s="537">
        <f t="shared" si="0"/>
        <v>650.94816687737091</v>
      </c>
      <c r="Z33" s="537">
        <f t="shared" si="0"/>
        <v>624.03353516534696</v>
      </c>
      <c r="AA33" s="537">
        <f t="shared" si="0"/>
        <v>572.56637168141594</v>
      </c>
      <c r="AB33" s="537">
        <f t="shared" si="0"/>
        <v>587.61061946902657</v>
      </c>
      <c r="AC33" s="537">
        <f t="shared" si="0"/>
        <v>600.88495575221248</v>
      </c>
      <c r="AD33" s="537">
        <f t="shared" si="0"/>
        <v>561.06194690265488</v>
      </c>
      <c r="AE33" s="537">
        <f t="shared" si="0"/>
        <v>576.99115044247787</v>
      </c>
      <c r="AF33" s="537">
        <f t="shared" si="0"/>
        <v>573.45132743362842</v>
      </c>
      <c r="AG33" s="537">
        <f t="shared" si="0"/>
        <v>615.04424778761063</v>
      </c>
      <c r="AH33" s="537">
        <f t="shared" si="0"/>
        <v>686.72566371681421</v>
      </c>
      <c r="AI33" s="537">
        <f t="shared" si="0"/>
        <v>723.8938053097346</v>
      </c>
      <c r="AJ33" s="537">
        <f t="shared" si="0"/>
        <v>809.73451327433634</v>
      </c>
      <c r="AK33" s="537">
        <f t="shared" si="0"/>
        <v>815.92920353982311</v>
      </c>
      <c r="AL33" s="537">
        <f t="shared" si="0"/>
        <v>776.99115044247799</v>
      </c>
      <c r="AM33" s="537">
        <f t="shared" si="0"/>
        <v>771.68141592920358</v>
      </c>
      <c r="AN33" s="537">
        <f t="shared" si="0"/>
        <v>904.42477876106204</v>
      </c>
      <c r="AO33" s="537">
        <f t="shared" ref="AO33" si="1">AO29/(1+AO32)</f>
        <v>1000.0000000000001</v>
      </c>
      <c r="AP33" s="537">
        <f t="shared" ref="AP33" si="2">AP29/(1+AP32)</f>
        <v>994.69026548672571</v>
      </c>
      <c r="AQ33" s="537">
        <f t="shared" ref="AQ33:AV33" si="3">AQ29/(1+AQ32)</f>
        <v>1001.7699115044248</v>
      </c>
      <c r="AR33" s="537">
        <f t="shared" si="3"/>
        <v>1057.5221238938054</v>
      </c>
      <c r="AS33" s="537">
        <f t="shared" si="3"/>
        <v>1285.840707964602</v>
      </c>
      <c r="AT33" s="537">
        <f t="shared" si="3"/>
        <v>1287.6106194690267</v>
      </c>
      <c r="AU33" s="537">
        <f t="shared" si="3"/>
        <v>1288.4955752212391</v>
      </c>
      <c r="AV33" s="537">
        <f t="shared" si="3"/>
        <v>998.23008849557527</v>
      </c>
    </row>
    <row r="35" spans="2:49" s="518" customFormat="1" ht="18">
      <c r="B35" s="538" t="s">
        <v>859</v>
      </c>
      <c r="D35" s="539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40"/>
      <c r="U35" s="540"/>
      <c r="V35" s="540"/>
      <c r="W35" s="540"/>
      <c r="X35" s="540"/>
      <c r="Y35" s="540"/>
      <c r="Z35" s="540"/>
      <c r="AA35" s="540"/>
      <c r="AB35" s="540"/>
      <c r="AC35" s="540"/>
      <c r="AD35" s="540"/>
      <c r="AE35" s="540"/>
      <c r="AF35" s="540"/>
    </row>
    <row r="36" spans="2:49">
      <c r="B36" s="541" t="s">
        <v>860</v>
      </c>
    </row>
    <row r="37" spans="2:49">
      <c r="B37" s="542">
        <v>1</v>
      </c>
      <c r="E37" s="553">
        <v>447.00854700854705</v>
      </c>
      <c r="F37" s="553">
        <f>SUMIFS('#采购&amp;股份关联'!$33:$33,'#采购&amp;股份关联'!$1:$1,IF(F$2-$B37&lt;=0,F$1-1,F$1),'#采购&amp;股份关联'!$2:$2,IF(F$2-$B37&lt;=0,(F$2-$B37)+12,F$2-$B37))</f>
        <v>460.68376068376074</v>
      </c>
      <c r="G37" s="553">
        <f>SUMIFS('#采购&amp;股份关联'!$33:$33,'#采购&amp;股份关联'!$1:$1,IF(G$2-$B37&lt;=0,G$1-1,G$1),'#采购&amp;股份关联'!$2:$2,IF(G$2-$B37&lt;=0,(G$2-$B37)+12,G$2-$B37))</f>
        <v>454.70085470085473</v>
      </c>
      <c r="H37" s="553">
        <f>SUMIFS('#采购&amp;股份关联'!$33:$33,'#采购&amp;股份关联'!$1:$1,IF(H$2-$B37&lt;=0,H$1-1,H$1),'#采购&amp;股份关联'!$2:$2,IF(H$2-$B37&lt;=0,(H$2-$B37)+12,H$2-$B37))</f>
        <v>415.38461538461542</v>
      </c>
      <c r="I37" s="553">
        <f>SUMIFS('#采购&amp;股份关联'!$33:$33,'#采购&amp;股份关联'!$1:$1,IF(I$2-$B37&lt;=0,I$1-1,I$1),'#采购&amp;股份关联'!$2:$2,IF(I$2-$B37&lt;=0,(I$2-$B37)+12,I$2-$B37))</f>
        <v>387.17948717948718</v>
      </c>
      <c r="J37" s="553">
        <f>SUMIFS('#采购&amp;股份关联'!$33:$33,'#采购&amp;股份关联'!$1:$1,IF(J$2-$B37&lt;=0,J$1-1,J$1),'#采购&amp;股份关联'!$2:$2,IF(J$2-$B37&lt;=0,(J$2-$B37)+12,J$2-$B37))</f>
        <v>400.86206896551727</v>
      </c>
      <c r="K37" s="553">
        <f>SUMIFS('#采购&amp;股份关联'!$33:$33,'#采购&amp;股份关联'!$1:$1,IF(K$2-$B37&lt;=0,K$1-1,K$1),'#采购&amp;股份关联'!$2:$2,IF(K$2-$B37&lt;=0,(K$2-$B37)+12,K$2-$B37))</f>
        <v>393.10344827586209</v>
      </c>
      <c r="L37" s="553">
        <f>SUMIFS('#采购&amp;股份关联'!$33:$33,'#采购&amp;股份关联'!$1:$1,IF(L$2-$B37&lt;=0,L$1-1,L$1),'#采购&amp;股份关联'!$2:$2,IF(L$2-$B37&lt;=0,(L$2-$B37)+12,L$2-$B37))</f>
        <v>394.82758620689657</v>
      </c>
      <c r="M37" s="553">
        <f>SUMIFS('#采购&amp;股份关联'!$33:$33,'#采购&amp;股份关联'!$1:$1,IF(M$2-$B37&lt;=0,M$1-1,M$1),'#采购&amp;股份关联'!$2:$2,IF(M$2-$B37&lt;=0,(M$2-$B37)+12,M$2-$B37))</f>
        <v>418.96551724137936</v>
      </c>
      <c r="N37" s="553">
        <f>SUMIFS('#采购&amp;股份关联'!$33:$33,'#采购&amp;股份关联'!$1:$1,IF(N$2-$B37&lt;=0,N$1-1,N$1),'#采购&amp;股份关联'!$2:$2,IF(N$2-$B37&lt;=0,(N$2-$B37)+12,N$2-$B37))</f>
        <v>429.31034482758622</v>
      </c>
      <c r="O37" s="553">
        <f>SUMIFS('#采购&amp;股份关联'!$33:$33,'#采购&amp;股份关联'!$1:$1,IF(O$2-$B37&lt;=0,O$1-1,O$1),'#采购&amp;股份关联'!$2:$2,IF(O$2-$B37&lt;=0,(O$2-$B37)+12,O$2-$B37))</f>
        <v>470.68965517241384</v>
      </c>
      <c r="P37" s="553">
        <f>SUMIFS('#采购&amp;股份关联'!$33:$33,'#采购&amp;股份关联'!$1:$1,IF(P$2-$B37&lt;=0,P$1-1,P$1),'#采购&amp;股份关联'!$2:$2,IF(P$2-$B37&lt;=0,(P$2-$B37)+12,P$2-$B37))</f>
        <v>489.65517241379314</v>
      </c>
      <c r="Q37" s="553">
        <f>SUMIFS('#采购&amp;股份关联'!$33:$33,'#采购&amp;股份关联'!$1:$1,IF(Q$2-$B37&lt;=0,Q$1-1,Q$1),'#采购&amp;股份关联'!$2:$2,IF(Q$2-$B37&lt;=0,(Q$2-$B37)+12,Q$2-$B37))</f>
        <v>466.07758620689657</v>
      </c>
      <c r="R37" s="553">
        <f>SUMIFS('#采购&amp;股份关联'!$33:$33,'#采购&amp;股份关联'!$1:$1,IF(R$2-$B37&lt;=0,R$1-1,R$1),'#采购&amp;股份关联'!$2:$2,IF(R$2-$B37&lt;=0,(R$2-$B37)+12,R$2-$B37))</f>
        <v>485.34482758620692</v>
      </c>
      <c r="S37" s="553">
        <f>SUMIFS('#采购&amp;股份关联'!$33:$33,'#采购&amp;股份关联'!$1:$1,IF(S$2-$B37&lt;=0,S$1-1,S$1),'#采购&amp;股份关联'!$2:$2,IF(S$2-$B37&lt;=0,(S$2-$B37)+12,S$2-$B37))</f>
        <v>550.86206896551732</v>
      </c>
      <c r="T37" s="553">
        <f>SUMIFS('#采购&amp;股份关联'!$33:$33,'#采购&amp;股份关联'!$1:$1,IF(T$2-$B37&lt;=0,T$1-1,T$1),'#采购&amp;股份关联'!$2:$2,IF(T$2-$B37&lt;=0,(T$2-$B37)+12,T$2-$B37))</f>
        <v>537.93103448275861</v>
      </c>
      <c r="U37" s="553">
        <f>SUMIFS('#采购&amp;股份关联'!$33:$33,'#采购&amp;股份关联'!$1:$1,IF(U$2-$B37&lt;=0,U$1-1,U$1),'#采购&amp;股份关联'!$2:$2,IF(U$2-$B37&lt;=0,(U$2-$B37)+12,U$2-$B37))</f>
        <v>582.05953338696725</v>
      </c>
      <c r="V37" s="553">
        <f>SUMIFS('#采购&amp;股份关联'!$33:$33,'#采购&amp;股份关联'!$1:$1,IF(V$2-$B37&lt;=0,V$1-1,V$1),'#采购&amp;股份关联'!$2:$2,IF(V$2-$B37&lt;=0,(V$2-$B37)+12,V$2-$B37))</f>
        <v>625.8322798145806</v>
      </c>
      <c r="W37" s="553">
        <f>SUMIFS('#采购&amp;股份关联'!$33:$33,'#采购&amp;股份关联'!$1:$1,IF(W$2-$B37&lt;=0,W$1-1,W$1),'#采购&amp;股份关联'!$2:$2,IF(W$2-$B37&lt;=0,(W$2-$B37)+12,W$2-$B37))</f>
        <v>710.34000931532387</v>
      </c>
      <c r="X37" s="553">
        <f>SUMIFS('#采购&amp;股份关联'!$33:$33,'#采购&amp;股份关联'!$1:$1,IF(X$2-$B37&lt;=0,X$1-1,X$1),'#采购&amp;股份关联'!$2:$2,IF(X$2-$B37&lt;=0,(X$2-$B37)+12,X$2-$B37))</f>
        <v>784.14774913428244</v>
      </c>
      <c r="Y37" s="553">
        <f>SUMIFS('#采购&amp;股份关联'!$33:$33,'#采购&amp;股份关联'!$1:$1,IF(Y$2-$B37&lt;=0,Y$1-1,Y$1),'#采购&amp;股份关联'!$2:$2,IF(Y$2-$B37&lt;=0,(Y$2-$B37)+12,Y$2-$B37))</f>
        <v>657.64279967819823</v>
      </c>
      <c r="Z37" s="553">
        <f>SUMIFS('#采购&amp;股份关联'!$33:$33,'#采购&amp;股份关联'!$1:$1,IF(Z$2-$B37&lt;=0,Z$1-1,Z$1),'#采购&amp;股份关联'!$2:$2,IF(Z$2-$B37&lt;=0,(Z$2-$B37)+12,Z$2-$B37))</f>
        <v>650.94816687737091</v>
      </c>
      <c r="AA37" s="553">
        <f>SUMIFS('#采购&amp;股份关联'!$33:$33,'#采购&amp;股份关联'!$1:$1,IF(AA$2-$B37&lt;=0,AA$1-1,AA$1),'#采购&amp;股份关联'!$2:$2,IF(AA$2-$B37&lt;=0,(AA$2-$B37)+12,AA$2-$B37))</f>
        <v>624.03353516534696</v>
      </c>
      <c r="AB37" s="553">
        <f>SUMIFS('#采购&amp;股份关联'!$33:$33,'#采购&amp;股份关联'!$1:$1,IF(AB$2-$B37&lt;=0,AB$1-1,AB$1),'#采购&amp;股份关联'!$2:$2,IF(AB$2-$B37&lt;=0,(AB$2-$B37)+12,AB$2-$B37))</f>
        <v>572.56637168141594</v>
      </c>
      <c r="AC37" s="553">
        <f>SUMIFS('#采购&amp;股份关联'!$33:$33,'#采购&amp;股份关联'!$1:$1,IF(AC$2-$B37&lt;=0,AC$1-1,AC$1),'#采购&amp;股份关联'!$2:$2,IF(AC$2-$B37&lt;=0,(AC$2-$B37)+12,AC$2-$B37))</f>
        <v>587.61061946902657</v>
      </c>
      <c r="AD37" s="553">
        <f>SUMIFS('#采购&amp;股份关联'!$33:$33,'#采购&amp;股份关联'!$1:$1,IF(AD$2-$B37&lt;=0,AD$1-1,AD$1),'#采购&amp;股份关联'!$2:$2,IF(AD$2-$B37&lt;=0,(AD$2-$B37)+12,AD$2-$B37))</f>
        <v>600.88495575221248</v>
      </c>
      <c r="AE37" s="553">
        <f>SUMIFS('#采购&amp;股份关联'!$33:$33,'#采购&amp;股份关联'!$1:$1,IF(AE$2-$B37&lt;=0,AE$1-1,AE$1),'#采购&amp;股份关联'!$2:$2,IF(AE$2-$B37&lt;=0,(AE$2-$B37)+12,AE$2-$B37))</f>
        <v>561.06194690265488</v>
      </c>
      <c r="AF37" s="553">
        <f>SUMIFS('#采购&amp;股份关联'!$33:$33,'#采购&amp;股份关联'!$1:$1,IF(AF$2-$B37&lt;=0,AF$1-1,AF$1),'#采购&amp;股份关联'!$2:$2,IF(AF$2-$B37&lt;=0,(AF$2-$B37)+12,AF$2-$B37))</f>
        <v>576.99115044247787</v>
      </c>
      <c r="AG37" s="553">
        <f>SUMIFS('#采购&amp;股份关联'!$33:$33,'#采购&amp;股份关联'!$1:$1,IF(AG$2-$B37&lt;=0,AG$1-1,AG$1),'#采购&amp;股份关联'!$2:$2,IF(AG$2-$B37&lt;=0,(AG$2-$B37)+12,AG$2-$B37))</f>
        <v>573.45132743362842</v>
      </c>
      <c r="AH37" s="553">
        <f>SUMIFS('#采购&amp;股份关联'!$33:$33,'#采购&amp;股份关联'!$1:$1,IF(AH$2-$B37&lt;=0,AH$1-1,AH$1),'#采购&amp;股份关联'!$2:$2,IF(AH$2-$B37&lt;=0,(AH$2-$B37)+12,AH$2-$B37))</f>
        <v>615.04424778761063</v>
      </c>
      <c r="AI37" s="553">
        <f>SUMIFS('#采购&amp;股份关联'!$33:$33,'#采购&amp;股份关联'!$1:$1,IF(AI$2-$B37&lt;=0,AI$1-1,AI$1),'#采购&amp;股份关联'!$2:$2,IF(AI$2-$B37&lt;=0,(AI$2-$B37)+12,AI$2-$B37))</f>
        <v>686.72566371681421</v>
      </c>
      <c r="AJ37" s="553">
        <f>SUMIFS('#采购&amp;股份关联'!$33:$33,'#采购&amp;股份关联'!$1:$1,IF(AJ$2-$B37&lt;=0,AJ$1-1,AJ$1),'#采购&amp;股份关联'!$2:$2,IF(AJ$2-$B37&lt;=0,(AJ$2-$B37)+12,AJ$2-$B37))</f>
        <v>723.8938053097346</v>
      </c>
      <c r="AK37" s="553">
        <f>SUMIFS('#采购&amp;股份关联'!$33:$33,'#采购&amp;股份关联'!$1:$1,IF(AK$2-$B37&lt;=0,AK$1-1,AK$1),'#采购&amp;股份关联'!$2:$2,IF(AK$2-$B37&lt;=0,(AK$2-$B37)+12,AK$2-$B37))</f>
        <v>809.73451327433634</v>
      </c>
      <c r="AL37" s="553">
        <f>SUMIFS('#采购&amp;股份关联'!$33:$33,'#采购&amp;股份关联'!$1:$1,IF(AL$2-$B37&lt;=0,AL$1-1,AL$1),'#采购&amp;股份关联'!$2:$2,IF(AL$2-$B37&lt;=0,(AL$2-$B37)+12,AL$2-$B37))</f>
        <v>815.92920353982311</v>
      </c>
      <c r="AM37" s="553">
        <f>SUMIFS('#采购&amp;股份关联'!$33:$33,'#采购&amp;股份关联'!$1:$1,IF(AM$2-$B37&lt;=0,AM$1-1,AM$1),'#采购&amp;股份关联'!$2:$2,IF(AM$2-$B37&lt;=0,(AM$2-$B37)+12,AM$2-$B37))</f>
        <v>776.99115044247799</v>
      </c>
      <c r="AN37" s="553">
        <f>SUMIFS('#采购&amp;股份关联'!$33:$33,'#采购&amp;股份关联'!$1:$1,IF(AN$2-$B37&lt;=0,AN$1-1,AN$1),'#采购&amp;股份关联'!$2:$2,IF(AN$2-$B37&lt;=0,(AN$2-$B37)+12,AN$2-$B37))</f>
        <v>771.68141592920358</v>
      </c>
      <c r="AO37" s="553">
        <f>SUMIFS('#采购&amp;股份关联'!$33:$33,'#采购&amp;股份关联'!$1:$1,IF(AO$2-$B37&lt;=0,AO$1-1,AO$1),'#采购&amp;股份关联'!$2:$2,IF(AO$2-$B37&lt;=0,(AO$2-$B37)+12,AO$2-$B37))</f>
        <v>904.42477876106204</v>
      </c>
      <c r="AP37" s="553">
        <f>SUMIFS('#采购&amp;股份关联'!$33:$33,'#采购&amp;股份关联'!$1:$1,IF(AP$2-$B37&lt;=0,AP$1-1,AP$1),'#采购&amp;股份关联'!$2:$2,IF(AP$2-$B37&lt;=0,(AP$2-$B37)+12,AP$2-$B37))</f>
        <v>1000.0000000000001</v>
      </c>
      <c r="AQ37" s="2169">
        <f>SUMIFS('#采购&amp;股份关联'!$33:$33,'#采购&amp;股份关联'!$1:$1,IF(AQ$2-$B37&lt;=0,AQ$1-1,AQ$1),'#采购&amp;股份关联'!$2:$2,IF(AQ$2-$B37&lt;=0,(AQ$2-$B37)+12,AQ$2-$B37))</f>
        <v>994.69026548672571</v>
      </c>
      <c r="AR37" s="2169">
        <f>SUMIFS('#采购&amp;股份关联'!$33:$33,'#采购&amp;股份关联'!$1:$1,IF(AR$2-$B37&lt;=0,AR$1-1,AR$1),'#采购&amp;股份关联'!$2:$2,IF(AR$2-$B37&lt;=0,(AR$2-$B37)+12,AR$2-$B37))</f>
        <v>1001.7699115044248</v>
      </c>
      <c r="AS37" s="2169">
        <f>SUMIFS('#采购&amp;股份关联'!$33:$33,'#采购&amp;股份关联'!$1:$1,IF(AS$2-$B37&lt;=0,AS$1-1,AS$1),'#采购&amp;股份关联'!$2:$2,IF(AS$2-$B37&lt;=0,(AS$2-$B37)+12,AS$2-$B37))</f>
        <v>1057.5221238938054</v>
      </c>
      <c r="AT37" s="2169">
        <f>SUMIFS('#采购&amp;股份关联'!$33:$33,'#采购&amp;股份关联'!$1:$1,IF(AT$2-$B37&lt;=0,AT$1-1,AT$1),'#采购&amp;股份关联'!$2:$2,IF(AT$2-$B37&lt;=0,(AT$2-$B37)+12,AT$2-$B37))</f>
        <v>1285.840707964602</v>
      </c>
      <c r="AU37" s="2169">
        <f>SUMIFS('#采购&amp;股份关联'!$33:$33,'#采购&amp;股份关联'!$1:$1,IF(AU$2-$B37&lt;=0,AU$1-1,AU$1),'#采购&amp;股份关联'!$2:$2,IF(AU$2-$B37&lt;=0,(AU$2-$B37)+12,AU$2-$B37))</f>
        <v>1287.6106194690267</v>
      </c>
      <c r="AV37" s="2169">
        <f>SUMIFS('#采购&amp;股份关联'!$33:$33,'#采购&amp;股份关联'!$1:$1,IF(AV$2-$B37&lt;=0,AV$1-1,AV$1),'#采购&amp;股份关联'!$2:$2,IF(AV$2-$B37&lt;=0,(AV$2-$B37)+12,AV$2-$B37))</f>
        <v>1288.4955752212391</v>
      </c>
      <c r="AW37" s="2169">
        <f>SUMIFS('#采购&amp;股份关联'!$33:$33,'#采购&amp;股份关联'!$1:$1,IF(AW$2-$B37&lt;=0,AW$1-1,AW$1),'#采购&amp;股份关联'!$2:$2,IF(AW$2-$B37&lt;=0,(AW$2-$B37)+12,AW$2-$B37))</f>
        <v>998.23008849557527</v>
      </c>
    </row>
    <row r="38" spans="2:49">
      <c r="B38" s="542">
        <v>2</v>
      </c>
      <c r="E38" s="553">
        <v>403.41880341880346</v>
      </c>
      <c r="F38" s="553">
        <v>447.00854700854705</v>
      </c>
      <c r="G38" s="553">
        <f>SUMIFS('#采购&amp;股份关联'!$33:$33,'#采购&amp;股份关联'!$1:$1,IF(G$2-$B38&lt;=0,G$1-1,G$1),'#采购&amp;股份关联'!$2:$2,IF(G$2-$B38&lt;=0,(G$2-$B38)+12,G$2-$B38))</f>
        <v>460.68376068376074</v>
      </c>
      <c r="H38" s="553">
        <f>SUMIFS('#采购&amp;股份关联'!$33:$33,'#采购&amp;股份关联'!$1:$1,IF(H$2-$B38&lt;=0,H$1-1,H$1),'#采购&amp;股份关联'!$2:$2,IF(H$2-$B38&lt;=0,(H$2-$B38)+12,H$2-$B38))</f>
        <v>454.70085470085473</v>
      </c>
      <c r="I38" s="553">
        <f>SUMIFS('#采购&amp;股份关联'!$33:$33,'#采购&amp;股份关联'!$1:$1,IF(I$2-$B38&lt;=0,I$1-1,I$1),'#采购&amp;股份关联'!$2:$2,IF(I$2-$B38&lt;=0,(I$2-$B38)+12,I$2-$B38))</f>
        <v>415.38461538461542</v>
      </c>
      <c r="J38" s="553">
        <f>SUMIFS('#采购&amp;股份关联'!$33:$33,'#采购&amp;股份关联'!$1:$1,IF(J$2-$B38&lt;=0,J$1-1,J$1),'#采购&amp;股份关联'!$2:$2,IF(J$2-$B38&lt;=0,(J$2-$B38)+12,J$2-$B38))</f>
        <v>387.17948717948718</v>
      </c>
      <c r="K38" s="553">
        <f>SUMIFS('#采购&amp;股份关联'!$33:$33,'#采购&amp;股份关联'!$1:$1,IF(K$2-$B38&lt;=0,K$1-1,K$1),'#采购&amp;股份关联'!$2:$2,IF(K$2-$B38&lt;=0,(K$2-$B38)+12,K$2-$B38))</f>
        <v>400.86206896551727</v>
      </c>
      <c r="L38" s="553">
        <f>SUMIFS('#采购&amp;股份关联'!$33:$33,'#采购&amp;股份关联'!$1:$1,IF(L$2-$B38&lt;=0,L$1-1,L$1),'#采购&amp;股份关联'!$2:$2,IF(L$2-$B38&lt;=0,(L$2-$B38)+12,L$2-$B38))</f>
        <v>393.10344827586209</v>
      </c>
      <c r="M38" s="553">
        <f>SUMIFS('#采购&amp;股份关联'!$33:$33,'#采购&amp;股份关联'!$1:$1,IF(M$2-$B38&lt;=0,M$1-1,M$1),'#采购&amp;股份关联'!$2:$2,IF(M$2-$B38&lt;=0,(M$2-$B38)+12,M$2-$B38))</f>
        <v>394.82758620689657</v>
      </c>
      <c r="N38" s="553">
        <f>SUMIFS('#采购&amp;股份关联'!$33:$33,'#采购&amp;股份关联'!$1:$1,IF(N$2-$B38&lt;=0,N$1-1,N$1),'#采购&amp;股份关联'!$2:$2,IF(N$2-$B38&lt;=0,(N$2-$B38)+12,N$2-$B38))</f>
        <v>418.96551724137936</v>
      </c>
      <c r="O38" s="553">
        <f>SUMIFS('#采购&amp;股份关联'!$33:$33,'#采购&amp;股份关联'!$1:$1,IF(O$2-$B38&lt;=0,O$1-1,O$1),'#采购&amp;股份关联'!$2:$2,IF(O$2-$B38&lt;=0,(O$2-$B38)+12,O$2-$B38))</f>
        <v>429.31034482758622</v>
      </c>
      <c r="P38" s="553">
        <f>SUMIFS('#采购&amp;股份关联'!$33:$33,'#采购&amp;股份关联'!$1:$1,IF(P$2-$B38&lt;=0,P$1-1,P$1),'#采购&amp;股份关联'!$2:$2,IF(P$2-$B38&lt;=0,(P$2-$B38)+12,P$2-$B38))</f>
        <v>470.68965517241384</v>
      </c>
      <c r="Q38" s="553">
        <f>SUMIFS('#采购&amp;股份关联'!$33:$33,'#采购&amp;股份关联'!$1:$1,IF(Q$2-$B38&lt;=0,Q$1-1,Q$1),'#采购&amp;股份关联'!$2:$2,IF(Q$2-$B38&lt;=0,(Q$2-$B38)+12,Q$2-$B38))</f>
        <v>489.65517241379314</v>
      </c>
      <c r="R38" s="553">
        <f>SUMIFS('#采购&amp;股份关联'!$33:$33,'#采购&amp;股份关联'!$1:$1,IF(R$2-$B38&lt;=0,R$1-1,R$1),'#采购&amp;股份关联'!$2:$2,IF(R$2-$B38&lt;=0,(R$2-$B38)+12,R$2-$B38))</f>
        <v>466.07758620689657</v>
      </c>
      <c r="S38" s="553">
        <f>SUMIFS('#采购&amp;股份关联'!$33:$33,'#采购&amp;股份关联'!$1:$1,IF(S$2-$B38&lt;=0,S$1-1,S$1),'#采购&amp;股份关联'!$2:$2,IF(S$2-$B38&lt;=0,(S$2-$B38)+12,S$2-$B38))</f>
        <v>485.34482758620692</v>
      </c>
      <c r="T38" s="553">
        <f>SUMIFS('#采购&amp;股份关联'!$33:$33,'#采购&amp;股份关联'!$1:$1,IF(T$2-$B38&lt;=0,T$1-1,T$1),'#采购&amp;股份关联'!$2:$2,IF(T$2-$B38&lt;=0,(T$2-$B38)+12,T$2-$B38))</f>
        <v>550.86206896551732</v>
      </c>
      <c r="U38" s="553">
        <f>SUMIFS('#采购&amp;股份关联'!$33:$33,'#采购&amp;股份关联'!$1:$1,IF(U$2-$B38&lt;=0,U$1-1,U$1),'#采购&amp;股份关联'!$2:$2,IF(U$2-$B38&lt;=0,(U$2-$B38)+12,U$2-$B38))</f>
        <v>537.93103448275861</v>
      </c>
      <c r="V38" s="553">
        <f>SUMIFS('#采购&amp;股份关联'!$33:$33,'#采购&amp;股份关联'!$1:$1,IF(V$2-$B38&lt;=0,V$1-1,V$1),'#采购&amp;股份关联'!$2:$2,IF(V$2-$B38&lt;=0,(V$2-$B38)+12,V$2-$B38))</f>
        <v>582.05953338696725</v>
      </c>
      <c r="W38" s="553">
        <f>SUMIFS('#采购&amp;股份关联'!$33:$33,'#采购&amp;股份关联'!$1:$1,IF(W$2-$B38&lt;=0,W$1-1,W$1),'#采购&amp;股份关联'!$2:$2,IF(W$2-$B38&lt;=0,(W$2-$B38)+12,W$2-$B38))</f>
        <v>625.8322798145806</v>
      </c>
      <c r="X38" s="553">
        <f>SUMIFS('#采购&amp;股份关联'!$33:$33,'#采购&amp;股份关联'!$1:$1,IF(X$2-$B38&lt;=0,X$1-1,X$1),'#采购&amp;股份关联'!$2:$2,IF(X$2-$B38&lt;=0,(X$2-$B38)+12,X$2-$B38))</f>
        <v>710.34000931532387</v>
      </c>
      <c r="Y38" s="553">
        <f>SUMIFS('#采购&amp;股份关联'!$33:$33,'#采购&amp;股份关联'!$1:$1,IF(Y$2-$B38&lt;=0,Y$1-1,Y$1),'#采购&amp;股份关联'!$2:$2,IF(Y$2-$B38&lt;=0,(Y$2-$B38)+12,Y$2-$B38))</f>
        <v>784.14774913428244</v>
      </c>
      <c r="Z38" s="553">
        <f>SUMIFS('#采购&amp;股份关联'!$33:$33,'#采购&amp;股份关联'!$1:$1,IF(Z$2-$B38&lt;=0,Z$1-1,Z$1),'#采购&amp;股份关联'!$2:$2,IF(Z$2-$B38&lt;=0,(Z$2-$B38)+12,Z$2-$B38))</f>
        <v>657.64279967819823</v>
      </c>
      <c r="AA38" s="553">
        <f>SUMIFS('#采购&amp;股份关联'!$33:$33,'#采购&amp;股份关联'!$1:$1,IF(AA$2-$B38&lt;=0,AA$1-1,AA$1),'#采购&amp;股份关联'!$2:$2,IF(AA$2-$B38&lt;=0,(AA$2-$B38)+12,AA$2-$B38))</f>
        <v>650.94816687737091</v>
      </c>
      <c r="AB38" s="553">
        <f>SUMIFS('#采购&amp;股份关联'!$33:$33,'#采购&amp;股份关联'!$1:$1,IF(AB$2-$B38&lt;=0,AB$1-1,AB$1),'#采购&amp;股份关联'!$2:$2,IF(AB$2-$B38&lt;=0,(AB$2-$B38)+12,AB$2-$B38))</f>
        <v>624.03353516534696</v>
      </c>
      <c r="AC38" s="553">
        <f>SUMIFS('#采购&amp;股份关联'!$33:$33,'#采购&amp;股份关联'!$1:$1,IF(AC$2-$B38&lt;=0,AC$1-1,AC$1),'#采购&amp;股份关联'!$2:$2,IF(AC$2-$B38&lt;=0,(AC$2-$B38)+12,AC$2-$B38))</f>
        <v>572.56637168141594</v>
      </c>
      <c r="AD38" s="553">
        <f>SUMIFS('#采购&amp;股份关联'!$33:$33,'#采购&amp;股份关联'!$1:$1,IF(AD$2-$B38&lt;=0,AD$1-1,AD$1),'#采购&amp;股份关联'!$2:$2,IF(AD$2-$B38&lt;=0,(AD$2-$B38)+12,AD$2-$B38))</f>
        <v>587.61061946902657</v>
      </c>
      <c r="AE38" s="553">
        <f>SUMIFS('#采购&amp;股份关联'!$33:$33,'#采购&amp;股份关联'!$1:$1,IF(AE$2-$B38&lt;=0,AE$1-1,AE$1),'#采购&amp;股份关联'!$2:$2,IF(AE$2-$B38&lt;=0,(AE$2-$B38)+12,AE$2-$B38))</f>
        <v>600.88495575221248</v>
      </c>
      <c r="AF38" s="553">
        <f>SUMIFS('#采购&amp;股份关联'!$33:$33,'#采购&amp;股份关联'!$1:$1,IF(AF$2-$B38&lt;=0,AF$1-1,AF$1),'#采购&amp;股份关联'!$2:$2,IF(AF$2-$B38&lt;=0,(AF$2-$B38)+12,AF$2-$B38))</f>
        <v>561.06194690265488</v>
      </c>
      <c r="AG38" s="553">
        <f>SUMIFS('#采购&amp;股份关联'!$33:$33,'#采购&amp;股份关联'!$1:$1,IF(AG$2-$B38&lt;=0,AG$1-1,AG$1),'#采购&amp;股份关联'!$2:$2,IF(AG$2-$B38&lt;=0,(AG$2-$B38)+12,AG$2-$B38))</f>
        <v>576.99115044247787</v>
      </c>
      <c r="AH38" s="553">
        <f>SUMIFS('#采购&amp;股份关联'!$33:$33,'#采购&amp;股份关联'!$1:$1,IF(AH$2-$B38&lt;=0,AH$1-1,AH$1),'#采购&amp;股份关联'!$2:$2,IF(AH$2-$B38&lt;=0,(AH$2-$B38)+12,AH$2-$B38))</f>
        <v>573.45132743362842</v>
      </c>
      <c r="AI38" s="553">
        <f>SUMIFS('#采购&amp;股份关联'!$33:$33,'#采购&amp;股份关联'!$1:$1,IF(AI$2-$B38&lt;=0,AI$1-1,AI$1),'#采购&amp;股份关联'!$2:$2,IF(AI$2-$B38&lt;=0,(AI$2-$B38)+12,AI$2-$B38))</f>
        <v>615.04424778761063</v>
      </c>
      <c r="AJ38" s="553">
        <f>SUMIFS('#采购&amp;股份关联'!$33:$33,'#采购&amp;股份关联'!$1:$1,IF(AJ$2-$B38&lt;=0,AJ$1-1,AJ$1),'#采购&amp;股份关联'!$2:$2,IF(AJ$2-$B38&lt;=0,(AJ$2-$B38)+12,AJ$2-$B38))</f>
        <v>686.72566371681421</v>
      </c>
      <c r="AK38" s="553">
        <f>SUMIFS('#采购&amp;股份关联'!$33:$33,'#采购&amp;股份关联'!$1:$1,IF(AK$2-$B38&lt;=0,AK$1-1,AK$1),'#采购&amp;股份关联'!$2:$2,IF(AK$2-$B38&lt;=0,(AK$2-$B38)+12,AK$2-$B38))</f>
        <v>723.8938053097346</v>
      </c>
      <c r="AL38" s="553">
        <f>SUMIFS('#采购&amp;股份关联'!$33:$33,'#采购&amp;股份关联'!$1:$1,IF(AL$2-$B38&lt;=0,AL$1-1,AL$1),'#采购&amp;股份关联'!$2:$2,IF(AL$2-$B38&lt;=0,(AL$2-$B38)+12,AL$2-$B38))</f>
        <v>809.73451327433634</v>
      </c>
      <c r="AM38" s="553">
        <f>SUMIFS('#采购&amp;股份关联'!$33:$33,'#采购&amp;股份关联'!$1:$1,IF(AM$2-$B38&lt;=0,AM$1-1,AM$1),'#采购&amp;股份关联'!$2:$2,IF(AM$2-$B38&lt;=0,(AM$2-$B38)+12,AM$2-$B38))</f>
        <v>815.92920353982311</v>
      </c>
      <c r="AN38" s="553">
        <f>SUMIFS('#采购&amp;股份关联'!$33:$33,'#采购&amp;股份关联'!$1:$1,IF(AN$2-$B38&lt;=0,AN$1-1,AN$1),'#采购&amp;股份关联'!$2:$2,IF(AN$2-$B38&lt;=0,(AN$2-$B38)+12,AN$2-$B38))</f>
        <v>776.99115044247799</v>
      </c>
      <c r="AO38" s="553">
        <f>SUMIFS('#采购&amp;股份关联'!$33:$33,'#采购&amp;股份关联'!$1:$1,IF(AO$2-$B38&lt;=0,AO$1-1,AO$1),'#采购&amp;股份关联'!$2:$2,IF(AO$2-$B38&lt;=0,(AO$2-$B38)+12,AO$2-$B38))</f>
        <v>771.68141592920358</v>
      </c>
      <c r="AP38" s="553">
        <f>SUMIFS('#采购&amp;股份关联'!$33:$33,'#采购&amp;股份关联'!$1:$1,IF(AP$2-$B38&lt;=0,AP$1-1,AP$1),'#采购&amp;股份关联'!$2:$2,IF(AP$2-$B38&lt;=0,(AP$2-$B38)+12,AP$2-$B38))</f>
        <v>904.42477876106204</v>
      </c>
      <c r="AQ38" s="2169">
        <f>SUMIFS('#采购&amp;股份关联'!$33:$33,'#采购&amp;股份关联'!$1:$1,IF(AQ$2-$B38&lt;=0,AQ$1-1,AQ$1),'#采购&amp;股份关联'!$2:$2,IF(AQ$2-$B38&lt;=0,(AQ$2-$B38)+12,AQ$2-$B38))</f>
        <v>1000.0000000000001</v>
      </c>
      <c r="AR38" s="2169">
        <f>SUMIFS('#采购&amp;股份关联'!$33:$33,'#采购&amp;股份关联'!$1:$1,IF(AR$2-$B38&lt;=0,AR$1-1,AR$1),'#采购&amp;股份关联'!$2:$2,IF(AR$2-$B38&lt;=0,(AR$2-$B38)+12,AR$2-$B38))</f>
        <v>994.69026548672571</v>
      </c>
      <c r="AS38" s="2169">
        <f>SUMIFS('#采购&amp;股份关联'!$33:$33,'#采购&amp;股份关联'!$1:$1,IF(AS$2-$B38&lt;=0,AS$1-1,AS$1),'#采购&amp;股份关联'!$2:$2,IF(AS$2-$B38&lt;=0,(AS$2-$B38)+12,AS$2-$B38))</f>
        <v>1001.7699115044248</v>
      </c>
      <c r="AT38" s="2169">
        <f>SUMIFS('#采购&amp;股份关联'!$33:$33,'#采购&amp;股份关联'!$1:$1,IF(AT$2-$B38&lt;=0,AT$1-1,AT$1),'#采购&amp;股份关联'!$2:$2,IF(AT$2-$B38&lt;=0,(AT$2-$B38)+12,AT$2-$B38))</f>
        <v>1057.5221238938054</v>
      </c>
      <c r="AU38" s="2169">
        <f>SUMIFS('#采购&amp;股份关联'!$33:$33,'#采购&amp;股份关联'!$1:$1,IF(AU$2-$B38&lt;=0,AU$1-1,AU$1),'#采购&amp;股份关联'!$2:$2,IF(AU$2-$B38&lt;=0,(AU$2-$B38)+12,AU$2-$B38))</f>
        <v>1285.840707964602</v>
      </c>
      <c r="AV38" s="2169">
        <f>SUMIFS('#采购&amp;股份关联'!$33:$33,'#采购&amp;股份关联'!$1:$1,IF(AV$2-$B38&lt;=0,AV$1-1,AV$1),'#采购&amp;股份关联'!$2:$2,IF(AV$2-$B38&lt;=0,(AV$2-$B38)+12,AV$2-$B38))</f>
        <v>1287.6106194690267</v>
      </c>
      <c r="AW38" s="2169">
        <f>SUMIFS('#采购&amp;股份关联'!$33:$33,'#采购&amp;股份关联'!$1:$1,IF(AW$2-$B38&lt;=0,AW$1-1,AW$1),'#采购&amp;股份关联'!$2:$2,IF(AW$2-$B38&lt;=0,(AW$2-$B38)+12,AW$2-$B38))</f>
        <v>1288.4955752212391</v>
      </c>
    </row>
    <row r="39" spans="2:49">
      <c r="B39" s="542">
        <v>3</v>
      </c>
      <c r="E39" s="553">
        <v>406.83760683760687</v>
      </c>
      <c r="F39" s="553">
        <v>403.41880341880346</v>
      </c>
      <c r="G39" s="553">
        <v>447.00854700854705</v>
      </c>
      <c r="H39" s="553">
        <f>SUMIFS('#采购&amp;股份关联'!$33:$33,'#采购&amp;股份关联'!$1:$1,IF(H$2-$B39&lt;=0,H$1-1,H$1),'#采购&amp;股份关联'!$2:$2,IF(H$2-$B39&lt;=0,(H$2-$B39)+12,H$2-$B39))</f>
        <v>460.68376068376074</v>
      </c>
      <c r="I39" s="553">
        <f>SUMIFS('#采购&amp;股份关联'!$33:$33,'#采购&amp;股份关联'!$1:$1,IF(I$2-$B39&lt;=0,I$1-1,I$1),'#采购&amp;股份关联'!$2:$2,IF(I$2-$B39&lt;=0,(I$2-$B39)+12,I$2-$B39))</f>
        <v>454.70085470085473</v>
      </c>
      <c r="J39" s="553">
        <f>SUMIFS('#采购&amp;股份关联'!$33:$33,'#采购&amp;股份关联'!$1:$1,IF(J$2-$B39&lt;=0,J$1-1,J$1),'#采购&amp;股份关联'!$2:$2,IF(J$2-$B39&lt;=0,(J$2-$B39)+12,J$2-$B39))</f>
        <v>415.38461538461542</v>
      </c>
      <c r="K39" s="553">
        <f>SUMIFS('#采购&amp;股份关联'!$33:$33,'#采购&amp;股份关联'!$1:$1,IF(K$2-$B39&lt;=0,K$1-1,K$1),'#采购&amp;股份关联'!$2:$2,IF(K$2-$B39&lt;=0,(K$2-$B39)+12,K$2-$B39))</f>
        <v>387.17948717948718</v>
      </c>
      <c r="L39" s="553">
        <f>SUMIFS('#采购&amp;股份关联'!$33:$33,'#采购&amp;股份关联'!$1:$1,IF(L$2-$B39&lt;=0,L$1-1,L$1),'#采购&amp;股份关联'!$2:$2,IF(L$2-$B39&lt;=0,(L$2-$B39)+12,L$2-$B39))</f>
        <v>400.86206896551727</v>
      </c>
      <c r="M39" s="553">
        <f>SUMIFS('#采购&amp;股份关联'!$33:$33,'#采购&amp;股份关联'!$1:$1,IF(M$2-$B39&lt;=0,M$1-1,M$1),'#采购&amp;股份关联'!$2:$2,IF(M$2-$B39&lt;=0,(M$2-$B39)+12,M$2-$B39))</f>
        <v>393.10344827586209</v>
      </c>
      <c r="N39" s="553">
        <f>SUMIFS('#采购&amp;股份关联'!$33:$33,'#采购&amp;股份关联'!$1:$1,IF(N$2-$B39&lt;=0,N$1-1,N$1),'#采购&amp;股份关联'!$2:$2,IF(N$2-$B39&lt;=0,(N$2-$B39)+12,N$2-$B39))</f>
        <v>394.82758620689657</v>
      </c>
      <c r="O39" s="553">
        <f>SUMIFS('#采购&amp;股份关联'!$33:$33,'#采购&amp;股份关联'!$1:$1,IF(O$2-$B39&lt;=0,O$1-1,O$1),'#采购&amp;股份关联'!$2:$2,IF(O$2-$B39&lt;=0,(O$2-$B39)+12,O$2-$B39))</f>
        <v>418.96551724137936</v>
      </c>
      <c r="P39" s="553">
        <f>SUMIFS('#采购&amp;股份关联'!$33:$33,'#采购&amp;股份关联'!$1:$1,IF(P$2-$B39&lt;=0,P$1-1,P$1),'#采购&amp;股份关联'!$2:$2,IF(P$2-$B39&lt;=0,(P$2-$B39)+12,P$2-$B39))</f>
        <v>429.31034482758622</v>
      </c>
      <c r="Q39" s="553">
        <f>SUMIFS('#采购&amp;股份关联'!$33:$33,'#采购&amp;股份关联'!$1:$1,IF(Q$2-$B39&lt;=0,Q$1-1,Q$1),'#采购&amp;股份关联'!$2:$2,IF(Q$2-$B39&lt;=0,(Q$2-$B39)+12,Q$2-$B39))</f>
        <v>470.68965517241384</v>
      </c>
      <c r="R39" s="553">
        <f>SUMIFS('#采购&amp;股份关联'!$33:$33,'#采购&amp;股份关联'!$1:$1,IF(R$2-$B39&lt;=0,R$1-1,R$1),'#采购&amp;股份关联'!$2:$2,IF(R$2-$B39&lt;=0,(R$2-$B39)+12,R$2-$B39))</f>
        <v>489.65517241379314</v>
      </c>
      <c r="S39" s="553">
        <f>SUMIFS('#采购&amp;股份关联'!$33:$33,'#采购&amp;股份关联'!$1:$1,IF(S$2-$B39&lt;=0,S$1-1,S$1),'#采购&amp;股份关联'!$2:$2,IF(S$2-$B39&lt;=0,(S$2-$B39)+12,S$2-$B39))</f>
        <v>466.07758620689657</v>
      </c>
      <c r="T39" s="553">
        <f>SUMIFS('#采购&amp;股份关联'!$33:$33,'#采购&amp;股份关联'!$1:$1,IF(T$2-$B39&lt;=0,T$1-1,T$1),'#采购&amp;股份关联'!$2:$2,IF(T$2-$B39&lt;=0,(T$2-$B39)+12,T$2-$B39))</f>
        <v>485.34482758620692</v>
      </c>
      <c r="U39" s="553">
        <f>SUMIFS('#采购&amp;股份关联'!$33:$33,'#采购&amp;股份关联'!$1:$1,IF(U$2-$B39&lt;=0,U$1-1,U$1),'#采购&amp;股份关联'!$2:$2,IF(U$2-$B39&lt;=0,(U$2-$B39)+12,U$2-$B39))</f>
        <v>550.86206896551732</v>
      </c>
      <c r="V39" s="553">
        <f>SUMIFS('#采购&amp;股份关联'!$33:$33,'#采购&amp;股份关联'!$1:$1,IF(V$2-$B39&lt;=0,V$1-1,V$1),'#采购&amp;股份关联'!$2:$2,IF(V$2-$B39&lt;=0,(V$2-$B39)+12,V$2-$B39))</f>
        <v>537.93103448275861</v>
      </c>
      <c r="W39" s="553">
        <f>SUMIFS('#采购&amp;股份关联'!$33:$33,'#采购&amp;股份关联'!$1:$1,IF(W$2-$B39&lt;=0,W$1-1,W$1),'#采购&amp;股份关联'!$2:$2,IF(W$2-$B39&lt;=0,(W$2-$B39)+12,W$2-$B39))</f>
        <v>582.05953338696725</v>
      </c>
      <c r="X39" s="553">
        <f>SUMIFS('#采购&amp;股份关联'!$33:$33,'#采购&amp;股份关联'!$1:$1,IF(X$2-$B39&lt;=0,X$1-1,X$1),'#采购&amp;股份关联'!$2:$2,IF(X$2-$B39&lt;=0,(X$2-$B39)+12,X$2-$B39))</f>
        <v>625.8322798145806</v>
      </c>
      <c r="Y39" s="553">
        <f>SUMIFS('#采购&amp;股份关联'!$33:$33,'#采购&amp;股份关联'!$1:$1,IF(Y$2-$B39&lt;=0,Y$1-1,Y$1),'#采购&amp;股份关联'!$2:$2,IF(Y$2-$B39&lt;=0,(Y$2-$B39)+12,Y$2-$B39))</f>
        <v>710.34000931532387</v>
      </c>
      <c r="Z39" s="553">
        <f>SUMIFS('#采购&amp;股份关联'!$33:$33,'#采购&amp;股份关联'!$1:$1,IF(Z$2-$B39&lt;=0,Z$1-1,Z$1),'#采购&amp;股份关联'!$2:$2,IF(Z$2-$B39&lt;=0,(Z$2-$B39)+12,Z$2-$B39))</f>
        <v>784.14774913428244</v>
      </c>
      <c r="AA39" s="553">
        <f>SUMIFS('#采购&amp;股份关联'!$33:$33,'#采购&amp;股份关联'!$1:$1,IF(AA$2-$B39&lt;=0,AA$1-1,AA$1),'#采购&amp;股份关联'!$2:$2,IF(AA$2-$B39&lt;=0,(AA$2-$B39)+12,AA$2-$B39))</f>
        <v>657.64279967819823</v>
      </c>
      <c r="AB39" s="553">
        <f>SUMIFS('#采购&amp;股份关联'!$33:$33,'#采购&amp;股份关联'!$1:$1,IF(AB$2-$B39&lt;=0,AB$1-1,AB$1),'#采购&amp;股份关联'!$2:$2,IF(AB$2-$B39&lt;=0,(AB$2-$B39)+12,AB$2-$B39))</f>
        <v>650.94816687737091</v>
      </c>
      <c r="AC39" s="553">
        <f>SUMIFS('#采购&amp;股份关联'!$33:$33,'#采购&amp;股份关联'!$1:$1,IF(AC$2-$B39&lt;=0,AC$1-1,AC$1),'#采购&amp;股份关联'!$2:$2,IF(AC$2-$B39&lt;=0,(AC$2-$B39)+12,AC$2-$B39))</f>
        <v>624.03353516534696</v>
      </c>
      <c r="AD39" s="553">
        <f>SUMIFS('#采购&amp;股份关联'!$33:$33,'#采购&amp;股份关联'!$1:$1,IF(AD$2-$B39&lt;=0,AD$1-1,AD$1),'#采购&amp;股份关联'!$2:$2,IF(AD$2-$B39&lt;=0,(AD$2-$B39)+12,AD$2-$B39))</f>
        <v>572.56637168141594</v>
      </c>
      <c r="AE39" s="553">
        <f>SUMIFS('#采购&amp;股份关联'!$33:$33,'#采购&amp;股份关联'!$1:$1,IF(AE$2-$B39&lt;=0,AE$1-1,AE$1),'#采购&amp;股份关联'!$2:$2,IF(AE$2-$B39&lt;=0,(AE$2-$B39)+12,AE$2-$B39))</f>
        <v>587.61061946902657</v>
      </c>
      <c r="AF39" s="553">
        <f>SUMIFS('#采购&amp;股份关联'!$33:$33,'#采购&amp;股份关联'!$1:$1,IF(AF$2-$B39&lt;=0,AF$1-1,AF$1),'#采购&amp;股份关联'!$2:$2,IF(AF$2-$B39&lt;=0,(AF$2-$B39)+12,AF$2-$B39))</f>
        <v>600.88495575221248</v>
      </c>
      <c r="AG39" s="553">
        <f>SUMIFS('#采购&amp;股份关联'!$33:$33,'#采购&amp;股份关联'!$1:$1,IF(AG$2-$B39&lt;=0,AG$1-1,AG$1),'#采购&amp;股份关联'!$2:$2,IF(AG$2-$B39&lt;=0,(AG$2-$B39)+12,AG$2-$B39))</f>
        <v>561.06194690265488</v>
      </c>
      <c r="AH39" s="553">
        <f>SUMIFS('#采购&amp;股份关联'!$33:$33,'#采购&amp;股份关联'!$1:$1,IF(AH$2-$B39&lt;=0,AH$1-1,AH$1),'#采购&amp;股份关联'!$2:$2,IF(AH$2-$B39&lt;=0,(AH$2-$B39)+12,AH$2-$B39))</f>
        <v>576.99115044247787</v>
      </c>
      <c r="AI39" s="553">
        <f>SUMIFS('#采购&amp;股份关联'!$33:$33,'#采购&amp;股份关联'!$1:$1,IF(AI$2-$B39&lt;=0,AI$1-1,AI$1),'#采购&amp;股份关联'!$2:$2,IF(AI$2-$B39&lt;=0,(AI$2-$B39)+12,AI$2-$B39))</f>
        <v>573.45132743362842</v>
      </c>
      <c r="AJ39" s="553">
        <f>SUMIFS('#采购&amp;股份关联'!$33:$33,'#采购&amp;股份关联'!$1:$1,IF(AJ$2-$B39&lt;=0,AJ$1-1,AJ$1),'#采购&amp;股份关联'!$2:$2,IF(AJ$2-$B39&lt;=0,(AJ$2-$B39)+12,AJ$2-$B39))</f>
        <v>615.04424778761063</v>
      </c>
      <c r="AK39" s="553">
        <f>SUMIFS('#采购&amp;股份关联'!$33:$33,'#采购&amp;股份关联'!$1:$1,IF(AK$2-$B39&lt;=0,AK$1-1,AK$1),'#采购&amp;股份关联'!$2:$2,IF(AK$2-$B39&lt;=0,(AK$2-$B39)+12,AK$2-$B39))</f>
        <v>686.72566371681421</v>
      </c>
      <c r="AL39" s="553">
        <f>SUMIFS('#采购&amp;股份关联'!$33:$33,'#采购&amp;股份关联'!$1:$1,IF(AL$2-$B39&lt;=0,AL$1-1,AL$1),'#采购&amp;股份关联'!$2:$2,IF(AL$2-$B39&lt;=0,(AL$2-$B39)+12,AL$2-$B39))</f>
        <v>723.8938053097346</v>
      </c>
      <c r="AM39" s="553">
        <f>SUMIFS('#采购&amp;股份关联'!$33:$33,'#采购&amp;股份关联'!$1:$1,IF(AM$2-$B39&lt;=0,AM$1-1,AM$1),'#采购&amp;股份关联'!$2:$2,IF(AM$2-$B39&lt;=0,(AM$2-$B39)+12,AM$2-$B39))</f>
        <v>809.73451327433634</v>
      </c>
      <c r="AN39" s="553">
        <f>SUMIFS('#采购&amp;股份关联'!$33:$33,'#采购&amp;股份关联'!$1:$1,IF(AN$2-$B39&lt;=0,AN$1-1,AN$1),'#采购&amp;股份关联'!$2:$2,IF(AN$2-$B39&lt;=0,(AN$2-$B39)+12,AN$2-$B39))</f>
        <v>815.92920353982311</v>
      </c>
      <c r="AO39" s="553">
        <f>SUMIFS('#采购&amp;股份关联'!$33:$33,'#采购&amp;股份关联'!$1:$1,IF(AO$2-$B39&lt;=0,AO$1-1,AO$1),'#采购&amp;股份关联'!$2:$2,IF(AO$2-$B39&lt;=0,(AO$2-$B39)+12,AO$2-$B39))</f>
        <v>776.99115044247799</v>
      </c>
      <c r="AP39" s="553">
        <f>SUMIFS('#采购&amp;股份关联'!$33:$33,'#采购&amp;股份关联'!$1:$1,IF(AP$2-$B39&lt;=0,AP$1-1,AP$1),'#采购&amp;股份关联'!$2:$2,IF(AP$2-$B39&lt;=0,(AP$2-$B39)+12,AP$2-$B39))</f>
        <v>771.68141592920358</v>
      </c>
      <c r="AQ39" s="2169">
        <f>SUMIFS('#采购&amp;股份关联'!$33:$33,'#采购&amp;股份关联'!$1:$1,IF(AQ$2-$B39&lt;=0,AQ$1-1,AQ$1),'#采购&amp;股份关联'!$2:$2,IF(AQ$2-$B39&lt;=0,(AQ$2-$B39)+12,AQ$2-$B39))</f>
        <v>904.42477876106204</v>
      </c>
      <c r="AR39" s="2169">
        <f>SUMIFS('#采购&amp;股份关联'!$33:$33,'#采购&amp;股份关联'!$1:$1,IF(AR$2-$B39&lt;=0,AR$1-1,AR$1),'#采购&amp;股份关联'!$2:$2,IF(AR$2-$B39&lt;=0,(AR$2-$B39)+12,AR$2-$B39))</f>
        <v>1000.0000000000001</v>
      </c>
      <c r="AS39" s="2169">
        <f>SUMIFS('#采购&amp;股份关联'!$33:$33,'#采购&amp;股份关联'!$1:$1,IF(AS$2-$B39&lt;=0,AS$1-1,AS$1),'#采购&amp;股份关联'!$2:$2,IF(AS$2-$B39&lt;=0,(AS$2-$B39)+12,AS$2-$B39))</f>
        <v>994.69026548672571</v>
      </c>
      <c r="AT39" s="2169">
        <f>SUMIFS('#采购&amp;股份关联'!$33:$33,'#采购&amp;股份关联'!$1:$1,IF(AT$2-$B39&lt;=0,AT$1-1,AT$1),'#采购&amp;股份关联'!$2:$2,IF(AT$2-$B39&lt;=0,(AT$2-$B39)+12,AT$2-$B39))</f>
        <v>1001.7699115044248</v>
      </c>
      <c r="AU39" s="2169">
        <f>SUMIFS('#采购&amp;股份关联'!$33:$33,'#采购&amp;股份关联'!$1:$1,IF(AU$2-$B39&lt;=0,AU$1-1,AU$1),'#采购&amp;股份关联'!$2:$2,IF(AU$2-$B39&lt;=0,(AU$2-$B39)+12,AU$2-$B39))</f>
        <v>1057.5221238938054</v>
      </c>
      <c r="AV39" s="2169">
        <f>SUMIFS('#采购&amp;股份关联'!$33:$33,'#采购&amp;股份关联'!$1:$1,IF(AV$2-$B39&lt;=0,AV$1-1,AV$1),'#采购&amp;股份关联'!$2:$2,IF(AV$2-$B39&lt;=0,(AV$2-$B39)+12,AV$2-$B39))</f>
        <v>1285.840707964602</v>
      </c>
      <c r="AW39" s="2169">
        <f>SUMIFS('#采购&amp;股份关联'!$33:$33,'#采购&amp;股份关联'!$1:$1,IF(AW$2-$B39&lt;=0,AW$1-1,AW$1),'#采购&amp;股份关联'!$2:$2,IF(AW$2-$B39&lt;=0,(AW$2-$B39)+12,AW$2-$B39))</f>
        <v>1287.6106194690267</v>
      </c>
    </row>
    <row r="40" spans="2:49">
      <c r="B40" s="542">
        <v>4</v>
      </c>
      <c r="E40" s="553">
        <v>476.0683760683761</v>
      </c>
      <c r="F40" s="553">
        <v>406.83760683760687</v>
      </c>
      <c r="G40" s="553">
        <v>403.41880341880346</v>
      </c>
      <c r="H40" s="553">
        <v>447.00854700854705</v>
      </c>
      <c r="I40" s="553">
        <f>SUMIFS('#采购&amp;股份关联'!$33:$33,'#采购&amp;股份关联'!$1:$1,IF(I$2-$B40&lt;=0,I$1-1,I$1),'#采购&amp;股份关联'!$2:$2,IF(I$2-$B40&lt;=0,(I$2-$B40)+12,I$2-$B40))</f>
        <v>460.68376068376074</v>
      </c>
      <c r="J40" s="553">
        <f>SUMIFS('#采购&amp;股份关联'!$33:$33,'#采购&amp;股份关联'!$1:$1,IF(J$2-$B40&lt;=0,J$1-1,J$1),'#采购&amp;股份关联'!$2:$2,IF(J$2-$B40&lt;=0,(J$2-$B40)+12,J$2-$B40))</f>
        <v>454.70085470085473</v>
      </c>
      <c r="K40" s="553">
        <f>SUMIFS('#采购&amp;股份关联'!$33:$33,'#采购&amp;股份关联'!$1:$1,IF(K$2-$B40&lt;=0,K$1-1,K$1),'#采购&amp;股份关联'!$2:$2,IF(K$2-$B40&lt;=0,(K$2-$B40)+12,K$2-$B40))</f>
        <v>415.38461538461542</v>
      </c>
      <c r="L40" s="553">
        <f>SUMIFS('#采购&amp;股份关联'!$33:$33,'#采购&amp;股份关联'!$1:$1,IF(L$2-$B40&lt;=0,L$1-1,L$1),'#采购&amp;股份关联'!$2:$2,IF(L$2-$B40&lt;=0,(L$2-$B40)+12,L$2-$B40))</f>
        <v>387.17948717948718</v>
      </c>
      <c r="M40" s="553">
        <f>SUMIFS('#采购&amp;股份关联'!$33:$33,'#采购&amp;股份关联'!$1:$1,IF(M$2-$B40&lt;=0,M$1-1,M$1),'#采购&amp;股份关联'!$2:$2,IF(M$2-$B40&lt;=0,(M$2-$B40)+12,M$2-$B40))</f>
        <v>400.86206896551727</v>
      </c>
      <c r="N40" s="553">
        <f>SUMIFS('#采购&amp;股份关联'!$33:$33,'#采购&amp;股份关联'!$1:$1,IF(N$2-$B40&lt;=0,N$1-1,N$1),'#采购&amp;股份关联'!$2:$2,IF(N$2-$B40&lt;=0,(N$2-$B40)+12,N$2-$B40))</f>
        <v>393.10344827586209</v>
      </c>
      <c r="O40" s="553">
        <f>SUMIFS('#采购&amp;股份关联'!$33:$33,'#采购&amp;股份关联'!$1:$1,IF(O$2-$B40&lt;=0,O$1-1,O$1),'#采购&amp;股份关联'!$2:$2,IF(O$2-$B40&lt;=0,(O$2-$B40)+12,O$2-$B40))</f>
        <v>394.82758620689657</v>
      </c>
      <c r="P40" s="553">
        <f>SUMIFS('#采购&amp;股份关联'!$33:$33,'#采购&amp;股份关联'!$1:$1,IF(P$2-$B40&lt;=0,P$1-1,P$1),'#采购&amp;股份关联'!$2:$2,IF(P$2-$B40&lt;=0,(P$2-$B40)+12,P$2-$B40))</f>
        <v>418.96551724137936</v>
      </c>
      <c r="Q40" s="553">
        <f>SUMIFS('#采购&amp;股份关联'!$33:$33,'#采购&amp;股份关联'!$1:$1,IF(Q$2-$B40&lt;=0,Q$1-1,Q$1),'#采购&amp;股份关联'!$2:$2,IF(Q$2-$B40&lt;=0,(Q$2-$B40)+12,Q$2-$B40))</f>
        <v>429.31034482758622</v>
      </c>
      <c r="R40" s="553">
        <f>SUMIFS('#采购&amp;股份关联'!$33:$33,'#采购&amp;股份关联'!$1:$1,IF(R$2-$B40&lt;=0,R$1-1,R$1),'#采购&amp;股份关联'!$2:$2,IF(R$2-$B40&lt;=0,(R$2-$B40)+12,R$2-$B40))</f>
        <v>470.68965517241384</v>
      </c>
      <c r="S40" s="553">
        <f>SUMIFS('#采购&amp;股份关联'!$33:$33,'#采购&amp;股份关联'!$1:$1,IF(S$2-$B40&lt;=0,S$1-1,S$1),'#采购&amp;股份关联'!$2:$2,IF(S$2-$B40&lt;=0,(S$2-$B40)+12,S$2-$B40))</f>
        <v>489.65517241379314</v>
      </c>
      <c r="T40" s="553">
        <f>SUMIFS('#采购&amp;股份关联'!$33:$33,'#采购&amp;股份关联'!$1:$1,IF(T$2-$B40&lt;=0,T$1-1,T$1),'#采购&amp;股份关联'!$2:$2,IF(T$2-$B40&lt;=0,(T$2-$B40)+12,T$2-$B40))</f>
        <v>466.07758620689657</v>
      </c>
      <c r="U40" s="553">
        <f>SUMIFS('#采购&amp;股份关联'!$33:$33,'#采购&amp;股份关联'!$1:$1,IF(U$2-$B40&lt;=0,U$1-1,U$1),'#采购&amp;股份关联'!$2:$2,IF(U$2-$B40&lt;=0,(U$2-$B40)+12,U$2-$B40))</f>
        <v>485.34482758620692</v>
      </c>
      <c r="V40" s="553">
        <f>SUMIFS('#采购&amp;股份关联'!$33:$33,'#采购&amp;股份关联'!$1:$1,IF(V$2-$B40&lt;=0,V$1-1,V$1),'#采购&amp;股份关联'!$2:$2,IF(V$2-$B40&lt;=0,(V$2-$B40)+12,V$2-$B40))</f>
        <v>550.86206896551732</v>
      </c>
      <c r="W40" s="553">
        <f>SUMIFS('#采购&amp;股份关联'!$33:$33,'#采购&amp;股份关联'!$1:$1,IF(W$2-$B40&lt;=0,W$1-1,W$1),'#采购&amp;股份关联'!$2:$2,IF(W$2-$B40&lt;=0,(W$2-$B40)+12,W$2-$B40))</f>
        <v>537.93103448275861</v>
      </c>
      <c r="X40" s="553">
        <f>SUMIFS('#采购&amp;股份关联'!$33:$33,'#采购&amp;股份关联'!$1:$1,IF(X$2-$B40&lt;=0,X$1-1,X$1),'#采购&amp;股份关联'!$2:$2,IF(X$2-$B40&lt;=0,(X$2-$B40)+12,X$2-$B40))</f>
        <v>582.05953338696725</v>
      </c>
      <c r="Y40" s="553">
        <f>SUMIFS('#采购&amp;股份关联'!$33:$33,'#采购&amp;股份关联'!$1:$1,IF(Y$2-$B40&lt;=0,Y$1-1,Y$1),'#采购&amp;股份关联'!$2:$2,IF(Y$2-$B40&lt;=0,(Y$2-$B40)+12,Y$2-$B40))</f>
        <v>625.8322798145806</v>
      </c>
      <c r="Z40" s="553">
        <f>SUMIFS('#采购&amp;股份关联'!$33:$33,'#采购&amp;股份关联'!$1:$1,IF(Z$2-$B40&lt;=0,Z$1-1,Z$1),'#采购&amp;股份关联'!$2:$2,IF(Z$2-$B40&lt;=0,(Z$2-$B40)+12,Z$2-$B40))</f>
        <v>710.34000931532387</v>
      </c>
      <c r="AA40" s="553">
        <f>SUMIFS('#采购&amp;股份关联'!$33:$33,'#采购&amp;股份关联'!$1:$1,IF(AA$2-$B40&lt;=0,AA$1-1,AA$1),'#采购&amp;股份关联'!$2:$2,IF(AA$2-$B40&lt;=0,(AA$2-$B40)+12,AA$2-$B40))</f>
        <v>784.14774913428244</v>
      </c>
      <c r="AB40" s="553">
        <f>SUMIFS('#采购&amp;股份关联'!$33:$33,'#采购&amp;股份关联'!$1:$1,IF(AB$2-$B40&lt;=0,AB$1-1,AB$1),'#采购&amp;股份关联'!$2:$2,IF(AB$2-$B40&lt;=0,(AB$2-$B40)+12,AB$2-$B40))</f>
        <v>657.64279967819823</v>
      </c>
      <c r="AC40" s="553">
        <f>SUMIFS('#采购&amp;股份关联'!$33:$33,'#采购&amp;股份关联'!$1:$1,IF(AC$2-$B40&lt;=0,AC$1-1,AC$1),'#采购&amp;股份关联'!$2:$2,IF(AC$2-$B40&lt;=0,(AC$2-$B40)+12,AC$2-$B40))</f>
        <v>650.94816687737091</v>
      </c>
      <c r="AD40" s="553">
        <f>SUMIFS('#采购&amp;股份关联'!$33:$33,'#采购&amp;股份关联'!$1:$1,IF(AD$2-$B40&lt;=0,AD$1-1,AD$1),'#采购&amp;股份关联'!$2:$2,IF(AD$2-$B40&lt;=0,(AD$2-$B40)+12,AD$2-$B40))</f>
        <v>624.03353516534696</v>
      </c>
      <c r="AE40" s="553">
        <f>SUMIFS('#采购&amp;股份关联'!$33:$33,'#采购&amp;股份关联'!$1:$1,IF(AE$2-$B40&lt;=0,AE$1-1,AE$1),'#采购&amp;股份关联'!$2:$2,IF(AE$2-$B40&lt;=0,(AE$2-$B40)+12,AE$2-$B40))</f>
        <v>572.56637168141594</v>
      </c>
      <c r="AF40" s="553">
        <f>SUMIFS('#采购&amp;股份关联'!$33:$33,'#采购&amp;股份关联'!$1:$1,IF(AF$2-$B40&lt;=0,AF$1-1,AF$1),'#采购&amp;股份关联'!$2:$2,IF(AF$2-$B40&lt;=0,(AF$2-$B40)+12,AF$2-$B40))</f>
        <v>587.61061946902657</v>
      </c>
      <c r="AG40" s="553">
        <f>SUMIFS('#采购&amp;股份关联'!$33:$33,'#采购&amp;股份关联'!$1:$1,IF(AG$2-$B40&lt;=0,AG$1-1,AG$1),'#采购&amp;股份关联'!$2:$2,IF(AG$2-$B40&lt;=0,(AG$2-$B40)+12,AG$2-$B40))</f>
        <v>600.88495575221248</v>
      </c>
      <c r="AH40" s="553">
        <f>SUMIFS('#采购&amp;股份关联'!$33:$33,'#采购&amp;股份关联'!$1:$1,IF(AH$2-$B40&lt;=0,AH$1-1,AH$1),'#采购&amp;股份关联'!$2:$2,IF(AH$2-$B40&lt;=0,(AH$2-$B40)+12,AH$2-$B40))</f>
        <v>561.06194690265488</v>
      </c>
      <c r="AI40" s="553">
        <f>SUMIFS('#采购&amp;股份关联'!$33:$33,'#采购&amp;股份关联'!$1:$1,IF(AI$2-$B40&lt;=0,AI$1-1,AI$1),'#采购&amp;股份关联'!$2:$2,IF(AI$2-$B40&lt;=0,(AI$2-$B40)+12,AI$2-$B40))</f>
        <v>576.99115044247787</v>
      </c>
      <c r="AJ40" s="553">
        <f>SUMIFS('#采购&amp;股份关联'!$33:$33,'#采购&amp;股份关联'!$1:$1,IF(AJ$2-$B40&lt;=0,AJ$1-1,AJ$1),'#采购&amp;股份关联'!$2:$2,IF(AJ$2-$B40&lt;=0,(AJ$2-$B40)+12,AJ$2-$B40))</f>
        <v>573.45132743362842</v>
      </c>
      <c r="AK40" s="553">
        <f>SUMIFS('#采购&amp;股份关联'!$33:$33,'#采购&amp;股份关联'!$1:$1,IF(AK$2-$B40&lt;=0,AK$1-1,AK$1),'#采购&amp;股份关联'!$2:$2,IF(AK$2-$B40&lt;=0,(AK$2-$B40)+12,AK$2-$B40))</f>
        <v>615.04424778761063</v>
      </c>
      <c r="AL40" s="553">
        <f>SUMIFS('#采购&amp;股份关联'!$33:$33,'#采购&amp;股份关联'!$1:$1,IF(AL$2-$B40&lt;=0,AL$1-1,AL$1),'#采购&amp;股份关联'!$2:$2,IF(AL$2-$B40&lt;=0,(AL$2-$B40)+12,AL$2-$B40))</f>
        <v>686.72566371681421</v>
      </c>
      <c r="AM40" s="553">
        <f>SUMIFS('#采购&amp;股份关联'!$33:$33,'#采购&amp;股份关联'!$1:$1,IF(AM$2-$B40&lt;=0,AM$1-1,AM$1),'#采购&amp;股份关联'!$2:$2,IF(AM$2-$B40&lt;=0,(AM$2-$B40)+12,AM$2-$B40))</f>
        <v>723.8938053097346</v>
      </c>
      <c r="AN40" s="553">
        <f>SUMIFS('#采购&amp;股份关联'!$33:$33,'#采购&amp;股份关联'!$1:$1,IF(AN$2-$B40&lt;=0,AN$1-1,AN$1),'#采购&amp;股份关联'!$2:$2,IF(AN$2-$B40&lt;=0,(AN$2-$B40)+12,AN$2-$B40))</f>
        <v>809.73451327433634</v>
      </c>
      <c r="AO40" s="553">
        <f>SUMIFS('#采购&amp;股份关联'!$33:$33,'#采购&amp;股份关联'!$1:$1,IF(AO$2-$B40&lt;=0,AO$1-1,AO$1),'#采购&amp;股份关联'!$2:$2,IF(AO$2-$B40&lt;=0,(AO$2-$B40)+12,AO$2-$B40))</f>
        <v>815.92920353982311</v>
      </c>
      <c r="AP40" s="553">
        <f>SUMIFS('#采购&amp;股份关联'!$33:$33,'#采购&amp;股份关联'!$1:$1,IF(AP$2-$B40&lt;=0,AP$1-1,AP$1),'#采购&amp;股份关联'!$2:$2,IF(AP$2-$B40&lt;=0,(AP$2-$B40)+12,AP$2-$B40))</f>
        <v>776.99115044247799</v>
      </c>
      <c r="AQ40" s="2169">
        <f>SUMIFS('#采购&amp;股份关联'!$33:$33,'#采购&amp;股份关联'!$1:$1,IF(AQ$2-$B40&lt;=0,AQ$1-1,AQ$1),'#采购&amp;股份关联'!$2:$2,IF(AQ$2-$B40&lt;=0,(AQ$2-$B40)+12,AQ$2-$B40))</f>
        <v>771.68141592920358</v>
      </c>
      <c r="AR40" s="2169">
        <f>SUMIFS('#采购&amp;股份关联'!$33:$33,'#采购&amp;股份关联'!$1:$1,IF(AR$2-$B40&lt;=0,AR$1-1,AR$1),'#采购&amp;股份关联'!$2:$2,IF(AR$2-$B40&lt;=0,(AR$2-$B40)+12,AR$2-$B40))</f>
        <v>904.42477876106204</v>
      </c>
      <c r="AS40" s="2169">
        <f>SUMIFS('#采购&amp;股份关联'!$33:$33,'#采购&amp;股份关联'!$1:$1,IF(AS$2-$B40&lt;=0,AS$1-1,AS$1),'#采购&amp;股份关联'!$2:$2,IF(AS$2-$B40&lt;=0,(AS$2-$B40)+12,AS$2-$B40))</f>
        <v>1000.0000000000001</v>
      </c>
      <c r="AT40" s="2169">
        <f>SUMIFS('#采购&amp;股份关联'!$33:$33,'#采购&amp;股份关联'!$1:$1,IF(AT$2-$B40&lt;=0,AT$1-1,AT$1),'#采购&amp;股份关联'!$2:$2,IF(AT$2-$B40&lt;=0,(AT$2-$B40)+12,AT$2-$B40))</f>
        <v>994.69026548672571</v>
      </c>
      <c r="AU40" s="2169">
        <f>SUMIFS('#采购&amp;股份关联'!$33:$33,'#采购&amp;股份关联'!$1:$1,IF(AU$2-$B40&lt;=0,AU$1-1,AU$1),'#采购&amp;股份关联'!$2:$2,IF(AU$2-$B40&lt;=0,(AU$2-$B40)+12,AU$2-$B40))</f>
        <v>1001.7699115044248</v>
      </c>
      <c r="AV40" s="2169">
        <f>SUMIFS('#采购&amp;股份关联'!$33:$33,'#采购&amp;股份关联'!$1:$1,IF(AV$2-$B40&lt;=0,AV$1-1,AV$1),'#采购&amp;股份关联'!$2:$2,IF(AV$2-$B40&lt;=0,(AV$2-$B40)+12,AV$2-$B40))</f>
        <v>1057.5221238938054</v>
      </c>
      <c r="AW40" s="2169">
        <f>SUMIFS('#采购&amp;股份关联'!$33:$33,'#采购&amp;股份关联'!$1:$1,IF(AW$2-$B40&lt;=0,AW$1-1,AW$1),'#采购&amp;股份关联'!$2:$2,IF(AW$2-$B40&lt;=0,(AW$2-$B40)+12,AW$2-$B40))</f>
        <v>1285.840707964602</v>
      </c>
    </row>
    <row r="41" spans="2:49">
      <c r="B41" s="542">
        <v>5</v>
      </c>
      <c r="E41" s="553">
        <v>505.982905982906</v>
      </c>
      <c r="F41" s="553">
        <v>476.0683760683761</v>
      </c>
      <c r="G41" s="553">
        <v>406.83760683760687</v>
      </c>
      <c r="H41" s="553">
        <v>403.41880341880346</v>
      </c>
      <c r="I41" s="553">
        <v>447.00854700854705</v>
      </c>
      <c r="J41" s="553">
        <f>SUMIFS('#采购&amp;股份关联'!$33:$33,'#采购&amp;股份关联'!$1:$1,IF(J$2-$B41&lt;=0,J$1-1,J$1),'#采购&amp;股份关联'!$2:$2,IF(J$2-$B41&lt;=0,(J$2-$B41)+12,J$2-$B41))</f>
        <v>460.68376068376074</v>
      </c>
      <c r="K41" s="553">
        <f>SUMIFS('#采购&amp;股份关联'!$33:$33,'#采购&amp;股份关联'!$1:$1,IF(K$2-$B41&lt;=0,K$1-1,K$1),'#采购&amp;股份关联'!$2:$2,IF(K$2-$B41&lt;=0,(K$2-$B41)+12,K$2-$B41))</f>
        <v>454.70085470085473</v>
      </c>
      <c r="L41" s="553">
        <f>SUMIFS('#采购&amp;股份关联'!$33:$33,'#采购&amp;股份关联'!$1:$1,IF(L$2-$B41&lt;=0,L$1-1,L$1),'#采购&amp;股份关联'!$2:$2,IF(L$2-$B41&lt;=0,(L$2-$B41)+12,L$2-$B41))</f>
        <v>415.38461538461542</v>
      </c>
      <c r="M41" s="553">
        <f>SUMIFS('#采购&amp;股份关联'!$33:$33,'#采购&amp;股份关联'!$1:$1,IF(M$2-$B41&lt;=0,M$1-1,M$1),'#采购&amp;股份关联'!$2:$2,IF(M$2-$B41&lt;=0,(M$2-$B41)+12,M$2-$B41))</f>
        <v>387.17948717948718</v>
      </c>
      <c r="N41" s="553">
        <f>SUMIFS('#采购&amp;股份关联'!$33:$33,'#采购&amp;股份关联'!$1:$1,IF(N$2-$B41&lt;=0,N$1-1,N$1),'#采购&amp;股份关联'!$2:$2,IF(N$2-$B41&lt;=0,(N$2-$B41)+12,N$2-$B41))</f>
        <v>400.86206896551727</v>
      </c>
      <c r="O41" s="553">
        <f>SUMIFS('#采购&amp;股份关联'!$33:$33,'#采购&amp;股份关联'!$1:$1,IF(O$2-$B41&lt;=0,O$1-1,O$1),'#采购&amp;股份关联'!$2:$2,IF(O$2-$B41&lt;=0,(O$2-$B41)+12,O$2-$B41))</f>
        <v>393.10344827586209</v>
      </c>
      <c r="P41" s="553">
        <f>SUMIFS('#采购&amp;股份关联'!$33:$33,'#采购&amp;股份关联'!$1:$1,IF(P$2-$B41&lt;=0,P$1-1,P$1),'#采购&amp;股份关联'!$2:$2,IF(P$2-$B41&lt;=0,(P$2-$B41)+12,P$2-$B41))</f>
        <v>394.82758620689657</v>
      </c>
      <c r="Q41" s="553">
        <f>SUMIFS('#采购&amp;股份关联'!$33:$33,'#采购&amp;股份关联'!$1:$1,IF(Q$2-$B41&lt;=0,Q$1-1,Q$1),'#采购&amp;股份关联'!$2:$2,IF(Q$2-$B41&lt;=0,(Q$2-$B41)+12,Q$2-$B41))</f>
        <v>418.96551724137936</v>
      </c>
      <c r="R41" s="553">
        <f>SUMIFS('#采购&amp;股份关联'!$33:$33,'#采购&amp;股份关联'!$1:$1,IF(R$2-$B41&lt;=0,R$1-1,R$1),'#采购&amp;股份关联'!$2:$2,IF(R$2-$B41&lt;=0,(R$2-$B41)+12,R$2-$B41))</f>
        <v>429.31034482758622</v>
      </c>
      <c r="S41" s="553">
        <f>SUMIFS('#采购&amp;股份关联'!$33:$33,'#采购&amp;股份关联'!$1:$1,IF(S$2-$B41&lt;=0,S$1-1,S$1),'#采购&amp;股份关联'!$2:$2,IF(S$2-$B41&lt;=0,(S$2-$B41)+12,S$2-$B41))</f>
        <v>470.68965517241384</v>
      </c>
      <c r="T41" s="553">
        <f>SUMIFS('#采购&amp;股份关联'!$33:$33,'#采购&amp;股份关联'!$1:$1,IF(T$2-$B41&lt;=0,T$1-1,T$1),'#采购&amp;股份关联'!$2:$2,IF(T$2-$B41&lt;=0,(T$2-$B41)+12,T$2-$B41))</f>
        <v>489.65517241379314</v>
      </c>
      <c r="U41" s="553">
        <f>SUMIFS('#采购&amp;股份关联'!$33:$33,'#采购&amp;股份关联'!$1:$1,IF(U$2-$B41&lt;=0,U$1-1,U$1),'#采购&amp;股份关联'!$2:$2,IF(U$2-$B41&lt;=0,(U$2-$B41)+12,U$2-$B41))</f>
        <v>466.07758620689657</v>
      </c>
      <c r="V41" s="553">
        <f>SUMIFS('#采购&amp;股份关联'!$33:$33,'#采购&amp;股份关联'!$1:$1,IF(V$2-$B41&lt;=0,V$1-1,V$1),'#采购&amp;股份关联'!$2:$2,IF(V$2-$B41&lt;=0,(V$2-$B41)+12,V$2-$B41))</f>
        <v>485.34482758620692</v>
      </c>
      <c r="W41" s="553">
        <f>SUMIFS('#采购&amp;股份关联'!$33:$33,'#采购&amp;股份关联'!$1:$1,IF(W$2-$B41&lt;=0,W$1-1,W$1),'#采购&amp;股份关联'!$2:$2,IF(W$2-$B41&lt;=0,(W$2-$B41)+12,W$2-$B41))</f>
        <v>550.86206896551732</v>
      </c>
      <c r="X41" s="553">
        <f>SUMIFS('#采购&amp;股份关联'!$33:$33,'#采购&amp;股份关联'!$1:$1,IF(X$2-$B41&lt;=0,X$1-1,X$1),'#采购&amp;股份关联'!$2:$2,IF(X$2-$B41&lt;=0,(X$2-$B41)+12,X$2-$B41))</f>
        <v>537.93103448275861</v>
      </c>
      <c r="Y41" s="553">
        <f>SUMIFS('#采购&amp;股份关联'!$33:$33,'#采购&amp;股份关联'!$1:$1,IF(Y$2-$B41&lt;=0,Y$1-1,Y$1),'#采购&amp;股份关联'!$2:$2,IF(Y$2-$B41&lt;=0,(Y$2-$B41)+12,Y$2-$B41))</f>
        <v>582.05953338696725</v>
      </c>
      <c r="Z41" s="553">
        <f>SUMIFS('#采购&amp;股份关联'!$33:$33,'#采购&amp;股份关联'!$1:$1,IF(Z$2-$B41&lt;=0,Z$1-1,Z$1),'#采购&amp;股份关联'!$2:$2,IF(Z$2-$B41&lt;=0,(Z$2-$B41)+12,Z$2-$B41))</f>
        <v>625.8322798145806</v>
      </c>
      <c r="AA41" s="553">
        <f>SUMIFS('#采购&amp;股份关联'!$33:$33,'#采购&amp;股份关联'!$1:$1,IF(AA$2-$B41&lt;=0,AA$1-1,AA$1),'#采购&amp;股份关联'!$2:$2,IF(AA$2-$B41&lt;=0,(AA$2-$B41)+12,AA$2-$B41))</f>
        <v>710.34000931532387</v>
      </c>
      <c r="AB41" s="553">
        <f>SUMIFS('#采购&amp;股份关联'!$33:$33,'#采购&amp;股份关联'!$1:$1,IF(AB$2-$B41&lt;=0,AB$1-1,AB$1),'#采购&amp;股份关联'!$2:$2,IF(AB$2-$B41&lt;=0,(AB$2-$B41)+12,AB$2-$B41))</f>
        <v>784.14774913428244</v>
      </c>
      <c r="AC41" s="553">
        <f>SUMIFS('#采购&amp;股份关联'!$33:$33,'#采购&amp;股份关联'!$1:$1,IF(AC$2-$B41&lt;=0,AC$1-1,AC$1),'#采购&amp;股份关联'!$2:$2,IF(AC$2-$B41&lt;=0,(AC$2-$B41)+12,AC$2-$B41))</f>
        <v>657.64279967819823</v>
      </c>
      <c r="AD41" s="553">
        <f>SUMIFS('#采购&amp;股份关联'!$33:$33,'#采购&amp;股份关联'!$1:$1,IF(AD$2-$B41&lt;=0,AD$1-1,AD$1),'#采购&amp;股份关联'!$2:$2,IF(AD$2-$B41&lt;=0,(AD$2-$B41)+12,AD$2-$B41))</f>
        <v>650.94816687737091</v>
      </c>
      <c r="AE41" s="553">
        <f>SUMIFS('#采购&amp;股份关联'!$33:$33,'#采购&amp;股份关联'!$1:$1,IF(AE$2-$B41&lt;=0,AE$1-1,AE$1),'#采购&amp;股份关联'!$2:$2,IF(AE$2-$B41&lt;=0,(AE$2-$B41)+12,AE$2-$B41))</f>
        <v>624.03353516534696</v>
      </c>
      <c r="AF41" s="553">
        <f>SUMIFS('#采购&amp;股份关联'!$33:$33,'#采购&amp;股份关联'!$1:$1,IF(AF$2-$B41&lt;=0,AF$1-1,AF$1),'#采购&amp;股份关联'!$2:$2,IF(AF$2-$B41&lt;=0,(AF$2-$B41)+12,AF$2-$B41))</f>
        <v>572.56637168141594</v>
      </c>
      <c r="AG41" s="553">
        <f>SUMIFS('#采购&amp;股份关联'!$33:$33,'#采购&amp;股份关联'!$1:$1,IF(AG$2-$B41&lt;=0,AG$1-1,AG$1),'#采购&amp;股份关联'!$2:$2,IF(AG$2-$B41&lt;=0,(AG$2-$B41)+12,AG$2-$B41))</f>
        <v>587.61061946902657</v>
      </c>
      <c r="AH41" s="553">
        <f>SUMIFS('#采购&amp;股份关联'!$33:$33,'#采购&amp;股份关联'!$1:$1,IF(AH$2-$B41&lt;=0,AH$1-1,AH$1),'#采购&amp;股份关联'!$2:$2,IF(AH$2-$B41&lt;=0,(AH$2-$B41)+12,AH$2-$B41))</f>
        <v>600.88495575221248</v>
      </c>
      <c r="AI41" s="553">
        <f>SUMIFS('#采购&amp;股份关联'!$33:$33,'#采购&amp;股份关联'!$1:$1,IF(AI$2-$B41&lt;=0,AI$1-1,AI$1),'#采购&amp;股份关联'!$2:$2,IF(AI$2-$B41&lt;=0,(AI$2-$B41)+12,AI$2-$B41))</f>
        <v>561.06194690265488</v>
      </c>
      <c r="AJ41" s="553">
        <f>SUMIFS('#采购&amp;股份关联'!$33:$33,'#采购&amp;股份关联'!$1:$1,IF(AJ$2-$B41&lt;=0,AJ$1-1,AJ$1),'#采购&amp;股份关联'!$2:$2,IF(AJ$2-$B41&lt;=0,(AJ$2-$B41)+12,AJ$2-$B41))</f>
        <v>576.99115044247787</v>
      </c>
      <c r="AK41" s="553">
        <f>SUMIFS('#采购&amp;股份关联'!$33:$33,'#采购&amp;股份关联'!$1:$1,IF(AK$2-$B41&lt;=0,AK$1-1,AK$1),'#采购&amp;股份关联'!$2:$2,IF(AK$2-$B41&lt;=0,(AK$2-$B41)+12,AK$2-$B41))</f>
        <v>573.45132743362842</v>
      </c>
      <c r="AL41" s="553">
        <f>SUMIFS('#采购&amp;股份关联'!$33:$33,'#采购&amp;股份关联'!$1:$1,IF(AL$2-$B41&lt;=0,AL$1-1,AL$1),'#采购&amp;股份关联'!$2:$2,IF(AL$2-$B41&lt;=0,(AL$2-$B41)+12,AL$2-$B41))</f>
        <v>615.04424778761063</v>
      </c>
      <c r="AM41" s="553">
        <f>SUMIFS('#采购&amp;股份关联'!$33:$33,'#采购&amp;股份关联'!$1:$1,IF(AM$2-$B41&lt;=0,AM$1-1,AM$1),'#采购&amp;股份关联'!$2:$2,IF(AM$2-$B41&lt;=0,(AM$2-$B41)+12,AM$2-$B41))</f>
        <v>686.72566371681421</v>
      </c>
      <c r="AN41" s="553">
        <f>SUMIFS('#采购&amp;股份关联'!$33:$33,'#采购&amp;股份关联'!$1:$1,IF(AN$2-$B41&lt;=0,AN$1-1,AN$1),'#采购&amp;股份关联'!$2:$2,IF(AN$2-$B41&lt;=0,(AN$2-$B41)+12,AN$2-$B41))</f>
        <v>723.8938053097346</v>
      </c>
      <c r="AO41" s="553">
        <f>SUMIFS('#采购&amp;股份关联'!$33:$33,'#采购&amp;股份关联'!$1:$1,IF(AO$2-$B41&lt;=0,AO$1-1,AO$1),'#采购&amp;股份关联'!$2:$2,IF(AO$2-$B41&lt;=0,(AO$2-$B41)+12,AO$2-$B41))</f>
        <v>809.73451327433634</v>
      </c>
      <c r="AP41" s="553">
        <f>SUMIFS('#采购&amp;股份关联'!$33:$33,'#采购&amp;股份关联'!$1:$1,IF(AP$2-$B41&lt;=0,AP$1-1,AP$1),'#采购&amp;股份关联'!$2:$2,IF(AP$2-$B41&lt;=0,(AP$2-$B41)+12,AP$2-$B41))</f>
        <v>815.92920353982311</v>
      </c>
      <c r="AQ41" s="2169">
        <f>SUMIFS('#采购&amp;股份关联'!$33:$33,'#采购&amp;股份关联'!$1:$1,IF(AQ$2-$B41&lt;=0,AQ$1-1,AQ$1),'#采购&amp;股份关联'!$2:$2,IF(AQ$2-$B41&lt;=0,(AQ$2-$B41)+12,AQ$2-$B41))</f>
        <v>776.99115044247799</v>
      </c>
      <c r="AR41" s="2169">
        <f>SUMIFS('#采购&amp;股份关联'!$33:$33,'#采购&amp;股份关联'!$1:$1,IF(AR$2-$B41&lt;=0,AR$1-1,AR$1),'#采购&amp;股份关联'!$2:$2,IF(AR$2-$B41&lt;=0,(AR$2-$B41)+12,AR$2-$B41))</f>
        <v>771.68141592920358</v>
      </c>
      <c r="AS41" s="2169">
        <f>SUMIFS('#采购&amp;股份关联'!$33:$33,'#采购&amp;股份关联'!$1:$1,IF(AS$2-$B41&lt;=0,AS$1-1,AS$1),'#采购&amp;股份关联'!$2:$2,IF(AS$2-$B41&lt;=0,(AS$2-$B41)+12,AS$2-$B41))</f>
        <v>904.42477876106204</v>
      </c>
      <c r="AT41" s="2169">
        <f>SUMIFS('#采购&amp;股份关联'!$33:$33,'#采购&amp;股份关联'!$1:$1,IF(AT$2-$B41&lt;=0,AT$1-1,AT$1),'#采购&amp;股份关联'!$2:$2,IF(AT$2-$B41&lt;=0,(AT$2-$B41)+12,AT$2-$B41))</f>
        <v>1000.0000000000001</v>
      </c>
      <c r="AU41" s="2169">
        <f>SUMIFS('#采购&amp;股份关联'!$33:$33,'#采购&amp;股份关联'!$1:$1,IF(AU$2-$B41&lt;=0,AU$1-1,AU$1),'#采购&amp;股份关联'!$2:$2,IF(AU$2-$B41&lt;=0,(AU$2-$B41)+12,AU$2-$B41))</f>
        <v>994.69026548672571</v>
      </c>
      <c r="AV41" s="2169">
        <f>SUMIFS('#采购&amp;股份关联'!$33:$33,'#采购&amp;股份关联'!$1:$1,IF(AV$2-$B41&lt;=0,AV$1-1,AV$1),'#采购&amp;股份关联'!$2:$2,IF(AV$2-$B41&lt;=0,(AV$2-$B41)+12,AV$2-$B41))</f>
        <v>1001.7699115044248</v>
      </c>
      <c r="AW41" s="2169">
        <f>SUMIFS('#采购&amp;股份关联'!$33:$33,'#采购&amp;股份关联'!$1:$1,IF(AW$2-$B41&lt;=0,AW$1-1,AW$1),'#采购&amp;股份关联'!$2:$2,IF(AW$2-$B41&lt;=0,(AW$2-$B41)+12,AW$2-$B41))</f>
        <v>1057.5221238938054</v>
      </c>
    </row>
    <row r="42" spans="2:49">
      <c r="B42" s="542">
        <v>6</v>
      </c>
      <c r="E42" s="553">
        <v>430.76923076923077</v>
      </c>
      <c r="F42" s="553">
        <v>505.982905982906</v>
      </c>
      <c r="G42" s="553">
        <v>476.0683760683761</v>
      </c>
      <c r="H42" s="553">
        <v>406.83760683760687</v>
      </c>
      <c r="I42" s="553">
        <v>403.41880341880346</v>
      </c>
      <c r="J42" s="553">
        <v>447.00854700854705</v>
      </c>
      <c r="K42" s="553">
        <f>SUMIFS('#采购&amp;股份关联'!$33:$33,'#采购&amp;股份关联'!$1:$1,IF(K$2-$B42&lt;=0,K$1-1,K$1),'#采购&amp;股份关联'!$2:$2,IF(K$2-$B42&lt;=0,(K$2-$B42)+12,K$2-$B42))</f>
        <v>460.68376068376074</v>
      </c>
      <c r="L42" s="553">
        <f>SUMIFS('#采购&amp;股份关联'!$33:$33,'#采购&amp;股份关联'!$1:$1,IF(L$2-$B42&lt;=0,L$1-1,L$1),'#采购&amp;股份关联'!$2:$2,IF(L$2-$B42&lt;=0,(L$2-$B42)+12,L$2-$B42))</f>
        <v>454.70085470085473</v>
      </c>
      <c r="M42" s="553">
        <f>SUMIFS('#采购&amp;股份关联'!$33:$33,'#采购&amp;股份关联'!$1:$1,IF(M$2-$B42&lt;=0,M$1-1,M$1),'#采购&amp;股份关联'!$2:$2,IF(M$2-$B42&lt;=0,(M$2-$B42)+12,M$2-$B42))</f>
        <v>415.38461538461542</v>
      </c>
      <c r="N42" s="553">
        <f>SUMIFS('#采购&amp;股份关联'!$33:$33,'#采购&amp;股份关联'!$1:$1,IF(N$2-$B42&lt;=0,N$1-1,N$1),'#采购&amp;股份关联'!$2:$2,IF(N$2-$B42&lt;=0,(N$2-$B42)+12,N$2-$B42))</f>
        <v>387.17948717948718</v>
      </c>
      <c r="O42" s="553">
        <f>SUMIFS('#采购&amp;股份关联'!$33:$33,'#采购&amp;股份关联'!$1:$1,IF(O$2-$B42&lt;=0,O$1-1,O$1),'#采购&amp;股份关联'!$2:$2,IF(O$2-$B42&lt;=0,(O$2-$B42)+12,O$2-$B42))</f>
        <v>400.86206896551727</v>
      </c>
      <c r="P42" s="553">
        <f>SUMIFS('#采购&amp;股份关联'!$33:$33,'#采购&amp;股份关联'!$1:$1,IF(P$2-$B42&lt;=0,P$1-1,P$1),'#采购&amp;股份关联'!$2:$2,IF(P$2-$B42&lt;=0,(P$2-$B42)+12,P$2-$B42))</f>
        <v>393.10344827586209</v>
      </c>
      <c r="Q42" s="553">
        <f>SUMIFS('#采购&amp;股份关联'!$33:$33,'#采购&amp;股份关联'!$1:$1,IF(Q$2-$B42&lt;=0,Q$1-1,Q$1),'#采购&amp;股份关联'!$2:$2,IF(Q$2-$B42&lt;=0,(Q$2-$B42)+12,Q$2-$B42))</f>
        <v>394.82758620689657</v>
      </c>
      <c r="R42" s="553">
        <f>SUMIFS('#采购&amp;股份关联'!$33:$33,'#采购&amp;股份关联'!$1:$1,IF(R$2-$B42&lt;=0,R$1-1,R$1),'#采购&amp;股份关联'!$2:$2,IF(R$2-$B42&lt;=0,(R$2-$B42)+12,R$2-$B42))</f>
        <v>418.96551724137936</v>
      </c>
      <c r="S42" s="553">
        <f>SUMIFS('#采购&amp;股份关联'!$33:$33,'#采购&amp;股份关联'!$1:$1,IF(S$2-$B42&lt;=0,S$1-1,S$1),'#采购&amp;股份关联'!$2:$2,IF(S$2-$B42&lt;=0,(S$2-$B42)+12,S$2-$B42))</f>
        <v>429.31034482758622</v>
      </c>
      <c r="T42" s="553">
        <f>SUMIFS('#采购&amp;股份关联'!$33:$33,'#采购&amp;股份关联'!$1:$1,IF(T$2-$B42&lt;=0,T$1-1,T$1),'#采购&amp;股份关联'!$2:$2,IF(T$2-$B42&lt;=0,(T$2-$B42)+12,T$2-$B42))</f>
        <v>470.68965517241384</v>
      </c>
      <c r="U42" s="553">
        <f>SUMIFS('#采购&amp;股份关联'!$33:$33,'#采购&amp;股份关联'!$1:$1,IF(U$2-$B42&lt;=0,U$1-1,U$1),'#采购&amp;股份关联'!$2:$2,IF(U$2-$B42&lt;=0,(U$2-$B42)+12,U$2-$B42))</f>
        <v>489.65517241379314</v>
      </c>
      <c r="V42" s="553">
        <f>SUMIFS('#采购&amp;股份关联'!$33:$33,'#采购&amp;股份关联'!$1:$1,IF(V$2-$B42&lt;=0,V$1-1,V$1),'#采购&amp;股份关联'!$2:$2,IF(V$2-$B42&lt;=0,(V$2-$B42)+12,V$2-$B42))</f>
        <v>466.07758620689657</v>
      </c>
      <c r="W42" s="553">
        <f>SUMIFS('#采购&amp;股份关联'!$33:$33,'#采购&amp;股份关联'!$1:$1,IF(W$2-$B42&lt;=0,W$1-1,W$1),'#采购&amp;股份关联'!$2:$2,IF(W$2-$B42&lt;=0,(W$2-$B42)+12,W$2-$B42))</f>
        <v>485.34482758620692</v>
      </c>
      <c r="X42" s="553">
        <f>SUMIFS('#采购&amp;股份关联'!$33:$33,'#采购&amp;股份关联'!$1:$1,IF(X$2-$B42&lt;=0,X$1-1,X$1),'#采购&amp;股份关联'!$2:$2,IF(X$2-$B42&lt;=0,(X$2-$B42)+12,X$2-$B42))</f>
        <v>550.86206896551732</v>
      </c>
      <c r="Y42" s="553">
        <f>SUMIFS('#采购&amp;股份关联'!$33:$33,'#采购&amp;股份关联'!$1:$1,IF(Y$2-$B42&lt;=0,Y$1-1,Y$1),'#采购&amp;股份关联'!$2:$2,IF(Y$2-$B42&lt;=0,(Y$2-$B42)+12,Y$2-$B42))</f>
        <v>537.93103448275861</v>
      </c>
      <c r="Z42" s="553">
        <f>SUMIFS('#采购&amp;股份关联'!$33:$33,'#采购&amp;股份关联'!$1:$1,IF(Z$2-$B42&lt;=0,Z$1-1,Z$1),'#采购&amp;股份关联'!$2:$2,IF(Z$2-$B42&lt;=0,(Z$2-$B42)+12,Z$2-$B42))</f>
        <v>582.05953338696725</v>
      </c>
      <c r="AA42" s="553">
        <f>SUMIFS('#采购&amp;股份关联'!$33:$33,'#采购&amp;股份关联'!$1:$1,IF(AA$2-$B42&lt;=0,AA$1-1,AA$1),'#采购&amp;股份关联'!$2:$2,IF(AA$2-$B42&lt;=0,(AA$2-$B42)+12,AA$2-$B42))</f>
        <v>625.8322798145806</v>
      </c>
      <c r="AB42" s="553">
        <f>SUMIFS('#采购&amp;股份关联'!$33:$33,'#采购&amp;股份关联'!$1:$1,IF(AB$2-$B42&lt;=0,AB$1-1,AB$1),'#采购&amp;股份关联'!$2:$2,IF(AB$2-$B42&lt;=0,(AB$2-$B42)+12,AB$2-$B42))</f>
        <v>710.34000931532387</v>
      </c>
      <c r="AC42" s="553">
        <f>SUMIFS('#采购&amp;股份关联'!$33:$33,'#采购&amp;股份关联'!$1:$1,IF(AC$2-$B42&lt;=0,AC$1-1,AC$1),'#采购&amp;股份关联'!$2:$2,IF(AC$2-$B42&lt;=0,(AC$2-$B42)+12,AC$2-$B42))</f>
        <v>784.14774913428244</v>
      </c>
      <c r="AD42" s="553">
        <f>SUMIFS('#采购&amp;股份关联'!$33:$33,'#采购&amp;股份关联'!$1:$1,IF(AD$2-$B42&lt;=0,AD$1-1,AD$1),'#采购&amp;股份关联'!$2:$2,IF(AD$2-$B42&lt;=0,(AD$2-$B42)+12,AD$2-$B42))</f>
        <v>657.64279967819823</v>
      </c>
      <c r="AE42" s="553">
        <f>SUMIFS('#采购&amp;股份关联'!$33:$33,'#采购&amp;股份关联'!$1:$1,IF(AE$2-$B42&lt;=0,AE$1-1,AE$1),'#采购&amp;股份关联'!$2:$2,IF(AE$2-$B42&lt;=0,(AE$2-$B42)+12,AE$2-$B42))</f>
        <v>650.94816687737091</v>
      </c>
      <c r="AF42" s="553">
        <f>SUMIFS('#采购&amp;股份关联'!$33:$33,'#采购&amp;股份关联'!$1:$1,IF(AF$2-$B42&lt;=0,AF$1-1,AF$1),'#采购&amp;股份关联'!$2:$2,IF(AF$2-$B42&lt;=0,(AF$2-$B42)+12,AF$2-$B42))</f>
        <v>624.03353516534696</v>
      </c>
      <c r="AG42" s="553">
        <f>SUMIFS('#采购&amp;股份关联'!$33:$33,'#采购&amp;股份关联'!$1:$1,IF(AG$2-$B42&lt;=0,AG$1-1,AG$1),'#采购&amp;股份关联'!$2:$2,IF(AG$2-$B42&lt;=0,(AG$2-$B42)+12,AG$2-$B42))</f>
        <v>572.56637168141594</v>
      </c>
      <c r="AH42" s="553">
        <f>SUMIFS('#采购&amp;股份关联'!$33:$33,'#采购&amp;股份关联'!$1:$1,IF(AH$2-$B42&lt;=0,AH$1-1,AH$1),'#采购&amp;股份关联'!$2:$2,IF(AH$2-$B42&lt;=0,(AH$2-$B42)+12,AH$2-$B42))</f>
        <v>587.61061946902657</v>
      </c>
      <c r="AI42" s="553">
        <f>SUMIFS('#采购&amp;股份关联'!$33:$33,'#采购&amp;股份关联'!$1:$1,IF(AI$2-$B42&lt;=0,AI$1-1,AI$1),'#采购&amp;股份关联'!$2:$2,IF(AI$2-$B42&lt;=0,(AI$2-$B42)+12,AI$2-$B42))</f>
        <v>600.88495575221248</v>
      </c>
      <c r="AJ42" s="553">
        <f>SUMIFS('#采购&amp;股份关联'!$33:$33,'#采购&amp;股份关联'!$1:$1,IF(AJ$2-$B42&lt;=0,AJ$1-1,AJ$1),'#采购&amp;股份关联'!$2:$2,IF(AJ$2-$B42&lt;=0,(AJ$2-$B42)+12,AJ$2-$B42))</f>
        <v>561.06194690265488</v>
      </c>
      <c r="AK42" s="553">
        <f>SUMIFS('#采购&amp;股份关联'!$33:$33,'#采购&amp;股份关联'!$1:$1,IF(AK$2-$B42&lt;=0,AK$1-1,AK$1),'#采购&amp;股份关联'!$2:$2,IF(AK$2-$B42&lt;=0,(AK$2-$B42)+12,AK$2-$B42))</f>
        <v>576.99115044247787</v>
      </c>
      <c r="AL42" s="553">
        <f>SUMIFS('#采购&amp;股份关联'!$33:$33,'#采购&amp;股份关联'!$1:$1,IF(AL$2-$B42&lt;=0,AL$1-1,AL$1),'#采购&amp;股份关联'!$2:$2,IF(AL$2-$B42&lt;=0,(AL$2-$B42)+12,AL$2-$B42))</f>
        <v>573.45132743362842</v>
      </c>
      <c r="AM42" s="553">
        <f>SUMIFS('#采购&amp;股份关联'!$33:$33,'#采购&amp;股份关联'!$1:$1,IF(AM$2-$B42&lt;=0,AM$1-1,AM$1),'#采购&amp;股份关联'!$2:$2,IF(AM$2-$B42&lt;=0,(AM$2-$B42)+12,AM$2-$B42))</f>
        <v>615.04424778761063</v>
      </c>
      <c r="AN42" s="553">
        <f>SUMIFS('#采购&amp;股份关联'!$33:$33,'#采购&amp;股份关联'!$1:$1,IF(AN$2-$B42&lt;=0,AN$1-1,AN$1),'#采购&amp;股份关联'!$2:$2,IF(AN$2-$B42&lt;=0,(AN$2-$B42)+12,AN$2-$B42))</f>
        <v>686.72566371681421</v>
      </c>
      <c r="AO42" s="553">
        <f>SUMIFS('#采购&amp;股份关联'!$33:$33,'#采购&amp;股份关联'!$1:$1,IF(AO$2-$B42&lt;=0,AO$1-1,AO$1),'#采购&amp;股份关联'!$2:$2,IF(AO$2-$B42&lt;=0,(AO$2-$B42)+12,AO$2-$B42))</f>
        <v>723.8938053097346</v>
      </c>
      <c r="AP42" s="553">
        <f>SUMIFS('#采购&amp;股份关联'!$33:$33,'#采购&amp;股份关联'!$1:$1,IF(AP$2-$B42&lt;=0,AP$1-1,AP$1),'#采购&amp;股份关联'!$2:$2,IF(AP$2-$B42&lt;=0,(AP$2-$B42)+12,AP$2-$B42))</f>
        <v>809.73451327433634</v>
      </c>
      <c r="AQ42" s="2169">
        <f>SUMIFS('#采购&amp;股份关联'!$33:$33,'#采购&amp;股份关联'!$1:$1,IF(AQ$2-$B42&lt;=0,AQ$1-1,AQ$1),'#采购&amp;股份关联'!$2:$2,IF(AQ$2-$B42&lt;=0,(AQ$2-$B42)+12,AQ$2-$B42))</f>
        <v>815.92920353982311</v>
      </c>
      <c r="AR42" s="2169">
        <f>SUMIFS('#采购&amp;股份关联'!$33:$33,'#采购&amp;股份关联'!$1:$1,IF(AR$2-$B42&lt;=0,AR$1-1,AR$1),'#采购&amp;股份关联'!$2:$2,IF(AR$2-$B42&lt;=0,(AR$2-$B42)+12,AR$2-$B42))</f>
        <v>776.99115044247799</v>
      </c>
      <c r="AS42" s="2169">
        <f>SUMIFS('#采购&amp;股份关联'!$33:$33,'#采购&amp;股份关联'!$1:$1,IF(AS$2-$B42&lt;=0,AS$1-1,AS$1),'#采购&amp;股份关联'!$2:$2,IF(AS$2-$B42&lt;=0,(AS$2-$B42)+12,AS$2-$B42))</f>
        <v>771.68141592920358</v>
      </c>
      <c r="AT42" s="2169">
        <f>SUMIFS('#采购&amp;股份关联'!$33:$33,'#采购&amp;股份关联'!$1:$1,IF(AT$2-$B42&lt;=0,AT$1-1,AT$1),'#采购&amp;股份关联'!$2:$2,IF(AT$2-$B42&lt;=0,(AT$2-$B42)+12,AT$2-$B42))</f>
        <v>904.42477876106204</v>
      </c>
      <c r="AU42" s="2169">
        <f>SUMIFS('#采购&amp;股份关联'!$33:$33,'#采购&amp;股份关联'!$1:$1,IF(AU$2-$B42&lt;=0,AU$1-1,AU$1),'#采购&amp;股份关联'!$2:$2,IF(AU$2-$B42&lt;=0,(AU$2-$B42)+12,AU$2-$B42))</f>
        <v>1000.0000000000001</v>
      </c>
      <c r="AV42" s="2169">
        <f>SUMIFS('#采购&amp;股份关联'!$33:$33,'#采购&amp;股份关联'!$1:$1,IF(AV$2-$B42&lt;=0,AV$1-1,AV$1),'#采购&amp;股份关联'!$2:$2,IF(AV$2-$B42&lt;=0,(AV$2-$B42)+12,AV$2-$B42))</f>
        <v>994.69026548672571</v>
      </c>
      <c r="AW42" s="2169">
        <f>SUMIFS('#采购&amp;股份关联'!$33:$33,'#采购&amp;股份关联'!$1:$1,IF(AW$2-$B42&lt;=0,AW$1-1,AW$1),'#采购&amp;股份关联'!$2:$2,IF(AW$2-$B42&lt;=0,(AW$2-$B42)+12,AW$2-$B42))</f>
        <v>1001.7699115044248</v>
      </c>
    </row>
    <row r="43" spans="2:49" s="519" customFormat="1">
      <c r="B43" s="543" t="s">
        <v>861</v>
      </c>
      <c r="D43" s="544"/>
      <c r="E43" s="554">
        <f t="shared" ref="E43:P43" si="4">AVERAGE(E37:E42)</f>
        <v>445.01424501424503</v>
      </c>
      <c r="F43" s="554">
        <f t="shared" si="4"/>
        <v>450</v>
      </c>
      <c r="G43" s="554">
        <f t="shared" si="4"/>
        <v>441.45299145299145</v>
      </c>
      <c r="H43" s="554">
        <f t="shared" si="4"/>
        <v>431.33903133903141</v>
      </c>
      <c r="I43" s="554">
        <f t="shared" si="4"/>
        <v>428.06267806267806</v>
      </c>
      <c r="J43" s="554">
        <f t="shared" si="4"/>
        <v>427.63655565379707</v>
      </c>
      <c r="K43" s="554">
        <f t="shared" si="4"/>
        <v>418.65237253168289</v>
      </c>
      <c r="L43" s="554">
        <f t="shared" si="4"/>
        <v>407.67634345220557</v>
      </c>
      <c r="M43" s="554">
        <f t="shared" si="4"/>
        <v>401.72045387562633</v>
      </c>
      <c r="N43" s="554">
        <f t="shared" si="4"/>
        <v>404.0414087827881</v>
      </c>
      <c r="O43" s="554">
        <f t="shared" si="4"/>
        <v>417.9597701149425</v>
      </c>
      <c r="P43" s="554">
        <f t="shared" si="4"/>
        <v>432.75862068965517</v>
      </c>
      <c r="Q43" s="554">
        <f t="shared" ref="Q43:AH43" si="5">AVERAGE(Q37:Q42)</f>
        <v>444.92097701149436</v>
      </c>
      <c r="R43" s="554">
        <f t="shared" si="5"/>
        <v>460.00718390804604</v>
      </c>
      <c r="S43" s="554">
        <f t="shared" si="5"/>
        <v>481.98994252873564</v>
      </c>
      <c r="T43" s="554">
        <f t="shared" si="5"/>
        <v>500.09339080459773</v>
      </c>
      <c r="U43" s="554">
        <f t="shared" si="5"/>
        <v>518.65503717368995</v>
      </c>
      <c r="V43" s="554">
        <f t="shared" si="5"/>
        <v>541.35122174048786</v>
      </c>
      <c r="W43" s="554">
        <f t="shared" si="5"/>
        <v>582.06162559189249</v>
      </c>
      <c r="X43" s="554">
        <f t="shared" si="5"/>
        <v>631.86211251657164</v>
      </c>
      <c r="Y43" s="554">
        <f t="shared" si="5"/>
        <v>649.6589009686852</v>
      </c>
      <c r="Z43" s="554">
        <f t="shared" si="5"/>
        <v>668.49508970112049</v>
      </c>
      <c r="AA43" s="554">
        <f t="shared" si="5"/>
        <v>675.49075666418389</v>
      </c>
      <c r="AB43" s="554">
        <f t="shared" si="5"/>
        <v>666.61310530865637</v>
      </c>
      <c r="AC43" s="554">
        <f t="shared" si="5"/>
        <v>646.15820700094025</v>
      </c>
      <c r="AD43" s="554">
        <f t="shared" si="5"/>
        <v>615.61440810392855</v>
      </c>
      <c r="AE43" s="554">
        <f t="shared" si="5"/>
        <v>599.51759930800461</v>
      </c>
      <c r="AF43" s="554">
        <f t="shared" si="5"/>
        <v>587.19142990218916</v>
      </c>
      <c r="AG43" s="554">
        <f t="shared" si="5"/>
        <v>578.76106194690271</v>
      </c>
      <c r="AH43" s="554">
        <f t="shared" si="5"/>
        <v>585.84070796460185</v>
      </c>
      <c r="AI43" s="554">
        <f t="shared" ref="AI43:AO43" si="6">AVERAGE(AI37:AI42)</f>
        <v>602.35988200589975</v>
      </c>
      <c r="AJ43" s="554">
        <f t="shared" si="6"/>
        <v>622.8613569321534</v>
      </c>
      <c r="AK43" s="554">
        <f t="shared" si="6"/>
        <v>664.30678466076699</v>
      </c>
      <c r="AL43" s="554">
        <f t="shared" si="6"/>
        <v>704.1297935103247</v>
      </c>
      <c r="AM43" s="554">
        <f t="shared" si="6"/>
        <v>738.05309734513276</v>
      </c>
      <c r="AN43" s="554">
        <f t="shared" si="6"/>
        <v>764.15929203539827</v>
      </c>
      <c r="AO43" s="554">
        <f t="shared" si="6"/>
        <v>800.4424778761063</v>
      </c>
      <c r="AP43" s="554">
        <f t="shared" ref="AP43" si="7">AVERAGE(AP37:AP42)</f>
        <v>846.46017699115055</v>
      </c>
      <c r="AQ43" s="2170">
        <f t="shared" ref="AQ43:AV43" si="8">AVERAGE(AQ37:AQ42)</f>
        <v>877.28613569321533</v>
      </c>
      <c r="AR43" s="2170">
        <f t="shared" si="8"/>
        <v>908.25958702064906</v>
      </c>
      <c r="AS43" s="2170">
        <f t="shared" si="8"/>
        <v>955.01474926253695</v>
      </c>
      <c r="AT43" s="2170">
        <f t="shared" si="8"/>
        <v>1040.7079646017698</v>
      </c>
      <c r="AU43" s="2170">
        <f t="shared" si="8"/>
        <v>1104.5722713864309</v>
      </c>
      <c r="AV43" s="2170">
        <f t="shared" si="8"/>
        <v>1152.6548672566373</v>
      </c>
      <c r="AW43" s="2170">
        <f>AVERAGE(AW37:AW42)</f>
        <v>1153.2448377581125</v>
      </c>
    </row>
    <row r="44" spans="2:49">
      <c r="B44" s="322"/>
      <c r="AG44" s="523"/>
    </row>
    <row r="45" spans="2:49" s="322" customFormat="1">
      <c r="B45" s="542" t="s">
        <v>862</v>
      </c>
      <c r="E45" s="555">
        <v>0.92</v>
      </c>
      <c r="F45" s="555">
        <v>0.92</v>
      </c>
      <c r="G45" s="555">
        <v>0.92</v>
      </c>
      <c r="H45" s="555">
        <v>0.92</v>
      </c>
      <c r="I45" s="555">
        <v>0.92</v>
      </c>
      <c r="J45" s="555">
        <v>0.92</v>
      </c>
      <c r="K45" s="555">
        <v>0.92</v>
      </c>
      <c r="L45" s="555">
        <v>0.92</v>
      </c>
      <c r="M45" s="555">
        <v>0.92</v>
      </c>
      <c r="N45" s="555">
        <v>0.92</v>
      </c>
      <c r="O45" s="555">
        <v>0.92</v>
      </c>
      <c r="P45" s="555">
        <v>0.92</v>
      </c>
      <c r="Q45" s="555">
        <v>0.92</v>
      </c>
      <c r="R45" s="555">
        <v>0.92</v>
      </c>
      <c r="S45" s="555">
        <v>0.92</v>
      </c>
      <c r="T45" s="555">
        <v>0.92</v>
      </c>
      <c r="U45" s="555">
        <v>0.92</v>
      </c>
      <c r="V45" s="555">
        <v>0.92</v>
      </c>
      <c r="W45" s="555">
        <v>0.92</v>
      </c>
      <c r="X45" s="555">
        <v>0.92</v>
      </c>
      <c r="Y45" s="555">
        <v>0.92</v>
      </c>
      <c r="Z45" s="555">
        <v>0.92</v>
      </c>
      <c r="AA45" s="555">
        <v>0.92</v>
      </c>
      <c r="AB45" s="555">
        <v>0.92</v>
      </c>
      <c r="AC45" s="555">
        <v>0.92</v>
      </c>
      <c r="AD45" s="555">
        <v>0.92</v>
      </c>
      <c r="AE45" s="555">
        <v>0.92</v>
      </c>
      <c r="AF45" s="555">
        <v>0.92</v>
      </c>
      <c r="AG45" s="555">
        <v>0.92</v>
      </c>
      <c r="AH45" s="555">
        <v>0.92</v>
      </c>
      <c r="AI45" s="555">
        <v>0.92</v>
      </c>
      <c r="AJ45" s="555">
        <v>0.92</v>
      </c>
      <c r="AK45" s="555">
        <v>0.92</v>
      </c>
      <c r="AL45" s="555">
        <v>0.92</v>
      </c>
      <c r="AM45" s="555">
        <v>0.92</v>
      </c>
      <c r="AN45" s="555">
        <v>0.92</v>
      </c>
      <c r="AO45" s="555">
        <v>0.92</v>
      </c>
      <c r="AP45" s="555">
        <v>0.92</v>
      </c>
      <c r="AQ45" s="555">
        <v>0.92</v>
      </c>
      <c r="AR45" s="555">
        <v>0.92</v>
      </c>
      <c r="AS45" s="555">
        <v>0.92</v>
      </c>
      <c r="AT45" s="555">
        <v>0.92</v>
      </c>
      <c r="AU45" s="555">
        <v>0.92</v>
      </c>
      <c r="AV45" s="555">
        <v>0.92</v>
      </c>
      <c r="AW45" s="555">
        <v>0.92</v>
      </c>
    </row>
    <row r="46" spans="2:49" s="322" customFormat="1">
      <c r="B46" s="5" t="s">
        <v>204</v>
      </c>
      <c r="E46" s="5">
        <v>61.5</v>
      </c>
      <c r="F46" s="5">
        <v>61.5</v>
      </c>
      <c r="G46" s="5">
        <v>61.5</v>
      </c>
      <c r="H46" s="5">
        <v>61.5</v>
      </c>
      <c r="I46" s="5">
        <v>61.5</v>
      </c>
      <c r="J46" s="5">
        <v>61.5</v>
      </c>
      <c r="K46" s="5">
        <v>61.5</v>
      </c>
      <c r="L46" s="5">
        <v>61.5</v>
      </c>
      <c r="M46" s="5">
        <v>61.5</v>
      </c>
      <c r="N46" s="5">
        <v>61.5</v>
      </c>
      <c r="O46" s="5">
        <v>61.5</v>
      </c>
      <c r="P46" s="5">
        <v>61.5</v>
      </c>
      <c r="Q46" s="5">
        <v>61.5</v>
      </c>
      <c r="R46" s="5">
        <v>61.5</v>
      </c>
      <c r="S46" s="5">
        <v>61.5</v>
      </c>
      <c r="T46" s="5">
        <v>61.5</v>
      </c>
      <c r="U46" s="5">
        <v>61.5</v>
      </c>
      <c r="V46" s="5">
        <v>61.5</v>
      </c>
      <c r="W46" s="5">
        <v>61.5</v>
      </c>
      <c r="X46" s="5">
        <v>61.5</v>
      </c>
      <c r="Y46" s="5">
        <v>61.5</v>
      </c>
      <c r="Z46" s="5">
        <v>61.5</v>
      </c>
      <c r="AA46" s="5">
        <v>61.5</v>
      </c>
      <c r="AB46" s="5">
        <v>61.5</v>
      </c>
      <c r="AC46" s="5">
        <v>61.5</v>
      </c>
      <c r="AD46" s="5">
        <v>61.5</v>
      </c>
      <c r="AE46" s="5">
        <v>61.5</v>
      </c>
      <c r="AF46" s="5">
        <v>61.5</v>
      </c>
      <c r="AG46" s="5">
        <v>61.5</v>
      </c>
      <c r="AH46" s="5">
        <v>61.5</v>
      </c>
      <c r="AI46" s="5">
        <v>61.5</v>
      </c>
      <c r="AJ46" s="5">
        <v>61.5</v>
      </c>
      <c r="AK46" s="5">
        <v>61.5</v>
      </c>
      <c r="AL46" s="5">
        <v>61.5</v>
      </c>
      <c r="AM46" s="5">
        <v>61.5</v>
      </c>
      <c r="AN46" s="5">
        <v>61.5</v>
      </c>
      <c r="AO46" s="5">
        <v>61.5</v>
      </c>
      <c r="AP46" s="5">
        <v>61.5</v>
      </c>
      <c r="AQ46" s="322">
        <v>61.5</v>
      </c>
      <c r="AR46" s="322">
        <v>61.5</v>
      </c>
      <c r="AS46" s="322">
        <v>61.5</v>
      </c>
      <c r="AT46" s="322">
        <v>61.5</v>
      </c>
      <c r="AU46" s="322">
        <v>61.5</v>
      </c>
      <c r="AV46" s="322">
        <v>61.5</v>
      </c>
      <c r="AW46" s="322">
        <v>61.5</v>
      </c>
    </row>
    <row r="47" spans="2:49" s="322" customFormat="1">
      <c r="B47" s="545" t="s">
        <v>863</v>
      </c>
      <c r="E47" s="5">
        <v>68</v>
      </c>
      <c r="F47" s="5">
        <v>68</v>
      </c>
      <c r="G47" s="5">
        <v>68</v>
      </c>
      <c r="H47" s="5">
        <v>68</v>
      </c>
      <c r="I47" s="5">
        <v>68</v>
      </c>
      <c r="J47" s="5">
        <v>68</v>
      </c>
      <c r="K47" s="5">
        <v>68</v>
      </c>
      <c r="L47" s="5">
        <v>68</v>
      </c>
      <c r="M47" s="5">
        <v>68</v>
      </c>
      <c r="N47" s="5">
        <v>68</v>
      </c>
      <c r="O47" s="5">
        <v>68</v>
      </c>
      <c r="P47" s="5">
        <v>68</v>
      </c>
      <c r="Q47" s="5">
        <v>68</v>
      </c>
      <c r="R47" s="5">
        <v>68</v>
      </c>
      <c r="S47" s="5">
        <v>68</v>
      </c>
      <c r="T47" s="5">
        <v>68</v>
      </c>
      <c r="U47" s="5">
        <v>68</v>
      </c>
      <c r="V47" s="5">
        <v>68</v>
      </c>
      <c r="W47" s="5">
        <v>68</v>
      </c>
      <c r="X47" s="5">
        <v>68</v>
      </c>
      <c r="Y47" s="5">
        <v>68</v>
      </c>
      <c r="Z47" s="5">
        <v>68</v>
      </c>
      <c r="AA47" s="5">
        <v>68</v>
      </c>
      <c r="AB47" s="5">
        <v>68</v>
      </c>
      <c r="AC47" s="5">
        <v>68</v>
      </c>
      <c r="AD47" s="5">
        <v>68</v>
      </c>
      <c r="AE47" s="5">
        <v>68</v>
      </c>
      <c r="AF47" s="5">
        <v>68</v>
      </c>
      <c r="AG47" s="5">
        <v>68</v>
      </c>
      <c r="AH47" s="5">
        <v>68</v>
      </c>
      <c r="AI47" s="5">
        <v>68</v>
      </c>
      <c r="AJ47" s="5">
        <v>68</v>
      </c>
      <c r="AK47" s="5">
        <v>68</v>
      </c>
      <c r="AL47" s="5">
        <v>68</v>
      </c>
      <c r="AM47" s="5">
        <v>68</v>
      </c>
      <c r="AN47" s="5">
        <v>68</v>
      </c>
      <c r="AO47" s="5">
        <v>68</v>
      </c>
      <c r="AP47" s="5">
        <v>68</v>
      </c>
      <c r="AQ47" s="322">
        <v>68</v>
      </c>
      <c r="AR47" s="322">
        <v>68</v>
      </c>
      <c r="AS47" s="322">
        <v>68</v>
      </c>
      <c r="AT47" s="322">
        <v>68</v>
      </c>
      <c r="AU47" s="322">
        <v>68</v>
      </c>
      <c r="AV47" s="322">
        <v>68</v>
      </c>
      <c r="AW47" s="322">
        <v>68</v>
      </c>
    </row>
    <row r="48" spans="2:49" s="322" customFormat="1" ht="15.75">
      <c r="B48" s="545" t="s">
        <v>864</v>
      </c>
      <c r="E48" s="556">
        <v>66</v>
      </c>
      <c r="F48" s="556">
        <v>66</v>
      </c>
      <c r="G48" s="556">
        <v>66</v>
      </c>
      <c r="H48" s="556">
        <v>66</v>
      </c>
      <c r="I48" s="556">
        <v>66</v>
      </c>
      <c r="J48" s="556">
        <v>66</v>
      </c>
      <c r="K48" s="556">
        <v>66</v>
      </c>
      <c r="L48" s="556">
        <v>66</v>
      </c>
      <c r="M48" s="556">
        <v>66</v>
      </c>
      <c r="N48" s="556">
        <v>66</v>
      </c>
      <c r="O48" s="556">
        <v>66</v>
      </c>
      <c r="P48" s="556">
        <v>66</v>
      </c>
      <c r="Q48" s="556">
        <v>66</v>
      </c>
      <c r="R48" s="556">
        <v>66</v>
      </c>
      <c r="S48" s="556">
        <v>66</v>
      </c>
      <c r="T48" s="556">
        <v>66</v>
      </c>
      <c r="U48" s="556">
        <v>66</v>
      </c>
      <c r="V48" s="556">
        <v>66</v>
      </c>
      <c r="W48" s="556">
        <v>66</v>
      </c>
      <c r="X48" s="556">
        <v>66</v>
      </c>
      <c r="Y48" s="556">
        <v>66</v>
      </c>
      <c r="Z48" s="556">
        <v>66</v>
      </c>
      <c r="AA48" s="556">
        <v>66</v>
      </c>
      <c r="AB48" s="556">
        <v>66</v>
      </c>
      <c r="AC48" s="556">
        <v>66</v>
      </c>
      <c r="AD48" s="556">
        <v>66</v>
      </c>
      <c r="AE48" s="556">
        <v>66</v>
      </c>
      <c r="AF48" s="556">
        <v>66</v>
      </c>
      <c r="AG48" s="556">
        <v>66</v>
      </c>
      <c r="AH48" s="556">
        <v>66</v>
      </c>
      <c r="AI48" s="556">
        <v>66</v>
      </c>
      <c r="AJ48" s="556">
        <v>66</v>
      </c>
      <c r="AK48" s="556">
        <v>66</v>
      </c>
      <c r="AL48" s="556">
        <v>66</v>
      </c>
      <c r="AM48" s="556">
        <v>66</v>
      </c>
      <c r="AN48" s="556">
        <v>66</v>
      </c>
      <c r="AO48" s="556">
        <v>66</v>
      </c>
      <c r="AP48" s="556">
        <v>66</v>
      </c>
      <c r="AQ48" s="77">
        <v>66</v>
      </c>
      <c r="AR48" s="77">
        <v>66</v>
      </c>
      <c r="AS48" s="77">
        <v>66</v>
      </c>
      <c r="AT48" s="77">
        <v>66</v>
      </c>
      <c r="AU48" s="77">
        <v>66</v>
      </c>
      <c r="AV48" s="77">
        <v>66</v>
      </c>
      <c r="AW48" s="77">
        <v>66</v>
      </c>
    </row>
    <row r="49" spans="2:49" s="322" customFormat="1" ht="15.75">
      <c r="B49" s="545" t="s">
        <v>865</v>
      </c>
      <c r="E49" s="556">
        <v>65</v>
      </c>
      <c r="F49" s="556">
        <v>65</v>
      </c>
      <c r="G49" s="556">
        <v>65</v>
      </c>
      <c r="H49" s="556">
        <v>65</v>
      </c>
      <c r="I49" s="556">
        <v>65</v>
      </c>
      <c r="J49" s="556">
        <v>65</v>
      </c>
      <c r="K49" s="556">
        <v>65</v>
      </c>
      <c r="L49" s="556">
        <v>65</v>
      </c>
      <c r="M49" s="556">
        <v>65</v>
      </c>
      <c r="N49" s="556">
        <v>65</v>
      </c>
      <c r="O49" s="556">
        <v>65</v>
      </c>
      <c r="P49" s="556">
        <v>65</v>
      </c>
      <c r="Q49" s="556">
        <v>65</v>
      </c>
      <c r="R49" s="556">
        <v>65</v>
      </c>
      <c r="S49" s="556">
        <v>65</v>
      </c>
      <c r="T49" s="556">
        <v>65</v>
      </c>
      <c r="U49" s="556">
        <v>65</v>
      </c>
      <c r="V49" s="556">
        <v>65</v>
      </c>
      <c r="W49" s="556">
        <v>65</v>
      </c>
      <c r="X49" s="556">
        <v>65</v>
      </c>
      <c r="Y49" s="556">
        <v>65</v>
      </c>
      <c r="Z49" s="556">
        <v>65</v>
      </c>
      <c r="AA49" s="556">
        <v>65</v>
      </c>
      <c r="AB49" s="556">
        <v>65</v>
      </c>
      <c r="AC49" s="556">
        <v>65</v>
      </c>
      <c r="AD49" s="556">
        <v>65</v>
      </c>
      <c r="AE49" s="556">
        <v>65</v>
      </c>
      <c r="AF49" s="556">
        <v>65</v>
      </c>
      <c r="AG49" s="556">
        <v>65</v>
      </c>
      <c r="AH49" s="556">
        <v>65</v>
      </c>
      <c r="AI49" s="556">
        <v>65</v>
      </c>
      <c r="AJ49" s="556">
        <v>65</v>
      </c>
      <c r="AK49" s="556">
        <v>65</v>
      </c>
      <c r="AL49" s="556">
        <v>65</v>
      </c>
      <c r="AM49" s="556">
        <v>65</v>
      </c>
      <c r="AN49" s="556">
        <v>65</v>
      </c>
      <c r="AO49" s="556">
        <v>65</v>
      </c>
      <c r="AP49" s="556">
        <v>65</v>
      </c>
      <c r="AQ49" s="77">
        <v>65</v>
      </c>
      <c r="AR49" s="77">
        <v>65</v>
      </c>
      <c r="AS49" s="77">
        <v>65</v>
      </c>
      <c r="AT49" s="77">
        <v>65</v>
      </c>
      <c r="AU49" s="77">
        <v>65</v>
      </c>
      <c r="AV49" s="77">
        <v>65</v>
      </c>
      <c r="AW49" s="77">
        <v>65</v>
      </c>
    </row>
    <row r="50" spans="2:49" s="322" customFormat="1" ht="15.75">
      <c r="B50" s="545" t="s">
        <v>866</v>
      </c>
      <c r="E50" s="556">
        <v>66</v>
      </c>
      <c r="F50" s="556">
        <v>66</v>
      </c>
      <c r="G50" s="556">
        <v>66</v>
      </c>
      <c r="H50" s="556">
        <v>66</v>
      </c>
      <c r="I50" s="556">
        <v>66</v>
      </c>
      <c r="J50" s="556">
        <v>66</v>
      </c>
      <c r="K50" s="556">
        <v>66</v>
      </c>
      <c r="L50" s="556">
        <v>66</v>
      </c>
      <c r="M50" s="556">
        <v>66</v>
      </c>
      <c r="N50" s="556">
        <v>66</v>
      </c>
      <c r="O50" s="556">
        <v>66</v>
      </c>
      <c r="P50" s="556">
        <v>66</v>
      </c>
      <c r="Q50" s="556">
        <v>66</v>
      </c>
      <c r="R50" s="556">
        <v>66</v>
      </c>
      <c r="S50" s="556">
        <v>66</v>
      </c>
      <c r="T50" s="556">
        <v>66</v>
      </c>
      <c r="U50" s="556">
        <v>66</v>
      </c>
      <c r="V50" s="556">
        <v>66</v>
      </c>
      <c r="W50" s="556">
        <v>66</v>
      </c>
      <c r="X50" s="556">
        <v>66</v>
      </c>
      <c r="Y50" s="556">
        <v>66</v>
      </c>
      <c r="Z50" s="556">
        <v>66</v>
      </c>
      <c r="AA50" s="556">
        <v>66</v>
      </c>
      <c r="AB50" s="556">
        <v>66</v>
      </c>
      <c r="AC50" s="556">
        <v>66</v>
      </c>
      <c r="AD50" s="556">
        <v>66</v>
      </c>
      <c r="AE50" s="556">
        <v>66</v>
      </c>
      <c r="AF50" s="556">
        <v>66</v>
      </c>
      <c r="AG50" s="556">
        <v>66</v>
      </c>
      <c r="AH50" s="556">
        <v>66</v>
      </c>
      <c r="AI50" s="556">
        <v>66</v>
      </c>
      <c r="AJ50" s="556">
        <v>66</v>
      </c>
      <c r="AK50" s="556">
        <v>66</v>
      </c>
      <c r="AL50" s="556">
        <v>66</v>
      </c>
      <c r="AM50" s="556">
        <v>66</v>
      </c>
      <c r="AN50" s="556">
        <v>66</v>
      </c>
      <c r="AO50" s="77">
        <v>64</v>
      </c>
      <c r="AP50" s="77">
        <v>64</v>
      </c>
      <c r="AQ50" s="77">
        <v>64</v>
      </c>
      <c r="AR50" s="77">
        <v>64</v>
      </c>
      <c r="AS50" s="77">
        <v>64</v>
      </c>
      <c r="AT50" s="77">
        <v>64</v>
      </c>
      <c r="AU50" s="77">
        <v>64</v>
      </c>
      <c r="AV50" s="77">
        <v>64</v>
      </c>
      <c r="AW50" s="77">
        <v>64</v>
      </c>
    </row>
    <row r="51" spans="2:49" s="322" customFormat="1" ht="15.75">
      <c r="B51" s="545" t="s">
        <v>867</v>
      </c>
      <c r="E51" s="556">
        <v>63</v>
      </c>
      <c r="F51" s="556">
        <v>63</v>
      </c>
      <c r="G51" s="556">
        <v>63</v>
      </c>
      <c r="H51" s="556">
        <v>63</v>
      </c>
      <c r="I51" s="556">
        <v>63</v>
      </c>
      <c r="J51" s="556">
        <v>63</v>
      </c>
      <c r="K51" s="556">
        <v>63</v>
      </c>
      <c r="L51" s="556">
        <v>63</v>
      </c>
      <c r="M51" s="556">
        <v>63</v>
      </c>
      <c r="N51" s="556">
        <v>63</v>
      </c>
      <c r="O51" s="556">
        <v>63</v>
      </c>
      <c r="P51" s="556">
        <v>63</v>
      </c>
      <c r="Q51" s="556">
        <v>63</v>
      </c>
      <c r="R51" s="556">
        <v>63</v>
      </c>
      <c r="S51" s="556">
        <v>63</v>
      </c>
      <c r="T51" s="556">
        <v>63</v>
      </c>
      <c r="U51" s="556">
        <v>63</v>
      </c>
      <c r="V51" s="556">
        <v>63</v>
      </c>
      <c r="W51" s="556">
        <v>63</v>
      </c>
      <c r="X51" s="556">
        <v>63</v>
      </c>
      <c r="Y51" s="556">
        <v>63</v>
      </c>
      <c r="Z51" s="556">
        <v>63</v>
      </c>
      <c r="AA51" s="556">
        <v>63</v>
      </c>
      <c r="AB51" s="556">
        <v>63</v>
      </c>
      <c r="AC51" s="556">
        <v>63</v>
      </c>
      <c r="AD51" s="556">
        <v>63</v>
      </c>
      <c r="AE51" s="556">
        <v>63</v>
      </c>
      <c r="AF51" s="556">
        <v>63</v>
      </c>
      <c r="AG51" s="556">
        <v>63</v>
      </c>
      <c r="AH51" s="556">
        <v>63</v>
      </c>
      <c r="AI51" s="556">
        <v>63</v>
      </c>
      <c r="AJ51" s="556">
        <v>63</v>
      </c>
      <c r="AK51" s="556">
        <v>63</v>
      </c>
      <c r="AL51" s="556">
        <v>63</v>
      </c>
      <c r="AM51" s="556">
        <v>63</v>
      </c>
      <c r="AN51" s="556">
        <v>63</v>
      </c>
      <c r="AO51" s="556">
        <v>63</v>
      </c>
      <c r="AP51" s="556">
        <v>63</v>
      </c>
      <c r="AQ51" s="77">
        <v>63</v>
      </c>
      <c r="AR51" s="77">
        <v>63</v>
      </c>
      <c r="AS51" s="77">
        <v>63</v>
      </c>
      <c r="AT51" s="77">
        <v>63</v>
      </c>
      <c r="AU51" s="77">
        <v>63</v>
      </c>
      <c r="AV51" s="77">
        <v>63</v>
      </c>
      <c r="AW51" s="77">
        <v>63</v>
      </c>
    </row>
    <row r="52" spans="2:49" s="322" customFormat="1">
      <c r="B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</row>
    <row r="53" spans="2:49" s="322" customFormat="1">
      <c r="B53" s="546" t="s">
        <v>207</v>
      </c>
      <c r="E53" s="557">
        <v>0.15</v>
      </c>
      <c r="F53" s="557">
        <v>0.15</v>
      </c>
      <c r="G53" s="557">
        <v>0.15</v>
      </c>
      <c r="H53" s="557">
        <v>0.15</v>
      </c>
      <c r="I53" s="557">
        <v>0.15</v>
      </c>
      <c r="J53" s="557">
        <v>0.15</v>
      </c>
      <c r="K53" s="557">
        <v>0.15</v>
      </c>
      <c r="L53" s="557">
        <v>0.15</v>
      </c>
      <c r="M53" s="557">
        <v>0.15</v>
      </c>
      <c r="N53" s="557">
        <v>0.15</v>
      </c>
      <c r="O53" s="557">
        <v>0.15</v>
      </c>
      <c r="P53" s="557">
        <v>0.15</v>
      </c>
      <c r="Q53" s="557">
        <v>0.15</v>
      </c>
      <c r="R53" s="557">
        <v>0.15</v>
      </c>
      <c r="S53" s="557">
        <v>0.15</v>
      </c>
      <c r="T53" s="557">
        <v>0.15</v>
      </c>
      <c r="U53" s="557">
        <v>0.15</v>
      </c>
      <c r="V53" s="557">
        <v>0.2</v>
      </c>
      <c r="W53" s="557">
        <v>0.2</v>
      </c>
      <c r="X53" s="557">
        <v>0.2</v>
      </c>
      <c r="Y53" s="557">
        <v>0.2</v>
      </c>
      <c r="Z53" s="557">
        <v>0.2</v>
      </c>
      <c r="AA53" s="557">
        <v>0.2</v>
      </c>
      <c r="AB53" s="557">
        <v>0.2</v>
      </c>
      <c r="AC53" s="557">
        <v>0.2</v>
      </c>
      <c r="AD53" s="557">
        <v>0.25</v>
      </c>
      <c r="AE53" s="557">
        <v>0.25</v>
      </c>
      <c r="AF53" s="557">
        <v>0.25</v>
      </c>
      <c r="AG53" s="557">
        <v>0.25</v>
      </c>
      <c r="AH53" s="557">
        <v>0.25</v>
      </c>
      <c r="AI53" s="557">
        <v>0.25</v>
      </c>
      <c r="AJ53" s="557">
        <v>0.25</v>
      </c>
      <c r="AK53" s="557">
        <v>0.25</v>
      </c>
      <c r="AL53" s="557">
        <v>0.3</v>
      </c>
      <c r="AM53" s="557">
        <v>0.3</v>
      </c>
      <c r="AN53" s="557">
        <v>0.3</v>
      </c>
      <c r="AO53" s="557">
        <v>0.3</v>
      </c>
      <c r="AP53" s="557">
        <v>0.3</v>
      </c>
      <c r="AQ53" s="555">
        <v>0.3</v>
      </c>
      <c r="AR53" s="555">
        <v>0.3</v>
      </c>
      <c r="AS53" s="555">
        <v>0.3</v>
      </c>
      <c r="AT53" s="555">
        <v>0.3</v>
      </c>
      <c r="AU53" s="555">
        <v>0.3</v>
      </c>
      <c r="AV53" s="555">
        <v>0.3</v>
      </c>
      <c r="AW53" s="555">
        <v>0.3</v>
      </c>
    </row>
    <row r="54" spans="2:49" s="322" customFormat="1">
      <c r="B54" s="547" t="s">
        <v>208</v>
      </c>
      <c r="E54" s="558">
        <f t="shared" ref="E54:P54" si="9">ROUND(147/1.1/0.92,0)</f>
        <v>145</v>
      </c>
      <c r="F54" s="558">
        <f t="shared" si="9"/>
        <v>145</v>
      </c>
      <c r="G54" s="558">
        <f t="shared" si="9"/>
        <v>145</v>
      </c>
      <c r="H54" s="558">
        <f t="shared" si="9"/>
        <v>145</v>
      </c>
      <c r="I54" s="558">
        <f t="shared" si="9"/>
        <v>145</v>
      </c>
      <c r="J54" s="558">
        <f t="shared" si="9"/>
        <v>145</v>
      </c>
      <c r="K54" s="558">
        <f t="shared" si="9"/>
        <v>145</v>
      </c>
      <c r="L54" s="558">
        <f t="shared" si="9"/>
        <v>145</v>
      </c>
      <c r="M54" s="558">
        <f t="shared" si="9"/>
        <v>145</v>
      </c>
      <c r="N54" s="558">
        <f t="shared" si="9"/>
        <v>145</v>
      </c>
      <c r="O54" s="558">
        <f t="shared" si="9"/>
        <v>145</v>
      </c>
      <c r="P54" s="558">
        <f t="shared" si="9"/>
        <v>145</v>
      </c>
      <c r="Q54" s="558">
        <f>ROUND(147/1.1/0.92,0)</f>
        <v>145</v>
      </c>
      <c r="R54" s="558">
        <f t="shared" ref="R54:AE54" si="10">147/1.1/0.92</f>
        <v>145.25691699604741</v>
      </c>
      <c r="S54" s="558">
        <f t="shared" si="10"/>
        <v>145.25691699604741</v>
      </c>
      <c r="T54" s="558">
        <f t="shared" si="10"/>
        <v>145.25691699604741</v>
      </c>
      <c r="U54" s="558">
        <f t="shared" si="10"/>
        <v>145.25691699604741</v>
      </c>
      <c r="V54" s="558">
        <f t="shared" si="10"/>
        <v>145.25691699604741</v>
      </c>
      <c r="W54" s="558">
        <f t="shared" si="10"/>
        <v>145.25691699604741</v>
      </c>
      <c r="X54" s="558">
        <f t="shared" si="10"/>
        <v>145.25691699604741</v>
      </c>
      <c r="Y54" s="558">
        <f t="shared" si="10"/>
        <v>145.25691699604741</v>
      </c>
      <c r="Z54" s="558">
        <f t="shared" si="10"/>
        <v>145.25691699604741</v>
      </c>
      <c r="AA54" s="558">
        <f t="shared" si="10"/>
        <v>145.25691699604741</v>
      </c>
      <c r="AB54" s="558">
        <f t="shared" si="10"/>
        <v>145.25691699604741</v>
      </c>
      <c r="AC54" s="558">
        <f t="shared" si="10"/>
        <v>145.25691699604741</v>
      </c>
      <c r="AD54" s="558">
        <f t="shared" si="10"/>
        <v>145.25691699604741</v>
      </c>
      <c r="AE54" s="558">
        <f t="shared" si="10"/>
        <v>145.25691699604741</v>
      </c>
      <c r="AF54" s="558">
        <f t="shared" ref="AF54:AP54" si="11">147/1.1/0.92</f>
        <v>145.25691699604741</v>
      </c>
      <c r="AG54" s="558">
        <f t="shared" si="11"/>
        <v>145.25691699604741</v>
      </c>
      <c r="AH54" s="558">
        <f t="shared" si="11"/>
        <v>145.25691699604741</v>
      </c>
      <c r="AI54" s="558">
        <f t="shared" si="11"/>
        <v>145.25691699604741</v>
      </c>
      <c r="AJ54" s="558">
        <f t="shared" si="11"/>
        <v>145.25691699604741</v>
      </c>
      <c r="AK54" s="558">
        <f t="shared" si="11"/>
        <v>145.25691699604741</v>
      </c>
      <c r="AL54" s="558">
        <f t="shared" si="11"/>
        <v>145.25691699604741</v>
      </c>
      <c r="AM54" s="558">
        <f t="shared" si="11"/>
        <v>145.25691699604741</v>
      </c>
      <c r="AN54" s="558">
        <f t="shared" si="11"/>
        <v>145.25691699604741</v>
      </c>
      <c r="AO54" s="558">
        <f t="shared" si="11"/>
        <v>145.25691699604741</v>
      </c>
      <c r="AP54" s="558">
        <f t="shared" si="11"/>
        <v>145.25691699604741</v>
      </c>
      <c r="AQ54" s="331">
        <f t="shared" ref="AQ54:AW54" si="12">147/1.1/0.92</f>
        <v>145.25691699604741</v>
      </c>
      <c r="AR54" s="331">
        <f t="shared" si="12"/>
        <v>145.25691699604741</v>
      </c>
      <c r="AS54" s="331">
        <f t="shared" si="12"/>
        <v>145.25691699604741</v>
      </c>
      <c r="AT54" s="331">
        <f t="shared" si="12"/>
        <v>145.25691699604741</v>
      </c>
      <c r="AU54" s="331">
        <f t="shared" si="12"/>
        <v>145.25691699604741</v>
      </c>
      <c r="AV54" s="331">
        <f t="shared" si="12"/>
        <v>145.25691699604741</v>
      </c>
      <c r="AW54" s="331">
        <f t="shared" si="12"/>
        <v>145.25691699604741</v>
      </c>
    </row>
    <row r="55" spans="2:49" s="322" customFormat="1">
      <c r="B55" s="547" t="s">
        <v>209</v>
      </c>
      <c r="E55" s="559">
        <v>100</v>
      </c>
      <c r="F55" s="559">
        <v>100</v>
      </c>
      <c r="G55" s="559">
        <v>100</v>
      </c>
      <c r="H55" s="559">
        <v>100</v>
      </c>
      <c r="I55" s="559">
        <v>100</v>
      </c>
      <c r="J55" s="559">
        <v>100</v>
      </c>
      <c r="K55" s="559">
        <v>100</v>
      </c>
      <c r="L55" s="559">
        <v>100</v>
      </c>
      <c r="M55" s="559">
        <v>100</v>
      </c>
      <c r="N55" s="559">
        <v>100</v>
      </c>
      <c r="O55" s="559">
        <v>100</v>
      </c>
      <c r="P55" s="559">
        <v>100</v>
      </c>
      <c r="Q55" s="559">
        <v>100</v>
      </c>
      <c r="R55" s="559">
        <v>100</v>
      </c>
      <c r="S55" s="559">
        <v>100</v>
      </c>
      <c r="T55" s="559">
        <v>100</v>
      </c>
      <c r="U55" s="559">
        <v>100</v>
      </c>
      <c r="V55" s="559">
        <v>100</v>
      </c>
      <c r="W55" s="559">
        <v>100</v>
      </c>
      <c r="X55" s="559">
        <v>100</v>
      </c>
      <c r="Y55" s="559">
        <v>100</v>
      </c>
      <c r="Z55" s="559">
        <v>100</v>
      </c>
      <c r="AA55" s="559">
        <v>100</v>
      </c>
      <c r="AB55" s="559">
        <v>100</v>
      </c>
      <c r="AC55" s="559">
        <v>100</v>
      </c>
      <c r="AD55" s="559">
        <v>100</v>
      </c>
      <c r="AE55" s="559">
        <v>100</v>
      </c>
      <c r="AF55" s="559">
        <v>100</v>
      </c>
      <c r="AG55" s="559">
        <v>100</v>
      </c>
      <c r="AH55" s="559">
        <v>100</v>
      </c>
      <c r="AI55" s="559">
        <v>100</v>
      </c>
      <c r="AJ55" s="559">
        <v>100</v>
      </c>
      <c r="AK55" s="559">
        <v>100</v>
      </c>
      <c r="AL55" s="559">
        <v>100</v>
      </c>
      <c r="AM55" s="559">
        <v>100</v>
      </c>
      <c r="AN55" s="559">
        <v>100</v>
      </c>
      <c r="AO55" s="559">
        <v>100</v>
      </c>
      <c r="AP55" s="559">
        <v>100</v>
      </c>
      <c r="AQ55" s="322">
        <v>100</v>
      </c>
      <c r="AR55" s="322">
        <v>100</v>
      </c>
      <c r="AS55" s="322">
        <v>100</v>
      </c>
      <c r="AT55" s="322">
        <v>100</v>
      </c>
      <c r="AU55" s="322">
        <v>100</v>
      </c>
      <c r="AV55" s="322">
        <v>100</v>
      </c>
      <c r="AW55" s="322">
        <v>100</v>
      </c>
    </row>
    <row r="56" spans="2:49" s="322" customFormat="1">
      <c r="B56" s="547" t="s">
        <v>868</v>
      </c>
      <c r="E56" s="559">
        <v>10</v>
      </c>
      <c r="F56" s="559">
        <v>10</v>
      </c>
      <c r="G56" s="559">
        <v>10</v>
      </c>
      <c r="H56" s="559">
        <v>10</v>
      </c>
      <c r="I56" s="559">
        <v>10</v>
      </c>
      <c r="J56" s="559">
        <v>10</v>
      </c>
      <c r="K56" s="559">
        <v>10</v>
      </c>
      <c r="L56" s="559">
        <v>10</v>
      </c>
      <c r="M56" s="559">
        <v>10</v>
      </c>
      <c r="N56" s="559">
        <v>10</v>
      </c>
      <c r="O56" s="559">
        <v>10</v>
      </c>
      <c r="P56" s="559">
        <v>10</v>
      </c>
      <c r="Q56" s="559">
        <v>10</v>
      </c>
      <c r="R56" s="559">
        <v>10</v>
      </c>
      <c r="S56" s="559">
        <v>10</v>
      </c>
      <c r="T56" s="559">
        <v>10</v>
      </c>
      <c r="U56" s="559">
        <v>10</v>
      </c>
      <c r="V56" s="559">
        <v>10</v>
      </c>
      <c r="W56" s="559">
        <v>10</v>
      </c>
      <c r="X56" s="559">
        <v>10</v>
      </c>
      <c r="Y56" s="559">
        <v>10</v>
      </c>
      <c r="Z56" s="559">
        <v>10</v>
      </c>
      <c r="AA56" s="559">
        <v>10</v>
      </c>
      <c r="AB56" s="559">
        <v>10</v>
      </c>
      <c r="AC56" s="559">
        <v>10</v>
      </c>
      <c r="AD56" s="559">
        <v>10</v>
      </c>
      <c r="AE56" s="559">
        <v>10</v>
      </c>
      <c r="AF56" s="559">
        <v>10</v>
      </c>
      <c r="AG56" s="559">
        <v>10</v>
      </c>
      <c r="AH56" s="559">
        <v>10</v>
      </c>
      <c r="AI56" s="559">
        <v>10</v>
      </c>
      <c r="AJ56" s="559">
        <v>10</v>
      </c>
      <c r="AK56" s="559">
        <v>10</v>
      </c>
      <c r="AL56" s="559">
        <v>10</v>
      </c>
      <c r="AM56" s="559">
        <v>10</v>
      </c>
      <c r="AN56" s="559">
        <v>10</v>
      </c>
      <c r="AO56" s="559">
        <v>10</v>
      </c>
      <c r="AP56" s="559">
        <v>10</v>
      </c>
      <c r="AQ56" s="322">
        <v>10</v>
      </c>
      <c r="AR56" s="322">
        <v>10</v>
      </c>
      <c r="AS56" s="322">
        <v>10</v>
      </c>
      <c r="AT56" s="322">
        <v>10</v>
      </c>
      <c r="AU56" s="322">
        <v>10</v>
      </c>
      <c r="AV56" s="322">
        <v>10</v>
      </c>
      <c r="AW56" s="322">
        <v>10</v>
      </c>
    </row>
    <row r="57" spans="2:49" s="322" customFormat="1">
      <c r="B57" s="1810" t="s">
        <v>1221</v>
      </c>
      <c r="AC57" s="322">
        <v>6</v>
      </c>
      <c r="AD57" s="322">
        <v>6</v>
      </c>
      <c r="AE57" s="322">
        <v>6</v>
      </c>
      <c r="AF57" s="322">
        <v>6</v>
      </c>
      <c r="AG57" s="322">
        <v>6</v>
      </c>
      <c r="AH57" s="322">
        <v>6</v>
      </c>
      <c r="AI57" s="322">
        <v>6</v>
      </c>
      <c r="AJ57" s="322">
        <v>6</v>
      </c>
      <c r="AK57" s="322">
        <v>6</v>
      </c>
      <c r="AL57" s="322">
        <v>6</v>
      </c>
      <c r="AM57" s="322">
        <v>6</v>
      </c>
      <c r="AN57" s="322">
        <v>6</v>
      </c>
      <c r="AO57" s="322">
        <v>6</v>
      </c>
      <c r="AP57" s="322">
        <v>6</v>
      </c>
      <c r="AQ57" s="322">
        <v>6</v>
      </c>
      <c r="AR57" s="322">
        <v>6</v>
      </c>
      <c r="AS57" s="322">
        <v>6</v>
      </c>
      <c r="AT57" s="322">
        <v>6</v>
      </c>
      <c r="AU57" s="322">
        <v>6</v>
      </c>
      <c r="AV57" s="322">
        <v>6</v>
      </c>
      <c r="AW57" s="322">
        <v>6</v>
      </c>
    </row>
    <row r="58" spans="2:49" s="520" customFormat="1" ht="15.75">
      <c r="B58" s="548" t="s">
        <v>869</v>
      </c>
    </row>
    <row r="59" spans="2:49" s="521" customFormat="1">
      <c r="B59" s="549" t="s">
        <v>198</v>
      </c>
      <c r="Q59" s="560">
        <f>Q$43/Q$45/Q$46*Q47*(1-Q$53)+Q$54+Q$56</f>
        <v>609.51453643097159</v>
      </c>
      <c r="R59" s="560">
        <f t="shared" ref="R59:AB59" si="13">R$43/R$45/R$46*R47*(1-R$53)+R$54+R$56</f>
        <v>625.18295499330907</v>
      </c>
      <c r="S59" s="560">
        <f t="shared" si="13"/>
        <v>647.63971441847434</v>
      </c>
      <c r="T59" s="560">
        <f t="shared" si="13"/>
        <v>666.13351629802253</v>
      </c>
      <c r="U59" s="560">
        <f t="shared" si="13"/>
        <v>685.09539611657192</v>
      </c>
      <c r="V59" s="560">
        <f t="shared" si="13"/>
        <v>675.75013832306297</v>
      </c>
      <c r="W59" s="560">
        <f t="shared" si="13"/>
        <v>714.89199002890268</v>
      </c>
      <c r="X59" s="560">
        <f t="shared" si="13"/>
        <v>762.77368830925866</v>
      </c>
      <c r="Y59" s="560">
        <f t="shared" si="13"/>
        <v>779.88477512076406</v>
      </c>
      <c r="Z59" s="560">
        <f t="shared" si="13"/>
        <v>797.99521462314101</v>
      </c>
      <c r="AA59" s="560">
        <f t="shared" si="13"/>
        <v>804.72134192590954</v>
      </c>
      <c r="AB59" s="560">
        <f t="shared" si="13"/>
        <v>796.18574217792991</v>
      </c>
      <c r="AC59" s="560">
        <f>AC$43/AC$45/AC$46*AC47*(1-AC$53)+AC$54+AC$56-$AC$57</f>
        <v>770.5189611963151</v>
      </c>
      <c r="AD59" s="560">
        <f>AD$43/AD$45/AD$46*AD47*(1-AD$53)+AD$54+AD$56-$AC$57</f>
        <v>704.15855738665095</v>
      </c>
      <c r="AE59" s="560">
        <f t="shared" ref="AE59:AN59" si="14">AE$43/AE$45/AE$46*AE47*(1-AE$53)+AE$54+AE$56-$AC$57</f>
        <v>689.64923874769522</v>
      </c>
      <c r="AF59" s="560">
        <f t="shared" si="14"/>
        <v>678.53869368412882</v>
      </c>
      <c r="AG59" s="560">
        <f t="shared" si="14"/>
        <v>670.93974059611867</v>
      </c>
      <c r="AH59" s="560">
        <f t="shared" si="14"/>
        <v>677.3211818633979</v>
      </c>
      <c r="AI59" s="560">
        <f t="shared" si="14"/>
        <v>692.21121148704935</v>
      </c>
      <c r="AJ59" s="560">
        <f t="shared" si="14"/>
        <v>710.69080182354503</v>
      </c>
      <c r="AK59" s="560">
        <f t="shared" si="14"/>
        <v>748.04882257574184</v>
      </c>
      <c r="AL59" s="560">
        <f t="shared" si="14"/>
        <v>741.63192885697799</v>
      </c>
      <c r="AM59" s="560">
        <f t="shared" si="14"/>
        <v>770.17115230230957</v>
      </c>
      <c r="AN59" s="560">
        <f t="shared" si="14"/>
        <v>792.13394599719538</v>
      </c>
      <c r="AO59" s="560">
        <f>AO$43/AO$45/AO$46*AO47*(1-AO$53)+AO$54+AO$56-$AC$57</f>
        <v>822.6585067256807</v>
      </c>
      <c r="AP59" s="560">
        <f>AP$43/AP$45/AP$46*AP47*(1-AP$53)+AP$54+AP$56-$AC$57</f>
        <v>861.37258374717442</v>
      </c>
      <c r="AQ59" s="560">
        <v>1141</v>
      </c>
      <c r="AR59" s="560">
        <v>1202</v>
      </c>
      <c r="AS59" s="560">
        <v>1264</v>
      </c>
      <c r="AT59" s="560">
        <v>1330</v>
      </c>
      <c r="AU59" s="560">
        <v>1355</v>
      </c>
    </row>
    <row r="60" spans="2:49" s="521" customFormat="1">
      <c r="B60" s="549" t="s">
        <v>199</v>
      </c>
      <c r="Q60" s="560">
        <f t="shared" ref="Q60:AB60" si="15">Q$43/Q$45/Q$46*Q48*(1-Q$53)+Q$54</f>
        <v>586.14646183006062</v>
      </c>
      <c r="R60" s="560">
        <f t="shared" si="15"/>
        <v>601.36160093456601</v>
      </c>
      <c r="S60" s="560">
        <f t="shared" si="15"/>
        <v>623.15786743546175</v>
      </c>
      <c r="T60" s="560">
        <f t="shared" si="15"/>
        <v>641.10773396561137</v>
      </c>
      <c r="U60" s="560">
        <f t="shared" si="15"/>
        <v>659.51191143655649</v>
      </c>
      <c r="V60" s="560">
        <f t="shared" si="15"/>
        <v>650.44151416638601</v>
      </c>
      <c r="W60" s="560">
        <f t="shared" si="15"/>
        <v>688.43213493970109</v>
      </c>
      <c r="X60" s="560">
        <f t="shared" si="15"/>
        <v>734.90554797651725</v>
      </c>
      <c r="Y60" s="560">
        <f t="shared" si="15"/>
        <v>751.51336752886061</v>
      </c>
      <c r="Z60" s="560">
        <f t="shared" si="15"/>
        <v>769.09114704587353</v>
      </c>
      <c r="AA60" s="560">
        <f t="shared" si="15"/>
        <v>775.6194470750313</v>
      </c>
      <c r="AB60" s="560">
        <f t="shared" si="15"/>
        <v>767.33489437846265</v>
      </c>
      <c r="AC60" s="560">
        <f>AC$43/AC$45/AC$46*AC48*(1-AC$53)+AC$54-$AC$57</f>
        <v>742.24654813160146</v>
      </c>
      <c r="AD60" s="560">
        <f t="shared" ref="AD60:AP60" si="16">AD$43/AD$45/AD$46*AD48*(1-AD$53)+AD$54-$AC$57</f>
        <v>677.83792090457439</v>
      </c>
      <c r="AE60" s="560">
        <f t="shared" si="16"/>
        <v>663.75534693147029</v>
      </c>
      <c r="AF60" s="560">
        <f t="shared" si="16"/>
        <v>652.97158260506751</v>
      </c>
      <c r="AG60" s="560">
        <f t="shared" si="16"/>
        <v>645.59612813729302</v>
      </c>
      <c r="AH60" s="560">
        <f t="shared" si="16"/>
        <v>651.78987995553462</v>
      </c>
      <c r="AI60" s="560">
        <f t="shared" si="16"/>
        <v>666.24196753143156</v>
      </c>
      <c r="AJ60" s="560">
        <f t="shared" si="16"/>
        <v>684.17804050508926</v>
      </c>
      <c r="AK60" s="560">
        <f t="shared" si="16"/>
        <v>720.43729594104491</v>
      </c>
      <c r="AL60" s="560">
        <f t="shared" si="16"/>
        <v>714.20913439048002</v>
      </c>
      <c r="AM60" s="560">
        <f t="shared" si="16"/>
        <v>741.90896891094894</v>
      </c>
      <c r="AN60" s="560">
        <f t="shared" si="16"/>
        <v>763.22579808539695</v>
      </c>
      <c r="AO60" s="560">
        <f t="shared" si="16"/>
        <v>792.85257761598564</v>
      </c>
      <c r="AP60" s="560">
        <f t="shared" si="16"/>
        <v>830.42800531331773</v>
      </c>
      <c r="AQ60" s="560"/>
      <c r="AR60" s="560"/>
      <c r="AS60" s="560"/>
      <c r="AT60" s="560"/>
      <c r="AU60" s="560"/>
    </row>
    <row r="61" spans="2:49" s="521" customFormat="1">
      <c r="B61" s="549" t="s">
        <v>200</v>
      </c>
      <c r="Q61" s="560">
        <f t="shared" ref="Q61:AB61" si="17">Q$43/Q$45/Q$46*Q49*(1-Q$53)+Q$54</f>
        <v>579.46242452960519</v>
      </c>
      <c r="R61" s="560">
        <f t="shared" si="17"/>
        <v>594.45092390519449</v>
      </c>
      <c r="S61" s="560">
        <f t="shared" si="17"/>
        <v>615.9169439439554</v>
      </c>
      <c r="T61" s="560">
        <f t="shared" si="17"/>
        <v>633.59484279940591</v>
      </c>
      <c r="U61" s="560">
        <f t="shared" si="17"/>
        <v>651.72016909654883</v>
      </c>
      <c r="V61" s="560">
        <f t="shared" si="17"/>
        <v>642.78720208804759</v>
      </c>
      <c r="W61" s="560">
        <f t="shared" si="17"/>
        <v>680.20220739510023</v>
      </c>
      <c r="X61" s="560">
        <f t="shared" si="17"/>
        <v>725.97147781014644</v>
      </c>
      <c r="Y61" s="560">
        <f t="shared" si="17"/>
        <v>742.32766373290895</v>
      </c>
      <c r="Z61" s="560">
        <f t="shared" si="17"/>
        <v>759.63911325723973</v>
      </c>
      <c r="AA61" s="560">
        <f t="shared" si="17"/>
        <v>766.06849964959213</v>
      </c>
      <c r="AB61" s="560">
        <f t="shared" si="17"/>
        <v>757.90947047872919</v>
      </c>
      <c r="AC61" s="560">
        <f>AC$43/AC$45/AC$46*AC49*(1-AC$53)+AC$54-$AC$57</f>
        <v>733.11034159924452</v>
      </c>
      <c r="AD61" s="560">
        <f t="shared" ref="AD61:AP61" si="18">AD$43/AD$45/AD$46*AD49*(1-AD$53)+AD$54-$AC$57</f>
        <v>669.67760266353605</v>
      </c>
      <c r="AE61" s="560">
        <f t="shared" si="18"/>
        <v>655.80840102335776</v>
      </c>
      <c r="AF61" s="560">
        <f t="shared" si="18"/>
        <v>645.18802706553686</v>
      </c>
      <c r="AG61" s="560">
        <f t="shared" si="18"/>
        <v>637.9243219078802</v>
      </c>
      <c r="AH61" s="560">
        <f t="shared" si="18"/>
        <v>644.02422900160298</v>
      </c>
      <c r="AI61" s="560">
        <f t="shared" si="18"/>
        <v>658.25734555362271</v>
      </c>
      <c r="AJ61" s="560">
        <f t="shared" si="18"/>
        <v>675.92165984586143</v>
      </c>
      <c r="AK61" s="560">
        <f t="shared" si="18"/>
        <v>711.63153262369644</v>
      </c>
      <c r="AL61" s="560">
        <f t="shared" si="18"/>
        <v>705.49773715723109</v>
      </c>
      <c r="AM61" s="560">
        <f>AM$43/AM$45/AM$46*AM49*(1-AM$53)+AM$54-$AC$57</f>
        <v>732.77787721526863</v>
      </c>
      <c r="AN61" s="560">
        <f t="shared" si="18"/>
        <v>753.77172412949767</v>
      </c>
      <c r="AO61" s="560">
        <f t="shared" si="18"/>
        <v>782.94961306113805</v>
      </c>
      <c r="AP61" s="560">
        <f t="shared" si="18"/>
        <v>819.95571609638932</v>
      </c>
      <c r="AQ61" s="560">
        <v>1035</v>
      </c>
      <c r="AR61" s="560">
        <v>1235</v>
      </c>
      <c r="AS61" s="560">
        <v>1293</v>
      </c>
      <c r="AT61" s="560">
        <v>1347</v>
      </c>
      <c r="AU61" s="560">
        <v>1295</v>
      </c>
    </row>
    <row r="62" spans="2:49" s="521" customFormat="1">
      <c r="B62" s="549" t="s">
        <v>201</v>
      </c>
      <c r="Q62" s="560">
        <f t="shared" ref="Q62:AB62" si="19">Q$43/Q$45/Q$46*Q50*(1-Q$53)+Q$54+Q$55</f>
        <v>686.14646183006062</v>
      </c>
      <c r="R62" s="560">
        <f t="shared" si="19"/>
        <v>701.36160093456601</v>
      </c>
      <c r="S62" s="560">
        <f t="shared" si="19"/>
        <v>723.15786743546175</v>
      </c>
      <c r="T62" s="560">
        <f t="shared" si="19"/>
        <v>741.10773396561137</v>
      </c>
      <c r="U62" s="560">
        <f t="shared" si="19"/>
        <v>759.51191143655649</v>
      </c>
      <c r="V62" s="560">
        <f t="shared" si="19"/>
        <v>750.44151416638601</v>
      </c>
      <c r="W62" s="560">
        <f t="shared" si="19"/>
        <v>788.43213493970109</v>
      </c>
      <c r="X62" s="560">
        <f t="shared" si="19"/>
        <v>834.90554797651725</v>
      </c>
      <c r="Y62" s="560">
        <f t="shared" si="19"/>
        <v>851.51336752886061</v>
      </c>
      <c r="Z62" s="560">
        <f t="shared" si="19"/>
        <v>869.09114704587353</v>
      </c>
      <c r="AA62" s="560">
        <f t="shared" si="19"/>
        <v>875.6194470750313</v>
      </c>
      <c r="AB62" s="560">
        <f t="shared" si="19"/>
        <v>867.33489437846265</v>
      </c>
      <c r="AC62" s="560">
        <f>AC$43/AC$45/AC$46*AC50*(1-AC$53)+AC$54+AC$55-$AC$57</f>
        <v>842.24654813160146</v>
      </c>
      <c r="AD62" s="560">
        <f t="shared" ref="AD62:AP62" si="20">AD$43/AD$45/AD$46*AD50*(1-AD$53)+AD$54+AD$55-$AC$57</f>
        <v>777.83792090457439</v>
      </c>
      <c r="AE62" s="560">
        <f t="shared" si="20"/>
        <v>763.75534693147029</v>
      </c>
      <c r="AF62" s="560">
        <f t="shared" si="20"/>
        <v>752.97158260506751</v>
      </c>
      <c r="AG62" s="560">
        <f t="shared" si="20"/>
        <v>745.59612813729302</v>
      </c>
      <c r="AH62" s="560">
        <f t="shared" si="20"/>
        <v>751.78987995553462</v>
      </c>
      <c r="AI62" s="560">
        <f t="shared" si="20"/>
        <v>766.24196753143156</v>
      </c>
      <c r="AJ62" s="560">
        <f t="shared" si="20"/>
        <v>784.17804050508926</v>
      </c>
      <c r="AK62" s="560">
        <f t="shared" si="20"/>
        <v>820.43729594104491</v>
      </c>
      <c r="AL62" s="560">
        <f t="shared" si="20"/>
        <v>814.20913439048002</v>
      </c>
      <c r="AM62" s="560">
        <f t="shared" si="20"/>
        <v>841.90896891094894</v>
      </c>
      <c r="AN62" s="560">
        <f t="shared" si="20"/>
        <v>863.22579808539695</v>
      </c>
      <c r="AO62" s="560">
        <f t="shared" si="20"/>
        <v>873.04664850629058</v>
      </c>
      <c r="AP62" s="560">
        <f t="shared" si="20"/>
        <v>909.48342687946104</v>
      </c>
      <c r="AQ62" s="560">
        <v>1124</v>
      </c>
      <c r="AR62" s="560">
        <v>1231</v>
      </c>
      <c r="AS62" s="560">
        <v>1289</v>
      </c>
      <c r="AT62" s="560">
        <v>1351</v>
      </c>
      <c r="AU62" s="560">
        <v>1375</v>
      </c>
    </row>
    <row r="63" spans="2:49" s="522" customFormat="1">
      <c r="B63" s="550" t="s">
        <v>202</v>
      </c>
      <c r="Q63" s="561">
        <f t="shared" ref="Q63:AB63" si="21">Q$43/Q$45/Q$46*Q51*(1-Q$53)+Q$54+Q$55</f>
        <v>666.09434992869433</v>
      </c>
      <c r="R63" s="561">
        <f t="shared" si="21"/>
        <v>680.62956984645155</v>
      </c>
      <c r="S63" s="561">
        <f t="shared" si="21"/>
        <v>701.43509696094293</v>
      </c>
      <c r="T63" s="561">
        <f t="shared" si="21"/>
        <v>718.56906046699487</v>
      </c>
      <c r="U63" s="561">
        <f t="shared" si="21"/>
        <v>736.13668441653329</v>
      </c>
      <c r="V63" s="561">
        <f t="shared" si="21"/>
        <v>727.47857793137064</v>
      </c>
      <c r="W63" s="561">
        <f t="shared" si="21"/>
        <v>763.74235230589852</v>
      </c>
      <c r="X63" s="561">
        <f t="shared" si="21"/>
        <v>808.10333747740492</v>
      </c>
      <c r="Y63" s="561">
        <f t="shared" si="21"/>
        <v>823.9562561410055</v>
      </c>
      <c r="Z63" s="561">
        <f t="shared" si="21"/>
        <v>840.73504567997236</v>
      </c>
      <c r="AA63" s="561">
        <f t="shared" si="21"/>
        <v>846.96660479871377</v>
      </c>
      <c r="AB63" s="561">
        <f t="shared" si="21"/>
        <v>839.05862267926193</v>
      </c>
      <c r="AC63" s="561">
        <f>AC$43/AC$45/AC$46*AC51*(1-AC$53)+AC$54+AC$55-$AC$57</f>
        <v>814.83792853453076</v>
      </c>
      <c r="AD63" s="561">
        <f t="shared" ref="AD63:AP63" si="22">AD$43/AD$45/AD$46*AD51*(1-AD$53)+AD$54+AD$55-$AC$57</f>
        <v>753.3569661814596</v>
      </c>
      <c r="AE63" s="561">
        <f t="shared" si="22"/>
        <v>739.91450920713294</v>
      </c>
      <c r="AF63" s="561">
        <f t="shared" si="22"/>
        <v>729.62091598647567</v>
      </c>
      <c r="AG63" s="561">
        <f t="shared" si="22"/>
        <v>722.58070944905467</v>
      </c>
      <c r="AH63" s="561">
        <f t="shared" si="22"/>
        <v>728.49292709373981</v>
      </c>
      <c r="AI63" s="561">
        <f t="shared" si="22"/>
        <v>742.28810159800503</v>
      </c>
      <c r="AJ63" s="561">
        <f t="shared" si="22"/>
        <v>759.40889852740554</v>
      </c>
      <c r="AK63" s="561">
        <f t="shared" si="22"/>
        <v>794.02000598899963</v>
      </c>
      <c r="AL63" s="561">
        <f t="shared" si="22"/>
        <v>788.07494269073311</v>
      </c>
      <c r="AM63" s="561">
        <f t="shared" si="22"/>
        <v>814.5156938239079</v>
      </c>
      <c r="AN63" s="561">
        <f t="shared" si="22"/>
        <v>834.86357621769912</v>
      </c>
      <c r="AO63" s="561">
        <f t="shared" si="22"/>
        <v>863.14368395144299</v>
      </c>
      <c r="AP63" s="561">
        <f t="shared" si="22"/>
        <v>899.01113766253275</v>
      </c>
      <c r="AQ63" s="561">
        <v>1113</v>
      </c>
      <c r="AR63" s="561">
        <v>1279</v>
      </c>
      <c r="AS63" s="561">
        <v>1345</v>
      </c>
      <c r="AT63" s="561">
        <v>1400</v>
      </c>
      <c r="AU63" s="561">
        <v>1355</v>
      </c>
    </row>
    <row r="65" spans="2:51" s="516" customFormat="1" ht="15.75">
      <c r="B65" s="570" t="s">
        <v>870</v>
      </c>
      <c r="D65" s="532"/>
      <c r="E65" s="532"/>
      <c r="F65" s="532"/>
      <c r="G65" s="532"/>
      <c r="H65" s="532"/>
      <c r="I65" s="532"/>
      <c r="J65" s="532"/>
      <c r="K65" s="532"/>
      <c r="L65" s="532"/>
      <c r="M65" s="532"/>
      <c r="N65" s="532"/>
      <c r="O65" s="532"/>
      <c r="P65" s="532"/>
      <c r="Q65" s="532"/>
      <c r="R65" s="532"/>
      <c r="S65" s="532"/>
      <c r="T65" s="532"/>
      <c r="U65" s="532"/>
      <c r="V65" s="532"/>
      <c r="W65" s="532"/>
      <c r="X65" s="532"/>
      <c r="Y65" s="532"/>
      <c r="Z65" s="532"/>
      <c r="AA65" s="532"/>
      <c r="AB65" s="532"/>
      <c r="AC65" s="532"/>
      <c r="AD65" s="532"/>
      <c r="AE65" s="532"/>
      <c r="AF65" s="532"/>
    </row>
    <row r="66" spans="2:51" s="516" customFormat="1">
      <c r="B66" s="5" t="s">
        <v>198</v>
      </c>
      <c r="D66" s="532"/>
      <c r="E66" s="558">
        <f t="shared" ref="E66:P66" si="23">E$43/E$45/E$46*E47*(1-15%)+E$54+E$56</f>
        <v>609.60981551472901</v>
      </c>
      <c r="F66" s="558">
        <f t="shared" si="23"/>
        <v>614.70307529162255</v>
      </c>
      <c r="G66" s="558">
        <f t="shared" si="23"/>
        <v>605.97177281694781</v>
      </c>
      <c r="H66" s="558">
        <f t="shared" si="23"/>
        <v>595.63973155524945</v>
      </c>
      <c r="I66" s="558">
        <f t="shared" si="23"/>
        <v>592.29273227329077</v>
      </c>
      <c r="J66" s="558">
        <f t="shared" si="23"/>
        <v>591.85742164703902</v>
      </c>
      <c r="K66" s="558">
        <f t="shared" si="23"/>
        <v>582.67951806877454</v>
      </c>
      <c r="L66" s="558">
        <f t="shared" si="23"/>
        <v>571.46681957471696</v>
      </c>
      <c r="M66" s="558">
        <f t="shared" si="23"/>
        <v>565.38250678704844</v>
      </c>
      <c r="N66" s="558">
        <f t="shared" si="23"/>
        <v>567.75350702801597</v>
      </c>
      <c r="O66" s="558">
        <f t="shared" si="23"/>
        <v>581.97198148893028</v>
      </c>
      <c r="P66" s="558">
        <f t="shared" si="23"/>
        <v>597.08993064443382</v>
      </c>
      <c r="Q66" s="558">
        <f t="shared" ref="Q66:AB66" si="24">Q$43/Q$45/Q$46*Q47*(1-15%)+Q$54+Q$56</f>
        <v>609.51453643097159</v>
      </c>
      <c r="R66" s="558">
        <f t="shared" si="24"/>
        <v>625.18295499330907</v>
      </c>
      <c r="S66" s="558">
        <f t="shared" si="24"/>
        <v>647.63971441847434</v>
      </c>
      <c r="T66" s="558">
        <f t="shared" si="24"/>
        <v>666.13351629802253</v>
      </c>
      <c r="U66" s="558">
        <f t="shared" si="24"/>
        <v>685.09539611657192</v>
      </c>
      <c r="V66" s="558">
        <f t="shared" si="24"/>
        <v>708.2809646560014</v>
      </c>
      <c r="W66" s="558">
        <f t="shared" si="24"/>
        <v>749.86918209345606</v>
      </c>
      <c r="X66" s="558">
        <f t="shared" si="24"/>
        <v>800.74348651633443</v>
      </c>
      <c r="Y66" s="558">
        <f t="shared" si="24"/>
        <v>818.92401625355876</v>
      </c>
      <c r="Z66" s="558">
        <f t="shared" si="24"/>
        <v>838.16635822483431</v>
      </c>
      <c r="AA66" s="558">
        <f t="shared" si="24"/>
        <v>845.3128684840259</v>
      </c>
      <c r="AB66" s="558">
        <f t="shared" si="24"/>
        <v>836.2437937517974</v>
      </c>
      <c r="AC66" s="558">
        <f>AC$43/AC$45/AC$46*AC47*(1-15%)+AC$54+AC$56-$AC$57</f>
        <v>809.34783895883174</v>
      </c>
      <c r="AD66" s="558">
        <f t="shared" ref="AD66:AP66" si="25">AD$43/AD$45/AD$46*AD47*(1-15%)+AD$54+AD$56-$AC$57</f>
        <v>778.14544277206483</v>
      </c>
      <c r="AE66" s="558">
        <f t="shared" si="25"/>
        <v>761.7015483145816</v>
      </c>
      <c r="AF66" s="558">
        <f t="shared" si="25"/>
        <v>749.10959724253962</v>
      </c>
      <c r="AG66" s="558">
        <f t="shared" si="25"/>
        <v>740.49745040946152</v>
      </c>
      <c r="AH66" s="558">
        <f t="shared" si="25"/>
        <v>747.7297505123779</v>
      </c>
      <c r="AI66" s="558">
        <f t="shared" si="25"/>
        <v>764.60511741918287</v>
      </c>
      <c r="AJ66" s="558">
        <f t="shared" si="25"/>
        <v>785.54865313387802</v>
      </c>
      <c r="AK66" s="558">
        <f t="shared" si="25"/>
        <v>827.88774331970103</v>
      </c>
      <c r="AL66" s="558">
        <f t="shared" si="25"/>
        <v>868.56943139860607</v>
      </c>
      <c r="AM66" s="558">
        <f t="shared" si="25"/>
        <v>903.22420272507998</v>
      </c>
      <c r="AN66" s="558">
        <f t="shared" si="25"/>
        <v>929.89330935458418</v>
      </c>
      <c r="AO66" s="558">
        <f>AO$43/AO$45/AO$46*AO47*(1-15%)+AO$54+AO$56-$AC$57</f>
        <v>966.95884738203074</v>
      </c>
      <c r="AP66" s="558">
        <f t="shared" si="25"/>
        <v>1013.9687980509873</v>
      </c>
      <c r="AQ66" s="558">
        <f t="shared" ref="AQ66:AV66" si="26">AQ$43/AQ$45/AQ$46*AQ47*(1-15%)+AQ$54+AQ$56-$AC$57</f>
        <v>1045.4594380824356</v>
      </c>
      <c r="AR66" s="558">
        <f t="shared" si="26"/>
        <v>1077.1007510326949</v>
      </c>
      <c r="AS66" s="558">
        <f t="shared" si="26"/>
        <v>1124.8640662957052</v>
      </c>
      <c r="AT66" s="558">
        <f t="shared" si="26"/>
        <v>1212.4050321247553</v>
      </c>
      <c r="AU66" s="558">
        <f t="shared" si="26"/>
        <v>1277.6464059698139</v>
      </c>
      <c r="AV66" s="558">
        <f t="shared" si="26"/>
        <v>1326.765777502121</v>
      </c>
      <c r="AW66" s="558">
        <f t="shared" ref="AW66" si="27">AW$43/AW$45/AW$46*AW47*(1-15%)+AW$54+AW$56-$AC$57</f>
        <v>1327.368469177364</v>
      </c>
    </row>
    <row r="67" spans="2:51" s="516" customFormat="1">
      <c r="B67" s="5" t="s">
        <v>199</v>
      </c>
      <c r="D67" s="532"/>
      <c r="E67" s="558">
        <f t="shared" ref="E67:P67" si="28">E$43/E$45/E$46*E48*(1-15%)+E$54</f>
        <v>586.23893858782515</v>
      </c>
      <c r="F67" s="558">
        <f t="shared" si="28"/>
        <v>591.18239660657468</v>
      </c>
      <c r="G67" s="558">
        <f t="shared" si="28"/>
        <v>582.70789714586112</v>
      </c>
      <c r="H67" s="558">
        <f t="shared" si="28"/>
        <v>572.67973945068331</v>
      </c>
      <c r="I67" s="558">
        <f t="shared" si="28"/>
        <v>569.43118132407631</v>
      </c>
      <c r="J67" s="558">
        <f t="shared" si="28"/>
        <v>569.00867395153796</v>
      </c>
      <c r="K67" s="558">
        <f t="shared" si="28"/>
        <v>560.10070871381072</v>
      </c>
      <c r="L67" s="558">
        <f t="shared" si="28"/>
        <v>549.21779546957816</v>
      </c>
      <c r="M67" s="558">
        <f t="shared" si="28"/>
        <v>543.31243305801763</v>
      </c>
      <c r="N67" s="558">
        <f t="shared" si="28"/>
        <v>545.61369799778026</v>
      </c>
      <c r="O67" s="558">
        <f t="shared" si="28"/>
        <v>559.41398203337349</v>
      </c>
      <c r="P67" s="558">
        <f t="shared" si="28"/>
        <v>574.08728562547992</v>
      </c>
      <c r="Q67" s="558">
        <f t="shared" ref="Q67:AB67" si="29">Q$43/Q$45/Q$46*Q48*(1-15%)+Q$54</f>
        <v>586.14646183006062</v>
      </c>
      <c r="R67" s="558">
        <f t="shared" si="29"/>
        <v>601.36160093456601</v>
      </c>
      <c r="S67" s="558">
        <f t="shared" si="29"/>
        <v>623.15786743546175</v>
      </c>
      <c r="T67" s="558">
        <f t="shared" si="29"/>
        <v>641.10773396561137</v>
      </c>
      <c r="U67" s="558">
        <f t="shared" si="29"/>
        <v>659.51191143655649</v>
      </c>
      <c r="V67" s="558">
        <f t="shared" si="29"/>
        <v>682.01555148953207</v>
      </c>
      <c r="W67" s="558">
        <f t="shared" si="29"/>
        <v>722.38058606117943</v>
      </c>
      <c r="X67" s="558">
        <f t="shared" si="29"/>
        <v>771.75858741279649</v>
      </c>
      <c r="Y67" s="558">
        <f t="shared" si="29"/>
        <v>789.40439568716147</v>
      </c>
      <c r="Z67" s="558">
        <f t="shared" si="29"/>
        <v>808.08078642398755</v>
      </c>
      <c r="AA67" s="558">
        <f t="shared" si="29"/>
        <v>815.01710520496772</v>
      </c>
      <c r="AB67" s="558">
        <f t="shared" si="29"/>
        <v>806.21476796486354</v>
      </c>
      <c r="AC67" s="558">
        <f>AC$43/AC$45/AC$46*AC48*(1-15%)+AC$54-$AC$57</f>
        <v>779.93340007757354</v>
      </c>
      <c r="AD67" s="558">
        <f t="shared" ref="AD67:AR67" si="30">AD$43/AD$45/AD$46*AD48*(1-15%)+AD$54-$AC$57</f>
        <v>749.6487214257113</v>
      </c>
      <c r="AE67" s="558">
        <f t="shared" si="30"/>
        <v>733.68847092286001</v>
      </c>
      <c r="AF67" s="558">
        <f t="shared" si="30"/>
        <v>721.46687135293678</v>
      </c>
      <c r="AG67" s="558">
        <f t="shared" si="30"/>
        <v>713.10802295612575</v>
      </c>
      <c r="AH67" s="558">
        <f t="shared" si="30"/>
        <v>720.12760835013285</v>
      </c>
      <c r="AI67" s="558">
        <f t="shared" si="30"/>
        <v>736.50664093614944</v>
      </c>
      <c r="AJ67" s="558">
        <f t="shared" si="30"/>
        <v>756.83419030629477</v>
      </c>
      <c r="AK67" s="558">
        <f t="shared" si="30"/>
        <v>797.92801313371126</v>
      </c>
      <c r="AL67" s="558">
        <f t="shared" si="30"/>
        <v>837.41318097500141</v>
      </c>
      <c r="AM67" s="558">
        <f t="shared" si="30"/>
        <v>871.04869432128498</v>
      </c>
      <c r="AN67" s="558">
        <f t="shared" si="30"/>
        <v>896.93341546168608</v>
      </c>
      <c r="AO67" s="558">
        <f t="shared" si="30"/>
        <v>932.90879060597251</v>
      </c>
      <c r="AP67" s="558">
        <f t="shared" si="30"/>
        <v>978.53609566701846</v>
      </c>
      <c r="AQ67" s="558">
        <f t="shared" si="30"/>
        <v>1009.1005404034241</v>
      </c>
      <c r="AR67" s="558">
        <f t="shared" si="30"/>
        <v>1039.8112265022053</v>
      </c>
      <c r="AS67" s="558">
        <f t="shared" ref="AS67:AT67" si="31">AS$43/AS$45/AS$46*AS48*(1-15%)+AS$54-$AC$57</f>
        <v>1086.1697383751271</v>
      </c>
      <c r="AT67" s="558">
        <f t="shared" si="31"/>
        <v>1171.1359699150876</v>
      </c>
      <c r="AU67" s="558">
        <f t="shared" ref="AU67" si="32">AU$43/AU$45/AU$46*AU48*(1-15%)+AU$54-$AC$57</f>
        <v>1234.4584798235267</v>
      </c>
    </row>
    <row r="68" spans="2:51" s="516" customFormat="1">
      <c r="B68" s="5" t="s">
        <v>200</v>
      </c>
      <c r="D68" s="532"/>
      <c r="E68" s="558">
        <f t="shared" ref="E68:P68" si="33">E$43/E$45/E$46*E49*(1-15%)+E$54</f>
        <v>579.55350012437316</v>
      </c>
      <c r="F68" s="558">
        <f t="shared" si="33"/>
        <v>584.42205726405086</v>
      </c>
      <c r="G68" s="558">
        <f t="shared" si="33"/>
        <v>576.07595931031778</v>
      </c>
      <c r="H68" s="558">
        <f t="shared" si="33"/>
        <v>566.19974339840019</v>
      </c>
      <c r="I68" s="558">
        <f t="shared" si="33"/>
        <v>563.00040584946919</v>
      </c>
      <c r="J68" s="558">
        <f t="shared" si="33"/>
        <v>562.5843001037872</v>
      </c>
      <c r="K68" s="558">
        <f t="shared" si="33"/>
        <v>553.81130403632869</v>
      </c>
      <c r="L68" s="558">
        <f t="shared" si="33"/>
        <v>543.09328341700882</v>
      </c>
      <c r="M68" s="558">
        <f t="shared" si="33"/>
        <v>537.27739619350223</v>
      </c>
      <c r="N68" s="558">
        <f t="shared" si="33"/>
        <v>539.54379348266241</v>
      </c>
      <c r="O68" s="558">
        <f t="shared" si="33"/>
        <v>553.13498230559514</v>
      </c>
      <c r="P68" s="558">
        <f t="shared" si="33"/>
        <v>567.58596311600286</v>
      </c>
      <c r="Q68" s="558">
        <f t="shared" ref="Q68:AB68" si="34">Q$43/Q$45/Q$46*Q49*(1-15%)+Q$54</f>
        <v>579.46242452960519</v>
      </c>
      <c r="R68" s="558">
        <f t="shared" si="34"/>
        <v>594.45092390519449</v>
      </c>
      <c r="S68" s="558">
        <f t="shared" si="34"/>
        <v>615.9169439439554</v>
      </c>
      <c r="T68" s="558">
        <f t="shared" si="34"/>
        <v>633.59484279940591</v>
      </c>
      <c r="U68" s="558">
        <f t="shared" si="34"/>
        <v>651.72016909654883</v>
      </c>
      <c r="V68" s="558">
        <f t="shared" si="34"/>
        <v>673.88284490629746</v>
      </c>
      <c r="W68" s="558">
        <f t="shared" si="34"/>
        <v>713.63628804504094</v>
      </c>
      <c r="X68" s="558">
        <f t="shared" si="34"/>
        <v>762.26613786102757</v>
      </c>
      <c r="Y68" s="558">
        <f t="shared" si="34"/>
        <v>779.64458540396276</v>
      </c>
      <c r="Z68" s="558">
        <f t="shared" si="34"/>
        <v>798.03800052356428</v>
      </c>
      <c r="AA68" s="558">
        <f t="shared" si="34"/>
        <v>804.86922356543857</v>
      </c>
      <c r="AB68" s="558">
        <f t="shared" si="34"/>
        <v>796.20025507139667</v>
      </c>
      <c r="AC68" s="558">
        <f>AC$43/AC$45/AC$46*AC49*(1-15%)+AC$54-$AC$57</f>
        <v>770.22618063694426</v>
      </c>
      <c r="AD68" s="558">
        <f t="shared" ref="AD68:AR68" si="35">AD$43/AD$45/AD$46*AD49*(1-15%)+AD$54-$AC$57</f>
        <v>740.40036075253454</v>
      </c>
      <c r="AE68" s="558">
        <f t="shared" si="35"/>
        <v>724.68193222699915</v>
      </c>
      <c r="AF68" s="558">
        <f t="shared" si="35"/>
        <v>712.64550840813547</v>
      </c>
      <c r="AG68" s="558">
        <f t="shared" si="35"/>
        <v>704.41330922945792</v>
      </c>
      <c r="AH68" s="558">
        <f t="shared" si="35"/>
        <v>711.32653726901037</v>
      </c>
      <c r="AI68" s="558">
        <f t="shared" si="35"/>
        <v>727.45740269463272</v>
      </c>
      <c r="AJ68" s="558">
        <f t="shared" si="35"/>
        <v>747.47695889250326</v>
      </c>
      <c r="AK68" s="558">
        <f t="shared" si="35"/>
        <v>787.94814804071632</v>
      </c>
      <c r="AL68" s="558">
        <f t="shared" si="35"/>
        <v>826.83505576319908</v>
      </c>
      <c r="AM68" s="558">
        <f t="shared" si="35"/>
        <v>859.96094011938749</v>
      </c>
      <c r="AN68" s="558">
        <f t="shared" si="35"/>
        <v>885.45346851523698</v>
      </c>
      <c r="AO68" s="558">
        <f t="shared" si="35"/>
        <v>920.88376221794329</v>
      </c>
      <c r="AP68" s="558">
        <f t="shared" si="35"/>
        <v>965.81974447503399</v>
      </c>
      <c r="AQ68" s="558">
        <f t="shared" si="35"/>
        <v>995.92109156391837</v>
      </c>
      <c r="AR68" s="558">
        <f t="shared" si="35"/>
        <v>1026.1664642369606</v>
      </c>
      <c r="AS68" s="558">
        <f t="shared" ref="AS68:AT68" si="36">AS$43/AS$45/AS$46*AS49*(1-15%)+AS$54-$AC$57</f>
        <v>1071.8225744148378</v>
      </c>
      <c r="AT68" s="558">
        <f t="shared" si="36"/>
        <v>1155.5014388102536</v>
      </c>
      <c r="AU68" s="558">
        <f t="shared" ref="AU68:AV68" si="37">AU$43/AU$45/AU$46*AU49*(1-15%)+AU$54-$AC$57</f>
        <v>1217.864516750383</v>
      </c>
      <c r="AV68" s="558">
        <f t="shared" si="37"/>
        <v>1264.8168571856766</v>
      </c>
      <c r="AW68" s="558">
        <f>AW$43/AW$45/AW$46*AW49*(1-15%)+AW$54-$AC$57</f>
        <v>1265.392959522306</v>
      </c>
      <c r="AX68" s="2573"/>
      <c r="AY68" s="569"/>
    </row>
    <row r="69" spans="2:51" s="516" customFormat="1">
      <c r="B69" s="5" t="s">
        <v>201</v>
      </c>
      <c r="D69" s="532"/>
      <c r="E69" s="558">
        <f t="shared" ref="E69:P69" si="38">E$43/E$45/E$46*E50*(1-15%)+E$54+E$55</f>
        <v>686.23893858782515</v>
      </c>
      <c r="F69" s="558">
        <f t="shared" si="38"/>
        <v>691.18239660657468</v>
      </c>
      <c r="G69" s="558">
        <f t="shared" si="38"/>
        <v>682.70789714586112</v>
      </c>
      <c r="H69" s="558">
        <f t="shared" si="38"/>
        <v>672.67973945068331</v>
      </c>
      <c r="I69" s="558">
        <f t="shared" si="38"/>
        <v>669.43118132407631</v>
      </c>
      <c r="J69" s="558">
        <f t="shared" si="38"/>
        <v>669.00867395153796</v>
      </c>
      <c r="K69" s="558">
        <f t="shared" si="38"/>
        <v>660.10070871381072</v>
      </c>
      <c r="L69" s="558">
        <f t="shared" si="38"/>
        <v>649.21779546957816</v>
      </c>
      <c r="M69" s="558">
        <f t="shared" si="38"/>
        <v>643.31243305801763</v>
      </c>
      <c r="N69" s="558">
        <f t="shared" si="38"/>
        <v>645.61369799778026</v>
      </c>
      <c r="O69" s="558">
        <f t="shared" si="38"/>
        <v>659.41398203337349</v>
      </c>
      <c r="P69" s="558">
        <f t="shared" si="38"/>
        <v>674.08728562547992</v>
      </c>
      <c r="Q69" s="558">
        <f t="shared" ref="Q69:AB69" si="39">Q$43/Q$45/Q$46*Q50*(1-15%)+Q$54+Q$55</f>
        <v>686.14646183006062</v>
      </c>
      <c r="R69" s="558">
        <f t="shared" si="39"/>
        <v>701.36160093456601</v>
      </c>
      <c r="S69" s="558">
        <f t="shared" si="39"/>
        <v>723.15786743546175</v>
      </c>
      <c r="T69" s="558">
        <f t="shared" si="39"/>
        <v>741.10773396561137</v>
      </c>
      <c r="U69" s="558">
        <f t="shared" si="39"/>
        <v>759.51191143655649</v>
      </c>
      <c r="V69" s="558">
        <f t="shared" si="39"/>
        <v>782.01555148953207</v>
      </c>
      <c r="W69" s="558">
        <f t="shared" si="39"/>
        <v>822.38058606117943</v>
      </c>
      <c r="X69" s="558">
        <f t="shared" si="39"/>
        <v>871.75858741279649</v>
      </c>
      <c r="Y69" s="558">
        <f t="shared" si="39"/>
        <v>889.40439568716147</v>
      </c>
      <c r="Z69" s="558">
        <f t="shared" si="39"/>
        <v>908.08078642398755</v>
      </c>
      <c r="AA69" s="558">
        <f t="shared" si="39"/>
        <v>915.01710520496772</v>
      </c>
      <c r="AB69" s="558">
        <f t="shared" si="39"/>
        <v>906.21476796486354</v>
      </c>
      <c r="AC69" s="558">
        <f>AC$43/AC$45/AC$46*AC50*(1-15%)+AC$54+AC$55-$AC$57</f>
        <v>879.93340007757354</v>
      </c>
      <c r="AD69" s="558">
        <f t="shared" ref="AD69:AR69" si="40">AD$43/AD$45/AD$46*AD50*(1-15%)+AD$54+AD$55-$AC$57</f>
        <v>849.6487214257113</v>
      </c>
      <c r="AE69" s="558">
        <f t="shared" si="40"/>
        <v>833.68847092286001</v>
      </c>
      <c r="AF69" s="558">
        <f t="shared" si="40"/>
        <v>821.46687135293678</v>
      </c>
      <c r="AG69" s="558">
        <f t="shared" si="40"/>
        <v>813.10802295612575</v>
      </c>
      <c r="AH69" s="558">
        <f t="shared" si="40"/>
        <v>820.12760835013285</v>
      </c>
      <c r="AI69" s="558">
        <f t="shared" si="40"/>
        <v>836.50664093614944</v>
      </c>
      <c r="AJ69" s="558">
        <f t="shared" si="40"/>
        <v>856.83419030629477</v>
      </c>
      <c r="AK69" s="558">
        <f t="shared" si="40"/>
        <v>897.92801313371126</v>
      </c>
      <c r="AL69" s="558">
        <f t="shared" si="40"/>
        <v>937.41318097500141</v>
      </c>
      <c r="AM69" s="558">
        <f t="shared" si="40"/>
        <v>971.04869432128498</v>
      </c>
      <c r="AN69" s="558">
        <f t="shared" si="40"/>
        <v>996.93341546168608</v>
      </c>
      <c r="AO69" s="558">
        <f t="shared" si="40"/>
        <v>1008.8587338299141</v>
      </c>
      <c r="AP69" s="558">
        <f t="shared" si="40"/>
        <v>1053.1033932830496</v>
      </c>
      <c r="AQ69" s="558">
        <f t="shared" si="40"/>
        <v>1082.7416427244127</v>
      </c>
      <c r="AR69" s="558">
        <f t="shared" si="40"/>
        <v>1112.5217019717156</v>
      </c>
      <c r="AS69" s="558">
        <f t="shared" ref="AS69:AT69" si="41">AS$43/AS$45/AS$46*AS50*(1-15%)+AS$54+AS$55-$AC$57</f>
        <v>1157.4754104545489</v>
      </c>
      <c r="AT69" s="558">
        <f t="shared" si="41"/>
        <v>1239.8669077054196</v>
      </c>
      <c r="AU69" s="558">
        <f t="shared" ref="AU69:AV69" si="42">AU$43/AU$45/AU$46*AU50*(1-15%)+AU$54+AU$55-$AC$57</f>
        <v>1301.2705536772394</v>
      </c>
      <c r="AV69" s="558">
        <f t="shared" si="42"/>
        <v>1347.5005504135283</v>
      </c>
      <c r="AW69" s="558">
        <f t="shared" ref="AW69" si="43">AW$43/AW$45/AW$46*AW50*(1-15%)+AW$54+AW$55-$AC$57</f>
        <v>1348.0677896372865</v>
      </c>
    </row>
    <row r="70" spans="2:51" s="516" customFormat="1">
      <c r="B70" s="5" t="s">
        <v>202</v>
      </c>
      <c r="D70" s="532"/>
      <c r="E70" s="558">
        <f t="shared" ref="E70:P70" si="44">E$43/E$45/E$46*E51*(1-15%)+E$54+E$55</f>
        <v>666.18262319746941</v>
      </c>
      <c r="F70" s="558">
        <f t="shared" si="44"/>
        <v>670.90137857900322</v>
      </c>
      <c r="G70" s="558">
        <f t="shared" si="44"/>
        <v>662.81208363923099</v>
      </c>
      <c r="H70" s="558">
        <f t="shared" si="44"/>
        <v>653.23975129383405</v>
      </c>
      <c r="I70" s="558">
        <f t="shared" si="44"/>
        <v>650.13885490025473</v>
      </c>
      <c r="J70" s="558">
        <f t="shared" si="44"/>
        <v>649.73555240828614</v>
      </c>
      <c r="K70" s="558">
        <f t="shared" si="44"/>
        <v>641.23249468136464</v>
      </c>
      <c r="L70" s="558">
        <f t="shared" si="44"/>
        <v>630.84425931187002</v>
      </c>
      <c r="M70" s="558">
        <f t="shared" si="44"/>
        <v>625.20732246447142</v>
      </c>
      <c r="N70" s="558">
        <f t="shared" si="44"/>
        <v>627.40398445242658</v>
      </c>
      <c r="O70" s="558">
        <f t="shared" si="44"/>
        <v>640.57698285003835</v>
      </c>
      <c r="P70" s="558">
        <f t="shared" si="44"/>
        <v>654.58331809704896</v>
      </c>
      <c r="Q70" s="558">
        <f t="shared" ref="Q70:AB70" si="45">Q$43/Q$45/Q$46*Q51*(1-15%)+Q$54+Q$55</f>
        <v>666.09434992869433</v>
      </c>
      <c r="R70" s="558">
        <f t="shared" si="45"/>
        <v>680.62956984645155</v>
      </c>
      <c r="S70" s="558">
        <f t="shared" si="45"/>
        <v>701.43509696094293</v>
      </c>
      <c r="T70" s="558">
        <f t="shared" si="45"/>
        <v>718.56906046699487</v>
      </c>
      <c r="U70" s="558">
        <f t="shared" si="45"/>
        <v>736.13668441653329</v>
      </c>
      <c r="V70" s="558">
        <f t="shared" si="45"/>
        <v>757.61743173982825</v>
      </c>
      <c r="W70" s="558">
        <f t="shared" si="45"/>
        <v>796.1476920127642</v>
      </c>
      <c r="X70" s="558">
        <f t="shared" si="45"/>
        <v>843.28123875748975</v>
      </c>
      <c r="Y70" s="558">
        <f t="shared" si="45"/>
        <v>860.12496483756524</v>
      </c>
      <c r="Z70" s="558">
        <f t="shared" si="45"/>
        <v>877.95242872271763</v>
      </c>
      <c r="AA70" s="558">
        <f t="shared" si="45"/>
        <v>884.5734602863804</v>
      </c>
      <c r="AB70" s="558">
        <f t="shared" si="45"/>
        <v>876.17122928446281</v>
      </c>
      <c r="AC70" s="558">
        <f>AC$43/AC$45/AC$46*AC51*(1-15%)+AC$54+AC$55-$AC$57</f>
        <v>850.81174175568594</v>
      </c>
      <c r="AD70" s="558">
        <f t="shared" ref="AD70:AR70" si="46">AD$43/AD$45/AD$46*AD51*(1-15%)+AD$54+AD$55-$AC$57</f>
        <v>821.90363940618113</v>
      </c>
      <c r="AE70" s="558">
        <f t="shared" si="46"/>
        <v>806.66885483527756</v>
      </c>
      <c r="AF70" s="558">
        <f t="shared" si="46"/>
        <v>795.00278251853274</v>
      </c>
      <c r="AG70" s="558">
        <f t="shared" si="46"/>
        <v>787.02388177612227</v>
      </c>
      <c r="AH70" s="558">
        <f t="shared" si="46"/>
        <v>793.72439510676543</v>
      </c>
      <c r="AI70" s="558">
        <f t="shared" si="46"/>
        <v>809.3589262115994</v>
      </c>
      <c r="AJ70" s="558">
        <f t="shared" si="46"/>
        <v>828.7624960649199</v>
      </c>
      <c r="AK70" s="558">
        <f t="shared" si="46"/>
        <v>867.98841785472655</v>
      </c>
      <c r="AL70" s="558">
        <f t="shared" si="46"/>
        <v>905.67880533959431</v>
      </c>
      <c r="AM70" s="558">
        <f t="shared" si="46"/>
        <v>937.78543171559238</v>
      </c>
      <c r="AN70" s="558">
        <f t="shared" si="46"/>
        <v>962.49357462233888</v>
      </c>
      <c r="AO70" s="558">
        <f t="shared" si="46"/>
        <v>996.83370544188494</v>
      </c>
      <c r="AP70" s="558">
        <f t="shared" si="46"/>
        <v>1040.3870420910653</v>
      </c>
      <c r="AQ70" s="558">
        <f t="shared" si="46"/>
        <v>1069.5621938849072</v>
      </c>
      <c r="AR70" s="558">
        <f t="shared" si="46"/>
        <v>1098.8769397064707</v>
      </c>
      <c r="AS70" s="558">
        <f t="shared" ref="AS70:AT70" si="47">AS$43/AS$45/AS$46*AS51*(1-15%)+AS$54+AS$55-$AC$57</f>
        <v>1143.1282464942599</v>
      </c>
      <c r="AT70" s="558">
        <f t="shared" si="47"/>
        <v>1224.2323766005857</v>
      </c>
      <c r="AU70" s="558">
        <f t="shared" ref="AU70:AV70" si="48">AU$43/AU$45/AU$46*AU51*(1-15%)+AU$54+AU$55-$AC$57</f>
        <v>1284.6765906040957</v>
      </c>
      <c r="AV70" s="558">
        <f t="shared" si="48"/>
        <v>1330.1842436413801</v>
      </c>
      <c r="AW70" s="558">
        <f t="shared" ref="AW70" si="49">AW$43/AW$45/AW$46*AW51*(1-15%)+AW$54+AW$55-$AC$57</f>
        <v>1330.7426197522673</v>
      </c>
    </row>
    <row r="71" spans="2:51" s="516" customFormat="1">
      <c r="D71" s="532"/>
      <c r="E71" s="532"/>
      <c r="F71" s="532"/>
      <c r="G71" s="532"/>
      <c r="H71" s="532"/>
      <c r="I71" s="532"/>
      <c r="J71" s="532"/>
      <c r="K71" s="532"/>
      <c r="L71" s="532"/>
      <c r="M71" s="532"/>
      <c r="N71" s="532"/>
      <c r="O71" s="532"/>
      <c r="P71" s="532"/>
      <c r="Q71" s="532"/>
      <c r="R71" s="532"/>
      <c r="S71" s="532"/>
      <c r="T71" s="532"/>
      <c r="U71" s="532"/>
      <c r="V71" s="532"/>
      <c r="W71" s="532"/>
      <c r="X71" s="532"/>
      <c r="Y71" s="532"/>
      <c r="Z71" s="532"/>
      <c r="AA71" s="532"/>
      <c r="AB71" s="532"/>
      <c r="AC71" s="532"/>
      <c r="AD71" s="532"/>
      <c r="AE71" s="532"/>
      <c r="AF71" s="532"/>
    </row>
    <row r="72" spans="2:51" s="516" customFormat="1" ht="15.75">
      <c r="B72" s="570" t="s">
        <v>825</v>
      </c>
      <c r="D72" s="532"/>
      <c r="E72" s="532"/>
      <c r="F72" s="532"/>
      <c r="G72" s="532"/>
      <c r="H72" s="532"/>
      <c r="I72" s="532"/>
      <c r="J72" s="532"/>
      <c r="K72" s="532"/>
      <c r="L72" s="532"/>
      <c r="M72" s="532"/>
      <c r="N72" s="532"/>
      <c r="O72" s="532"/>
      <c r="P72" s="532"/>
      <c r="Q72" s="532"/>
      <c r="R72" s="532"/>
      <c r="S72" s="532"/>
      <c r="T72" s="532"/>
      <c r="U72" s="532"/>
      <c r="V72" s="532"/>
      <c r="W72" s="532"/>
      <c r="X72" s="532"/>
      <c r="Y72" s="532"/>
      <c r="Z72" s="532"/>
      <c r="AA72" s="532"/>
      <c r="AB72" s="532"/>
      <c r="AC72" s="532"/>
      <c r="AD72" s="532"/>
      <c r="AE72" s="532"/>
      <c r="AF72" s="532"/>
    </row>
    <row r="73" spans="2:51" s="516" customFormat="1">
      <c r="B73" s="5" t="s">
        <v>198</v>
      </c>
      <c r="D73" s="532"/>
      <c r="E73" s="532"/>
      <c r="F73" s="532"/>
      <c r="G73" s="532"/>
      <c r="H73" s="532"/>
      <c r="I73" s="532"/>
      <c r="J73" s="532"/>
      <c r="K73" s="532"/>
      <c r="L73" s="532"/>
      <c r="M73" s="532"/>
      <c r="N73" s="532"/>
      <c r="O73" s="532"/>
      <c r="P73" s="532"/>
      <c r="Q73" s="551">
        <f>Q59-Q66</f>
        <v>0</v>
      </c>
      <c r="R73" s="551">
        <f t="shared" ref="R73:AG73" si="50">R59-R66</f>
        <v>0</v>
      </c>
      <c r="S73" s="551">
        <f t="shared" si="50"/>
        <v>0</v>
      </c>
      <c r="T73" s="551">
        <f t="shared" si="50"/>
        <v>0</v>
      </c>
      <c r="U73" s="551">
        <f t="shared" si="50"/>
        <v>0</v>
      </c>
      <c r="V73" s="551">
        <f t="shared" si="50"/>
        <v>-32.530826332938432</v>
      </c>
      <c r="W73" s="551">
        <f t="shared" si="50"/>
        <v>-34.977192064553378</v>
      </c>
      <c r="X73" s="551">
        <f t="shared" si="50"/>
        <v>-37.969798207075769</v>
      </c>
      <c r="Y73" s="551">
        <f t="shared" si="50"/>
        <v>-39.0392411327947</v>
      </c>
      <c r="Z73" s="551">
        <f t="shared" si="50"/>
        <v>-40.171143601693302</v>
      </c>
      <c r="AA73" s="551">
        <f t="shared" si="50"/>
        <v>-40.591526558116357</v>
      </c>
      <c r="AB73" s="551">
        <f t="shared" si="50"/>
        <v>-40.058051573867488</v>
      </c>
      <c r="AC73" s="551">
        <f>AC59-AC66</f>
        <v>-38.82887776251664</v>
      </c>
      <c r="AD73" s="551">
        <f t="shared" si="50"/>
        <v>-73.986885385413871</v>
      </c>
      <c r="AE73" s="551">
        <f t="shared" si="50"/>
        <v>-72.052309566886379</v>
      </c>
      <c r="AF73" s="551">
        <f t="shared" si="50"/>
        <v>-70.570903558410805</v>
      </c>
      <c r="AG73" s="551">
        <f t="shared" si="50"/>
        <v>-69.557709813342854</v>
      </c>
      <c r="AH73" s="551">
        <f t="shared" ref="AH73:AP73" si="51">AH59-AH66</f>
        <v>-70.408568648980008</v>
      </c>
      <c r="AI73" s="551">
        <f t="shared" si="51"/>
        <v>-72.393905932133521</v>
      </c>
      <c r="AJ73" s="551">
        <f t="shared" si="51"/>
        <v>-74.85785131033299</v>
      </c>
      <c r="AK73" s="551">
        <f>AK59-AK66</f>
        <v>-79.838920743959193</v>
      </c>
      <c r="AL73" s="551">
        <f t="shared" si="51"/>
        <v>-126.93750254162808</v>
      </c>
      <c r="AM73" s="551">
        <f t="shared" si="51"/>
        <v>-133.05305042277041</v>
      </c>
      <c r="AN73" s="551">
        <f t="shared" si="51"/>
        <v>-137.75936335738879</v>
      </c>
      <c r="AO73" s="551">
        <f t="shared" si="51"/>
        <v>-144.30034065635004</v>
      </c>
      <c r="AP73" s="551">
        <f t="shared" si="51"/>
        <v>-152.59621430381287</v>
      </c>
      <c r="AQ73" s="551">
        <f t="shared" ref="AQ73:AR73" si="52">AQ59-AQ66</f>
        <v>95.540561917564446</v>
      </c>
      <c r="AR73" s="551">
        <f t="shared" si="52"/>
        <v>124.89924896730508</v>
      </c>
      <c r="AS73" s="551">
        <f t="shared" ref="AS73:AT73" si="53">AS59-AS66</f>
        <v>139.13593370429476</v>
      </c>
      <c r="AT73" s="551">
        <f t="shared" si="53"/>
        <v>117.59496787524472</v>
      </c>
      <c r="AU73" s="551">
        <f>AU59-AU66</f>
        <v>77.353594030186059</v>
      </c>
    </row>
    <row r="74" spans="2:51">
      <c r="B74" s="5" t="s">
        <v>199</v>
      </c>
      <c r="Q74" s="551">
        <f t="shared" ref="Q74:AG74" si="54">Q60-Q67</f>
        <v>0</v>
      </c>
      <c r="R74" s="551">
        <f t="shared" si="54"/>
        <v>0</v>
      </c>
      <c r="S74" s="551">
        <f t="shared" si="54"/>
        <v>0</v>
      </c>
      <c r="T74" s="551">
        <f t="shared" si="54"/>
        <v>0</v>
      </c>
      <c r="U74" s="551">
        <f t="shared" si="54"/>
        <v>0</v>
      </c>
      <c r="V74" s="551">
        <f t="shared" si="54"/>
        <v>-31.574037323146058</v>
      </c>
      <c r="W74" s="551">
        <f t="shared" si="54"/>
        <v>-33.948451121478342</v>
      </c>
      <c r="X74" s="551">
        <f t="shared" si="54"/>
        <v>-36.853039436279232</v>
      </c>
      <c r="Y74" s="551">
        <f t="shared" si="54"/>
        <v>-37.891028158300855</v>
      </c>
      <c r="Z74" s="551">
        <f t="shared" si="54"/>
        <v>-38.98963937811402</v>
      </c>
      <c r="AA74" s="551">
        <f t="shared" si="54"/>
        <v>-39.397658129936417</v>
      </c>
      <c r="AB74" s="551">
        <f t="shared" si="54"/>
        <v>-38.87987358640089</v>
      </c>
      <c r="AC74" s="551">
        <f t="shared" si="54"/>
        <v>-37.68685194597208</v>
      </c>
      <c r="AD74" s="551">
        <f t="shared" si="54"/>
        <v>-71.810800521136912</v>
      </c>
      <c r="AE74" s="551">
        <f t="shared" si="54"/>
        <v>-69.933123991389721</v>
      </c>
      <c r="AF74" s="551">
        <f t="shared" si="54"/>
        <v>-68.495288747869267</v>
      </c>
      <c r="AG74" s="551">
        <f t="shared" si="54"/>
        <v>-67.511894818832729</v>
      </c>
      <c r="AH74" s="551">
        <f t="shared" ref="AH74:AN74" si="55">AH60-AH67</f>
        <v>-68.33772839459823</v>
      </c>
      <c r="AI74" s="551">
        <f t="shared" si="55"/>
        <v>-70.264673404717882</v>
      </c>
      <c r="AJ74" s="551">
        <f t="shared" si="55"/>
        <v>-72.656149801205515</v>
      </c>
      <c r="AK74" s="551">
        <f t="shared" si="55"/>
        <v>-77.490717192666352</v>
      </c>
      <c r="AL74" s="551">
        <f t="shared" si="55"/>
        <v>-123.20404658452139</v>
      </c>
      <c r="AM74" s="551">
        <f t="shared" si="55"/>
        <v>-129.13972541033604</v>
      </c>
      <c r="AN74" s="551">
        <f t="shared" si="55"/>
        <v>-133.70761737628914</v>
      </c>
      <c r="AO74" s="551"/>
      <c r="AP74" s="551"/>
      <c r="AQ74" s="551"/>
      <c r="AR74" s="551"/>
      <c r="AS74" s="551"/>
      <c r="AT74" s="551"/>
    </row>
    <row r="75" spans="2:51">
      <c r="B75" s="5" t="s">
        <v>200</v>
      </c>
      <c r="Q75" s="551">
        <f t="shared" ref="Q75:AG75" si="56">Q61-Q68</f>
        <v>0</v>
      </c>
      <c r="R75" s="551">
        <f t="shared" si="56"/>
        <v>0</v>
      </c>
      <c r="S75" s="551">
        <f t="shared" si="56"/>
        <v>0</v>
      </c>
      <c r="T75" s="551">
        <f t="shared" si="56"/>
        <v>0</v>
      </c>
      <c r="U75" s="551">
        <f t="shared" si="56"/>
        <v>0</v>
      </c>
      <c r="V75" s="551">
        <f t="shared" si="56"/>
        <v>-31.095642818249871</v>
      </c>
      <c r="W75" s="551">
        <f t="shared" si="56"/>
        <v>-33.434080649940711</v>
      </c>
      <c r="X75" s="551">
        <f t="shared" si="56"/>
        <v>-36.294660050881134</v>
      </c>
      <c r="Y75" s="551">
        <f t="shared" si="56"/>
        <v>-37.316921671053819</v>
      </c>
      <c r="Z75" s="551">
        <f t="shared" si="56"/>
        <v>-38.39888726632455</v>
      </c>
      <c r="AA75" s="551">
        <f t="shared" si="56"/>
        <v>-38.800723915846447</v>
      </c>
      <c r="AB75" s="551">
        <f t="shared" si="56"/>
        <v>-38.290784592667478</v>
      </c>
      <c r="AC75" s="551">
        <f t="shared" si="56"/>
        <v>-37.115839037699743</v>
      </c>
      <c r="AD75" s="551">
        <f t="shared" si="56"/>
        <v>-70.722758088998489</v>
      </c>
      <c r="AE75" s="551">
        <f t="shared" si="56"/>
        <v>-68.873531203641392</v>
      </c>
      <c r="AF75" s="551">
        <f t="shared" si="56"/>
        <v>-67.457481342598612</v>
      </c>
      <c r="AG75" s="551">
        <f t="shared" si="56"/>
        <v>-66.488987321577724</v>
      </c>
      <c r="AH75" s="551">
        <f t="shared" ref="AH75:AP75" si="57">AH61-AH68</f>
        <v>-67.302308267407398</v>
      </c>
      <c r="AI75" s="551">
        <f t="shared" si="57"/>
        <v>-69.200057141010006</v>
      </c>
      <c r="AJ75" s="551">
        <f t="shared" si="57"/>
        <v>-71.555299046641835</v>
      </c>
      <c r="AK75" s="551">
        <f t="shared" si="57"/>
        <v>-76.316615417019875</v>
      </c>
      <c r="AL75" s="551">
        <f t="shared" si="57"/>
        <v>-121.33731860596799</v>
      </c>
      <c r="AM75" s="551">
        <f t="shared" si="57"/>
        <v>-127.18306290411886</v>
      </c>
      <c r="AN75" s="551">
        <f t="shared" si="57"/>
        <v>-131.68174438573931</v>
      </c>
      <c r="AO75" s="551">
        <f t="shared" si="57"/>
        <v>-137.93414915680523</v>
      </c>
      <c r="AP75" s="551">
        <f t="shared" si="57"/>
        <v>-145.86402837864466</v>
      </c>
      <c r="AQ75" s="551">
        <f t="shared" ref="AQ75:AR75" si="58">AQ61-AQ68</f>
        <v>39.078908436081633</v>
      </c>
      <c r="AR75" s="551">
        <f t="shared" si="58"/>
        <v>208.83353576303944</v>
      </c>
      <c r="AS75" s="551">
        <f t="shared" ref="AS75:AT75" si="59">AS61-AS68</f>
        <v>221.17742558516215</v>
      </c>
      <c r="AT75" s="551">
        <f t="shared" si="59"/>
        <v>191.4985611897464</v>
      </c>
      <c r="AU75" s="551">
        <f t="shared" ref="AU75" si="60">AU61-AU68</f>
        <v>77.135483249616982</v>
      </c>
    </row>
    <row r="76" spans="2:51">
      <c r="B76" s="5" t="s">
        <v>201</v>
      </c>
      <c r="Q76" s="551">
        <f t="shared" ref="Q76:AG76" si="61">Q62-Q69</f>
        <v>0</v>
      </c>
      <c r="R76" s="551">
        <f t="shared" si="61"/>
        <v>0</v>
      </c>
      <c r="S76" s="551">
        <f t="shared" si="61"/>
        <v>0</v>
      </c>
      <c r="T76" s="551">
        <f t="shared" si="61"/>
        <v>0</v>
      </c>
      <c r="U76" s="551">
        <f t="shared" si="61"/>
        <v>0</v>
      </c>
      <c r="V76" s="551">
        <f t="shared" si="61"/>
        <v>-31.574037323146058</v>
      </c>
      <c r="W76" s="551">
        <f t="shared" si="61"/>
        <v>-33.948451121478342</v>
      </c>
      <c r="X76" s="551">
        <f t="shared" si="61"/>
        <v>-36.853039436279232</v>
      </c>
      <c r="Y76" s="551">
        <f t="shared" si="61"/>
        <v>-37.891028158300855</v>
      </c>
      <c r="Z76" s="551">
        <f t="shared" si="61"/>
        <v>-38.98963937811402</v>
      </c>
      <c r="AA76" s="551">
        <f t="shared" si="61"/>
        <v>-39.397658129936417</v>
      </c>
      <c r="AB76" s="551">
        <f t="shared" si="61"/>
        <v>-38.87987358640089</v>
      </c>
      <c r="AC76" s="551">
        <f t="shared" si="61"/>
        <v>-37.68685194597208</v>
      </c>
      <c r="AD76" s="551">
        <f t="shared" si="61"/>
        <v>-71.810800521136912</v>
      </c>
      <c r="AE76" s="551">
        <f t="shared" si="61"/>
        <v>-69.933123991389721</v>
      </c>
      <c r="AF76" s="551">
        <f t="shared" si="61"/>
        <v>-68.495288747869267</v>
      </c>
      <c r="AG76" s="551">
        <f t="shared" si="61"/>
        <v>-67.511894818832729</v>
      </c>
      <c r="AH76" s="551">
        <f t="shared" ref="AH76:AP76" si="62">AH62-AH69</f>
        <v>-68.33772839459823</v>
      </c>
      <c r="AI76" s="551">
        <f t="shared" si="62"/>
        <v>-70.264673404717882</v>
      </c>
      <c r="AJ76" s="551">
        <f t="shared" si="62"/>
        <v>-72.656149801205515</v>
      </c>
      <c r="AK76" s="551">
        <f t="shared" si="62"/>
        <v>-77.490717192666352</v>
      </c>
      <c r="AL76" s="551">
        <f t="shared" si="62"/>
        <v>-123.20404658452139</v>
      </c>
      <c r="AM76" s="551">
        <f t="shared" si="62"/>
        <v>-129.13972541033604</v>
      </c>
      <c r="AN76" s="551">
        <f t="shared" si="62"/>
        <v>-133.70761737628914</v>
      </c>
      <c r="AO76" s="551">
        <f t="shared" si="62"/>
        <v>-135.81208532362348</v>
      </c>
      <c r="AP76" s="551">
        <f t="shared" si="62"/>
        <v>-143.61996640358859</v>
      </c>
      <c r="AQ76" s="551">
        <f t="shared" ref="AQ76:AR76" si="63">AQ62-AQ69</f>
        <v>41.258357275587286</v>
      </c>
      <c r="AR76" s="551">
        <f t="shared" si="63"/>
        <v>118.47829802828437</v>
      </c>
      <c r="AS76" s="551">
        <f t="shared" ref="AS76:AT76" si="64">AS62-AS69</f>
        <v>131.52458954545114</v>
      </c>
      <c r="AT76" s="551">
        <f t="shared" si="64"/>
        <v>111.13309229458036</v>
      </c>
      <c r="AU76" s="551">
        <f t="shared" ref="AU76" si="65">AU62-AU69</f>
        <v>73.729446322760623</v>
      </c>
    </row>
    <row r="77" spans="2:51">
      <c r="B77" s="5" t="s">
        <v>202</v>
      </c>
      <c r="Q77" s="551">
        <f t="shared" ref="Q77:AG77" si="66">Q63-Q70</f>
        <v>0</v>
      </c>
      <c r="R77" s="551">
        <f t="shared" si="66"/>
        <v>0</v>
      </c>
      <c r="S77" s="551">
        <f t="shared" si="66"/>
        <v>0</v>
      </c>
      <c r="T77" s="551">
        <f t="shared" si="66"/>
        <v>0</v>
      </c>
      <c r="U77" s="551">
        <f t="shared" si="66"/>
        <v>0</v>
      </c>
      <c r="V77" s="551">
        <f t="shared" si="66"/>
        <v>-30.138853808457611</v>
      </c>
      <c r="W77" s="551">
        <f t="shared" si="66"/>
        <v>-32.405339706865675</v>
      </c>
      <c r="X77" s="551">
        <f t="shared" si="66"/>
        <v>-35.177901280084825</v>
      </c>
      <c r="Y77" s="551">
        <f t="shared" si="66"/>
        <v>-36.168708696559747</v>
      </c>
      <c r="Z77" s="551">
        <f t="shared" si="66"/>
        <v>-37.217383042745269</v>
      </c>
      <c r="AA77" s="551">
        <f t="shared" si="66"/>
        <v>-37.606855487666621</v>
      </c>
      <c r="AB77" s="551">
        <f t="shared" si="66"/>
        <v>-37.112606605200881</v>
      </c>
      <c r="AC77" s="551">
        <f t="shared" si="66"/>
        <v>-35.973813221155183</v>
      </c>
      <c r="AD77" s="551">
        <f t="shared" si="66"/>
        <v>-68.54667322472153</v>
      </c>
      <c r="AE77" s="551">
        <f t="shared" si="66"/>
        <v>-66.75434562814462</v>
      </c>
      <c r="AF77" s="551">
        <f t="shared" si="66"/>
        <v>-65.381866532057074</v>
      </c>
      <c r="AG77" s="551">
        <f t="shared" si="66"/>
        <v>-64.4431723270676</v>
      </c>
      <c r="AH77" s="551">
        <f t="shared" ref="AH77:AP77" si="67">AH63-AH70</f>
        <v>-65.231468013025619</v>
      </c>
      <c r="AI77" s="551">
        <f t="shared" si="67"/>
        <v>-67.070824613594368</v>
      </c>
      <c r="AJ77" s="551">
        <f t="shared" si="67"/>
        <v>-69.353597537514361</v>
      </c>
      <c r="AK77" s="551">
        <f t="shared" si="67"/>
        <v>-73.968411865726921</v>
      </c>
      <c r="AL77" s="551">
        <f t="shared" si="67"/>
        <v>-117.6038626488612</v>
      </c>
      <c r="AM77" s="551">
        <f t="shared" si="67"/>
        <v>-123.26973789168449</v>
      </c>
      <c r="AN77" s="551">
        <f t="shared" si="67"/>
        <v>-127.62999840463976</v>
      </c>
      <c r="AO77" s="551">
        <f t="shared" si="67"/>
        <v>-133.69002149044195</v>
      </c>
      <c r="AP77" s="551">
        <f t="shared" si="67"/>
        <v>-141.37590442853252</v>
      </c>
      <c r="AQ77" s="551">
        <f t="shared" ref="AQ77:AR77" si="68">AQ63-AQ70</f>
        <v>43.437806115092826</v>
      </c>
      <c r="AR77" s="551">
        <f t="shared" si="68"/>
        <v>180.12306029352931</v>
      </c>
      <c r="AS77" s="551">
        <f t="shared" ref="AS77:AT77" si="69">AS63-AS70</f>
        <v>201.87175350574012</v>
      </c>
      <c r="AT77" s="551">
        <f t="shared" si="69"/>
        <v>175.76762339941433</v>
      </c>
      <c r="AU77" s="551">
        <f t="shared" ref="AU77" si="70">AU63-AU70</f>
        <v>70.323409395904264</v>
      </c>
    </row>
    <row r="78" spans="2:51">
      <c r="AL78" s="1682"/>
      <c r="AM78" s="1682">
        <f>AM79*6</f>
        <v>558.48</v>
      </c>
    </row>
    <row r="79" spans="2:51" s="263" customFormat="1" ht="15.75">
      <c r="B79" s="570" t="s">
        <v>77</v>
      </c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571"/>
      <c r="O79" s="571"/>
      <c r="P79" s="571"/>
      <c r="Q79" s="571">
        <f>SUM(Q80:Q84)</f>
        <v>90.87</v>
      </c>
      <c r="R79" s="571">
        <f t="shared" ref="R79:AG79" si="71">SUM(R80:R84)</f>
        <v>98.16</v>
      </c>
      <c r="S79" s="571">
        <f t="shared" si="71"/>
        <v>75.580000000000013</v>
      </c>
      <c r="T79" s="571">
        <f t="shared" si="71"/>
        <v>96.51</v>
      </c>
      <c r="U79" s="571">
        <f t="shared" si="71"/>
        <v>91.55</v>
      </c>
      <c r="V79" s="571">
        <f t="shared" si="71"/>
        <v>89.04000000000002</v>
      </c>
      <c r="W79" s="571">
        <f t="shared" si="71"/>
        <v>88.070000000000007</v>
      </c>
      <c r="X79" s="571">
        <f t="shared" si="71"/>
        <v>97.66</v>
      </c>
      <c r="Y79" s="571">
        <f t="shared" si="71"/>
        <v>93.83</v>
      </c>
      <c r="Z79" s="571">
        <f t="shared" si="71"/>
        <v>87.46</v>
      </c>
      <c r="AA79" s="571">
        <f t="shared" si="71"/>
        <v>91.67</v>
      </c>
      <c r="AB79" s="571">
        <f t="shared" si="71"/>
        <v>96.03</v>
      </c>
      <c r="AC79" s="571">
        <f t="shared" si="71"/>
        <v>85.27000000000001</v>
      </c>
      <c r="AD79" s="571">
        <f t="shared" si="71"/>
        <v>104.4</v>
      </c>
      <c r="AE79" s="571">
        <f t="shared" si="71"/>
        <v>92.16</v>
      </c>
      <c r="AF79" s="571">
        <f t="shared" si="71"/>
        <v>101.15</v>
      </c>
      <c r="AG79" s="571">
        <f t="shared" si="71"/>
        <v>100.51</v>
      </c>
      <c r="AH79" s="571">
        <f t="shared" ref="AH79:AP79" si="72">SUM(AH80:AH84)</f>
        <v>83.66</v>
      </c>
      <c r="AI79" s="571">
        <f>SUM(AI80:AI84)</f>
        <v>55.28</v>
      </c>
      <c r="AJ79" s="571">
        <f t="shared" si="72"/>
        <v>73.27</v>
      </c>
      <c r="AK79" s="571">
        <f t="shared" si="72"/>
        <v>58.31</v>
      </c>
      <c r="AL79" s="571">
        <f>SUM(AL80:AL84)</f>
        <v>78.400000000000006</v>
      </c>
      <c r="AM79" s="571">
        <f t="shared" si="72"/>
        <v>93.08</v>
      </c>
      <c r="AN79" s="571">
        <f t="shared" si="72"/>
        <v>91.47999999999999</v>
      </c>
      <c r="AO79" s="571">
        <f t="shared" si="72"/>
        <v>99.17</v>
      </c>
      <c r="AP79" s="571">
        <f t="shared" si="72"/>
        <v>97.780000000000015</v>
      </c>
      <c r="AQ79" s="571">
        <f t="shared" ref="AQ79:AV79" si="73">SUM(AQ80:AQ84)</f>
        <v>89.14</v>
      </c>
      <c r="AR79" s="571">
        <f t="shared" si="73"/>
        <v>98.16</v>
      </c>
      <c r="AS79" s="571">
        <f t="shared" si="73"/>
        <v>93.050000000000011</v>
      </c>
      <c r="AT79" s="571">
        <f t="shared" si="73"/>
        <v>103.56</v>
      </c>
      <c r="AU79" s="2544">
        <f t="shared" si="73"/>
        <v>89.16</v>
      </c>
      <c r="AV79" s="2544">
        <f t="shared" si="73"/>
        <v>96.009999999999991</v>
      </c>
      <c r="AW79" s="2544">
        <f t="shared" ref="AW79" si="74">SUM(AW80:AW84)</f>
        <v>0</v>
      </c>
    </row>
    <row r="80" spans="2:51">
      <c r="B80" s="5" t="s">
        <v>198</v>
      </c>
      <c r="Q80" s="523">
        <f>'#需填写'!C38</f>
        <v>27.54</v>
      </c>
      <c r="R80" s="523">
        <f>'#需填写'!D38</f>
        <v>26.21</v>
      </c>
      <c r="S80" s="523">
        <f>'#需填写'!E38</f>
        <v>24.44</v>
      </c>
      <c r="T80" s="523">
        <f>'#需填写'!F38</f>
        <v>28.65</v>
      </c>
      <c r="U80" s="523">
        <f>'#需填写'!G38</f>
        <v>25.1</v>
      </c>
      <c r="V80" s="523">
        <f>'#需填写'!H38</f>
        <v>27.94</v>
      </c>
      <c r="W80" s="523">
        <f>'#需填写'!I38</f>
        <v>26.35</v>
      </c>
      <c r="X80" s="523">
        <f>'#需填写'!J38</f>
        <v>27.81</v>
      </c>
      <c r="Y80" s="523">
        <f>'#需填写'!K38</f>
        <v>26.83</v>
      </c>
      <c r="Z80" s="523">
        <f>'#需填写'!L38</f>
        <v>26.61</v>
      </c>
      <c r="AA80" s="523">
        <f>'#需填写'!M38</f>
        <v>22.85</v>
      </c>
      <c r="AB80" s="523">
        <f>'#需填写'!N38</f>
        <v>25.51</v>
      </c>
      <c r="AC80" s="523">
        <f>'#需填写'!O38</f>
        <v>24.1</v>
      </c>
      <c r="AD80" s="523">
        <f>'#需填写'!P38</f>
        <v>31.62</v>
      </c>
      <c r="AE80" s="523">
        <f>'#需填写'!Q38</f>
        <v>27.5</v>
      </c>
      <c r="AF80" s="523">
        <f>'#需填写'!R38</f>
        <v>29.82</v>
      </c>
      <c r="AG80" s="523">
        <f>'#需填写'!S38</f>
        <v>28.83</v>
      </c>
      <c r="AH80" s="523">
        <f>'#需填写'!T38</f>
        <v>29.95</v>
      </c>
      <c r="AI80" s="523">
        <f>'#需填写'!U38</f>
        <v>10.9</v>
      </c>
      <c r="AJ80" s="523">
        <f>'#需填写'!V38</f>
        <v>23.74</v>
      </c>
      <c r="AK80" s="523">
        <f>'#需填写'!W38</f>
        <v>24.49</v>
      </c>
      <c r="AL80" s="523">
        <f>'#需填写'!X38</f>
        <v>28.68</v>
      </c>
      <c r="AM80" s="523">
        <f>'#需填写'!Y38</f>
        <v>29.19</v>
      </c>
      <c r="AN80" s="523">
        <f>'#需填写'!Z38</f>
        <v>26.4</v>
      </c>
      <c r="AO80" s="523">
        <f>'#需填写'!AA38</f>
        <v>28.7</v>
      </c>
      <c r="AP80" s="523">
        <f>'#需填写'!AB38</f>
        <v>27.73</v>
      </c>
      <c r="AQ80" s="523">
        <f>'#需填写'!AC38</f>
        <v>27.74</v>
      </c>
      <c r="AR80" s="523">
        <f>'#需填写'!AD38</f>
        <v>29.35</v>
      </c>
      <c r="AS80" s="523">
        <f>'#需填写'!AE38</f>
        <v>31</v>
      </c>
      <c r="AT80" s="523">
        <f>'#需填写'!AF38</f>
        <v>32.81</v>
      </c>
      <c r="AU80" s="2545">
        <f>'#需填写'!AG38</f>
        <v>31.43</v>
      </c>
      <c r="AV80" s="2545">
        <f>'#需填写'!AH38</f>
        <v>30.84</v>
      </c>
      <c r="AW80" s="2545">
        <f>'#需填写'!AI38</f>
        <v>0</v>
      </c>
    </row>
    <row r="81" spans="2:49">
      <c r="B81" s="5" t="s">
        <v>199</v>
      </c>
      <c r="Q81" s="523">
        <f>'#需填写'!C39</f>
        <v>0</v>
      </c>
      <c r="R81" s="523">
        <f>'#需填写'!D39</f>
        <v>0</v>
      </c>
      <c r="S81" s="523">
        <f>'#需填写'!E39</f>
        <v>0</v>
      </c>
      <c r="T81" s="523">
        <f>'#需填写'!F39</f>
        <v>0</v>
      </c>
      <c r="U81" s="523">
        <f>'#需填写'!G39</f>
        <v>0</v>
      </c>
      <c r="V81" s="523">
        <f>'#需填写'!H39</f>
        <v>0</v>
      </c>
      <c r="W81" s="523">
        <f>'#需填写'!I39</f>
        <v>0</v>
      </c>
      <c r="X81" s="523">
        <f>'#需填写'!J39</f>
        <v>0</v>
      </c>
      <c r="Y81" s="523">
        <f>'#需填写'!K39</f>
        <v>0</v>
      </c>
      <c r="Z81" s="523">
        <f>'#需填写'!L39</f>
        <v>0</v>
      </c>
      <c r="AA81" s="523">
        <f>'#需填写'!M39</f>
        <v>0</v>
      </c>
      <c r="AB81" s="523">
        <f>'#需填写'!N39</f>
        <v>0</v>
      </c>
      <c r="AC81" s="523">
        <f>'#需填写'!O39</f>
        <v>0</v>
      </c>
      <c r="AD81" s="523">
        <f>'#需填写'!P39</f>
        <v>0</v>
      </c>
      <c r="AE81" s="523">
        <f>'#需填写'!Q39</f>
        <v>0</v>
      </c>
      <c r="AF81" s="523">
        <f>'#需填写'!R39</f>
        <v>0</v>
      </c>
      <c r="AG81" s="523">
        <f>'#需填写'!S39</f>
        <v>0</v>
      </c>
      <c r="AH81" s="523">
        <f>'#需填写'!T39</f>
        <v>0</v>
      </c>
      <c r="AI81" s="523">
        <f>'#需填写'!U39</f>
        <v>0</v>
      </c>
      <c r="AJ81" s="523">
        <f>'#需填写'!V39</f>
        <v>0</v>
      </c>
      <c r="AK81" s="523">
        <f>'#需填写'!W39</f>
        <v>0</v>
      </c>
      <c r="AL81" s="523">
        <f>'#需填写'!X39</f>
        <v>0</v>
      </c>
      <c r="AM81" s="523">
        <f>'#需填写'!Y39</f>
        <v>0</v>
      </c>
      <c r="AN81" s="523">
        <f>'#需填写'!Z39</f>
        <v>0</v>
      </c>
      <c r="AO81" s="523">
        <f>'#需填写'!AA39</f>
        <v>0</v>
      </c>
      <c r="AP81" s="523">
        <f>'#需填写'!AB39</f>
        <v>0</v>
      </c>
      <c r="AQ81" s="523">
        <f>'#需填写'!AC39</f>
        <v>0</v>
      </c>
      <c r="AR81" s="523">
        <f>'#需填写'!AD39</f>
        <v>0</v>
      </c>
      <c r="AS81" s="523">
        <f>'#需填写'!AE39</f>
        <v>0</v>
      </c>
      <c r="AT81" s="523">
        <f>'#需填写'!AF39</f>
        <v>0</v>
      </c>
      <c r="AU81" s="2545">
        <f>'#需填写'!AG39</f>
        <v>0</v>
      </c>
      <c r="AV81" s="2545">
        <f>'#需填写'!AH39</f>
        <v>0</v>
      </c>
      <c r="AW81" s="2545">
        <f>'#需填写'!AI39</f>
        <v>0</v>
      </c>
    </row>
    <row r="82" spans="2:49">
      <c r="B82" s="5" t="s">
        <v>200</v>
      </c>
      <c r="Q82" s="523">
        <f>'#需填写'!C40</f>
        <v>28.01</v>
      </c>
      <c r="R82" s="523">
        <f>'#需填写'!D40</f>
        <v>31.99</v>
      </c>
      <c r="S82" s="523">
        <f>'#需填写'!E40</f>
        <v>18.899999999999999</v>
      </c>
      <c r="T82" s="523">
        <f>'#需填写'!F40</f>
        <v>26.35</v>
      </c>
      <c r="U82" s="523">
        <f>'#需填写'!G40</f>
        <v>28.52</v>
      </c>
      <c r="V82" s="523">
        <f>'#需填写'!H40</f>
        <v>22.96</v>
      </c>
      <c r="W82" s="523">
        <f>'#需填写'!I40</f>
        <v>26.46</v>
      </c>
      <c r="X82" s="523">
        <f>'#需填写'!J40</f>
        <v>27.88</v>
      </c>
      <c r="Y82" s="523">
        <f>'#需填写'!K40</f>
        <v>27.37</v>
      </c>
      <c r="Z82" s="523">
        <f>'#需填写'!L40</f>
        <v>31.47</v>
      </c>
      <c r="AA82" s="523">
        <f>'#需填写'!M40</f>
        <v>27.26</v>
      </c>
      <c r="AB82" s="523">
        <f>'#需填写'!N40</f>
        <v>31.69</v>
      </c>
      <c r="AC82" s="523">
        <f>'#需填写'!O40</f>
        <v>26.35</v>
      </c>
      <c r="AD82" s="523">
        <f>'#需填写'!P40</f>
        <v>25.46</v>
      </c>
      <c r="AE82" s="523">
        <f>'#需填写'!Q40</f>
        <v>24.14</v>
      </c>
      <c r="AF82" s="523">
        <f>'#需填写'!R40</f>
        <v>33.03</v>
      </c>
      <c r="AG82" s="523">
        <f>'#需填写'!S40</f>
        <v>28.8</v>
      </c>
      <c r="AH82" s="523">
        <f>'#需填写'!T40</f>
        <v>22.66</v>
      </c>
      <c r="AI82" s="523">
        <f>'#需填写'!U40</f>
        <v>15.03</v>
      </c>
      <c r="AJ82" s="523">
        <f>'#需填写'!V40</f>
        <v>16.690000000000001</v>
      </c>
      <c r="AK82" s="523">
        <f>'#需填写'!W40</f>
        <v>7.78</v>
      </c>
      <c r="AL82" s="523">
        <f>'#需填写'!X40</f>
        <v>15.28</v>
      </c>
      <c r="AM82" s="523">
        <f>'#需填写'!Y40</f>
        <v>23.86</v>
      </c>
      <c r="AN82" s="523">
        <f>'#需填写'!Z40</f>
        <v>24.31</v>
      </c>
      <c r="AO82" s="523">
        <f>'#需填写'!AA40</f>
        <v>32.68</v>
      </c>
      <c r="AP82" s="523">
        <f>'#需填写'!AB40</f>
        <v>29.39</v>
      </c>
      <c r="AQ82" s="523">
        <f>'#需填写'!AC40</f>
        <v>23.86</v>
      </c>
      <c r="AR82" s="553">
        <f>'#需填写'!AD40</f>
        <v>25</v>
      </c>
      <c r="AS82" s="553">
        <f>'#需填写'!AE40</f>
        <v>25.45</v>
      </c>
      <c r="AT82" s="2527">
        <f>'#需填写'!AF40</f>
        <v>28.51</v>
      </c>
      <c r="AU82" s="2169">
        <f>'#需填写'!AG40</f>
        <v>25.97</v>
      </c>
      <c r="AV82" s="2169">
        <f>'#需填写'!AH40</f>
        <v>26.52</v>
      </c>
      <c r="AW82" s="2169">
        <f>'#需填写'!AI40</f>
        <v>0</v>
      </c>
    </row>
    <row r="83" spans="2:49">
      <c r="B83" s="5" t="s">
        <v>201</v>
      </c>
      <c r="Q83" s="523">
        <f>'#需填写'!C41</f>
        <v>15.37</v>
      </c>
      <c r="R83" s="523">
        <f>'#需填写'!D41</f>
        <v>18.670000000000002</v>
      </c>
      <c r="S83" s="523">
        <f>'#需填写'!E41</f>
        <v>13.06</v>
      </c>
      <c r="T83" s="523">
        <f>'#需填写'!F41</f>
        <v>17.95</v>
      </c>
      <c r="U83" s="523">
        <f>'#需填写'!G41</f>
        <v>19.05</v>
      </c>
      <c r="V83" s="523">
        <f>'#需填写'!H41</f>
        <v>14.71</v>
      </c>
      <c r="W83" s="523">
        <f>'#需填写'!I41</f>
        <v>7.13</v>
      </c>
      <c r="X83" s="523">
        <f>'#需填写'!J41</f>
        <v>18.329999999999998</v>
      </c>
      <c r="Y83" s="523">
        <f>'#需填写'!K41</f>
        <v>18.91</v>
      </c>
      <c r="Z83" s="523">
        <f>'#需填写'!L41</f>
        <v>14</v>
      </c>
      <c r="AA83" s="523">
        <f>'#需填写'!M41</f>
        <v>16</v>
      </c>
      <c r="AB83" s="523">
        <f>'#需填写'!N41</f>
        <v>18.7</v>
      </c>
      <c r="AC83" s="523">
        <f>'#需填写'!O41</f>
        <v>11.46</v>
      </c>
      <c r="AD83" s="523">
        <f>'#需填写'!P41</f>
        <v>24.67</v>
      </c>
      <c r="AE83" s="523">
        <f>'#需填写'!Q41</f>
        <v>16.77</v>
      </c>
      <c r="AF83" s="523">
        <f>'#需填写'!R41</f>
        <v>17.54</v>
      </c>
      <c r="AG83" s="523">
        <f>'#需填写'!S41</f>
        <v>16.96</v>
      </c>
      <c r="AH83" s="523">
        <f>'#需填写'!T41</f>
        <v>16.510000000000002</v>
      </c>
      <c r="AI83" s="523">
        <f>'#需填写'!U41</f>
        <v>14.1</v>
      </c>
      <c r="AJ83" s="523">
        <f>'#需填写'!V41</f>
        <v>18.260000000000002</v>
      </c>
      <c r="AK83" s="523">
        <f>'#需填写'!W41</f>
        <v>7.73</v>
      </c>
      <c r="AL83" s="523">
        <f>'#需填写'!X41</f>
        <v>15.54</v>
      </c>
      <c r="AM83" s="523">
        <f>'#需填写'!Y41</f>
        <v>13.8</v>
      </c>
      <c r="AN83" s="523">
        <f>'#需填写'!Z41</f>
        <v>18.05</v>
      </c>
      <c r="AO83" s="523">
        <f>'#需填写'!AA41</f>
        <v>16.95</v>
      </c>
      <c r="AP83" s="523">
        <f>'#需填写'!AB41</f>
        <v>18.96</v>
      </c>
      <c r="AQ83" s="523">
        <f>'#需填写'!AC41</f>
        <v>18.059999999999999</v>
      </c>
      <c r="AR83" s="523">
        <f>'#需填写'!AD41</f>
        <v>19.37</v>
      </c>
      <c r="AS83" s="523">
        <f>'#需填写'!AE41</f>
        <v>15.25</v>
      </c>
      <c r="AT83" s="523">
        <f>'#需填写'!AF41</f>
        <v>18.43</v>
      </c>
      <c r="AU83" s="2545">
        <f>'#需填写'!AG41</f>
        <v>7.57</v>
      </c>
      <c r="AV83" s="2545">
        <f>'#需填写'!AH41</f>
        <v>17.239999999999998</v>
      </c>
      <c r="AW83" s="2545">
        <f>'#需填写'!AI41</f>
        <v>0</v>
      </c>
    </row>
    <row r="84" spans="2:49">
      <c r="B84" s="5" t="s">
        <v>202</v>
      </c>
      <c r="Q84" s="523">
        <f>'#需填写'!C42</f>
        <v>19.95</v>
      </c>
      <c r="R84" s="523">
        <f>'#需填写'!D42</f>
        <v>21.29</v>
      </c>
      <c r="S84" s="523">
        <f>'#需填写'!E42</f>
        <v>19.18</v>
      </c>
      <c r="T84" s="523">
        <f>'#需填写'!F42</f>
        <v>23.56</v>
      </c>
      <c r="U84" s="523">
        <f>'#需填写'!G42</f>
        <v>18.88</v>
      </c>
      <c r="V84" s="523">
        <f>'#需填写'!H42</f>
        <v>23.43</v>
      </c>
      <c r="W84" s="523">
        <f>'#需填写'!I42</f>
        <v>28.13</v>
      </c>
      <c r="X84" s="523">
        <f>'#需填写'!J42</f>
        <v>23.64</v>
      </c>
      <c r="Y84" s="523">
        <f>'#需填写'!K42</f>
        <v>20.72</v>
      </c>
      <c r="Z84" s="523">
        <f>'#需填写'!L42</f>
        <v>15.38</v>
      </c>
      <c r="AA84" s="523">
        <f>'#需填写'!M42</f>
        <v>25.56</v>
      </c>
      <c r="AB84" s="523">
        <f>'#需填写'!N42</f>
        <v>20.13</v>
      </c>
      <c r="AC84" s="523">
        <f>'#需填写'!O42</f>
        <v>23.36</v>
      </c>
      <c r="AD84" s="523">
        <f>'#需填写'!P42</f>
        <v>22.65</v>
      </c>
      <c r="AE84" s="523">
        <f>'#需填写'!Q42</f>
        <v>23.75</v>
      </c>
      <c r="AF84" s="523">
        <f>'#需填写'!R42</f>
        <v>20.76</v>
      </c>
      <c r="AG84" s="523">
        <f>'#需填写'!S42</f>
        <v>25.92</v>
      </c>
      <c r="AH84" s="523">
        <f>'#需填写'!T42</f>
        <v>14.54</v>
      </c>
      <c r="AI84" s="523">
        <f>'#需填写'!U42</f>
        <v>15.25</v>
      </c>
      <c r="AJ84" s="523">
        <f>'#需填写'!V42</f>
        <v>14.58</v>
      </c>
      <c r="AK84" s="523">
        <f>'#需填写'!W42</f>
        <v>18.309999999999999</v>
      </c>
      <c r="AL84" s="523">
        <f>'#需填写'!X42</f>
        <v>18.899999999999999</v>
      </c>
      <c r="AM84" s="523">
        <f>'#需填写'!Y42</f>
        <v>26.23</v>
      </c>
      <c r="AN84" s="523">
        <f>'#需填写'!Z42</f>
        <v>22.72</v>
      </c>
      <c r="AO84" s="523">
        <f>'#需填写'!AA42</f>
        <v>20.84</v>
      </c>
      <c r="AP84" s="523">
        <f>'#需填写'!AB42</f>
        <v>21.7</v>
      </c>
      <c r="AQ84" s="523">
        <f>'#需填写'!AC42</f>
        <v>19.48</v>
      </c>
      <c r="AR84" s="523">
        <f>'#需填写'!AD42</f>
        <v>24.44</v>
      </c>
      <c r="AS84" s="523">
        <f>'#需填写'!AE42</f>
        <v>21.35</v>
      </c>
      <c r="AT84" s="523">
        <f>'#需填写'!AF42</f>
        <v>23.81</v>
      </c>
      <c r="AU84" s="2545">
        <f>'#需填写'!AG42</f>
        <v>24.19</v>
      </c>
      <c r="AV84" s="2545">
        <f>'#需填写'!AH42</f>
        <v>21.41</v>
      </c>
      <c r="AW84" s="2545">
        <f>'#需填写'!AI42</f>
        <v>0</v>
      </c>
    </row>
    <row r="86" spans="2:49" ht="15.75">
      <c r="B86" s="570" t="s">
        <v>1679</v>
      </c>
      <c r="Q86" s="572">
        <f t="shared" ref="Q86:AF86" si="75">SUM(Q87:Q91)</f>
        <v>0</v>
      </c>
      <c r="R86" s="572">
        <f t="shared" si="75"/>
        <v>0</v>
      </c>
      <c r="S86" s="572">
        <f t="shared" si="75"/>
        <v>0</v>
      </c>
      <c r="T86" s="572">
        <f t="shared" si="75"/>
        <v>0</v>
      </c>
      <c r="U86" s="572">
        <f t="shared" si="75"/>
        <v>0</v>
      </c>
      <c r="V86" s="572">
        <f t="shared" si="75"/>
        <v>-2793.474680604957</v>
      </c>
      <c r="W86" s="572">
        <f t="shared" si="75"/>
        <v>-2959.9294473486848</v>
      </c>
      <c r="X86" s="572">
        <f t="shared" si="75"/>
        <v>-3574.9570094855467</v>
      </c>
      <c r="Y86" s="572">
        <f t="shared" si="75"/>
        <v>-3534.7219723958119</v>
      </c>
      <c r="Z86" s="572">
        <f t="shared" si="75"/>
        <v>-3395.6254160033104</v>
      </c>
      <c r="AA86" s="572">
        <f t="shared" si="75"/>
        <v>-3576.8178721426743</v>
      </c>
      <c r="AB86" s="572">
        <f t="shared" si="75"/>
        <v>-3709.4462664193825</v>
      </c>
      <c r="AC86" s="1825">
        <f>SUM(AC87:AC91)</f>
        <v>-3186.0179128670643</v>
      </c>
      <c r="AD86" s="1825">
        <f t="shared" si="75"/>
        <v>-7464.2213342290788</v>
      </c>
      <c r="AE86" s="1825">
        <f t="shared" si="75"/>
        <v>-6402.2397543493189</v>
      </c>
      <c r="AF86" s="1825">
        <f t="shared" si="75"/>
        <v>-6891.2798667009756</v>
      </c>
      <c r="AG86" s="1825">
        <f t="shared" ref="AG86:AQ86" si="76">SUM(AG87:AG91)</f>
        <v>-6735.600371625108</v>
      </c>
      <c r="AH86" s="1825">
        <f t="shared" si="76"/>
        <v>-5710.5283770806118</v>
      </c>
      <c r="AI86" s="1825">
        <f t="shared" si="76"/>
        <v>-3842.7324038534716</v>
      </c>
      <c r="AJ86" s="1825">
        <f t="shared" si="76"/>
        <v>-5309.2600786627299</v>
      </c>
      <c r="AK86" s="1825">
        <f t="shared" si="76"/>
        <v>-4502.363302124746</v>
      </c>
      <c r="AL86" s="1825">
        <f t="shared" si="76"/>
        <v>-9631.9056891800228</v>
      </c>
      <c r="AM86" s="1825">
        <f>SUM(AM87:AM91)</f>
        <v>-11933.899858294464</v>
      </c>
      <c r="AN86" s="1825">
        <f t="shared" si="76"/>
        <v>-12151.206456047821</v>
      </c>
      <c r="AO86" s="572">
        <f t="shared" si="76"/>
        <v>-13737.222665377867</v>
      </c>
      <c r="AP86" s="572">
        <f t="shared" si="76"/>
        <v>-14309.328505804293</v>
      </c>
      <c r="AQ86" s="572">
        <f t="shared" si="76"/>
        <v>5174.0123383972605</v>
      </c>
      <c r="AR86" s="572">
        <f t="shared" ref="AR86:AT86" si="77">SUM(AR87:AR91)</f>
        <v>15583.763577648115</v>
      </c>
      <c r="AS86" s="572">
        <f t="shared" si="77"/>
        <v>16257.891353891195</v>
      </c>
      <c r="AT86" s="572">
        <f t="shared" si="77"/>
        <v>15551.124879635619</v>
      </c>
    </row>
    <row r="87" spans="2:49" s="2449" customFormat="1">
      <c r="B87" s="2448" t="s">
        <v>198</v>
      </c>
      <c r="D87" s="2450"/>
      <c r="E87" s="2450"/>
      <c r="F87" s="2450"/>
      <c r="G87" s="2450"/>
      <c r="H87" s="2450"/>
      <c r="I87" s="2450"/>
      <c r="J87" s="2450"/>
      <c r="K87" s="2450"/>
      <c r="L87" s="2450"/>
      <c r="M87" s="2450"/>
      <c r="N87" s="2450"/>
      <c r="O87" s="2450"/>
      <c r="P87" s="2450"/>
      <c r="Q87" s="2451">
        <f t="shared" ref="Q87:AG87" si="78">Q73*Q80</f>
        <v>0</v>
      </c>
      <c r="R87" s="2451">
        <f t="shared" si="78"/>
        <v>0</v>
      </c>
      <c r="S87" s="2451">
        <f t="shared" si="78"/>
        <v>0</v>
      </c>
      <c r="T87" s="2451">
        <f t="shared" si="78"/>
        <v>0</v>
      </c>
      <c r="U87" s="2451">
        <f t="shared" si="78"/>
        <v>0</v>
      </c>
      <c r="V87" s="2451">
        <f t="shared" si="78"/>
        <v>-908.91128774229981</v>
      </c>
      <c r="W87" s="2451">
        <f t="shared" si="78"/>
        <v>-921.64901090098158</v>
      </c>
      <c r="X87" s="2451">
        <f t="shared" si="78"/>
        <v>-1055.9400881387771</v>
      </c>
      <c r="Y87" s="2451">
        <f t="shared" si="78"/>
        <v>-1047.4228395928817</v>
      </c>
      <c r="Z87" s="2451">
        <f t="shared" si="78"/>
        <v>-1068.9541312410588</v>
      </c>
      <c r="AA87" s="2451">
        <f t="shared" si="78"/>
        <v>-927.51638185295883</v>
      </c>
      <c r="AB87" s="2451">
        <f t="shared" si="78"/>
        <v>-1021.8808956493597</v>
      </c>
      <c r="AC87" s="2451">
        <f>AC73*AC80</f>
        <v>-935.77595407665103</v>
      </c>
      <c r="AD87" s="2451">
        <f t="shared" si="78"/>
        <v>-2339.4653158867868</v>
      </c>
      <c r="AE87" s="2451">
        <f t="shared" si="78"/>
        <v>-1981.4385130893754</v>
      </c>
      <c r="AF87" s="2451">
        <f t="shared" si="78"/>
        <v>-2104.4243441118101</v>
      </c>
      <c r="AG87" s="2451">
        <f t="shared" si="78"/>
        <v>-2005.3487739186744</v>
      </c>
      <c r="AH87" s="2451">
        <f t="shared" ref="AH87:AP87" si="79">AH73*AH80</f>
        <v>-2108.7366310369512</v>
      </c>
      <c r="AI87" s="2451">
        <f t="shared" si="79"/>
        <v>-789.0935746602554</v>
      </c>
      <c r="AJ87" s="2451">
        <f t="shared" si="79"/>
        <v>-1777.1253901073051</v>
      </c>
      <c r="AK87" s="2451">
        <f t="shared" si="79"/>
        <v>-1955.2551690195605</v>
      </c>
      <c r="AL87" s="2451">
        <f t="shared" si="79"/>
        <v>-3640.5675728938932</v>
      </c>
      <c r="AM87" s="2451">
        <f t="shared" si="79"/>
        <v>-3883.8185418406683</v>
      </c>
      <c r="AN87" s="2451">
        <f t="shared" si="79"/>
        <v>-3636.8471926350639</v>
      </c>
      <c r="AO87" s="2451">
        <f t="shared" si="79"/>
        <v>-4141.419776837246</v>
      </c>
      <c r="AP87" s="2451">
        <f t="shared" si="79"/>
        <v>-4231.4930226447314</v>
      </c>
      <c r="AQ87" s="2451">
        <f t="shared" ref="AQ87:AR87" si="80">AQ73*AQ80</f>
        <v>2650.2951875932376</v>
      </c>
      <c r="AR87" s="2451">
        <f t="shared" si="80"/>
        <v>3665.7929571904042</v>
      </c>
      <c r="AS87" s="2451">
        <f t="shared" ref="AS87:AT87" si="81">AS73*AS80</f>
        <v>4313.2139448331372</v>
      </c>
      <c r="AT87" s="2451">
        <f t="shared" si="81"/>
        <v>3858.2908959867796</v>
      </c>
    </row>
    <row r="88" spans="2:49" s="2449" customFormat="1">
      <c r="B88" s="2448" t="s">
        <v>199</v>
      </c>
      <c r="D88" s="2450"/>
      <c r="E88" s="2450"/>
      <c r="F88" s="2450"/>
      <c r="G88" s="2450"/>
      <c r="H88" s="2450"/>
      <c r="I88" s="2450"/>
      <c r="J88" s="2450"/>
      <c r="K88" s="2450"/>
      <c r="L88" s="2450"/>
      <c r="M88" s="2450"/>
      <c r="N88" s="2450"/>
      <c r="O88" s="2450"/>
      <c r="P88" s="2450"/>
      <c r="Q88" s="2451">
        <f t="shared" ref="Q88:AG88" si="82">Q74*Q81</f>
        <v>0</v>
      </c>
      <c r="R88" s="2451">
        <f t="shared" si="82"/>
        <v>0</v>
      </c>
      <c r="S88" s="2451">
        <f t="shared" si="82"/>
        <v>0</v>
      </c>
      <c r="T88" s="2451">
        <f t="shared" si="82"/>
        <v>0</v>
      </c>
      <c r="U88" s="2451">
        <f t="shared" si="82"/>
        <v>0</v>
      </c>
      <c r="V88" s="2451">
        <f t="shared" si="82"/>
        <v>0</v>
      </c>
      <c r="W88" s="2451">
        <f t="shared" si="82"/>
        <v>0</v>
      </c>
      <c r="X88" s="2451">
        <f t="shared" si="82"/>
        <v>0</v>
      </c>
      <c r="Y88" s="2451">
        <f t="shared" si="82"/>
        <v>0</v>
      </c>
      <c r="Z88" s="2451">
        <f t="shared" si="82"/>
        <v>0</v>
      </c>
      <c r="AA88" s="2451">
        <f t="shared" si="82"/>
        <v>0</v>
      </c>
      <c r="AB88" s="2451">
        <f t="shared" si="82"/>
        <v>0</v>
      </c>
      <c r="AC88" s="2451">
        <f t="shared" si="82"/>
        <v>0</v>
      </c>
      <c r="AD88" s="2451">
        <f t="shared" si="82"/>
        <v>0</v>
      </c>
      <c r="AE88" s="2451">
        <f t="shared" si="82"/>
        <v>0</v>
      </c>
      <c r="AF88" s="2451">
        <f t="shared" si="82"/>
        <v>0</v>
      </c>
      <c r="AG88" s="2451">
        <f t="shared" si="82"/>
        <v>0</v>
      </c>
      <c r="AH88" s="2451">
        <f t="shared" ref="AH88:AP88" si="83">AH74*AH81</f>
        <v>0</v>
      </c>
      <c r="AI88" s="2451">
        <f t="shared" si="83"/>
        <v>0</v>
      </c>
      <c r="AJ88" s="2451">
        <f t="shared" si="83"/>
        <v>0</v>
      </c>
      <c r="AK88" s="2451">
        <f t="shared" si="83"/>
        <v>0</v>
      </c>
      <c r="AL88" s="2451">
        <f t="shared" si="83"/>
        <v>0</v>
      </c>
      <c r="AM88" s="2451">
        <f t="shared" si="83"/>
        <v>0</v>
      </c>
      <c r="AN88" s="2451">
        <f t="shared" si="83"/>
        <v>0</v>
      </c>
      <c r="AO88" s="2451">
        <f t="shared" si="83"/>
        <v>0</v>
      </c>
      <c r="AP88" s="2451">
        <f t="shared" si="83"/>
        <v>0</v>
      </c>
      <c r="AQ88" s="2451">
        <f t="shared" ref="AQ88:AR88" si="84">AQ74*AQ81</f>
        <v>0</v>
      </c>
      <c r="AR88" s="2451">
        <f t="shared" si="84"/>
        <v>0</v>
      </c>
      <c r="AS88" s="2451">
        <f t="shared" ref="AS88:AT88" si="85">AS74*AS81</f>
        <v>0</v>
      </c>
      <c r="AT88" s="2451">
        <f t="shared" si="85"/>
        <v>0</v>
      </c>
    </row>
    <row r="89" spans="2:49" s="2449" customFormat="1">
      <c r="B89" s="2448" t="s">
        <v>200</v>
      </c>
      <c r="D89" s="2450"/>
      <c r="E89" s="2450"/>
      <c r="F89" s="2450"/>
      <c r="G89" s="2450"/>
      <c r="H89" s="2450"/>
      <c r="I89" s="2450"/>
      <c r="J89" s="2450"/>
      <c r="K89" s="2450"/>
      <c r="L89" s="2450"/>
      <c r="M89" s="2450"/>
      <c r="N89" s="2450"/>
      <c r="O89" s="2450"/>
      <c r="P89" s="2450"/>
      <c r="Q89" s="2451">
        <f t="shared" ref="Q89:AG89" si="86">Q75*Q82</f>
        <v>0</v>
      </c>
      <c r="R89" s="2451">
        <f t="shared" si="86"/>
        <v>0</v>
      </c>
      <c r="S89" s="2451">
        <f t="shared" si="86"/>
        <v>0</v>
      </c>
      <c r="T89" s="2451">
        <f t="shared" si="86"/>
        <v>0</v>
      </c>
      <c r="U89" s="2451">
        <f t="shared" si="86"/>
        <v>0</v>
      </c>
      <c r="V89" s="2451">
        <f t="shared" si="86"/>
        <v>-713.95595910701707</v>
      </c>
      <c r="W89" s="2451">
        <f t="shared" si="86"/>
        <v>-884.66577399743119</v>
      </c>
      <c r="X89" s="2451">
        <f t="shared" si="86"/>
        <v>-1011.895122218566</v>
      </c>
      <c r="Y89" s="2451">
        <f t="shared" si="86"/>
        <v>-1021.3641461367431</v>
      </c>
      <c r="Z89" s="2451">
        <f t="shared" si="86"/>
        <v>-1208.4129822712337</v>
      </c>
      <c r="AA89" s="2451">
        <f t="shared" si="86"/>
        <v>-1057.7077339459743</v>
      </c>
      <c r="AB89" s="2451">
        <f t="shared" si="86"/>
        <v>-1213.4349637416324</v>
      </c>
      <c r="AC89" s="2451">
        <f t="shared" si="86"/>
        <v>-978.00235864338833</v>
      </c>
      <c r="AD89" s="2451">
        <f t="shared" si="86"/>
        <v>-1800.6014209459015</v>
      </c>
      <c r="AE89" s="2451">
        <f t="shared" si="86"/>
        <v>-1662.6070432559031</v>
      </c>
      <c r="AF89" s="2451">
        <f t="shared" si="86"/>
        <v>-2228.1206087460323</v>
      </c>
      <c r="AG89" s="2451">
        <f t="shared" si="86"/>
        <v>-1914.8828348614386</v>
      </c>
      <c r="AH89" s="2451">
        <f t="shared" ref="AH89:AP89" si="87">AH75*AH82</f>
        <v>-1525.0703053394516</v>
      </c>
      <c r="AI89" s="2451">
        <f t="shared" si="87"/>
        <v>-1040.0768588293804</v>
      </c>
      <c r="AJ89" s="2451">
        <f t="shared" si="87"/>
        <v>-1194.2579410884523</v>
      </c>
      <c r="AK89" s="2451">
        <f t="shared" si="87"/>
        <v>-593.7432679444147</v>
      </c>
      <c r="AL89" s="2451">
        <f t="shared" si="87"/>
        <v>-1854.0342282991908</v>
      </c>
      <c r="AM89" s="2451">
        <f t="shared" si="87"/>
        <v>-3034.5878808922757</v>
      </c>
      <c r="AN89" s="2451">
        <f t="shared" si="87"/>
        <v>-3201.1832060173224</v>
      </c>
      <c r="AO89" s="2451">
        <f t="shared" si="87"/>
        <v>-4507.6879944443954</v>
      </c>
      <c r="AP89" s="2451">
        <f t="shared" si="87"/>
        <v>-4286.9437940483667</v>
      </c>
      <c r="AQ89" s="2451">
        <f t="shared" ref="AQ89:AR89" si="88">AQ75*AQ82</f>
        <v>932.42275528490779</v>
      </c>
      <c r="AR89" s="2451">
        <f t="shared" si="88"/>
        <v>5220.8383940759859</v>
      </c>
      <c r="AS89" s="2451">
        <f t="shared" ref="AS89:AT89" si="89">AS75*AS82</f>
        <v>5628.965481142377</v>
      </c>
      <c r="AT89" s="2451">
        <f t="shared" si="89"/>
        <v>5459.6239795196698</v>
      </c>
    </row>
    <row r="90" spans="2:49" s="2449" customFormat="1">
      <c r="B90" s="2448" t="s">
        <v>201</v>
      </c>
      <c r="D90" s="2450"/>
      <c r="E90" s="2450"/>
      <c r="F90" s="2450"/>
      <c r="G90" s="2450"/>
      <c r="H90" s="2450"/>
      <c r="I90" s="2450"/>
      <c r="J90" s="2450"/>
      <c r="K90" s="2450"/>
      <c r="L90" s="2450"/>
      <c r="M90" s="2450"/>
      <c r="N90" s="2450"/>
      <c r="O90" s="2450"/>
      <c r="P90" s="2450"/>
      <c r="Q90" s="2451">
        <f t="shared" ref="Q90:AG90" si="90">Q76*Q83</f>
        <v>0</v>
      </c>
      <c r="R90" s="2451">
        <f t="shared" si="90"/>
        <v>0</v>
      </c>
      <c r="S90" s="2451">
        <f t="shared" si="90"/>
        <v>0</v>
      </c>
      <c r="T90" s="2451">
        <f t="shared" si="90"/>
        <v>0</v>
      </c>
      <c r="U90" s="2451">
        <f t="shared" si="90"/>
        <v>0</v>
      </c>
      <c r="V90" s="2451">
        <f t="shared" si="90"/>
        <v>-464.45408902347856</v>
      </c>
      <c r="W90" s="2451">
        <f t="shared" si="90"/>
        <v>-242.05245649614056</v>
      </c>
      <c r="X90" s="2451">
        <f t="shared" si="90"/>
        <v>-675.51621286699822</v>
      </c>
      <c r="Y90" s="2451">
        <f t="shared" si="90"/>
        <v>-716.51934247346924</v>
      </c>
      <c r="Z90" s="2451">
        <f t="shared" si="90"/>
        <v>-545.85495129359629</v>
      </c>
      <c r="AA90" s="2451">
        <f t="shared" si="90"/>
        <v>-630.36253007898267</v>
      </c>
      <c r="AB90" s="2451">
        <f t="shared" si="90"/>
        <v>-727.05363606569665</v>
      </c>
      <c r="AC90" s="2451">
        <f t="shared" si="90"/>
        <v>-431.89132330084004</v>
      </c>
      <c r="AD90" s="2451">
        <f t="shared" si="90"/>
        <v>-1771.5724488564476</v>
      </c>
      <c r="AE90" s="2451">
        <f t="shared" si="90"/>
        <v>-1172.7784893356056</v>
      </c>
      <c r="AF90" s="2451">
        <f t="shared" si="90"/>
        <v>-1201.4073646376269</v>
      </c>
      <c r="AG90" s="2451">
        <f t="shared" si="90"/>
        <v>-1145.0017361274031</v>
      </c>
      <c r="AH90" s="2451">
        <f t="shared" ref="AH90:AP90" si="91">AH76*AH83</f>
        <v>-1128.255895794817</v>
      </c>
      <c r="AI90" s="2451">
        <f t="shared" si="91"/>
        <v>-990.73189500652211</v>
      </c>
      <c r="AJ90" s="2451">
        <f t="shared" si="91"/>
        <v>-1326.7012953700128</v>
      </c>
      <c r="AK90" s="2451">
        <f t="shared" si="91"/>
        <v>-599.00324389931097</v>
      </c>
      <c r="AL90" s="2451">
        <f t="shared" si="91"/>
        <v>-1914.5908839234623</v>
      </c>
      <c r="AM90" s="2451">
        <f t="shared" si="91"/>
        <v>-1782.1282106626375</v>
      </c>
      <c r="AN90" s="2451">
        <f t="shared" si="91"/>
        <v>-2413.4224936420192</v>
      </c>
      <c r="AO90" s="2451">
        <f t="shared" si="91"/>
        <v>-2302.0148462354177</v>
      </c>
      <c r="AP90" s="2451">
        <f t="shared" si="91"/>
        <v>-2723.0345630120396</v>
      </c>
      <c r="AQ90" s="2451">
        <f t="shared" ref="AQ90:AR90" si="92">AQ76*AQ83</f>
        <v>745.12593239710634</v>
      </c>
      <c r="AR90" s="2451">
        <f t="shared" si="92"/>
        <v>2294.9246328078684</v>
      </c>
      <c r="AS90" s="2451">
        <f t="shared" ref="AS90:AT90" si="93">AS76*AS83</f>
        <v>2005.7499905681298</v>
      </c>
      <c r="AT90" s="2451">
        <f t="shared" si="93"/>
        <v>2048.182890989116</v>
      </c>
    </row>
    <row r="91" spans="2:49" s="2449" customFormat="1">
      <c r="B91" s="2448" t="s">
        <v>202</v>
      </c>
      <c r="D91" s="2450"/>
      <c r="E91" s="2450"/>
      <c r="F91" s="2450"/>
      <c r="G91" s="2450"/>
      <c r="H91" s="2450"/>
      <c r="I91" s="2450"/>
      <c r="J91" s="2450"/>
      <c r="K91" s="2450"/>
      <c r="L91" s="2450"/>
      <c r="M91" s="2450"/>
      <c r="N91" s="2450"/>
      <c r="O91" s="2450"/>
      <c r="P91" s="2450"/>
      <c r="Q91" s="2451">
        <f t="shared" ref="Q91:AG91" si="94">Q77*Q84</f>
        <v>0</v>
      </c>
      <c r="R91" s="2451">
        <f t="shared" si="94"/>
        <v>0</v>
      </c>
      <c r="S91" s="2451">
        <f t="shared" si="94"/>
        <v>0</v>
      </c>
      <c r="T91" s="2451">
        <f t="shared" si="94"/>
        <v>0</v>
      </c>
      <c r="U91" s="2451">
        <f t="shared" si="94"/>
        <v>0</v>
      </c>
      <c r="V91" s="2451">
        <f t="shared" si="94"/>
        <v>-706.15334473216183</v>
      </c>
      <c r="W91" s="2451">
        <f t="shared" si="94"/>
        <v>-911.5622059541314</v>
      </c>
      <c r="X91" s="2451">
        <f t="shared" si="94"/>
        <v>-831.6055862612053</v>
      </c>
      <c r="Y91" s="2451">
        <f t="shared" si="94"/>
        <v>-749.41564419271788</v>
      </c>
      <c r="Z91" s="2451">
        <f t="shared" si="94"/>
        <v>-572.40335119742224</v>
      </c>
      <c r="AA91" s="2451">
        <f t="shared" si="94"/>
        <v>-961.23122626475879</v>
      </c>
      <c r="AB91" s="2451">
        <f t="shared" si="94"/>
        <v>-747.07677096269367</v>
      </c>
      <c r="AC91" s="2451">
        <f t="shared" si="94"/>
        <v>-840.34827684618506</v>
      </c>
      <c r="AD91" s="2451">
        <f t="shared" si="94"/>
        <v>-1552.5821485399426</v>
      </c>
      <c r="AE91" s="2451">
        <f t="shared" si="94"/>
        <v>-1585.4157086684347</v>
      </c>
      <c r="AF91" s="2451">
        <f t="shared" si="94"/>
        <v>-1357.327549205505</v>
      </c>
      <c r="AG91" s="2451">
        <f t="shared" si="94"/>
        <v>-1670.3670267175924</v>
      </c>
      <c r="AH91" s="2451">
        <f t="shared" ref="AH91:AP91" si="95">AH77*AH84</f>
        <v>-948.46554490939241</v>
      </c>
      <c r="AI91" s="2451">
        <f t="shared" si="95"/>
        <v>-1022.8300753573142</v>
      </c>
      <c r="AJ91" s="2451">
        <f t="shared" si="95"/>
        <v>-1011.1754520969594</v>
      </c>
      <c r="AK91" s="2451">
        <f t="shared" si="95"/>
        <v>-1354.3616212614597</v>
      </c>
      <c r="AL91" s="2451">
        <f t="shared" si="95"/>
        <v>-2222.7130040634765</v>
      </c>
      <c r="AM91" s="2451">
        <f t="shared" si="95"/>
        <v>-3233.3652248988842</v>
      </c>
      <c r="AN91" s="2451">
        <f t="shared" si="95"/>
        <v>-2899.7535637534152</v>
      </c>
      <c r="AO91" s="2451">
        <f t="shared" si="95"/>
        <v>-2786.1000478608103</v>
      </c>
      <c r="AP91" s="2451">
        <f t="shared" si="95"/>
        <v>-3067.8571260991557</v>
      </c>
      <c r="AQ91" s="2451">
        <f t="shared" ref="AQ91:AR91" si="96">AQ77*AQ84</f>
        <v>846.16846312200823</v>
      </c>
      <c r="AR91" s="2451">
        <f t="shared" si="96"/>
        <v>4402.2075935738567</v>
      </c>
      <c r="AS91" s="2451">
        <f t="shared" ref="AS91:AT91" si="97">AS77*AS84</f>
        <v>4309.9619373475516</v>
      </c>
      <c r="AT91" s="2451">
        <f t="shared" si="97"/>
        <v>4185.027113140055</v>
      </c>
    </row>
    <row r="93" spans="2:49">
      <c r="AC93" s="523">
        <f>AC61*AC82</f>
        <v>19317.457501140096</v>
      </c>
      <c r="AD93" s="523">
        <f t="shared" ref="AD93:AJ95" si="98">AD61*AD82</f>
        <v>17049.991763813628</v>
      </c>
      <c r="AE93" s="523">
        <f t="shared" si="98"/>
        <v>15831.214800703856</v>
      </c>
      <c r="AF93" s="523">
        <f t="shared" si="98"/>
        <v>21310.560533974683</v>
      </c>
      <c r="AG93" s="523">
        <f t="shared" si="98"/>
        <v>18372.220470946952</v>
      </c>
      <c r="AH93" s="523">
        <f t="shared" si="98"/>
        <v>14593.589029176324</v>
      </c>
      <c r="AI93" s="523">
        <f t="shared" si="98"/>
        <v>9893.6079036709489</v>
      </c>
      <c r="AJ93" s="523">
        <f t="shared" si="98"/>
        <v>11281.132502827428</v>
      </c>
      <c r="AK93" s="523">
        <f t="shared" ref="AK93:AN95" si="99">AK61*AK82</f>
        <v>5536.4933238123585</v>
      </c>
      <c r="AL93" s="523">
        <f t="shared" si="99"/>
        <v>10780.00542376249</v>
      </c>
      <c r="AM93" s="523">
        <f t="shared" si="99"/>
        <v>17484.080150356309</v>
      </c>
      <c r="AN93" s="523">
        <f t="shared" si="99"/>
        <v>18324.190613588089</v>
      </c>
      <c r="AO93" s="523">
        <f>SUM(AC93:AN93)</f>
        <v>179774.54401777315</v>
      </c>
      <c r="AP93" s="2452"/>
      <c r="AQ93" s="2452"/>
    </row>
    <row r="94" spans="2:49">
      <c r="AC94" s="523">
        <f>AC62*AC83</f>
        <v>9652.1454415881526</v>
      </c>
      <c r="AD94" s="523">
        <f t="shared" si="98"/>
        <v>19189.261508715852</v>
      </c>
      <c r="AE94" s="523">
        <f t="shared" si="98"/>
        <v>12808.177168040756</v>
      </c>
      <c r="AF94" s="523">
        <f t="shared" si="98"/>
        <v>13207.121558892883</v>
      </c>
      <c r="AG94" s="523">
        <f t="shared" si="98"/>
        <v>12645.31033320849</v>
      </c>
      <c r="AH94" s="523">
        <f t="shared" si="98"/>
        <v>12412.050918065877</v>
      </c>
      <c r="AI94" s="523">
        <f t="shared" si="98"/>
        <v>10804.011742193185</v>
      </c>
      <c r="AJ94" s="523">
        <f t="shared" si="98"/>
        <v>14319.091019622931</v>
      </c>
      <c r="AK94" s="523">
        <f t="shared" si="99"/>
        <v>6341.9802976242772</v>
      </c>
      <c r="AL94" s="523">
        <f t="shared" si="99"/>
        <v>12652.809948428059</v>
      </c>
      <c r="AM94" s="523">
        <f>AM62*AM83</f>
        <v>11618.343770971096</v>
      </c>
      <c r="AO94" s="523">
        <f>SUM(AC94:AM94)</f>
        <v>135650.30370735156</v>
      </c>
      <c r="AP94" s="2452"/>
      <c r="AQ94" s="2452"/>
    </row>
    <row r="95" spans="2:49">
      <c r="AC95" s="523">
        <f>AC63*AC84</f>
        <v>19034.614010566638</v>
      </c>
      <c r="AD95" s="523">
        <f t="shared" si="98"/>
        <v>17063.53528401006</v>
      </c>
      <c r="AE95" s="523">
        <f t="shared" si="98"/>
        <v>17572.969593669408</v>
      </c>
      <c r="AF95" s="523">
        <f t="shared" si="98"/>
        <v>15146.930215879236</v>
      </c>
      <c r="AG95" s="523">
        <f t="shared" si="98"/>
        <v>18729.291988919496</v>
      </c>
      <c r="AH95" s="523">
        <f t="shared" si="98"/>
        <v>10592.287159942976</v>
      </c>
      <c r="AI95" s="523">
        <f t="shared" si="98"/>
        <v>11319.893549369577</v>
      </c>
      <c r="AJ95" s="523">
        <f t="shared" si="98"/>
        <v>11072.181740529573</v>
      </c>
      <c r="AK95" s="523">
        <f t="shared" si="99"/>
        <v>14538.506309658582</v>
      </c>
      <c r="AL95" s="523">
        <f t="shared" si="99"/>
        <v>14894.616416854855</v>
      </c>
      <c r="AM95" s="523">
        <f t="shared" si="99"/>
        <v>21364.746649001103</v>
      </c>
      <c r="AN95" s="523"/>
      <c r="AO95" s="523">
        <f>SUM(AC95:AM95)</f>
        <v>171329.57291840151</v>
      </c>
      <c r="AP95" s="2452"/>
      <c r="AQ95" s="2452"/>
    </row>
    <row r="96" spans="2:49">
      <c r="AC96" s="523">
        <f>AC82</f>
        <v>26.35</v>
      </c>
      <c r="AD96" s="523">
        <f t="shared" ref="AD96:AN96" si="100">AD82</f>
        <v>25.46</v>
      </c>
      <c r="AE96" s="523">
        <f t="shared" si="100"/>
        <v>24.14</v>
      </c>
      <c r="AF96" s="523">
        <f t="shared" si="100"/>
        <v>33.03</v>
      </c>
      <c r="AG96" s="523">
        <f t="shared" si="100"/>
        <v>28.8</v>
      </c>
      <c r="AH96" s="523">
        <f t="shared" si="100"/>
        <v>22.66</v>
      </c>
      <c r="AI96" s="523">
        <f t="shared" si="100"/>
        <v>15.03</v>
      </c>
      <c r="AJ96" s="523">
        <f t="shared" si="100"/>
        <v>16.690000000000001</v>
      </c>
      <c r="AK96" s="523">
        <f t="shared" si="100"/>
        <v>7.78</v>
      </c>
      <c r="AL96" s="523">
        <f t="shared" si="100"/>
        <v>15.28</v>
      </c>
      <c r="AM96" s="523">
        <f t="shared" si="100"/>
        <v>23.86</v>
      </c>
      <c r="AN96" s="523">
        <f t="shared" si="100"/>
        <v>24.31</v>
      </c>
      <c r="AO96" s="322">
        <f>SUM(AC96:AN96)</f>
        <v>263.39</v>
      </c>
    </row>
    <row r="97" spans="2:43">
      <c r="B97" s="5"/>
      <c r="AO97" s="331">
        <f>AO93/AO96</f>
        <v>682.54126587103974</v>
      </c>
    </row>
    <row r="98" spans="2:43">
      <c r="B98" s="5"/>
      <c r="C98" s="542"/>
      <c r="AG98" s="523"/>
      <c r="AH98" s="523"/>
      <c r="AI98" s="523"/>
      <c r="AJ98" s="523"/>
      <c r="AK98" s="523"/>
      <c r="AL98" s="523"/>
      <c r="AM98" s="523"/>
      <c r="AN98" s="523"/>
      <c r="AO98" s="2365"/>
      <c r="AQ98" s="2453"/>
    </row>
    <row r="99" spans="2:43">
      <c r="B99" s="5"/>
      <c r="AG99" s="523"/>
      <c r="AH99" s="523"/>
      <c r="AI99" s="523"/>
      <c r="AJ99" s="523"/>
      <c r="AK99" s="523"/>
      <c r="AL99" s="523"/>
      <c r="AM99" s="523"/>
      <c r="AN99" s="523"/>
      <c r="AO99" s="2365"/>
      <c r="AQ99" s="2453"/>
    </row>
    <row r="100" spans="2:43">
      <c r="B100" s="5"/>
      <c r="C100" s="5"/>
      <c r="AG100" s="523"/>
      <c r="AH100" s="523"/>
      <c r="AI100" s="523"/>
      <c r="AJ100" s="523"/>
      <c r="AK100" s="523"/>
      <c r="AL100" s="523"/>
      <c r="AM100" s="523"/>
      <c r="AN100" s="523"/>
      <c r="AO100" s="2365"/>
      <c r="AQ100" s="2453"/>
    </row>
    <row r="101" spans="2:43">
      <c r="B101" s="5"/>
      <c r="AG101" s="523"/>
      <c r="AH101" s="523"/>
      <c r="AI101" s="523"/>
      <c r="AJ101" s="523"/>
      <c r="AK101" s="523"/>
      <c r="AL101" s="523"/>
      <c r="AM101" s="523"/>
      <c r="AN101" s="523"/>
      <c r="AO101" s="2365"/>
      <c r="AQ101" s="2453"/>
    </row>
    <row r="102" spans="2:43">
      <c r="AG102" s="523"/>
      <c r="AH102" s="523"/>
      <c r="AI102" s="523"/>
      <c r="AJ102" s="523"/>
      <c r="AK102" s="523"/>
      <c r="AL102" s="523"/>
      <c r="AM102" s="523"/>
      <c r="AN102" s="523"/>
      <c r="AQ102" s="2453"/>
    </row>
    <row r="104" spans="2:43">
      <c r="AG104" s="523"/>
      <c r="AH104" s="523"/>
      <c r="AI104" s="523"/>
      <c r="AJ104" s="523"/>
      <c r="AK104" s="523"/>
      <c r="AL104" s="523"/>
      <c r="AM104" s="523"/>
      <c r="AN104" s="523"/>
    </row>
    <row r="106" spans="2:43">
      <c r="C106" s="542"/>
      <c r="AG106" s="523"/>
      <c r="AH106" s="523"/>
      <c r="AI106" s="523"/>
      <c r="AJ106" s="523"/>
      <c r="AK106" s="523"/>
      <c r="AL106" s="523"/>
      <c r="AM106" s="523"/>
      <c r="AN106" s="523"/>
    </row>
    <row r="108" spans="2:43">
      <c r="C108" s="5"/>
    </row>
  </sheetData>
  <customSheetViews>
    <customSheetView guid="{1683F931-F47D-47C0-A395-D48080DC7EE6}" showPageBreaks="1" topLeftCell="G43">
      <selection activeCell="W58" sqref="W58"/>
      <pageMargins left="0.7" right="0.7" top="0.75" bottom="0.75" header="0.3" footer="0.3"/>
      <pageSetup paperSize="9" orientation="portrait" r:id="rId1"/>
    </customSheetView>
    <customSheetView guid="{43897816-D2F0-4C3D-8F57-E0039BD2296B}" scale="85" topLeftCell="J1">
      <selection activeCell="AO35" sqref="AO35"/>
      <pageMargins left="0.7" right="0.7" top="0.75" bottom="0.75" header="0.3" footer="0.3"/>
    </customSheetView>
    <customSheetView guid="{849C46E5-4ED4-41B9-BDA9-A6465B9DA9C2}" hiddenColumns="1" topLeftCell="A64">
      <selection activeCell="B102" sqref="B102"/>
      <pageMargins left="0.7" right="0.7" top="0.75" bottom="0.75" header="0.3" footer="0.3"/>
    </customSheetView>
    <customSheetView guid="{8C09BCDE-4B8A-4469-B3F2-7F4528A2E78D}" hiddenColumns="1" topLeftCell="A64">
      <selection activeCell="B102" sqref="B102"/>
      <pageMargins left="0.7" right="0.7" top="0.75" bottom="0.75" header="0.3" footer="0.3"/>
    </customSheetView>
    <customSheetView guid="{F4EB51F4-FD23-4D5B-8072-1AF5D59D6686}" hiddenColumns="1" topLeftCell="AD22">
      <selection activeCell="AP51" sqref="AP51"/>
      <pageMargins left="0.7" right="0.7" top="0.75" bottom="0.75" header="0.3" footer="0.3"/>
    </customSheetView>
    <customSheetView guid="{D7BCFB76-2797-401D-A6F1-E020B5162DD4}" scale="85" topLeftCell="W70">
      <selection activeCell="AE74" sqref="AE74"/>
      <pageMargins left="0.7" right="0.7" top="0.75" bottom="0.75" header="0.3" footer="0.3"/>
    </customSheetView>
    <customSheetView guid="{C9A88430-3808-49F4-8D86-BF8C70C55441}" topLeftCell="AE50">
      <selection activeCell="AT79" sqref="AT79"/>
      <pageMargins left="0.7" right="0.7" top="0.75" bottom="0.75" header="0.3" footer="0.3"/>
    </customSheetView>
    <customSheetView guid="{E61FFED3-723E-484A-93A0-94E1A801AF06}">
      <selection activeCell="AC59" sqref="AC59"/>
      <pageMargins left="0.7" right="0.7" top="0.75" bottom="0.75" header="0.3" footer="0.3"/>
    </customSheetView>
    <customSheetView guid="{6B5CCA07-2BDD-4B8E-9E3C-2111BBA97430}" topLeftCell="AF1">
      <selection activeCell="AQ29" sqref="AQ28:AQ29"/>
      <pageMargins left="0.7" right="0.7" top="0.75" bottom="0.75" header="0.3" footer="0.3"/>
      <pageSetup paperSize="9" orientation="portrait" r:id="rId2"/>
    </customSheetView>
    <customSheetView guid="{2F47A827-9643-4D8A-AC5D-6B09D79AACF9}">
      <selection activeCell="A6" sqref="A6:A8"/>
      <pageMargins left="0.7" right="0.7" top="0.75" bottom="0.75" header="0.3" footer="0.3"/>
    </customSheetView>
    <customSheetView guid="{B37168A1-DBAB-4BDE-9F92-6261DCDF3D92}">
      <pane xSplit="2" ySplit="2" topLeftCell="W57" activePane="bottomRight" state="frozen"/>
      <selection pane="bottomRight" activeCell="AC89" sqref="AC89"/>
      <pageMargins left="0.7" right="0.7" top="0.75" bottom="0.75" header="0.3" footer="0.3"/>
    </customSheetView>
    <customSheetView guid="{AE0DD889-C13C-4059-8024-0F5B234827E9}" scale="85" topLeftCell="A10">
      <selection activeCell="N45" sqref="N45"/>
      <pageMargins left="0.7" right="0.7" top="0.75" bottom="0.75" header="0.3" footer="0.3"/>
    </customSheetView>
    <customSheetView guid="{CCBBD9B0-4191-4D7A-9F7B-BAC044A49153}">
      <pane xSplit="2" ySplit="2" topLeftCell="M45" state="frozen"/>
      <selection activeCell="P72" sqref="P72"/>
      <pageMargins left="0.7" right="0.7" top="0.75" bottom="0.75" header="0.3" footer="0.3"/>
    </customSheetView>
    <customSheetView guid="{3B943BAF-34C7-494A-A071-85DE0891E5A1}">
      <selection activeCell="A6" sqref="A6:A8"/>
      <pageMargins left="0.7" right="0.7" top="0.75" bottom="0.75" header="0.3" footer="0.3"/>
    </customSheetView>
    <customSheetView guid="{EEE4B3DA-ADF6-49CC-9873-068FE5927B92}">
      <selection activeCell="A6" sqref="A6:A8"/>
      <pageMargins left="0.7" right="0.7" top="0.75" bottom="0.75" header="0.3" footer="0.3"/>
    </customSheetView>
    <customSheetView guid="{C52D0F53-4D1D-4D01-B833-260359FD02A5}" hiddenColumns="1">
      <selection activeCell="B23" sqref="B23:B32"/>
      <pageMargins left="0.7" right="0.7" top="0.75" bottom="0.75" header="0.3" footer="0.3"/>
    </customSheetView>
    <customSheetView guid="{6A1E79C9-91E3-4EEA-8ABB-4446083299EC}" topLeftCell="Z61">
      <selection activeCell="AR80" sqref="AR80:AR84"/>
      <pageMargins left="0.7" right="0.7" top="0.75" bottom="0.75" header="0.3" footer="0.3"/>
    </customSheetView>
    <customSheetView guid="{8B80B510-C931-46B1-8591-DEA916D76593}" topLeftCell="AD7">
      <selection activeCell="AS21" sqref="AS21:AS30"/>
      <pageMargins left="0.7" right="0.7" top="0.75" bottom="0.75" header="0.3" footer="0.3"/>
    </customSheetView>
    <customSheetView guid="{303A9D89-611D-4504-BCAA-071C53B021F7}" scale="85" hiddenColumns="1" topLeftCell="V1">
      <selection activeCell="AS38" sqref="AS38"/>
      <pageMargins left="0.7" right="0.7" top="0.75" bottom="0.75" header="0.3" footer="0.3"/>
    </customSheetView>
    <customSheetView guid="{4583A87D-5DFF-47BD-849A-FA4AAF2B9CE3}">
      <selection activeCell="A6" sqref="A6:A8"/>
      <pageMargins left="0.7" right="0.7" top="0.75" bottom="0.75" header="0.3" footer="0.3"/>
    </customSheetView>
    <customSheetView guid="{EA856AC2-CDFF-46B6-B0C4-30449DF132F4}" topLeftCell="AB58">
      <selection activeCell="AU68" sqref="AU68:AU70"/>
      <pageMargins left="0.7" right="0.7" top="0.75" bottom="0.75" header="0.3" footer="0.3"/>
    </customSheetView>
    <customSheetView guid="{322A45A6-8B26-49B8-A4D9-EFB3C94A758D}" topLeftCell="AE40">
      <selection activeCell="AT59" sqref="AT59"/>
      <pageMargins left="0.7" right="0.7" top="0.75" bottom="0.75" header="0.3" footer="0.3"/>
      <pageSetup paperSize="9" orientation="portrait" r:id="rId3"/>
    </customSheetView>
  </customSheetViews>
  <phoneticPr fontId="133" type="noConversion"/>
  <pageMargins left="0.7" right="0.7" top="0.75" bottom="0.75" header="0.3" footer="0.3"/>
  <pageSetup paperSize="9" orientation="portrait"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Q11"/>
  <sheetViews>
    <sheetView zoomScaleNormal="70" workbookViewId="0">
      <selection activeCell="O9" sqref="O9"/>
    </sheetView>
  </sheetViews>
  <sheetFormatPr defaultColWidth="9" defaultRowHeight="13.5"/>
  <cols>
    <col min="1" max="1" width="22.125" style="338" customWidth="1"/>
    <col min="2" max="2" width="9.25" style="337" customWidth="1"/>
    <col min="3" max="4" width="9" style="337" customWidth="1"/>
    <col min="5" max="5" width="10" style="337" customWidth="1"/>
    <col min="6" max="7" width="9" style="337" customWidth="1"/>
    <col min="8" max="9" width="10" style="337" customWidth="1"/>
    <col min="10" max="10" width="9" style="337" customWidth="1"/>
    <col min="11" max="11" width="10" style="337" customWidth="1"/>
    <col min="12" max="13" width="9" style="337" customWidth="1"/>
    <col min="14" max="14" width="9.25" style="337" customWidth="1"/>
    <col min="15" max="15" width="9" style="337" customWidth="1"/>
    <col min="16" max="17" width="9.25" style="337" customWidth="1"/>
    <col min="18" max="19" width="9" style="337" customWidth="1"/>
    <col min="20" max="20" width="10" style="337" hidden="1" customWidth="1"/>
    <col min="21" max="34" width="9" style="337" hidden="1" customWidth="1"/>
    <col min="35" max="35" width="9.25" style="337" hidden="1" customWidth="1"/>
    <col min="36" max="36" width="10.875" style="337" hidden="1" customWidth="1"/>
    <col min="37" max="37" width="9" style="337" hidden="1" customWidth="1"/>
    <col min="38" max="39" width="10" style="337" customWidth="1"/>
    <col min="40" max="40" width="10.75" style="337" customWidth="1"/>
    <col min="41" max="41" width="6" style="338" customWidth="1"/>
    <col min="42" max="16384" width="9" style="338"/>
  </cols>
  <sheetData>
    <row r="1" spans="1:43">
      <c r="B1" s="337">
        <v>2020</v>
      </c>
      <c r="E1" s="337">
        <v>2020</v>
      </c>
      <c r="H1" s="337">
        <v>2020</v>
      </c>
      <c r="K1" s="337">
        <v>2020</v>
      </c>
      <c r="N1" s="337">
        <v>2020</v>
      </c>
      <c r="Q1" s="337">
        <v>2020</v>
      </c>
      <c r="T1" s="337">
        <v>2020</v>
      </c>
      <c r="W1" s="337">
        <v>2020</v>
      </c>
      <c r="Z1" s="337">
        <v>2020</v>
      </c>
      <c r="AC1" s="337">
        <v>2020</v>
      </c>
      <c r="AF1" s="337">
        <v>2020</v>
      </c>
      <c r="AI1" s="337">
        <v>2020</v>
      </c>
    </row>
    <row r="2" spans="1:43" ht="14.25" thickBot="1">
      <c r="B2" s="337">
        <v>1</v>
      </c>
      <c r="E2" s="337">
        <v>2</v>
      </c>
      <c r="H2" s="337">
        <v>3</v>
      </c>
      <c r="K2" s="337">
        <v>4</v>
      </c>
      <c r="N2" s="337">
        <v>5</v>
      </c>
      <c r="Q2" s="337">
        <v>6</v>
      </c>
      <c r="T2" s="337">
        <v>7</v>
      </c>
      <c r="W2" s="337">
        <v>8</v>
      </c>
      <c r="Z2" s="337">
        <v>9</v>
      </c>
      <c r="AC2" s="337">
        <v>10</v>
      </c>
      <c r="AF2" s="337">
        <v>11</v>
      </c>
      <c r="AI2" s="337">
        <v>12</v>
      </c>
    </row>
    <row r="3" spans="1:43" s="335" customFormat="1" ht="53.25" customHeight="1">
      <c r="A3" s="2757" t="s">
        <v>103</v>
      </c>
      <c r="B3" s="2760" t="s">
        <v>913</v>
      </c>
      <c r="C3" s="2761"/>
      <c r="D3" s="2762"/>
      <c r="E3" s="2760" t="s">
        <v>914</v>
      </c>
      <c r="F3" s="2761"/>
      <c r="G3" s="2762"/>
      <c r="H3" s="2755" t="s">
        <v>709</v>
      </c>
      <c r="I3" s="2753"/>
      <c r="J3" s="2756"/>
      <c r="K3" s="2755" t="s">
        <v>710</v>
      </c>
      <c r="L3" s="2753"/>
      <c r="M3" s="2756"/>
      <c r="N3" s="2755" t="s">
        <v>711</v>
      </c>
      <c r="O3" s="2753"/>
      <c r="P3" s="2756"/>
      <c r="Q3" s="2755" t="s">
        <v>712</v>
      </c>
      <c r="R3" s="2753"/>
      <c r="S3" s="2756"/>
      <c r="T3" s="2755" t="s">
        <v>713</v>
      </c>
      <c r="U3" s="2753"/>
      <c r="V3" s="2756"/>
      <c r="W3" s="2759" t="s">
        <v>714</v>
      </c>
      <c r="X3" s="2753"/>
      <c r="Y3" s="2753"/>
      <c r="Z3" s="2753" t="s">
        <v>715</v>
      </c>
      <c r="AA3" s="2753"/>
      <c r="AB3" s="2753"/>
      <c r="AC3" s="2753" t="s">
        <v>716</v>
      </c>
      <c r="AD3" s="2753"/>
      <c r="AE3" s="2753"/>
      <c r="AF3" s="2753" t="s">
        <v>717</v>
      </c>
      <c r="AG3" s="2753"/>
      <c r="AH3" s="2753"/>
      <c r="AI3" s="2753" t="s">
        <v>718</v>
      </c>
      <c r="AJ3" s="2753"/>
      <c r="AK3" s="2754"/>
      <c r="AL3" s="2755" t="s">
        <v>915</v>
      </c>
      <c r="AM3" s="2753"/>
      <c r="AN3" s="2756"/>
      <c r="AP3" s="366"/>
      <c r="AQ3" s="366"/>
    </row>
    <row r="4" spans="1:43" s="335" customFormat="1" ht="53.25" customHeight="1">
      <c r="A4" s="2758"/>
      <c r="B4" s="339" t="s">
        <v>162</v>
      </c>
      <c r="C4" s="340" t="s">
        <v>54</v>
      </c>
      <c r="D4" s="341" t="s">
        <v>163</v>
      </c>
      <c r="E4" s="339" t="s">
        <v>162</v>
      </c>
      <c r="F4" s="340" t="s">
        <v>54</v>
      </c>
      <c r="G4" s="341" t="s">
        <v>163</v>
      </c>
      <c r="H4" s="339" t="s">
        <v>162</v>
      </c>
      <c r="I4" s="340" t="s">
        <v>54</v>
      </c>
      <c r="J4" s="341" t="s">
        <v>163</v>
      </c>
      <c r="K4" s="339" t="s">
        <v>162</v>
      </c>
      <c r="L4" s="340" t="s">
        <v>54</v>
      </c>
      <c r="M4" s="341" t="s">
        <v>163</v>
      </c>
      <c r="N4" s="339" t="s">
        <v>162</v>
      </c>
      <c r="O4" s="340" t="s">
        <v>54</v>
      </c>
      <c r="P4" s="341" t="s">
        <v>163</v>
      </c>
      <c r="Q4" s="339" t="s">
        <v>162</v>
      </c>
      <c r="R4" s="340" t="s">
        <v>54</v>
      </c>
      <c r="S4" s="341" t="s">
        <v>163</v>
      </c>
      <c r="T4" s="1633" t="s">
        <v>162</v>
      </c>
      <c r="U4" s="340" t="s">
        <v>54</v>
      </c>
      <c r="V4" s="341" t="s">
        <v>163</v>
      </c>
      <c r="W4" s="1638" t="s">
        <v>162</v>
      </c>
      <c r="X4" s="340" t="s">
        <v>54</v>
      </c>
      <c r="Y4" s="341" t="s">
        <v>163</v>
      </c>
      <c r="Z4" s="1638" t="s">
        <v>162</v>
      </c>
      <c r="AA4" s="359" t="s">
        <v>54</v>
      </c>
      <c r="AB4" s="359" t="s">
        <v>163</v>
      </c>
      <c r="AC4" s="359" t="s">
        <v>162</v>
      </c>
      <c r="AD4" s="359" t="s">
        <v>54</v>
      </c>
      <c r="AE4" s="359" t="s">
        <v>163</v>
      </c>
      <c r="AF4" s="359" t="s">
        <v>162</v>
      </c>
      <c r="AG4" s="359" t="s">
        <v>54</v>
      </c>
      <c r="AH4" s="359" t="s">
        <v>163</v>
      </c>
      <c r="AI4" s="359" t="s">
        <v>162</v>
      </c>
      <c r="AJ4" s="359" t="s">
        <v>54</v>
      </c>
      <c r="AK4" s="360" t="s">
        <v>163</v>
      </c>
      <c r="AL4" s="339" t="s">
        <v>162</v>
      </c>
      <c r="AM4" s="340" t="s">
        <v>54</v>
      </c>
      <c r="AN4" s="341" t="s">
        <v>163</v>
      </c>
      <c r="AP4" s="366"/>
      <c r="AQ4" s="367"/>
    </row>
    <row r="5" spans="1:43" s="336" customFormat="1" ht="53.25" customHeight="1">
      <c r="A5" s="342" t="s">
        <v>104</v>
      </c>
      <c r="B5" s="343">
        <f>'#利润建议'!E6</f>
        <v>22895.75491202527</v>
      </c>
      <c r="C5" s="344">
        <f>'#利润建议'!F6</f>
        <v>2398</v>
      </c>
      <c r="D5" s="345">
        <f>'#利润建议'!G6</f>
        <v>20497.75491202527</v>
      </c>
      <c r="E5" s="343">
        <f>'#利润建议'!H6</f>
        <v>3124.5092581596723</v>
      </c>
      <c r="F5" s="344">
        <f>'#利润建议'!I6</f>
        <v>-423</v>
      </c>
      <c r="G5" s="345">
        <f>'#利润建议'!J6</f>
        <v>3547.5092581596723</v>
      </c>
      <c r="H5" s="343">
        <f>'#利润建议'!K6</f>
        <v>16087.065417745713</v>
      </c>
      <c r="I5" s="344">
        <f>'#利润建议'!L6</f>
        <v>-1114.3796129999992</v>
      </c>
      <c r="J5" s="345">
        <f>'#利润建议'!M6</f>
        <v>17201.445030745712</v>
      </c>
      <c r="K5" s="343">
        <f>'#利润建议'!N6</f>
        <v>14355.942058349998</v>
      </c>
      <c r="L5" s="344">
        <f>'#利润建议'!O6</f>
        <v>-5028</v>
      </c>
      <c r="M5" s="345">
        <f>'#利润建议'!P6</f>
        <v>19383.942058349996</v>
      </c>
      <c r="N5" s="343">
        <f>'#利润建议'!Q6</f>
        <v>20039.276037109994</v>
      </c>
      <c r="O5" s="344">
        <f>'#利润建议'!R6</f>
        <v>2046</v>
      </c>
      <c r="P5" s="345">
        <f>'#利润建议'!S6</f>
        <v>17993.276037109994</v>
      </c>
      <c r="Q5" s="343">
        <f>'#利润建议'!T6</f>
        <v>63617.102320840007</v>
      </c>
      <c r="R5" s="344">
        <f>'#利润建议'!U6</f>
        <v>7777</v>
      </c>
      <c r="S5" s="345">
        <f>'#利润建议'!V6</f>
        <v>55840.102320840007</v>
      </c>
      <c r="T5" s="1634">
        <f>'#利润建议'!W6</f>
        <v>33915.956220960004</v>
      </c>
      <c r="U5" s="344">
        <f>'#利润建议'!X6</f>
        <v>3800</v>
      </c>
      <c r="V5" s="345">
        <f>'#利润建议'!Y6</f>
        <v>30115.956220960004</v>
      </c>
      <c r="W5" s="1639">
        <f>'#利润建议'!Z6</f>
        <v>42618.514105379996</v>
      </c>
      <c r="X5" s="344">
        <f>'#利润建议'!AA6</f>
        <v>0</v>
      </c>
      <c r="Y5" s="345">
        <f>'#利润建议'!AB6</f>
        <v>42618.514105379996</v>
      </c>
      <c r="Z5" s="1639">
        <f>'#利润建议'!AC6</f>
        <v>35262.348736380009</v>
      </c>
      <c r="AA5" s="344">
        <f>'#利润建议'!AD6</f>
        <v>-3479</v>
      </c>
      <c r="AB5" s="344">
        <f>'#利润建议'!AE6</f>
        <v>38741.348736380009</v>
      </c>
      <c r="AC5" s="344">
        <f>'#利润建议'!AF6</f>
        <v>96340.336349789985</v>
      </c>
      <c r="AD5" s="344">
        <f>'#利润建议'!AG6</f>
        <v>53724</v>
      </c>
      <c r="AE5" s="344">
        <f>'#利润建议'!AH6</f>
        <v>42616.336349789985</v>
      </c>
      <c r="AF5" s="344">
        <f>'#利润建议'!AI6</f>
        <v>26604.959117409999</v>
      </c>
      <c r="AG5" s="344">
        <f>'#利润建议'!AJ6</f>
        <v>3878</v>
      </c>
      <c r="AH5" s="344">
        <f>'#利润建议'!AK6</f>
        <v>22726.959117409999</v>
      </c>
      <c r="AI5" s="344">
        <f>'#利润建议'!AL6</f>
        <v>20542.120569140003</v>
      </c>
      <c r="AJ5" s="344">
        <f>'#利润建议'!AM6</f>
        <v>-54973</v>
      </c>
      <c r="AK5" s="361">
        <f>'#利润建议'!AN6</f>
        <v>75515.12056914001</v>
      </c>
      <c r="AL5" s="343">
        <f>'#利润建议'!BY6</f>
        <v>1491645.6773501697</v>
      </c>
      <c r="AM5" s="344">
        <f>'#利润建议'!BZ6</f>
        <v>89603</v>
      </c>
      <c r="AN5" s="345">
        <f>'#利润建议'!CA6</f>
        <v>1402042.6773501697</v>
      </c>
    </row>
    <row r="6" spans="1:43" s="337" customFormat="1" ht="53.25" customHeight="1">
      <c r="A6" s="346" t="s">
        <v>105</v>
      </c>
      <c r="B6" s="347">
        <f>'#利润建议'!E7</f>
        <v>11502.311045650002</v>
      </c>
      <c r="C6" s="348">
        <f>'#利润建议'!F7</f>
        <v>2398</v>
      </c>
      <c r="D6" s="349">
        <f>'#利润建议'!G7</f>
        <v>9104.3110456500017</v>
      </c>
      <c r="E6" s="347">
        <f>'#利润建议'!H7</f>
        <v>1544.5398038100002</v>
      </c>
      <c r="F6" s="348">
        <f>'#利润建议'!I7</f>
        <v>3570</v>
      </c>
      <c r="G6" s="349">
        <f>'#利润建议'!J7</f>
        <v>-2025.4601961899998</v>
      </c>
      <c r="H6" s="347">
        <f>'#利润建议'!K7</f>
        <v>13441.454883720004</v>
      </c>
      <c r="I6" s="348">
        <f>'#利润建议'!L7</f>
        <v>13043.620387000001</v>
      </c>
      <c r="J6" s="349">
        <f>'#利润建议'!M7</f>
        <v>397.83449672000279</v>
      </c>
      <c r="K6" s="347">
        <f>'#利润建议'!N7</f>
        <v>10069.528217149998</v>
      </c>
      <c r="L6" s="348">
        <f>'#利润建议'!O7</f>
        <v>2565</v>
      </c>
      <c r="M6" s="349">
        <f>'#利润建议'!P7</f>
        <v>7504.5282171499985</v>
      </c>
      <c r="N6" s="347">
        <f>'#利润建议'!Q7</f>
        <v>43853.287860719996</v>
      </c>
      <c r="O6" s="348">
        <f>'#利润建议'!R7</f>
        <v>8546</v>
      </c>
      <c r="P6" s="349">
        <f>'#利润建议'!S7</f>
        <v>35307.287860719996</v>
      </c>
      <c r="Q6" s="347">
        <f>'#利润建议'!T7</f>
        <v>3095.7541218700007</v>
      </c>
      <c r="R6" s="348">
        <f>'#利润建议'!U7</f>
        <v>12022</v>
      </c>
      <c r="S6" s="349">
        <f>'#利润建议'!V7</f>
        <v>-8926.2458781299993</v>
      </c>
      <c r="T6" s="1635">
        <f>'#利润建议'!W7</f>
        <v>13229.03398561</v>
      </c>
      <c r="U6" s="348">
        <f>'#利润建议'!X7</f>
        <v>3800</v>
      </c>
      <c r="V6" s="349">
        <f>'#利润建议'!Y7</f>
        <v>9429.0339856099999</v>
      </c>
      <c r="W6" s="1640">
        <f>'#利润建议'!Z7</f>
        <v>5485.7366666400003</v>
      </c>
      <c r="X6" s="348">
        <f>'#利润建议'!AA7</f>
        <v>0</v>
      </c>
      <c r="Y6" s="349">
        <f>'#利润建议'!AB7</f>
        <v>5485.7366666400003</v>
      </c>
      <c r="Z6" s="1640">
        <f>'#利润建议'!AC7</f>
        <v>14071.40843994</v>
      </c>
      <c r="AA6" s="348">
        <f>'#利润建议'!AD7</f>
        <v>0</v>
      </c>
      <c r="AB6" s="348">
        <f>'#利润建议'!AE7</f>
        <v>14071.40843994</v>
      </c>
      <c r="AC6" s="348">
        <f>'#利润建议'!AF7</f>
        <v>22390.415849469995</v>
      </c>
      <c r="AD6" s="348">
        <f>'#利润建议'!AG7</f>
        <v>13756</v>
      </c>
      <c r="AE6" s="348">
        <f>'#利润建议'!AH7</f>
        <v>8634.415849469995</v>
      </c>
      <c r="AF6" s="348">
        <f>'#利润建议'!AI7</f>
        <v>5896.0110075199991</v>
      </c>
      <c r="AG6" s="348">
        <f>'#利润建议'!AJ7</f>
        <v>3878</v>
      </c>
      <c r="AH6" s="348">
        <f>'#利润建议'!AK7</f>
        <v>2018.0110075199991</v>
      </c>
      <c r="AI6" s="348">
        <f>'#利润建议'!AL7</f>
        <v>45926.363700420006</v>
      </c>
      <c r="AJ6" s="348">
        <f>'#利润建议'!AM7</f>
        <v>-68261</v>
      </c>
      <c r="AK6" s="362">
        <f>'#利润建议'!AN7</f>
        <v>114187.36370042001</v>
      </c>
      <c r="AL6" s="347">
        <f>'#利润建议'!BY7</f>
        <v>293100.50412457006</v>
      </c>
      <c r="AM6" s="348">
        <f>'#利润建议'!BZ7</f>
        <v>11300</v>
      </c>
      <c r="AN6" s="349">
        <f>'#利润建议'!CA7</f>
        <v>281800.50412457006</v>
      </c>
    </row>
    <row r="7" spans="1:43" s="336" customFormat="1" ht="53.25" customHeight="1" thickBot="1">
      <c r="A7" s="342" t="s">
        <v>46</v>
      </c>
      <c r="B7" s="343">
        <f>'#利润建议'!E15</f>
        <v>4407</v>
      </c>
      <c r="C7" s="344">
        <f>'#利润建议'!F15</f>
        <v>0</v>
      </c>
      <c r="D7" s="345">
        <f>'#利润建议'!G15</f>
        <v>4407</v>
      </c>
      <c r="E7" s="343">
        <f>'#利润建议'!H15</f>
        <v>-2921</v>
      </c>
      <c r="F7" s="344">
        <f>'#利润建议'!I15</f>
        <v>-3993</v>
      </c>
      <c r="G7" s="345">
        <f>'#利润建议'!J15</f>
        <v>1072</v>
      </c>
      <c r="H7" s="343">
        <f>'#利润建议'!K15</f>
        <v>-5883</v>
      </c>
      <c r="I7" s="344">
        <f>'#利润建议'!L15</f>
        <v>-14158</v>
      </c>
      <c r="J7" s="345">
        <f>'#利润建议'!M15</f>
        <v>8275</v>
      </c>
      <c r="K7" s="343">
        <f>'#利润建议'!N15</f>
        <v>-7145</v>
      </c>
      <c r="L7" s="344">
        <f>'#利润建议'!O15</f>
        <v>-7593</v>
      </c>
      <c r="M7" s="345">
        <f>'#利润建议'!P15</f>
        <v>448</v>
      </c>
      <c r="N7" s="343">
        <f>'#利润建议'!Q15</f>
        <v>1624</v>
      </c>
      <c r="O7" s="344">
        <f>'#利润建议'!R15</f>
        <v>-6500</v>
      </c>
      <c r="P7" s="345">
        <f>'#利润建议'!S15</f>
        <v>8124</v>
      </c>
      <c r="Q7" s="343">
        <f>'#利润建议'!T15</f>
        <v>30845</v>
      </c>
      <c r="R7" s="344">
        <f>'#利润建议'!U15</f>
        <v>-4245</v>
      </c>
      <c r="S7" s="345">
        <f>'#利润建议'!V15</f>
        <v>35090</v>
      </c>
      <c r="T7" s="1634">
        <f>'#利润建议'!W15</f>
        <v>6466</v>
      </c>
      <c r="U7" s="344">
        <f>'#利润建议'!X15</f>
        <v>0</v>
      </c>
      <c r="V7" s="345">
        <f>'#利润建议'!Y15</f>
        <v>6466</v>
      </c>
      <c r="W7" s="1639">
        <f>'#利润建议'!Z15</f>
        <v>24004</v>
      </c>
      <c r="X7" s="344">
        <f>'#利润建议'!AA15</f>
        <v>0</v>
      </c>
      <c r="Y7" s="345">
        <f>'#利润建议'!AB15</f>
        <v>24004</v>
      </c>
      <c r="Z7" s="1639">
        <f>'#利润建议'!AC15</f>
        <v>15083</v>
      </c>
      <c r="AA7" s="344">
        <f>'#利润建议'!AD15</f>
        <v>-3479</v>
      </c>
      <c r="AB7" s="344">
        <f>'#利润建议'!AE15</f>
        <v>18562</v>
      </c>
      <c r="AC7" s="344">
        <f>'#利润建议'!AF15</f>
        <v>70078</v>
      </c>
      <c r="AD7" s="344">
        <f>'#利润建议'!AG15</f>
        <v>39968</v>
      </c>
      <c r="AE7" s="344">
        <f>'#利润建议'!AH15</f>
        <v>30110</v>
      </c>
      <c r="AF7" s="344">
        <f>'#利润建议'!AI15</f>
        <v>18471</v>
      </c>
      <c r="AG7" s="344">
        <f>'#利润建议'!AJ15</f>
        <v>0</v>
      </c>
      <c r="AH7" s="344">
        <f>'#利润建议'!AK15</f>
        <v>18471</v>
      </c>
      <c r="AI7" s="344">
        <f>'#利润建议'!AL15</f>
        <v>23985</v>
      </c>
      <c r="AJ7" s="344">
        <f>'#利润建议'!AM15</f>
        <v>6434</v>
      </c>
      <c r="AK7" s="361">
        <f>'#利润建议'!AN15</f>
        <v>17551</v>
      </c>
      <c r="AL7" s="343">
        <f>'#利润建议'!BY15</f>
        <v>771572</v>
      </c>
      <c r="AM7" s="344">
        <f>'#利润建议'!BZ15</f>
        <v>78303</v>
      </c>
      <c r="AN7" s="345">
        <f>'#利润建议'!CA15</f>
        <v>693269</v>
      </c>
    </row>
    <row r="8" spans="1:43" s="337" customFormat="1" ht="53.25" customHeight="1">
      <c r="A8" s="350" t="s">
        <v>917</v>
      </c>
      <c r="B8" s="351">
        <f>-SUMIFS('#采购&amp;股份关联'!86:86,'#采购&amp;股份关联'!1:1,B1,'#采购&amp;股份关联'!2:2,B2)</f>
        <v>3186.0179128670643</v>
      </c>
      <c r="C8" s="352"/>
      <c r="D8" s="353"/>
      <c r="E8" s="351">
        <f>-SUMIFS('#采购&amp;股份关联'!86:86,'#采购&amp;股份关联'!1:1,E1,'#采购&amp;股份关联'!2:2,E2)</f>
        <v>7464.2213342290788</v>
      </c>
      <c r="F8" s="352"/>
      <c r="G8" s="353"/>
      <c r="H8" s="351">
        <f>-SUMIFS('#采购&amp;股份关联'!86:86,'#采购&amp;股份关联'!1:1,H1,'#采购&amp;股份关联'!2:2,H2)</f>
        <v>6402.2397543493189</v>
      </c>
      <c r="I8" s="352"/>
      <c r="J8" s="353"/>
      <c r="K8" s="351">
        <f>-SUMIFS('#采购&amp;股份关联'!86:86,'#采购&amp;股份关联'!1:1,K1,'#采购&amp;股份关联'!2:2,K2)</f>
        <v>6891.2798667009756</v>
      </c>
      <c r="L8" s="352"/>
      <c r="M8" s="353"/>
      <c r="N8" s="351">
        <f>-SUMIFS('#采购&amp;股份关联'!86:86,'#采购&amp;股份关联'!1:1,N1,'#采购&amp;股份关联'!2:2,N2)</f>
        <v>6735.600371625108</v>
      </c>
      <c r="O8" s="352"/>
      <c r="P8" s="353"/>
      <c r="Q8" s="351">
        <f>-SUMIFS('#采购&amp;股份关联'!86:86,'#采购&amp;股份关联'!1:1,Q1,'#采购&amp;股份关联'!2:2,Q2)</f>
        <v>5710.5283770806118</v>
      </c>
      <c r="R8" s="352"/>
      <c r="S8" s="353"/>
      <c r="T8" s="1636">
        <f>-SUMIFS('#采购&amp;股份关联'!86:86,'#采购&amp;股份关联'!1:1,T1,'#采购&amp;股份关联'!2:2,T2)</f>
        <v>3842.7324038534716</v>
      </c>
      <c r="U8" s="352"/>
      <c r="V8" s="353"/>
      <c r="W8" s="1636">
        <f>-SUMIFS('#采购&amp;股份关联'!86:86,'#采购&amp;股份关联'!1:1,W1,'#采购&amp;股份关联'!2:2,W2)</f>
        <v>5309.2600786627299</v>
      </c>
      <c r="X8" s="352"/>
      <c r="Y8" s="353"/>
      <c r="Z8" s="1636">
        <f>-SUMIFS('#采购&amp;股份关联'!86:86,'#采购&amp;股份关联'!1:1,Z1,'#采购&amp;股份关联'!2:2,Z2)</f>
        <v>4502.363302124746</v>
      </c>
      <c r="AA8" s="352"/>
      <c r="AB8" s="352"/>
      <c r="AC8" s="1636">
        <f>-SUMIFS('#采购&amp;股份关联'!86:86,'#采购&amp;股份关联'!1:1,AC1,'#采购&amp;股份关联'!2:2,AC2)</f>
        <v>9631.9056891800228</v>
      </c>
      <c r="AD8" s="352"/>
      <c r="AE8" s="352"/>
      <c r="AF8" s="1636">
        <f>-SUMIFS('#采购&amp;股份关联'!86:86,'#采购&amp;股份关联'!1:1,AF1,'#采购&amp;股份关联'!2:2,AF2)</f>
        <v>11933.899858294464</v>
      </c>
      <c r="AG8" s="352"/>
      <c r="AH8" s="352"/>
      <c r="AI8" s="352">
        <f>-SUMIFS('#采购&amp;股份关联'!86:86,'#采购&amp;股份关联'!1:1,AI1,'#采购&amp;股份关联'!2:2,AI2)</f>
        <v>12151.206456047821</v>
      </c>
      <c r="AJ8" s="352"/>
      <c r="AK8" s="352"/>
      <c r="AL8" s="363">
        <f>SUM(B8:AJ8)</f>
        <v>83761.255405015414</v>
      </c>
      <c r="AM8" s="352"/>
      <c r="AN8" s="353"/>
    </row>
    <row r="9" spans="1:43" s="337" customFormat="1" ht="53.25" customHeight="1">
      <c r="A9" s="354" t="s">
        <v>918</v>
      </c>
      <c r="B9" s="347"/>
      <c r="C9" s="348"/>
      <c r="D9" s="349"/>
      <c r="E9" s="347"/>
      <c r="F9" s="348"/>
      <c r="G9" s="349"/>
      <c r="H9" s="347"/>
      <c r="I9" s="348"/>
      <c r="J9" s="349"/>
      <c r="K9" s="347"/>
      <c r="L9" s="348"/>
      <c r="M9" s="349"/>
      <c r="N9" s="347"/>
      <c r="O9" s="348"/>
      <c r="P9" s="349"/>
      <c r="Q9" s="347">
        <v>9167</v>
      </c>
      <c r="R9" s="348"/>
      <c r="S9" s="349"/>
      <c r="T9" s="1635"/>
      <c r="U9" s="348"/>
      <c r="V9" s="349"/>
      <c r="W9" s="1640"/>
      <c r="X9" s="348"/>
      <c r="Y9" s="349"/>
      <c r="Z9" s="1640"/>
      <c r="AA9" s="348"/>
      <c r="AB9" s="348"/>
      <c r="AC9" s="1640"/>
      <c r="AD9" s="348"/>
      <c r="AE9" s="348"/>
      <c r="AF9" s="1640"/>
      <c r="AG9" s="348"/>
      <c r="AH9" s="348"/>
      <c r="AI9" s="348"/>
      <c r="AJ9" s="348"/>
      <c r="AK9" s="348"/>
      <c r="AL9" s="364">
        <f>SUM(B9:AJ9)</f>
        <v>9167</v>
      </c>
      <c r="AM9" s="348"/>
      <c r="AN9" s="349"/>
    </row>
    <row r="10" spans="1:43" s="337" customFormat="1" ht="53.25" customHeight="1">
      <c r="A10" s="1632" t="s">
        <v>1127</v>
      </c>
      <c r="B10" s="347"/>
      <c r="C10" s="348"/>
      <c r="D10" s="349"/>
      <c r="E10" s="347"/>
      <c r="F10" s="348"/>
      <c r="G10" s="349"/>
      <c r="H10" s="347"/>
      <c r="I10" s="348"/>
      <c r="J10" s="349"/>
      <c r="K10" s="347"/>
      <c r="L10" s="348"/>
      <c r="M10" s="349"/>
      <c r="N10" s="347"/>
      <c r="O10" s="348"/>
      <c r="P10" s="349"/>
      <c r="Q10" s="347">
        <v>15187</v>
      </c>
      <c r="R10" s="348"/>
      <c r="S10" s="349"/>
      <c r="T10" s="1635"/>
      <c r="U10" s="348"/>
      <c r="V10" s="349"/>
      <c r="W10" s="1640">
        <v>3000</v>
      </c>
      <c r="X10" s="348"/>
      <c r="Y10" s="349"/>
      <c r="Z10" s="1640">
        <v>342</v>
      </c>
      <c r="AA10" s="348"/>
      <c r="AB10" s="348"/>
      <c r="AC10" s="1640">
        <v>342</v>
      </c>
      <c r="AD10" s="348"/>
      <c r="AE10" s="348"/>
      <c r="AF10" s="1640">
        <v>342</v>
      </c>
      <c r="AG10" s="348"/>
      <c r="AH10" s="348"/>
      <c r="AI10" s="348">
        <v>342</v>
      </c>
      <c r="AJ10" s="348"/>
      <c r="AK10" s="348"/>
      <c r="AL10" s="364">
        <f>SUM(B10:AJ10)</f>
        <v>19555</v>
      </c>
      <c r="AM10" s="348"/>
      <c r="AN10" s="349"/>
    </row>
    <row r="11" spans="1:43" s="336" customFormat="1" ht="53.25" customHeight="1" thickBot="1">
      <c r="A11" s="355" t="s">
        <v>919</v>
      </c>
      <c r="B11" s="356">
        <f>B7-B8-B9-B10</f>
        <v>1220.9820871329357</v>
      </c>
      <c r="C11" s="357"/>
      <c r="D11" s="358"/>
      <c r="E11" s="356">
        <f>E7-E8-E9-E10</f>
        <v>-10385.221334229078</v>
      </c>
      <c r="F11" s="357"/>
      <c r="G11" s="358"/>
      <c r="H11" s="356">
        <f>H7-H8-H9-H10</f>
        <v>-12285.239754349319</v>
      </c>
      <c r="I11" s="357"/>
      <c r="J11" s="358"/>
      <c r="K11" s="356">
        <f>K7-K8-K9-K10</f>
        <v>-14036.279866700976</v>
      </c>
      <c r="L11" s="357"/>
      <c r="M11" s="358"/>
      <c r="N11" s="356">
        <f>N7-N8-N9-N10</f>
        <v>-5111.600371625108</v>
      </c>
      <c r="O11" s="357"/>
      <c r="P11" s="358"/>
      <c r="Q11" s="356">
        <f>Q7-Q8-Q9-Q10</f>
        <v>780.4716229193873</v>
      </c>
      <c r="R11" s="357"/>
      <c r="S11" s="358"/>
      <c r="T11" s="1637">
        <f>T7-T8-T9-T10</f>
        <v>2623.2675961465284</v>
      </c>
      <c r="U11" s="357"/>
      <c r="V11" s="358"/>
      <c r="W11" s="1637">
        <f>W7-W8-W9-W10</f>
        <v>15694.73992133727</v>
      </c>
      <c r="X11" s="357"/>
      <c r="Y11" s="358"/>
      <c r="Z11" s="1637">
        <f>Z7-Z8-Z9-Z10</f>
        <v>10238.636697875254</v>
      </c>
      <c r="AA11" s="357"/>
      <c r="AB11" s="357"/>
      <c r="AC11" s="1637">
        <f>AC7-AC8-AC9-AC10</f>
        <v>60104.094310819979</v>
      </c>
      <c r="AD11" s="357"/>
      <c r="AE11" s="357"/>
      <c r="AF11" s="1637">
        <f>AF7-AF8-AF9-AF10</f>
        <v>6195.1001417055359</v>
      </c>
      <c r="AG11" s="357"/>
      <c r="AH11" s="357"/>
      <c r="AI11" s="357">
        <f>AI7-AI8-AI9-AI10</f>
        <v>11491.793543952179</v>
      </c>
      <c r="AJ11" s="357"/>
      <c r="AK11" s="357"/>
      <c r="AL11" s="365">
        <f>SUM(B11:AJ11)</f>
        <v>66530.744594984586</v>
      </c>
      <c r="AM11" s="357"/>
      <c r="AN11" s="358"/>
    </row>
  </sheetData>
  <customSheetViews>
    <customSheetView guid="{1683F931-F47D-47C0-A395-D48080DC7EE6}" showPageBreaks="1" fitToPage="1" printArea="1" hiddenColumns="1">
      <selection activeCell="O9" sqref="O9"/>
      <pageMargins left="0.7" right="0.7" top="0.75" bottom="0.75" header="0.3" footer="0.3"/>
      <pageSetup paperSize="9" scale="58" orientation="landscape" r:id="rId1"/>
    </customSheetView>
    <customSheetView guid="{43897816-D2F0-4C3D-8F57-E0039BD2296B}" showPageBreaks="1" fitToPage="1" printArea="1" hiddenColumns="1">
      <selection activeCell="O9" sqref="O9"/>
      <pageMargins left="0.7" right="0.7" top="0.75" bottom="0.75" header="0.3" footer="0.3"/>
      <pageSetup paperSize="9" scale="58" orientation="landscape" r:id="rId2"/>
    </customSheetView>
    <customSheetView guid="{849C46E5-4ED4-41B9-BDA9-A6465B9DA9C2}" fitToPage="1" hiddenColumns="1">
      <selection activeCell="O9" sqref="O9"/>
      <pageMargins left="0.7" right="0.7" top="0.75" bottom="0.75" header="0.3" footer="0.3"/>
      <pageSetup paperSize="9" scale="58" orientation="landscape" r:id="rId3"/>
    </customSheetView>
    <customSheetView guid="{8C09BCDE-4B8A-4469-B3F2-7F4528A2E78D}" showPageBreaks="1" fitToPage="1" printArea="1" hiddenColumns="1">
      <selection activeCell="O9" sqref="O9"/>
      <pageMargins left="0.7" right="0.7" top="0.75" bottom="0.75" header="0.3" footer="0.3"/>
      <pageSetup paperSize="9" scale="58" orientation="landscape" r:id="rId4"/>
    </customSheetView>
    <customSheetView guid="{F4EB51F4-FD23-4D5B-8072-1AF5D59D6686}" scale="70" showPageBreaks="1" fitToPage="1" printArea="1" hiddenColumns="1">
      <selection activeCell="O9" sqref="O9"/>
      <pageMargins left="0.7" right="0.7" top="0.75" bottom="0.75" header="0.3" footer="0.3"/>
      <pageSetup paperSize="9" scale="58" orientation="landscape" r:id="rId5"/>
    </customSheetView>
    <customSheetView guid="{D7BCFB76-2797-401D-A6F1-E020B5162DD4}" scale="70" showPageBreaks="1" fitToPage="1" printArea="1" hiddenColumns="1" topLeftCell="E1">
      <selection activeCell="N10" sqref="N10"/>
      <pageMargins left="0.7" right="0.7" top="0.75" bottom="0.75" header="0.3" footer="0.3"/>
      <pageSetup paperSize="9" scale="42" orientation="landscape" r:id="rId6"/>
    </customSheetView>
    <customSheetView guid="{C9A88430-3808-49F4-8D86-BF8C70C55441}" scale="70" showPageBreaks="1" fitToPage="1" printArea="1" hiddenColumns="1" topLeftCell="E1">
      <selection activeCell="N10" sqref="N10"/>
      <pageMargins left="0.7" right="0.7" top="0.75" bottom="0.75" header="0.3" footer="0.3"/>
      <pageSetup paperSize="9" scale="42" orientation="landscape" r:id="rId7"/>
    </customSheetView>
    <customSheetView guid="{E61FFED3-723E-484A-93A0-94E1A801AF06}" scale="70" showPageBreaks="1" fitToPage="1" printArea="1" hiddenColumns="1" topLeftCell="E1">
      <selection activeCell="N10" sqref="N10"/>
      <pageMargins left="0.7" right="0.7" top="0.75" bottom="0.75" header="0.3" footer="0.3"/>
      <pageSetup paperSize="9" scale="42" orientation="landscape" r:id="rId8"/>
    </customSheetView>
    <customSheetView guid="{6B5CCA07-2BDD-4B8E-9E3C-2111BBA97430}" scale="70" fitToPage="1" hiddenColumns="1" topLeftCell="E1">
      <selection activeCell="N10" sqref="N10"/>
      <pageMargins left="0.7" right="0.7" top="0.75" bottom="0.75" header="0.3" footer="0.3"/>
      <pageSetup paperSize="9" scale="42" orientation="landscape" r:id="rId9"/>
    </customSheetView>
    <customSheetView guid="{2F47A827-9643-4D8A-AC5D-6B09D79AACF9}" showPageBreaks="1" fitToPage="1" printArea="1" hiddenColumns="1">
      <selection activeCell="O9" sqref="O9"/>
      <pageMargins left="0.7" right="0.7" top="0.75" bottom="0.75" header="0.3" footer="0.3"/>
      <pageSetup paperSize="9" scale="58" orientation="landscape" r:id="rId10"/>
    </customSheetView>
    <customSheetView guid="{B37168A1-DBAB-4BDE-9F92-6261DCDF3D92}" showPageBreaks="1" fitToPage="1" printArea="1" hiddenColumns="1">
      <selection activeCell="O9" sqref="O9"/>
      <pageMargins left="0.7" right="0.7" top="0.75" bottom="0.75" header="0.3" footer="0.3"/>
      <pageSetup paperSize="9" scale="58" orientation="landscape" r:id="rId11"/>
    </customSheetView>
    <customSheetView guid="{AE0DD889-C13C-4059-8024-0F5B234827E9}" scale="70" showPageBreaks="1" fitToPage="1" printArea="1" hiddenColumns="1">
      <selection activeCell="Y9" sqref="Y9"/>
      <pageMargins left="0.7" right="0.7" top="0.75" bottom="0.75" header="0.3" footer="0.3"/>
      <pageSetup paperSize="9" scale="48" orientation="landscape" r:id="rId12"/>
    </customSheetView>
    <customSheetView guid="{C52D0F53-4D1D-4D01-B833-260359FD02A5}" showPageBreaks="1" fitToPage="1" printArea="1" hiddenColumns="1">
      <selection activeCell="O9" sqref="O9"/>
      <pageMargins left="0.7" right="0.7" top="0.75" bottom="0.75" header="0.3" footer="0.3"/>
      <pageSetup paperSize="9" scale="58" orientation="landscape" r:id="rId13"/>
    </customSheetView>
    <customSheetView guid="{6A1E79C9-91E3-4EEA-8ABB-4446083299EC}" scale="70" showPageBreaks="1" fitToPage="1" printArea="1" hiddenColumns="1" topLeftCell="E1">
      <selection activeCell="N10" sqref="N10"/>
      <pageMargins left="0.7" right="0.7" top="0.75" bottom="0.75" header="0.3" footer="0.3"/>
      <pageSetup paperSize="9" scale="42" orientation="landscape" r:id="rId14"/>
    </customSheetView>
    <customSheetView guid="{8B80B510-C931-46B1-8591-DEA916D76593}" scale="70" fitToPage="1" hiddenColumns="1" topLeftCell="E1">
      <selection activeCell="N10" sqref="N10"/>
      <pageMargins left="0.7" right="0.7" top="0.75" bottom="0.75" header="0.3" footer="0.3"/>
      <pageSetup paperSize="9" scale="42" orientation="landscape" r:id="rId15"/>
    </customSheetView>
    <customSheetView guid="{303A9D89-611D-4504-BCAA-071C53B021F7}" showPageBreaks="1" fitToPage="1" printArea="1" hiddenColumns="1">
      <selection activeCell="O9" sqref="O9"/>
      <pageMargins left="0.7" right="0.7" top="0.75" bottom="0.75" header="0.3" footer="0.3"/>
      <pageSetup paperSize="9" scale="58" orientation="landscape" r:id="rId16"/>
    </customSheetView>
    <customSheetView guid="{4583A87D-5DFF-47BD-849A-FA4AAF2B9CE3}" scale="70" showPageBreaks="1" fitToPage="1" printArea="1" hiddenColumns="1" topLeftCell="E1">
      <selection activeCell="N10" sqref="N10"/>
      <pageMargins left="0.7" right="0.7" top="0.75" bottom="0.75" header="0.3" footer="0.3"/>
      <pageSetup paperSize="9" scale="42" orientation="landscape" r:id="rId17"/>
    </customSheetView>
    <customSheetView guid="{EA856AC2-CDFF-46B6-B0C4-30449DF132F4}" scale="70" showPageBreaks="1" fitToPage="1" printArea="1" hiddenColumns="1" topLeftCell="E1">
      <selection activeCell="N10" sqref="N10"/>
      <pageMargins left="0.7" right="0.7" top="0.75" bottom="0.75" header="0.3" footer="0.3"/>
      <pageSetup paperSize="9" scale="42" orientation="landscape" r:id="rId18"/>
    </customSheetView>
    <customSheetView guid="{322A45A6-8B26-49B8-A4D9-EFB3C94A758D}" showPageBreaks="1" fitToPage="1" printArea="1" hiddenColumns="1">
      <selection activeCell="O9" sqref="O9"/>
      <pageMargins left="0.7" right="0.7" top="0.75" bottom="0.75" header="0.3" footer="0.3"/>
      <pageSetup paperSize="9" scale="58" orientation="landscape" r:id="rId19"/>
    </customSheetView>
  </customSheetViews>
  <mergeCells count="14">
    <mergeCell ref="AF3:AH3"/>
    <mergeCell ref="AI3:AK3"/>
    <mergeCell ref="AL3:AN3"/>
    <mergeCell ref="A3:A4"/>
    <mergeCell ref="Q3:S3"/>
    <mergeCell ref="T3:V3"/>
    <mergeCell ref="W3:Y3"/>
    <mergeCell ref="Z3:AB3"/>
    <mergeCell ref="AC3:AE3"/>
    <mergeCell ref="B3:D3"/>
    <mergeCell ref="E3:G3"/>
    <mergeCell ref="H3:J3"/>
    <mergeCell ref="K3:M3"/>
    <mergeCell ref="N3:P3"/>
  </mergeCells>
  <phoneticPr fontId="133" type="noConversion"/>
  <pageMargins left="0.7" right="0.7" top="0.75" bottom="0.75" header="0.3" footer="0.3"/>
  <pageSetup paperSize="9" scale="58" orientation="landscape" r:id="rId2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CCCC"/>
  </sheetPr>
  <dimension ref="A1:N35"/>
  <sheetViews>
    <sheetView workbookViewId="0">
      <selection activeCell="I18" sqref="I18"/>
    </sheetView>
  </sheetViews>
  <sheetFormatPr defaultColWidth="9" defaultRowHeight="14.25"/>
  <cols>
    <col min="2" max="2" width="18.75" customWidth="1"/>
    <col min="3" max="3" width="12" customWidth="1"/>
  </cols>
  <sheetData>
    <row r="1" spans="1:14">
      <c r="C1" s="322">
        <v>2020</v>
      </c>
      <c r="D1" s="322">
        <v>2020</v>
      </c>
      <c r="E1" s="322">
        <v>2020</v>
      </c>
      <c r="F1" s="322">
        <v>2020</v>
      </c>
      <c r="G1" s="322">
        <v>2020</v>
      </c>
      <c r="H1" s="322">
        <v>2020</v>
      </c>
      <c r="I1" s="322">
        <v>2020</v>
      </c>
      <c r="J1" s="322">
        <v>2020</v>
      </c>
      <c r="K1" s="322">
        <v>2020</v>
      </c>
      <c r="L1" s="322">
        <v>2020</v>
      </c>
      <c r="M1" s="322">
        <v>2020</v>
      </c>
      <c r="N1" s="322">
        <v>2020</v>
      </c>
    </row>
    <row r="2" spans="1:14">
      <c r="C2" s="322">
        <v>1</v>
      </c>
      <c r="D2" s="322">
        <v>2</v>
      </c>
      <c r="E2" s="322">
        <v>3</v>
      </c>
      <c r="F2" s="322">
        <v>4</v>
      </c>
      <c r="G2" s="322">
        <v>5</v>
      </c>
      <c r="H2" s="322">
        <v>6</v>
      </c>
      <c r="I2" s="322">
        <v>7</v>
      </c>
      <c r="J2" s="322">
        <v>8</v>
      </c>
      <c r="K2" s="322">
        <v>9</v>
      </c>
      <c r="L2" s="322">
        <v>10</v>
      </c>
      <c r="M2" s="322">
        <v>11</v>
      </c>
      <c r="N2" s="322">
        <v>12</v>
      </c>
    </row>
    <row r="3" spans="1:14">
      <c r="A3" s="323"/>
      <c r="B3" s="324" t="s">
        <v>105</v>
      </c>
    </row>
    <row r="4" spans="1:14">
      <c r="A4" s="330" t="s">
        <v>920</v>
      </c>
      <c r="B4" s="208" t="s">
        <v>110</v>
      </c>
      <c r="C4" s="331">
        <f t="array" ref="C4:C35">_xlfn.XLOOKUP($A$4:$A$35,'收入（汇总）'!$A$4:$A$37,'收入（汇总）'!AC4:AN37)</f>
        <v>8574.1577140000009</v>
      </c>
      <c r="D4" s="331">
        <f t="array" ref="D4:D35">_xlfn.XLOOKUP($A$4:$A$35,'收入（汇总）'!$A$4:$A$37,'收入（汇总）'!AD4:BA37)</f>
        <v>18132.241483999998</v>
      </c>
      <c r="E4" s="331">
        <f t="array" ref="E4:E35">_xlfn.XLOOKUP($A$4:$A$35,'收入（汇总）'!$A$4:$A$37,'收入（汇总）'!AE4:BB37)</f>
        <v>12781.086577</v>
      </c>
      <c r="F4" s="331">
        <f t="array" ref="F4:F35">_xlfn.XLOOKUP($A$4:$A$35,'收入（汇总）'!$A$4:$A$37,'收入（汇总）'!AF4:BC37)</f>
        <v>13530.596987999999</v>
      </c>
      <c r="G4" s="331">
        <f t="array" ref="G4:G35">_xlfn.XLOOKUP($A$4:$A$35,'收入（汇总）'!$A$4:$A$37,'收入（汇总）'!AG4:BD37)</f>
        <v>13000.705253</v>
      </c>
      <c r="H4" s="331">
        <f t="array" ref="H4:H35">_xlfn.XLOOKUP($A$4:$A$35,'收入（汇总）'!$A$4:$A$37,'收入（汇总）'!AH4:BE37)</f>
        <v>12724.563337</v>
      </c>
      <c r="I4" s="331">
        <f t="array" ref="I4:I35">_xlfn.XLOOKUP($A$4:$A$35,'收入（汇总）'!$A$4:$A$37,'收入（汇总）'!AI4:BF37)</f>
        <v>10892.656172000001</v>
      </c>
      <c r="J4" s="331">
        <f t="array" ref="J4:J35">_xlfn.XLOOKUP($A$4:$A$35,'收入（汇总）'!$A$4:$A$37,'收入（汇总）'!AJ4:BG37)</f>
        <v>14169.340722999999</v>
      </c>
      <c r="K4" s="331">
        <f t="array" ref="K4:K35">_xlfn.XLOOKUP($A$4:$A$35,'收入（汇总）'!$A$4:$A$37,'收入（汇总）'!AK4:BH37)</f>
        <v>6061.0460439999997</v>
      </c>
      <c r="L4" s="331">
        <f t="array" ref="L4:L35">_xlfn.XLOOKUP($A$4:$A$35,'收入（汇总）'!$A$4:$A$37,'收入（汇总）'!AL4:BI37)</f>
        <v>13612.385501000001</v>
      </c>
      <c r="M4" s="331">
        <f t="array" ref="M4:M35">_xlfn.XLOOKUP($A$4:$A$35,'收入（汇总）'!$A$4:$A$37,'收入（汇总）'!AM4:BJ37)</f>
        <v>12210.131904</v>
      </c>
      <c r="N4" s="331">
        <f t="array" ref="N4:N35">_xlfn.XLOOKUP($A$4:$A$35,'收入（汇总）'!$A$4:$A$37,'收入（汇总）'!AN4:BK37)</f>
        <v>15890.167291</v>
      </c>
    </row>
    <row r="5" spans="1:14">
      <c r="A5" s="330" t="s">
        <v>921</v>
      </c>
      <c r="B5" s="208" t="s">
        <v>111</v>
      </c>
      <c r="C5" s="331">
        <v>34477.480893</v>
      </c>
      <c r="D5" s="331">
        <v>35588.266622000003</v>
      </c>
      <c r="E5" s="331">
        <v>36101.737867000003</v>
      </c>
      <c r="F5" s="331">
        <v>36830.913904000001</v>
      </c>
      <c r="G5" s="331">
        <v>33968.041055000002</v>
      </c>
      <c r="H5" s="331">
        <v>39070.622646999997</v>
      </c>
      <c r="I5" s="331">
        <v>37214.823089999998</v>
      </c>
      <c r="J5" s="331">
        <v>39552.247033</v>
      </c>
      <c r="K5" s="331">
        <v>36200.994819</v>
      </c>
      <c r="L5" s="331">
        <v>41334.622316000001</v>
      </c>
      <c r="M5" s="331">
        <v>52016.738856000004</v>
      </c>
      <c r="N5" s="331">
        <v>37809.393747000002</v>
      </c>
    </row>
    <row r="6" spans="1:14">
      <c r="A6" s="332" t="s">
        <v>922</v>
      </c>
      <c r="B6" s="212" t="s">
        <v>112</v>
      </c>
      <c r="C6" s="331">
        <v>2139.0291499999998</v>
      </c>
      <c r="D6" s="331">
        <v>3089.4439240000002</v>
      </c>
      <c r="E6" s="331">
        <v>2346.9973960000002</v>
      </c>
      <c r="F6" s="331">
        <v>2242.4946249999998</v>
      </c>
      <c r="G6" s="331">
        <v>2947.5482919999999</v>
      </c>
      <c r="H6" s="331">
        <v>2533.1229939999998</v>
      </c>
      <c r="I6" s="331">
        <v>2392.2750780000001</v>
      </c>
      <c r="J6" s="331">
        <v>3255.284506</v>
      </c>
      <c r="K6" s="331">
        <v>1352.446678</v>
      </c>
      <c r="L6" s="331">
        <v>2393.8400769999998</v>
      </c>
      <c r="M6" s="331">
        <v>2762.2964160000001</v>
      </c>
      <c r="N6" s="331">
        <v>3148.582105</v>
      </c>
    </row>
    <row r="7" spans="1:14">
      <c r="A7" s="333" t="s">
        <v>923</v>
      </c>
      <c r="B7" s="334" t="s">
        <v>46</v>
      </c>
      <c r="C7" s="331">
        <v>469759.78202699998</v>
      </c>
      <c r="D7" s="331">
        <v>488462</v>
      </c>
      <c r="E7" s="331">
        <v>598514</v>
      </c>
      <c r="F7" s="331">
        <v>632085</v>
      </c>
      <c r="G7" s="331">
        <v>573209</v>
      </c>
      <c r="H7" s="331">
        <v>523347</v>
      </c>
      <c r="I7" s="331">
        <v>517162</v>
      </c>
      <c r="J7" s="331">
        <v>520204</v>
      </c>
      <c r="K7" s="331">
        <v>500240</v>
      </c>
      <c r="L7" s="331">
        <v>598633</v>
      </c>
      <c r="M7" s="331">
        <v>633373</v>
      </c>
      <c r="N7" s="331">
        <v>682084</v>
      </c>
    </row>
    <row r="8" spans="1:14">
      <c r="A8" s="330" t="s">
        <v>924</v>
      </c>
      <c r="B8" s="208" t="s">
        <v>113</v>
      </c>
      <c r="C8" s="331">
        <v>9955.3476159999991</v>
      </c>
      <c r="D8" s="331">
        <v>10421.711875000001</v>
      </c>
      <c r="E8" s="331">
        <v>12511.647521000001</v>
      </c>
      <c r="F8" s="331">
        <v>7130.3903579999997</v>
      </c>
      <c r="G8" s="331">
        <v>10017.981172</v>
      </c>
      <c r="H8" s="331">
        <v>13030.349977</v>
      </c>
      <c r="I8" s="331">
        <v>11696.420834</v>
      </c>
      <c r="J8" s="331">
        <v>11485.060232</v>
      </c>
      <c r="K8" s="331">
        <v>11801.860707</v>
      </c>
      <c r="L8" s="331">
        <v>12268.492797999999</v>
      </c>
      <c r="M8" s="331">
        <v>12054.972615999999</v>
      </c>
      <c r="N8" s="331">
        <v>10235.209976</v>
      </c>
    </row>
    <row r="9" spans="1:14">
      <c r="A9" s="330" t="s">
        <v>925</v>
      </c>
      <c r="B9" s="208" t="s">
        <v>114</v>
      </c>
      <c r="C9" s="331">
        <v>227.55381299999999</v>
      </c>
      <c r="D9" s="331">
        <v>1131.5823009999999</v>
      </c>
      <c r="E9" s="331">
        <v>206.48781</v>
      </c>
      <c r="F9" s="331">
        <v>227.70057499999999</v>
      </c>
      <c r="G9" s="331">
        <v>350.38089200000002</v>
      </c>
      <c r="H9" s="331">
        <v>2415.6194839999998</v>
      </c>
      <c r="I9" s="331">
        <v>612.46865000000003</v>
      </c>
      <c r="J9" s="331">
        <v>212.075582</v>
      </c>
      <c r="K9" s="331">
        <v>707.71586100000002</v>
      </c>
      <c r="L9" s="331">
        <v>1495.6983009999999</v>
      </c>
      <c r="M9" s="331">
        <v>1661.4925559999999</v>
      </c>
      <c r="N9" s="331">
        <v>953.74066100000005</v>
      </c>
    </row>
    <row r="10" spans="1:14">
      <c r="A10" s="330" t="s">
        <v>926</v>
      </c>
      <c r="B10" s="208" t="s">
        <v>115</v>
      </c>
      <c r="C10" s="331">
        <v>10769.340305</v>
      </c>
      <c r="D10" s="331">
        <v>10033.002705999999</v>
      </c>
      <c r="E10" s="331">
        <v>10545.811487999999</v>
      </c>
      <c r="F10" s="331">
        <v>10155.19218</v>
      </c>
      <c r="G10" s="331">
        <v>10581.140815999999</v>
      </c>
      <c r="H10" s="331">
        <v>10122.661545000001</v>
      </c>
      <c r="I10" s="331">
        <v>9467.3779360000008</v>
      </c>
      <c r="J10" s="331">
        <v>9880.3068490000005</v>
      </c>
      <c r="K10" s="331">
        <v>9117.0866459999997</v>
      </c>
      <c r="L10" s="331">
        <v>10722.527824999999</v>
      </c>
      <c r="M10" s="331">
        <v>10489.919549</v>
      </c>
      <c r="N10" s="331">
        <v>11167.008521</v>
      </c>
    </row>
    <row r="11" spans="1:14">
      <c r="A11" s="330" t="s">
        <v>927</v>
      </c>
      <c r="B11" s="208" t="s">
        <v>116</v>
      </c>
      <c r="C11" s="331">
        <v>1748.5771010000001</v>
      </c>
      <c r="D11" s="331">
        <v>1841.9617800000001</v>
      </c>
      <c r="E11" s="331">
        <v>1971.3650600000001</v>
      </c>
      <c r="F11" s="331">
        <v>2257.6921130000001</v>
      </c>
      <c r="G11" s="331">
        <v>2213.3934479999998</v>
      </c>
      <c r="H11" s="331">
        <v>2390.7243229999999</v>
      </c>
      <c r="I11" s="331">
        <v>2264.0696389999998</v>
      </c>
      <c r="J11" s="331">
        <v>2604.3351550000002</v>
      </c>
      <c r="K11" s="331">
        <v>2560.1413210000001</v>
      </c>
      <c r="L11" s="331">
        <v>2584.8222390000001</v>
      </c>
      <c r="M11" s="331">
        <v>2758.8141310000001</v>
      </c>
      <c r="N11" s="331">
        <v>2614.954929</v>
      </c>
    </row>
    <row r="12" spans="1:14">
      <c r="A12" s="330" t="s">
        <v>928</v>
      </c>
      <c r="B12" s="208" t="s">
        <v>117</v>
      </c>
      <c r="C12" s="331">
        <v>214.64275900000001</v>
      </c>
      <c r="D12" s="331">
        <v>147.32049000000001</v>
      </c>
      <c r="E12" s="331">
        <v>311.49376599999999</v>
      </c>
      <c r="F12" s="331">
        <v>424.246442</v>
      </c>
      <c r="G12" s="331">
        <v>390.45852200000002</v>
      </c>
      <c r="H12" s="331">
        <v>475.71624600000001</v>
      </c>
      <c r="I12" s="331">
        <v>405.06134700000001</v>
      </c>
      <c r="J12" s="331">
        <v>1013.029959</v>
      </c>
      <c r="K12" s="331">
        <v>603.30514100000005</v>
      </c>
      <c r="L12" s="331">
        <v>790.57195400000001</v>
      </c>
      <c r="M12" s="331">
        <v>758.18497200000002</v>
      </c>
      <c r="N12" s="331">
        <v>1048.6364619999999</v>
      </c>
    </row>
    <row r="13" spans="1:14">
      <c r="A13" s="330" t="s">
        <v>929</v>
      </c>
      <c r="B13" s="208" t="s">
        <v>118</v>
      </c>
      <c r="C13" s="331">
        <v>305.04879599999998</v>
      </c>
      <c r="D13" s="331">
        <v>32.336708000000002</v>
      </c>
      <c r="E13" s="331">
        <v>710.06576700000005</v>
      </c>
      <c r="F13" s="331">
        <v>1704.0170760000001</v>
      </c>
      <c r="G13" s="331">
        <v>1835.4420580000001</v>
      </c>
      <c r="H13" s="331">
        <v>1883.903681</v>
      </c>
      <c r="I13" s="331">
        <v>1224.362185</v>
      </c>
      <c r="J13" s="331">
        <v>1488.909498</v>
      </c>
      <c r="K13" s="331">
        <v>1562.6207629999999</v>
      </c>
      <c r="L13" s="331">
        <v>1306.3146280000001</v>
      </c>
      <c r="M13" s="331">
        <v>1268.148242</v>
      </c>
      <c r="N13" s="331">
        <v>684.67928600000005</v>
      </c>
    </row>
    <row r="14" spans="1:14">
      <c r="A14" s="330" t="s">
        <v>930</v>
      </c>
      <c r="B14" s="208" t="s">
        <v>119</v>
      </c>
      <c r="C14" s="331">
        <v>483.693962</v>
      </c>
      <c r="D14" s="331">
        <v>198.519879</v>
      </c>
      <c r="E14" s="331">
        <v>242.34631099999999</v>
      </c>
      <c r="F14" s="331">
        <v>290.669532</v>
      </c>
      <c r="G14" s="331">
        <v>171.97401099999999</v>
      </c>
      <c r="H14" s="331">
        <v>192.43221199999999</v>
      </c>
      <c r="I14" s="331">
        <v>270.666087</v>
      </c>
      <c r="J14" s="331">
        <v>694.27601700000002</v>
      </c>
      <c r="K14" s="331">
        <v>1065.5269800000001</v>
      </c>
      <c r="L14" s="331">
        <v>1123.128072</v>
      </c>
      <c r="M14" s="331">
        <v>1792.1191229999999</v>
      </c>
      <c r="N14" s="331">
        <v>2208.923601</v>
      </c>
    </row>
    <row r="15" spans="1:14">
      <c r="A15" s="330"/>
      <c r="B15" s="208" t="s">
        <v>120</v>
      </c>
      <c r="C15" s="331" t="e">
        <v>#N/A</v>
      </c>
      <c r="D15" s="331" t="e">
        <v>#N/A</v>
      </c>
      <c r="E15" s="331" t="e">
        <v>#N/A</v>
      </c>
      <c r="F15" s="331" t="e">
        <v>#N/A</v>
      </c>
      <c r="G15" s="331" t="e">
        <v>#N/A</v>
      </c>
      <c r="H15" s="331" t="e">
        <v>#N/A</v>
      </c>
      <c r="I15" s="331" t="e">
        <v>#N/A</v>
      </c>
      <c r="J15" s="331" t="e">
        <v>#N/A</v>
      </c>
      <c r="K15" s="331" t="e">
        <v>#N/A</v>
      </c>
      <c r="L15" s="331" t="e">
        <v>#N/A</v>
      </c>
      <c r="M15" s="331" t="e">
        <v>#N/A</v>
      </c>
      <c r="N15" s="331" t="e">
        <v>#N/A</v>
      </c>
    </row>
    <row r="16" spans="1:14">
      <c r="A16" s="323" t="s">
        <v>931</v>
      </c>
      <c r="B16" s="324" t="s">
        <v>121</v>
      </c>
      <c r="C16" s="331">
        <v>50067.951534</v>
      </c>
      <c r="D16" s="331">
        <v>71633.245777000004</v>
      </c>
      <c r="E16" s="331">
        <v>76380.369963000005</v>
      </c>
      <c r="F16" s="331">
        <v>78880.949651000003</v>
      </c>
      <c r="G16" s="331">
        <v>66877.367555999997</v>
      </c>
      <c r="H16" s="331">
        <v>81657.822487999991</v>
      </c>
      <c r="I16" s="331">
        <v>72598.195774000007</v>
      </c>
      <c r="J16" s="331">
        <v>64194.451830000005</v>
      </c>
      <c r="K16" s="331">
        <v>68406.922557999991</v>
      </c>
      <c r="L16" s="331">
        <v>64123.565080999993</v>
      </c>
      <c r="M16" s="331">
        <v>95260.57</v>
      </c>
      <c r="N16" s="331">
        <v>140372.45735099999</v>
      </c>
    </row>
    <row r="17" spans="1:14">
      <c r="A17" s="323" t="s">
        <v>932</v>
      </c>
      <c r="B17" s="324" t="s">
        <v>122</v>
      </c>
      <c r="C17" s="331">
        <v>93882.002512999999</v>
      </c>
      <c r="D17" s="331">
        <v>86406.371171000006</v>
      </c>
      <c r="E17" s="331">
        <v>64466.363791000003</v>
      </c>
      <c r="F17" s="331">
        <v>55788.776236999998</v>
      </c>
      <c r="G17" s="331">
        <v>50224.670398000002</v>
      </c>
      <c r="H17" s="331">
        <v>70887.962555000006</v>
      </c>
      <c r="I17" s="331">
        <v>70920.731211000006</v>
      </c>
      <c r="J17" s="331">
        <v>82214.637474999996</v>
      </c>
      <c r="K17" s="331">
        <v>104085.03417299999</v>
      </c>
      <c r="L17" s="331">
        <v>114864.205712</v>
      </c>
      <c r="M17" s="331">
        <v>99426.893530000001</v>
      </c>
      <c r="N17" s="331">
        <v>183050.70578300001</v>
      </c>
    </row>
    <row r="18" spans="1:14">
      <c r="A18" s="323" t="s">
        <v>933</v>
      </c>
      <c r="B18" s="324" t="s">
        <v>127</v>
      </c>
      <c r="C18" s="331">
        <v>934.574476</v>
      </c>
      <c r="D18" s="331">
        <v>881.56469700000002</v>
      </c>
      <c r="E18" s="331">
        <v>964.678809</v>
      </c>
      <c r="F18" s="331">
        <v>968.83264800000006</v>
      </c>
      <c r="G18" s="331">
        <v>1027.242444</v>
      </c>
      <c r="H18" s="331">
        <v>1013.52</v>
      </c>
      <c r="I18" s="331">
        <v>961.47519199999999</v>
      </c>
      <c r="J18" s="331">
        <v>970.61262399999998</v>
      </c>
      <c r="K18" s="331">
        <v>894.17705600000011</v>
      </c>
      <c r="L18" s="331">
        <v>970.77033100000006</v>
      </c>
      <c r="M18" s="331">
        <v>1011.763632</v>
      </c>
      <c r="N18" s="331">
        <v>993.03518399999996</v>
      </c>
    </row>
    <row r="19" spans="1:14">
      <c r="A19" s="333" t="s">
        <v>934</v>
      </c>
      <c r="B19" s="334" t="s">
        <v>128</v>
      </c>
      <c r="C19" s="331">
        <v>208.29428799999999</v>
      </c>
      <c r="D19" s="331">
        <v>193.82966499999998</v>
      </c>
      <c r="E19" s="331">
        <v>208.275597</v>
      </c>
      <c r="F19" s="331">
        <v>202.13351499999999</v>
      </c>
      <c r="G19" s="331">
        <v>211.03044199999999</v>
      </c>
      <c r="H19" s="331">
        <v>202.86</v>
      </c>
      <c r="I19" s="331">
        <v>212.49866699999998</v>
      </c>
      <c r="J19" s="331">
        <v>207.37591599999999</v>
      </c>
      <c r="K19" s="331">
        <v>202.46894699999999</v>
      </c>
      <c r="L19" s="331">
        <v>210.381552</v>
      </c>
      <c r="M19" s="331">
        <v>204.96069299999999</v>
      </c>
      <c r="N19" s="331">
        <v>212.71082400000003</v>
      </c>
    </row>
    <row r="20" spans="1:14">
      <c r="A20" s="330" t="s">
        <v>935</v>
      </c>
      <c r="B20" s="208" t="s">
        <v>123</v>
      </c>
      <c r="C20" s="331">
        <v>944.58054600000003</v>
      </c>
      <c r="D20" s="331">
        <v>258.005043</v>
      </c>
      <c r="E20" s="331">
        <v>493.11136199999999</v>
      </c>
      <c r="F20" s="331">
        <v>594.16460400000005</v>
      </c>
      <c r="G20" s="331">
        <v>606.38658999999996</v>
      </c>
      <c r="H20" s="331">
        <v>637.02506300000005</v>
      </c>
      <c r="I20" s="331">
        <v>779.42541200000005</v>
      </c>
      <c r="J20" s="331">
        <v>855.046154</v>
      </c>
      <c r="K20" s="331">
        <v>937.624143</v>
      </c>
      <c r="L20" s="331">
        <v>1020.641795</v>
      </c>
      <c r="M20" s="331">
        <v>925.00338499999998</v>
      </c>
      <c r="N20" s="331">
        <v>968.88431300000002</v>
      </c>
    </row>
    <row r="21" spans="1:14">
      <c r="A21" s="330" t="s">
        <v>936</v>
      </c>
      <c r="B21" s="208" t="s">
        <v>124</v>
      </c>
      <c r="C21" s="331">
        <v>3216.2060459999998</v>
      </c>
      <c r="D21" s="331">
        <v>3230.5791359999998</v>
      </c>
      <c r="E21" s="331">
        <v>3362.7350329999999</v>
      </c>
      <c r="F21" s="331">
        <v>4155.9555739999996</v>
      </c>
      <c r="G21" s="331">
        <v>4902.5207769999997</v>
      </c>
      <c r="H21" s="331">
        <v>4335.4336359999998</v>
      </c>
      <c r="I21" s="331">
        <v>3821.973767</v>
      </c>
      <c r="J21" s="331">
        <v>4391.1700920000003</v>
      </c>
      <c r="K21" s="331">
        <v>3636.9851010000002</v>
      </c>
      <c r="L21" s="331">
        <v>4450.3604379999997</v>
      </c>
      <c r="M21" s="331">
        <v>4042.3533659999998</v>
      </c>
      <c r="N21" s="331">
        <v>3311.4686240000001</v>
      </c>
    </row>
    <row r="22" spans="1:14">
      <c r="A22" s="330" t="s">
        <v>937</v>
      </c>
      <c r="B22" s="208" t="s">
        <v>125</v>
      </c>
      <c r="C22" s="331">
        <v>158.96527399999999</v>
      </c>
      <c r="D22" s="331">
        <v>24.717753999999999</v>
      </c>
      <c r="E22" s="331">
        <v>8.2617960000000004</v>
      </c>
      <c r="F22" s="331">
        <v>192.052727</v>
      </c>
      <c r="G22" s="331">
        <v>29.071672</v>
      </c>
      <c r="H22" s="331">
        <v>29.682991999999999</v>
      </c>
      <c r="I22" s="331">
        <v>146.9273</v>
      </c>
      <c r="J22" s="331">
        <v>0.83311500000000005</v>
      </c>
      <c r="K22" s="331">
        <v>19.769988999999999</v>
      </c>
      <c r="L22" s="331">
        <v>144.15645799999999</v>
      </c>
      <c r="M22" s="331">
        <v>58.455193999999999</v>
      </c>
      <c r="N22" s="331">
        <v>78.275401000000002</v>
      </c>
    </row>
    <row r="23" spans="1:14">
      <c r="A23" s="330" t="s">
        <v>938</v>
      </c>
      <c r="B23" s="208" t="s">
        <v>126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10.860132</v>
      </c>
      <c r="I23" s="331">
        <v>0</v>
      </c>
      <c r="J23" s="331">
        <v>2.1876280000000001</v>
      </c>
      <c r="K23" s="331">
        <v>8.0491790000000005</v>
      </c>
      <c r="L23" s="331">
        <v>8.2215980000000002</v>
      </c>
      <c r="M23" s="331">
        <v>5.9747880000000002</v>
      </c>
      <c r="N23" s="331">
        <v>6.0398810000000003</v>
      </c>
    </row>
    <row r="24" spans="1:14">
      <c r="A24" s="330" t="s">
        <v>939</v>
      </c>
      <c r="B24" s="208" t="s">
        <v>129</v>
      </c>
      <c r="C24" s="331">
        <v>1700.861639</v>
      </c>
      <c r="D24" s="331">
        <v>1356.0483160000001</v>
      </c>
      <c r="E24" s="331">
        <v>1459.3532250000001</v>
      </c>
      <c r="F24" s="331">
        <v>1436.019055</v>
      </c>
      <c r="G24" s="331">
        <v>1649.310518</v>
      </c>
      <c r="H24" s="331">
        <v>1653.9610520000001</v>
      </c>
      <c r="I24" s="331">
        <v>1500.63375</v>
      </c>
      <c r="J24" s="331">
        <v>1601.95553</v>
      </c>
      <c r="K24" s="331">
        <v>1508.301117</v>
      </c>
      <c r="L24" s="331">
        <v>1485.8837040000001</v>
      </c>
      <c r="M24" s="331">
        <v>1563.6702</v>
      </c>
      <c r="N24" s="331">
        <v>1599.732287</v>
      </c>
    </row>
    <row r="25" spans="1:14">
      <c r="A25" s="330" t="s">
        <v>940</v>
      </c>
      <c r="B25" s="208" t="s">
        <v>941</v>
      </c>
      <c r="C25" s="331">
        <v>1565.1990060000001</v>
      </c>
      <c r="D25" s="331">
        <v>468.72552400000001</v>
      </c>
      <c r="E25" s="331">
        <v>880.789357</v>
      </c>
      <c r="F25" s="331">
        <v>885.84601899999996</v>
      </c>
      <c r="G25" s="331">
        <v>979.92155000000002</v>
      </c>
      <c r="H25" s="331">
        <v>1270.743935</v>
      </c>
      <c r="I25" s="331">
        <v>1136.0790079999999</v>
      </c>
      <c r="J25" s="331">
        <v>1256.379001</v>
      </c>
      <c r="K25" s="331">
        <v>1346.9841570000001</v>
      </c>
      <c r="L25" s="331">
        <v>1255.4949779999999</v>
      </c>
      <c r="M25" s="331">
        <v>1025.6273409999999</v>
      </c>
      <c r="N25" s="331">
        <v>1163.0838200000001</v>
      </c>
    </row>
    <row r="26" spans="1:14">
      <c r="A26" s="330" t="s">
        <v>942</v>
      </c>
      <c r="B26" s="208" t="s">
        <v>131</v>
      </c>
      <c r="C26" s="331">
        <v>6890.4785849999998</v>
      </c>
      <c r="D26" s="331">
        <v>139.373559</v>
      </c>
      <c r="E26" s="331">
        <v>744.74965199999997</v>
      </c>
      <c r="F26" s="331">
        <v>300.501486</v>
      </c>
      <c r="G26" s="331">
        <v>497.99446399999999</v>
      </c>
      <c r="H26" s="331">
        <v>1118.7061450000001</v>
      </c>
      <c r="I26" s="331">
        <v>773.10271899999998</v>
      </c>
      <c r="J26" s="331">
        <v>580.40029800000002</v>
      </c>
      <c r="K26" s="331">
        <v>758.99913300000003</v>
      </c>
      <c r="L26" s="331">
        <v>1116.6787899999999</v>
      </c>
      <c r="M26" s="331">
        <v>946.29311700000005</v>
      </c>
      <c r="N26" s="331">
        <v>2797.1742939999999</v>
      </c>
    </row>
    <row r="27" spans="1:14">
      <c r="A27" s="330" t="s">
        <v>943</v>
      </c>
      <c r="B27" s="208" t="s">
        <v>133</v>
      </c>
      <c r="C27" s="331">
        <v>0</v>
      </c>
      <c r="D27" s="331">
        <v>0</v>
      </c>
      <c r="E27" s="331">
        <v>0</v>
      </c>
      <c r="F27" s="331">
        <v>0</v>
      </c>
      <c r="G27" s="331">
        <v>0</v>
      </c>
      <c r="H27" s="331">
        <v>0</v>
      </c>
      <c r="I27" s="331">
        <v>0</v>
      </c>
      <c r="J27" s="331">
        <v>42.206225000000003</v>
      </c>
      <c r="K27" s="331">
        <v>0</v>
      </c>
      <c r="L27" s="331">
        <v>41.495471999999999</v>
      </c>
      <c r="M27" s="331">
        <v>0</v>
      </c>
      <c r="N27" s="331">
        <v>0</v>
      </c>
    </row>
    <row r="28" spans="1:14">
      <c r="A28" s="330" t="s">
        <v>944</v>
      </c>
      <c r="B28" s="208" t="s">
        <v>132</v>
      </c>
      <c r="C28" s="331">
        <v>7804.8973699999997</v>
      </c>
      <c r="D28" s="331">
        <v>1993.4094339999999</v>
      </c>
      <c r="E28" s="331">
        <v>1122.5966519999999</v>
      </c>
      <c r="F28" s="331">
        <v>2066.5715369999998</v>
      </c>
      <c r="G28" s="331">
        <v>3806.0554579999998</v>
      </c>
      <c r="H28" s="331">
        <v>4321.3900309999999</v>
      </c>
      <c r="I28" s="331">
        <v>5458.4137209999999</v>
      </c>
      <c r="J28" s="331">
        <v>5542.9559239999999</v>
      </c>
      <c r="K28" s="331">
        <v>4313.0064199999997</v>
      </c>
      <c r="L28" s="331">
        <v>5380.948805</v>
      </c>
      <c r="M28" s="331">
        <v>8125.8948540000001</v>
      </c>
      <c r="N28" s="331">
        <v>5272.9120789999997</v>
      </c>
    </row>
    <row r="29" spans="1:14">
      <c r="A29" s="330" t="s">
        <v>945</v>
      </c>
      <c r="B29" s="208" t="s">
        <v>134</v>
      </c>
      <c r="C29" s="331">
        <v>0</v>
      </c>
      <c r="D29" s="331">
        <v>0</v>
      </c>
      <c r="E29" s="331">
        <v>152.528774</v>
      </c>
      <c r="F29" s="331">
        <v>0</v>
      </c>
      <c r="G29" s="331">
        <v>0</v>
      </c>
      <c r="H29" s="331">
        <v>239.56641500000001</v>
      </c>
      <c r="I29" s="331">
        <v>0</v>
      </c>
      <c r="J29" s="331">
        <v>0</v>
      </c>
      <c r="K29" s="331">
        <v>205.94028299999999</v>
      </c>
      <c r="L29" s="331">
        <v>1.698113</v>
      </c>
      <c r="M29" s="331">
        <v>115.569339</v>
      </c>
      <c r="N29" s="331">
        <v>299.169152</v>
      </c>
    </row>
    <row r="30" spans="1:14">
      <c r="A30" s="330" t="s">
        <v>946</v>
      </c>
      <c r="B30" s="208" t="s">
        <v>135</v>
      </c>
      <c r="C30" s="331">
        <v>0</v>
      </c>
      <c r="D30" s="331">
        <v>0</v>
      </c>
      <c r="E30" s="331">
        <v>0</v>
      </c>
      <c r="F30" s="331">
        <v>0</v>
      </c>
      <c r="G30" s="331">
        <v>0</v>
      </c>
      <c r="H30" s="331">
        <v>0</v>
      </c>
      <c r="I30" s="331">
        <v>0</v>
      </c>
      <c r="J30" s="331">
        <v>0</v>
      </c>
      <c r="K30" s="331">
        <v>0</v>
      </c>
      <c r="L30" s="331">
        <v>0</v>
      </c>
      <c r="M30" s="331">
        <v>0</v>
      </c>
      <c r="N30" s="331">
        <v>0</v>
      </c>
    </row>
    <row r="31" spans="1:14">
      <c r="A31" s="330" t="s">
        <v>947</v>
      </c>
      <c r="B31" s="208" t="s">
        <v>136</v>
      </c>
      <c r="C31" s="331">
        <v>0</v>
      </c>
      <c r="D31" s="331">
        <v>0</v>
      </c>
      <c r="E31" s="331">
        <v>0</v>
      </c>
      <c r="F31" s="331">
        <v>0</v>
      </c>
      <c r="G31" s="331">
        <v>0</v>
      </c>
      <c r="H31" s="331">
        <v>0</v>
      </c>
      <c r="I31" s="331">
        <v>0</v>
      </c>
      <c r="J31" s="331">
        <v>0</v>
      </c>
      <c r="K31" s="331">
        <v>0</v>
      </c>
      <c r="L31" s="331">
        <v>0</v>
      </c>
      <c r="M31" s="331">
        <v>0</v>
      </c>
      <c r="N31" s="331">
        <v>0</v>
      </c>
    </row>
    <row r="32" spans="1:14">
      <c r="A32" s="332" t="s">
        <v>948</v>
      </c>
      <c r="B32" s="212" t="s">
        <v>137</v>
      </c>
      <c r="C32" s="331">
        <v>5360.6020840000001</v>
      </c>
      <c r="D32" s="331">
        <v>3349.9274879999998</v>
      </c>
      <c r="E32" s="331">
        <v>4696.8190599999998</v>
      </c>
      <c r="F32" s="331">
        <v>6408.6242579999998</v>
      </c>
      <c r="G32" s="331">
        <v>5967.4761189999999</v>
      </c>
      <c r="H32" s="331">
        <v>6376.4163239999998</v>
      </c>
      <c r="I32" s="331">
        <v>5912.8967990000001</v>
      </c>
      <c r="J32" s="331">
        <v>6165.744541</v>
      </c>
      <c r="K32" s="331">
        <v>6791.1492070000004</v>
      </c>
      <c r="L32" s="331">
        <v>5566.8728689999998</v>
      </c>
      <c r="M32" s="331">
        <v>7145.6290129999998</v>
      </c>
      <c r="N32" s="331">
        <v>7880.553919</v>
      </c>
    </row>
    <row r="33" spans="1:14">
      <c r="A33" s="330" t="s">
        <v>949</v>
      </c>
      <c r="B33" s="208" t="s">
        <v>138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</row>
    <row r="34" spans="1:14">
      <c r="A34" s="330" t="s">
        <v>950</v>
      </c>
      <c r="B34" s="208" t="s">
        <v>139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</row>
    <row r="35" spans="1:14">
      <c r="A35" s="330" t="s">
        <v>951</v>
      </c>
      <c r="B35" s="208" t="s">
        <v>140</v>
      </c>
      <c r="C35" s="331">
        <v>0</v>
      </c>
      <c r="D35" s="331">
        <v>0</v>
      </c>
      <c r="E35" s="331">
        <v>0</v>
      </c>
      <c r="F35" s="331">
        <v>0</v>
      </c>
      <c r="G35" s="331">
        <v>0</v>
      </c>
      <c r="H35" s="331">
        <v>0</v>
      </c>
      <c r="I35" s="331">
        <v>0</v>
      </c>
      <c r="J35" s="331">
        <v>0</v>
      </c>
      <c r="K35" s="331">
        <v>0</v>
      </c>
      <c r="L35" s="331">
        <v>0</v>
      </c>
      <c r="M35" s="331">
        <v>0</v>
      </c>
      <c r="N35" s="331">
        <v>0</v>
      </c>
    </row>
  </sheetData>
  <customSheetViews>
    <customSheetView guid="{1683F931-F47D-47C0-A395-D48080DC7EE6}" showPageBreaks="1">
      <selection activeCell="I18" sqref="I18"/>
      <pageMargins left="0.7" right="0.7" top="0.75" bottom="0.75" header="0.3" footer="0.3"/>
      <pageSetup paperSize="9" orientation="portrait" r:id="rId1"/>
    </customSheetView>
    <customSheetView guid="{43897816-D2F0-4C3D-8F57-E0039BD2296B}" topLeftCell="A19">
      <selection activeCell="K4" sqref="K4:K32"/>
      <pageMargins left="0.7" right="0.7" top="0.75" bottom="0.75" header="0.3" footer="0.3"/>
      <pageSetup paperSize="9" orientation="portrait" r:id="rId2"/>
    </customSheetView>
    <customSheetView guid="{849C46E5-4ED4-41B9-BDA9-A6465B9DA9C2}" topLeftCell="A25">
      <selection activeCell="F4" sqref="F4:F35"/>
      <pageMargins left="0.7" right="0.7" top="0.75" bottom="0.75" header="0.3" footer="0.3"/>
    </customSheetView>
    <customSheetView guid="{8C09BCDE-4B8A-4469-B3F2-7F4528A2E78D}" topLeftCell="A25">
      <selection activeCell="F4" sqref="F4:F35"/>
      <pageMargins left="0.7" right="0.7" top="0.75" bottom="0.75" header="0.3" footer="0.3"/>
    </customSheetView>
    <customSheetView guid="{F4EB51F4-FD23-4D5B-8072-1AF5D59D6686}">
      <selection activeCell="F4" sqref="F4:F35"/>
      <pageMargins left="0.7" right="0.7" top="0.75" bottom="0.75" header="0.3" footer="0.3"/>
    </customSheetView>
    <customSheetView guid="{D7BCFB76-2797-401D-A6F1-E020B5162DD4}">
      <selection activeCell="K4" sqref="K4"/>
      <pageMargins left="0.7" right="0.7" top="0.75" bottom="0.75" header="0.3" footer="0.3"/>
      <pageSetup paperSize="9" orientation="portrait" r:id="rId3"/>
    </customSheetView>
    <customSheetView guid="{C9A88430-3808-49F4-8D86-BF8C70C55441}" topLeftCell="A22">
      <selection activeCell="K4" sqref="K4"/>
      <pageMargins left="0.7" right="0.7" top="0.75" bottom="0.75" header="0.3" footer="0.3"/>
      <pageSetup paperSize="9" orientation="portrait" r:id="rId4"/>
    </customSheetView>
    <customSheetView guid="{E61FFED3-723E-484A-93A0-94E1A801AF06}" topLeftCell="A22">
      <selection activeCell="K4" sqref="K4"/>
      <pageMargins left="0.7" right="0.7" top="0.75" bottom="0.75" header="0.3" footer="0.3"/>
      <pageSetup paperSize="9" orientation="portrait" r:id="rId5"/>
    </customSheetView>
    <customSheetView guid="{6B5CCA07-2BDD-4B8E-9E3C-2111BBA97430}">
      <selection activeCell="K4" sqref="K4"/>
      <pageMargins left="0.7" right="0.7" top="0.75" bottom="0.75" header="0.3" footer="0.3"/>
      <pageSetup paperSize="9" orientation="portrait" r:id="rId6"/>
    </customSheetView>
    <customSheetView guid="{2F47A827-9643-4D8A-AC5D-6B09D79AACF9}">
      <selection activeCell="K4" sqref="K4:K32"/>
      <pageMargins left="0.7" right="0.7" top="0.75" bottom="0.75" header="0.3" footer="0.3"/>
      <pageSetup paperSize="9" orientation="portrait" r:id="rId7"/>
    </customSheetView>
    <customSheetView guid="{B37168A1-DBAB-4BDE-9F92-6261DCDF3D92}">
      <selection activeCell="I5" sqref="I5"/>
      <pageMargins left="0.7" right="0.7" top="0.75" bottom="0.75" header="0.3" footer="0.3"/>
      <pageSetup paperSize="9" orientation="portrait"/>
    </customSheetView>
    <customSheetView guid="{AE0DD889-C13C-4059-8024-0F5B234827E9}">
      <selection activeCell="F4" sqref="F4:F35"/>
      <pageMargins left="0.7" right="0.7" top="0.75" bottom="0.75" header="0.3" footer="0.3"/>
      <pageSetup paperSize="9" orientation="portrait"/>
    </customSheetView>
    <customSheetView guid="{CCBBD9B0-4191-4D7A-9F7B-BAC044A49153}">
      <selection activeCell="F4" sqref="F4:F35"/>
      <pageMargins left="0.7" right="0.7" top="0.75" bottom="0.75" header="0.3" footer="0.3"/>
      <pageSetup paperSize="9" orientation="portrait"/>
    </customSheetView>
    <customSheetView guid="{C52D0F53-4D1D-4D01-B833-260359FD02A5}">
      <selection activeCell="F4" sqref="F4:F35"/>
      <pageMargins left="0.7" right="0.7" top="0.75" bottom="0.75" header="0.3" footer="0.3"/>
    </customSheetView>
    <customSheetView guid="{6A1E79C9-91E3-4EEA-8ABB-4446083299EC}" topLeftCell="A22">
      <selection activeCell="K4" sqref="K4"/>
      <pageMargins left="0.7" right="0.7" top="0.75" bottom="0.75" header="0.3" footer="0.3"/>
      <pageSetup paperSize="9" orientation="portrait" r:id="rId8"/>
    </customSheetView>
    <customSheetView guid="{8B80B510-C931-46B1-8591-DEA916D76593}">
      <selection activeCell="F4" sqref="F4:F35"/>
      <pageMargins left="0.7" right="0.7" top="0.75" bottom="0.75" header="0.3" footer="0.3"/>
      <pageSetup paperSize="9" orientation="portrait"/>
    </customSheetView>
    <customSheetView guid="{303A9D89-611D-4504-BCAA-071C53B021F7}">
      <selection activeCell="F4" sqref="F4:F35"/>
      <pageMargins left="0.7" right="0.7" top="0.75" bottom="0.75" header="0.3" footer="0.3"/>
    </customSheetView>
    <customSheetView guid="{4583A87D-5DFF-47BD-849A-FA4AAF2B9CE3}">
      <selection activeCell="F4" sqref="F4:F35"/>
      <pageMargins left="0.7" right="0.7" top="0.75" bottom="0.75" header="0.3" footer="0.3"/>
      <pageSetup paperSize="9" orientation="portrait"/>
    </customSheetView>
    <customSheetView guid="{EA856AC2-CDFF-46B6-B0C4-30449DF132F4}">
      <selection activeCell="F4" sqref="F4:F35"/>
      <pageMargins left="0.7" right="0.7" top="0.75" bottom="0.75" header="0.3" footer="0.3"/>
      <pageSetup paperSize="9" orientation="portrait"/>
    </customSheetView>
    <customSheetView guid="{322A45A6-8B26-49B8-A4D9-EFB3C94A758D}">
      <selection activeCell="I18" sqref="I18"/>
      <pageMargins left="0.7" right="0.7" top="0.75" bottom="0.75" header="0.3" footer="0.3"/>
      <pageSetup paperSize="9" orientation="portrait" r:id="rId9"/>
    </customSheetView>
  </customSheetViews>
  <phoneticPr fontId="133" type="noConversion"/>
  <pageMargins left="0.7" right="0.7" top="0.75" bottom="0.75" header="0.3" footer="0.3"/>
  <pageSetup paperSize="9" orientation="portrait" r:id="rId10"/>
  <legacyDrawing r:id="rId1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CCCC"/>
  </sheetPr>
  <dimension ref="A1:N35"/>
  <sheetViews>
    <sheetView topLeftCell="A10" workbookViewId="0">
      <selection activeCell="P38" sqref="P38"/>
    </sheetView>
  </sheetViews>
  <sheetFormatPr defaultColWidth="9" defaultRowHeight="14.25"/>
  <cols>
    <col min="2" max="2" width="18.75" customWidth="1"/>
    <col min="3" max="3" width="12" customWidth="1"/>
  </cols>
  <sheetData>
    <row r="1" spans="1:14">
      <c r="C1" s="322">
        <v>2020</v>
      </c>
      <c r="D1" s="322">
        <v>2020</v>
      </c>
      <c r="E1" s="322">
        <v>2020</v>
      </c>
      <c r="F1" s="322">
        <v>2020</v>
      </c>
      <c r="G1" s="322">
        <v>2020</v>
      </c>
      <c r="H1" s="322">
        <v>2020</v>
      </c>
      <c r="I1" s="322">
        <v>2020</v>
      </c>
      <c r="J1" s="322">
        <v>2020</v>
      </c>
      <c r="K1" s="322">
        <v>2020</v>
      </c>
      <c r="L1" s="322">
        <v>2020</v>
      </c>
      <c r="M1" s="322">
        <v>2020</v>
      </c>
      <c r="N1" s="322">
        <v>2020</v>
      </c>
    </row>
    <row r="2" spans="1:14">
      <c r="C2" s="322">
        <v>1</v>
      </c>
      <c r="D2" s="322">
        <v>2</v>
      </c>
      <c r="E2" s="322">
        <v>3</v>
      </c>
      <c r="F2" s="322">
        <v>4</v>
      </c>
      <c r="G2" s="322">
        <v>5</v>
      </c>
      <c r="H2" s="322">
        <v>6</v>
      </c>
      <c r="I2" s="322">
        <v>7</v>
      </c>
      <c r="J2" s="322">
        <v>8</v>
      </c>
      <c r="K2" s="322">
        <v>9</v>
      </c>
      <c r="L2" s="322">
        <v>10</v>
      </c>
      <c r="M2" s="322">
        <v>11</v>
      </c>
      <c r="N2" s="322">
        <v>12</v>
      </c>
    </row>
    <row r="3" spans="1:14">
      <c r="A3" s="323"/>
      <c r="B3" s="324" t="s">
        <v>105</v>
      </c>
    </row>
    <row r="4" spans="1:14">
      <c r="A4" s="325" t="s">
        <v>920</v>
      </c>
      <c r="B4" s="326" t="s">
        <v>110</v>
      </c>
      <c r="C4" s="327">
        <f t="array" ref="C4:C35">_xlfn.XLOOKUP($A$4:$A$35,'利润（汇总）'!A4:A36,'利润（汇总）'!AC4:AN36)</f>
        <v>-2.1009120000000001</v>
      </c>
      <c r="D4" s="327">
        <f t="array" ref="D4:D35">_xlfn.XLOOKUP($A$4:$A$35,'利润（汇总）'!$A$4:$A$36,'利润（汇总）'!AD4:AZ36)</f>
        <v>1287.6410719999999</v>
      </c>
      <c r="E4" s="327">
        <f t="array" ref="E4:E35">_xlfn.XLOOKUP($A$4:$A$35,'利润（汇总）'!$A$4:$A$36,'利润（汇总）'!AE4:AZ36)</f>
        <v>27.322942999999999</v>
      </c>
      <c r="F4" s="327">
        <f t="array" ref="F4:F35">_xlfn.XLOOKUP($A$4:$A$35,'利润（汇总）'!$A$4:$A$36,'利润（汇总）'!AF4:AZ36)</f>
        <v>421.55365999999998</v>
      </c>
      <c r="G4" s="327">
        <f t="array" ref="G4:G35">_xlfn.XLOOKUP($A$4:$A$35,'利润（汇总）'!$A$4:$A$36,'利润（汇总）'!AG4:BA36)</f>
        <v>4.9976099999999999</v>
      </c>
      <c r="H4" s="327">
        <f t="array" ref="H4:H35">_xlfn.XLOOKUP($A$4:$A$35,'利润（汇总）'!$A$4:$A$36,'利润（汇总）'!AH4:BB36)</f>
        <v>-145.544916</v>
      </c>
      <c r="I4" s="327">
        <f t="array" ref="I4:I35">_xlfn.XLOOKUP($A$4:$A$35,'利润（汇总）'!$A$4:$A$36,'利润（汇总）'!AI4:BC36)</f>
        <v>-274.86767099999997</v>
      </c>
      <c r="J4" s="327">
        <f t="array" ref="J4:J35">_xlfn.XLOOKUP($A$4:$A$35,'利润（汇总）'!$A$4:$A$36,'利润（汇总）'!AJ4:BD36)</f>
        <v>-1002.1602879999998</v>
      </c>
      <c r="K4" s="327">
        <f t="array" ref="K4:K35">_xlfn.XLOOKUP($A$4:$A$35,'利润（汇总）'!$A$4:$A$36,'利润（汇总）'!AK4:BE36)</f>
        <v>-901.37926400000003</v>
      </c>
      <c r="L4" s="327">
        <f t="array" ref="L4:L35">_xlfn.XLOOKUP($A$4:$A$35,'利润（汇总）'!$A$4:$A$36,'利润（汇总）'!AL4:BF36)</f>
        <v>1853.7690090000001</v>
      </c>
      <c r="M4" s="327">
        <f t="array" ref="M4:M35">_xlfn.XLOOKUP($A$4:$A$35,'利润（汇总）'!$A$4:$A$36,'利润（汇总）'!AM4:BG36)</f>
        <v>-2159.2570759999999</v>
      </c>
      <c r="N4" s="327">
        <f t="array" ref="N4:N35">_xlfn.XLOOKUP($A$4:$A$35,'利润（汇总）'!$A$4:$A$36,'利润（汇总）'!AN4:BH36)</f>
        <v>-7726.4307259999996</v>
      </c>
    </row>
    <row r="5" spans="1:14">
      <c r="A5" s="325" t="s">
        <v>921</v>
      </c>
      <c r="B5" s="326" t="s">
        <v>111</v>
      </c>
      <c r="C5" s="327">
        <v>3424.8373580000002</v>
      </c>
      <c r="D5" s="327">
        <v>2645.7785359999998</v>
      </c>
      <c r="E5" s="327">
        <v>4711.3139369999999</v>
      </c>
      <c r="F5" s="327">
        <v>4260.5629849999996</v>
      </c>
      <c r="G5" s="327">
        <v>3856.7218360000002</v>
      </c>
      <c r="H5" s="327">
        <v>3160.4205360000001</v>
      </c>
      <c r="I5" s="327">
        <v>5791.973113</v>
      </c>
      <c r="J5" s="327">
        <v>6742.4672769999997</v>
      </c>
      <c r="K5" s="327">
        <v>3881.0874779999999</v>
      </c>
      <c r="L5" s="327">
        <v>7458.6827219999996</v>
      </c>
      <c r="M5" s="327">
        <v>-2747.3947440000002</v>
      </c>
      <c r="N5" s="327">
        <v>-26211.840208000001</v>
      </c>
    </row>
    <row r="6" spans="1:14">
      <c r="A6" s="325" t="s">
        <v>922</v>
      </c>
      <c r="B6" s="326" t="s">
        <v>112</v>
      </c>
      <c r="C6" s="327">
        <v>179.18482299999999</v>
      </c>
      <c r="D6" s="327">
        <v>572.32428100000004</v>
      </c>
      <c r="E6" s="327">
        <v>210.86801199999999</v>
      </c>
      <c r="F6" s="327">
        <v>140.93642399999999</v>
      </c>
      <c r="G6" s="327">
        <v>574.971768</v>
      </c>
      <c r="H6" s="327">
        <v>408.05805700000002</v>
      </c>
      <c r="I6" s="327">
        <v>188.85313300000001</v>
      </c>
      <c r="J6" s="327">
        <v>607.15622299999995</v>
      </c>
      <c r="K6" s="327">
        <v>-148.86440400000001</v>
      </c>
      <c r="L6" s="327">
        <v>258.93335200000001</v>
      </c>
      <c r="M6" s="327">
        <v>528.867751</v>
      </c>
      <c r="N6" s="327">
        <v>-1915.2481640000001</v>
      </c>
    </row>
    <row r="7" spans="1:14">
      <c r="A7" s="328" t="s">
        <v>923</v>
      </c>
      <c r="B7" s="329" t="s">
        <v>46</v>
      </c>
      <c r="C7" s="327">
        <v>4407</v>
      </c>
      <c r="D7" s="327">
        <v>-2921</v>
      </c>
      <c r="E7" s="327">
        <v>-5883</v>
      </c>
      <c r="F7" s="327">
        <v>-7145</v>
      </c>
      <c r="G7" s="327">
        <v>1624</v>
      </c>
      <c r="H7" s="327">
        <v>30845</v>
      </c>
      <c r="I7" s="327">
        <v>6466</v>
      </c>
      <c r="J7" s="327">
        <v>24004</v>
      </c>
      <c r="K7" s="327">
        <v>15083</v>
      </c>
      <c r="L7" s="327">
        <v>30110</v>
      </c>
      <c r="M7" s="327">
        <v>18471</v>
      </c>
      <c r="N7" s="327">
        <v>23985</v>
      </c>
    </row>
    <row r="8" spans="1:14">
      <c r="A8" s="325" t="s">
        <v>924</v>
      </c>
      <c r="B8" s="326" t="s">
        <v>113</v>
      </c>
      <c r="C8" s="327">
        <v>-2346.7800889999999</v>
      </c>
      <c r="D8" s="327">
        <v>-2101.2988580000001</v>
      </c>
      <c r="E8" s="327">
        <v>-2690.1583959999998</v>
      </c>
      <c r="F8" s="327">
        <v>-1188.735353</v>
      </c>
      <c r="G8" s="327">
        <v>-1442.7569229999999</v>
      </c>
      <c r="H8" s="327">
        <v>146.722205</v>
      </c>
      <c r="I8" s="327">
        <v>-1013.8467460000001</v>
      </c>
      <c r="J8" s="327">
        <v>-1454.1571489999999</v>
      </c>
      <c r="K8" s="327">
        <v>-956.87146700000005</v>
      </c>
      <c r="L8" s="327">
        <v>-1620.2605779999999</v>
      </c>
      <c r="M8" s="327">
        <v>-1631.0518199999999</v>
      </c>
      <c r="N8" s="327">
        <v>-4093.8810279999998</v>
      </c>
    </row>
    <row r="9" spans="1:14">
      <c r="A9" s="325" t="s">
        <v>925</v>
      </c>
      <c r="B9" s="326" t="s">
        <v>114</v>
      </c>
      <c r="C9" s="327">
        <v>-449.27105999999998</v>
      </c>
      <c r="D9" s="327">
        <v>419.58144600000003</v>
      </c>
      <c r="E9" s="327">
        <v>-418.779358</v>
      </c>
      <c r="F9" s="327">
        <v>-394.57532500000002</v>
      </c>
      <c r="G9" s="327">
        <v>-305.05782900000003</v>
      </c>
      <c r="H9" s="327">
        <v>1299.1330539999999</v>
      </c>
      <c r="I9" s="327">
        <v>-24.681778000000001</v>
      </c>
      <c r="J9" s="327">
        <v>-80.547166000000004</v>
      </c>
      <c r="K9" s="327">
        <v>-403.97355599999997</v>
      </c>
      <c r="L9" s="327">
        <v>1032.484741</v>
      </c>
      <c r="M9" s="327">
        <v>415.997727</v>
      </c>
      <c r="N9" s="327">
        <v>-754.02079300000003</v>
      </c>
    </row>
    <row r="10" spans="1:14">
      <c r="A10" s="325" t="s">
        <v>926</v>
      </c>
      <c r="B10" s="326" t="s">
        <v>115</v>
      </c>
      <c r="C10" s="327">
        <v>2627.0529350000002</v>
      </c>
      <c r="D10" s="327">
        <v>2526.3494390000001</v>
      </c>
      <c r="E10" s="327">
        <v>2815.3370519999999</v>
      </c>
      <c r="F10" s="327">
        <v>2744.8653290000002</v>
      </c>
      <c r="G10" s="327">
        <v>2468.09015</v>
      </c>
      <c r="H10" s="327">
        <v>2117.7248060000002</v>
      </c>
      <c r="I10" s="327">
        <v>1775.976678</v>
      </c>
      <c r="J10" s="327">
        <v>2346.5675689999998</v>
      </c>
      <c r="K10" s="327">
        <v>1720.176334</v>
      </c>
      <c r="L10" s="327">
        <v>2591.159678</v>
      </c>
      <c r="M10" s="327">
        <v>2667.9805099999999</v>
      </c>
      <c r="N10" s="327">
        <v>3431.5832380000002</v>
      </c>
    </row>
    <row r="11" spans="1:14">
      <c r="A11" s="325" t="s">
        <v>927</v>
      </c>
      <c r="B11" s="326" t="s">
        <v>116</v>
      </c>
      <c r="C11" s="327">
        <v>-322.66976099999999</v>
      </c>
      <c r="D11" s="327">
        <v>-848.23684900000001</v>
      </c>
      <c r="E11" s="327">
        <v>-538.53549099999998</v>
      </c>
      <c r="F11" s="327">
        <v>-629</v>
      </c>
      <c r="G11" s="327">
        <v>-383.79996499999999</v>
      </c>
      <c r="H11" s="327">
        <v>-367.14619599999997</v>
      </c>
      <c r="I11" s="327">
        <v>-543.35842100000002</v>
      </c>
      <c r="J11" s="327">
        <v>-518.39449300000001</v>
      </c>
      <c r="K11" s="327">
        <v>-323.47433599999999</v>
      </c>
      <c r="L11" s="327">
        <v>-401.83431100000001</v>
      </c>
      <c r="M11" s="327">
        <v>-364.72008699999998</v>
      </c>
      <c r="N11" s="327">
        <v>-419.74489</v>
      </c>
    </row>
    <row r="12" spans="1:14">
      <c r="A12" s="325" t="s">
        <v>928</v>
      </c>
      <c r="B12" s="326" t="s">
        <v>117</v>
      </c>
      <c r="C12" s="327">
        <v>-111.484337</v>
      </c>
      <c r="D12" s="327">
        <v>-43.203899999999997</v>
      </c>
      <c r="E12" s="327">
        <v>13.588082999999999</v>
      </c>
      <c r="F12" s="327">
        <v>17.928792999999999</v>
      </c>
      <c r="G12" s="327">
        <v>-37.908216000000003</v>
      </c>
      <c r="H12" s="327">
        <v>15.250419000000001</v>
      </c>
      <c r="I12" s="327">
        <v>-130.38083399999999</v>
      </c>
      <c r="J12" s="327">
        <v>32.776932000000002</v>
      </c>
      <c r="K12" s="327">
        <v>13.493278</v>
      </c>
      <c r="L12" s="327">
        <v>139.192283</v>
      </c>
      <c r="M12" s="327">
        <v>33.377716999999997</v>
      </c>
      <c r="N12" s="327">
        <v>277.05381699999998</v>
      </c>
    </row>
    <row r="13" spans="1:14">
      <c r="A13" s="325" t="s">
        <v>929</v>
      </c>
      <c r="B13" s="326" t="s">
        <v>118</v>
      </c>
      <c r="C13" s="327">
        <v>-265.46408200000002</v>
      </c>
      <c r="D13" s="327">
        <v>-141.496049</v>
      </c>
      <c r="E13" s="327">
        <v>-250.286295</v>
      </c>
      <c r="F13" s="327">
        <v>242.671448</v>
      </c>
      <c r="G13" s="327">
        <v>386.76842499999998</v>
      </c>
      <c r="H13" s="327">
        <v>650.96035700000004</v>
      </c>
      <c r="I13" s="327">
        <v>247.233439</v>
      </c>
      <c r="J13" s="327">
        <v>211.451887</v>
      </c>
      <c r="K13" s="327">
        <v>220.56639300000001</v>
      </c>
      <c r="L13" s="327">
        <v>146.895295</v>
      </c>
      <c r="M13" s="327">
        <v>146.26645400000001</v>
      </c>
      <c r="N13" s="327">
        <v>-469.80387200000001</v>
      </c>
    </row>
    <row r="14" spans="1:14">
      <c r="A14" s="325" t="s">
        <v>930</v>
      </c>
      <c r="B14" s="326" t="s">
        <v>119</v>
      </c>
      <c r="C14" s="327">
        <v>-248.66205500000001</v>
      </c>
      <c r="D14" s="327">
        <v>-84.564808999999997</v>
      </c>
      <c r="E14" s="327">
        <v>-44.905551000000003</v>
      </c>
      <c r="F14" s="327">
        <v>-38.425776999999997</v>
      </c>
      <c r="G14" s="327">
        <v>-34.706012999999999</v>
      </c>
      <c r="H14" s="327">
        <v>-10.648019</v>
      </c>
      <c r="I14" s="327">
        <v>1.8426210000000001</v>
      </c>
      <c r="J14" s="327">
        <v>8.1367759999999993</v>
      </c>
      <c r="K14" s="327">
        <v>11.686394999999999</v>
      </c>
      <c r="L14" s="327">
        <v>9.4617020000000007</v>
      </c>
      <c r="M14" s="327">
        <v>25.581301</v>
      </c>
      <c r="N14" s="327">
        <v>-363.12925799999999</v>
      </c>
    </row>
    <row r="15" spans="1:14">
      <c r="A15" s="325"/>
      <c r="B15" s="326" t="s">
        <v>120</v>
      </c>
      <c r="C15" s="327" t="e">
        <v>#N/A</v>
      </c>
      <c r="D15" s="327" t="e">
        <v>#N/A</v>
      </c>
      <c r="E15" s="327" t="e">
        <v>#N/A</v>
      </c>
      <c r="F15" s="327" t="e">
        <v>#N/A</v>
      </c>
      <c r="G15" s="327" t="e">
        <v>#N/A</v>
      </c>
      <c r="H15" s="327" t="e">
        <v>#N/A</v>
      </c>
      <c r="I15" s="327" t="e">
        <v>#N/A</v>
      </c>
      <c r="J15" s="327" t="e">
        <v>#N/A</v>
      </c>
      <c r="K15" s="327" t="e">
        <v>#N/A</v>
      </c>
      <c r="L15" s="327" t="e">
        <v>#N/A</v>
      </c>
      <c r="M15" s="327" t="e">
        <v>#N/A</v>
      </c>
      <c r="N15" s="327" t="e">
        <v>#N/A</v>
      </c>
    </row>
    <row r="16" spans="1:14">
      <c r="A16" s="328" t="s">
        <v>931</v>
      </c>
      <c r="B16" s="329" t="s">
        <v>121</v>
      </c>
      <c r="C16" s="327">
        <v>1285.019209</v>
      </c>
      <c r="D16" s="327">
        <v>-487.94154099999997</v>
      </c>
      <c r="E16" s="327">
        <v>1199.0477880000001</v>
      </c>
      <c r="F16" s="327">
        <v>2234.651437</v>
      </c>
      <c r="G16" s="327">
        <v>609.79027199999996</v>
      </c>
      <c r="H16" s="327">
        <v>3034.789538</v>
      </c>
      <c r="I16" s="327">
        <v>2072.351893</v>
      </c>
      <c r="J16" s="327">
        <v>1061.027139</v>
      </c>
      <c r="K16" s="327">
        <v>-730.41702599999996</v>
      </c>
      <c r="L16" s="327">
        <v>-549.77675999999997</v>
      </c>
      <c r="M16" s="327">
        <v>1643.0580239999999</v>
      </c>
      <c r="N16" s="327">
        <v>315.39743700000002</v>
      </c>
    </row>
    <row r="17" spans="1:14">
      <c r="A17" s="328" t="s">
        <v>932</v>
      </c>
      <c r="B17" s="329" t="s">
        <v>122</v>
      </c>
      <c r="C17" s="327">
        <v>453.61692129526602</v>
      </c>
      <c r="D17" s="327">
        <v>276.06144902967299</v>
      </c>
      <c r="E17" s="327">
        <v>386.26962214571</v>
      </c>
      <c r="F17" s="327">
        <v>103.218772</v>
      </c>
      <c r="G17" s="327">
        <v>184.63998900000001</v>
      </c>
      <c r="H17" s="327">
        <v>445.26672900000005</v>
      </c>
      <c r="I17" s="327">
        <v>473.11568599999998</v>
      </c>
      <c r="J17" s="327">
        <v>711.49177399999996</v>
      </c>
      <c r="K17" s="327">
        <v>770.429576</v>
      </c>
      <c r="L17" s="327">
        <v>677.19328600000017</v>
      </c>
      <c r="M17" s="327">
        <v>632.08107300000006</v>
      </c>
      <c r="N17" s="327">
        <v>8472.6828079999996</v>
      </c>
    </row>
    <row r="18" spans="1:14">
      <c r="A18" s="328" t="s">
        <v>933</v>
      </c>
      <c r="B18" s="329" t="s">
        <v>127</v>
      </c>
      <c r="C18" s="327">
        <v>536.69909599999994</v>
      </c>
      <c r="D18" s="327">
        <v>392.50344100000001</v>
      </c>
      <c r="E18" s="327">
        <v>542.45188399999995</v>
      </c>
      <c r="F18" s="327">
        <v>545.63442699999996</v>
      </c>
      <c r="G18" s="327">
        <v>589.56273600000009</v>
      </c>
      <c r="H18" s="327">
        <v>621.46024299999999</v>
      </c>
      <c r="I18" s="327">
        <v>529.67913899999996</v>
      </c>
      <c r="J18" s="327">
        <v>586.548495</v>
      </c>
      <c r="K18" s="327">
        <v>534.47716600000012</v>
      </c>
      <c r="L18" s="327">
        <v>1056.2750429999999</v>
      </c>
      <c r="M18" s="327">
        <v>683.79876300000001</v>
      </c>
      <c r="N18" s="327">
        <v>487.17062400000003</v>
      </c>
    </row>
    <row r="19" spans="1:14">
      <c r="A19" s="328" t="s">
        <v>934</v>
      </c>
      <c r="B19" s="329" t="s">
        <v>128</v>
      </c>
      <c r="C19" s="327">
        <v>199.15781200000001</v>
      </c>
      <c r="D19" s="327">
        <v>188.17043600000002</v>
      </c>
      <c r="E19" s="327">
        <v>200.992952</v>
      </c>
      <c r="F19" s="327">
        <v>189.66840400000001</v>
      </c>
      <c r="G19" s="327">
        <v>203.69722400000001</v>
      </c>
      <c r="H19" s="327">
        <v>192.715114</v>
      </c>
      <c r="I19" s="327">
        <v>447.58292799999992</v>
      </c>
      <c r="J19" s="327">
        <v>200.41324699999998</v>
      </c>
      <c r="K19" s="327">
        <v>193.19665800000001</v>
      </c>
      <c r="L19" s="327">
        <v>194.209633</v>
      </c>
      <c r="M19" s="327">
        <v>196.69546</v>
      </c>
      <c r="N19" s="327">
        <v>201.57822800000002</v>
      </c>
    </row>
    <row r="20" spans="1:14">
      <c r="A20" s="325" t="s">
        <v>935</v>
      </c>
      <c r="B20" s="326" t="s">
        <v>123</v>
      </c>
      <c r="C20" s="327">
        <v>-320.088548</v>
      </c>
      <c r="D20" s="327">
        <v>-434.05604299999999</v>
      </c>
      <c r="E20" s="327">
        <v>-322.10717</v>
      </c>
      <c r="F20" s="327">
        <v>-358.80783400000001</v>
      </c>
      <c r="G20" s="327">
        <v>-321.58685600000001</v>
      </c>
      <c r="H20" s="327">
        <v>-304.48615000000001</v>
      </c>
      <c r="I20" s="327">
        <v>-169.46757099999999</v>
      </c>
      <c r="J20" s="327">
        <v>-146.13381699999999</v>
      </c>
      <c r="K20" s="327">
        <v>-112.542896</v>
      </c>
      <c r="L20" s="327">
        <v>-7.5195740000000004</v>
      </c>
      <c r="M20" s="327">
        <v>-271.16096900000002</v>
      </c>
      <c r="N20" s="327">
        <v>-371.21701100000001</v>
      </c>
    </row>
    <row r="21" spans="1:14">
      <c r="A21" s="325" t="s">
        <v>936</v>
      </c>
      <c r="B21" s="326" t="s">
        <v>124</v>
      </c>
      <c r="C21" s="327">
        <v>3168.0865439999998</v>
      </c>
      <c r="D21" s="327">
        <v>3290.0564429999999</v>
      </c>
      <c r="E21" s="327">
        <v>1040.347718</v>
      </c>
      <c r="F21" s="327">
        <v>3458.5318940000002</v>
      </c>
      <c r="G21" s="327">
        <v>4222.9314510000004</v>
      </c>
      <c r="H21" s="327">
        <v>4063.8221960000001</v>
      </c>
      <c r="I21" s="327">
        <v>4002.8270470000002</v>
      </c>
      <c r="J21" s="327">
        <v>4199.1183650000003</v>
      </c>
      <c r="K21" s="327">
        <v>1630.531925</v>
      </c>
      <c r="L21" s="327">
        <v>3680.1204429999998</v>
      </c>
      <c r="M21" s="327">
        <v>3240.2936519999998</v>
      </c>
      <c r="N21" s="327">
        <v>5021.9971699999996</v>
      </c>
    </row>
    <row r="22" spans="1:14">
      <c r="A22" s="325" t="s">
        <v>937</v>
      </c>
      <c r="B22" s="326" t="s">
        <v>125</v>
      </c>
      <c r="C22" s="327">
        <v>52.814207000000003</v>
      </c>
      <c r="D22" s="327">
        <v>2.3128679999999999</v>
      </c>
      <c r="E22" s="327">
        <v>-2.1759620000000002</v>
      </c>
      <c r="F22" s="327">
        <v>68.988294999999994</v>
      </c>
      <c r="G22" s="327">
        <v>4.0659470000000004</v>
      </c>
      <c r="H22" s="327">
        <v>5.1747810000000003</v>
      </c>
      <c r="I22" s="327">
        <v>47.411870999999998</v>
      </c>
      <c r="J22" s="327">
        <v>-4.4739930000000001</v>
      </c>
      <c r="K22" s="327">
        <v>2.0921850000000002</v>
      </c>
      <c r="L22" s="327">
        <v>46.765946</v>
      </c>
      <c r="M22" s="327">
        <v>14.342822999999999</v>
      </c>
      <c r="N22" s="327">
        <v>25.415958</v>
      </c>
    </row>
    <row r="23" spans="1:14">
      <c r="A23" s="325" t="s">
        <v>938</v>
      </c>
      <c r="B23" s="326" t="s">
        <v>126</v>
      </c>
      <c r="C23" s="327">
        <v>375.11237799999998</v>
      </c>
      <c r="D23" s="327">
        <v>270.54330199999998</v>
      </c>
      <c r="E23" s="327">
        <v>576.86713799999995</v>
      </c>
      <c r="F23" s="327">
        <v>329.79532799999998</v>
      </c>
      <c r="G23" s="327">
        <v>252.44380799999999</v>
      </c>
      <c r="H23" s="327">
        <v>2008.3571159999999</v>
      </c>
      <c r="I23" s="327">
        <v>1780.2439589999999</v>
      </c>
      <c r="J23" s="327">
        <v>388.041043</v>
      </c>
      <c r="K23" s="327">
        <v>132.45702800000001</v>
      </c>
      <c r="L23" s="327">
        <v>268.95093500000002</v>
      </c>
      <c r="M23" s="327">
        <v>58.153092000000001</v>
      </c>
      <c r="N23" s="327">
        <v>342.648459</v>
      </c>
    </row>
    <row r="24" spans="1:14">
      <c r="A24" s="325" t="s">
        <v>939</v>
      </c>
      <c r="B24" s="326" t="s">
        <v>129</v>
      </c>
      <c r="C24" s="327">
        <v>25.613965</v>
      </c>
      <c r="D24" s="327">
        <v>-83.89</v>
      </c>
      <c r="E24" s="327">
        <v>-182.09481400000001</v>
      </c>
      <c r="F24" s="327">
        <v>-17.245183000000001</v>
      </c>
      <c r="G24" s="327">
        <v>308.76119299999999</v>
      </c>
      <c r="H24" s="327">
        <v>1997.784095</v>
      </c>
      <c r="I24" s="327">
        <v>26.059640999999999</v>
      </c>
      <c r="J24" s="327">
        <v>17.294067999999999</v>
      </c>
      <c r="K24" s="327">
        <v>31.401654000000001</v>
      </c>
      <c r="L24" s="327">
        <v>8.4818750000000005</v>
      </c>
      <c r="M24" s="327">
        <v>16.22268</v>
      </c>
      <c r="N24" s="327">
        <v>-323.93014699999998</v>
      </c>
    </row>
    <row r="25" spans="1:14">
      <c r="A25" s="325" t="s">
        <v>940</v>
      </c>
      <c r="B25" s="326" t="s">
        <v>952</v>
      </c>
      <c r="C25" s="327">
        <v>156.51006000000001</v>
      </c>
      <c r="D25" s="327">
        <v>-137.509118</v>
      </c>
      <c r="E25" s="327">
        <v>-93.540043999999995</v>
      </c>
      <c r="F25" s="327">
        <v>-4.7230569999999998</v>
      </c>
      <c r="G25" s="327">
        <v>125.585503</v>
      </c>
      <c r="H25" s="327">
        <v>204.125685</v>
      </c>
      <c r="I25" s="327">
        <v>133.208212</v>
      </c>
      <c r="J25" s="327">
        <v>121.278504</v>
      </c>
      <c r="K25" s="327">
        <v>213.29401799999999</v>
      </c>
      <c r="L25" s="327">
        <v>81.092710999999994</v>
      </c>
      <c r="M25" s="327">
        <v>108.880985</v>
      </c>
      <c r="N25" s="327">
        <v>-2901.8508430000002</v>
      </c>
    </row>
    <row r="26" spans="1:14">
      <c r="A26" s="325" t="s">
        <v>942</v>
      </c>
      <c r="B26" s="326" t="s">
        <v>131</v>
      </c>
      <c r="C26" s="327">
        <v>-205.53807599999999</v>
      </c>
      <c r="D26" s="327">
        <v>-277.82237400000002</v>
      </c>
      <c r="E26" s="327">
        <v>274.806622</v>
      </c>
      <c r="F26" s="327">
        <v>-105.27981699999999</v>
      </c>
      <c r="G26" s="327">
        <v>-93.286597999999998</v>
      </c>
      <c r="H26" s="327">
        <v>0.49211700000000003</v>
      </c>
      <c r="I26" s="327">
        <v>73.594469000000004</v>
      </c>
      <c r="J26" s="327">
        <v>-69.551568000000003</v>
      </c>
      <c r="K26" s="327">
        <v>-63.262107</v>
      </c>
      <c r="L26" s="327">
        <v>-304.07730099999998</v>
      </c>
      <c r="M26" s="327">
        <v>-196.49483699999999</v>
      </c>
      <c r="N26" s="327">
        <v>-675.92640900000004</v>
      </c>
    </row>
    <row r="27" spans="1:14">
      <c r="A27" s="325" t="s">
        <v>944</v>
      </c>
      <c r="B27" s="326" t="s">
        <v>132</v>
      </c>
      <c r="C27" s="327">
        <v>315.11504500000001</v>
      </c>
      <c r="D27" s="327">
        <v>-386.85790400000002</v>
      </c>
      <c r="E27" s="327">
        <v>-370.43370900000002</v>
      </c>
      <c r="F27" s="327">
        <v>62.205525999999999</v>
      </c>
      <c r="G27" s="327">
        <v>612.194388</v>
      </c>
      <c r="H27" s="327">
        <v>637.24973599999998</v>
      </c>
      <c r="I27" s="327">
        <v>227.208459</v>
      </c>
      <c r="J27" s="327">
        <v>87.828836999999993</v>
      </c>
      <c r="K27" s="327">
        <v>291.86843800000003</v>
      </c>
      <c r="L27" s="327">
        <v>386.92460199999999</v>
      </c>
      <c r="M27" s="327">
        <v>260.810858</v>
      </c>
      <c r="N27" s="327">
        <v>-68.039482000000007</v>
      </c>
    </row>
    <row r="28" spans="1:14">
      <c r="A28" s="325" t="s">
        <v>943</v>
      </c>
      <c r="B28" s="326" t="s">
        <v>133</v>
      </c>
      <c r="C28" s="327">
        <v>-5.7838159999999998</v>
      </c>
      <c r="D28" s="327">
        <v>-4.8523969999999998</v>
      </c>
      <c r="E28" s="327">
        <v>-3.6798649999999999</v>
      </c>
      <c r="F28" s="327">
        <v>-4.7737970000000001</v>
      </c>
      <c r="G28" s="327">
        <v>-15.255862</v>
      </c>
      <c r="H28" s="327">
        <v>-5.089226</v>
      </c>
      <c r="I28" s="327">
        <v>-4.9840400000000002</v>
      </c>
      <c r="J28" s="327">
        <v>36.799373000000003</v>
      </c>
      <c r="K28" s="327">
        <v>-6.7343310000000001</v>
      </c>
      <c r="L28" s="327">
        <v>34.939337999999999</v>
      </c>
      <c r="M28" s="327">
        <v>-7.7051179999999997</v>
      </c>
      <c r="N28" s="327">
        <v>42.263787000000001</v>
      </c>
    </row>
    <row r="29" spans="1:14">
      <c r="A29" s="325" t="s">
        <v>945</v>
      </c>
      <c r="B29" s="326" t="s">
        <v>134</v>
      </c>
      <c r="C29" s="327">
        <v>-47.226939999999999</v>
      </c>
      <c r="D29" s="327">
        <v>-35.331696000000001</v>
      </c>
      <c r="E29" s="327">
        <v>105.44641799999999</v>
      </c>
      <c r="F29" s="327">
        <v>-60.384177000000001</v>
      </c>
      <c r="G29" s="327">
        <v>-47.835399000000002</v>
      </c>
      <c r="H29" s="327">
        <v>186.893269</v>
      </c>
      <c r="I29" s="327">
        <v>-55.842272000000001</v>
      </c>
      <c r="J29" s="327">
        <v>-46.611995999999998</v>
      </c>
      <c r="K29" s="327">
        <v>139.74879200000001</v>
      </c>
      <c r="L29" s="327">
        <v>-62.490957000000002</v>
      </c>
      <c r="M29" s="327">
        <v>-17.439831999999999</v>
      </c>
      <c r="N29" s="327">
        <v>189.486392</v>
      </c>
    </row>
    <row r="30" spans="1:14">
      <c r="A30" s="325" t="s">
        <v>946</v>
      </c>
      <c r="B30" s="326" t="s">
        <v>135</v>
      </c>
      <c r="C30" s="327">
        <v>-10.208774999999999</v>
      </c>
      <c r="D30" s="327">
        <v>-8.1711819999999999</v>
      </c>
      <c r="E30" s="327">
        <v>-10.115099000000001</v>
      </c>
      <c r="F30" s="327">
        <v>-7.766635</v>
      </c>
      <c r="G30" s="327">
        <v>-30.236944000000001</v>
      </c>
      <c r="H30" s="327">
        <v>-7.7676369999999997</v>
      </c>
      <c r="I30" s="327">
        <v>-12.800133000000001</v>
      </c>
      <c r="J30" s="327">
        <v>-7.4362649999999997</v>
      </c>
      <c r="K30" s="327">
        <v>-12.280146</v>
      </c>
      <c r="L30" s="327">
        <v>-11.183685000000001</v>
      </c>
      <c r="M30" s="327">
        <v>-6.6625759999999996</v>
      </c>
      <c r="N30" s="327">
        <v>-11.282322000000001</v>
      </c>
    </row>
    <row r="31" spans="1:14">
      <c r="A31" s="325" t="s">
        <v>947</v>
      </c>
      <c r="B31" s="326" t="s">
        <v>136</v>
      </c>
      <c r="C31" s="327">
        <v>-1.2224969999999999</v>
      </c>
      <c r="D31" s="327">
        <v>-1.222496</v>
      </c>
      <c r="E31" s="327">
        <v>-1.235528</v>
      </c>
      <c r="F31" s="327">
        <v>-1.2224969999999999</v>
      </c>
      <c r="G31" s="327">
        <v>-1.2524960000000001</v>
      </c>
      <c r="H31" s="327">
        <v>-1.9820340000000001</v>
      </c>
      <c r="I31" s="327">
        <v>-1.2224969999999999</v>
      </c>
      <c r="J31" s="327">
        <v>-1.2604960000000001</v>
      </c>
      <c r="K31" s="327">
        <v>-1.1214230000000001</v>
      </c>
      <c r="L31" s="327">
        <v>-1.2224969999999999</v>
      </c>
      <c r="M31" s="327">
        <v>-1.222496</v>
      </c>
      <c r="N31" s="327">
        <v>-39.435268999999998</v>
      </c>
    </row>
    <row r="32" spans="1:14">
      <c r="A32" s="325" t="s">
        <v>948</v>
      </c>
      <c r="B32" s="326" t="s">
        <v>137</v>
      </c>
      <c r="C32" s="327">
        <v>-284.86500599999999</v>
      </c>
      <c r="D32" s="327">
        <v>-1060.510094</v>
      </c>
      <c r="E32" s="327">
        <v>283.95622600000002</v>
      </c>
      <c r="F32" s="327">
        <v>717.06893300000002</v>
      </c>
      <c r="G32" s="327">
        <v>162.11648199999999</v>
      </c>
      <c r="H32" s="327">
        <v>386.01950699999998</v>
      </c>
      <c r="I32" s="327">
        <v>132.024641</v>
      </c>
      <c r="J32" s="327">
        <v>667.70675100000005</v>
      </c>
      <c r="K32" s="327">
        <v>173.337267</v>
      </c>
      <c r="L32" s="327">
        <v>-777.72407799999996</v>
      </c>
      <c r="M32" s="327">
        <v>189.44671199999999</v>
      </c>
      <c r="N32" s="327">
        <v>368.65194600000001</v>
      </c>
    </row>
    <row r="33" spans="1:14">
      <c r="A33" s="325" t="s">
        <v>949</v>
      </c>
      <c r="B33" s="326" t="s">
        <v>138</v>
      </c>
      <c r="C33" s="327">
        <v>-5.2371999999999996</v>
      </c>
      <c r="D33" s="327">
        <v>-4.0110999999999999</v>
      </c>
      <c r="E33" s="327">
        <v>-1.595756</v>
      </c>
      <c r="F33" s="327">
        <v>-4.8472999999999997</v>
      </c>
      <c r="G33" s="327">
        <v>-4.7225000000000001</v>
      </c>
      <c r="H33" s="327">
        <v>-2.3049780000000002</v>
      </c>
      <c r="I33" s="327">
        <v>-4.9619</v>
      </c>
      <c r="J33" s="327">
        <v>-2.8738000000000001</v>
      </c>
      <c r="K33" s="327">
        <v>-1.7374069999999999</v>
      </c>
      <c r="L33" s="327">
        <v>-5.9638</v>
      </c>
      <c r="M33" s="327">
        <v>-5.96</v>
      </c>
      <c r="N33" s="327">
        <v>-1.837467</v>
      </c>
    </row>
    <row r="34" spans="1:14">
      <c r="A34" s="325" t="s">
        <v>950</v>
      </c>
      <c r="B34" s="326" t="s">
        <v>139</v>
      </c>
      <c r="C34" s="327">
        <v>-14.562013</v>
      </c>
      <c r="D34" s="327">
        <v>-14.409791</v>
      </c>
      <c r="E34" s="327">
        <v>-13.727679999999999</v>
      </c>
      <c r="F34" s="327">
        <v>-14.356890999999999</v>
      </c>
      <c r="G34" s="327">
        <v>-14.901991000000001</v>
      </c>
      <c r="H34" s="327">
        <v>-13.801304</v>
      </c>
      <c r="I34" s="327">
        <v>-15.951091</v>
      </c>
      <c r="J34" s="327">
        <v>-14.475991</v>
      </c>
      <c r="K34" s="327">
        <v>-14.984086</v>
      </c>
      <c r="L34" s="327">
        <v>-15.674991</v>
      </c>
      <c r="M34" s="327">
        <v>-15.67</v>
      </c>
      <c r="N34" s="327">
        <v>-14.9808</v>
      </c>
    </row>
    <row r="35" spans="1:14">
      <c r="A35" s="325" t="s">
        <v>951</v>
      </c>
      <c r="B35" s="326" t="s">
        <v>140</v>
      </c>
      <c r="C35" s="327">
        <v>-6.9395150000000001</v>
      </c>
      <c r="D35" s="327">
        <v>-5.8713150000000001</v>
      </c>
      <c r="E35" s="327">
        <v>-5.2973569999999999</v>
      </c>
      <c r="F35" s="327">
        <v>-5.7137000000000002</v>
      </c>
      <c r="G35" s="327">
        <v>-6.8780999999999999</v>
      </c>
      <c r="H35" s="327">
        <v>-4.8462440000000004</v>
      </c>
      <c r="I35" s="327">
        <v>-6.8608000000000002</v>
      </c>
      <c r="J35" s="327">
        <v>-6.0738000000000003</v>
      </c>
      <c r="K35" s="327">
        <v>-6.0413569999999996</v>
      </c>
      <c r="L35" s="327">
        <v>-8.3621999999999996</v>
      </c>
      <c r="M35" s="327">
        <v>-8.36</v>
      </c>
      <c r="N35" s="327">
        <v>-5.1322890000000001</v>
      </c>
    </row>
  </sheetData>
  <customSheetViews>
    <customSheetView guid="{1683F931-F47D-47C0-A395-D48080DC7EE6}" showPageBreaks="1" topLeftCell="A10">
      <selection activeCell="P38" sqref="P38"/>
      <pageMargins left="0.7" right="0.7" top="0.75" bottom="0.75" header="0.3" footer="0.3"/>
      <pageSetup paperSize="9" orientation="portrait" r:id="rId1"/>
    </customSheetView>
    <customSheetView guid="{43897816-D2F0-4C3D-8F57-E0039BD2296B}">
      <selection activeCell="I17" sqref="I17"/>
      <pageMargins left="0.7" right="0.7" top="0.75" bottom="0.75" header="0.3" footer="0.3"/>
    </customSheetView>
    <customSheetView guid="{849C46E5-4ED4-41B9-BDA9-A6465B9DA9C2}" topLeftCell="A37">
      <selection activeCell="G19" sqref="G19"/>
      <pageMargins left="0.7" right="0.7" top="0.75" bottom="0.75" header="0.3" footer="0.3"/>
    </customSheetView>
    <customSheetView guid="{8C09BCDE-4B8A-4469-B3F2-7F4528A2E78D}" topLeftCell="A37">
      <selection activeCell="G19" sqref="G19"/>
      <pageMargins left="0.7" right="0.7" top="0.75" bottom="0.75" header="0.3" footer="0.3"/>
    </customSheetView>
    <customSheetView guid="{F4EB51F4-FD23-4D5B-8072-1AF5D59D6686}" topLeftCell="A4">
      <selection activeCell="G19" sqref="G19"/>
      <pageMargins left="0.7" right="0.7" top="0.75" bottom="0.75" header="0.3" footer="0.3"/>
    </customSheetView>
    <customSheetView guid="{D7BCFB76-2797-401D-A6F1-E020B5162DD4}">
      <selection activeCell="I26" sqref="I26"/>
      <pageMargins left="0.7" right="0.7" top="0.75" bottom="0.75" header="0.3" footer="0.3"/>
    </customSheetView>
    <customSheetView guid="{C9A88430-3808-49F4-8D86-BF8C70C55441}">
      <selection activeCell="B31" sqref="B31"/>
      <pageMargins left="0.7" right="0.7" top="0.75" bottom="0.75" header="0.3" footer="0.3"/>
    </customSheetView>
    <customSheetView guid="{E61FFED3-723E-484A-93A0-94E1A801AF06}">
      <selection activeCell="B31" sqref="B31"/>
      <pageMargins left="0.7" right="0.7" top="0.75" bottom="0.75" header="0.3" footer="0.3"/>
    </customSheetView>
    <customSheetView guid="{6B5CCA07-2BDD-4B8E-9E3C-2111BBA97430}">
      <selection activeCell="B31" sqref="B31"/>
      <pageMargins left="0.7" right="0.7" top="0.75" bottom="0.75" header="0.3" footer="0.3"/>
      <pageSetup paperSize="9" orientation="portrait" r:id="rId2"/>
    </customSheetView>
    <customSheetView guid="{2F47A827-9643-4D8A-AC5D-6B09D79AACF9}">
      <selection activeCell="B31" sqref="B31"/>
      <pageMargins left="0.7" right="0.7" top="0.75" bottom="0.75" header="0.3" footer="0.3"/>
    </customSheetView>
    <customSheetView guid="{B37168A1-DBAB-4BDE-9F92-6261DCDF3D92}">
      <selection activeCell="J14" sqref="J14"/>
      <pageMargins left="0.7" right="0.7" top="0.75" bottom="0.75" header="0.3" footer="0.3"/>
    </customSheetView>
    <customSheetView guid="{AE0DD889-C13C-4059-8024-0F5B234827E9}">
      <selection activeCell="P38" sqref="P38"/>
      <pageMargins left="0.7" right="0.7" top="0.75" bottom="0.75" header="0.3" footer="0.3"/>
    </customSheetView>
    <customSheetView guid="{CCBBD9B0-4191-4D7A-9F7B-BAC044A49153}">
      <selection activeCell="P38" sqref="P38"/>
      <pageMargins left="0.7" right="0.7" top="0.75" bottom="0.75" header="0.3" footer="0.3"/>
    </customSheetView>
    <customSheetView guid="{C52D0F53-4D1D-4D01-B833-260359FD02A5}" topLeftCell="A4">
      <selection activeCell="G19" sqref="G19"/>
      <pageMargins left="0.7" right="0.7" top="0.75" bottom="0.75" header="0.3" footer="0.3"/>
    </customSheetView>
    <customSheetView guid="{6A1E79C9-91E3-4EEA-8ABB-4446083299EC}">
      <selection activeCell="B31" sqref="B31"/>
      <pageMargins left="0.7" right="0.7" top="0.75" bottom="0.75" header="0.3" footer="0.3"/>
    </customSheetView>
    <customSheetView guid="{8B80B510-C931-46B1-8591-DEA916D76593}">
      <selection activeCell="P38" sqref="P38"/>
      <pageMargins left="0.7" right="0.7" top="0.75" bottom="0.75" header="0.3" footer="0.3"/>
    </customSheetView>
    <customSheetView guid="{303A9D89-611D-4504-BCAA-071C53B021F7}" topLeftCell="A4">
      <selection activeCell="G19" sqref="G19"/>
      <pageMargins left="0.7" right="0.7" top="0.75" bottom="0.75" header="0.3" footer="0.3"/>
    </customSheetView>
    <customSheetView guid="{4583A87D-5DFF-47BD-849A-FA4AAF2B9CE3}">
      <selection activeCell="P38" sqref="P38"/>
      <pageMargins left="0.7" right="0.7" top="0.75" bottom="0.75" header="0.3" footer="0.3"/>
    </customSheetView>
    <customSheetView guid="{EA856AC2-CDFF-46B6-B0C4-30449DF132F4}">
      <selection activeCell="P38" sqref="P38"/>
      <pageMargins left="0.7" right="0.7" top="0.75" bottom="0.75" header="0.3" footer="0.3"/>
    </customSheetView>
    <customSheetView guid="{322A45A6-8B26-49B8-A4D9-EFB3C94A758D}" topLeftCell="A10">
      <selection activeCell="P38" sqref="P38"/>
      <pageMargins left="0.7" right="0.7" top="0.75" bottom="0.75" header="0.3" footer="0.3"/>
      <pageSetup paperSize="9" orientation="portrait" r:id="rId3"/>
    </customSheetView>
  </customSheetViews>
  <phoneticPr fontId="133" type="noConversion"/>
  <pageMargins left="0.7" right="0.7" top="0.75" bottom="0.75" header="0.3" footer="0.3"/>
  <pageSetup paperSize="9" orientation="portrait" r:id="rId4"/>
  <legacyDrawing r:id="rId5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K55"/>
  <sheetViews>
    <sheetView workbookViewId="0">
      <pane xSplit="2" ySplit="1" topLeftCell="AN2" activePane="bottomRight" state="frozen"/>
      <selection pane="topRight" activeCell="C1" sqref="C1"/>
      <selection pane="bottomLeft" activeCell="A2" sqref="A2"/>
      <selection pane="bottomRight" activeCell="AX19" sqref="AX19"/>
    </sheetView>
  </sheetViews>
  <sheetFormatPr defaultColWidth="9" defaultRowHeight="14.25"/>
  <cols>
    <col min="1" max="1" width="7" style="206" customWidth="1"/>
    <col min="2" max="2" width="22.25" style="206" customWidth="1"/>
    <col min="3" max="3" width="9.5" style="206" customWidth="1"/>
    <col min="4" max="16" width="8.5" style="206" customWidth="1"/>
    <col min="17" max="17" width="12.75" style="206" customWidth="1"/>
    <col min="18" max="20" width="8.875" style="206" customWidth="1"/>
    <col min="21" max="21" width="10.125" style="206" hidden="1" customWidth="1"/>
    <col min="22" max="25" width="15.5" style="206" customWidth="1"/>
    <col min="26" max="26" width="14.125" style="206" customWidth="1"/>
    <col min="27" max="27" width="14.25" style="206" customWidth="1"/>
    <col min="28" max="28" width="14.125" style="206" customWidth="1"/>
    <col min="29" max="29" width="11.5" style="206" customWidth="1"/>
    <col min="30" max="38" width="9" style="206" customWidth="1"/>
    <col min="39" max="39" width="11.875" style="206" customWidth="1"/>
    <col min="40" max="44" width="11.125" style="206" customWidth="1"/>
    <col min="45" max="45" width="12.125" style="206" customWidth="1"/>
    <col min="46" max="46" width="11.875" style="206" customWidth="1"/>
    <col min="47" max="47" width="11.125" style="206" customWidth="1"/>
    <col min="48" max="48" width="11.5" style="206" customWidth="1"/>
    <col min="49" max="52" width="11.125" style="206" customWidth="1"/>
    <col min="53" max="16384" width="9" style="206"/>
  </cols>
  <sheetData>
    <row r="1" spans="1:53" s="189" customFormat="1">
      <c r="B1" s="189" t="s">
        <v>0</v>
      </c>
      <c r="C1" s="189">
        <v>2017</v>
      </c>
      <c r="D1" s="189">
        <v>2017</v>
      </c>
      <c r="E1" s="189">
        <v>2018</v>
      </c>
      <c r="F1" s="189">
        <v>2018</v>
      </c>
      <c r="G1" s="189">
        <v>2018</v>
      </c>
      <c r="H1" s="189">
        <v>2018</v>
      </c>
      <c r="I1" s="189">
        <v>2018</v>
      </c>
      <c r="J1" s="189">
        <v>2018</v>
      </c>
      <c r="K1" s="189">
        <v>2018</v>
      </c>
      <c r="L1" s="189">
        <v>2018</v>
      </c>
      <c r="M1" s="189">
        <v>2018</v>
      </c>
      <c r="N1" s="189">
        <v>2018</v>
      </c>
      <c r="O1" s="189">
        <v>2018</v>
      </c>
      <c r="P1" s="189">
        <v>2018</v>
      </c>
      <c r="Q1" s="189">
        <v>2019</v>
      </c>
      <c r="R1" s="189">
        <v>2019</v>
      </c>
      <c r="S1" s="189">
        <v>2019</v>
      </c>
      <c r="T1" s="189">
        <v>2019</v>
      </c>
      <c r="U1" s="189">
        <v>2019</v>
      </c>
      <c r="V1" s="189">
        <v>2019</v>
      </c>
      <c r="W1" s="189">
        <v>2019</v>
      </c>
      <c r="X1" s="189">
        <v>2019</v>
      </c>
      <c r="Y1" s="189">
        <v>2019</v>
      </c>
      <c r="Z1" s="189">
        <v>2019</v>
      </c>
      <c r="AA1" s="189">
        <v>2019</v>
      </c>
      <c r="AB1" s="189">
        <v>2019</v>
      </c>
      <c r="AC1" s="189">
        <v>2020</v>
      </c>
      <c r="AD1" s="189">
        <v>2020</v>
      </c>
      <c r="AE1" s="189">
        <v>2020</v>
      </c>
      <c r="AF1" s="189">
        <v>2020</v>
      </c>
      <c r="AG1" s="189">
        <v>2020</v>
      </c>
      <c r="AH1" s="189">
        <v>2020</v>
      </c>
      <c r="AI1" s="189">
        <v>2020</v>
      </c>
      <c r="AJ1" s="189">
        <v>2020</v>
      </c>
      <c r="AK1" s="189">
        <v>2020</v>
      </c>
      <c r="AL1" s="189">
        <v>2020</v>
      </c>
      <c r="AM1" s="189">
        <v>2020</v>
      </c>
      <c r="AN1" s="189">
        <v>2020</v>
      </c>
      <c r="AO1" s="189">
        <v>2021</v>
      </c>
      <c r="AP1" s="189">
        <v>2021</v>
      </c>
      <c r="AQ1" s="189">
        <v>2021</v>
      </c>
      <c r="AR1" s="189">
        <v>2021</v>
      </c>
      <c r="AS1" s="189">
        <v>2021</v>
      </c>
      <c r="AT1" s="189">
        <v>2021</v>
      </c>
      <c r="AU1" s="189">
        <v>2021</v>
      </c>
      <c r="AV1" s="189">
        <v>2021</v>
      </c>
      <c r="AW1" s="189">
        <v>2021</v>
      </c>
      <c r="AX1" s="189">
        <v>2021</v>
      </c>
      <c r="AY1" s="189">
        <v>2021</v>
      </c>
      <c r="AZ1" s="189">
        <v>2021</v>
      </c>
    </row>
    <row r="2" spans="1:53" s="190" customFormat="1">
      <c r="B2" s="207" t="s">
        <v>953</v>
      </c>
      <c r="C2" s="190" t="s">
        <v>5</v>
      </c>
      <c r="D2" s="190">
        <v>12</v>
      </c>
      <c r="E2" s="190">
        <v>1</v>
      </c>
      <c r="F2" s="190">
        <v>2</v>
      </c>
      <c r="G2" s="190">
        <v>3</v>
      </c>
      <c r="H2" s="190">
        <v>4</v>
      </c>
      <c r="I2" s="190">
        <v>5</v>
      </c>
      <c r="J2" s="190">
        <v>6</v>
      </c>
      <c r="K2" s="190">
        <v>7</v>
      </c>
      <c r="L2" s="190">
        <v>8</v>
      </c>
      <c r="M2" s="190">
        <v>9</v>
      </c>
      <c r="N2" s="190">
        <v>10</v>
      </c>
      <c r="O2" s="190">
        <v>11</v>
      </c>
      <c r="P2" s="190">
        <v>12</v>
      </c>
      <c r="Q2" s="190">
        <v>1</v>
      </c>
      <c r="R2" s="190">
        <v>2</v>
      </c>
      <c r="S2" s="190">
        <v>3</v>
      </c>
      <c r="T2" s="190">
        <v>4</v>
      </c>
      <c r="U2" s="190">
        <v>5</v>
      </c>
      <c r="V2" s="190">
        <v>6</v>
      </c>
      <c r="W2" s="190">
        <v>7</v>
      </c>
      <c r="X2" s="190">
        <v>8</v>
      </c>
      <c r="Y2" s="190">
        <v>9</v>
      </c>
      <c r="Z2" s="190">
        <v>10</v>
      </c>
      <c r="AA2" s="190">
        <v>11</v>
      </c>
      <c r="AB2" s="190">
        <v>12</v>
      </c>
      <c r="AC2" s="190">
        <v>1</v>
      </c>
      <c r="AD2" s="190">
        <v>2</v>
      </c>
      <c r="AE2" s="190">
        <v>3</v>
      </c>
      <c r="AF2" s="190">
        <v>4</v>
      </c>
      <c r="AG2" s="190">
        <v>5</v>
      </c>
      <c r="AH2" s="190">
        <v>6</v>
      </c>
      <c r="AI2" s="190">
        <v>7</v>
      </c>
      <c r="AJ2" s="190">
        <v>8</v>
      </c>
      <c r="AK2" s="190">
        <v>9</v>
      </c>
      <c r="AL2" s="190">
        <v>10</v>
      </c>
      <c r="AM2" s="190">
        <v>11</v>
      </c>
      <c r="AN2" s="190">
        <v>12</v>
      </c>
      <c r="AO2" s="190">
        <v>1</v>
      </c>
      <c r="AP2" s="190">
        <v>2</v>
      </c>
      <c r="AQ2" s="190">
        <v>3</v>
      </c>
      <c r="AR2" s="190">
        <v>4</v>
      </c>
      <c r="AS2" s="190">
        <v>5</v>
      </c>
      <c r="AT2" s="190">
        <v>6</v>
      </c>
      <c r="AU2" s="190">
        <v>7</v>
      </c>
      <c r="AV2" s="190">
        <v>8</v>
      </c>
      <c r="AW2" s="190">
        <v>9</v>
      </c>
      <c r="AX2" s="190">
        <v>10</v>
      </c>
      <c r="AY2" s="190">
        <v>11</v>
      </c>
      <c r="AZ2" s="190">
        <v>12</v>
      </c>
    </row>
    <row r="3" spans="1:53">
      <c r="B3" s="208" t="s">
        <v>105</v>
      </c>
      <c r="C3" s="209">
        <v>119518.5967727</v>
      </c>
      <c r="D3" s="209">
        <v>124832</v>
      </c>
      <c r="E3" s="209">
        <v>96139</v>
      </c>
      <c r="F3" s="209">
        <v>93152</v>
      </c>
      <c r="G3" s="209">
        <v>81292.052351999999</v>
      </c>
      <c r="H3" s="209">
        <v>83502</v>
      </c>
      <c r="I3" s="209">
        <v>86223</v>
      </c>
      <c r="J3" s="209">
        <v>89328</v>
      </c>
      <c r="K3" s="209">
        <v>81115</v>
      </c>
      <c r="L3" s="209">
        <v>93488</v>
      </c>
      <c r="M3" s="209">
        <v>85539</v>
      </c>
      <c r="N3" s="209">
        <v>84330</v>
      </c>
      <c r="O3" s="209">
        <v>84868</v>
      </c>
      <c r="P3" s="209">
        <v>83089</v>
      </c>
      <c r="Q3" s="314">
        <f>87678-154-200</f>
        <v>87324</v>
      </c>
      <c r="R3" s="314">
        <v>91907</v>
      </c>
      <c r="S3" s="314">
        <f>84181+S44</f>
        <v>92266</v>
      </c>
      <c r="T3" s="314">
        <f>104141+T44</f>
        <v>118128</v>
      </c>
      <c r="U3" s="314">
        <f>103978.829582+U44</f>
        <v>118565.82958200001</v>
      </c>
      <c r="V3" s="314">
        <f>102651+V44</f>
        <v>114005</v>
      </c>
      <c r="W3" s="314">
        <f>105995+W44</f>
        <v>118486</v>
      </c>
      <c r="X3" s="314">
        <f>107754+X44</f>
        <v>117417</v>
      </c>
      <c r="Y3" s="314">
        <f>111466.79+Y44</f>
        <v>125582.79</v>
      </c>
      <c r="Z3" s="314">
        <f>101711+Z44</f>
        <v>114708</v>
      </c>
      <c r="AA3" s="314">
        <f>105742+AA44</f>
        <v>115261</v>
      </c>
      <c r="AB3" s="314">
        <f>135884.78+AB44</f>
        <v>149030.78</v>
      </c>
      <c r="AC3" s="314">
        <f>98860+AC44</f>
        <v>110259</v>
      </c>
      <c r="AD3" s="314">
        <f>110289+AD44</f>
        <v>124925.93</v>
      </c>
      <c r="AE3" s="314">
        <f>105615.55+AE44</f>
        <v>120870.55</v>
      </c>
      <c r="AF3" s="314">
        <f>108293+AF44</f>
        <v>120533</v>
      </c>
      <c r="AG3" s="314">
        <f>96499+AG44</f>
        <v>102550</v>
      </c>
      <c r="AH3" s="314">
        <f>105677+AH44</f>
        <v>138571.29999999999</v>
      </c>
      <c r="AI3" s="314">
        <f>101513+AI44</f>
        <v>130152</v>
      </c>
      <c r="AJ3" s="314">
        <f>107554+AJ44</f>
        <v>140407.06</v>
      </c>
      <c r="AK3" s="314">
        <f>99153+AK44</f>
        <v>132092.65</v>
      </c>
      <c r="AL3" s="314">
        <f>112568+AL44</f>
        <v>139106</v>
      </c>
      <c r="AM3" s="314">
        <f>128967+AM44</f>
        <v>155189</v>
      </c>
      <c r="AN3" s="1769">
        <f>110417.361+AN44</f>
        <v>119176.361</v>
      </c>
      <c r="AO3" s="1769">
        <f>121993+AO44</f>
        <v>135718</v>
      </c>
      <c r="AP3" s="1769">
        <f>148857+AP44</f>
        <v>183480</v>
      </c>
      <c r="AQ3" s="1769">
        <f>AQ44+163197</f>
        <v>197320</v>
      </c>
      <c r="AR3" s="1769">
        <f>AR44+204820</f>
        <v>255424</v>
      </c>
      <c r="AS3" s="1769">
        <f>AS44+195114</f>
        <v>239195.94</v>
      </c>
      <c r="AT3" s="1769">
        <f>AT44+211922</f>
        <v>247548</v>
      </c>
      <c r="AU3" s="1769">
        <f>209209+AU44</f>
        <v>249834</v>
      </c>
      <c r="AV3" s="1769">
        <f>207715+AV44</f>
        <v>254136</v>
      </c>
      <c r="AW3" s="1769"/>
      <c r="AX3" s="1769"/>
      <c r="AY3" s="1769"/>
      <c r="AZ3" s="1769"/>
      <c r="BA3" s="314"/>
    </row>
    <row r="4" spans="1:53">
      <c r="A4" s="206" t="s">
        <v>920</v>
      </c>
      <c r="B4" s="208" t="s">
        <v>110</v>
      </c>
      <c r="C4" s="311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314"/>
      <c r="R4" s="314"/>
      <c r="S4" s="314"/>
      <c r="T4" s="314"/>
      <c r="U4" s="314"/>
      <c r="V4" s="314"/>
      <c r="W4" s="314"/>
      <c r="X4" s="314"/>
      <c r="Y4" s="314"/>
      <c r="Z4" s="314"/>
      <c r="AA4" s="314"/>
      <c r="AB4" s="314">
        <f>18.7*733</f>
        <v>13707.1</v>
      </c>
      <c r="AC4" s="314">
        <v>8574.1577140000009</v>
      </c>
      <c r="AD4" s="314">
        <v>18132.241483999998</v>
      </c>
      <c r="AE4" s="314">
        <v>12781.086577</v>
      </c>
      <c r="AF4" s="314">
        <v>13530.596987999999</v>
      </c>
      <c r="AG4" s="314">
        <v>13000.705253</v>
      </c>
      <c r="AH4" s="314">
        <v>12724.563337</v>
      </c>
      <c r="AI4" s="314">
        <v>10892.656172000001</v>
      </c>
      <c r="AJ4" s="314">
        <v>14169.340722999999</v>
      </c>
      <c r="AK4" s="314">
        <v>6061.0460439999997</v>
      </c>
      <c r="AL4" s="314">
        <v>13612.385501000001</v>
      </c>
      <c r="AM4" s="314">
        <v>12210.131904</v>
      </c>
      <c r="AN4" s="314">
        <v>15890.167291</v>
      </c>
      <c r="AO4" s="314">
        <v>14872.001069</v>
      </c>
      <c r="AP4" s="314">
        <v>16926.616848999998</v>
      </c>
      <c r="AQ4" s="314">
        <v>21937.396694999999</v>
      </c>
      <c r="AR4" s="314">
        <v>24167.444448999999</v>
      </c>
      <c r="AS4" s="314">
        <v>19928.521520999999</v>
      </c>
      <c r="AT4" s="314">
        <v>25321.043006</v>
      </c>
      <c r="AU4" s="314">
        <v>11748.455522</v>
      </c>
      <c r="AV4" s="314">
        <v>23874.911953999999</v>
      </c>
      <c r="AW4" s="314"/>
      <c r="AX4" s="314"/>
      <c r="AY4" s="314"/>
      <c r="AZ4" s="314"/>
      <c r="BA4" s="314">
        <f>SUM(AC4:AN4)/10000</f>
        <v>15.1579078988</v>
      </c>
    </row>
    <row r="5" spans="1:53" s="191" customFormat="1">
      <c r="A5" s="191" t="s">
        <v>921</v>
      </c>
      <c r="B5" s="210" t="s">
        <v>111</v>
      </c>
      <c r="C5" s="312">
        <v>-515.15425711619901</v>
      </c>
      <c r="D5" s="211">
        <v>28688.159961000001</v>
      </c>
      <c r="E5" s="211">
        <v>32201.550986999999</v>
      </c>
      <c r="F5" s="211">
        <v>33234.062755999999</v>
      </c>
      <c r="G5" s="211">
        <v>28569.913162000001</v>
      </c>
      <c r="H5" s="211">
        <v>29196.280022999999</v>
      </c>
      <c r="I5" s="211">
        <v>31621.949754000001</v>
      </c>
      <c r="J5" s="211">
        <v>34077.345504999998</v>
      </c>
      <c r="K5" s="211">
        <v>29258.909637000001</v>
      </c>
      <c r="L5" s="211">
        <v>38128.240435</v>
      </c>
      <c r="M5" s="211">
        <v>33495.697491999999</v>
      </c>
      <c r="N5" s="211">
        <v>37325.411556999999</v>
      </c>
      <c r="O5" s="211">
        <v>37194.103195000003</v>
      </c>
      <c r="P5" s="211">
        <v>32734.518908999999</v>
      </c>
      <c r="Q5" s="239">
        <v>30754.264598000002</v>
      </c>
      <c r="R5" s="239">
        <v>35524.283447000002</v>
      </c>
      <c r="S5" s="239">
        <v>28667.507887</v>
      </c>
      <c r="T5" s="239">
        <v>38217.227778</v>
      </c>
      <c r="U5" s="239">
        <v>38762.829107999998</v>
      </c>
      <c r="V5" s="239">
        <v>38346.911755000001</v>
      </c>
      <c r="W5" s="239">
        <v>43174.314949</v>
      </c>
      <c r="X5" s="239">
        <v>35507.437140000002</v>
      </c>
      <c r="Y5" s="239">
        <v>34816.839396000003</v>
      </c>
      <c r="Z5" s="239">
        <v>33328.028595999996</v>
      </c>
      <c r="AA5" s="239">
        <v>36074.291437</v>
      </c>
      <c r="AB5" s="239">
        <v>36802.430118999997</v>
      </c>
      <c r="AC5" s="239">
        <v>34477.480893</v>
      </c>
      <c r="AD5" s="239">
        <v>35588.266622000003</v>
      </c>
      <c r="AE5" s="239">
        <v>36101.737867000003</v>
      </c>
      <c r="AF5" s="239">
        <v>36830.913904000001</v>
      </c>
      <c r="AG5" s="239">
        <v>33968.041055000002</v>
      </c>
      <c r="AH5" s="239">
        <v>39070.622646999997</v>
      </c>
      <c r="AI5" s="239">
        <v>37214.823089999998</v>
      </c>
      <c r="AJ5" s="239">
        <v>39552.247033</v>
      </c>
      <c r="AK5" s="239">
        <v>36200.994819</v>
      </c>
      <c r="AL5" s="239">
        <v>41334.622316000001</v>
      </c>
      <c r="AM5" s="239">
        <v>52016.738856000004</v>
      </c>
      <c r="AN5" s="239">
        <v>37809.393747000002</v>
      </c>
      <c r="AO5" s="239">
        <v>49325.141906999997</v>
      </c>
      <c r="AP5" s="239">
        <v>69218.981870000003</v>
      </c>
      <c r="AQ5" s="239">
        <v>100699.25313</v>
      </c>
      <c r="AR5" s="239">
        <v>108569.61407</v>
      </c>
      <c r="AS5" s="239">
        <v>97233.381867000004</v>
      </c>
      <c r="AT5" s="239">
        <v>101445.081215</v>
      </c>
      <c r="AU5" s="239">
        <v>115064.05192300001</v>
      </c>
      <c r="AV5" s="239">
        <v>117553.61029000001</v>
      </c>
      <c r="AW5" s="239"/>
      <c r="AX5" s="239"/>
      <c r="AY5" s="239"/>
      <c r="AZ5" s="239"/>
      <c r="BA5" s="314">
        <f>SUM(AC5:AN5)/10000</f>
        <v>46.016588284900003</v>
      </c>
    </row>
    <row r="6" spans="1:53" s="192" customFormat="1">
      <c r="A6" s="192" t="s">
        <v>922</v>
      </c>
      <c r="B6" s="212" t="s">
        <v>112</v>
      </c>
      <c r="C6" s="313">
        <v>256.63869699999901</v>
      </c>
      <c r="D6" s="213">
        <v>2731.4990990000001</v>
      </c>
      <c r="E6" s="213">
        <v>2102.0093000000002</v>
      </c>
      <c r="F6" s="213">
        <v>2465.9833600000002</v>
      </c>
      <c r="G6" s="213">
        <v>1726.532899</v>
      </c>
      <c r="H6" s="213">
        <v>2244.7165479999999</v>
      </c>
      <c r="I6" s="213">
        <v>2118.7108939999998</v>
      </c>
      <c r="J6" s="213">
        <v>2946.5162380000002</v>
      </c>
      <c r="K6" s="213">
        <v>2555.663845</v>
      </c>
      <c r="L6" s="213">
        <v>2031.8783100000001</v>
      </c>
      <c r="M6" s="213">
        <v>1889.9564789999999</v>
      </c>
      <c r="N6" s="213">
        <v>2491.0399470000002</v>
      </c>
      <c r="O6" s="213">
        <v>2698.5921189999999</v>
      </c>
      <c r="P6" s="213">
        <v>2231.8916800000002</v>
      </c>
      <c r="Q6" s="293">
        <v>2538.5237820000002</v>
      </c>
      <c r="R6" s="293">
        <v>2792.3641729999999</v>
      </c>
      <c r="S6" s="293">
        <v>1905.3370540000001</v>
      </c>
      <c r="T6" s="293">
        <v>3018.0593899999999</v>
      </c>
      <c r="U6" s="293">
        <v>2776.723289</v>
      </c>
      <c r="V6" s="293">
        <v>2283.8307570000002</v>
      </c>
      <c r="W6" s="293">
        <v>2828.3159989999999</v>
      </c>
      <c r="X6" s="293">
        <v>3201.2494780000002</v>
      </c>
      <c r="Y6" s="293">
        <v>2656.5148909999998</v>
      </c>
      <c r="Z6" s="293">
        <v>2472.5096199999998</v>
      </c>
      <c r="AA6" s="293">
        <v>2702.5361339999999</v>
      </c>
      <c r="AB6" s="293">
        <v>2694.140472</v>
      </c>
      <c r="AC6" s="293">
        <v>2139.0291499999998</v>
      </c>
      <c r="AD6" s="293">
        <v>3089.4439240000002</v>
      </c>
      <c r="AE6" s="293">
        <v>2346.9973960000002</v>
      </c>
      <c r="AF6" s="293">
        <v>2242.4946249999998</v>
      </c>
      <c r="AG6" s="293">
        <v>2947.5482919999999</v>
      </c>
      <c r="AH6" s="293">
        <v>2533.1229939999998</v>
      </c>
      <c r="AI6" s="293">
        <v>2392.2750780000001</v>
      </c>
      <c r="AJ6" s="293">
        <v>3255.284506</v>
      </c>
      <c r="AK6" s="293">
        <v>1352.446678</v>
      </c>
      <c r="AL6" s="293">
        <v>2393.8400769999998</v>
      </c>
      <c r="AM6" s="293">
        <v>2762.2964160000001</v>
      </c>
      <c r="AN6" s="293">
        <v>3148.582105</v>
      </c>
      <c r="AO6" s="239">
        <v>3101.2379700000001</v>
      </c>
      <c r="AP6" s="239">
        <v>3423.7727799999998</v>
      </c>
      <c r="AQ6" s="239">
        <v>2718.677823</v>
      </c>
      <c r="AR6" s="239">
        <v>3104.2029069999999</v>
      </c>
      <c r="AS6" s="239">
        <v>2736.3788960000002</v>
      </c>
      <c r="AT6" s="239">
        <v>2954.090095</v>
      </c>
      <c r="AU6" s="239">
        <v>2326.5505109999999</v>
      </c>
      <c r="AV6" s="239">
        <v>2050.1548029999999</v>
      </c>
      <c r="AW6" s="239"/>
      <c r="AX6" s="239"/>
      <c r="AY6" s="239"/>
      <c r="AZ6" s="239"/>
      <c r="BA6" s="314">
        <f>SUM(AC6:AN6)/10000</f>
        <v>3.0603361241000004</v>
      </c>
    </row>
    <row r="7" spans="1:53" s="191" customFormat="1">
      <c r="A7" s="191" t="s">
        <v>923</v>
      </c>
      <c r="B7" s="210" t="s">
        <v>46</v>
      </c>
      <c r="C7" s="211">
        <v>6628596.6691802097</v>
      </c>
      <c r="D7" s="211">
        <v>610615</v>
      </c>
      <c r="E7" s="211">
        <v>618172</v>
      </c>
      <c r="F7" s="211">
        <v>484988</v>
      </c>
      <c r="G7" s="211">
        <v>707560</v>
      </c>
      <c r="H7" s="211">
        <v>607571</v>
      </c>
      <c r="I7" s="211">
        <v>635931</v>
      </c>
      <c r="J7" s="211">
        <v>622806</v>
      </c>
      <c r="K7" s="211">
        <v>605770.24597000098</v>
      </c>
      <c r="L7" s="211">
        <v>630609</v>
      </c>
      <c r="M7" s="211">
        <v>593232.06426400004</v>
      </c>
      <c r="N7" s="211">
        <v>599431</v>
      </c>
      <c r="O7" s="211">
        <v>571180</v>
      </c>
      <c r="P7" s="211">
        <v>615839</v>
      </c>
      <c r="Q7" s="239">
        <f>540543</f>
        <v>540543</v>
      </c>
      <c r="R7" s="239">
        <v>498749</v>
      </c>
      <c r="S7" s="239">
        <v>668435</v>
      </c>
      <c r="T7" s="239">
        <f>589223.597266</f>
        <v>589223.597266</v>
      </c>
      <c r="U7" s="239">
        <v>599853</v>
      </c>
      <c r="V7" s="239">
        <v>573866</v>
      </c>
      <c r="W7" s="239">
        <f>604318+11</f>
        <v>604329</v>
      </c>
      <c r="X7" s="239">
        <v>640451.140915</v>
      </c>
      <c r="Y7" s="239">
        <v>616424</v>
      </c>
      <c r="Z7" s="239">
        <v>539284</v>
      </c>
      <c r="AA7" s="239">
        <v>553758</v>
      </c>
      <c r="AB7" s="239">
        <v>617577</v>
      </c>
      <c r="AC7" s="239">
        <f>474992.782027-3433-1800</f>
        <v>469759.78202699998</v>
      </c>
      <c r="AD7" s="239">
        <v>488462</v>
      </c>
      <c r="AE7" s="239">
        <v>598514</v>
      </c>
      <c r="AF7" s="239">
        <v>632085</v>
      </c>
      <c r="AG7" s="239">
        <v>573209</v>
      </c>
      <c r="AH7" s="239">
        <v>523347</v>
      </c>
      <c r="AI7" s="239">
        <v>517162</v>
      </c>
      <c r="AJ7" s="239">
        <v>520204</v>
      </c>
      <c r="AK7" s="239">
        <v>500240</v>
      </c>
      <c r="AL7" s="239">
        <v>598633</v>
      </c>
      <c r="AM7" s="239">
        <v>633373</v>
      </c>
      <c r="AN7" s="239">
        <v>682084</v>
      </c>
      <c r="AO7" s="239">
        <v>674239</v>
      </c>
      <c r="AP7" s="239">
        <v>649256</v>
      </c>
      <c r="AQ7" s="239">
        <v>804782</v>
      </c>
      <c r="AR7" s="239">
        <v>829166</v>
      </c>
      <c r="AS7" s="239">
        <v>916358</v>
      </c>
      <c r="AT7" s="239">
        <v>856915</v>
      </c>
      <c r="AU7" s="239">
        <v>931432</v>
      </c>
      <c r="AV7" s="239">
        <v>943207.39505706879</v>
      </c>
      <c r="AW7" s="239"/>
      <c r="AX7" s="239"/>
      <c r="AY7" s="239"/>
      <c r="AZ7" s="239"/>
      <c r="BA7" s="314">
        <f>SUM(AC7:AN7)/10000</f>
        <v>673.70727820270008</v>
      </c>
    </row>
    <row r="8" spans="1:53" s="191" customFormat="1">
      <c r="A8" s="191" t="s">
        <v>924</v>
      </c>
      <c r="B8" s="210" t="s">
        <v>113</v>
      </c>
      <c r="C8" s="239">
        <v>14524.354235588</v>
      </c>
      <c r="D8" s="211">
        <v>12157.391471000001</v>
      </c>
      <c r="E8" s="211">
        <v>17115.262247999999</v>
      </c>
      <c r="F8" s="211">
        <v>14219.661446</v>
      </c>
      <c r="G8" s="211">
        <v>17144.009413</v>
      </c>
      <c r="H8" s="211">
        <v>15936.904135999999</v>
      </c>
      <c r="I8" s="211">
        <v>14720.962446</v>
      </c>
      <c r="J8" s="211">
        <v>12629.839233000001</v>
      </c>
      <c r="K8" s="211">
        <v>17845.713849</v>
      </c>
      <c r="L8" s="211">
        <v>16759.337907000001</v>
      </c>
      <c r="M8" s="211">
        <v>13016.633073999999</v>
      </c>
      <c r="N8" s="211">
        <v>15516.031061</v>
      </c>
      <c r="O8" s="211">
        <v>12712.078976999999</v>
      </c>
      <c r="P8" s="211">
        <v>12989.246064000001</v>
      </c>
      <c r="Q8" s="239">
        <v>14022.613146</v>
      </c>
      <c r="R8" s="239">
        <v>11154.586310000001</v>
      </c>
      <c r="S8" s="239">
        <v>14241.284863999999</v>
      </c>
      <c r="T8" s="239">
        <v>16585.482391000001</v>
      </c>
      <c r="U8" s="239">
        <v>16380.596391999999</v>
      </c>
      <c r="V8" s="239">
        <v>14343.951426</v>
      </c>
      <c r="W8" s="239">
        <v>14485.571233000001</v>
      </c>
      <c r="X8" s="239">
        <v>8966.43534</v>
      </c>
      <c r="Y8" s="239">
        <v>13912.401962</v>
      </c>
      <c r="Z8" s="239">
        <v>12769.922342</v>
      </c>
      <c r="AA8" s="239">
        <v>10912.41064</v>
      </c>
      <c r="AB8" s="239">
        <v>13060.423029</v>
      </c>
      <c r="AC8" s="239">
        <v>9955.3476159999991</v>
      </c>
      <c r="AD8" s="239">
        <v>10421.711875000001</v>
      </c>
      <c r="AE8" s="239">
        <v>12511.647521000001</v>
      </c>
      <c r="AF8" s="239">
        <v>7130.3903579999997</v>
      </c>
      <c r="AG8" s="239">
        <v>10017.981172</v>
      </c>
      <c r="AH8" s="239">
        <v>13030.349977</v>
      </c>
      <c r="AI8" s="239">
        <v>11696.420834</v>
      </c>
      <c r="AJ8" s="239">
        <v>11485.060232</v>
      </c>
      <c r="AK8" s="239">
        <v>11801.860707</v>
      </c>
      <c r="AL8" s="239">
        <v>12268.492797999999</v>
      </c>
      <c r="AM8" s="239">
        <v>12054.972615999999</v>
      </c>
      <c r="AN8" s="239">
        <v>10235.209976</v>
      </c>
      <c r="AO8" s="239">
        <v>9109.7272539999994</v>
      </c>
      <c r="AP8" s="239">
        <v>13339.054559</v>
      </c>
      <c r="AQ8" s="239">
        <v>19726</v>
      </c>
      <c r="AR8" s="239">
        <v>17340.468615999998</v>
      </c>
      <c r="AS8" s="239">
        <v>17764.894368000001</v>
      </c>
      <c r="AT8" s="239">
        <v>17730.619981</v>
      </c>
      <c r="AU8" s="239">
        <v>14971.992166</v>
      </c>
      <c r="AV8" s="239">
        <v>19776.878615999998</v>
      </c>
      <c r="AW8" s="239"/>
      <c r="AX8" s="239"/>
      <c r="AY8" s="239"/>
      <c r="AZ8" s="239"/>
      <c r="BA8" s="314">
        <f t="shared" ref="BA8:BA17" si="0">SUM(AC8:AN8)/10000</f>
        <v>13.260944568199999</v>
      </c>
    </row>
    <row r="9" spans="1:53" s="191" customFormat="1">
      <c r="A9" s="191" t="s">
        <v>1258</v>
      </c>
      <c r="B9" s="210" t="s">
        <v>1233</v>
      </c>
      <c r="C9" s="239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1"/>
      <c r="O9" s="211"/>
      <c r="P9" s="211"/>
      <c r="Q9" s="239"/>
      <c r="R9" s="239"/>
      <c r="S9" s="239"/>
      <c r="T9" s="239"/>
      <c r="U9" s="239"/>
      <c r="V9" s="239"/>
      <c r="W9" s="239"/>
      <c r="X9" s="239"/>
      <c r="Y9" s="239"/>
      <c r="Z9" s="239"/>
      <c r="AA9" s="239"/>
      <c r="AB9" s="239"/>
      <c r="AC9" s="239">
        <v>44929.896663</v>
      </c>
      <c r="AD9" s="239">
        <v>35034.252424999999</v>
      </c>
      <c r="AE9" s="239">
        <v>77785.417421999999</v>
      </c>
      <c r="AF9" s="239">
        <v>100242.05940899999</v>
      </c>
      <c r="AG9" s="239">
        <v>110468.686281</v>
      </c>
      <c r="AH9" s="239">
        <v>94678.01354900001</v>
      </c>
      <c r="AI9" s="239">
        <v>100481.163877</v>
      </c>
      <c r="AJ9" s="239">
        <v>96590.198243999999</v>
      </c>
      <c r="AK9" s="239">
        <v>119720.812127</v>
      </c>
      <c r="AL9" s="239">
        <v>100084.00217200001</v>
      </c>
      <c r="AM9" s="239">
        <v>102157.30319600001</v>
      </c>
      <c r="AN9" s="239">
        <v>131929.63700700001</v>
      </c>
      <c r="AO9" s="239">
        <v>99811.591598000014</v>
      </c>
      <c r="AP9" s="239">
        <v>68728.193748999998</v>
      </c>
      <c r="AQ9" s="239">
        <v>127278.602524</v>
      </c>
      <c r="AR9" s="239">
        <v>130410.40260599999</v>
      </c>
      <c r="AS9" s="239">
        <v>122455.79134700001</v>
      </c>
      <c r="AT9" s="239">
        <v>119829.28973800001</v>
      </c>
      <c r="AU9" s="239">
        <v>142436.419807</v>
      </c>
      <c r="AV9" s="239">
        <v>143740.92000000001</v>
      </c>
      <c r="AW9" s="239"/>
      <c r="AX9" s="239"/>
      <c r="AY9" s="239"/>
      <c r="AZ9" s="239"/>
      <c r="BA9" s="314"/>
    </row>
    <row r="10" spans="1:53" s="191" customFormat="1">
      <c r="A10" s="191" t="s">
        <v>1259</v>
      </c>
      <c r="B10" s="210" t="s">
        <v>1234</v>
      </c>
      <c r="C10" s="239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1"/>
      <c r="O10" s="211"/>
      <c r="P10" s="211"/>
      <c r="Q10" s="239"/>
      <c r="R10" s="239"/>
      <c r="S10" s="239"/>
      <c r="T10" s="239"/>
      <c r="U10" s="239"/>
      <c r="V10" s="239"/>
      <c r="W10" s="239"/>
      <c r="X10" s="239"/>
      <c r="Y10" s="239"/>
      <c r="Z10" s="239"/>
      <c r="AA10" s="239"/>
      <c r="AB10" s="239"/>
      <c r="AC10" s="239">
        <v>65481.202635000001</v>
      </c>
      <c r="AD10" s="239">
        <v>59874.031059000001</v>
      </c>
      <c r="AE10" s="239">
        <v>63949.726197999997</v>
      </c>
      <c r="AF10" s="239">
        <v>55468.548385000002</v>
      </c>
      <c r="AG10" s="239">
        <v>54946.023500000003</v>
      </c>
      <c r="AH10" s="239">
        <v>67088.240111999999</v>
      </c>
      <c r="AI10" s="239">
        <v>70150.068495999993</v>
      </c>
      <c r="AJ10" s="239">
        <v>72589.471986999997</v>
      </c>
      <c r="AK10" s="239">
        <v>72512.312246999994</v>
      </c>
      <c r="AL10" s="239">
        <v>73069.232046000005</v>
      </c>
      <c r="AM10" s="239">
        <v>69587.373351000002</v>
      </c>
      <c r="AN10" s="239">
        <v>73022.613981999995</v>
      </c>
      <c r="AO10" s="239">
        <v>53792.479535000006</v>
      </c>
      <c r="AP10" s="239">
        <v>61123.884918000003</v>
      </c>
      <c r="AQ10" s="239">
        <v>75211.388305</v>
      </c>
      <c r="AR10" s="239">
        <v>77823.412263000006</v>
      </c>
      <c r="AS10" s="239">
        <v>85535.306811999995</v>
      </c>
      <c r="AT10" s="239">
        <v>83822.731357000011</v>
      </c>
      <c r="AU10" s="239">
        <v>76162.422873999996</v>
      </c>
      <c r="AV10" s="239">
        <v>80931</v>
      </c>
      <c r="AW10" s="239"/>
      <c r="AX10" s="239"/>
      <c r="AY10" s="239"/>
      <c r="AZ10" s="239"/>
      <c r="BA10" s="314"/>
    </row>
    <row r="11" spans="1:53" s="191" customFormat="1">
      <c r="A11" s="191" t="s">
        <v>1289</v>
      </c>
      <c r="B11" s="210" t="s">
        <v>1288</v>
      </c>
      <c r="C11" s="239"/>
      <c r="D11" s="211"/>
      <c r="E11" s="211"/>
      <c r="F11" s="211"/>
      <c r="G11" s="211"/>
      <c r="H11" s="211"/>
      <c r="I11" s="211"/>
      <c r="J11" s="211"/>
      <c r="K11" s="211"/>
      <c r="L11" s="211"/>
      <c r="M11" s="211"/>
      <c r="N11" s="211"/>
      <c r="O11" s="211"/>
      <c r="P11" s="211"/>
      <c r="Q11" s="239"/>
      <c r="R11" s="239"/>
      <c r="S11" s="239"/>
      <c r="T11" s="239"/>
      <c r="U11" s="239"/>
      <c r="V11" s="239"/>
      <c r="W11" s="239"/>
      <c r="X11" s="239"/>
      <c r="Y11" s="239"/>
      <c r="Z11" s="239"/>
      <c r="AA11" s="239"/>
      <c r="AB11" s="239"/>
      <c r="AC11" s="239"/>
      <c r="AD11" s="239"/>
      <c r="AE11" s="239"/>
      <c r="AF11" s="239"/>
      <c r="AG11" s="239"/>
      <c r="AH11" s="239"/>
      <c r="AI11" s="239"/>
      <c r="AJ11" s="239"/>
      <c r="AK11" s="239"/>
      <c r="AL11" s="239"/>
      <c r="AM11" s="239"/>
      <c r="AN11" s="239"/>
      <c r="AO11" s="1770">
        <v>0</v>
      </c>
      <c r="AP11" s="239"/>
      <c r="AQ11" s="239"/>
      <c r="AR11" s="1770">
        <v>0</v>
      </c>
      <c r="AS11" s="239"/>
      <c r="AT11" s="239"/>
      <c r="AU11" s="239"/>
      <c r="AV11" s="239"/>
      <c r="AW11" s="239"/>
      <c r="AX11" s="239"/>
      <c r="AY11" s="239"/>
      <c r="AZ11" s="239"/>
      <c r="BA11" s="314"/>
    </row>
    <row r="12" spans="1:53" s="191" customFormat="1">
      <c r="A12" s="191" t="s">
        <v>925</v>
      </c>
      <c r="B12" s="210" t="s">
        <v>114</v>
      </c>
      <c r="C12" s="211">
        <v>4707.6769169999998</v>
      </c>
      <c r="D12" s="211">
        <v>970.89443000000006</v>
      </c>
      <c r="E12" s="211">
        <v>0</v>
      </c>
      <c r="F12" s="211"/>
      <c r="G12" s="211"/>
      <c r="H12" s="211">
        <v>12.947350999999999</v>
      </c>
      <c r="I12" s="211">
        <v>0</v>
      </c>
      <c r="J12" s="211">
        <v>0</v>
      </c>
      <c r="K12" s="211">
        <v>39.306303999999997</v>
      </c>
      <c r="L12" s="211">
        <v>0</v>
      </c>
      <c r="M12" s="211">
        <v>0</v>
      </c>
      <c r="N12" s="211">
        <v>65.461190000000002</v>
      </c>
      <c r="O12" s="211">
        <v>4.3481500000000004</v>
      </c>
      <c r="P12" s="211">
        <v>2477.7077549999999</v>
      </c>
      <c r="Q12" s="239">
        <v>18.62069</v>
      </c>
      <c r="R12" s="239">
        <v>785.44713100000001</v>
      </c>
      <c r="S12" s="239">
        <v>53.702134000000001</v>
      </c>
      <c r="T12" s="239">
        <v>1621.121883</v>
      </c>
      <c r="U12" s="239">
        <v>1564.3864209999999</v>
      </c>
      <c r="V12" s="239">
        <v>1067.874026</v>
      </c>
      <c r="W12" s="239">
        <v>1012.644056</v>
      </c>
      <c r="X12" s="239">
        <v>819.36982799999998</v>
      </c>
      <c r="Y12" s="239">
        <v>300.53346800000003</v>
      </c>
      <c r="Z12" s="239">
        <v>839.36009300000001</v>
      </c>
      <c r="AA12" s="239">
        <v>1856.787568</v>
      </c>
      <c r="AB12" s="239">
        <v>509.74997400000001</v>
      </c>
      <c r="AC12" s="239">
        <v>227.55381299999999</v>
      </c>
      <c r="AD12" s="239">
        <v>1131.5823009999999</v>
      </c>
      <c r="AE12" s="239">
        <v>206.48781</v>
      </c>
      <c r="AF12" s="239">
        <v>227.70057499999999</v>
      </c>
      <c r="AG12" s="239">
        <v>350.38089200000002</v>
      </c>
      <c r="AH12" s="239">
        <v>2415.6194839999998</v>
      </c>
      <c r="AI12" s="239">
        <v>612.46865000000003</v>
      </c>
      <c r="AJ12" s="239">
        <v>212.075582</v>
      </c>
      <c r="AK12" s="239">
        <v>707.71586100000002</v>
      </c>
      <c r="AL12" s="239">
        <v>1495.6983009999999</v>
      </c>
      <c r="AM12" s="239">
        <v>1661.4925559999999</v>
      </c>
      <c r="AN12" s="239">
        <v>953.74066100000005</v>
      </c>
      <c r="AO12" s="239">
        <v>574.64994300000001</v>
      </c>
      <c r="AP12" s="239">
        <v>354.11859199999998</v>
      </c>
      <c r="AQ12" s="239">
        <v>2312.3444100000002</v>
      </c>
      <c r="AR12" s="239">
        <v>1046.360887</v>
      </c>
      <c r="AS12" s="239">
        <v>2451.4507469999999</v>
      </c>
      <c r="AT12" s="239">
        <v>2571.8778040000002</v>
      </c>
      <c r="AU12" s="239">
        <v>1566.565895</v>
      </c>
      <c r="AV12" s="239">
        <v>1722.626231</v>
      </c>
      <c r="AW12" s="239"/>
      <c r="AX12" s="239"/>
      <c r="AY12" s="239"/>
      <c r="AZ12" s="239"/>
      <c r="BA12" s="314">
        <f t="shared" si="0"/>
        <v>1.0202516485999999</v>
      </c>
    </row>
    <row r="13" spans="1:53" s="191" customFormat="1">
      <c r="A13" s="191" t="s">
        <v>926</v>
      </c>
      <c r="B13" s="210" t="s">
        <v>115</v>
      </c>
      <c r="C13" s="211">
        <v>2865.7427499999999</v>
      </c>
      <c r="D13" s="211">
        <v>11626.780033999999</v>
      </c>
      <c r="E13" s="211">
        <v>10874.049338000001</v>
      </c>
      <c r="F13" s="211">
        <v>9634.4421689999999</v>
      </c>
      <c r="G13" s="211">
        <v>10321.825934</v>
      </c>
      <c r="H13" s="211">
        <v>9761.4712450000006</v>
      </c>
      <c r="I13" s="211">
        <v>10093.913853</v>
      </c>
      <c r="J13" s="211">
        <v>10342.302288000001</v>
      </c>
      <c r="K13" s="211">
        <v>10606.303792999999</v>
      </c>
      <c r="L13" s="211">
        <v>11040.674718</v>
      </c>
      <c r="M13" s="211">
        <v>10573.19946</v>
      </c>
      <c r="N13" s="211">
        <v>10595.483174999999</v>
      </c>
      <c r="O13" s="211">
        <v>10260.395801999999</v>
      </c>
      <c r="P13" s="211">
        <v>10057.36622</v>
      </c>
      <c r="Q13" s="239">
        <v>10342.447679000001</v>
      </c>
      <c r="R13" s="239">
        <v>9463.325906</v>
      </c>
      <c r="S13" s="239">
        <v>9945.6079809999992</v>
      </c>
      <c r="T13" s="239">
        <v>10053.362897999999</v>
      </c>
      <c r="U13" s="239">
        <v>10860.100951</v>
      </c>
      <c r="V13" s="239">
        <v>10510.029455</v>
      </c>
      <c r="W13" s="239">
        <v>10556.966364</v>
      </c>
      <c r="X13" s="239">
        <v>10319.99388</v>
      </c>
      <c r="Y13" s="239">
        <v>10191.076784000001</v>
      </c>
      <c r="Z13" s="239">
        <v>9205.3073079999995</v>
      </c>
      <c r="AA13" s="239">
        <v>10397.756181000001</v>
      </c>
      <c r="AB13" s="239">
        <v>11735.161784</v>
      </c>
      <c r="AC13" s="239">
        <v>10769.340305</v>
      </c>
      <c r="AD13" s="239">
        <v>10033.002705999999</v>
      </c>
      <c r="AE13" s="239">
        <v>10545.811487999999</v>
      </c>
      <c r="AF13" s="239">
        <v>10155.19218</v>
      </c>
      <c r="AG13" s="239">
        <v>10581.140815999999</v>
      </c>
      <c r="AH13" s="239">
        <v>10122.661545000001</v>
      </c>
      <c r="AI13" s="239">
        <v>9467.3779360000008</v>
      </c>
      <c r="AJ13" s="239">
        <v>9880.3068490000005</v>
      </c>
      <c r="AK13" s="239">
        <v>9117.0866459999997</v>
      </c>
      <c r="AL13" s="239">
        <v>10722.527824999999</v>
      </c>
      <c r="AM13" s="239">
        <v>10489.919549</v>
      </c>
      <c r="AN13" s="239">
        <v>11167.008521</v>
      </c>
      <c r="AO13" s="239">
        <v>11411.024254</v>
      </c>
      <c r="AP13" s="239">
        <v>10505.350635000001</v>
      </c>
      <c r="AQ13" s="239">
        <v>11078.887664</v>
      </c>
      <c r="AR13" s="239">
        <v>11081.14</v>
      </c>
      <c r="AS13" s="239">
        <v>11181.191065999999</v>
      </c>
      <c r="AT13" s="239">
        <v>11567.832823999999</v>
      </c>
      <c r="AU13" s="239">
        <v>11555</v>
      </c>
      <c r="AV13" s="239">
        <v>12077.309324</v>
      </c>
      <c r="AW13" s="239"/>
      <c r="AX13" s="239"/>
      <c r="AY13" s="239"/>
      <c r="AZ13" s="239"/>
      <c r="BA13" s="314">
        <f t="shared" si="0"/>
        <v>12.305137636599998</v>
      </c>
    </row>
    <row r="14" spans="1:53" s="191" customFormat="1">
      <c r="A14" s="191" t="s">
        <v>927</v>
      </c>
      <c r="B14" s="210" t="s">
        <v>116</v>
      </c>
      <c r="C14" s="211">
        <v>8724.5026550000002</v>
      </c>
      <c r="D14" s="211">
        <v>4333.8646939999999</v>
      </c>
      <c r="E14" s="211">
        <v>3925.801872</v>
      </c>
      <c r="F14" s="211">
        <v>2816.9022190000001</v>
      </c>
      <c r="G14" s="211">
        <v>3013.7328160000002</v>
      </c>
      <c r="H14" s="211">
        <v>4339.6984949999996</v>
      </c>
      <c r="I14" s="211">
        <v>3238.1402050000002</v>
      </c>
      <c r="J14" s="211">
        <v>2517.2767370000001</v>
      </c>
      <c r="K14" s="211">
        <v>2900.1411229999999</v>
      </c>
      <c r="L14" s="211">
        <v>2807.0479620000001</v>
      </c>
      <c r="M14" s="211">
        <v>2652.3498049999998</v>
      </c>
      <c r="N14" s="211">
        <v>2418.2975780000002</v>
      </c>
      <c r="O14" s="211">
        <v>2894.0442050000001</v>
      </c>
      <c r="P14" s="211">
        <v>3231.855458</v>
      </c>
      <c r="Q14" s="239">
        <v>3154.9363490000001</v>
      </c>
      <c r="R14" s="239">
        <v>1903.58905</v>
      </c>
      <c r="S14" s="239">
        <v>3385</v>
      </c>
      <c r="T14" s="239">
        <v>2129.034764</v>
      </c>
      <c r="U14" s="239">
        <v>2280.1885849999999</v>
      </c>
      <c r="V14" s="239">
        <v>2354.1299100000001</v>
      </c>
      <c r="W14" s="239">
        <v>1974.436426</v>
      </c>
      <c r="X14" s="239">
        <v>1883.997204</v>
      </c>
      <c r="Y14" s="239">
        <v>2065.498137</v>
      </c>
      <c r="Z14" s="239">
        <v>1987.0765690000001</v>
      </c>
      <c r="AA14" s="239">
        <v>2527.2920340000001</v>
      </c>
      <c r="AB14" s="239">
        <v>1918.0578720000001</v>
      </c>
      <c r="AC14" s="239">
        <v>1748.5771010000001</v>
      </c>
      <c r="AD14" s="239">
        <v>1841.9617800000001</v>
      </c>
      <c r="AE14" s="239">
        <v>1971.3650600000001</v>
      </c>
      <c r="AF14" s="239">
        <v>2257.6921130000001</v>
      </c>
      <c r="AG14" s="239">
        <v>2213.3934479999998</v>
      </c>
      <c r="AH14" s="239">
        <v>2390.7243229999999</v>
      </c>
      <c r="AI14" s="239">
        <v>2264.0696389999998</v>
      </c>
      <c r="AJ14" s="239">
        <v>2604.3351550000002</v>
      </c>
      <c r="AK14" s="239">
        <v>2560.1413210000001</v>
      </c>
      <c r="AL14" s="239">
        <v>2584.8222390000001</v>
      </c>
      <c r="AM14" s="239">
        <v>2758.8141310000001</v>
      </c>
      <c r="AN14" s="239">
        <v>2614.954929</v>
      </c>
      <c r="AO14" s="239">
        <v>2458.722906</v>
      </c>
      <c r="AP14" s="239">
        <v>2322.517386</v>
      </c>
      <c r="AQ14" s="239">
        <v>1853.116454</v>
      </c>
      <c r="AR14" s="239">
        <v>2765.6039719999999</v>
      </c>
      <c r="AS14" s="239">
        <v>2700.9300800000001</v>
      </c>
      <c r="AT14" s="239">
        <v>3611.484653</v>
      </c>
      <c r="AU14" s="239">
        <v>3165.2730510000001</v>
      </c>
      <c r="AV14" s="239">
        <v>3097</v>
      </c>
      <c r="AW14" s="239"/>
      <c r="AX14" s="239"/>
      <c r="AY14" s="239"/>
      <c r="AZ14" s="239"/>
      <c r="BA14" s="314">
        <f t="shared" si="0"/>
        <v>2.7810851239000001</v>
      </c>
    </row>
    <row r="15" spans="1:53" s="191" customFormat="1">
      <c r="A15" s="191" t="s">
        <v>928</v>
      </c>
      <c r="B15" s="210" t="s">
        <v>117</v>
      </c>
      <c r="C15" s="211">
        <v>724.53199199999995</v>
      </c>
      <c r="D15" s="211">
        <v>662.75439900000003</v>
      </c>
      <c r="E15" s="211">
        <v>284.31932999999998</v>
      </c>
      <c r="F15" s="211">
        <v>204.63144399999999</v>
      </c>
      <c r="G15" s="211">
        <v>277.49647499999998</v>
      </c>
      <c r="H15" s="211">
        <v>284.865612</v>
      </c>
      <c r="I15" s="211">
        <v>297.19276200000002</v>
      </c>
      <c r="J15" s="211">
        <v>461.58421099999998</v>
      </c>
      <c r="K15" s="211">
        <v>340.956704</v>
      </c>
      <c r="L15" s="211">
        <v>300.26549999999997</v>
      </c>
      <c r="M15" s="211">
        <v>309.83939500000002</v>
      </c>
      <c r="N15" s="211">
        <v>360.35811200000001</v>
      </c>
      <c r="O15" s="211">
        <v>536.92804699999999</v>
      </c>
      <c r="P15" s="211">
        <v>540.343794</v>
      </c>
      <c r="Q15" s="239">
        <v>443.70679000000001</v>
      </c>
      <c r="R15" s="239">
        <v>202.85371599999999</v>
      </c>
      <c r="S15" s="239">
        <v>352.38148000000001</v>
      </c>
      <c r="T15" s="239">
        <v>401.288794</v>
      </c>
      <c r="U15" s="239">
        <v>567.95464900000002</v>
      </c>
      <c r="V15" s="239">
        <v>364.930362</v>
      </c>
      <c r="W15" s="239">
        <v>387.16010399999999</v>
      </c>
      <c r="X15" s="239">
        <v>408.21815600000002</v>
      </c>
      <c r="Y15" s="239">
        <v>526.08297300000004</v>
      </c>
      <c r="Z15" s="239">
        <v>484.51772799999998</v>
      </c>
      <c r="AA15" s="239">
        <v>637.679036</v>
      </c>
      <c r="AB15" s="239">
        <v>1038.9152899999999</v>
      </c>
      <c r="AC15" s="239">
        <v>214.64275900000001</v>
      </c>
      <c r="AD15" s="239">
        <v>147.32049000000001</v>
      </c>
      <c r="AE15" s="239">
        <v>311.49376599999999</v>
      </c>
      <c r="AF15" s="239">
        <v>424.246442</v>
      </c>
      <c r="AG15" s="239">
        <v>390.45852200000002</v>
      </c>
      <c r="AH15" s="239">
        <v>475.71624600000001</v>
      </c>
      <c r="AI15" s="239">
        <v>405.06134700000001</v>
      </c>
      <c r="AJ15" s="239">
        <v>1013.029959</v>
      </c>
      <c r="AK15" s="239">
        <v>603.30514100000005</v>
      </c>
      <c r="AL15" s="239">
        <v>790.57195400000001</v>
      </c>
      <c r="AM15" s="239">
        <v>758.18497200000002</v>
      </c>
      <c r="AN15" s="239">
        <v>1048.6364619999999</v>
      </c>
      <c r="AO15" s="239">
        <v>332.73273699999999</v>
      </c>
      <c r="AP15" s="239">
        <v>479.06711100000001</v>
      </c>
      <c r="AQ15" s="239">
        <v>605.00908400000003</v>
      </c>
      <c r="AR15" s="239">
        <v>842.00219600000003</v>
      </c>
      <c r="AS15" s="239">
        <v>657.90659900000003</v>
      </c>
      <c r="AT15" s="239">
        <v>963.90859</v>
      </c>
      <c r="AU15" s="239">
        <v>1148.6964970000001</v>
      </c>
      <c r="AV15" s="239">
        <v>1018.4375560000001</v>
      </c>
      <c r="AW15" s="239"/>
      <c r="AX15" s="239"/>
      <c r="AY15" s="239"/>
      <c r="AZ15" s="239"/>
      <c r="BA15" s="314">
        <f t="shared" si="0"/>
        <v>0.65826680599999998</v>
      </c>
    </row>
    <row r="16" spans="1:53" s="191" customFormat="1">
      <c r="A16" s="191" t="s">
        <v>929</v>
      </c>
      <c r="B16" s="210" t="s">
        <v>118</v>
      </c>
      <c r="C16" s="211">
        <v>9792.5599629999997</v>
      </c>
      <c r="D16" s="211">
        <v>708.74438599999996</v>
      </c>
      <c r="E16" s="211">
        <v>351.27593999999999</v>
      </c>
      <c r="F16" s="211">
        <v>203.41549499999999</v>
      </c>
      <c r="G16" s="211">
        <v>950.59498499999995</v>
      </c>
      <c r="H16" s="211">
        <v>1662.23828</v>
      </c>
      <c r="I16" s="211">
        <v>1532.0963360000001</v>
      </c>
      <c r="J16" s="211">
        <v>1535.2166910000001</v>
      </c>
      <c r="K16" s="211">
        <v>1475.0616110000001</v>
      </c>
      <c r="L16" s="211">
        <v>1536.7482230000001</v>
      </c>
      <c r="M16" s="211">
        <v>1326.368021</v>
      </c>
      <c r="N16" s="211">
        <v>1409.9826619999999</v>
      </c>
      <c r="O16" s="211">
        <v>1312.341179</v>
      </c>
      <c r="P16" s="211">
        <v>780.42750899999999</v>
      </c>
      <c r="Q16" s="239">
        <v>336.82977199999999</v>
      </c>
      <c r="R16" s="239">
        <v>229.767608</v>
      </c>
      <c r="S16" s="239">
        <v>1694.232833</v>
      </c>
      <c r="T16" s="239">
        <v>1284.4627620000001</v>
      </c>
      <c r="U16" s="239">
        <v>1445.3620719999999</v>
      </c>
      <c r="V16" s="239">
        <v>1160.2579909999999</v>
      </c>
      <c r="W16" s="239">
        <v>1210.6466</v>
      </c>
      <c r="X16" s="239">
        <v>1090.1587810000001</v>
      </c>
      <c r="Y16" s="239">
        <v>1268.3587620000001</v>
      </c>
      <c r="Z16" s="239">
        <v>1333.12735</v>
      </c>
      <c r="AA16" s="239">
        <v>1575.1912090000001</v>
      </c>
      <c r="AB16" s="239">
        <v>876.63874999999996</v>
      </c>
      <c r="AC16" s="239">
        <v>305.04879599999998</v>
      </c>
      <c r="AD16" s="239">
        <v>32.336708000000002</v>
      </c>
      <c r="AE16" s="239">
        <v>710.06576700000005</v>
      </c>
      <c r="AF16" s="239">
        <v>1704.0170760000001</v>
      </c>
      <c r="AG16" s="239">
        <v>1835.4420580000001</v>
      </c>
      <c r="AH16" s="239">
        <v>1883.903681</v>
      </c>
      <c r="AI16" s="239">
        <v>1224.362185</v>
      </c>
      <c r="AJ16" s="239">
        <v>1488.909498</v>
      </c>
      <c r="AK16" s="239">
        <v>1562.6207629999999</v>
      </c>
      <c r="AL16" s="239">
        <v>1306.3146280000001</v>
      </c>
      <c r="AM16" s="239">
        <v>1268.148242</v>
      </c>
      <c r="AN16" s="239">
        <v>684.67928600000005</v>
      </c>
      <c r="AO16" s="239">
        <v>262.21437100000003</v>
      </c>
      <c r="AP16" s="239">
        <v>73.358681000000004</v>
      </c>
      <c r="AQ16" s="239">
        <v>1119.175117</v>
      </c>
      <c r="AR16" s="239">
        <v>1554.7200190000001</v>
      </c>
      <c r="AS16" s="239">
        <v>1760.858027</v>
      </c>
      <c r="AT16" s="239">
        <v>1944.8888979999999</v>
      </c>
      <c r="AU16" s="239">
        <v>1207.854153</v>
      </c>
      <c r="AV16" s="239">
        <v>1131.8710210000002</v>
      </c>
      <c r="AW16" s="239"/>
      <c r="AX16" s="239"/>
      <c r="AY16" s="239"/>
      <c r="AZ16" s="239"/>
      <c r="BA16" s="314">
        <f t="shared" si="0"/>
        <v>1.4005848688</v>
      </c>
    </row>
    <row r="17" spans="1:53" s="191" customFormat="1">
      <c r="A17" s="191" t="s">
        <v>930</v>
      </c>
      <c r="B17" s="210" t="s">
        <v>119</v>
      </c>
      <c r="C17" s="211">
        <v>116.545541</v>
      </c>
      <c r="D17" s="211">
        <v>764.09516699999995</v>
      </c>
      <c r="E17" s="211">
        <v>201.00319400000001</v>
      </c>
      <c r="F17" s="211">
        <v>540.58651499999996</v>
      </c>
      <c r="G17" s="211">
        <v>155.01070799999999</v>
      </c>
      <c r="H17" s="211">
        <v>1187.1884700000001</v>
      </c>
      <c r="I17" s="211">
        <v>83.096059999999994</v>
      </c>
      <c r="J17" s="211">
        <v>272.55710199999999</v>
      </c>
      <c r="K17" s="211">
        <v>401.673832</v>
      </c>
      <c r="L17" s="211">
        <v>347.57146599999999</v>
      </c>
      <c r="M17" s="211">
        <v>525.44012999999995</v>
      </c>
      <c r="N17" s="211">
        <v>121.764886</v>
      </c>
      <c r="O17" s="211">
        <v>574.01507400000003</v>
      </c>
      <c r="P17" s="211">
        <v>252.528908</v>
      </c>
      <c r="Q17" s="239">
        <v>111.12787400000001</v>
      </c>
      <c r="R17" s="239">
        <v>588.61316799999997</v>
      </c>
      <c r="S17" s="239">
        <v>339.05346700000001</v>
      </c>
      <c r="T17" s="239">
        <v>480.35329400000001</v>
      </c>
      <c r="U17" s="239">
        <v>300.42187300000001</v>
      </c>
      <c r="V17" s="239">
        <v>384.959025</v>
      </c>
      <c r="W17" s="239">
        <v>501.91360600000002</v>
      </c>
      <c r="X17" s="239">
        <v>355.30676699999998</v>
      </c>
      <c r="Y17" s="239">
        <v>488.17545799999999</v>
      </c>
      <c r="Z17" s="239">
        <v>477.30410599999999</v>
      </c>
      <c r="AA17" s="239">
        <v>742.75313500000004</v>
      </c>
      <c r="AB17" s="239">
        <v>548.628783</v>
      </c>
      <c r="AC17" s="239">
        <v>483.693962</v>
      </c>
      <c r="AD17" s="239">
        <v>198.519879</v>
      </c>
      <c r="AE17" s="239">
        <v>242.34631099999999</v>
      </c>
      <c r="AF17" s="239">
        <v>290.669532</v>
      </c>
      <c r="AG17" s="239">
        <v>171.97401099999999</v>
      </c>
      <c r="AH17" s="239">
        <v>192.43221199999999</v>
      </c>
      <c r="AI17" s="239">
        <v>270.666087</v>
      </c>
      <c r="AJ17" s="239">
        <v>694.27601700000002</v>
      </c>
      <c r="AK17" s="239">
        <v>1065.5269800000001</v>
      </c>
      <c r="AL17" s="239">
        <v>1123.128072</v>
      </c>
      <c r="AM17" s="239">
        <v>1792.1191229999999</v>
      </c>
      <c r="AN17" s="239">
        <v>2208.923601</v>
      </c>
      <c r="AO17" s="239">
        <v>3499.194696</v>
      </c>
      <c r="AP17" s="239">
        <v>915.06541300000004</v>
      </c>
      <c r="AQ17" s="239">
        <v>1612.6261710000001</v>
      </c>
      <c r="AR17" s="239">
        <v>920.22596099999998</v>
      </c>
      <c r="AS17" s="239">
        <v>2819.4945779999998</v>
      </c>
      <c r="AT17" s="239">
        <v>2697.8325239999999</v>
      </c>
      <c r="AU17" s="239">
        <v>2495.385452</v>
      </c>
      <c r="AV17" s="239">
        <v>1904.4132500000001</v>
      </c>
      <c r="AW17" s="239"/>
      <c r="AX17" s="239"/>
      <c r="AY17" s="239"/>
      <c r="AZ17" s="239"/>
      <c r="BA17" s="314">
        <f t="shared" si="0"/>
        <v>0.8734275787000001</v>
      </c>
    </row>
    <row r="18" spans="1:53" s="191" customFormat="1">
      <c r="A18" s="191" t="s">
        <v>931</v>
      </c>
      <c r="B18" s="210" t="s">
        <v>121</v>
      </c>
      <c r="C18" s="211">
        <v>1077332.1932779499</v>
      </c>
      <c r="D18" s="211">
        <v>9630.9523609999997</v>
      </c>
      <c r="E18" s="211">
        <v>9848.8362109999998</v>
      </c>
      <c r="F18" s="211">
        <v>12677.986661999999</v>
      </c>
      <c r="G18" s="211">
        <v>21352.198246</v>
      </c>
      <c r="H18" s="211">
        <v>31133.332713</v>
      </c>
      <c r="I18" s="211">
        <v>50613.777198000003</v>
      </c>
      <c r="J18" s="211">
        <v>41391.230945000003</v>
      </c>
      <c r="K18" s="211">
        <v>44137.542642</v>
      </c>
      <c r="L18" s="211">
        <v>61958.857028999999</v>
      </c>
      <c r="M18" s="211">
        <v>53784.274138000001</v>
      </c>
      <c r="N18" s="211">
        <v>54156.503639000002</v>
      </c>
      <c r="O18" s="211">
        <v>62194.764485</v>
      </c>
      <c r="P18" s="211">
        <v>63214.115497999999</v>
      </c>
      <c r="Q18" s="239">
        <v>77394.173158000005</v>
      </c>
      <c r="R18" s="239">
        <v>50173.786031000003</v>
      </c>
      <c r="S18" s="239">
        <f>75960.072719-S44</f>
        <v>67875.072719000003</v>
      </c>
      <c r="T18" s="239">
        <f>95852.494119-T44</f>
        <v>81865.494118999995</v>
      </c>
      <c r="U18" s="239">
        <f>95372.717165-U44</f>
        <v>80785.717164999995</v>
      </c>
      <c r="V18" s="239">
        <f>81267.026534-V44</f>
        <v>69913.026534000004</v>
      </c>
      <c r="W18" s="239">
        <f>72369.095676-W44</f>
        <v>59878.095675999997</v>
      </c>
      <c r="X18" s="239">
        <f>80217.559141-X44</f>
        <v>70554.559141000005</v>
      </c>
      <c r="Y18" s="239">
        <f>82127.797361-Y44</f>
        <v>68011.797361000004</v>
      </c>
      <c r="Z18" s="239">
        <f>57475.682942-Z44</f>
        <v>44478.682941999999</v>
      </c>
      <c r="AA18" s="239">
        <f>52585.342132-AA44</f>
        <v>43066.342131999998</v>
      </c>
      <c r="AB18" s="239">
        <f>64058.21302-AB44</f>
        <v>50912.213020000003</v>
      </c>
      <c r="AC18" s="239">
        <f>61466.951534-AC44</f>
        <v>50067.951534</v>
      </c>
      <c r="AD18" s="239">
        <f>86270.175777-AD44</f>
        <v>71633.245777000004</v>
      </c>
      <c r="AE18" s="239">
        <f>91635.369963-AE44</f>
        <v>76380.369963000005</v>
      </c>
      <c r="AF18" s="239">
        <f>91120.949651-AF44</f>
        <v>78880.949651000003</v>
      </c>
      <c r="AG18" s="239">
        <f>72928.367556-AG44</f>
        <v>66877.367555999997</v>
      </c>
      <c r="AH18" s="239">
        <f>114552.122488-AH44</f>
        <v>81657.822487999991</v>
      </c>
      <c r="AI18" s="239">
        <f>101237.195774-AI44</f>
        <v>72598.195774000007</v>
      </c>
      <c r="AJ18" s="239">
        <f>97047.51183-AJ44</f>
        <v>64194.451830000005</v>
      </c>
      <c r="AK18" s="239">
        <f>101346.572558-AK44</f>
        <v>68406.922557999991</v>
      </c>
      <c r="AL18" s="239">
        <f>90661.565081-AL44</f>
        <v>64123.565080999993</v>
      </c>
      <c r="AM18" s="239">
        <f>121482.57-AM44</f>
        <v>95260.57</v>
      </c>
      <c r="AN18" s="1770">
        <f>149131.457351-AN44</f>
        <v>140372.45735099999</v>
      </c>
      <c r="AO18" s="1770">
        <f>78759.982786-AO44</f>
        <v>65034.982785999993</v>
      </c>
      <c r="AP18" s="1770">
        <f>110729.760584-AP44</f>
        <v>76106.760584000003</v>
      </c>
      <c r="AQ18" s="1770">
        <f>98692.864884-AQ44</f>
        <v>64569.864883999995</v>
      </c>
      <c r="AR18" s="1770">
        <f>144134-AR44</f>
        <v>93530</v>
      </c>
      <c r="AS18" s="1770">
        <f>145620-AS44</f>
        <v>101538.06</v>
      </c>
      <c r="AT18" s="1770">
        <f>165035-AT44</f>
        <v>129409</v>
      </c>
      <c r="AU18" s="1770">
        <f>108591.22512-AU44</f>
        <v>67966.225120000003</v>
      </c>
      <c r="AV18" s="1770">
        <f>104617-AV44</f>
        <v>58196</v>
      </c>
      <c r="AW18" s="1770"/>
      <c r="AX18" s="1770"/>
      <c r="AY18" s="1770"/>
      <c r="AZ18" s="1770"/>
      <c r="BA18" s="314">
        <f>SUM(AC18:AN18)/10000</f>
        <v>93.045386956300007</v>
      </c>
    </row>
    <row r="19" spans="1:53" s="191" customFormat="1">
      <c r="A19" s="191" t="s">
        <v>932</v>
      </c>
      <c r="B19" s="210" t="s">
        <v>1601</v>
      </c>
      <c r="C19" s="211">
        <v>108490.148299837</v>
      </c>
      <c r="D19" s="211">
        <v>69409.190254351299</v>
      </c>
      <c r="E19" s="211">
        <f>121417.898445052-E20-E21</f>
        <v>120092.56844505199</v>
      </c>
      <c r="F19" s="211">
        <f>78787.3850575775-F20-F21</f>
        <v>77592.800536577488</v>
      </c>
      <c r="G19" s="211">
        <v>94709.3490774276</v>
      </c>
      <c r="H19" s="211">
        <v>100856.325269507</v>
      </c>
      <c r="I19" s="211">
        <v>131088.11667793899</v>
      </c>
      <c r="J19" s="211">
        <v>88934.090949238394</v>
      </c>
      <c r="K19" s="211">
        <v>108625.823687144</v>
      </c>
      <c r="L19" s="211">
        <v>103410.87895118599</v>
      </c>
      <c r="M19" s="211">
        <v>50442.154095872102</v>
      </c>
      <c r="N19" s="211">
        <v>64384.462758272603</v>
      </c>
      <c r="O19" s="211">
        <v>98470.373286591202</v>
      </c>
      <c r="P19" s="211">
        <v>91376.949642627806</v>
      </c>
      <c r="Q19" s="239">
        <v>88533.239244049197</v>
      </c>
      <c r="R19" s="239">
        <v>70157.404328155404</v>
      </c>
      <c r="S19" s="239">
        <v>88667.159002079105</v>
      </c>
      <c r="T19" s="239">
        <v>85581.441689341897</v>
      </c>
      <c r="U19" s="239">
        <v>111976.771580709</v>
      </c>
      <c r="V19" s="239">
        <v>110315.443102933</v>
      </c>
      <c r="W19" s="239">
        <v>103465.30812870699</v>
      </c>
      <c r="X19" s="239">
        <v>87232.460393058296</v>
      </c>
      <c r="Y19" s="239">
        <v>103611.838159237</v>
      </c>
      <c r="Z19" s="239">
        <v>137999.63162599999</v>
      </c>
      <c r="AA19" s="239">
        <v>140063.80905700001</v>
      </c>
      <c r="AB19" s="239">
        <v>135252.056304</v>
      </c>
      <c r="AC19" s="239">
        <v>93882.002512999999</v>
      </c>
      <c r="AD19" s="239">
        <v>86406.371171000006</v>
      </c>
      <c r="AE19" s="239">
        <v>64466.363791000003</v>
      </c>
      <c r="AF19" s="239">
        <v>55788.776236999998</v>
      </c>
      <c r="AG19" s="239">
        <v>50224.670398000002</v>
      </c>
      <c r="AH19" s="239">
        <v>70887.962555000006</v>
      </c>
      <c r="AI19" s="239">
        <v>70920.731211000006</v>
      </c>
      <c r="AJ19" s="239">
        <v>82214.637474999996</v>
      </c>
      <c r="AK19" s="239">
        <v>104085.03417299999</v>
      </c>
      <c r="AL19" s="239">
        <v>114864.205712</v>
      </c>
      <c r="AM19" s="239">
        <v>99426.893530000001</v>
      </c>
      <c r="AN19" s="239">
        <v>183050.70578300001</v>
      </c>
      <c r="AO19" s="239">
        <v>165200.24345099999</v>
      </c>
      <c r="AP19" s="239">
        <v>91720.360704999999</v>
      </c>
      <c r="AQ19" s="239">
        <v>113534.330348</v>
      </c>
      <c r="AR19" s="239">
        <v>136366.21059800001</v>
      </c>
      <c r="AS19" s="239">
        <v>94248.274172000005</v>
      </c>
      <c r="AT19" s="239">
        <v>187038.63464100001</v>
      </c>
      <c r="AU19" s="239">
        <v>155428.34944700002</v>
      </c>
      <c r="AV19" s="239">
        <v>111943</v>
      </c>
      <c r="AW19" s="239"/>
      <c r="AX19" s="239"/>
      <c r="AY19" s="239"/>
      <c r="AZ19" s="239"/>
      <c r="BA19" s="314">
        <f>SUM(AC19:AN19)/10000</f>
        <v>107.62183545490001</v>
      </c>
    </row>
    <row r="20" spans="1:53" s="191" customFormat="1">
      <c r="A20" s="191" t="s">
        <v>933</v>
      </c>
      <c r="B20" s="210" t="s">
        <v>127</v>
      </c>
      <c r="C20" s="211">
        <v>3.9999999999963599E-2</v>
      </c>
      <c r="D20" s="239">
        <v>1145.0593530000001</v>
      </c>
      <c r="E20" s="211">
        <v>1154.6099999999999</v>
      </c>
      <c r="F20" s="211">
        <v>1039.7398929999999</v>
      </c>
      <c r="G20" s="211"/>
      <c r="H20" s="211"/>
      <c r="I20" s="211"/>
      <c r="J20" s="211">
        <v>786.23349124632705</v>
      </c>
      <c r="K20" s="211">
        <v>1008.928919</v>
      </c>
      <c r="L20" s="211">
        <v>1008.67</v>
      </c>
      <c r="M20" s="211">
        <v>924.76</v>
      </c>
      <c r="N20" s="211"/>
      <c r="O20" s="211"/>
      <c r="P20" s="239"/>
      <c r="Q20" s="239">
        <f>'#需填写'!C45/10000</f>
        <v>623.67782499999998</v>
      </c>
      <c r="R20" s="239">
        <f>'#需填写'!D45/10000</f>
        <v>722.91859599999998</v>
      </c>
      <c r="S20" s="239">
        <f>'#需填写'!E45/10000</f>
        <v>864.93161599999996</v>
      </c>
      <c r="T20" s="239">
        <f>'#需填写'!F45/10000</f>
        <v>802.16707400000007</v>
      </c>
      <c r="U20" s="239">
        <f>'#需填写'!G45/10000</f>
        <v>825.35771499999998</v>
      </c>
      <c r="V20" s="239">
        <f>'#需填写'!H45/10000</f>
        <v>543.40480600000001</v>
      </c>
      <c r="W20" s="239">
        <f>'#需填写'!I45/10000</f>
        <v>863.96521500000006</v>
      </c>
      <c r="X20" s="239">
        <f>'#需填写'!J45/10000</f>
        <v>863.01616799999999</v>
      </c>
      <c r="Y20" s="239">
        <f>'#需填写'!K45/10000</f>
        <v>824.59442999999999</v>
      </c>
      <c r="Z20" s="239">
        <f>'#需填写'!L45/10000</f>
        <v>872.26421799999991</v>
      </c>
      <c r="AA20" s="239">
        <f>'#需填写'!M45/10000</f>
        <v>869.66559199999995</v>
      </c>
      <c r="AB20" s="239">
        <f>'#需填写'!N45/10000</f>
        <v>908.74583200000006</v>
      </c>
      <c r="AC20" s="239">
        <f>'#需填写'!O45/10000</f>
        <v>934.574476</v>
      </c>
      <c r="AD20" s="239">
        <f>'#需填写'!P45/10000</f>
        <v>881.56469700000002</v>
      </c>
      <c r="AE20" s="239">
        <f>'#需填写'!Q45/10000</f>
        <v>964.678809</v>
      </c>
      <c r="AF20" s="239">
        <f>'#需填写'!R45/10000</f>
        <v>968.83264800000006</v>
      </c>
      <c r="AG20" s="239">
        <f>'#需填写'!S45/10000</f>
        <v>1027.242444</v>
      </c>
      <c r="AH20" s="239">
        <v>1013.52</v>
      </c>
      <c r="AI20" s="239">
        <f>'#需填写'!U45/10000</f>
        <v>961.47519199999999</v>
      </c>
      <c r="AJ20" s="239">
        <f>'#需填写'!V45/10000</f>
        <v>970.61262399999998</v>
      </c>
      <c r="AK20" s="239">
        <f>'#需填写'!W45/10000</f>
        <v>894.17705600000011</v>
      </c>
      <c r="AL20" s="239">
        <f>'#需填写'!X45/10000</f>
        <v>970.77033100000006</v>
      </c>
      <c r="AM20" s="239">
        <f>'#需填写'!Y45/10000</f>
        <v>1011.763632</v>
      </c>
      <c r="AN20" s="239">
        <f>'#需填写'!Z45/10000</f>
        <v>993.03518399999996</v>
      </c>
      <c r="AO20" s="239">
        <f>'#需填写'!AA45/10000</f>
        <v>983.14147300000002</v>
      </c>
      <c r="AP20" s="239">
        <f>'#需填写'!AB45/10000</f>
        <v>949.15157499999998</v>
      </c>
      <c r="AQ20" s="239">
        <f>'#需填写'!AC45/10000</f>
        <v>1009.837725</v>
      </c>
      <c r="AR20" s="239">
        <f>'#需填写'!AD45/10000</f>
        <v>875.08398900000009</v>
      </c>
      <c r="AS20" s="239">
        <f>'#需填写'!AE45/10000</f>
        <v>877.50788800000009</v>
      </c>
      <c r="AT20" s="239">
        <f>'#需填写'!AF45/10000</f>
        <v>827.55617999999993</v>
      </c>
      <c r="AU20" s="239">
        <f>'#需填写'!AG45/10000</f>
        <v>869.51145700000006</v>
      </c>
      <c r="AV20" s="239">
        <f>'#需填写'!AH45/10000</f>
        <v>884.26979199999994</v>
      </c>
      <c r="AW20" s="239">
        <f>'#需填写'!AI45/10000</f>
        <v>0</v>
      </c>
      <c r="AX20" s="239">
        <f>'#需填写'!AJ45/10000</f>
        <v>0</v>
      </c>
      <c r="AY20" s="239">
        <f>'#需填写'!AK45/10000</f>
        <v>0</v>
      </c>
      <c r="AZ20" s="239">
        <f>'#需填写'!AL45/10000</f>
        <v>0</v>
      </c>
      <c r="BA20" s="314">
        <f t="shared" ref="BA20:BA34" si="1">SUM(AC20:AN20)/10000</f>
        <v>1.1592247093000001</v>
      </c>
    </row>
    <row r="21" spans="1:53" s="192" customFormat="1">
      <c r="A21" s="192" t="s">
        <v>934</v>
      </c>
      <c r="B21" s="212" t="s">
        <v>128</v>
      </c>
      <c r="C21" s="213">
        <v>-0.44999999999998902</v>
      </c>
      <c r="D21" s="293">
        <v>168.25470000000001</v>
      </c>
      <c r="E21" s="213">
        <v>170.72</v>
      </c>
      <c r="F21" s="213">
        <v>154.844628</v>
      </c>
      <c r="G21" s="213"/>
      <c r="H21" s="213"/>
      <c r="I21" s="213"/>
      <c r="J21" s="213">
        <v>185.42182</v>
      </c>
      <c r="K21" s="213">
        <v>171.435123</v>
      </c>
      <c r="L21" s="213">
        <v>171.43510000000001</v>
      </c>
      <c r="M21" s="213">
        <v>120.43</v>
      </c>
      <c r="N21" s="213"/>
      <c r="O21" s="213"/>
      <c r="P21" s="293"/>
      <c r="Q21" s="293">
        <f>'#需填写'!C48/10000</f>
        <v>181.443791</v>
      </c>
      <c r="R21" s="293">
        <f>'#需填写'!D48/10000</f>
        <v>168.20911899999999</v>
      </c>
      <c r="S21" s="293">
        <f>'#需填写'!E48/10000</f>
        <v>191.87421499999999</v>
      </c>
      <c r="T21" s="293">
        <f>'#需填写'!F48/10000</f>
        <v>195.61320800000001</v>
      </c>
      <c r="U21" s="293">
        <f>'#需填写'!G48/10000</f>
        <v>214.24824500000003</v>
      </c>
      <c r="V21" s="293">
        <f>'#需填写'!H48/10000</f>
        <v>166.24646200000001</v>
      </c>
      <c r="W21" s="293">
        <f>'#需填写'!I48/10000</f>
        <v>211.65412000000001</v>
      </c>
      <c r="X21" s="293">
        <f>'#需填写'!J48/10000</f>
        <v>206.37519800000001</v>
      </c>
      <c r="Y21" s="293">
        <f>'#需填写'!K48/10000</f>
        <v>194.61320900000001</v>
      </c>
      <c r="Z21" s="293">
        <f>'#需填写'!L48/10000</f>
        <v>156.50943700000002</v>
      </c>
      <c r="AA21" s="293">
        <f>'#需填写'!M48/10000</f>
        <v>193.16037800000001</v>
      </c>
      <c r="AB21" s="293">
        <f>'#需填写'!N48/10000</f>
        <v>200.221699</v>
      </c>
      <c r="AC21" s="293">
        <f>'#需填写'!O48/10000</f>
        <v>208.29428799999999</v>
      </c>
      <c r="AD21" s="293">
        <f>'#需填写'!P48/10000</f>
        <v>193.82966499999998</v>
      </c>
      <c r="AE21" s="293">
        <f>'#需填写'!Q48/10000</f>
        <v>208.275597</v>
      </c>
      <c r="AF21" s="293">
        <f>'#需填写'!R48/10000</f>
        <v>202.13351499999999</v>
      </c>
      <c r="AG21" s="293">
        <f>'#需填写'!S48/10000</f>
        <v>211.03044199999999</v>
      </c>
      <c r="AH21" s="293">
        <v>202.86</v>
      </c>
      <c r="AI21" s="293">
        <f>'#需填写'!U48/10000</f>
        <v>212.49866699999998</v>
      </c>
      <c r="AJ21" s="293">
        <f>'#需填写'!V48/10000</f>
        <v>207.37591599999999</v>
      </c>
      <c r="AK21" s="293">
        <f>'#需填写'!W48/10000</f>
        <v>202.46894699999999</v>
      </c>
      <c r="AL21" s="293">
        <f>'#需填写'!X48/10000</f>
        <v>210.381552</v>
      </c>
      <c r="AM21" s="293">
        <f>'#需填写'!Y48/10000</f>
        <v>204.96069299999999</v>
      </c>
      <c r="AN21" s="293">
        <f>'#需填写'!Z48/10000</f>
        <v>212.71082400000003</v>
      </c>
      <c r="AO21" s="293">
        <f>'#需填写'!AA48/10000</f>
        <v>213.93748500000001</v>
      </c>
      <c r="AP21" s="293">
        <f>'#需填写'!AB48/10000</f>
        <v>203.80944199999999</v>
      </c>
      <c r="AQ21" s="293">
        <f>'#需填写'!AC48/10000</f>
        <v>220.89918500000002</v>
      </c>
      <c r="AR21" s="293">
        <f>'#需填写'!AD48/10000</f>
        <v>235.766187</v>
      </c>
      <c r="AS21" s="293">
        <f>'#需填写'!AE48/10000</f>
        <v>246.617267</v>
      </c>
      <c r="AT21" s="293">
        <f>'#需填写'!AF48/10000</f>
        <v>261.84115600000001</v>
      </c>
      <c r="AU21" s="293">
        <f>'#需填写'!AG48/10000</f>
        <v>247.77653199999997</v>
      </c>
      <c r="AV21" s="293">
        <f>'#需填写'!AH48/10000</f>
        <v>225.709148</v>
      </c>
      <c r="AW21" s="293">
        <f>'#需填写'!AI48/10000</f>
        <v>0</v>
      </c>
      <c r="AX21" s="293">
        <f>'#需填写'!AJ48/10000</f>
        <v>0</v>
      </c>
      <c r="AY21" s="293">
        <f>'#需填写'!AK48/10000</f>
        <v>0</v>
      </c>
      <c r="AZ21" s="293">
        <f>'#需填写'!AL48/10000</f>
        <v>0</v>
      </c>
      <c r="BA21" s="314">
        <f t="shared" si="1"/>
        <v>0.2476820106</v>
      </c>
    </row>
    <row r="22" spans="1:53" s="195" customFormat="1">
      <c r="A22" s="195" t="s">
        <v>935</v>
      </c>
      <c r="B22" s="220" t="s">
        <v>123</v>
      </c>
      <c r="C22" s="221">
        <v>5214.4385199999997</v>
      </c>
      <c r="D22" s="221">
        <v>598.641977</v>
      </c>
      <c r="E22" s="221">
        <v>761.41315099999997</v>
      </c>
      <c r="F22" s="221">
        <v>740.89062799999999</v>
      </c>
      <c r="G22" s="221">
        <v>722.48498099999995</v>
      </c>
      <c r="H22" s="221">
        <v>616.96612700000003</v>
      </c>
      <c r="I22" s="221">
        <v>687.65063999999995</v>
      </c>
      <c r="J22" s="221">
        <v>748.45674699999995</v>
      </c>
      <c r="K22" s="221">
        <v>796.35020899999995</v>
      </c>
      <c r="L22" s="221">
        <v>874.10429999999997</v>
      </c>
      <c r="M22" s="221">
        <v>955.40369199999998</v>
      </c>
      <c r="N22" s="221">
        <v>637.919533</v>
      </c>
      <c r="O22" s="221">
        <v>788.450469</v>
      </c>
      <c r="P22" s="221">
        <v>797.47154499999999</v>
      </c>
      <c r="Q22" s="315">
        <v>891.348164</v>
      </c>
      <c r="R22" s="315">
        <v>688.30859299999997</v>
      </c>
      <c r="S22" s="315">
        <v>709.03742399999999</v>
      </c>
      <c r="T22" s="315">
        <v>751.30156199999999</v>
      </c>
      <c r="U22" s="315">
        <v>709.27028900000005</v>
      </c>
      <c r="V22" s="315">
        <v>681.87670900000001</v>
      </c>
      <c r="W22" s="315">
        <v>773.79181100000005</v>
      </c>
      <c r="X22" s="315">
        <v>887.22502099999997</v>
      </c>
      <c r="Y22" s="315">
        <v>927.19196799999997</v>
      </c>
      <c r="Z22" s="315">
        <v>939.60687600000006</v>
      </c>
      <c r="AA22" s="315">
        <v>841.36581000000001</v>
      </c>
      <c r="AB22" s="315">
        <v>814.04652099999998</v>
      </c>
      <c r="AC22" s="315">
        <v>944.58054600000003</v>
      </c>
      <c r="AD22" s="315">
        <v>258.005043</v>
      </c>
      <c r="AE22" s="315">
        <v>493.11136199999999</v>
      </c>
      <c r="AF22" s="315">
        <v>594.16460400000005</v>
      </c>
      <c r="AG22" s="315">
        <v>606.38658999999996</v>
      </c>
      <c r="AH22" s="315">
        <v>637.02506300000005</v>
      </c>
      <c r="AI22" s="315">
        <v>779.42541200000005</v>
      </c>
      <c r="AJ22" s="315">
        <v>855.046154</v>
      </c>
      <c r="AK22" s="315">
        <v>937.624143</v>
      </c>
      <c r="AL22" s="315">
        <v>1020.641795</v>
      </c>
      <c r="AM22" s="315">
        <v>925.00338499999998</v>
      </c>
      <c r="AN22" s="315">
        <v>968.88431300000002</v>
      </c>
      <c r="AO22" s="239">
        <v>919.79999799999996</v>
      </c>
      <c r="AP22" s="239">
        <v>854.43619000000001</v>
      </c>
      <c r="AQ22" s="239">
        <v>1007.085393</v>
      </c>
      <c r="AR22" s="239">
        <v>1031.407921</v>
      </c>
      <c r="AS22" s="239">
        <v>1235.085775</v>
      </c>
      <c r="AT22" s="239">
        <v>1145.909195</v>
      </c>
      <c r="AU22" s="239">
        <v>1155.782786</v>
      </c>
      <c r="AV22" s="239">
        <v>888.38631300000009</v>
      </c>
      <c r="AW22" s="239"/>
      <c r="AX22" s="239"/>
      <c r="AY22" s="239"/>
      <c r="AZ22" s="239"/>
      <c r="BA22" s="314">
        <f t="shared" si="1"/>
        <v>0.90198984100000001</v>
      </c>
    </row>
    <row r="23" spans="1:53" s="191" customFormat="1">
      <c r="A23" s="191" t="s">
        <v>936</v>
      </c>
      <c r="B23" s="210" t="s">
        <v>124</v>
      </c>
      <c r="C23" s="211">
        <v>16303.733122244799</v>
      </c>
      <c r="D23" s="211">
        <v>6234.080575</v>
      </c>
      <c r="E23" s="211">
        <v>2076.2627269999998</v>
      </c>
      <c r="F23" s="211">
        <v>3121.036212</v>
      </c>
      <c r="G23" s="211">
        <v>3123.4901570000002</v>
      </c>
      <c r="H23" s="211">
        <v>2882.239</v>
      </c>
      <c r="I23" s="211">
        <v>2850.3148000000001</v>
      </c>
      <c r="J23" s="211">
        <v>3283.224526</v>
      </c>
      <c r="K23" s="211">
        <v>2871.3911429999998</v>
      </c>
      <c r="L23" s="211">
        <v>3124.3067230000001</v>
      </c>
      <c r="M23" s="211">
        <v>3981.9869469999999</v>
      </c>
      <c r="N23" s="211">
        <v>3592.4503370000002</v>
      </c>
      <c r="O23" s="211">
        <v>3363.2402010000001</v>
      </c>
      <c r="P23" s="211">
        <v>3980.819481</v>
      </c>
      <c r="Q23" s="239">
        <v>2841.1848260000002</v>
      </c>
      <c r="R23" s="239">
        <v>3284.5181109999999</v>
      </c>
      <c r="S23" s="239">
        <v>3218.303324</v>
      </c>
      <c r="T23" s="239">
        <v>3388.5338499999998</v>
      </c>
      <c r="U23" s="239">
        <v>2993.6765439999999</v>
      </c>
      <c r="V23" s="239">
        <v>2877.4099080000001</v>
      </c>
      <c r="W23" s="239">
        <v>3216.3750890000001</v>
      </c>
      <c r="X23" s="239">
        <v>3593.7104479999998</v>
      </c>
      <c r="Y23" s="239">
        <v>2739.4735529999998</v>
      </c>
      <c r="Z23" s="239">
        <v>2765.4396959999999</v>
      </c>
      <c r="AA23" s="239">
        <v>2879.4938710000001</v>
      </c>
      <c r="AB23" s="239">
        <v>3723.3507249999998</v>
      </c>
      <c r="AC23" s="239">
        <v>3216.2060459999998</v>
      </c>
      <c r="AD23" s="239">
        <v>3230.5791359999998</v>
      </c>
      <c r="AE23" s="239">
        <v>3362.7350329999999</v>
      </c>
      <c r="AF23" s="239">
        <v>4155.9555739999996</v>
      </c>
      <c r="AG23" s="239">
        <v>4902.5207769999997</v>
      </c>
      <c r="AH23" s="239">
        <v>4335.4336359999998</v>
      </c>
      <c r="AI23" s="239">
        <v>3821.973767</v>
      </c>
      <c r="AJ23" s="239">
        <v>4391.1700920000003</v>
      </c>
      <c r="AK23" s="239">
        <v>3636.9851010000002</v>
      </c>
      <c r="AL23" s="239">
        <v>4450.3604379999997</v>
      </c>
      <c r="AM23" s="239">
        <v>4042.3533659999998</v>
      </c>
      <c r="AN23" s="239">
        <v>3311.4686240000001</v>
      </c>
      <c r="AO23" s="239">
        <v>2740.899359</v>
      </c>
      <c r="AP23" s="239">
        <v>4045.5777859999998</v>
      </c>
      <c r="AQ23" s="239">
        <v>6576.3505299999997</v>
      </c>
      <c r="AR23" s="239">
        <v>6007.7090930000004</v>
      </c>
      <c r="AS23" s="239">
        <v>5333.2302870000003</v>
      </c>
      <c r="AT23" s="239">
        <v>5096.431407</v>
      </c>
      <c r="AU23" s="239">
        <v>5411.4255869999997</v>
      </c>
      <c r="AV23" s="239">
        <v>5162.1348010000002</v>
      </c>
      <c r="AW23" s="239"/>
      <c r="AX23" s="239"/>
      <c r="AY23" s="239"/>
      <c r="AZ23" s="239"/>
      <c r="BA23" s="314">
        <f t="shared" si="1"/>
        <v>4.685774159000001</v>
      </c>
    </row>
    <row r="24" spans="1:53" s="191" customFormat="1">
      <c r="A24" s="191" t="s">
        <v>937</v>
      </c>
      <c r="B24" s="210" t="s">
        <v>125</v>
      </c>
      <c r="C24" s="211">
        <v>584.14588900000001</v>
      </c>
      <c r="D24" s="211">
        <v>1.889707</v>
      </c>
      <c r="E24" s="211">
        <v>98.342644000000007</v>
      </c>
      <c r="F24" s="211">
        <v>218.71952999999999</v>
      </c>
      <c r="G24" s="211">
        <v>85.832984999999994</v>
      </c>
      <c r="H24" s="211">
        <v>43.63505</v>
      </c>
      <c r="I24" s="211">
        <v>11.691941999999999</v>
      </c>
      <c r="J24" s="211">
        <v>4.7295930000000004</v>
      </c>
      <c r="K24" s="211">
        <v>26.275093999999999</v>
      </c>
      <c r="L24" s="211">
        <v>139.50715500000001</v>
      </c>
      <c r="M24" s="211">
        <v>6.7005999999999996E-2</v>
      </c>
      <c r="N24" s="211">
        <v>106.142062</v>
      </c>
      <c r="O24" s="211">
        <v>11.671298</v>
      </c>
      <c r="P24" s="211">
        <v>1.0163E-2</v>
      </c>
      <c r="Q24" s="239">
        <v>262.37252100000001</v>
      </c>
      <c r="R24" s="239">
        <v>168.384187</v>
      </c>
      <c r="S24" s="239">
        <v>68.110911000000002</v>
      </c>
      <c r="T24" s="239">
        <v>155.46506299999999</v>
      </c>
      <c r="U24" s="239">
        <v>32.535964999999997</v>
      </c>
      <c r="V24" s="239">
        <v>63.499509000000003</v>
      </c>
      <c r="W24" s="239">
        <v>14.546583</v>
      </c>
      <c r="X24" s="239">
        <v>139.19106099999999</v>
      </c>
      <c r="Y24" s="239">
        <v>12.835817</v>
      </c>
      <c r="Z24" s="239">
        <v>24.193608000000001</v>
      </c>
      <c r="AA24" s="239">
        <v>11.321346</v>
      </c>
      <c r="AB24" s="239">
        <v>168.35648900000001</v>
      </c>
      <c r="AC24" s="239">
        <v>158.96527399999999</v>
      </c>
      <c r="AD24" s="239">
        <v>24.717753999999999</v>
      </c>
      <c r="AE24" s="239">
        <v>8.2617960000000004</v>
      </c>
      <c r="AF24" s="239">
        <v>192.052727</v>
      </c>
      <c r="AG24" s="239">
        <v>29.071672</v>
      </c>
      <c r="AH24" s="239">
        <v>29.682991999999999</v>
      </c>
      <c r="AI24" s="239">
        <v>146.9273</v>
      </c>
      <c r="AJ24" s="239">
        <v>0.83311500000000005</v>
      </c>
      <c r="AK24" s="239">
        <v>19.769988999999999</v>
      </c>
      <c r="AL24" s="239">
        <v>144.15645799999999</v>
      </c>
      <c r="AM24" s="239">
        <v>58.455193999999999</v>
      </c>
      <c r="AN24" s="239">
        <v>78.275401000000002</v>
      </c>
      <c r="AO24" s="239">
        <v>163.08125000000001</v>
      </c>
      <c r="AP24" s="239">
        <v>21.553484999999998</v>
      </c>
      <c r="AQ24" s="239">
        <v>53.181775999999999</v>
      </c>
      <c r="AR24" s="239">
        <v>120.835365</v>
      </c>
      <c r="AS24" s="239">
        <v>87.449031000000005</v>
      </c>
      <c r="AT24" s="239">
        <v>44.518237999999997</v>
      </c>
      <c r="AU24" s="239">
        <v>31.616495</v>
      </c>
      <c r="AV24" s="239">
        <v>113.20965600000001</v>
      </c>
      <c r="AW24" s="239"/>
      <c r="AX24" s="239"/>
      <c r="AY24" s="239"/>
      <c r="AZ24" s="239"/>
      <c r="BA24" s="314">
        <f t="shared" si="1"/>
        <v>8.9116967199999994E-2</v>
      </c>
    </row>
    <row r="25" spans="1:53" s="192" customFormat="1">
      <c r="A25" s="192" t="s">
        <v>938</v>
      </c>
      <c r="B25" s="212" t="s">
        <v>126</v>
      </c>
      <c r="C25" s="213">
        <v>0</v>
      </c>
      <c r="D25" s="213">
        <v>0</v>
      </c>
      <c r="E25" s="213">
        <v>0</v>
      </c>
      <c r="F25" s="213">
        <v>0</v>
      </c>
      <c r="G25" s="213">
        <v>0</v>
      </c>
      <c r="H25" s="213">
        <v>0</v>
      </c>
      <c r="I25" s="213">
        <v>350.270465</v>
      </c>
      <c r="J25" s="213">
        <v>0</v>
      </c>
      <c r="K25" s="213">
        <v>0</v>
      </c>
      <c r="L25" s="213">
        <v>0</v>
      </c>
      <c r="M25" s="213">
        <v>0</v>
      </c>
      <c r="N25" s="213">
        <v>0</v>
      </c>
      <c r="O25" s="213"/>
      <c r="P25" s="213">
        <v>9.9555600000000002</v>
      </c>
      <c r="Q25" s="293">
        <v>0</v>
      </c>
      <c r="R25" s="293">
        <v>0</v>
      </c>
      <c r="S25" s="293">
        <v>0</v>
      </c>
      <c r="T25" s="293">
        <v>0</v>
      </c>
      <c r="U25" s="293">
        <v>0</v>
      </c>
      <c r="V25" s="293">
        <v>0</v>
      </c>
      <c r="W25" s="293">
        <v>0</v>
      </c>
      <c r="X25" s="293">
        <v>0</v>
      </c>
      <c r="Y25" s="293">
        <v>0</v>
      </c>
      <c r="Z25" s="293">
        <v>0</v>
      </c>
      <c r="AA25" s="293">
        <v>0</v>
      </c>
      <c r="AB25" s="293">
        <v>13.688904000000001</v>
      </c>
      <c r="AC25" s="293">
        <v>0</v>
      </c>
      <c r="AD25" s="293">
        <v>0</v>
      </c>
      <c r="AE25" s="293">
        <v>0</v>
      </c>
      <c r="AF25" s="293">
        <v>0</v>
      </c>
      <c r="AG25" s="293"/>
      <c r="AH25" s="293">
        <v>10.860132</v>
      </c>
      <c r="AI25" s="293">
        <v>0</v>
      </c>
      <c r="AJ25" s="293">
        <v>2.1876280000000001</v>
      </c>
      <c r="AK25" s="293">
        <v>8.0491790000000005</v>
      </c>
      <c r="AL25" s="293">
        <v>8.2215980000000002</v>
      </c>
      <c r="AM25" s="293">
        <v>5.9747880000000002</v>
      </c>
      <c r="AN25" s="293">
        <v>6.0398810000000003</v>
      </c>
      <c r="AO25" s="239">
        <v>6.2248679999999998</v>
      </c>
      <c r="AP25" s="239">
        <v>16.259558999999999</v>
      </c>
      <c r="AQ25" s="239">
        <v>1.8876790000000001</v>
      </c>
      <c r="AR25" s="239">
        <v>1.9448110000000001</v>
      </c>
      <c r="AS25" s="239">
        <v>3.0096699999999998</v>
      </c>
      <c r="AT25" s="239">
        <v>82.258870999999999</v>
      </c>
      <c r="AU25" s="239">
        <v>67.532550000000001</v>
      </c>
      <c r="AV25" s="239">
        <v>12.687231000000001</v>
      </c>
      <c r="AW25" s="239"/>
      <c r="AX25" s="239"/>
      <c r="AY25" s="239"/>
      <c r="AZ25" s="239"/>
      <c r="BA25" s="314">
        <f t="shared" si="1"/>
        <v>4.1333205999999996E-3</v>
      </c>
    </row>
    <row r="26" spans="1:53" s="191" customFormat="1">
      <c r="A26" s="191" t="s">
        <v>939</v>
      </c>
      <c r="B26" s="210" t="s">
        <v>129</v>
      </c>
      <c r="C26" s="211">
        <v>35312.214691000001</v>
      </c>
      <c r="D26" s="211">
        <v>2430</v>
      </c>
      <c r="E26" s="211">
        <v>1956.2150360000001</v>
      </c>
      <c r="F26" s="211">
        <v>1702.4498040000001</v>
      </c>
      <c r="G26" s="211">
        <v>1724.681679</v>
      </c>
      <c r="H26" s="211">
        <v>2229.8322360000002</v>
      </c>
      <c r="I26" s="211">
        <v>1677.247965</v>
      </c>
      <c r="J26" s="211">
        <v>1740.2184480000001</v>
      </c>
      <c r="K26" s="211">
        <v>1931.4744989999999</v>
      </c>
      <c r="L26" s="211">
        <v>2062.2010180000002</v>
      </c>
      <c r="M26" s="211">
        <v>2062.3341230000001</v>
      </c>
      <c r="N26" s="211">
        <v>1928.1419069999999</v>
      </c>
      <c r="O26" s="211">
        <v>1778.5231200000001</v>
      </c>
      <c r="P26" s="211">
        <v>2119.8488269999998</v>
      </c>
      <c r="Q26" s="239">
        <f>1875.042024</f>
        <v>1875.0420240000001</v>
      </c>
      <c r="R26" s="239">
        <v>1498.4866730000001</v>
      </c>
      <c r="S26" s="239">
        <v>1675.1224360000001</v>
      </c>
      <c r="T26" s="239">
        <v>1741.3827839999999</v>
      </c>
      <c r="U26" s="239">
        <v>1565.019348</v>
      </c>
      <c r="V26" s="239">
        <v>1573.5490600000001</v>
      </c>
      <c r="W26" s="239">
        <v>1621.8622419999999</v>
      </c>
      <c r="X26" s="239">
        <v>1503.289111</v>
      </c>
      <c r="Y26" s="239">
        <v>1731.9415630000001</v>
      </c>
      <c r="Z26" s="239">
        <v>1584.8451970000001</v>
      </c>
      <c r="AA26" s="239">
        <v>1564.3226500000001</v>
      </c>
      <c r="AB26" s="239">
        <v>1499.4121520000001</v>
      </c>
      <c r="AC26" s="239">
        <v>1700.861639</v>
      </c>
      <c r="AD26" s="239">
        <v>1356.0483160000001</v>
      </c>
      <c r="AE26" s="239">
        <v>1459.3532250000001</v>
      </c>
      <c r="AF26" s="239">
        <v>1436.019055</v>
      </c>
      <c r="AG26" s="239">
        <v>1649.310518</v>
      </c>
      <c r="AH26" s="239">
        <v>1653.9610520000001</v>
      </c>
      <c r="AI26" s="239">
        <v>1500.63375</v>
      </c>
      <c r="AJ26" s="239">
        <v>1601.95553</v>
      </c>
      <c r="AK26" s="239">
        <v>1508.301117</v>
      </c>
      <c r="AL26" s="239">
        <v>1485.8837040000001</v>
      </c>
      <c r="AM26" s="239">
        <v>1563.6702</v>
      </c>
      <c r="AN26" s="239">
        <v>1599.732287</v>
      </c>
      <c r="AO26" s="239">
        <v>1977.9499679999999</v>
      </c>
      <c r="AP26" s="239">
        <v>1475.4671040000001</v>
      </c>
      <c r="AQ26" s="239">
        <v>1593.5348670000001</v>
      </c>
      <c r="AR26" s="239">
        <v>1865.8148940000001</v>
      </c>
      <c r="AS26" s="239">
        <v>1802.424996</v>
      </c>
      <c r="AT26" s="239">
        <v>1823.4514039999999</v>
      </c>
      <c r="AU26" s="239">
        <v>1614.1170849999999</v>
      </c>
      <c r="AV26" s="239">
        <v>1545.8989210000002</v>
      </c>
      <c r="AW26" s="239"/>
      <c r="AX26" s="239"/>
      <c r="AY26" s="239"/>
      <c r="AZ26" s="239"/>
      <c r="BA26" s="314">
        <f t="shared" si="1"/>
        <v>1.8515730392999998</v>
      </c>
    </row>
    <row r="27" spans="1:53" s="191" customFormat="1">
      <c r="A27" s="191" t="s">
        <v>940</v>
      </c>
      <c r="B27" s="210" t="s">
        <v>130</v>
      </c>
      <c r="C27" s="211">
        <v>12808.641793000001</v>
      </c>
      <c r="D27" s="211">
        <v>1418.6930359999999</v>
      </c>
      <c r="E27" s="211">
        <v>773.814886</v>
      </c>
      <c r="F27" s="211">
        <v>943.376623</v>
      </c>
      <c r="G27" s="211">
        <v>597.39228800000001</v>
      </c>
      <c r="H27" s="211">
        <v>634.97304599999995</v>
      </c>
      <c r="I27" s="211">
        <v>755.86248000000001</v>
      </c>
      <c r="J27" s="211">
        <v>994.07502799999997</v>
      </c>
      <c r="K27" s="211">
        <v>1004.035137</v>
      </c>
      <c r="L27" s="211">
        <v>1026.8353669999999</v>
      </c>
      <c r="M27" s="211">
        <v>1064.687044</v>
      </c>
      <c r="N27" s="211">
        <v>1035.303312</v>
      </c>
      <c r="O27" s="211">
        <v>923.68809399999998</v>
      </c>
      <c r="P27" s="211">
        <v>883.39063199999998</v>
      </c>
      <c r="Q27" s="239">
        <v>1060.8171769999999</v>
      </c>
      <c r="R27" s="239">
        <v>682.71213499999999</v>
      </c>
      <c r="S27" s="239">
        <v>870.88187400000004</v>
      </c>
      <c r="T27" s="239">
        <v>1314.356487</v>
      </c>
      <c r="U27" s="239">
        <v>1522.006003</v>
      </c>
      <c r="V27" s="239">
        <v>1224.4766059999999</v>
      </c>
      <c r="W27" s="239">
        <v>1592.632314</v>
      </c>
      <c r="X27" s="239">
        <v>1445.3929969999999</v>
      </c>
      <c r="Y27" s="239">
        <v>1328.9390330000001</v>
      </c>
      <c r="Z27" s="239">
        <v>1141.4134690000001</v>
      </c>
      <c r="AA27" s="239">
        <v>1138.990053</v>
      </c>
      <c r="AB27" s="239">
        <v>1828.266836</v>
      </c>
      <c r="AC27" s="239">
        <v>1565.1990060000001</v>
      </c>
      <c r="AD27" s="239">
        <v>468.72552400000001</v>
      </c>
      <c r="AE27" s="239">
        <v>880.789357</v>
      </c>
      <c r="AF27" s="239">
        <v>885.84601899999996</v>
      </c>
      <c r="AG27" s="239">
        <v>979.92155000000002</v>
      </c>
      <c r="AH27" s="239">
        <v>1270.743935</v>
      </c>
      <c r="AI27" s="239">
        <v>1136.0790079999999</v>
      </c>
      <c r="AJ27" s="239">
        <v>1256.379001</v>
      </c>
      <c r="AK27" s="239">
        <v>1346.9841570000001</v>
      </c>
      <c r="AL27" s="239">
        <v>1255.4949779999999</v>
      </c>
      <c r="AM27" s="239">
        <v>1025.6273409999999</v>
      </c>
      <c r="AN27" s="239">
        <v>1163.0838200000001</v>
      </c>
      <c r="AO27" s="239">
        <v>954.27750800000001</v>
      </c>
      <c r="AP27" s="239">
        <v>583.19438100000002</v>
      </c>
      <c r="AQ27" s="239">
        <v>1788.9523879999999</v>
      </c>
      <c r="AR27" s="239">
        <v>1533.8897179999999</v>
      </c>
      <c r="AS27" s="239">
        <v>1279.6924300000001</v>
      </c>
      <c r="AT27" s="239">
        <v>2238.2793740000002</v>
      </c>
      <c r="AU27" s="239">
        <v>954</v>
      </c>
      <c r="AV27" s="239">
        <v>1349.924964</v>
      </c>
      <c r="AW27" s="239"/>
      <c r="AX27" s="239"/>
      <c r="AY27" s="239"/>
      <c r="AZ27" s="239"/>
      <c r="BA27" s="314">
        <f t="shared" si="1"/>
        <v>1.3234873696</v>
      </c>
    </row>
    <row r="28" spans="1:53" s="192" customFormat="1">
      <c r="A28" s="192" t="s">
        <v>942</v>
      </c>
      <c r="B28" s="212" t="s">
        <v>131</v>
      </c>
      <c r="C28" s="213">
        <v>5477.6420479999997</v>
      </c>
      <c r="D28" s="213">
        <v>1050.079704</v>
      </c>
      <c r="E28" s="213">
        <v>1166.8989750000001</v>
      </c>
      <c r="F28" s="213">
        <v>734.00259100000005</v>
      </c>
      <c r="G28" s="213">
        <v>953.30751399999997</v>
      </c>
      <c r="H28" s="213">
        <v>403.80312199999997</v>
      </c>
      <c r="I28" s="213">
        <v>478.884185</v>
      </c>
      <c r="J28" s="213">
        <v>348.51757700000002</v>
      </c>
      <c r="K28" s="213">
        <v>269.26058699999999</v>
      </c>
      <c r="L28" s="213">
        <v>393.78820999999999</v>
      </c>
      <c r="M28" s="213">
        <v>3785.1432119999999</v>
      </c>
      <c r="N28" s="213">
        <v>325.356988</v>
      </c>
      <c r="O28" s="213">
        <v>1170.287501</v>
      </c>
      <c r="P28" s="213">
        <v>1832.746572</v>
      </c>
      <c r="Q28" s="293">
        <v>8458.307992</v>
      </c>
      <c r="R28" s="293">
        <v>153.88959800000001</v>
      </c>
      <c r="S28" s="293">
        <v>268.83149800000001</v>
      </c>
      <c r="T28" s="293">
        <v>551.12643600000001</v>
      </c>
      <c r="U28" s="293">
        <v>829.97072300000002</v>
      </c>
      <c r="V28" s="293">
        <v>1321.222996</v>
      </c>
      <c r="W28" s="293">
        <v>788.074388</v>
      </c>
      <c r="X28" s="293">
        <v>813.87615900000003</v>
      </c>
      <c r="Y28" s="293">
        <v>666.88620300000002</v>
      </c>
      <c r="Z28" s="293">
        <v>584.36016099999995</v>
      </c>
      <c r="AA28" s="293">
        <v>742.05497800000001</v>
      </c>
      <c r="AB28" s="293">
        <v>655.53950999999995</v>
      </c>
      <c r="AC28" s="293">
        <v>6890.4785849999998</v>
      </c>
      <c r="AD28" s="293">
        <v>139.373559</v>
      </c>
      <c r="AE28" s="293">
        <v>744.74965199999997</v>
      </c>
      <c r="AF28" s="293">
        <v>300.501486</v>
      </c>
      <c r="AG28" s="293">
        <v>497.99446399999999</v>
      </c>
      <c r="AH28" s="293">
        <v>1118.7061450000001</v>
      </c>
      <c r="AI28" s="293">
        <v>773.10271899999998</v>
      </c>
      <c r="AJ28" s="293">
        <v>580.40029800000002</v>
      </c>
      <c r="AK28" s="293">
        <v>758.99913300000003</v>
      </c>
      <c r="AL28" s="293">
        <v>1116.6787899999999</v>
      </c>
      <c r="AM28" s="293">
        <v>946.29311700000005</v>
      </c>
      <c r="AN28" s="293">
        <v>2797.1742939999999</v>
      </c>
      <c r="AO28" s="239">
        <v>1367.193716</v>
      </c>
      <c r="AP28" s="239">
        <v>487.79989</v>
      </c>
      <c r="AQ28" s="239">
        <v>628.37285499999996</v>
      </c>
      <c r="AR28" s="239">
        <v>735.96860200000003</v>
      </c>
      <c r="AS28" s="239">
        <v>1540.9608539999999</v>
      </c>
      <c r="AT28" s="239">
        <v>1542.664659</v>
      </c>
      <c r="AU28" s="239">
        <v>1074.554877</v>
      </c>
      <c r="AV28" s="239">
        <v>1474.816045</v>
      </c>
      <c r="AW28" s="239"/>
      <c r="AX28" s="239"/>
      <c r="AY28" s="239"/>
      <c r="AZ28" s="239"/>
      <c r="BA28" s="314">
        <f t="shared" si="1"/>
        <v>1.6664452241999999</v>
      </c>
    </row>
    <row r="29" spans="1:53" s="191" customFormat="1">
      <c r="A29" s="191" t="s">
        <v>944</v>
      </c>
      <c r="B29" s="210" t="s">
        <v>132</v>
      </c>
      <c r="C29" s="211">
        <v>28334.527695000001</v>
      </c>
      <c r="D29" s="211">
        <v>14006.315431999999</v>
      </c>
      <c r="E29" s="211">
        <v>2647.945545</v>
      </c>
      <c r="F29" s="211">
        <v>738.81936700000006</v>
      </c>
      <c r="G29" s="211">
        <v>1358.1931979999999</v>
      </c>
      <c r="H29" s="211">
        <v>2648.2192909999999</v>
      </c>
      <c r="I29" s="211">
        <v>673.02547300000003</v>
      </c>
      <c r="J29" s="211">
        <v>1917.392165</v>
      </c>
      <c r="K29" s="211">
        <v>3002.234555</v>
      </c>
      <c r="L29" s="211">
        <v>1082.3553400000001</v>
      </c>
      <c r="M29" s="211">
        <v>6800.3817289999997</v>
      </c>
      <c r="N29" s="211">
        <v>983.96583299999998</v>
      </c>
      <c r="O29" s="211">
        <v>3144.8246429999999</v>
      </c>
      <c r="P29" s="211">
        <v>15418.267581</v>
      </c>
      <c r="Q29" s="239">
        <v>1216.1706509999999</v>
      </c>
      <c r="R29" s="239">
        <v>1191.926888</v>
      </c>
      <c r="S29" s="239">
        <v>3241.2928590000001</v>
      </c>
      <c r="T29" s="239">
        <v>2270.9168260000001</v>
      </c>
      <c r="U29" s="239">
        <v>4198.4158340000004</v>
      </c>
      <c r="V29" s="239">
        <v>2276.233475</v>
      </c>
      <c r="W29" s="239">
        <v>3113.1096520000001</v>
      </c>
      <c r="X29" s="239">
        <v>5640.3676649999998</v>
      </c>
      <c r="Y29" s="239">
        <v>7048.8831680000003</v>
      </c>
      <c r="Z29" s="239">
        <v>8131.3500510000003</v>
      </c>
      <c r="AA29" s="239">
        <v>7776.954076</v>
      </c>
      <c r="AB29" s="239">
        <v>7993.5194529999999</v>
      </c>
      <c r="AC29" s="239">
        <v>7804.8973699999997</v>
      </c>
      <c r="AD29" s="239">
        <v>1993.4094339999999</v>
      </c>
      <c r="AE29" s="239">
        <v>1122.5966519999999</v>
      </c>
      <c r="AF29" s="239">
        <v>2066.5715369999998</v>
      </c>
      <c r="AG29" s="239">
        <v>3806.0554579999998</v>
      </c>
      <c r="AH29" s="239">
        <v>4321.3900309999999</v>
      </c>
      <c r="AI29" s="239">
        <v>5458.4137209999999</v>
      </c>
      <c r="AJ29" s="239">
        <v>5542.9559239999999</v>
      </c>
      <c r="AK29" s="239">
        <v>4313.0064199999997</v>
      </c>
      <c r="AL29" s="239">
        <v>5380.948805</v>
      </c>
      <c r="AM29" s="239">
        <v>8125.8948540000001</v>
      </c>
      <c r="AN29" s="239">
        <v>5272.9120789999997</v>
      </c>
      <c r="AO29" s="239">
        <v>3275.6694280000002</v>
      </c>
      <c r="AP29" s="239">
        <v>5314.3026239999999</v>
      </c>
      <c r="AQ29" s="239">
        <v>3393.7280679999999</v>
      </c>
      <c r="AR29" s="239">
        <v>4222.6160319999999</v>
      </c>
      <c r="AS29" s="239">
        <v>6078.1106810000001</v>
      </c>
      <c r="AT29" s="239">
        <v>5341.4498860000003</v>
      </c>
      <c r="AU29" s="239">
        <v>4006.9145290000001</v>
      </c>
      <c r="AV29" s="239">
        <v>1629.0050289999999</v>
      </c>
      <c r="AW29" s="239"/>
      <c r="AX29" s="239"/>
      <c r="AY29" s="239"/>
      <c r="AZ29" s="239"/>
      <c r="BA29" s="314">
        <f t="shared" si="1"/>
        <v>5.5209052285000002</v>
      </c>
    </row>
    <row r="30" spans="1:53" s="191" customFormat="1">
      <c r="A30" s="191" t="s">
        <v>943</v>
      </c>
      <c r="B30" s="210" t="s">
        <v>133</v>
      </c>
      <c r="C30" s="312">
        <v>0</v>
      </c>
      <c r="D30" s="211">
        <v>0</v>
      </c>
      <c r="E30" s="211">
        <v>0</v>
      </c>
      <c r="F30" s="211">
        <v>0</v>
      </c>
      <c r="G30" s="211">
        <v>0</v>
      </c>
      <c r="H30" s="211">
        <v>0</v>
      </c>
      <c r="I30" s="211">
        <v>0</v>
      </c>
      <c r="J30" s="211">
        <v>0</v>
      </c>
      <c r="K30" s="211">
        <v>0</v>
      </c>
      <c r="L30" s="211"/>
      <c r="M30" s="211">
        <v>0</v>
      </c>
      <c r="N30" s="211">
        <v>0</v>
      </c>
      <c r="O30" s="211">
        <v>0</v>
      </c>
      <c r="P30" s="211">
        <v>0</v>
      </c>
      <c r="Q30" s="239">
        <v>0</v>
      </c>
      <c r="R30" s="239"/>
      <c r="S30" s="239"/>
      <c r="T30" s="239">
        <v>0</v>
      </c>
      <c r="U30" s="239">
        <v>0</v>
      </c>
      <c r="V30" s="239"/>
      <c r="W30" s="239"/>
      <c r="X30" s="239">
        <v>0</v>
      </c>
      <c r="Y30" s="239"/>
      <c r="Z30" s="239">
        <v>0</v>
      </c>
      <c r="AA30" s="239"/>
      <c r="AB30" s="239"/>
      <c r="AC30" s="239">
        <v>0</v>
      </c>
      <c r="AD30" s="239">
        <v>0</v>
      </c>
      <c r="AE30" s="239">
        <v>0</v>
      </c>
      <c r="AF30" s="239">
        <v>0</v>
      </c>
      <c r="AG30" s="239"/>
      <c r="AH30" s="239">
        <v>0</v>
      </c>
      <c r="AI30" s="239">
        <v>0</v>
      </c>
      <c r="AJ30" s="239">
        <v>42.206225000000003</v>
      </c>
      <c r="AK30" s="239">
        <v>0</v>
      </c>
      <c r="AL30" s="239">
        <v>41.495471999999999</v>
      </c>
      <c r="AM30" s="239">
        <v>0</v>
      </c>
      <c r="AN30" s="239">
        <v>0</v>
      </c>
      <c r="AO30" s="239">
        <v>0</v>
      </c>
      <c r="AP30" s="239">
        <v>0</v>
      </c>
      <c r="AQ30" s="239">
        <v>46.944715000000002</v>
      </c>
      <c r="AR30" s="239">
        <v>0</v>
      </c>
      <c r="AS30" s="239">
        <v>0</v>
      </c>
      <c r="AT30" s="239">
        <v>40.58</v>
      </c>
      <c r="AU30" s="239">
        <v>0</v>
      </c>
      <c r="AV30" s="239">
        <v>0</v>
      </c>
      <c r="AW30" s="239"/>
      <c r="AX30" s="239"/>
      <c r="AY30" s="239"/>
      <c r="AZ30" s="239"/>
      <c r="BA30" s="314">
        <f t="shared" si="1"/>
        <v>8.3701696999999992E-3</v>
      </c>
    </row>
    <row r="31" spans="1:53">
      <c r="A31" s="206" t="s">
        <v>945</v>
      </c>
      <c r="B31" s="208" t="s">
        <v>134</v>
      </c>
      <c r="C31" s="209"/>
      <c r="D31" s="209"/>
      <c r="E31" s="209"/>
      <c r="F31" s="209"/>
      <c r="G31" s="209"/>
      <c r="H31" s="209"/>
      <c r="I31" s="209"/>
      <c r="J31" s="209"/>
      <c r="K31" s="209"/>
      <c r="L31" s="209"/>
      <c r="M31" s="209"/>
      <c r="N31" s="209"/>
      <c r="O31" s="209"/>
      <c r="P31" s="209"/>
      <c r="Q31" s="314">
        <v>0</v>
      </c>
      <c r="R31" s="314"/>
      <c r="S31" s="314"/>
      <c r="T31" s="314">
        <v>0</v>
      </c>
      <c r="U31" s="314">
        <v>0</v>
      </c>
      <c r="V31" s="314">
        <v>0</v>
      </c>
      <c r="W31" s="314">
        <v>0</v>
      </c>
      <c r="X31" s="314">
        <v>156.493019</v>
      </c>
      <c r="Y31" s="314">
        <v>0</v>
      </c>
      <c r="Z31" s="314">
        <v>140.07773599999999</v>
      </c>
      <c r="AA31" s="314">
        <v>66.762264999999999</v>
      </c>
      <c r="AB31" s="314">
        <v>252.855187</v>
      </c>
      <c r="AC31" s="314">
        <v>0</v>
      </c>
      <c r="AD31" s="314">
        <v>0</v>
      </c>
      <c r="AE31" s="314">
        <v>152.528774</v>
      </c>
      <c r="AF31" s="314">
        <v>0</v>
      </c>
      <c r="AG31" s="314"/>
      <c r="AH31" s="314">
        <v>239.56641500000001</v>
      </c>
      <c r="AI31" s="314">
        <v>0</v>
      </c>
      <c r="AJ31" s="314">
        <v>0</v>
      </c>
      <c r="AK31" s="314">
        <v>205.94028299999999</v>
      </c>
      <c r="AL31" s="314">
        <v>1.698113</v>
      </c>
      <c r="AM31" s="314">
        <v>115.569339</v>
      </c>
      <c r="AN31" s="314">
        <v>299.169152</v>
      </c>
      <c r="AO31" s="314">
        <v>0</v>
      </c>
      <c r="AP31" s="314">
        <v>64.403019</v>
      </c>
      <c r="AQ31" s="314">
        <v>127.44858499999999</v>
      </c>
      <c r="AR31" s="314">
        <v>91.513773</v>
      </c>
      <c r="AS31" s="314">
        <v>86.116602999999998</v>
      </c>
      <c r="AT31" s="314">
        <v>290.97264100000001</v>
      </c>
      <c r="AU31" s="314">
        <v>67.382735999999994</v>
      </c>
      <c r="AV31" s="314">
        <v>86.049621999999999</v>
      </c>
      <c r="AW31" s="314"/>
      <c r="AX31" s="314"/>
      <c r="AY31" s="314"/>
      <c r="AZ31" s="314"/>
      <c r="BA31" s="314">
        <f t="shared" si="1"/>
        <v>0.10144720760000001</v>
      </c>
    </row>
    <row r="32" spans="1:53">
      <c r="A32" s="206" t="s">
        <v>946</v>
      </c>
      <c r="B32" s="208" t="s">
        <v>135</v>
      </c>
      <c r="C32" s="209"/>
      <c r="D32" s="209"/>
      <c r="E32" s="209"/>
      <c r="F32" s="209"/>
      <c r="G32" s="209"/>
      <c r="H32" s="209"/>
      <c r="I32" s="209"/>
      <c r="J32" s="209"/>
      <c r="K32" s="209"/>
      <c r="L32" s="209"/>
      <c r="M32" s="209"/>
      <c r="N32" s="209"/>
      <c r="O32" s="209"/>
      <c r="P32" s="209"/>
      <c r="Q32" s="314"/>
      <c r="R32" s="314"/>
      <c r="S32" s="314">
        <v>0</v>
      </c>
      <c r="T32" s="314"/>
      <c r="U32" s="314"/>
      <c r="V32" s="314"/>
      <c r="W32" s="314"/>
      <c r="X32" s="314"/>
      <c r="Y32" s="314"/>
      <c r="Z32" s="314"/>
      <c r="AA32" s="314"/>
      <c r="AB32" s="314"/>
      <c r="AC32" s="314"/>
      <c r="AD32" s="314">
        <v>0</v>
      </c>
      <c r="AE32" s="314">
        <v>0</v>
      </c>
      <c r="AF32" s="314">
        <v>0</v>
      </c>
      <c r="AG32" s="314"/>
      <c r="AH32" s="314">
        <v>0</v>
      </c>
      <c r="AI32" s="314">
        <v>0</v>
      </c>
      <c r="AJ32" s="314">
        <v>0</v>
      </c>
      <c r="AK32" s="314">
        <v>0</v>
      </c>
      <c r="AL32" s="314">
        <v>0</v>
      </c>
      <c r="AM32" s="314">
        <v>0</v>
      </c>
      <c r="AN32" s="314">
        <v>0</v>
      </c>
      <c r="AO32" s="314">
        <v>0</v>
      </c>
      <c r="AP32" s="314">
        <v>0</v>
      </c>
      <c r="AQ32" s="314">
        <v>0</v>
      </c>
      <c r="AR32" s="314">
        <v>0</v>
      </c>
      <c r="AS32" s="314">
        <v>0</v>
      </c>
      <c r="AT32" s="314">
        <v>0</v>
      </c>
      <c r="AU32" s="314">
        <v>0</v>
      </c>
      <c r="AV32" s="314">
        <v>0</v>
      </c>
      <c r="AW32" s="314"/>
      <c r="AX32" s="314"/>
      <c r="AY32" s="314"/>
      <c r="AZ32" s="314"/>
      <c r="BA32" s="314">
        <f t="shared" si="1"/>
        <v>0</v>
      </c>
    </row>
    <row r="33" spans="1:89">
      <c r="A33" s="206" t="s">
        <v>947</v>
      </c>
      <c r="B33" s="208" t="s">
        <v>136</v>
      </c>
      <c r="C33" s="209">
        <v>0</v>
      </c>
      <c r="D33" s="209">
        <v>0</v>
      </c>
      <c r="E33" s="209">
        <v>0</v>
      </c>
      <c r="F33" s="209"/>
      <c r="G33" s="209"/>
      <c r="H33" s="209">
        <v>0</v>
      </c>
      <c r="I33" s="209">
        <v>0</v>
      </c>
      <c r="J33" s="209">
        <v>0</v>
      </c>
      <c r="K33" s="209"/>
      <c r="L33" s="209"/>
      <c r="M33" s="209">
        <v>0</v>
      </c>
      <c r="N33" s="209"/>
      <c r="O33" s="209"/>
      <c r="P33" s="209">
        <v>0</v>
      </c>
      <c r="Q33" s="314">
        <v>0</v>
      </c>
      <c r="R33" s="314"/>
      <c r="S33" s="314"/>
      <c r="T33" s="314"/>
      <c r="U33" s="314"/>
      <c r="V33" s="314"/>
      <c r="W33" s="314"/>
      <c r="X33" s="314"/>
      <c r="Y33" s="314"/>
      <c r="Z33" s="314"/>
      <c r="AA33" s="314"/>
      <c r="AB33" s="314"/>
      <c r="AC33" s="314"/>
      <c r="AD33" s="314">
        <v>0</v>
      </c>
      <c r="AE33" s="314">
        <v>0</v>
      </c>
      <c r="AF33" s="314">
        <v>0</v>
      </c>
      <c r="AG33" s="314"/>
      <c r="AH33" s="314">
        <v>0</v>
      </c>
      <c r="AI33" s="314">
        <v>0</v>
      </c>
      <c r="AJ33" s="314">
        <v>0</v>
      </c>
      <c r="AK33" s="314">
        <v>0</v>
      </c>
      <c r="AL33" s="314">
        <v>0</v>
      </c>
      <c r="AM33" s="314">
        <v>0</v>
      </c>
      <c r="AN33" s="314">
        <v>0</v>
      </c>
      <c r="AO33" s="314">
        <v>0</v>
      </c>
      <c r="AP33" s="314">
        <v>0</v>
      </c>
      <c r="AQ33" s="314">
        <v>0</v>
      </c>
      <c r="AR33" s="314">
        <v>0</v>
      </c>
      <c r="AS33" s="314">
        <v>0</v>
      </c>
      <c r="AT33" s="314">
        <v>0</v>
      </c>
      <c r="AU33" s="314">
        <v>0</v>
      </c>
      <c r="AV33" s="314">
        <v>0</v>
      </c>
      <c r="AW33" s="314"/>
      <c r="AX33" s="314"/>
      <c r="AY33" s="314"/>
      <c r="AZ33" s="314"/>
      <c r="BA33" s="314">
        <f t="shared" si="1"/>
        <v>0</v>
      </c>
    </row>
    <row r="34" spans="1:89" s="192" customFormat="1">
      <c r="A34" s="192" t="s">
        <v>948</v>
      </c>
      <c r="B34" s="212" t="s">
        <v>137</v>
      </c>
      <c r="C34" s="213">
        <v>61443.949515</v>
      </c>
      <c r="D34" s="213">
        <v>6740.293952</v>
      </c>
      <c r="E34" s="213">
        <v>6330.1868610000001</v>
      </c>
      <c r="F34" s="213">
        <v>4937.9346269999996</v>
      </c>
      <c r="G34" s="213">
        <v>6301.1916849999998</v>
      </c>
      <c r="H34" s="213">
        <v>6447.9069040000004</v>
      </c>
      <c r="I34" s="213">
        <v>6412.5272089999999</v>
      </c>
      <c r="J34" s="213">
        <v>6316.0093919999999</v>
      </c>
      <c r="K34" s="213">
        <v>6255.8360439999997</v>
      </c>
      <c r="L34" s="213">
        <v>6303.4583830000001</v>
      </c>
      <c r="M34" s="213">
        <v>6099.0899049999998</v>
      </c>
      <c r="N34" s="213">
        <v>5967.4318089999997</v>
      </c>
      <c r="O34" s="213">
        <v>7034.4861199999996</v>
      </c>
      <c r="P34" s="213">
        <v>7600.9988039999998</v>
      </c>
      <c r="Q34" s="293">
        <v>6259.4943270000003</v>
      </c>
      <c r="R34" s="293">
        <v>5876.6798959999996</v>
      </c>
      <c r="S34" s="293">
        <v>7925.3741879999998</v>
      </c>
      <c r="T34" s="293">
        <v>7787.7204579999998</v>
      </c>
      <c r="U34" s="293">
        <v>7176.2098809999998</v>
      </c>
      <c r="V34" s="293">
        <v>7512.4734170000002</v>
      </c>
      <c r="W34" s="293">
        <v>7443.2976509999999</v>
      </c>
      <c r="X34" s="293">
        <v>7152.762213</v>
      </c>
      <c r="Y34" s="293">
        <v>7459.4598589999996</v>
      </c>
      <c r="Z34" s="293">
        <v>6694.3642589999999</v>
      </c>
      <c r="AA34" s="293">
        <v>7391.8796789999997</v>
      </c>
      <c r="AB34" s="293">
        <v>7883.7005740000004</v>
      </c>
      <c r="AC34" s="293">
        <v>5360.6020840000001</v>
      </c>
      <c r="AD34" s="293">
        <v>3349.9274879999998</v>
      </c>
      <c r="AE34" s="293">
        <v>4696.8190599999998</v>
      </c>
      <c r="AF34" s="293">
        <v>6408.6242579999998</v>
      </c>
      <c r="AG34" s="293">
        <v>5967.4761189999999</v>
      </c>
      <c r="AH34" s="293">
        <v>6376.4163239999998</v>
      </c>
      <c r="AI34" s="293">
        <v>5912.8967990000001</v>
      </c>
      <c r="AJ34" s="293">
        <v>6165.744541</v>
      </c>
      <c r="AK34" s="293">
        <v>6791.1492070000004</v>
      </c>
      <c r="AL34" s="293">
        <v>5566.8728689999998</v>
      </c>
      <c r="AM34" s="293">
        <v>7145.6290129999998</v>
      </c>
      <c r="AN34" s="293">
        <v>7880.553919</v>
      </c>
      <c r="AO34" s="239"/>
      <c r="AP34" s="239"/>
      <c r="AQ34" s="239"/>
      <c r="AR34" s="239"/>
      <c r="AS34" s="239"/>
      <c r="AT34" s="239"/>
      <c r="AU34" s="239"/>
      <c r="AV34" s="239"/>
      <c r="AW34" s="239"/>
      <c r="AX34" s="239"/>
      <c r="AY34" s="239"/>
      <c r="AZ34" s="239"/>
      <c r="BA34" s="314">
        <f t="shared" si="1"/>
        <v>7.1622711681000002</v>
      </c>
    </row>
    <row r="35" spans="1:89">
      <c r="A35" s="206" t="s">
        <v>949</v>
      </c>
      <c r="B35" s="208" t="s">
        <v>138</v>
      </c>
      <c r="C35" s="209">
        <v>0</v>
      </c>
      <c r="D35" s="209">
        <v>0</v>
      </c>
      <c r="E35" s="209">
        <v>0</v>
      </c>
      <c r="F35" s="209"/>
      <c r="G35" s="209"/>
      <c r="H35" s="209">
        <v>0</v>
      </c>
      <c r="I35" s="209">
        <v>34.971429000000001</v>
      </c>
      <c r="J35" s="209">
        <v>0</v>
      </c>
      <c r="K35" s="209"/>
      <c r="L35" s="209">
        <v>0.79500000000000004</v>
      </c>
      <c r="M35" s="209">
        <v>0</v>
      </c>
      <c r="N35" s="209"/>
      <c r="O35" s="209">
        <v>0</v>
      </c>
      <c r="P35" s="209">
        <v>0</v>
      </c>
      <c r="Q35" s="314">
        <v>0</v>
      </c>
      <c r="R35" s="314"/>
      <c r="S35" s="314"/>
      <c r="T35" s="314"/>
      <c r="U35" s="314"/>
      <c r="V35" s="314"/>
      <c r="W35" s="314"/>
      <c r="X35" s="314"/>
      <c r="Y35" s="314"/>
      <c r="Z35" s="314"/>
      <c r="AA35" s="314"/>
      <c r="AB35" s="314"/>
      <c r="AC35" s="314"/>
      <c r="AD35" s="314">
        <v>0</v>
      </c>
      <c r="AE35" s="314">
        <v>0</v>
      </c>
      <c r="AF35" s="314"/>
      <c r="AG35" s="314"/>
      <c r="AH35" s="314"/>
      <c r="AI35" s="314">
        <v>0</v>
      </c>
      <c r="AJ35" s="314"/>
      <c r="AK35" s="314"/>
      <c r="AL35" s="314"/>
      <c r="AM35" s="314"/>
      <c r="AN35" s="314"/>
      <c r="AO35" s="314"/>
      <c r="AP35" s="314"/>
      <c r="AQ35" s="314"/>
      <c r="AR35" s="314"/>
      <c r="AS35" s="314"/>
      <c r="AT35" s="314"/>
      <c r="AU35" s="314"/>
      <c r="AV35" s="314"/>
      <c r="AW35" s="314"/>
      <c r="AX35" s="314"/>
      <c r="AY35" s="314"/>
      <c r="AZ35" s="314"/>
      <c r="BA35" s="314"/>
    </row>
    <row r="36" spans="1:89">
      <c r="A36" s="206" t="s">
        <v>950</v>
      </c>
      <c r="B36" s="208" t="s">
        <v>139</v>
      </c>
      <c r="C36" s="209">
        <v>0</v>
      </c>
      <c r="D36" s="209">
        <v>0</v>
      </c>
      <c r="E36" s="209">
        <v>0</v>
      </c>
      <c r="F36" s="209"/>
      <c r="G36" s="209"/>
      <c r="H36" s="209">
        <v>0</v>
      </c>
      <c r="I36" s="209">
        <v>0</v>
      </c>
      <c r="J36" s="209">
        <v>0</v>
      </c>
      <c r="K36" s="209"/>
      <c r="L36" s="209"/>
      <c r="M36" s="209">
        <v>0</v>
      </c>
      <c r="N36" s="209"/>
      <c r="O36" s="209">
        <v>0</v>
      </c>
      <c r="P36" s="209">
        <v>0</v>
      </c>
      <c r="Q36" s="314">
        <v>0</v>
      </c>
      <c r="R36" s="314"/>
      <c r="S36" s="314"/>
      <c r="T36" s="314"/>
      <c r="U36" s="314"/>
      <c r="V36" s="314"/>
      <c r="W36" s="314"/>
      <c r="X36" s="314"/>
      <c r="Y36" s="314"/>
      <c r="Z36" s="314"/>
      <c r="AA36" s="314"/>
      <c r="AB36" s="314"/>
      <c r="AC36" s="314"/>
      <c r="AD36" s="314">
        <v>0</v>
      </c>
      <c r="AE36" s="314">
        <v>0</v>
      </c>
      <c r="AF36" s="314"/>
      <c r="AG36" s="314"/>
      <c r="AH36" s="314"/>
      <c r="AI36" s="314">
        <v>0</v>
      </c>
      <c r="AJ36" s="314"/>
      <c r="AK36" s="314"/>
      <c r="AL36" s="314"/>
      <c r="AM36" s="314"/>
      <c r="AN36" s="314"/>
      <c r="AO36" s="314"/>
      <c r="AP36" s="314"/>
      <c r="AQ36" s="314"/>
      <c r="AR36" s="314"/>
      <c r="AS36" s="314"/>
      <c r="AT36" s="314"/>
      <c r="AU36" s="314"/>
      <c r="AV36" s="314"/>
      <c r="AW36" s="314"/>
      <c r="AX36" s="314"/>
      <c r="AY36" s="314"/>
      <c r="AZ36" s="314"/>
      <c r="BA36" s="314"/>
    </row>
    <row r="37" spans="1:89">
      <c r="A37" s="206" t="s">
        <v>951</v>
      </c>
      <c r="B37" s="208" t="s">
        <v>140</v>
      </c>
      <c r="C37" s="209">
        <v>480</v>
      </c>
      <c r="D37" s="209">
        <v>480</v>
      </c>
      <c r="E37" s="209">
        <v>0</v>
      </c>
      <c r="F37" s="209"/>
      <c r="G37" s="209"/>
      <c r="H37" s="209">
        <v>0</v>
      </c>
      <c r="I37" s="209">
        <v>0</v>
      </c>
      <c r="J37" s="209">
        <v>0</v>
      </c>
      <c r="K37" s="209"/>
      <c r="L37" s="209"/>
      <c r="M37" s="209">
        <v>0</v>
      </c>
      <c r="N37" s="209"/>
      <c r="O37" s="209">
        <v>0</v>
      </c>
      <c r="P37" s="209">
        <v>480</v>
      </c>
      <c r="Q37" s="314">
        <v>0</v>
      </c>
      <c r="R37" s="314"/>
      <c r="S37" s="314"/>
      <c r="T37" s="314"/>
      <c r="U37" s="314"/>
      <c r="V37" s="314"/>
      <c r="W37" s="314"/>
      <c r="X37" s="314"/>
      <c r="Y37" s="314"/>
      <c r="Z37" s="314"/>
      <c r="AA37" s="314"/>
      <c r="AB37" s="314"/>
      <c r="AC37" s="314"/>
      <c r="AD37" s="314">
        <v>0</v>
      </c>
      <c r="AE37" s="314">
        <v>0</v>
      </c>
      <c r="AF37" s="314"/>
      <c r="AG37" s="314"/>
      <c r="AH37" s="314"/>
      <c r="AI37" s="314">
        <v>0</v>
      </c>
      <c r="AJ37" s="314"/>
      <c r="AK37" s="314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4"/>
      <c r="AW37" s="314"/>
      <c r="AX37" s="314"/>
      <c r="AY37" s="314"/>
      <c r="AZ37" s="314"/>
      <c r="BA37" s="314"/>
    </row>
    <row r="38" spans="1:89" s="196" customFormat="1">
      <c r="B38" s="223" t="s">
        <v>185</v>
      </c>
      <c r="C38" s="224"/>
      <c r="D38" s="224"/>
      <c r="E38" s="224"/>
      <c r="F38" s="224"/>
      <c r="G38" s="224"/>
      <c r="H38" s="224"/>
      <c r="I38" s="224"/>
      <c r="J38" s="224"/>
      <c r="K38" s="299"/>
      <c r="L38" s="224"/>
      <c r="M38" s="224"/>
      <c r="N38" s="224"/>
      <c r="O38" s="224"/>
      <c r="P38" s="224"/>
      <c r="Q38" s="299"/>
      <c r="R38" s="299"/>
      <c r="S38" s="299"/>
      <c r="T38" s="299"/>
      <c r="U38" s="299"/>
      <c r="V38" s="299"/>
      <c r="W38" s="299"/>
      <c r="X38" s="299"/>
      <c r="Y38" s="299"/>
      <c r="Z38" s="299"/>
      <c r="AA38" s="299"/>
      <c r="AB38" s="299"/>
      <c r="AC38" s="299"/>
      <c r="AD38" s="299"/>
      <c r="AE38" s="299"/>
      <c r="AF38" s="299"/>
      <c r="AG38" s="299"/>
      <c r="AH38" s="299"/>
      <c r="AI38" s="299"/>
      <c r="AJ38" s="299"/>
      <c r="AK38" s="299"/>
      <c r="AL38" s="299"/>
      <c r="AM38" s="299"/>
      <c r="AN38" s="299"/>
      <c r="AO38" s="299"/>
      <c r="AP38" s="299"/>
      <c r="AQ38" s="299"/>
      <c r="AR38" s="299"/>
      <c r="AS38" s="299"/>
      <c r="AT38" s="299"/>
      <c r="AU38" s="299"/>
      <c r="AV38" s="299"/>
      <c r="AW38" s="299"/>
      <c r="AX38" s="299"/>
      <c r="AY38" s="299"/>
      <c r="AZ38" s="299"/>
      <c r="BA38" s="299"/>
    </row>
    <row r="39" spans="1:89" s="197" customFormat="1">
      <c r="B39" s="225" t="s">
        <v>143</v>
      </c>
      <c r="C39" s="226"/>
      <c r="D39" s="226"/>
      <c r="E39" s="226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316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</row>
    <row r="40" spans="1:89" s="197" customFormat="1">
      <c r="B40" s="225" t="s">
        <v>144</v>
      </c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317"/>
      <c r="R40" s="317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  <c r="AE40" s="317"/>
      <c r="AF40" s="317"/>
      <c r="AG40" s="317"/>
      <c r="AH40" s="317"/>
      <c r="AI40" s="317"/>
      <c r="AJ40" s="317"/>
      <c r="AK40" s="317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7"/>
      <c r="AW40" s="317"/>
      <c r="AX40" s="317"/>
      <c r="AY40" s="317"/>
      <c r="AZ40" s="317"/>
      <c r="BA40" s="317"/>
    </row>
    <row r="41" spans="1:89" s="198" customFormat="1">
      <c r="B41" s="227" t="s">
        <v>146</v>
      </c>
      <c r="C41" s="228">
        <f>C49</f>
        <v>0</v>
      </c>
      <c r="D41" s="228">
        <f t="shared" ref="D41:P41" si="2">D49</f>
        <v>-324</v>
      </c>
      <c r="E41" s="228">
        <f t="shared" si="2"/>
        <v>-323</v>
      </c>
      <c r="F41" s="228">
        <f t="shared" si="2"/>
        <v>-276</v>
      </c>
      <c r="G41" s="228">
        <f t="shared" si="2"/>
        <v>-215</v>
      </c>
      <c r="H41" s="228">
        <f t="shared" si="2"/>
        <v>0</v>
      </c>
      <c r="I41" s="228">
        <f t="shared" si="2"/>
        <v>0</v>
      </c>
      <c r="J41" s="228">
        <f t="shared" si="2"/>
        <v>0</v>
      </c>
      <c r="K41" s="228">
        <f t="shared" si="2"/>
        <v>-43</v>
      </c>
      <c r="L41" s="228">
        <f t="shared" si="2"/>
        <v>-31</v>
      </c>
      <c r="M41" s="228">
        <f t="shared" si="2"/>
        <v>-10</v>
      </c>
      <c r="N41" s="228">
        <f t="shared" si="2"/>
        <v>0</v>
      </c>
      <c r="O41" s="228">
        <f t="shared" si="2"/>
        <v>0</v>
      </c>
      <c r="P41" s="228">
        <f t="shared" si="2"/>
        <v>0</v>
      </c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</row>
    <row r="42" spans="1:89" s="199" customFormat="1">
      <c r="B42" s="229" t="s">
        <v>187</v>
      </c>
      <c r="C42" s="319">
        <f t="shared" ref="C42:AZ42" si="3">SUM(C3:C41)-C20-C21-C9-C10</f>
        <v>8141094.2992974129</v>
      </c>
      <c r="D42" s="319">
        <f t="shared" si="3"/>
        <v>909767.32063935138</v>
      </c>
      <c r="E42" s="319">
        <f t="shared" si="3"/>
        <v>926795.75669005211</v>
      </c>
      <c r="F42" s="319">
        <f t="shared" si="3"/>
        <v>744591.70198457758</v>
      </c>
      <c r="G42" s="319">
        <f t="shared" si="3"/>
        <v>981724.29055442754</v>
      </c>
      <c r="H42" s="319">
        <f t="shared" si="3"/>
        <v>903596.54291850713</v>
      </c>
      <c r="I42" s="319">
        <f t="shared" si="3"/>
        <v>981494.40277393884</v>
      </c>
      <c r="J42" s="319">
        <f t="shared" si="3"/>
        <v>922594.58337523835</v>
      </c>
      <c r="K42" s="319">
        <f t="shared" si="3"/>
        <v>921186.20026514516</v>
      </c>
      <c r="L42" s="319">
        <f t="shared" si="3"/>
        <v>977394.85199718596</v>
      </c>
      <c r="M42" s="319">
        <f t="shared" si="3"/>
        <v>871526.0700118721</v>
      </c>
      <c r="N42" s="319">
        <f t="shared" si="3"/>
        <v>887182.5083462724</v>
      </c>
      <c r="O42" s="319">
        <f t="shared" si="3"/>
        <v>903115.1559655912</v>
      </c>
      <c r="P42" s="319">
        <f t="shared" si="3"/>
        <v>951938.46060262749</v>
      </c>
      <c r="Q42" s="319">
        <f t="shared" si="3"/>
        <v>878382.22076404898</v>
      </c>
      <c r="R42" s="319">
        <f t="shared" si="3"/>
        <v>787176.92694915528</v>
      </c>
      <c r="S42" s="319">
        <f t="shared" si="3"/>
        <v>995804.29393507924</v>
      </c>
      <c r="T42" s="319">
        <f t="shared" si="3"/>
        <v>966549.73049434205</v>
      </c>
      <c r="U42" s="319">
        <f t="shared" si="3"/>
        <v>1005146.9862547091</v>
      </c>
      <c r="V42" s="319">
        <f t="shared" si="3"/>
        <v>956447.08602393302</v>
      </c>
      <c r="W42" s="319">
        <f t="shared" si="3"/>
        <v>980854.0628717069</v>
      </c>
      <c r="X42" s="320">
        <f t="shared" si="3"/>
        <v>999539.63471705827</v>
      </c>
      <c r="Y42" s="320">
        <f t="shared" si="3"/>
        <v>1001771.5185152371</v>
      </c>
      <c r="Z42" s="320">
        <f t="shared" si="3"/>
        <v>921373.11933299981</v>
      </c>
      <c r="AA42" s="320">
        <f t="shared" si="3"/>
        <v>941988.99329100014</v>
      </c>
      <c r="AB42" s="320">
        <f t="shared" si="3"/>
        <v>1060496.0317480003</v>
      </c>
      <c r="AC42" s="320">
        <f t="shared" si="3"/>
        <v>820505.39873299981</v>
      </c>
      <c r="AD42" s="320">
        <f>SUM(AD3:AD41)-AD20-AD21-AD9-AD10</f>
        <v>862864.72097100015</v>
      </c>
      <c r="AE42" s="320">
        <f t="shared" si="3"/>
        <v>950881.26822799956</v>
      </c>
      <c r="AF42" s="320">
        <f>SUM(AF3:AF41)-AF20-AF21-AF9-AF10</f>
        <v>978121.3749409999</v>
      </c>
      <c r="AG42" s="320">
        <f t="shared" si="3"/>
        <v>886776.84062100027</v>
      </c>
      <c r="AH42" s="320">
        <f t="shared" si="3"/>
        <v>919297.58721399971</v>
      </c>
      <c r="AI42" s="320">
        <f t="shared" si="3"/>
        <v>886802.56047900009</v>
      </c>
      <c r="AJ42" s="320">
        <f t="shared" si="3"/>
        <v>911813.89336700004</v>
      </c>
      <c r="AK42" s="320">
        <f t="shared" si="3"/>
        <v>895384.16041999962</v>
      </c>
      <c r="AL42" s="320">
        <f t="shared" si="3"/>
        <v>1024831.6275239999</v>
      </c>
      <c r="AM42" s="320">
        <f>SUM(AM3:AM41)-AM20-AM21-AM9-AM10</f>
        <v>1104976.7524920006</v>
      </c>
      <c r="AN42" s="320">
        <f t="shared" si="3"/>
        <v>1233822.114483</v>
      </c>
      <c r="AO42" s="320">
        <f t="shared" si="3"/>
        <v>1146543.9694390004</v>
      </c>
      <c r="AP42" s="320">
        <f t="shared" si="3"/>
        <v>1130984.0192029998</v>
      </c>
      <c r="AQ42" s="320">
        <f t="shared" si="3"/>
        <v>1359086.1686359993</v>
      </c>
      <c r="AR42" s="320">
        <f>SUM(AR3:AR41)-AR20-AR21-AR9-AR10</f>
        <v>1501489.6938839999</v>
      </c>
      <c r="AS42" s="320">
        <f t="shared" si="3"/>
        <v>1528021.3622480002</v>
      </c>
      <c r="AT42" s="320">
        <f t="shared" si="3"/>
        <v>1609365.8099059998</v>
      </c>
      <c r="AU42" s="320">
        <f t="shared" si="3"/>
        <v>1584293.7263819999</v>
      </c>
      <c r="AV42" s="320">
        <f t="shared" si="3"/>
        <v>1563951.7206840687</v>
      </c>
      <c r="AW42" s="320">
        <f t="shared" si="3"/>
        <v>0</v>
      </c>
      <c r="AX42" s="320">
        <f t="shared" si="3"/>
        <v>0</v>
      </c>
      <c r="AY42" s="320">
        <f t="shared" si="3"/>
        <v>0</v>
      </c>
      <c r="AZ42" s="320">
        <f t="shared" si="3"/>
        <v>0</v>
      </c>
      <c r="BA42" s="320"/>
    </row>
    <row r="43" spans="1:89" s="200" customFormat="1">
      <c r="B43" s="231"/>
      <c r="C43" s="232"/>
      <c r="D43" s="232"/>
      <c r="E43" s="232"/>
      <c r="F43" s="232"/>
      <c r="G43" s="232"/>
      <c r="H43" s="232"/>
      <c r="I43" s="232"/>
      <c r="J43" s="232"/>
      <c r="K43" s="232"/>
      <c r="L43" s="232"/>
      <c r="M43" s="232"/>
      <c r="N43" s="232"/>
      <c r="O43" s="232"/>
      <c r="P43" s="232"/>
      <c r="AU43" s="305"/>
    </row>
    <row r="44" spans="1:89" s="200" customFormat="1">
      <c r="B44" s="231" t="s">
        <v>954</v>
      </c>
      <c r="C44" s="232"/>
      <c r="D44" s="232"/>
      <c r="E44" s="232"/>
      <c r="F44" s="232"/>
      <c r="G44" s="232"/>
      <c r="H44" s="232"/>
      <c r="I44" s="232"/>
      <c r="J44" s="232"/>
      <c r="K44" s="232"/>
      <c r="L44" s="232"/>
      <c r="M44" s="232"/>
      <c r="N44" s="232"/>
      <c r="O44" s="232"/>
      <c r="P44" s="232"/>
      <c r="S44" s="305">
        <v>8085</v>
      </c>
      <c r="T44" s="305">
        <v>13987</v>
      </c>
      <c r="U44" s="305">
        <v>14587</v>
      </c>
      <c r="V44" s="305">
        <v>11354</v>
      </c>
      <c r="W44" s="305">
        <v>12491</v>
      </c>
      <c r="X44" s="305">
        <v>9663</v>
      </c>
      <c r="Y44" s="305">
        <v>14116</v>
      </c>
      <c r="Z44" s="305">
        <v>12997</v>
      </c>
      <c r="AA44" s="305">
        <v>9519</v>
      </c>
      <c r="AB44" s="305">
        <v>13146</v>
      </c>
      <c r="AC44" s="305">
        <v>11399</v>
      </c>
      <c r="AD44" s="305">
        <v>14636.93</v>
      </c>
      <c r="AE44" s="305">
        <v>15255</v>
      </c>
      <c r="AF44" s="305">
        <v>12240</v>
      </c>
      <c r="AG44" s="305">
        <v>6051</v>
      </c>
      <c r="AH44" s="305">
        <v>32894.300000000003</v>
      </c>
      <c r="AI44" s="305">
        <v>28639</v>
      </c>
      <c r="AJ44" s="305">
        <v>32853.06</v>
      </c>
      <c r="AK44" s="305">
        <v>32939.65</v>
      </c>
      <c r="AL44" s="305">
        <v>26538</v>
      </c>
      <c r="AM44" s="305">
        <v>26222</v>
      </c>
      <c r="AN44" s="305">
        <v>8759</v>
      </c>
      <c r="AO44" s="305">
        <v>13725</v>
      </c>
      <c r="AP44" s="305">
        <v>34623</v>
      </c>
      <c r="AQ44" s="305">
        <v>34123</v>
      </c>
      <c r="AR44" s="305">
        <v>50604</v>
      </c>
      <c r="AS44" s="305">
        <v>44081.94</v>
      </c>
      <c r="AT44" s="305">
        <v>35626</v>
      </c>
      <c r="AU44" s="305">
        <v>40625</v>
      </c>
      <c r="AV44" s="305">
        <v>46421</v>
      </c>
      <c r="AW44" s="305"/>
      <c r="AX44" s="305"/>
      <c r="AY44" s="305"/>
      <c r="AZ44" s="305"/>
      <c r="BA44" s="314">
        <f>SUM(AC44:AN44)/10000</f>
        <v>24.842694000000002</v>
      </c>
      <c r="BB44" s="305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05"/>
      <c r="BV44" s="305"/>
      <c r="BW44" s="305"/>
      <c r="BX44" s="305"/>
      <c r="BY44" s="305"/>
      <c r="BZ44" s="305"/>
      <c r="CA44" s="305"/>
      <c r="CB44" s="305"/>
      <c r="CC44" s="305"/>
      <c r="CD44" s="305"/>
      <c r="CE44" s="305"/>
      <c r="CF44" s="305"/>
      <c r="CG44" s="305"/>
      <c r="CH44" s="305"/>
      <c r="CI44" s="305"/>
      <c r="CJ44" s="305"/>
      <c r="CK44" s="305"/>
    </row>
    <row r="45" spans="1:89" s="200" customFormat="1">
      <c r="B45" s="231" t="s">
        <v>955</v>
      </c>
      <c r="C45" s="232"/>
      <c r="D45" s="232"/>
      <c r="E45" s="232"/>
      <c r="F45" s="232"/>
      <c r="G45" s="232"/>
      <c r="H45" s="232"/>
      <c r="I45" s="232"/>
      <c r="J45" s="232"/>
      <c r="K45" s="232"/>
      <c r="L45" s="232"/>
      <c r="M45" s="232"/>
      <c r="N45" s="232"/>
      <c r="O45" s="232"/>
      <c r="P45" s="232"/>
      <c r="S45" s="305"/>
      <c r="T45" s="305"/>
      <c r="U45" s="305"/>
      <c r="V45" s="305">
        <v>13618</v>
      </c>
      <c r="W45" s="305">
        <f>188687.29*892.2/10000</f>
        <v>16834.6800138</v>
      </c>
      <c r="X45" s="305">
        <f>131544.456*880.44/10000</f>
        <v>11581.700084064001</v>
      </c>
      <c r="Y45" s="305"/>
      <c r="Z45" s="305"/>
      <c r="AA45" s="305"/>
      <c r="AB45" s="305"/>
      <c r="AC45" s="305"/>
      <c r="AD45" s="305"/>
      <c r="AE45" s="305"/>
      <c r="AF45" s="305"/>
      <c r="AG45" s="305"/>
      <c r="AH45" s="305"/>
      <c r="AI45" s="305"/>
      <c r="AJ45" s="305"/>
      <c r="AK45" s="305"/>
      <c r="AL45" s="305"/>
      <c r="AM45" s="305"/>
      <c r="AN45" s="305"/>
      <c r="AO45" s="305"/>
      <c r="AP45" s="305"/>
      <c r="AQ45" s="305"/>
      <c r="AR45" s="305"/>
      <c r="AS45" s="305"/>
      <c r="AT45" s="305"/>
      <c r="AU45" s="305"/>
      <c r="AV45" s="305"/>
      <c r="AW45" s="305"/>
      <c r="AX45" s="305"/>
      <c r="AY45" s="305"/>
      <c r="AZ45" s="305"/>
      <c r="BA45" s="305"/>
      <c r="BB45" s="305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5"/>
      <c r="BS45" s="305"/>
      <c r="BT45" s="305"/>
      <c r="BU45" s="305"/>
      <c r="BV45" s="305"/>
      <c r="BW45" s="305"/>
      <c r="BX45" s="305"/>
      <c r="BY45" s="305"/>
      <c r="BZ45" s="305"/>
      <c r="CA45" s="305"/>
      <c r="CB45" s="305"/>
      <c r="CC45" s="305"/>
      <c r="CD45" s="305"/>
      <c r="CE45" s="305"/>
      <c r="CF45" s="305"/>
      <c r="CG45" s="305"/>
      <c r="CH45" s="305"/>
      <c r="CI45" s="305"/>
      <c r="CJ45" s="305"/>
      <c r="CK45" s="305"/>
    </row>
    <row r="46" spans="1:89" s="200" customFormat="1">
      <c r="B46" s="231" t="s">
        <v>956</v>
      </c>
      <c r="C46" s="232"/>
      <c r="D46" s="232"/>
      <c r="E46" s="232"/>
      <c r="F46" s="232"/>
      <c r="G46" s="232"/>
      <c r="H46" s="232"/>
      <c r="I46" s="232"/>
      <c r="J46" s="232"/>
      <c r="K46" s="232"/>
      <c r="L46" s="232"/>
      <c r="M46" s="232"/>
      <c r="N46" s="232"/>
      <c r="O46" s="232"/>
      <c r="P46" s="232"/>
      <c r="S46" s="305">
        <v>52058.866248999999</v>
      </c>
      <c r="T46" s="305">
        <v>63176.150261000003</v>
      </c>
      <c r="U46" s="305">
        <v>65203.013267000002</v>
      </c>
      <c r="V46" s="305">
        <v>62780.973384999998</v>
      </c>
      <c r="W46" s="305">
        <v>59492.037665999997</v>
      </c>
      <c r="X46" s="305">
        <v>61564.473080999996</v>
      </c>
      <c r="Y46" s="305">
        <v>52836.478887999998</v>
      </c>
      <c r="Z46" s="305">
        <v>45910.681084000003</v>
      </c>
      <c r="AA46" s="305">
        <v>45613.787831000001</v>
      </c>
      <c r="AB46" s="305">
        <v>52719.471700000002</v>
      </c>
      <c r="AC46" s="305">
        <v>32394.121966999999</v>
      </c>
      <c r="AD46" s="305">
        <v>35496.657083999999</v>
      </c>
      <c r="AE46" s="305">
        <v>34424.682229999999</v>
      </c>
      <c r="AF46" s="305">
        <v>38953.004036999999</v>
      </c>
      <c r="AG46" s="305">
        <v>33314.760756999996</v>
      </c>
      <c r="AH46" s="305">
        <v>36107.024400000002</v>
      </c>
      <c r="AI46" s="305">
        <v>21589.150165999999</v>
      </c>
      <c r="AJ46" s="305">
        <v>31761.411599999999</v>
      </c>
      <c r="AK46" s="305">
        <v>30915.001387</v>
      </c>
      <c r="AL46" s="305">
        <v>36756.890941000005</v>
      </c>
      <c r="AM46" s="305">
        <v>42700.606226999997</v>
      </c>
      <c r="AN46" s="305">
        <v>37960.305812999999</v>
      </c>
      <c r="AO46" s="305">
        <v>40682.965894000001</v>
      </c>
      <c r="AP46" s="305">
        <v>39677.529975999998</v>
      </c>
      <c r="AQ46" s="305">
        <v>50081.535338000002</v>
      </c>
      <c r="AR46" s="305">
        <v>50278.255255999997</v>
      </c>
      <c r="AS46" s="305">
        <v>58047.008500000004</v>
      </c>
      <c r="AT46" s="305">
        <v>64133.130210000003</v>
      </c>
      <c r="AU46" s="305">
        <v>63941.514337000001</v>
      </c>
      <c r="AV46" s="305">
        <v>59859.567014</v>
      </c>
      <c r="AW46" s="305"/>
      <c r="AX46" s="305"/>
      <c r="AY46" s="305"/>
      <c r="AZ46" s="305"/>
      <c r="BA46" s="305"/>
      <c r="BB46" s="305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5"/>
      <c r="BS46" s="305"/>
      <c r="BT46" s="305"/>
      <c r="BU46" s="305"/>
      <c r="BV46" s="305"/>
      <c r="BW46" s="305"/>
      <c r="BX46" s="305"/>
      <c r="BY46" s="305"/>
      <c r="BZ46" s="305"/>
      <c r="CA46" s="305"/>
      <c r="CB46" s="305"/>
      <c r="CC46" s="305"/>
      <c r="CD46" s="305"/>
      <c r="CE46" s="305"/>
      <c r="CF46" s="305"/>
      <c r="CG46" s="305"/>
      <c r="CH46" s="305"/>
      <c r="CI46" s="305"/>
      <c r="CJ46" s="305"/>
      <c r="CK46" s="305"/>
    </row>
    <row r="47" spans="1:89" s="200" customFormat="1">
      <c r="B47" s="231" t="s">
        <v>957</v>
      </c>
      <c r="C47" s="232">
        <v>971013.85097899998</v>
      </c>
      <c r="D47" s="232">
        <v>113908</v>
      </c>
      <c r="E47" s="232">
        <v>88091</v>
      </c>
      <c r="F47" s="232">
        <v>85239</v>
      </c>
      <c r="G47" s="232">
        <v>72349</v>
      </c>
      <c r="H47" s="232">
        <v>75700</v>
      </c>
      <c r="I47" s="232">
        <v>78586</v>
      </c>
      <c r="J47" s="232">
        <v>48549.18</v>
      </c>
      <c r="K47" s="232">
        <v>73585</v>
      </c>
      <c r="L47" s="232">
        <v>84167</v>
      </c>
      <c r="M47" s="232">
        <v>79487</v>
      </c>
      <c r="N47" s="232">
        <v>80073</v>
      </c>
      <c r="O47" s="232">
        <v>80527</v>
      </c>
      <c r="P47" s="232">
        <v>76894</v>
      </c>
      <c r="Q47" s="305">
        <v>51722.320786999997</v>
      </c>
      <c r="R47" s="305">
        <v>51724.714495</v>
      </c>
      <c r="S47" s="305">
        <f>S46+S44</f>
        <v>60143.866248999999</v>
      </c>
      <c r="T47" s="305">
        <f t="shared" ref="T47:AG47" si="4">T46+T44</f>
        <v>77163.150261000003</v>
      </c>
      <c r="U47" s="305">
        <f t="shared" si="4"/>
        <v>79790.013267000002</v>
      </c>
      <c r="V47" s="305">
        <f t="shared" si="4"/>
        <v>74134.97338499999</v>
      </c>
      <c r="W47" s="305">
        <f t="shared" si="4"/>
        <v>71983.037665999989</v>
      </c>
      <c r="X47" s="305">
        <f t="shared" si="4"/>
        <v>71227.473081000004</v>
      </c>
      <c r="Y47" s="305">
        <f t="shared" si="4"/>
        <v>66952.478887999998</v>
      </c>
      <c r="Z47" s="305">
        <f t="shared" si="4"/>
        <v>58907.681084000003</v>
      </c>
      <c r="AA47" s="305">
        <f t="shared" si="4"/>
        <v>55132.787831000001</v>
      </c>
      <c r="AB47" s="305">
        <f t="shared" si="4"/>
        <v>65865.471699999995</v>
      </c>
      <c r="AC47" s="305">
        <f t="shared" si="4"/>
        <v>43793.121966999999</v>
      </c>
      <c r="AD47" s="305">
        <f t="shared" si="4"/>
        <v>50133.587083999999</v>
      </c>
      <c r="AE47" s="305">
        <f t="shared" si="4"/>
        <v>49679.682229999999</v>
      </c>
      <c r="AF47" s="305">
        <f t="shared" si="4"/>
        <v>51193.004036999999</v>
      </c>
      <c r="AG47" s="305">
        <f t="shared" si="4"/>
        <v>39365.760756999996</v>
      </c>
      <c r="AH47" s="305">
        <f t="shared" ref="AH47:AP47" si="5">AH46+AH44</f>
        <v>69001.324400000012</v>
      </c>
      <c r="AI47" s="305">
        <f t="shared" si="5"/>
        <v>50228.150165999999</v>
      </c>
      <c r="AJ47" s="305">
        <f t="shared" si="5"/>
        <v>64614.471599999997</v>
      </c>
      <c r="AK47" s="305">
        <f t="shared" si="5"/>
        <v>63854.651387000005</v>
      </c>
      <c r="AL47" s="305">
        <f t="shared" si="5"/>
        <v>63294.890941000005</v>
      </c>
      <c r="AM47" s="305">
        <f t="shared" si="5"/>
        <v>68922.606226999997</v>
      </c>
      <c r="AN47" s="305">
        <f t="shared" si="5"/>
        <v>46719.305812999999</v>
      </c>
      <c r="AO47" s="305">
        <f t="shared" si="5"/>
        <v>54407.965894000001</v>
      </c>
      <c r="AP47" s="305">
        <f t="shared" si="5"/>
        <v>74300.529975999991</v>
      </c>
      <c r="AQ47" s="305">
        <f t="shared" ref="AQ47:AV47" si="6">AQ46+AQ44</f>
        <v>84204.535338000002</v>
      </c>
      <c r="AR47" s="305">
        <f t="shared" si="6"/>
        <v>100882.255256</v>
      </c>
      <c r="AS47" s="305">
        <f t="shared" si="6"/>
        <v>102128.9485</v>
      </c>
      <c r="AT47" s="305">
        <f t="shared" si="6"/>
        <v>99759.130210000003</v>
      </c>
      <c r="AU47" s="305">
        <f t="shared" si="6"/>
        <v>104566.514337</v>
      </c>
      <c r="AV47" s="305">
        <f t="shared" si="6"/>
        <v>106280.567014</v>
      </c>
      <c r="AW47" s="305"/>
      <c r="AX47" s="305"/>
      <c r="AY47" s="305"/>
      <c r="AZ47" s="305"/>
      <c r="BA47" s="305"/>
      <c r="BB47" s="305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5"/>
      <c r="BS47" s="305"/>
      <c r="BT47" s="305"/>
      <c r="BU47" s="305"/>
      <c r="BV47" s="305"/>
      <c r="BW47" s="305"/>
      <c r="BX47" s="305"/>
      <c r="BY47" s="305"/>
      <c r="BZ47" s="305"/>
      <c r="CA47" s="305"/>
      <c r="CB47" s="305"/>
      <c r="CC47" s="305"/>
      <c r="CD47" s="305"/>
      <c r="CE47" s="305"/>
      <c r="CF47" s="305"/>
      <c r="CG47" s="305"/>
      <c r="CH47" s="305"/>
      <c r="CI47" s="305"/>
      <c r="CJ47" s="305"/>
      <c r="CK47" s="305"/>
    </row>
    <row r="48" spans="1:89" s="201" customFormat="1">
      <c r="C48" s="233"/>
      <c r="D48" s="233"/>
      <c r="E48" s="233"/>
      <c r="F48" s="233"/>
      <c r="G48" s="233"/>
      <c r="H48" s="233"/>
      <c r="I48" s="233"/>
      <c r="J48" s="233"/>
      <c r="K48" s="233"/>
      <c r="L48" s="233"/>
      <c r="M48" s="233"/>
      <c r="N48" s="233"/>
      <c r="O48" s="233"/>
      <c r="P48" s="233"/>
      <c r="AV48" s="2345"/>
    </row>
    <row r="49" spans="2:53" s="202" customFormat="1">
      <c r="B49" s="202" t="s">
        <v>958</v>
      </c>
      <c r="C49" s="234">
        <f t="shared" ref="C49:P49" si="7">C51+C50</f>
        <v>0</v>
      </c>
      <c r="D49" s="234">
        <f t="shared" si="7"/>
        <v>-324</v>
      </c>
      <c r="E49" s="234">
        <f t="shared" si="7"/>
        <v>-323</v>
      </c>
      <c r="F49" s="234">
        <f t="shared" si="7"/>
        <v>-276</v>
      </c>
      <c r="G49" s="234">
        <f t="shared" si="7"/>
        <v>-215</v>
      </c>
      <c r="H49" s="234">
        <f t="shared" si="7"/>
        <v>0</v>
      </c>
      <c r="I49" s="234">
        <f t="shared" si="7"/>
        <v>0</v>
      </c>
      <c r="J49" s="234">
        <f t="shared" si="7"/>
        <v>0</v>
      </c>
      <c r="K49" s="234">
        <f t="shared" si="7"/>
        <v>-43</v>
      </c>
      <c r="L49" s="234">
        <f t="shared" si="7"/>
        <v>-31</v>
      </c>
      <c r="M49" s="234">
        <f t="shared" si="7"/>
        <v>-10</v>
      </c>
      <c r="N49" s="234">
        <f t="shared" si="7"/>
        <v>0</v>
      </c>
      <c r="O49" s="234">
        <f t="shared" si="7"/>
        <v>0</v>
      </c>
      <c r="P49" s="234">
        <f t="shared" si="7"/>
        <v>0</v>
      </c>
    </row>
    <row r="50" spans="2:53" s="203" customFormat="1">
      <c r="B50" s="235" t="s">
        <v>959</v>
      </c>
      <c r="C50" s="236"/>
      <c r="D50" s="236">
        <v>-324</v>
      </c>
      <c r="E50" s="236">
        <v>-323</v>
      </c>
      <c r="F50" s="236">
        <v>-276</v>
      </c>
      <c r="G50" s="236">
        <v>-215</v>
      </c>
      <c r="H50" s="236"/>
      <c r="I50" s="236"/>
      <c r="J50" s="236"/>
      <c r="K50" s="236">
        <v>-43</v>
      </c>
      <c r="L50" s="236">
        <v>-31</v>
      </c>
      <c r="M50" s="236">
        <v>-10</v>
      </c>
      <c r="N50" s="236"/>
      <c r="O50" s="236"/>
      <c r="P50" s="236"/>
      <c r="Q50" s="303"/>
    </row>
    <row r="51" spans="2:53" s="203" customFormat="1">
      <c r="B51" s="235" t="s">
        <v>960</v>
      </c>
      <c r="C51" s="236"/>
      <c r="D51" s="236"/>
      <c r="E51" s="236"/>
      <c r="F51" s="236"/>
      <c r="G51" s="236"/>
      <c r="H51" s="236"/>
      <c r="I51" s="236"/>
      <c r="J51" s="236"/>
      <c r="K51" s="236"/>
      <c r="L51" s="236"/>
      <c r="M51" s="236"/>
      <c r="N51" s="236"/>
      <c r="O51" s="236"/>
      <c r="P51" s="236"/>
      <c r="Q51" s="304"/>
    </row>
    <row r="53" spans="2:53">
      <c r="B53" s="206" t="s">
        <v>961</v>
      </c>
      <c r="Q53" s="238">
        <f t="shared" ref="Q53:AF53" si="8">SUM(Q20:Q37)</f>
        <v>23669.859297999999</v>
      </c>
      <c r="R53" s="238">
        <f t="shared" si="8"/>
        <v>14436.033795999998</v>
      </c>
      <c r="S53" s="238">
        <f t="shared" si="8"/>
        <v>19033.760345000002</v>
      </c>
      <c r="T53" s="238">
        <f t="shared" si="8"/>
        <v>18958.583747999997</v>
      </c>
      <c r="U53" s="238">
        <f t="shared" si="8"/>
        <v>20066.710546999999</v>
      </c>
      <c r="V53" s="238">
        <f t="shared" si="8"/>
        <v>18240.392948000001</v>
      </c>
      <c r="W53" s="238">
        <f t="shared" si="8"/>
        <v>19639.309065000001</v>
      </c>
      <c r="X53" s="238">
        <f t="shared" si="8"/>
        <v>22401.699059999999</v>
      </c>
      <c r="Y53" s="238">
        <f t="shared" si="8"/>
        <v>22934.818802999998</v>
      </c>
      <c r="Z53" s="238">
        <f t="shared" si="8"/>
        <v>23034.424707999999</v>
      </c>
      <c r="AA53" s="238">
        <f t="shared" si="8"/>
        <v>23475.970697999997</v>
      </c>
      <c r="AB53" s="238">
        <f t="shared" si="8"/>
        <v>25941.703882000002</v>
      </c>
      <c r="AC53" s="238">
        <f t="shared" si="8"/>
        <v>28784.659313999997</v>
      </c>
      <c r="AD53" s="238">
        <f t="shared" si="8"/>
        <v>11896.180616</v>
      </c>
      <c r="AE53" s="238">
        <f t="shared" si="8"/>
        <v>14093.899316999999</v>
      </c>
      <c r="AF53" s="238">
        <f t="shared" si="8"/>
        <v>17210.701422999999</v>
      </c>
      <c r="BA53" s="321"/>
    </row>
    <row r="55" spans="2:53">
      <c r="Q55" s="238">
        <f>Q3-Q44</f>
        <v>87324</v>
      </c>
      <c r="R55" s="238">
        <f>R3-R44</f>
        <v>91907</v>
      </c>
      <c r="S55" s="238">
        <f>S3-S44</f>
        <v>84181</v>
      </c>
      <c r="T55" s="238">
        <f>T3-T44</f>
        <v>104141</v>
      </c>
      <c r="U55" s="238"/>
      <c r="AC55" s="238">
        <f>AC3-AC44</f>
        <v>98860</v>
      </c>
      <c r="AD55" s="238">
        <f>AD3-AD44</f>
        <v>110289</v>
      </c>
      <c r="AE55" s="238">
        <f>AE3-AE44</f>
        <v>105615.55</v>
      </c>
      <c r="AF55" s="238">
        <f>AF3-AF44</f>
        <v>108293</v>
      </c>
      <c r="AV55" s="238"/>
    </row>
  </sheetData>
  <customSheetViews>
    <customSheetView guid="{1683F931-F47D-47C0-A395-D48080DC7EE6}" showPageBreaks="1" hiddenColumns="1">
      <pane xSplit="2" ySplit="1" topLeftCell="AN5" activePane="bottomRight" state="frozen"/>
      <selection pane="bottomRight" activeCell="AG17" sqref="AG17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 r:id="rId1"/>
    </customSheetView>
    <customSheetView guid="{43897816-D2F0-4C3D-8F57-E0039BD2296B}">
      <pane xSplit="2" ySplit="3" topLeftCell="AJ40" activePane="bottomRight" state="frozen"/>
      <selection pane="bottomRight" activeCell="AS6" sqref="AS6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849C46E5-4ED4-41B9-BDA9-A6465B9DA9C2}" hiddenColumns="1">
      <pane xSplit="2" ySplit="2" topLeftCell="AA21" activePane="bottomRight" state="frozen"/>
      <selection pane="bottomRight" activeCell="AF42" sqref="AF4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8C09BCDE-4B8A-4469-B3F2-7F4528A2E78D}" hiddenColumns="1">
      <pane xSplit="2" ySplit="2" topLeftCell="AA21" activePane="bottomRight" state="frozen"/>
      <selection pane="bottomRight" activeCell="AF42" sqref="AF4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F4EB51F4-FD23-4D5B-8072-1AF5D59D6686}" hiddenColumns="1">
      <pane xSplit="2" ySplit="2" topLeftCell="W9" activePane="bottomRight" state="frozen"/>
      <selection pane="bottomRight" activeCell="Y30" sqref="Y30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D7BCFB76-2797-401D-A6F1-E020B5162DD4}">
      <pane xSplit="2" ySplit="3" topLeftCell="AG4" activePane="bottomRight" state="frozen"/>
      <selection pane="bottomRight" activeCell="AO34" sqref="AO34:AT34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C9A88430-3808-49F4-8D86-BF8C70C55441}">
      <selection activeCell="P31" sqref="P3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E61FFED3-723E-484A-93A0-94E1A801AF06}">
      <pane xSplit="2" ySplit="3" topLeftCell="K4" activePane="bottomRight" state="frozen"/>
      <selection pane="bottomRight" activeCell="L27" sqref="L27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6B5CCA07-2BDD-4B8E-9E3C-2111BBA97430}">
      <pane xSplit="2" ySplit="3" topLeftCell="AD4" activePane="bottomRight" state="frozen"/>
      <selection pane="bottomRight" activeCell="AK31" sqref="AK3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 r:id="rId2"/>
    </customSheetView>
    <customSheetView guid="{2F47A827-9643-4D8A-AC5D-6B09D79AACF9}">
      <pane xSplit="2" ySplit="3" topLeftCell="AE4" activePane="bottomRight" state="frozen"/>
      <selection pane="bottomRight" activeCell="AL5" sqref="AL5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B37168A1-DBAB-4BDE-9F92-6261DCDF3D92}" hiddenColumns="1">
      <pane xSplit="2" ySplit="2" topLeftCell="Z3" activePane="bottomRight" state="frozen"/>
      <selection pane="bottomRight" activeCell="AI44" sqref="AI44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AE0DD889-C13C-4059-8024-0F5B234827E9}" hiddenColumns="1">
      <pane xSplit="3" ySplit="2" topLeftCell="V3" activePane="bottomRight" state="frozen"/>
      <selection pane="bottomRight" activeCell="AG17" sqref="AG17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CCBBD9B0-4191-4D7A-9F7B-BAC044A49153}" hiddenColumns="1">
      <pane xSplit="2" ySplit="2" topLeftCell="W3" state="frozen"/>
      <selection activeCell="AF53" sqref="AF53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F5F9735B-EE22-4AC6-B5AB-C856ED6C133D}" hiddenColumns="1">
      <pane xSplit="1" ySplit="2" topLeftCell="E3" state="frozen"/>
      <selection activeCell="R38" sqref="R3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45B4C0D1-53B6-4553-BFF9-393760B8E0CE}">
      <pane xSplit="2" ySplit="3" topLeftCell="J17" state="frozen"/>
      <selection activeCell="P42" sqref="P4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1BBD1596-143E-4714-99EF-E3545231CCD1}">
      <pane xSplit="2" ySplit="3" topLeftCell="C4" state="frozen"/>
      <selection activeCell="A24" sqref="A24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A8456D60-99BA-4794-8966-0CBA0A37EA6F}">
      <pane xSplit="2" ySplit="3" topLeftCell="C4" state="frozen"/>
      <selection activeCell="O32" sqref="O3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500C3980-ED13-4C97-96B1-955D50509B66}" hiddenColumns="1" topLeftCell="A7">
      <selection activeCell="AC5" sqref="AC5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3B943BAF-34C7-494A-A071-85DE0891E5A1}" hiddenColumns="1">
      <pane xSplit="2" ySplit="2" topLeftCell="W18" state="frozen"/>
      <selection activeCell="AE16" sqref="AE16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EEE4B3DA-ADF6-49CC-9873-068FE5927B92}">
      <pane xSplit="2" ySplit="3" topLeftCell="G4" state="frozen"/>
      <selection activeCell="P47" sqref="P47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C52D0F53-4D1D-4D01-B833-260359FD02A5}" hiddenColumns="1">
      <pane xSplit="2" ySplit="2" topLeftCell="Z3" activePane="bottomRight" state="frozen"/>
      <selection pane="bottomRight" activeCell="AF4" sqref="AF4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6A1E79C9-91E3-4EEA-8ABB-4446083299EC}">
      <selection activeCell="P31" sqref="P3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8B80B510-C931-46B1-8591-DEA916D76593}" hiddenColumns="1">
      <pane xSplit="2" ySplit="2" topLeftCell="AL9" activePane="bottomRight" state="frozen"/>
      <selection pane="bottomRight" activeCell="AO34" sqref="AO34:AS34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303A9D89-611D-4504-BCAA-071C53B021F7}">
      <pane xSplit="2" ySplit="3" topLeftCell="C4" activePane="bottomRight" state="frozen"/>
      <selection pane="bottomRight" activeCell="A24" sqref="A24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4583A87D-5DFF-47BD-849A-FA4AAF2B9CE3}" hiddenColumns="1">
      <pane xSplit="2" ySplit="2" topLeftCell="W18" activePane="bottomRight" state="frozen"/>
      <selection pane="bottomRight" activeCell="AE16" sqref="AE16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EA856AC2-CDFF-46B6-B0C4-30449DF132F4}" hiddenColumns="1">
      <pane xSplit="2" ySplit="2" topLeftCell="AH3" activePane="bottomRight" state="frozen"/>
      <selection pane="bottomRight" activeCell="AV10" sqref="AV10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322A45A6-8B26-49B8-A4D9-EFB3C94A758D}" hiddenColumns="1">
      <pane xSplit="2" ySplit="1" topLeftCell="AN2" activePane="bottomRight" state="frozen"/>
      <selection pane="bottomRight" activeCell="BB1" sqref="BB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 r:id="rId3"/>
    </customSheetView>
  </customSheetViews>
  <phoneticPr fontId="133" type="noConversion"/>
  <printOptions horizontalCentered="1"/>
  <pageMargins left="0.70763888888888904" right="0.70763888888888904" top="0.74791666666666701" bottom="0.74791666666666701" header="0.31388888888888899" footer="0.31388888888888899"/>
  <pageSetup paperSize="9" scale="81" orientation="landscape" r:id="rId4"/>
  <legacyDrawing r:id="rId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U44"/>
  <sheetViews>
    <sheetView zoomScaleNormal="130" workbookViewId="0">
      <selection activeCell="E19" sqref="E19"/>
    </sheetView>
  </sheetViews>
  <sheetFormatPr defaultColWidth="9" defaultRowHeight="13.5"/>
  <cols>
    <col min="1" max="1" width="9" style="93"/>
    <col min="2" max="2" width="23.375" style="93" customWidth="1"/>
    <col min="3" max="3" width="13.875" style="93" customWidth="1"/>
    <col min="4" max="5" width="9" style="93" customWidth="1"/>
    <col min="6" max="6" width="9.5" style="93" customWidth="1"/>
    <col min="7" max="7" width="10.625" style="93" customWidth="1"/>
    <col min="8" max="8" width="9.5" style="93" customWidth="1"/>
    <col min="9" max="9" width="9" style="93" customWidth="1"/>
    <col min="10" max="10" width="10.75" style="93" customWidth="1"/>
    <col min="11" max="11" width="15.375" style="93" customWidth="1"/>
    <col min="12" max="12" width="11.125" style="93" customWidth="1"/>
    <col min="13" max="14" width="14.125" style="93" customWidth="1"/>
    <col min="15" max="15" width="12.5" style="93" customWidth="1"/>
    <col min="16" max="16" width="17.75" style="93" customWidth="1"/>
    <col min="17" max="17" width="16.875" style="93" customWidth="1"/>
    <col min="18" max="18" width="9" style="93"/>
    <col min="19" max="19" width="9.5" style="93" customWidth="1"/>
    <col min="20" max="20" width="9" style="93"/>
    <col min="21" max="21" width="9.5" style="93" customWidth="1"/>
    <col min="22" max="16384" width="9" style="93"/>
  </cols>
  <sheetData>
    <row r="1" spans="1:21">
      <c r="A1" s="93" t="s">
        <v>0</v>
      </c>
      <c r="B1" s="93">
        <f>'#经营概况'!B1</f>
        <v>2021</v>
      </c>
      <c r="F1" s="93">
        <f>'#经营概况'!E1</f>
        <v>2021</v>
      </c>
    </row>
    <row r="2" spans="1:21">
      <c r="A2" s="93" t="s">
        <v>1</v>
      </c>
      <c r="B2" s="93">
        <f>'#经营概况'!B2</f>
        <v>8</v>
      </c>
      <c r="F2" s="93">
        <f>'#经营概况'!E2</f>
        <v>7</v>
      </c>
    </row>
    <row r="3" spans="1:21" s="91" customFormat="1">
      <c r="B3" s="94" t="s">
        <v>3</v>
      </c>
      <c r="C3" s="94" t="str">
        <f>B1-1&amp;"年"</f>
        <v>2020年</v>
      </c>
      <c r="D3" s="94" t="s">
        <v>486</v>
      </c>
      <c r="E3" s="94" t="s">
        <v>58</v>
      </c>
      <c r="F3" s="94" t="str">
        <f>F2&amp;"月"</f>
        <v>7月</v>
      </c>
      <c r="G3" s="94" t="str">
        <f>B2&amp;"月"</f>
        <v>8月</v>
      </c>
      <c r="H3" s="94" t="s">
        <v>168</v>
      </c>
      <c r="I3" s="107" t="s">
        <v>9</v>
      </c>
      <c r="J3" s="94" t="s">
        <v>7</v>
      </c>
      <c r="K3" s="1828" t="s">
        <v>1223</v>
      </c>
      <c r="L3" s="94" t="s">
        <v>5</v>
      </c>
      <c r="M3" s="107" t="s">
        <v>41</v>
      </c>
      <c r="N3" s="94" t="s">
        <v>1009</v>
      </c>
      <c r="O3" s="94" t="s">
        <v>40</v>
      </c>
      <c r="P3" s="94" t="s">
        <v>916</v>
      </c>
      <c r="Q3" s="94" t="s">
        <v>719</v>
      </c>
    </row>
    <row r="4" spans="1:21" s="92" customFormat="1">
      <c r="B4" s="2037" t="s">
        <v>1236</v>
      </c>
      <c r="C4" s="2038">
        <f>'#经营概况'!C12</f>
        <v>785.87609315250018</v>
      </c>
      <c r="D4" s="2039">
        <f>SUMIFS('收入（外部）'!42:42,'收入（外部）'!1:1,$B$1,'收入（外部）'!2:2,"&lt;="&amp;$B$2)/10000</f>
        <v>759.4498517100069</v>
      </c>
      <c r="E4" s="2040">
        <v>830</v>
      </c>
      <c r="F4" s="2039">
        <f>SUMIFS('收入（外部）'!42:42,'收入（外部）'!1:1,$F$1,'收入（外部）'!2:2,F2)/10000</f>
        <v>103.98307645639997</v>
      </c>
      <c r="G4" s="2039">
        <f>SUMIFS('收入（外部）'!42:42,'收入（外部）'!1:1,$B$1,'收入（外部）'!2:2,B2)/10000</f>
        <v>104.32783827040687</v>
      </c>
      <c r="H4" s="2041">
        <f>G4-C4/12</f>
        <v>38.838163841031857</v>
      </c>
      <c r="I4" s="2041">
        <f>G4-E4/12</f>
        <v>35.1611716037402</v>
      </c>
      <c r="J4" s="2041">
        <f>G4-F4</f>
        <v>0.34476181400690109</v>
      </c>
      <c r="K4" s="2040">
        <f>K5+K8+K9+K10+K16+K18+K27+K34+K39</f>
        <v>1061.8581350868246</v>
      </c>
      <c r="L4" s="2039">
        <f>SUMIFS('收入（外部）'!42:42,'收入（外部）'!1:1,$B$1,'收入（外部）'!2:2,"&lt;="&amp;$B$2)/10000</f>
        <v>759.4498517100069</v>
      </c>
      <c r="M4" s="2041">
        <f>L4-E4/12*$B$2</f>
        <v>206.11651837667353</v>
      </c>
      <c r="N4" s="2041">
        <f>L4-C4/12*$B$2</f>
        <v>235.53245627500678</v>
      </c>
      <c r="O4" s="98">
        <f>L4-D4</f>
        <v>0</v>
      </c>
      <c r="P4" s="113"/>
      <c r="Q4" s="112"/>
    </row>
    <row r="5" spans="1:21" s="92" customFormat="1">
      <c r="B5" s="95" t="s">
        <v>1010</v>
      </c>
      <c r="C5" s="96">
        <f>C6+C7</f>
        <v>642.59309945420591</v>
      </c>
      <c r="D5" s="96">
        <f>SUMIFS('收入（外部）'!50:50,'收入（外部）'!1:1,$B$1-1,'收入（外部）'!2:2,"&lt;="&amp;$B$2)/10000</f>
        <v>410.57722809807575</v>
      </c>
      <c r="E5" s="97">
        <f>E6+E7</f>
        <v>674</v>
      </c>
      <c r="F5" s="96">
        <f>SUMIFS('收入（外部）'!50:50,'收入（外部）'!1:1,$F$1,'收入（外部）'!2:2,F2)/10000</f>
        <v>90.022868442917982</v>
      </c>
      <c r="G5" s="96">
        <f>SUMIFS('收入（外部）'!50:50,'收入（外部）'!1:1,$B$1,'收入（外部）'!2:2,B2)/10000</f>
        <v>91.619969458400007</v>
      </c>
      <c r="H5" s="98">
        <f t="shared" ref="H5:H42" si="0">G5-C5/12</f>
        <v>38.07054450388285</v>
      </c>
      <c r="I5" s="108">
        <f>G5-E5/12</f>
        <v>35.453302791733343</v>
      </c>
      <c r="J5" s="98">
        <f>G5-F5</f>
        <v>1.5971010154820249</v>
      </c>
      <c r="K5" s="96">
        <f>SUM(K6:K7)</f>
        <v>639.28418969212464</v>
      </c>
      <c r="L5" s="96">
        <f>SUMIFS('收入（外部）'!50:50,'收入（外部）'!1:1,$B$1,'收入（外部）'!2:2,"&lt;="&amp;$B$2)/10000</f>
        <v>639.28418969212476</v>
      </c>
      <c r="M5" s="108">
        <f t="shared" ref="M5:M42" si="1">L5-E5/12*$B$2</f>
        <v>189.95085635879144</v>
      </c>
      <c r="N5" s="98">
        <f t="shared" ref="N5:N42" si="2">L5-C5/12*$B$2</f>
        <v>210.8887900559875</v>
      </c>
      <c r="O5" s="98">
        <f>L5-D5</f>
        <v>228.70696159404901</v>
      </c>
      <c r="P5" s="94"/>
      <c r="Q5" s="94"/>
      <c r="S5" s="114"/>
      <c r="T5" s="114"/>
    </row>
    <row r="6" spans="1:21" ht="14.25">
      <c r="B6" s="99" t="s">
        <v>52</v>
      </c>
      <c r="C6" s="100">
        <f>SUMIFS(钢材数据!$D:$D,钢材数据!$A:$A,$B$1-1,钢材数据!$B:$B,"&lt;=12")</f>
        <v>231.15324802219999</v>
      </c>
      <c r="D6" s="100">
        <f>钢铁分析!C32</f>
        <v>399.00165419999996</v>
      </c>
      <c r="E6" s="101">
        <v>224</v>
      </c>
      <c r="F6" s="100">
        <f>钢铁分析!J8</f>
        <v>36.150041198699995</v>
      </c>
      <c r="G6" s="102">
        <f>钢铁分析!M8</f>
        <v>38.409999999999997</v>
      </c>
      <c r="H6" s="103">
        <f t="shared" si="0"/>
        <v>19.147229331483331</v>
      </c>
      <c r="I6" s="109">
        <f t="shared" ref="I6:I42" si="3">G6-E6/12</f>
        <v>19.743333333333329</v>
      </c>
      <c r="J6" s="103">
        <f t="shared" ref="J6:J42" si="4">G6-F6</f>
        <v>2.2599588013000016</v>
      </c>
      <c r="K6" s="929">
        <f>'#经营概况'!G55</f>
        <v>271.93026645659995</v>
      </c>
      <c r="L6" s="100">
        <f>钢铁分析!J32</f>
        <v>271.93026645659995</v>
      </c>
      <c r="M6" s="109">
        <f t="shared" si="1"/>
        <v>122.59693312326661</v>
      </c>
      <c r="N6" s="98">
        <f t="shared" si="2"/>
        <v>117.82810110846663</v>
      </c>
      <c r="O6" s="98">
        <f t="shared" ref="O6:O42" si="5">L6-D6</f>
        <v>-127.07138774340001</v>
      </c>
      <c r="P6" s="94"/>
      <c r="Q6" s="94"/>
    </row>
    <row r="7" spans="1:21" ht="14.25">
      <c r="B7" s="99" t="s">
        <v>51</v>
      </c>
      <c r="C7" s="100">
        <f>SUMIFS(钢材数据!$G:$G,钢材数据!$A:$A,$B$1-1,钢材数据!$B:$B,"&lt;=12")</f>
        <v>411.43985143200592</v>
      </c>
      <c r="D7" s="100">
        <f>钢铁分析!C33</f>
        <v>241.76811635225047</v>
      </c>
      <c r="E7" s="101">
        <v>450</v>
      </c>
      <c r="F7" s="100">
        <f>钢铁分析!J9</f>
        <v>53.872827244217973</v>
      </c>
      <c r="G7" s="102">
        <f>钢铁分析!M9</f>
        <v>53.209969458400003</v>
      </c>
      <c r="H7" s="103">
        <f t="shared" si="0"/>
        <v>18.923315172399512</v>
      </c>
      <c r="I7" s="109">
        <f t="shared" si="3"/>
        <v>15.709969458400003</v>
      </c>
      <c r="J7" s="103">
        <f t="shared" si="4"/>
        <v>-0.66285778581796961</v>
      </c>
      <c r="K7" s="929">
        <f>'#经营概况'!G58</f>
        <v>367.35392323552469</v>
      </c>
      <c r="L7" s="100">
        <f>钢铁分析!J33</f>
        <v>367.35392323552469</v>
      </c>
      <c r="M7" s="109">
        <f t="shared" si="1"/>
        <v>67.35392323552469</v>
      </c>
      <c r="N7" s="98">
        <f t="shared" si="2"/>
        <v>93.060688947520759</v>
      </c>
      <c r="O7" s="98">
        <f t="shared" si="5"/>
        <v>125.58580688327422</v>
      </c>
      <c r="P7" s="94"/>
      <c r="Q7" s="94"/>
    </row>
    <row r="8" spans="1:21" s="92" customFormat="1">
      <c r="B8" s="95" t="s">
        <v>1011</v>
      </c>
      <c r="C8" s="96">
        <f>SUMIFS('收入（外部）'!49:49,'收入（外部）'!1:1,$B$1-1,'收入（外部）'!2:2,"&lt;=12")/10000</f>
        <v>25.933564525452599</v>
      </c>
      <c r="D8" s="96">
        <f>SUMIFS('收入（外部）'!49:49,'收入（外部）'!1:1,$B$1-1,'收入（外部）'!2:2,"&lt;="&amp;$B$2)/10000</f>
        <v>16.016925348452602</v>
      </c>
      <c r="E8" s="97">
        <v>18</v>
      </c>
      <c r="F8" s="96">
        <f>SUMIFS('收入（外部）'!49:49,'收入（外部）'!$1:$1,$F$1,'收入（外部）'!$2:$2,$F$2)/10000</f>
        <v>4.1747499021999976</v>
      </c>
      <c r="G8" s="96">
        <f>SUMIFS('收入（外部）'!49:49,'收入（外部）'!$1:$1,$B$1,'收入（外部）'!$2:$2,$B$2)/10000</f>
        <v>4.7554988361000037</v>
      </c>
      <c r="H8" s="98">
        <f t="shared" si="0"/>
        <v>2.5943684589789537</v>
      </c>
      <c r="I8" s="108">
        <f t="shared" si="3"/>
        <v>3.2554988361000037</v>
      </c>
      <c r="J8" s="98">
        <f t="shared" si="4"/>
        <v>0.58074893390000604</v>
      </c>
      <c r="K8" s="96">
        <f>'#母公司报表'!AP91+'收入（汇总）'!BA4+'收入（汇总）'!BA5+'收入（汇总）'!BA6</f>
        <v>141.27499074919999</v>
      </c>
      <c r="L8" s="96">
        <f>SUMIFS('收入（外部）'!49:49,'收入（外部）'!1:1,$B$1,'收入（外部）'!2:2,"&lt;="&amp;$B$2)/10000</f>
        <v>30.783127593400003</v>
      </c>
      <c r="M8" s="108">
        <f t="shared" si="1"/>
        <v>18.783127593400003</v>
      </c>
      <c r="N8" s="98">
        <f t="shared" si="2"/>
        <v>13.494084576431604</v>
      </c>
      <c r="O8" s="98">
        <f t="shared" si="5"/>
        <v>14.766202244947401</v>
      </c>
      <c r="P8" s="94"/>
      <c r="Q8" s="94"/>
      <c r="S8" s="92">
        <f>SUMIFS('收入（汇总）'!51:51,'收入（汇总）'!1:1,$B$1-1,'收入（汇总）'!2:2,"&lt;=12")/10000</f>
        <v>0</v>
      </c>
    </row>
    <row r="9" spans="1:21" s="92" customFormat="1">
      <c r="B9" s="95" t="s">
        <v>1012</v>
      </c>
      <c r="C9" s="96">
        <f>SUMIFS('收入（外部）'!51:51,'收入（外部）'!1:1,$B$1-1,'收入（外部）'!2:2,"&lt;=12")/10000</f>
        <v>72.025089397058736</v>
      </c>
      <c r="D9" s="96">
        <f>SUMIFS('收入（外部）'!51:51,'收入（外部）'!1:1,$B$1,'收入（外部）'!2:2,"&lt;="&amp;$B$2)/10000</f>
        <v>62.886558710437143</v>
      </c>
      <c r="E9" s="97">
        <v>92.3</v>
      </c>
      <c r="F9" s="96">
        <f>SUMIFS('收入（外部）'!51:51,'收入（外部）'!1:1,$F$1,'收入（外部）'!2:2,F2)/10000</f>
        <v>5.9187114880000022</v>
      </c>
      <c r="G9" s="96">
        <f>SUMIFS('收入（外部）'!51:51,'收入（外部）'!1:1,$B$1,'收入（外部）'!2:2,B2)/10000</f>
        <v>5.5029745346000087</v>
      </c>
      <c r="H9" s="98">
        <f t="shared" si="0"/>
        <v>-0.49911624848821923</v>
      </c>
      <c r="I9" s="108">
        <f t="shared" si="3"/>
        <v>-2.1886921320666577</v>
      </c>
      <c r="J9" s="98">
        <f t="shared" si="4"/>
        <v>-0.4157369533999935</v>
      </c>
      <c r="K9" s="1830">
        <v>224.26</v>
      </c>
      <c r="L9" s="96">
        <f>SUMIFS('收入（外部）'!51:51,'收入（外部）'!1:1,$B$1,'收入（外部）'!2:2,"&lt;="&amp;$B$2)/10000</f>
        <v>62.886558710437143</v>
      </c>
      <c r="M9" s="108">
        <f t="shared" si="1"/>
        <v>1.3532253771038114</v>
      </c>
      <c r="N9" s="98">
        <f t="shared" si="2"/>
        <v>14.869832445731319</v>
      </c>
      <c r="O9" s="98">
        <f t="shared" si="5"/>
        <v>0</v>
      </c>
      <c r="P9" s="94"/>
      <c r="Q9" s="94"/>
      <c r="S9" s="115">
        <f>SUMPRODUCT('收入（汇总）'!$C$3:$AAN$67,('收入（汇总）'!$B$3:$B$67=$A9)*('收入（汇总）'!$C$1:$AAN$1=$B$1-1)*('收入（汇总）'!$C$2:$AAN$2&lt;=12))</f>
        <v>423057.55</v>
      </c>
    </row>
    <row r="10" spans="1:21" s="92" customFormat="1">
      <c r="A10" s="104"/>
      <c r="B10" s="95" t="s">
        <v>1013</v>
      </c>
      <c r="C10" s="96">
        <f>SUM(C11:C15)</f>
        <v>3.9680221222412535</v>
      </c>
      <c r="D10" s="96">
        <f>SUM(D11:D15)</f>
        <v>2.7882603517112239</v>
      </c>
      <c r="E10" s="96">
        <f>SUM(E11:E15)</f>
        <v>4.3310000000000004</v>
      </c>
      <c r="F10" s="96">
        <f>SUM(F11:F15)</f>
        <v>0.52737863449999989</v>
      </c>
      <c r="G10" s="96">
        <f>SUM(G11:G15)</f>
        <v>0.49989181729999993</v>
      </c>
      <c r="H10" s="98">
        <f t="shared" si="0"/>
        <v>0.1692233071132288</v>
      </c>
      <c r="I10" s="108">
        <f t="shared" si="3"/>
        <v>0.13897515063333321</v>
      </c>
      <c r="J10" s="98">
        <f t="shared" si="4"/>
        <v>-2.7486817199999958E-2</v>
      </c>
      <c r="K10" s="96">
        <f>SUM(K11:K15)</f>
        <v>6.1859311667000014</v>
      </c>
      <c r="L10" s="96">
        <f>SUM(L11:L15)</f>
        <v>3.946469394362865</v>
      </c>
      <c r="M10" s="108">
        <f t="shared" si="1"/>
        <v>1.0591360610295313</v>
      </c>
      <c r="N10" s="98">
        <f t="shared" si="2"/>
        <v>1.301121312868696</v>
      </c>
      <c r="O10" s="98">
        <f t="shared" si="5"/>
        <v>1.1582090426516412</v>
      </c>
      <c r="P10" s="94"/>
      <c r="Q10" s="94"/>
      <c r="S10" s="115">
        <f>SUMPRODUCT('收入（汇总）'!$C$3:$AAN$67,('收入（汇总）'!$B$3:$B$67=$A10)*('收入（汇总）'!$C$1:$AAN$1=$B$1-1)*('收入（汇总）'!$C$2:$AAN$2&lt;=12))</f>
        <v>423057.55</v>
      </c>
    </row>
    <row r="11" spans="1:21">
      <c r="A11" s="105" t="s">
        <v>124</v>
      </c>
      <c r="B11" s="99" t="s">
        <v>124</v>
      </c>
      <c r="C11" s="100">
        <f>SUMPRODUCT('收入（外部）'!$B$3:$AAM$68,('收入（外部）'!$A$3:$A$68=$A11)*('收入（外部）'!$B$1:$AAM$1=$B$1-1)*('收入（外部）'!$B$2:$AAM$2&lt;=12))/10000</f>
        <v>3.4856354111999992</v>
      </c>
      <c r="D11" s="100">
        <f t="array" ref="D11">SUMPRODUCT('收入（外部）'!$B$3:$AAM$68,('收入（外部）'!$A$3:$A$68=$A11)*('收入（外部）'!$B$1:$AAM$1=$B$1-1)*('收入（外部）'!$B$2:$AAM$2&lt;=$B$2))/10000</f>
        <v>2.4824735591999998</v>
      </c>
      <c r="E11" s="100">
        <v>3.4773999999999998</v>
      </c>
      <c r="F11" s="100">
        <f>SUMPRODUCT('收入（外部）'!$B$3:$AAM$68,('收入（外部）'!$A$3:$A$68=$A11)*('收入（外部）'!$B$1:$AAM$1=$F$1)*('收入（外部）'!$B$2:$AAM$2=$F$2))/10000</f>
        <v>0.46403493109999999</v>
      </c>
      <c r="G11" s="100">
        <f>SUMPRODUCT('收入（外部）'!$B$3:$AAM$68,('收入（外部）'!$A$3:$A$68=$A11)*('收入（外部）'!$B$1:$AAM$1=$B$1)*('收入（外部）'!$B$2:$AAM$2=$B$2))/10000</f>
        <v>0.4427013548</v>
      </c>
      <c r="H11" s="103">
        <f t="shared" si="0"/>
        <v>0.15223173720000005</v>
      </c>
      <c r="I11" s="109">
        <f t="shared" si="3"/>
        <v>0.15291802146666666</v>
      </c>
      <c r="J11" s="103">
        <f t="shared" si="4"/>
        <v>-2.133357629999999E-2</v>
      </c>
      <c r="K11" s="100">
        <f>'收入（汇总）'!BA23</f>
        <v>4.685774159000001</v>
      </c>
      <c r="L11" s="100">
        <f>SUMPRODUCT('收入（外部）'!$B$3:$AAM$68,('收入（外部）'!$A$3:$A$68=$A11)*('收入（外部）'!$B$1:$AAM$1=$B$1)*('收入（外部）'!$B$2:$AAM$2&lt;=$B$2))/10000</f>
        <v>3.4786361123000002</v>
      </c>
      <c r="M11" s="109">
        <f t="shared" si="1"/>
        <v>1.1603694456333336</v>
      </c>
      <c r="N11" s="98">
        <f t="shared" si="2"/>
        <v>1.1548791715000006</v>
      </c>
      <c r="O11" s="98">
        <f t="shared" si="5"/>
        <v>0.99616255310000046</v>
      </c>
      <c r="P11" s="110">
        <f>SUMIFS('@预测#收入利润#'!$L$5:$L$44,'@预测#收入利润#'!$A$5:$A$44,'#收入完成情况'!A11)</f>
        <v>4749</v>
      </c>
      <c r="Q11" s="111">
        <f>G11*10000-P11</f>
        <v>-321.9864520000001</v>
      </c>
      <c r="S11" s="115">
        <f>SUMPRODUCT('收入（汇总）'!$C$3:$AAN$67,('收入（汇总）'!$B$3:$B$67=$A11)*('收入（汇总）'!$C$1:$AAN$1=$B$1-1)*('收入（汇总）'!$C$2:$AAN$2&lt;=12))</f>
        <v>46857.741590000012</v>
      </c>
      <c r="U11" s="115">
        <f>SUMPRODUCT('收入（汇总）'!$C$3:$AAN$67,('收入（汇总）'!$B$3:$B$67=$A11)*('收入（汇总）'!$C$1:$AAN$1=$B$1)*('收入（汇总）'!$C$2:$AAN$2&lt;=$B$2-1))</f>
        <v>35211.624049000005</v>
      </c>
    </row>
    <row r="12" spans="1:21">
      <c r="A12" s="105" t="s">
        <v>126</v>
      </c>
      <c r="B12" s="99" t="s">
        <v>126</v>
      </c>
      <c r="C12" s="100">
        <f>SUMPRODUCT('收入（外部）'!$B$3:$AAM$68,('收入（外部）'!$A$3:$A$68=$A12)*('收入（外部）'!$B$1:$AAM$1=$B$1-1)*('收入（外部）'!$B$2:$AAM$2&lt;=12))/10000</f>
        <v>4.1333205999999996E-3</v>
      </c>
      <c r="D12" s="100">
        <f t="array" ref="D12">SUMPRODUCT('收入（外部）'!$B$3:$AAM$68,('收入（外部）'!$A$3:$A$68=$A12)*('收入（外部）'!$B$1:$AAM$1=$B$1-1)*('收入（外部）'!$B$2:$AAM$2&lt;=$B$2))/10000</f>
        <v>1.3047760000000001E-3</v>
      </c>
      <c r="E12" s="100">
        <v>0</v>
      </c>
      <c r="F12" s="100">
        <f>SUMPRODUCT('收入（外部）'!$B$3:$AAM$68,('收入（外部）'!$A$3:$A$68=$A12)*('收入（外部）'!$B$1:$AAM$1=$F$1)*('收入（外部）'!$B$2:$AAM$2=$F$2))/10000</f>
        <v>6.7532549999999997E-3</v>
      </c>
      <c r="G12" s="100">
        <f>SUMPRODUCT('收入（外部）'!$B$3:$AAM$68,('收入（外部）'!$A$3:$A$68=$A12)*('收入（外部）'!$B$1:$AAM$1=$B$1)*('收入（外部）'!$B$2:$AAM$2=$B$2))/10000</f>
        <v>1.2687231000000001E-3</v>
      </c>
      <c r="H12" s="103">
        <f t="shared" si="0"/>
        <v>9.2427971666666684E-4</v>
      </c>
      <c r="I12" s="109">
        <f t="shared" si="3"/>
        <v>1.2687231000000001E-3</v>
      </c>
      <c r="J12" s="103">
        <f t="shared" si="4"/>
        <v>-5.4845318999999998E-3</v>
      </c>
      <c r="K12" s="100">
        <f>'收入（汇总）'!BA25</f>
        <v>4.1333205999999996E-3</v>
      </c>
      <c r="L12" s="100">
        <f>SUMPRODUCT('收入（外部）'!$B$3:$AAM$68,('收入（外部）'!$A$3:$A$68=$A12)*('收入（外部）'!$B$1:$AAM$1=$B$1)*('收入（外部）'!$B$2:$AAM$2&lt;=$B$2))/10000</f>
        <v>1.91805239E-2</v>
      </c>
      <c r="M12" s="109">
        <f t="shared" si="1"/>
        <v>1.91805239E-2</v>
      </c>
      <c r="N12" s="98">
        <f t="shared" si="2"/>
        <v>1.6424976833333334E-2</v>
      </c>
      <c r="O12" s="98">
        <f t="shared" si="5"/>
        <v>1.7875747899999999E-2</v>
      </c>
      <c r="P12" s="110">
        <f>SUMIFS('@预测#收入利润#'!$L$5:$L$44,'@预测#收入利润#'!$A$5:$A$44,'#收入完成情况'!A12)</f>
        <v>0</v>
      </c>
      <c r="Q12" s="111">
        <f>G12*10000-P12</f>
        <v>12.687231000000001</v>
      </c>
      <c r="S12" s="115">
        <f>SUMPRODUCT('收入（汇总）'!$C$3:$AAN$67,('收入（汇总）'!$B$3:$B$67=$A12)*('收入（汇总）'!$C$1:$AAN$1=$B$1-1)*('收入（汇总）'!$C$2:$AAN$2&lt;=12))</f>
        <v>41.333205999999997</v>
      </c>
      <c r="U12" s="115">
        <f>SUMPRODUCT('收入（汇总）'!$C$3:$AAN$67,('收入（汇总）'!$B$3:$B$67=$A12)*('收入（汇总）'!$C$1:$AAN$1=$B$1)*('收入（汇总）'!$C$2:$AAN$2&lt;=$B$2-1))</f>
        <v>179.118008</v>
      </c>
    </row>
    <row r="13" spans="1:21">
      <c r="A13" s="105" t="s">
        <v>127</v>
      </c>
      <c r="B13" s="99" t="s">
        <v>506</v>
      </c>
      <c r="C13" s="100">
        <f>SUMPRODUCT('收入（外部）'!$B$3:$AAM$68,('收入（外部）'!$A$3:$A$68=$A13)*('收入（外部）'!$B$1:$AAM$1=$B$1-1)*('收入（外部）'!$B$2:$AAM$2&lt;=12))/10000</f>
        <v>0.3846260847007319</v>
      </c>
      <c r="D13" s="100">
        <f t="array" ref="D13">SUMPRODUCT('收入（外部）'!$B$3:$AAM$68,('收入（外部）'!$A$3:$A$68=$A13)*('收入（外部）'!$B$1:$AAM$1=$B$1-1)*('收入（外部）'!$B$2:$AAM$2&lt;=$B$2))/10000</f>
        <v>0.24143970242065799</v>
      </c>
      <c r="E13" s="100">
        <v>0.66669999999999996</v>
      </c>
      <c r="F13" s="106">
        <f>SUMPRODUCT('收入（外部）'!$B$3:$AAM$68,('收入（外部）'!$A$3:$A$68=$A13)*('收入（外部）'!$B$1:$AAM$1=$F$1)*('收入（外部）'!$B$2:$AAM$2=$F$2))/10000</f>
        <v>3.6051145700000009E-2</v>
      </c>
      <c r="G13" s="106">
        <f>SUMPRODUCT('收入（外部）'!$B$3:$AAM$68,('收入（外部）'!$A$3:$A$68=$A13)*('收入（外部）'!$B$1:$AAM$1=$B$1)*('收入（外部）'!$B$2:$AAM$2=$B$2))/10000</f>
        <v>3.7126979199999993E-2</v>
      </c>
      <c r="H13" s="103">
        <f t="shared" si="0"/>
        <v>5.0748054749389995E-3</v>
      </c>
      <c r="I13" s="109">
        <f t="shared" si="3"/>
        <v>-1.8431354133333334E-2</v>
      </c>
      <c r="J13" s="103">
        <f t="shared" si="4"/>
        <v>1.0758334999999841E-3</v>
      </c>
      <c r="K13" s="100">
        <f>'收入（汇总）'!BA20</f>
        <v>1.1592247093000001</v>
      </c>
      <c r="L13" s="100">
        <f>SUMPRODUCT('收入（外部）'!$B$3:$AAM$68,('收入（外部）'!$A$3:$A$68=$A13)*('收入（外部）'!$B$1:$AAM$1=$B$1)*('收入（外部）'!$B$2:$AAM$2&lt;=$B$2))/10000</f>
        <v>0.28883116746286508</v>
      </c>
      <c r="M13" s="109">
        <f t="shared" si="1"/>
        <v>-0.15563549920380154</v>
      </c>
      <c r="N13" s="98">
        <f t="shared" si="2"/>
        <v>3.241377766237713E-2</v>
      </c>
      <c r="O13" s="98">
        <f t="shared" si="5"/>
        <v>4.7391465042207093E-2</v>
      </c>
      <c r="P13" s="110">
        <f>SUMIFS('@预测#收入利润#'!$L$5:$L$44,'@预测#收入利润#'!$A$5:$A$44,'#收入完成情况'!A13)</f>
        <v>371</v>
      </c>
      <c r="Q13" s="111">
        <f>G13*10000-P13</f>
        <v>0.26979199999993853</v>
      </c>
      <c r="S13" s="115">
        <f>SUMPRODUCT('收入（汇总）'!$C$3:$AAN$67,('收入（汇总）'!$B$3:$B$67=$A13)*('收入（汇总）'!$C$1:$AAN$1=$B$1-1)*('收入（汇总）'!$C$2:$AAN$2&lt;=12))</f>
        <v>11592.247093</v>
      </c>
      <c r="U13" s="115">
        <f>SUMPRODUCT('收入（汇总）'!$C$3:$AAN$67,('收入（汇总）'!$B$3:$B$67=$A13)*('收入（汇总）'!$C$1:$AAN$1=$B$1)*('收入（汇总）'!$C$2:$AAN$2&lt;=$B$2-1))</f>
        <v>6391.7902869999998</v>
      </c>
    </row>
    <row r="14" spans="1:21">
      <c r="A14" s="105" t="s">
        <v>128</v>
      </c>
      <c r="B14" s="99" t="s">
        <v>507</v>
      </c>
      <c r="C14" s="100">
        <f>SUMPRODUCT('收入（外部）'!$B$3:$AAM$68,('收入（外部）'!$A$3:$A$68=$A14)*('收入（外部）'!$B$1:$AAM$1=$B$1-1)*('收入（外部）'!$B$2:$AAM$2&lt;=12))/10000</f>
        <v>4.5103385405227672E-3</v>
      </c>
      <c r="D14" s="100">
        <f t="array" ref="D14">SUMPRODUCT('收入（外部）'!$B$3:$AAM$68,('收入（外部）'!$A$3:$A$68=$A14)*('收入（外部）'!$B$1:$AAM$1=$B$1-1)*('收入（外部）'!$B$2:$AAM$2&lt;=$B$2))/10000</f>
        <v>3.9910510905660007E-3</v>
      </c>
      <c r="E14" s="100">
        <v>8.0699999999999994E-2</v>
      </c>
      <c r="F14" s="100">
        <f>SUMPRODUCT('收入（外部）'!$B$3:$AAM$68,('收入（外部）'!$A$3:$A$68=$A14)*('收入（外部）'!$B$1:$AAM$1=$F$1)*('收入（外部）'!$B$2:$AAM$2=$F$2))/10000</f>
        <v>1.7377653199999999E-2</v>
      </c>
      <c r="G14" s="100">
        <f>SUMPRODUCT('收入（外部）'!$B$3:$AAM$68,('收入（外部）'!$A$3:$A$68=$A14)*('收入（外部）'!$B$1:$AAM$1=$B$1)*('收入（外部）'!$B$2:$AAM$2=$B$2))/10000</f>
        <v>7.4737945999999991E-3</v>
      </c>
      <c r="H14" s="103">
        <f t="shared" si="0"/>
        <v>7.0979330549564351E-3</v>
      </c>
      <c r="I14" s="109">
        <f t="shared" si="3"/>
        <v>7.4879459999999988E-4</v>
      </c>
      <c r="J14" s="103">
        <f t="shared" si="4"/>
        <v>-9.9038585999999991E-3</v>
      </c>
      <c r="K14" s="100">
        <f>'收入（汇总）'!BA21</f>
        <v>0.2476820106</v>
      </c>
      <c r="L14" s="100">
        <f>SUMPRODUCT('收入（外部）'!$B$3:$AAM$68,('收入（外部）'!$A$3:$A$68=$A14)*('收入（外部）'!$B$1:$AAM$1=$B$1)*('收入（外部）'!$B$2:$AAM$2&lt;=$B$2))/10000</f>
        <v>9.6277061100000005E-2</v>
      </c>
      <c r="M14" s="109">
        <f t="shared" si="1"/>
        <v>4.2477061100000012E-2</v>
      </c>
      <c r="N14" s="98">
        <f t="shared" si="2"/>
        <v>9.3270168739651493E-2</v>
      </c>
      <c r="O14" s="98">
        <f t="shared" si="5"/>
        <v>9.2286010009434011E-2</v>
      </c>
      <c r="P14" s="110">
        <f>SUMIFS('@预测#收入利润#'!$L$5:$L$44,'@预测#收入利润#'!$A$5:$A$44,'#收入完成情况'!A14)</f>
        <v>75</v>
      </c>
      <c r="Q14" s="111">
        <f>G14*10000-P14</f>
        <v>-0.26205400000000623</v>
      </c>
      <c r="S14" s="115">
        <f>SUMPRODUCT('收入（汇总）'!$C$3:$AAN$67,('收入（汇总）'!$B$3:$B$67=$A14)*('收入（汇总）'!$C$1:$AAN$1=$B$1-1)*('收入（汇总）'!$C$2:$AAN$2&lt;=12))</f>
        <v>2476.8201060000001</v>
      </c>
      <c r="U14" s="115">
        <f>SUMPRODUCT('收入（汇总）'!$C$3:$AAN$67,('收入（汇总）'!$B$3:$B$67=$A14)*('收入（汇总）'!$C$1:$AAN$1=$B$1)*('收入（汇总）'!$C$2:$AAN$2&lt;=$B$2-1))</f>
        <v>1630.647254</v>
      </c>
    </row>
    <row r="15" spans="1:21">
      <c r="A15" s="105" t="s">
        <v>125</v>
      </c>
      <c r="B15" s="99" t="s">
        <v>477</v>
      </c>
      <c r="C15" s="100">
        <f>SUMPRODUCT('收入（外部）'!$B$3:$AAM$68,('收入（外部）'!$A$3:$A$68=$A15)*('收入（外部）'!$B$1:$AAM$1=$B$1-1)*('收入（外部）'!$B$2:$AAM$2&lt;=12))/10000</f>
        <v>8.9116967199999994E-2</v>
      </c>
      <c r="D15" s="100">
        <f t="array" ref="D15">SUMPRODUCT('收入（外部）'!$B$3:$AAM$68,('收入（外部）'!$A$3:$A$68=$A15)*('收入（外部）'!$B$1:$AAM$1=$B$1-1)*('收入（外部）'!$B$2:$AAM$2&lt;=$B$2))/10000</f>
        <v>5.9051263000000007E-2</v>
      </c>
      <c r="E15" s="100">
        <v>0.1062</v>
      </c>
      <c r="F15" s="100">
        <f>SUMPRODUCT('收入（外部）'!$B$3:$AAM$68,('收入（外部）'!$A$3:$A$68=$A15)*('收入（外部）'!$B$1:$AAM$1=$F$1)*('收入（外部）'!$B$2:$AAM$2=$F$2))/10000</f>
        <v>3.1616495000000001E-3</v>
      </c>
      <c r="G15" s="100">
        <f>SUMPRODUCT('收入（外部）'!$B$3:$AAM$68,('收入（外部）'!$A$3:$A$68=$A15)*('收入（外部）'!$B$1:$AAM$1=$B$1)*('收入（外部）'!$B$2:$AAM$2=$B$2))/10000</f>
        <v>1.1320965600000002E-2</v>
      </c>
      <c r="H15" s="103">
        <f t="shared" si="0"/>
        <v>3.8945516666666685E-3</v>
      </c>
      <c r="I15" s="109">
        <f t="shared" si="3"/>
        <v>2.4709656000000014E-3</v>
      </c>
      <c r="J15" s="103">
        <f t="shared" si="4"/>
        <v>8.1593161000000011E-3</v>
      </c>
      <c r="K15" s="100">
        <f>'收入（汇总）'!BA24</f>
        <v>8.9116967199999994E-2</v>
      </c>
      <c r="L15" s="100">
        <f>SUMPRODUCT('收入（外部）'!$B$3:$AAM$68,('收入（外部）'!$A$3:$A$68=$A15)*('收入（外部）'!$B$1:$AAM$1=$B$1)*('收入（外部）'!$B$2:$AAM$2&lt;=$B$2))/10000</f>
        <v>6.3544529599999997E-2</v>
      </c>
      <c r="M15" s="109">
        <f t="shared" si="1"/>
        <v>-7.2554704000000053E-3</v>
      </c>
      <c r="N15" s="98">
        <f t="shared" si="2"/>
        <v>4.1332181333333315E-3</v>
      </c>
      <c r="O15" s="98">
        <f t="shared" si="5"/>
        <v>4.4932665999999899E-3</v>
      </c>
      <c r="P15" s="110">
        <f>SUMIFS('@预测#收入利润#'!$L$5:$L$44,'@预测#收入利润#'!$A$5:$A$44,'#收入完成情况'!A15)</f>
        <v>113.21</v>
      </c>
      <c r="Q15" s="111">
        <f>G15*10000-P15</f>
        <v>-3.4399999998413477E-4</v>
      </c>
      <c r="S15" s="115">
        <f>SUMPRODUCT('收入（汇总）'!$C$3:$AAN$67,('收入（汇总）'!$B$3:$B$67=$A15)*('收入（汇总）'!$C$1:$AAN$1=$B$1-1)*('收入（汇总）'!$C$2:$AAN$2&lt;=12))</f>
        <v>891.16967199999999</v>
      </c>
      <c r="U15" s="115">
        <f>SUMPRODUCT('收入（汇总）'!$C$3:$AAN$67,('收入（汇总）'!$B$3:$B$67=$A15)*('收入（汇总）'!$C$1:$AAN$1=$B$1)*('收入（汇总）'!$C$2:$AAN$2&lt;=$B$2-1))</f>
        <v>522.23563999999999</v>
      </c>
    </row>
    <row r="16" spans="1:21" s="92" customFormat="1">
      <c r="A16" s="104"/>
      <c r="B16" s="95" t="s">
        <v>1014</v>
      </c>
      <c r="C16" s="96">
        <f>SUM(C17)</f>
        <v>6.9047242936000011</v>
      </c>
      <c r="D16" s="96">
        <f>SUM(D17)</f>
        <v>4.3611294435999994</v>
      </c>
      <c r="E16" s="96">
        <f>SUM(E17)</f>
        <v>9.02</v>
      </c>
      <c r="F16" s="96">
        <f>SUM(F17)</f>
        <v>0</v>
      </c>
      <c r="G16" s="96">
        <f>SUM(G17)</f>
        <v>0</v>
      </c>
      <c r="H16" s="98">
        <f t="shared" si="0"/>
        <v>-0.57539369113333338</v>
      </c>
      <c r="I16" s="108">
        <f t="shared" si="3"/>
        <v>-0.75166666666666659</v>
      </c>
      <c r="J16" s="98">
        <f t="shared" si="4"/>
        <v>0</v>
      </c>
      <c r="K16" s="96">
        <f>SUM(K17)</f>
        <v>7.1622711681000002</v>
      </c>
      <c r="L16" s="96">
        <f>SUM(L17)</f>
        <v>0</v>
      </c>
      <c r="M16" s="108">
        <f t="shared" si="1"/>
        <v>-6.0133333333333328</v>
      </c>
      <c r="N16" s="98">
        <f t="shared" si="2"/>
        <v>-4.6031495290666671</v>
      </c>
      <c r="O16" s="98">
        <f t="shared" si="5"/>
        <v>-4.3611294435999994</v>
      </c>
      <c r="P16" s="110"/>
      <c r="Q16" s="111"/>
      <c r="S16" s="115">
        <f>SUMPRODUCT('收入（汇总）'!$C$3:$AAN$67,('收入（汇总）'!$B$3:$B$67=$A16)*('收入（汇总）'!$C$1:$AAN$1=$B$1-1)*('收入（汇总）'!$C$2:$AAN$2&lt;=12))</f>
        <v>423057.55</v>
      </c>
      <c r="U16" s="115">
        <f>SUMPRODUCT('收入（汇总）'!$C$3:$AAN$67,('收入（汇总）'!$B$3:$B$67=$A16)*('收入（汇总）'!$C$1:$AAN$1=$B$1)*('收入（汇总）'!$C$2:$AAN$2&lt;=$B$2-1))</f>
        <v>0</v>
      </c>
    </row>
    <row r="17" spans="1:21">
      <c r="A17" s="105" t="s">
        <v>137</v>
      </c>
      <c r="B17" s="99" t="s">
        <v>137</v>
      </c>
      <c r="C17" s="100">
        <f>SUMPRODUCT('收入（外部）'!$B$3:$AAM$68,('收入（外部）'!$A$3:$A$68=$A17)*('收入（外部）'!$B$1:$AAM$1=$B$1-1)*('收入（外部）'!$B$2:$AAM$2&lt;=12))/10000</f>
        <v>6.9047242936000011</v>
      </c>
      <c r="D17" s="100">
        <f t="array" ref="D17">SUMPRODUCT('收入（外部）'!$B$3:$AAM$68,('收入（外部）'!$A$3:$A$68=$A17)*('收入（外部）'!$B$1:$AAM$1=$B$1-1)*('收入（外部）'!$B$2:$AAM$2&lt;=$B$2))/10000</f>
        <v>4.3611294435999994</v>
      </c>
      <c r="E17" s="100">
        <v>9.02</v>
      </c>
      <c r="F17" s="100">
        <f>SUMPRODUCT('收入（外部）'!$B$3:$AAM$68,('收入（外部）'!$A$3:$A$68=$A17)*('收入（外部）'!$B$1:$AAM$1=$F$1)*('收入（外部）'!$B$2:$AAM$2=$F$2))/10000</f>
        <v>0</v>
      </c>
      <c r="G17" s="100">
        <f>SUMPRODUCT('收入（外部）'!$B$3:$AAM$68,('收入（外部）'!$A$3:$A$68=$A17)*('收入（外部）'!$B$1:$AAM$1=$B$1)*('收入（外部）'!$B$2:$AAM$2=$B$2))/10000</f>
        <v>0</v>
      </c>
      <c r="H17" s="103">
        <f t="shared" si="0"/>
        <v>-0.57539369113333338</v>
      </c>
      <c r="I17" s="109">
        <f t="shared" si="3"/>
        <v>-0.75166666666666659</v>
      </c>
      <c r="J17" s="103">
        <f t="shared" si="4"/>
        <v>0</v>
      </c>
      <c r="K17" s="100">
        <f>'收入（汇总）'!BA34</f>
        <v>7.1622711681000002</v>
      </c>
      <c r="L17" s="100">
        <f>SUMPRODUCT('收入（外部）'!$B$3:$AAM$68,('收入（外部）'!$A$3:$A$68=$A17)*('收入（外部）'!$B$1:$AAM$1=$B$1)*('收入（外部）'!$B$2:$AAM$2&lt;=$B$2))/10000</f>
        <v>0</v>
      </c>
      <c r="M17" s="109">
        <f t="shared" si="1"/>
        <v>-6.0133333333333328</v>
      </c>
      <c r="N17" s="98">
        <f t="shared" si="2"/>
        <v>-4.6031495290666671</v>
      </c>
      <c r="O17" s="98">
        <f t="shared" si="5"/>
        <v>-4.3611294435999994</v>
      </c>
      <c r="P17" s="110">
        <f>SUMIFS('@预测#收入利润#'!$L$5:$L$44,'@预测#收入利润#'!$A$5:$A$44,'#收入完成情况'!A17)</f>
        <v>0</v>
      </c>
      <c r="Q17" s="111">
        <f>G17*10000-P17</f>
        <v>0</v>
      </c>
      <c r="S17" s="115">
        <f>SUMPRODUCT('收入（汇总）'!$C$3:$AAN$67,('收入（汇总）'!$B$3:$B$67=$A17)*('收入（汇总）'!$C$1:$AAN$1=$B$1-1)*('收入（汇总）'!$C$2:$AAN$2&lt;=12))</f>
        <v>71622.711681000001</v>
      </c>
      <c r="U17" s="115">
        <f>SUMPRODUCT('收入（汇总）'!$C$3:$AAN$67,('收入（汇总）'!$B$3:$B$67=$A17)*('收入（汇总）'!$C$1:$AAN$1=$B$1)*('收入（汇总）'!$C$2:$AAN$2&lt;=$B$2-1))</f>
        <v>0</v>
      </c>
    </row>
    <row r="18" spans="1:21" s="92" customFormat="1">
      <c r="A18" s="104"/>
      <c r="B18" s="95" t="s">
        <v>1015</v>
      </c>
      <c r="C18" s="96">
        <f>SUM(C19:C26)</f>
        <v>5.5474752747999991</v>
      </c>
      <c r="D18" s="96">
        <f>SUM(D19:D26)</f>
        <v>3.4669516205000002</v>
      </c>
      <c r="E18" s="96">
        <f>SUM(E19:E26)</f>
        <v>9.1603125800849998</v>
      </c>
      <c r="F18" s="96">
        <f>SUM(F19:F26)</f>
        <v>0.58160248600000031</v>
      </c>
      <c r="G18" s="96">
        <f>SUM(G19:G26)</f>
        <v>0.69648466529999753</v>
      </c>
      <c r="H18" s="98">
        <f t="shared" si="0"/>
        <v>0.23419505906666427</v>
      </c>
      <c r="I18" s="108">
        <f t="shared" si="3"/>
        <v>-6.6874716373752419E-2</v>
      </c>
      <c r="J18" s="98">
        <f t="shared" si="4"/>
        <v>0.11488217929999722</v>
      </c>
      <c r="K18" s="96">
        <f>SUM(K19:K26)</f>
        <v>31.443106652099999</v>
      </c>
      <c r="L18" s="96">
        <f>SUM(L19:L26)</f>
        <v>4.8337114643999985</v>
      </c>
      <c r="M18" s="108">
        <f t="shared" si="1"/>
        <v>-1.273163588990001</v>
      </c>
      <c r="N18" s="98">
        <f t="shared" si="2"/>
        <v>1.1353946145333325</v>
      </c>
      <c r="O18" s="98">
        <f t="shared" si="5"/>
        <v>1.3667598438999984</v>
      </c>
      <c r="P18" s="110"/>
      <c r="Q18" s="111"/>
      <c r="S18" s="115">
        <f>SUMPRODUCT('收入（汇总）'!$C$3:$AAN$67,('收入（汇总）'!$B$3:$B$67=$A18)*('收入（汇总）'!$C$1:$AAN$1=$B$1-1)*('收入（汇总）'!$C$2:$AAN$2&lt;=12))</f>
        <v>423057.55</v>
      </c>
      <c r="U18" s="115">
        <f>SUMPRODUCT('收入（汇总）'!$C$3:$AAN$67,('收入（汇总）'!$B$3:$B$67=$A18)*('收入（汇总）'!$C$1:$AAN$1=$B$1)*('收入（汇总）'!$C$2:$AAN$2&lt;=$B$2-1))</f>
        <v>0</v>
      </c>
    </row>
    <row r="19" spans="1:21">
      <c r="A19" s="105" t="s">
        <v>113</v>
      </c>
      <c r="B19" s="99" t="s">
        <v>113</v>
      </c>
      <c r="C19" s="100">
        <f>SUMPRODUCT('收入（外部）'!$B$3:$AAM$68,('收入（外部）'!$A$3:$A$68=$A19)*('收入（外部）'!$B$1:$AAM$1=$B$1-1)*('收入（外部）'!$B$2:$AAM$2&lt;=12))/10000</f>
        <v>1.3223056530999997</v>
      </c>
      <c r="D19" s="100">
        <f t="array" ref="D19">SUMPRODUCT('收入（外部）'!$B$3:$AAM$68,('收入（外部）'!$A$3:$A$68=$A19)*('收入（外部）'!$B$1:$AAM$1=$B$1-1)*('收入（外部）'!$B$2:$AAM$2&lt;=$B$2))/10000</f>
        <v>0.9300424494999997</v>
      </c>
      <c r="E19" s="100">
        <v>3.1900125800849999</v>
      </c>
      <c r="F19" s="100">
        <f>SUMPRODUCT('收入（外部）'!$B$3:$AAM$68,('收入（外部）'!$A$3:$A$68=$A19)*('收入（外部）'!$B$1:$AAM$1=$F$1)*('收入（外部）'!$B$2:$AAM$2=$F$2))/10000</f>
        <v>6.3840885399999936E-2</v>
      </c>
      <c r="G19" s="100">
        <f>SUMPRODUCT('收入（外部）'!$B$3:$AAM$68,('收入（外部）'!$A$3:$A$68=$A19)*('收入（外部）'!$B$1:$AAM$1=$B$1)*('收入（外部）'!$B$2:$AAM$2=$B$2))/10000</f>
        <v>0.16807382449999822</v>
      </c>
      <c r="H19" s="103">
        <f t="shared" si="0"/>
        <v>5.7881686741664912E-2</v>
      </c>
      <c r="I19" s="109">
        <f t="shared" si="3"/>
        <v>-9.7760557173751789E-2</v>
      </c>
      <c r="J19" s="103">
        <f t="shared" si="4"/>
        <v>0.10423293909999828</v>
      </c>
      <c r="K19" s="100">
        <f>'收入（汇总）'!BA8</f>
        <v>13.260944568199999</v>
      </c>
      <c r="L19" s="100">
        <f>SUMPRODUCT('收入（外部）'!$B$3:$AAM$68,('收入（外部）'!$A$3:$A$68=$A19)*('收入（外部）'!$B$1:$AAM$1=$B$1)*('收入（外部）'!$B$2:$AAM$2&lt;=$B$2))/10000</f>
        <v>1.0874547917999982</v>
      </c>
      <c r="M19" s="109">
        <f t="shared" si="1"/>
        <v>-1.0392202615900019</v>
      </c>
      <c r="N19" s="98">
        <f t="shared" si="2"/>
        <v>0.20591768973333169</v>
      </c>
      <c r="O19" s="98">
        <f t="shared" si="5"/>
        <v>0.15741234229999845</v>
      </c>
      <c r="P19" s="110">
        <f>SUMIFS('@预测#收入利润#'!$L$5:$L$44,'@预测#收入利润#'!$A$5:$A$44,'#收入完成情况'!A19)</f>
        <v>1170.2551840000015</v>
      </c>
      <c r="Q19" s="111">
        <f t="shared" ref="Q19:Q26" si="6">G19*10000-P19</f>
        <v>510.48306099998081</v>
      </c>
      <c r="S19" s="115">
        <f>SUMPRODUCT('收入（汇总）'!$C$3:$AAN$67,('收入（汇总）'!$B$3:$B$67=$A19)*('收入（汇总）'!$C$1:$AAN$1=$B$1-1)*('收入（汇总）'!$C$2:$AAN$2&lt;=12))</f>
        <v>132609.44568199999</v>
      </c>
      <c r="U19" s="115">
        <f>SUMPRODUCT('收入（汇总）'!$C$3:$AAN$67,('收入（汇总）'!$B$3:$B$67=$A19)*('收入（汇总）'!$C$1:$AAN$1=$B$1)*('收入（汇总）'!$C$2:$AAN$2&lt;=$B$2-1))</f>
        <v>109982.75694399999</v>
      </c>
    </row>
    <row r="20" spans="1:21">
      <c r="A20" s="105" t="s">
        <v>114</v>
      </c>
      <c r="B20" s="99" t="s">
        <v>480</v>
      </c>
      <c r="C20" s="100">
        <f>SUMPRODUCT('收入（外部）'!$B$3:$AAM$68,('收入（外部）'!$A$3:$A$68=$A20)*('收入（外部）'!$B$1:$AAM$1=$B$1-1)*('收入（外部）'!$B$2:$AAM$2&lt;=12))/10000</f>
        <v>0.97837864860000012</v>
      </c>
      <c r="D20" s="100">
        <f t="array" ref="D20">SUMPRODUCT('收入（外部）'!$B$3:$AAM$68,('收入（外部）'!$A$3:$A$68=$A20)*('收入（外部）'!$B$1:$AAM$1=$B$1-1)*('收入（外部）'!$B$2:$AAM$2&lt;=$B$2))/10000</f>
        <v>0.51047157720000003</v>
      </c>
      <c r="E20" s="100">
        <v>1.01</v>
      </c>
      <c r="F20" s="100">
        <f>SUMPRODUCT('收入（外部）'!$B$3:$AAM$68,('收入（外部）'!$A$3:$A$68=$A20)*('收入（外部）'!$B$1:$AAM$1=$F$1)*('收入（外部）'!$B$2:$AAM$2=$F$2))/10000</f>
        <v>0.15313799680000001</v>
      </c>
      <c r="G20" s="100">
        <f>SUMPRODUCT('收入（外部）'!$B$3:$AAM$68,('收入（外部）'!$A$3:$A$68=$A20)*('收入（外部）'!$B$1:$AAM$1=$B$1)*('收入（外部）'!$B$2:$AAM$2=$B$2))/10000</f>
        <v>0.16308292720000001</v>
      </c>
      <c r="H20" s="103">
        <f t="shared" si="0"/>
        <v>8.1551373149999995E-2</v>
      </c>
      <c r="I20" s="109">
        <f t="shared" si="3"/>
        <v>7.8916260533333338E-2</v>
      </c>
      <c r="J20" s="103">
        <f t="shared" si="4"/>
        <v>9.9449303999999961E-3</v>
      </c>
      <c r="K20" s="100">
        <f>'收入（汇总）'!BA12</f>
        <v>1.0202516485999999</v>
      </c>
      <c r="L20" s="100">
        <f>SUMPRODUCT('收入（外部）'!$B$3:$AAM$68,('收入（外部）'!$A$3:$A$68=$A20)*('收入（外部）'!$B$1:$AAM$1=$B$1)*('收入（外部）'!$B$2:$AAM$2&lt;=$B$2))/10000</f>
        <v>1.2263646620999999</v>
      </c>
      <c r="M20" s="109">
        <f t="shared" si="1"/>
        <v>0.55303132876666661</v>
      </c>
      <c r="N20" s="98">
        <f t="shared" si="2"/>
        <v>0.57411222969999987</v>
      </c>
      <c r="O20" s="98">
        <f t="shared" si="5"/>
        <v>0.71589308489999992</v>
      </c>
      <c r="P20" s="110">
        <f>SUMIFS('@预测#收入利润#'!$L$5:$L$44,'@预测#收入利润#'!$A$5:$A$44,'#收入完成情况'!A20)</f>
        <v>597</v>
      </c>
      <c r="Q20" s="111">
        <f t="shared" si="6"/>
        <v>1033.8292719999999</v>
      </c>
      <c r="S20" s="115">
        <f>SUMPRODUCT('收入（汇总）'!$C$3:$AAN$67,('收入（汇总）'!$B$3:$B$67=$A20)*('收入（汇总）'!$C$1:$AAN$1=$B$1-1)*('收入（汇总）'!$C$2:$AAN$2&lt;=12))</f>
        <v>10202.516485999999</v>
      </c>
      <c r="U20" s="115">
        <f>SUMPRODUCT('收入（汇总）'!$C$3:$AAN$67,('收入（汇总）'!$B$3:$B$67=$A20)*('收入（汇总）'!$C$1:$AAN$1=$B$1)*('收入（汇总）'!$C$2:$AAN$2&lt;=$B$2-1))</f>
        <v>10877.368278</v>
      </c>
    </row>
    <row r="21" spans="1:21">
      <c r="A21" s="105" t="s">
        <v>116</v>
      </c>
      <c r="B21" s="99" t="s">
        <v>116</v>
      </c>
      <c r="C21" s="100">
        <f>SUMPRODUCT('收入（外部）'!$B$3:$AAM$68,('收入（外部）'!$A$3:$A$68=$A21)*('收入（外部）'!$B$1:$AAM$1=$B$1-1)*('收入（外部）'!$B$2:$AAM$2&lt;=12))/10000</f>
        <v>1.3799188912</v>
      </c>
      <c r="D21" s="100">
        <f t="array" ref="D21">SUMPRODUCT('收入（外部）'!$B$3:$AAM$68,('收入（外部）'!$A$3:$A$68=$A21)*('收入（外部）'!$B$1:$AAM$1=$B$1-1)*('收入（外部）'!$B$2:$AAM$2&lt;=$B$2))/10000</f>
        <v>0.82835233129999997</v>
      </c>
      <c r="E21" s="100">
        <v>2.5720000000000001</v>
      </c>
      <c r="F21" s="100">
        <f>SUMPRODUCT('收入（外部）'!$B$3:$AAM$68,('收入（外部）'!$A$3:$A$68=$A21)*('收入（外部）'!$B$1:$AAM$1=$F$1)*('收入（外部）'!$B$2:$AAM$2=$F$2))/10000</f>
        <v>0.1644006808</v>
      </c>
      <c r="G21" s="100">
        <f>SUMPRODUCT('收入（外部）'!$B$3:$AAM$68,('收入（外部）'!$A$3:$A$68=$A21)*('收入（外部）'!$B$1:$AAM$1=$B$1)*('收入（外部）'!$B$2:$AAM$2=$B$2))/10000</f>
        <v>0.1970673483999999</v>
      </c>
      <c r="H21" s="103">
        <f t="shared" si="0"/>
        <v>8.207410746666656E-2</v>
      </c>
      <c r="I21" s="109">
        <f t="shared" si="3"/>
        <v>-1.726598493333345E-2</v>
      </c>
      <c r="J21" s="103">
        <f t="shared" si="4"/>
        <v>3.2666667599999893E-2</v>
      </c>
      <c r="K21" s="100">
        <f>'收入（汇总）'!BA14</f>
        <v>2.7810851239000001</v>
      </c>
      <c r="L21" s="100">
        <f>SUMPRODUCT('收入（外部）'!$B$3:$AAM$68,('收入（外部）'!$A$3:$A$68=$A21)*('收入（外部）'!$B$1:$AAM$1=$B$1)*('收入（外部）'!$B$2:$AAM$2&lt;=$B$2))/10000</f>
        <v>1.1757537528999999</v>
      </c>
      <c r="M21" s="109">
        <f t="shared" si="1"/>
        <v>-0.53891291376666683</v>
      </c>
      <c r="N21" s="98">
        <f t="shared" si="2"/>
        <v>0.25580782543333325</v>
      </c>
      <c r="O21" s="98">
        <f t="shared" si="5"/>
        <v>0.34740142159999998</v>
      </c>
      <c r="P21" s="110">
        <f>SUMIFS('@预测#收入利润#'!$L$5:$L$44,'@预测#收入利润#'!$A$5:$A$44,'#收入完成情况'!A21)</f>
        <v>1506</v>
      </c>
      <c r="Q21" s="111">
        <f t="shared" si="6"/>
        <v>464.67348399999901</v>
      </c>
      <c r="S21" s="115">
        <f>SUMPRODUCT('收入（汇总）'!$C$3:$AAN$67,('收入（汇总）'!$B$3:$B$67=$A21)*('收入（汇总）'!$C$1:$AAN$1=$B$1-1)*('收入（汇总）'!$C$2:$AAN$2&lt;=12))</f>
        <v>27810.851239</v>
      </c>
      <c r="U21" s="115">
        <f>SUMPRODUCT('收入（汇总）'!$C$3:$AAN$67,('收入（汇总）'!$B$3:$B$67=$A21)*('收入（汇总）'!$C$1:$AAN$1=$B$1)*('收入（汇总）'!$C$2:$AAN$2&lt;=$B$2-1))</f>
        <v>18877.648502</v>
      </c>
    </row>
    <row r="22" spans="1:21">
      <c r="A22" s="105" t="s">
        <v>118</v>
      </c>
      <c r="B22" s="99" t="s">
        <v>118</v>
      </c>
      <c r="C22" s="100">
        <f>SUMPRODUCT('收入（外部）'!$B$3:$AAM$68,('收入（外部）'!$A$3:$A$68=$A22)*('收入（外部）'!$B$1:$AAM$1=$B$1-1)*('收入（外部）'!$B$2:$AAM$2&lt;=12))/10000</f>
        <v>1.3754877271999999</v>
      </c>
      <c r="D22" s="100">
        <f t="array" ref="D22">SUMPRODUCT('收入（外部）'!$B$3:$AAM$68,('收入（外部）'!$A$3:$A$68=$A22)*('收入（外部）'!$B$1:$AAM$1=$B$1-1)*('收入（外部）'!$B$2:$AAM$2&lt;=$B$2))/10000</f>
        <v>0.90524059610000007</v>
      </c>
      <c r="E22" s="100">
        <v>1.51</v>
      </c>
      <c r="F22" s="100">
        <f>SUMPRODUCT('收入（外部）'!$B$3:$AAM$68,('收入（外部）'!$A$3:$A$68=$A22)*('收入（外部）'!$B$1:$AAM$1=$F$1)*('收入（外部）'!$B$2:$AAM$2=$F$2))/10000</f>
        <v>0.12042866529999999</v>
      </c>
      <c r="G22" s="100">
        <f>SUMPRODUCT('收入（外部）'!$B$3:$AAM$68,('收入（外部）'!$A$3:$A$68=$A22)*('收入（外部）'!$B$1:$AAM$1=$B$1)*('收入（外部）'!$B$2:$AAM$2=$B$2))/10000</f>
        <v>0.11279730210000002</v>
      </c>
      <c r="H22" s="103">
        <f t="shared" si="0"/>
        <v>-1.8266751666666386E-3</v>
      </c>
      <c r="I22" s="109">
        <f t="shared" si="3"/>
        <v>-1.3036031233333301E-2</v>
      </c>
      <c r="J22" s="103">
        <f t="shared" si="4"/>
        <v>-7.6313631999999632E-3</v>
      </c>
      <c r="K22" s="100">
        <f>'收入（汇总）'!BA16</f>
        <v>1.4005848688</v>
      </c>
      <c r="L22" s="100">
        <f>SUMPRODUCT('收入（外部）'!$B$3:$AAM$68,('收入（外部）'!$A$3:$A$68=$A22)*('收入（外部）'!$B$1:$AAM$1=$B$1)*('收入（外部）'!$B$2:$AAM$2&lt;=$B$2))/10000</f>
        <v>0.8912572082000001</v>
      </c>
      <c r="M22" s="109">
        <f t="shared" si="1"/>
        <v>-0.1154094584666665</v>
      </c>
      <c r="N22" s="98">
        <f t="shared" si="2"/>
        <v>-2.5734609933333208E-2</v>
      </c>
      <c r="O22" s="98">
        <f t="shared" si="5"/>
        <v>-1.3983387899999977E-2</v>
      </c>
      <c r="P22" s="110">
        <f>SUMIFS('@预测#收入利润#'!$L$5:$L$44,'@预测#收入利润#'!$A$5:$A$44,'#收入完成情况'!A22)</f>
        <v>1168</v>
      </c>
      <c r="Q22" s="111">
        <f t="shared" si="6"/>
        <v>-40.026978999999756</v>
      </c>
      <c r="S22" s="115">
        <f>SUMPRODUCT('收入（汇总）'!$C$3:$AAN$67,('收入（汇总）'!$B$3:$B$67=$A22)*('收入（汇总）'!$C$1:$AAN$1=$B$1-1)*('收入（汇总）'!$C$2:$AAN$2&lt;=12))</f>
        <v>14005.848688</v>
      </c>
      <c r="U22" s="115">
        <f>SUMPRODUCT('收入（汇总）'!$C$3:$AAN$67,('收入（汇总）'!$B$3:$B$67=$A22)*('收入（汇总）'!$C$1:$AAN$1=$B$1)*('收入（汇总）'!$C$2:$AAN$2&lt;=$B$2-1))</f>
        <v>7923.0692660000004</v>
      </c>
    </row>
    <row r="23" spans="1:21">
      <c r="A23" s="105" t="s">
        <v>117</v>
      </c>
      <c r="B23" s="99" t="s">
        <v>117</v>
      </c>
      <c r="C23" s="100">
        <f>SUMPRODUCT('收入（外部）'!$B$3:$AAM$68,('收入（外部）'!$A$3:$A$68=$A23)*('收入（外部）'!$B$1:$AAM$1=$B$1-1)*('收入（外部）'!$B$2:$AAM$2&lt;=12))/10000</f>
        <v>0.18970098090000001</v>
      </c>
      <c r="D23" s="100">
        <f t="array" ref="D23">SUMPRODUCT('收入（外部）'!$B$3:$AAM$68,('收入（外部）'!$A$3:$A$68=$A23)*('收入（外部）'!$B$1:$AAM$1=$B$1-1)*('收入（外部）'!$B$2:$AAM$2&lt;=$B$2))/10000</f>
        <v>0.1013981315</v>
      </c>
      <c r="E23" s="100">
        <v>0.20499999999999999</v>
      </c>
      <c r="F23" s="100">
        <f>SUMPRODUCT('收入（外部）'!$B$3:$AAM$68,('收入（外部）'!$A$3:$A$68=$A23)*('收入（外部）'!$B$1:$AAM$1=$F$1)*('收入（外部）'!$B$2:$AAM$2=$F$2))/10000</f>
        <v>1.8855261000000019E-2</v>
      </c>
      <c r="G23" s="100">
        <f>SUMPRODUCT('收入（外部）'!$B$3:$AAM$68,('收入（外部）'!$A$3:$A$68=$A23)*('收入（外部）'!$B$1:$AAM$1=$B$1)*('收入（外部）'!$B$2:$AAM$2=$B$2))/10000</f>
        <v>-9.1365829999999499E-3</v>
      </c>
      <c r="H23" s="103">
        <f t="shared" si="0"/>
        <v>-2.4944998074999954E-2</v>
      </c>
      <c r="I23" s="109">
        <f t="shared" si="3"/>
        <v>-2.621991633333328E-2</v>
      </c>
      <c r="J23" s="103">
        <f t="shared" si="4"/>
        <v>-2.7991843999999967E-2</v>
      </c>
      <c r="K23" s="100">
        <f>'收入（汇总）'!BA15</f>
        <v>0.65826680599999998</v>
      </c>
      <c r="L23" s="100">
        <f>SUMPRODUCT('收入（外部）'!$B$3:$AAM$68,('收入（外部）'!$A$3:$A$68=$A23)*('收入（外部）'!$B$1:$AAM$1=$B$1)*('收入（外部）'!$B$2:$AAM$2&lt;=$B$2))/10000</f>
        <v>0.15097658500000008</v>
      </c>
      <c r="M23" s="109">
        <f t="shared" si="1"/>
        <v>1.4309918333333421E-2</v>
      </c>
      <c r="N23" s="98">
        <f t="shared" si="2"/>
        <v>2.4509264400000064E-2</v>
      </c>
      <c r="O23" s="98">
        <f t="shared" si="5"/>
        <v>4.9578453500000078E-2</v>
      </c>
      <c r="P23" s="110">
        <f>SUMIFS('@预测#收入利润#'!$L$5:$L$44,'@预测#收入利润#'!$A$5:$A$44,'#收入完成情况'!A23)</f>
        <v>180</v>
      </c>
      <c r="Q23" s="111">
        <f t="shared" si="6"/>
        <v>-271.36582999999951</v>
      </c>
      <c r="S23" s="115">
        <f>SUMPRODUCT('收入（汇总）'!$C$3:$AAN$67,('收入（汇总）'!$B$3:$B$67=$A23)*('收入（汇总）'!$C$1:$AAN$1=$B$1-1)*('收入（汇总）'!$C$2:$AAN$2&lt;=12))</f>
        <v>6582.66806</v>
      </c>
      <c r="U23" s="115">
        <f>SUMPRODUCT('收入（汇总）'!$C$3:$AAN$67,('收入（汇总）'!$B$3:$B$67=$A23)*('收入（汇总）'!$C$1:$AAN$1=$B$1)*('收入（汇总）'!$C$2:$AAN$2&lt;=$B$2-1))</f>
        <v>5029.3228140000001</v>
      </c>
    </row>
    <row r="24" spans="1:21">
      <c r="A24" s="105" t="s">
        <v>120</v>
      </c>
      <c r="B24" s="99" t="s">
        <v>120</v>
      </c>
      <c r="C24" s="100">
        <f>SUMPRODUCT('收入（外部）'!$B$3:$AAM$68,('收入（外部）'!$A$3:$A$68=$A24)*('收入（外部）'!$B$1:$AAM$1=$B$1-1)*('收入（外部）'!$B$2:$AAM$2&lt;=12))/10000</f>
        <v>0</v>
      </c>
      <c r="D24" s="100">
        <f t="array" ref="D24">SUMPRODUCT('收入（外部）'!$B$3:$AAM$68,('收入（外部）'!$A$3:$A$68=$A24)*('收入（外部）'!$B$1:$AAM$1=$B$1-1)*('收入（外部）'!$B$2:$AAM$2&lt;=$B$2))/10000</f>
        <v>0</v>
      </c>
      <c r="E24" s="100">
        <v>0</v>
      </c>
      <c r="F24" s="100">
        <f>SUMPRODUCT('收入（外部）'!$B$3:$AAM$68,('收入（外部）'!$A$3:$A$68=$A24)*('收入（外部）'!$B$1:$AAM$1=$F$1)*('收入（外部）'!$B$2:$AAM$2=$F$2))/10000</f>
        <v>0</v>
      </c>
      <c r="G24" s="100">
        <f>SUMPRODUCT('收入（外部）'!$B$3:$AAM$68,('收入（外部）'!$A$3:$A$68=$A24)*('收入（外部）'!$B$1:$AAM$1=$B$1)*('收入（外部）'!$B$2:$AAM$2=$B$2))/10000</f>
        <v>0</v>
      </c>
      <c r="H24" s="103">
        <f t="shared" si="0"/>
        <v>0</v>
      </c>
      <c r="I24" s="109">
        <f t="shared" si="3"/>
        <v>0</v>
      </c>
      <c r="J24" s="1550">
        <f t="shared" si="4"/>
        <v>0</v>
      </c>
      <c r="K24" s="100">
        <f>'收入（汇总）'!BA152</f>
        <v>0</v>
      </c>
      <c r="L24" s="100">
        <f>SUMPRODUCT('收入（外部）'!$B$3:$AAM$68,('收入（外部）'!$A$3:$A$68=$A24)*('收入（外部）'!$B$1:$AAM$1=$B$1)*('收入（外部）'!$B$2:$AAM$2&lt;=$B$2))/10000</f>
        <v>0</v>
      </c>
      <c r="M24" s="109">
        <f t="shared" si="1"/>
        <v>0</v>
      </c>
      <c r="N24" s="98">
        <f t="shared" si="2"/>
        <v>0</v>
      </c>
      <c r="O24" s="98">
        <f t="shared" si="5"/>
        <v>0</v>
      </c>
      <c r="P24" s="110">
        <f>SUMIFS('@预测#收入利润#'!$L$5:$L$44,'@预测#收入利润#'!$A$5:$A$44,'#收入完成情况'!A24)</f>
        <v>0</v>
      </c>
      <c r="Q24" s="111">
        <f t="shared" si="6"/>
        <v>0</v>
      </c>
      <c r="S24" s="115">
        <f>SUMPRODUCT('收入（汇总）'!$C$3:$AAN$67,('收入（汇总）'!$B$3:$B$67=$A24)*('收入（汇总）'!$C$1:$AAN$1=$B$1-1)*('收入（汇总）'!$C$2:$AAN$2&lt;=12))</f>
        <v>0</v>
      </c>
      <c r="U24" s="115">
        <f>SUMPRODUCT('收入（汇总）'!$C$3:$AAN$67,('收入（汇总）'!$B$3:$B$67=$A24)*('收入（汇总）'!$C$1:$AAN$1=$B$1)*('收入（汇总）'!$C$2:$AAN$2&lt;=$B$2-1))</f>
        <v>0</v>
      </c>
    </row>
    <row r="25" spans="1:21">
      <c r="A25" s="105" t="s">
        <v>487</v>
      </c>
      <c r="B25" s="99" t="s">
        <v>487</v>
      </c>
      <c r="C25" s="100">
        <f>SUMPRODUCT('收入（外部）'!$B$3:$AAM$68,('收入（外部）'!$A$3:$A$68=$A25)*('收入（外部）'!$B$1:$AAM$1=$B$1-1)*('收入（外部）'!$B$2:$AAM$2&lt;=12))/10000</f>
        <v>0</v>
      </c>
      <c r="D25" s="100">
        <f t="array" ref="D25">SUMPRODUCT('收入（外部）'!$B$3:$AAM$68,('收入（外部）'!$A$3:$A$68=$A25)*('收入（外部）'!$B$1:$AAM$1=$B$1-1)*('收入（外部）'!$B$2:$AAM$2&lt;=$B$2))/10000</f>
        <v>0</v>
      </c>
      <c r="E25" s="100">
        <v>0.48399999999999999</v>
      </c>
      <c r="F25" s="100">
        <f>SUMIFS('#需填写'!52:52,'#需填写'!1:1,F1,'#需填写'!2:2,F2)/100000000</f>
        <v>2.6601295699999999E-2</v>
      </c>
      <c r="G25" s="100">
        <f>SUMIFS('#需填写'!52:52,'#需填写'!1:1,B1,'#需填写'!2:2,B2)/100000000</f>
        <v>0</v>
      </c>
      <c r="H25" s="103">
        <f t="shared" si="0"/>
        <v>0</v>
      </c>
      <c r="I25" s="109">
        <f t="shared" si="3"/>
        <v>-4.0333333333333332E-2</v>
      </c>
      <c r="J25" s="103">
        <f t="shared" si="4"/>
        <v>-2.6601295699999999E-2</v>
      </c>
      <c r="K25" s="100">
        <f>'#需填写'!AA52/100000000</f>
        <v>1.6836E-2</v>
      </c>
      <c r="L25" s="100">
        <f>SUMPRODUCT('收入（外部）'!$B$3:$AAM$68,('收入（外部）'!$A$3:$A$68=$A25)*('收入（外部）'!$B$1:$AAM$1=$B$1)*('收入（外部）'!$B$2:$AAM$2&lt;=$B$2))/10000</f>
        <v>0</v>
      </c>
      <c r="M25" s="109">
        <f t="shared" si="1"/>
        <v>-0.32266666666666666</v>
      </c>
      <c r="N25" s="98">
        <f t="shared" si="2"/>
        <v>0</v>
      </c>
      <c r="O25" s="98">
        <f t="shared" si="5"/>
        <v>0</v>
      </c>
      <c r="P25" s="110">
        <f>SUMIFS('@预测#收入利润#'!$L$5:$L$44,'@预测#收入利润#'!$A$5:$A$44,'#收入完成情况'!A25)</f>
        <v>0</v>
      </c>
      <c r="Q25" s="111">
        <f t="shared" si="6"/>
        <v>0</v>
      </c>
      <c r="S25" s="115">
        <f>SUMPRODUCT('收入（汇总）'!$C$3:$AAN$67,('收入（汇总）'!$B$3:$B$67=$A25)*('收入（汇总）'!$C$1:$AAN$1=$B$1-1)*('收入（汇总）'!$C$2:$AAN$2&lt;=12))</f>
        <v>0</v>
      </c>
      <c r="U25" s="115">
        <f>SUMPRODUCT('收入（汇总）'!$C$3:$AAN$67,('收入（汇总）'!$B$3:$B$67=$A25)*('收入（汇总）'!$C$1:$AAN$1=$B$1)*('收入（汇总）'!$C$2:$AAN$2&lt;=$B$2-1))</f>
        <v>0</v>
      </c>
    </row>
    <row r="26" spans="1:21">
      <c r="A26" s="105" t="s">
        <v>115</v>
      </c>
      <c r="B26" s="99" t="s">
        <v>115</v>
      </c>
      <c r="C26" s="100">
        <f>SUMPRODUCT('收入（外部）'!$B$3:$AAM$68,('收入（外部）'!$A$3:$A$68=$A26)*('收入（外部）'!$B$1:$AAM$1=$B$1-1)*('收入（外部）'!$B$2:$AAM$2&lt;=12))/10000</f>
        <v>0.3016833738000001</v>
      </c>
      <c r="D26" s="100">
        <f t="array" ref="D26">SUMPRODUCT('收入（外部）'!$B$3:$AAM$68,('收入（外部）'!$A$3:$A$68=$A26)*('收入（外部）'!$B$1:$AAM$1=$B$1-1)*('收入（外部）'!$B$2:$AAM$2&lt;=$B$2))/10000</f>
        <v>0.19144653490000019</v>
      </c>
      <c r="E26" s="100">
        <v>0.1893</v>
      </c>
      <c r="F26" s="100">
        <f>SUMPRODUCT('收入（外部）'!$B$3:$AAM$68,('收入（外部）'!$A$3:$A$68=$A26)*('收入（外部）'!$B$1:$AAM$1=$F$1)*('收入（外部）'!$B$2:$AAM$2=$F$2))/10000</f>
        <v>3.433770100000038E-2</v>
      </c>
      <c r="G26" s="100">
        <f>SUMPRODUCT('收入（外部）'!$B$3:$AAM$68,('收入（外部）'!$A$3:$A$68=$A26)*('收入（外部）'!$B$1:$AAM$1=$B$1)*('收入（外部）'!$B$2:$AAM$2=$B$2))/10000</f>
        <v>6.4599846099999372E-2</v>
      </c>
      <c r="H26" s="103">
        <f t="shared" si="0"/>
        <v>3.9459564949999359E-2</v>
      </c>
      <c r="I26" s="109">
        <f t="shared" si="3"/>
        <v>4.8824846099999375E-2</v>
      </c>
      <c r="J26" s="103">
        <f t="shared" si="4"/>
        <v>3.0262145099998992E-2</v>
      </c>
      <c r="K26" s="100">
        <f>'收入（汇总）'!BA13</f>
        <v>12.305137636599998</v>
      </c>
      <c r="L26" s="100">
        <f>SUMPRODUCT('收入（外部）'!$B$3:$AAM$68,('收入（外部）'!$A$3:$A$68=$A26)*('收入（外部）'!$B$1:$AAM$1=$B$1)*('收入（外部）'!$B$2:$AAM$2&lt;=$B$2))/10000</f>
        <v>0.30190446439999957</v>
      </c>
      <c r="M26" s="109">
        <f t="shared" si="1"/>
        <v>0.17570446439999957</v>
      </c>
      <c r="N26" s="98">
        <f t="shared" si="2"/>
        <v>0.1007822151999995</v>
      </c>
      <c r="O26" s="98">
        <f t="shared" si="5"/>
        <v>0.11045792949999939</v>
      </c>
      <c r="P26" s="110">
        <f>SUMIFS('@预测#收入利润#'!$L$5:$L$44,'@预测#收入利润#'!$A$5:$A$44,'#收入完成情况'!A26)</f>
        <v>621</v>
      </c>
      <c r="Q26" s="111">
        <f t="shared" si="6"/>
        <v>24.998460999993767</v>
      </c>
      <c r="S26" s="115">
        <f>SUMPRODUCT('收入（汇总）'!$C$3:$AAN$67,('收入（汇总）'!$B$3:$B$67=$A26)*('收入（汇总）'!$C$1:$AAN$1=$B$1-1)*('收入（汇总）'!$C$2:$AAN$2&lt;=12))</f>
        <v>123051.37636599998</v>
      </c>
      <c r="U26" s="115">
        <f>SUMPRODUCT('收入（汇总）'!$C$3:$AAN$67,('收入（汇总）'!$B$3:$B$67=$A26)*('收入（汇总）'!$C$1:$AAN$1=$B$1)*('收入（汇总）'!$C$2:$AAN$2&lt;=$B$2-1))</f>
        <v>78380.426443000004</v>
      </c>
    </row>
    <row r="27" spans="1:21" s="92" customFormat="1">
      <c r="A27" s="104"/>
      <c r="B27" s="95" t="s">
        <v>1016</v>
      </c>
      <c r="C27" s="96">
        <f>SUM(C28:C31)</f>
        <v>0.47695046109999972</v>
      </c>
      <c r="D27" s="96">
        <f>SUM(D28:D31)</f>
        <v>0.31671645459999981</v>
      </c>
      <c r="E27" s="96">
        <f>SUM(E28:E31)</f>
        <v>3.1334621152027498</v>
      </c>
      <c r="F27" s="96">
        <f>SUM(F28:F31)</f>
        <v>-5.7718755999997201E-3</v>
      </c>
      <c r="G27" s="96">
        <f>SUM(G28:G31)</f>
        <v>1.9988977000000661E-3</v>
      </c>
      <c r="H27" s="98">
        <f t="shared" si="0"/>
        <v>-3.7746974058333244E-2</v>
      </c>
      <c r="I27" s="108">
        <f t="shared" si="3"/>
        <v>-0.25912294523356244</v>
      </c>
      <c r="J27" s="98">
        <f t="shared" si="4"/>
        <v>7.7707732999997862E-3</v>
      </c>
      <c r="K27" s="96">
        <f>SUM(K28:K33)</f>
        <v>6.5041501845000003</v>
      </c>
      <c r="L27" s="96">
        <f>SUM(L28:L31)</f>
        <v>0.41310734060000043</v>
      </c>
      <c r="M27" s="108">
        <f t="shared" si="1"/>
        <v>-1.6758674028684997</v>
      </c>
      <c r="N27" s="98">
        <f t="shared" si="2"/>
        <v>9.5140366533333964E-2</v>
      </c>
      <c r="O27" s="98">
        <f t="shared" si="5"/>
        <v>9.639088600000062E-2</v>
      </c>
      <c r="P27" s="110"/>
      <c r="Q27" s="111"/>
      <c r="S27" s="115">
        <f>SUMPRODUCT('收入（汇总）'!$C$3:$AAN$67,('收入（汇总）'!$B$3:$B$67=$A27)*('收入（汇总）'!$C$1:$AAN$1=$B$1-1)*('收入（汇总）'!$C$2:$AAN$2&lt;=12))</f>
        <v>423057.55</v>
      </c>
      <c r="U27" s="115">
        <f>SUMPRODUCT('收入（汇总）'!$C$3:$AAN$67,('收入（汇总）'!$B$3:$B$67=$A27)*('收入（汇总）'!$C$1:$AAN$1=$B$1)*('收入（汇总）'!$C$2:$AAN$2&lt;=$B$2-1))</f>
        <v>0</v>
      </c>
    </row>
    <row r="28" spans="1:21">
      <c r="A28" s="105" t="s">
        <v>132</v>
      </c>
      <c r="B28" s="99" t="s">
        <v>132</v>
      </c>
      <c r="C28" s="100">
        <f>SUMPRODUCT('收入（外部）'!$B$3:$AAM$68,('收入（外部）'!$A$3:$A$68=$A28)*('收入（外部）'!$B$1:$AAM$1=$B$1-1)*('收入（外部）'!$B$2:$AAM$2&lt;=12))/10000</f>
        <v>0.45421563899999973</v>
      </c>
      <c r="D28" s="100">
        <f t="array" ref="D28">SUMPRODUCT('收入（外部）'!$B$3:$AAM$68,('收入（外部）'!$A$3:$A$68=$A28)*('收入（外部）'!$B$1:$AAM$1=$B$1-1)*('收入（外部）'!$B$2:$AAM$2&lt;=$B$2))/10000</f>
        <v>0.3066222617999998</v>
      </c>
      <c r="E28" s="100">
        <v>3.12346211520275</v>
      </c>
      <c r="F28" s="100">
        <f>SUMPRODUCT('收入（外部）'!$B$3:$AAM$68,('收入（外部）'!$A$3:$A$68=$A28)*('收入（外部）'!$B$1:$AAM$1=$F$1)*('收入（外部）'!$B$2:$AAM$2=$F$2))/10000</f>
        <v>-2.5466799999971957E-4</v>
      </c>
      <c r="G28" s="100">
        <f>SUMPRODUCT('收入（外部）'!$B$3:$AAM$68,('收入（外部）'!$A$3:$A$68=$A28)*('收入（外部）'!$B$1:$AAM$1=$B$1)*('收入（外部）'!$B$2:$AAM$2=$B$2))/10000</f>
        <v>5.0289999999222348E-7</v>
      </c>
      <c r="H28" s="103">
        <f t="shared" si="0"/>
        <v>-3.7850800349999984E-2</v>
      </c>
      <c r="I28" s="109">
        <f t="shared" si="3"/>
        <v>-0.26028800670022917</v>
      </c>
      <c r="J28" s="103">
        <f t="shared" si="4"/>
        <v>2.5517089999971179E-4</v>
      </c>
      <c r="K28" s="100">
        <f>'收入（汇总）'!BA29</f>
        <v>5.5209052285000002</v>
      </c>
      <c r="L28" s="100">
        <f>SUMPRODUCT('收入（外部）'!$B$3:$AAM$68,('收入（外部）'!$A$3:$A$68=$A28)*('收入（外部）'!$B$1:$AAM$1=$B$1)*('收入（外部）'!$B$2:$AAM$2&lt;=$B$2))/10000</f>
        <v>0.22745031940000035</v>
      </c>
      <c r="M28" s="109">
        <f t="shared" si="1"/>
        <v>-1.8548577574018328</v>
      </c>
      <c r="N28" s="98">
        <f t="shared" si="2"/>
        <v>-7.5360106599999449E-2</v>
      </c>
      <c r="O28" s="98">
        <f t="shared" si="5"/>
        <v>-7.9171942399999445E-2</v>
      </c>
      <c r="P28" s="110">
        <f>SUMIFS('@预测#收入利润#'!$L$5:$L$44,'@预测#收入利润#'!$A$5:$A$44,'#收入完成情况'!A28)</f>
        <v>520</v>
      </c>
      <c r="Q28" s="111">
        <f t="shared" ref="Q28:Q33" si="7">G28*10000-P28</f>
        <v>-519.99497100000008</v>
      </c>
      <c r="S28" s="115">
        <f>SUMPRODUCT('收入（汇总）'!$C$3:$AAN$67,('收入（汇总）'!$B$3:$B$67=$A28)*('收入（汇总）'!$C$1:$AAN$1=$B$1-1)*('收入（汇总）'!$C$2:$AAN$2&lt;=12))</f>
        <v>55209.052284999998</v>
      </c>
      <c r="U28" s="115">
        <f>SUMPRODUCT('收入（汇总）'!$C$3:$AAN$67,('收入（汇总）'!$B$3:$B$67=$A28)*('收入（汇总）'!$C$1:$AAN$1=$B$1)*('收入（汇总）'!$C$2:$AAN$2&lt;=$B$2-1))</f>
        <v>31632.791248000001</v>
      </c>
    </row>
    <row r="29" spans="1:21">
      <c r="A29" s="105" t="s">
        <v>134</v>
      </c>
      <c r="B29" s="99" t="s">
        <v>134</v>
      </c>
      <c r="C29" s="100">
        <f>SUMPRODUCT('收入（外部）'!$B$3:$AAM$68,('收入（外部）'!$A$3:$A$68=$A29)*('收入（外部）'!$B$1:$AAM$1=$B$1-1)*('收入（外部）'!$B$2:$AAM$2&lt;=12))/10000</f>
        <v>4.9743380000000128E-4</v>
      </c>
      <c r="D29" s="100">
        <f t="array" ref="D29">SUMPRODUCT('收入（外部）'!$B$3:$AAM$68,('收入（外部）'!$A$3:$A$68=$A29)*('收入（外部）'!$B$1:$AAM$1=$B$1-1)*('收入（外部）'!$B$2:$AAM$2&lt;=$B$2))/10000</f>
        <v>6.8094300000001338E-5</v>
      </c>
      <c r="E29" s="100">
        <v>0.01</v>
      </c>
      <c r="F29" s="100">
        <f>SUMPRODUCT('收入（外部）'!$B$3:$AAM$68,('收入（外部）'!$A$3:$A$68=$A29)*('收入（外部）'!$B$1:$AAM$1=$F$1)*('收入（外部）'!$B$2:$AAM$2=$F$2))/10000</f>
        <v>-5.5172076000000007E-3</v>
      </c>
      <c r="G29" s="100">
        <f>SUMPRODUCT('收入（外部）'!$B$3:$AAM$68,('收入（外部）'!$A$3:$A$68=$A29)*('收入（外部）'!$B$1:$AAM$1=$B$1)*('收入（外部）'!$B$2:$AAM$2=$B$2))/10000</f>
        <v>7.4339299999996912E-5</v>
      </c>
      <c r="H29" s="103">
        <f t="shared" si="0"/>
        <v>3.2886483333330136E-5</v>
      </c>
      <c r="I29" s="109">
        <f t="shared" si="3"/>
        <v>-7.5899403333333645E-4</v>
      </c>
      <c r="J29" s="103">
        <f t="shared" si="4"/>
        <v>5.5915468999999975E-3</v>
      </c>
      <c r="K29" s="100">
        <f>'收入（汇总）'!BA31</f>
        <v>0.10144720760000001</v>
      </c>
      <c r="L29" s="100">
        <f>SUMPRODUCT('收入（外部）'!$B$3:$AAM$68,('收入（外部）'!$A$3:$A$68=$A29)*('收入（外部）'!$B$1:$AAM$1=$B$1)*('收入（外部）'!$B$2:$AAM$2&lt;=$B$2))/10000</f>
        <v>-5.3667833000000057E-3</v>
      </c>
      <c r="M29" s="109">
        <f t="shared" si="1"/>
        <v>-1.2033449966666672E-2</v>
      </c>
      <c r="N29" s="98">
        <f t="shared" si="2"/>
        <v>-5.69840583333334E-3</v>
      </c>
      <c r="O29" s="98">
        <f t="shared" si="5"/>
        <v>-5.4348776000000074E-3</v>
      </c>
      <c r="P29" s="110">
        <f>SUMIFS('@预测#收入利润#'!$L$5:$L$44,'@预测#收入利润#'!$A$5:$A$44,'#收入完成情况'!A29)</f>
        <v>0</v>
      </c>
      <c r="Q29" s="111">
        <f t="shared" si="7"/>
        <v>0.74339299999996911</v>
      </c>
      <c r="S29" s="115">
        <f>SUMPRODUCT('收入（汇总）'!$C$3:$AAN$67,('收入（汇总）'!$B$3:$B$67=$A29)*('收入（汇总）'!$C$1:$AAN$1=$B$1-1)*('收入（汇总）'!$C$2:$AAN$2&lt;=12))</f>
        <v>1014.472076</v>
      </c>
      <c r="U29" s="115">
        <f>SUMPRODUCT('收入（汇总）'!$C$3:$AAN$67,('收入（汇总）'!$B$3:$B$67=$A29)*('收入（汇总）'!$C$1:$AAN$1=$B$1)*('收入（汇总）'!$C$2:$AAN$2&lt;=$B$2-1))</f>
        <v>727.83735700000011</v>
      </c>
    </row>
    <row r="30" spans="1:21">
      <c r="A30" s="105" t="s">
        <v>119</v>
      </c>
      <c r="B30" s="99" t="s">
        <v>119</v>
      </c>
      <c r="C30" s="100">
        <f>SUMPRODUCT('收入（外部）'!$B$3:$AAM$68,('收入（外部）'!$A$3:$A$68=$A30)*('收入（外部）'!$B$1:$AAM$1=$B$1-1)*('收入（外部）'!$B$2:$AAM$2&lt;=12))/10000</f>
        <v>2.2237388300000011E-2</v>
      </c>
      <c r="D30" s="100">
        <f t="array" ref="D30">SUMPRODUCT('收入（外部）'!$B$3:$AAM$68,('收入（外部）'!$A$3:$A$68=$A30)*('收入（外部）'!$B$1:$AAM$1=$B$1-1)*('收入（外部）'!$B$2:$AAM$2&lt;=$B$2))/10000</f>
        <v>1.0026098500000004E-2</v>
      </c>
      <c r="E30" s="100">
        <v>0</v>
      </c>
      <c r="F30" s="100">
        <f>SUMPRODUCT('收入（外部）'!$B$3:$AAM$68,('收入（外部）'!$A$3:$A$68=$A30)*('收入（外部）'!$B$1:$AAM$1=$F$1)*('收入（外部）'!$B$2:$AAM$2=$F$2))/10000</f>
        <v>0</v>
      </c>
      <c r="G30" s="100">
        <f>SUMPRODUCT('收入（外部）'!$B$3:$AAM$68,('收入（外部）'!$A$3:$A$68=$A30)*('收入（外部）'!$B$1:$AAM$1=$B$1)*('收入（外部）'!$B$2:$AAM$2=$B$2))/10000</f>
        <v>1.9240555000000768E-3</v>
      </c>
      <c r="H30" s="103">
        <f t="shared" si="0"/>
        <v>7.093980833340922E-5</v>
      </c>
      <c r="I30" s="109">
        <f t="shared" si="3"/>
        <v>1.9240555000000768E-3</v>
      </c>
      <c r="J30" s="103">
        <f t="shared" si="4"/>
        <v>1.9240555000000768E-3</v>
      </c>
      <c r="K30" s="100">
        <f>'收入（汇总）'!BA17</f>
        <v>0.8734275787000001</v>
      </c>
      <c r="L30" s="100">
        <f>SUMPRODUCT('收入（外部）'!$B$3:$AAM$68,('收入（外部）'!$A$3:$A$68=$A30)*('收入（外部）'!$B$1:$AAM$1=$B$1)*('收入（外部）'!$B$2:$AAM$2&lt;=$B$2))/10000</f>
        <v>0.19102380450000006</v>
      </c>
      <c r="M30" s="109">
        <f t="shared" si="1"/>
        <v>0.19102380450000006</v>
      </c>
      <c r="N30" s="98">
        <f t="shared" si="2"/>
        <v>0.17619887896666672</v>
      </c>
      <c r="O30" s="98">
        <f t="shared" si="5"/>
        <v>0.18099770600000006</v>
      </c>
      <c r="P30" s="110">
        <f>SUMIFS('@预测#收入利润#'!$L$5:$L$44,'@预测#收入利润#'!$A$5:$A$44,'#收入完成情况'!A30)</f>
        <v>0</v>
      </c>
      <c r="Q30" s="111">
        <f t="shared" si="7"/>
        <v>19.240555000000768</v>
      </c>
      <c r="S30" s="115">
        <f>SUMPRODUCT('收入（汇总）'!$C$3:$AAN$67,('收入（汇总）'!$B$3:$B$67=$A30)*('收入（汇总）'!$C$1:$AAN$1=$B$1-1)*('收入（汇总）'!$C$2:$AAN$2&lt;=12))</f>
        <v>8734.2757870000005</v>
      </c>
      <c r="U30" s="115">
        <f>SUMPRODUCT('收入（汇总）'!$C$3:$AAN$67,('收入（汇总）'!$B$3:$B$67=$A30)*('收入（汇总）'!$C$1:$AAN$1=$B$1)*('收入（汇总）'!$C$2:$AAN$2&lt;=$B$2-1))</f>
        <v>14959.824795</v>
      </c>
    </row>
    <row r="31" spans="1:21">
      <c r="A31" s="105" t="s">
        <v>133</v>
      </c>
      <c r="B31" s="99" t="s">
        <v>133</v>
      </c>
      <c r="C31" s="100">
        <f>SUMPRODUCT('收入（外部）'!$B$3:$AAM$68,('收入（外部）'!$A$3:$A$68=$A31)*('收入（外部）'!$B$1:$AAM$1=$B$1-1)*('收入（外部）'!$B$2:$AAM$2&lt;=12))/10000</f>
        <v>0</v>
      </c>
      <c r="D31" s="100">
        <f t="array" ref="D31">SUMPRODUCT('收入（外部）'!$B$3:$AAM$68,('收入（外部）'!$A$3:$A$68=$A31)*('收入（外部）'!$B$1:$AAM$1=$B$1-1)*('收入（外部）'!$B$2:$AAM$2&lt;=$B$2))/10000</f>
        <v>0</v>
      </c>
      <c r="E31" s="100">
        <v>0</v>
      </c>
      <c r="F31" s="100">
        <f>SUMPRODUCT('收入（外部）'!$B$3:$AAM$68,('收入（外部）'!$A$3:$A$68=$A31)*('收入（外部）'!$B$1:$AAM$1=$F$1)*('收入（外部）'!$B$2:$AAM$2=$F$2))/10000</f>
        <v>0</v>
      </c>
      <c r="G31" s="100">
        <f>SUMPRODUCT('收入（外部）'!$B$3:$AAM$68,('收入（外部）'!$A$3:$A$68=$A31)*('收入（外部）'!$B$1:$AAM$1=$B$1)*('收入（外部）'!$B$2:$AAM$2=$B$2))/10000</f>
        <v>0</v>
      </c>
      <c r="H31" s="1550">
        <f t="shared" si="0"/>
        <v>0</v>
      </c>
      <c r="I31" s="1829">
        <f t="shared" si="3"/>
        <v>0</v>
      </c>
      <c r="J31" s="1550">
        <f t="shared" si="4"/>
        <v>0</v>
      </c>
      <c r="K31" s="100">
        <f>'收入（汇总）'!BA30</f>
        <v>8.3701696999999992E-3</v>
      </c>
      <c r="L31" s="100">
        <f>SUMPRODUCT('收入（外部）'!$B$3:$AAM$68,('收入（外部）'!$A$3:$A$68=$A31)*('收入（外部）'!$B$1:$AAM$1=$B$1)*('收入（外部）'!$B$2:$AAM$2&lt;=$B$2))/10000</f>
        <v>0</v>
      </c>
      <c r="M31" s="109">
        <f t="shared" si="1"/>
        <v>0</v>
      </c>
      <c r="N31" s="98">
        <f t="shared" si="2"/>
        <v>0</v>
      </c>
      <c r="O31" s="98">
        <f t="shared" si="5"/>
        <v>0</v>
      </c>
      <c r="P31" s="110">
        <f>SUMIFS('@预测#收入利润#'!$L$5:$L$44,'@预测#收入利润#'!$A$5:$A$44,'#收入完成情况'!A31)</f>
        <v>0</v>
      </c>
      <c r="Q31" s="111">
        <f t="shared" si="7"/>
        <v>0</v>
      </c>
      <c r="S31" s="115">
        <f>SUMPRODUCT('收入（汇总）'!$C$3:$AAN$67,('收入（汇总）'!$B$3:$B$67=$A31)*('收入（汇总）'!$C$1:$AAN$1=$B$1-1)*('收入（汇总）'!$C$2:$AAN$2&lt;=12))</f>
        <v>83.701696999999996</v>
      </c>
      <c r="U31" s="115">
        <f>SUMPRODUCT('收入（汇总）'!$C$3:$AAN$67,('收入（汇总）'!$B$3:$B$67=$A31)*('收入（汇总）'!$C$1:$AAN$1=$B$1)*('收入（汇总）'!$C$2:$AAN$2&lt;=$B$2-1))</f>
        <v>87.524715</v>
      </c>
    </row>
    <row r="32" spans="1:21">
      <c r="A32" s="105" t="s">
        <v>136</v>
      </c>
      <c r="B32" s="99" t="s">
        <v>136</v>
      </c>
      <c r="C32" s="100">
        <f>SUMPRODUCT('收入（外部）'!$B$3:$AAM$68,('收入（外部）'!$A$3:$A$68=$A32)*('收入（外部）'!$B$1:$AAM$1=$B$1-1)*('收入（外部）'!$B$2:$AAM$2&lt;=12))/10000</f>
        <v>0</v>
      </c>
      <c r="D32" s="100">
        <f t="array" ref="D32">SUMPRODUCT('收入（外部）'!$B$3:$AAM$68,('收入（外部）'!$A$3:$A$68=$A32)*('收入（外部）'!$B$1:$AAM$1=$B$1-1)*('收入（外部）'!$B$2:$AAM$2&lt;=$B$2))/10000</f>
        <v>0</v>
      </c>
      <c r="E32" s="100">
        <v>0</v>
      </c>
      <c r="F32" s="100">
        <f>SUMPRODUCT('收入（外部）'!$B$3:$AAM$68,('收入（外部）'!$A$3:$A$68=$A32)*('收入（外部）'!$B$1:$AAM$1=$F$1)*('收入（外部）'!$B$2:$AAM$2=$F$2))/10000</f>
        <v>0</v>
      </c>
      <c r="G32" s="100">
        <f>SUMPRODUCT('收入（外部）'!$B$3:$AAM$68,('收入（外部）'!$A$3:$A$68=$A32)*('收入（外部）'!$B$1:$AAM$1=$B$1)*('收入（外部）'!$B$2:$AAM$2=$B$2))/10000</f>
        <v>0</v>
      </c>
      <c r="H32" s="1550">
        <f t="shared" si="0"/>
        <v>0</v>
      </c>
      <c r="I32" s="1829">
        <f>G32-E32/12</f>
        <v>0</v>
      </c>
      <c r="J32" s="1550">
        <f>G32-F32</f>
        <v>0</v>
      </c>
      <c r="K32" s="100">
        <f>0</f>
        <v>0</v>
      </c>
      <c r="L32" s="100">
        <f>SUMPRODUCT('收入（外部）'!$B$3:$AAM$68,('收入（外部）'!$A$3:$A$68=$A32)*('收入（外部）'!$B$1:$AAM$1=$B$1)*('收入（外部）'!$B$2:$AAM$2&lt;=$B$2))/10000</f>
        <v>0</v>
      </c>
      <c r="M32" s="109">
        <f t="shared" si="1"/>
        <v>0</v>
      </c>
      <c r="N32" s="98">
        <f t="shared" si="2"/>
        <v>0</v>
      </c>
      <c r="O32" s="98">
        <f t="shared" si="5"/>
        <v>0</v>
      </c>
      <c r="P32" s="110">
        <f>SUMIFS('@预测#收入利润#'!$L$5:$L$44,'@预测#收入利润#'!$A$5:$A$44,'#收入完成情况'!A32)</f>
        <v>0</v>
      </c>
      <c r="Q32" s="111">
        <f t="shared" si="7"/>
        <v>0</v>
      </c>
      <c r="S32" s="115"/>
      <c r="U32" s="115"/>
    </row>
    <row r="33" spans="1:21">
      <c r="A33" s="105" t="s">
        <v>135</v>
      </c>
      <c r="B33" s="99" t="s">
        <v>135</v>
      </c>
      <c r="C33" s="100">
        <f>SUMPRODUCT('收入（外部）'!$B$3:$AAM$68,('收入（外部）'!$A$3:$A$68=$A33)*('收入（外部）'!$B$1:$AAM$1=$B$1-1)*('收入（外部）'!$B$2:$AAM$2&lt;=12))/10000</f>
        <v>0</v>
      </c>
      <c r="D33" s="100">
        <f t="array" ref="D33">SUMPRODUCT('收入（外部）'!$B$3:$AAM$68,('收入（外部）'!$A$3:$A$68=$A33)*('收入（外部）'!$B$1:$AAM$1=$B$1-1)*('收入（外部）'!$B$2:$AAM$2&lt;=$B$2))/10000</f>
        <v>0</v>
      </c>
      <c r="E33" s="100">
        <v>0</v>
      </c>
      <c r="F33" s="100">
        <f>SUMPRODUCT('收入（外部）'!$B$3:$AAM$68,('收入（外部）'!$A$3:$A$68=$A33)*('收入（外部）'!$B$1:$AAM$1=$F$1)*('收入（外部）'!$B$2:$AAM$2=$F$2))/10000</f>
        <v>0</v>
      </c>
      <c r="G33" s="100">
        <f>SUMPRODUCT('收入（外部）'!$B$3:$AAM$68,('收入（外部）'!$A$3:$A$68=$A33)*('收入（外部）'!$B$1:$AAM$1=$B$1)*('收入（外部）'!$B$2:$AAM$2=$B$2))/10000</f>
        <v>0</v>
      </c>
      <c r="H33" s="1550">
        <f t="shared" si="0"/>
        <v>0</v>
      </c>
      <c r="I33" s="1829">
        <f>G33-E33/12</f>
        <v>0</v>
      </c>
      <c r="J33" s="1550">
        <f>G33-F33</f>
        <v>0</v>
      </c>
      <c r="K33" s="100">
        <v>0</v>
      </c>
      <c r="L33" s="100">
        <f>SUMPRODUCT('收入（外部）'!$B$3:$AAM$68,('收入（外部）'!$A$3:$A$68=$A33)*('收入（外部）'!$B$1:$AAM$1=$B$1)*('收入（外部）'!$B$2:$AAM$2&lt;=$B$2))/10000</f>
        <v>0</v>
      </c>
      <c r="M33" s="109">
        <f t="shared" si="1"/>
        <v>0</v>
      </c>
      <c r="N33" s="98">
        <f t="shared" si="2"/>
        <v>0</v>
      </c>
      <c r="O33" s="98">
        <f t="shared" si="5"/>
        <v>0</v>
      </c>
      <c r="P33" s="110">
        <f>SUMIFS('@预测#收入利润#'!$L$5:$L$44,'@预测#收入利润#'!$A$5:$A$44,'#收入完成情况'!A33)</f>
        <v>0</v>
      </c>
      <c r="Q33" s="111">
        <f t="shared" si="7"/>
        <v>0</v>
      </c>
      <c r="S33" s="115"/>
      <c r="U33" s="115"/>
    </row>
    <row r="34" spans="1:21" s="92" customFormat="1">
      <c r="A34" s="104"/>
      <c r="B34" s="95" t="s">
        <v>1017</v>
      </c>
      <c r="C34" s="96">
        <f>SUM(C35:C38)</f>
        <v>3.7372152169999993</v>
      </c>
      <c r="D34" s="96">
        <f>SUM(D35:D38)</f>
        <v>2.4400619596999999</v>
      </c>
      <c r="E34" s="96">
        <f>SUM(E35:E38)</f>
        <v>4.0357060000000002</v>
      </c>
      <c r="F34" s="96">
        <f>SUM(F35:F38)</f>
        <v>0.21553849749999998</v>
      </c>
      <c r="G34" s="96">
        <f>SUM(G35:G38)</f>
        <v>0.33468513370000003</v>
      </c>
      <c r="H34" s="98">
        <f t="shared" si="0"/>
        <v>2.3250532283333403E-2</v>
      </c>
      <c r="I34" s="108">
        <f t="shared" si="3"/>
        <v>-1.6236996333333087E-3</v>
      </c>
      <c r="J34" s="98">
        <f t="shared" si="4"/>
        <v>0.11914663620000004</v>
      </c>
      <c r="K34" s="96">
        <f>SUM(K35:K38)</f>
        <v>5.7434954740999995</v>
      </c>
      <c r="L34" s="96">
        <f>SUM(L35:L38)</f>
        <v>2.5015494918000001</v>
      </c>
      <c r="M34" s="108">
        <f t="shared" si="1"/>
        <v>-0.1889211748666666</v>
      </c>
      <c r="N34" s="98">
        <f t="shared" si="2"/>
        <v>1.0072680466667094E-2</v>
      </c>
      <c r="O34" s="98">
        <f t="shared" si="5"/>
        <v>6.1487532100000131E-2</v>
      </c>
      <c r="P34" s="110"/>
      <c r="Q34" s="111"/>
      <c r="S34" s="115">
        <f>SUMPRODUCT('收入（汇总）'!$C$3:$AAN$67,('收入（汇总）'!$B$3:$B$67=$A34)*('收入（汇总）'!$C$1:$AAN$1=$B$1-1)*('收入（汇总）'!$C$2:$AAN$2&lt;=12))</f>
        <v>423057.55</v>
      </c>
      <c r="U34" s="115">
        <f>SUMPRODUCT('收入（汇总）'!$C$3:$AAN$67,('收入（汇总）'!$B$3:$B$67=$A34)*('收入（汇总）'!$C$1:$AAN$1=$B$1)*('收入（汇总）'!$C$2:$AAN$2&lt;=$B$2-1))</f>
        <v>0</v>
      </c>
    </row>
    <row r="35" spans="1:21">
      <c r="A35" s="105" t="s">
        <v>129</v>
      </c>
      <c r="B35" s="99" t="s">
        <v>129</v>
      </c>
      <c r="C35" s="100">
        <f>SUMPRODUCT('收入（外部）'!$B$3:$AAM$68,('收入（外部）'!$A$3:$A$68=$A35)*('收入（外部）'!$B$1:$AAM$1=$B$1-1)*('收入（外部）'!$B$2:$AAM$2&lt;=12))/10000</f>
        <v>0.41575888770000002</v>
      </c>
      <c r="D35" s="100">
        <f t="array" ref="D35">SUMPRODUCT('收入（外部）'!$B$3:$AAM$68,('收入（外部）'!$A$3:$A$68=$A35)*('收入（外部）'!$B$1:$AAM$1=$B$1-1)*('收入（外部）'!$B$2:$AAM$2&lt;=$B$2))/10000</f>
        <v>0.32931027039999999</v>
      </c>
      <c r="E35" s="100">
        <v>0.34510000000000002</v>
      </c>
      <c r="F35" s="100">
        <f>SUMPRODUCT('收入（外部）'!$B$3:$AAM$68,('收入（外部）'!$A$3:$A$68=$A35)*('收入（外部）'!$B$1:$AAM$1=$F$1)*('收入（外部）'!$B$2:$AAM$2=$F$2))/10000</f>
        <v>2.905812709999998E-2</v>
      </c>
      <c r="G35" s="100">
        <f>SUMPRODUCT('收入（外部）'!$B$3:$AAM$68,('收入（外部）'!$A$3:$A$68=$A35)*('收入（外部）'!$B$1:$AAM$1=$B$1)*('收入（外部）'!$B$2:$AAM$2=$B$2))/10000</f>
        <v>3.266996440000005E-2</v>
      </c>
      <c r="H35" s="103">
        <f t="shared" si="0"/>
        <v>-1.9766095749999546E-3</v>
      </c>
      <c r="I35" s="109">
        <f t="shared" si="3"/>
        <v>3.911631066666716E-3</v>
      </c>
      <c r="J35" s="103">
        <f t="shared" si="4"/>
        <v>3.6118373000000696E-3</v>
      </c>
      <c r="K35" s="100">
        <f>'收入（汇总）'!BA26</f>
        <v>1.8515730392999998</v>
      </c>
      <c r="L35" s="100">
        <f>SUMPRODUCT('收入（外部）'!$B$3:$AAM$68,('收入（外部）'!$A$3:$A$68=$A35)*('收入（外部）'!$B$1:$AAM$1=$B$1)*('收入（外部）'!$B$2:$AAM$2&lt;=$B$2))/10000</f>
        <v>0.32117781330000006</v>
      </c>
      <c r="M35" s="109">
        <f t="shared" si="1"/>
        <v>9.111114663333339E-2</v>
      </c>
      <c r="N35" s="98">
        <f t="shared" si="2"/>
        <v>4.4005221500000025E-2</v>
      </c>
      <c r="O35" s="98">
        <f t="shared" si="5"/>
        <v>-8.1324570999999346E-3</v>
      </c>
      <c r="P35" s="110">
        <f>SUMIFS('@预测#收入利润#'!$L$5:$L$44,'@预测#收入利润#'!$A$5:$A$44,'#收入完成情况'!A35)</f>
        <v>200</v>
      </c>
      <c r="Q35" s="111">
        <f>G35*10000-P35</f>
        <v>126.69964400000049</v>
      </c>
      <c r="S35" s="115">
        <f>SUMPRODUCT('收入（汇总）'!$C$3:$AAN$67,('收入（汇总）'!$B$3:$B$67=$A35)*('收入（汇总）'!$C$1:$AAN$1=$B$1-1)*('收入（汇总）'!$C$2:$AAN$2&lt;=12))</f>
        <v>18515.730392999998</v>
      </c>
      <c r="U35" s="115">
        <f>SUMPRODUCT('收入（汇总）'!$C$3:$AAN$67,('收入（汇总）'!$B$3:$B$67=$A35)*('收入（汇总）'!$C$1:$AAN$1=$B$1)*('收入（汇总）'!$C$2:$AAN$2&lt;=$B$2-1))</f>
        <v>12152.760318000001</v>
      </c>
    </row>
    <row r="36" spans="1:21">
      <c r="A36" s="105" t="s">
        <v>130</v>
      </c>
      <c r="B36" s="99" t="s">
        <v>130</v>
      </c>
      <c r="C36" s="100">
        <f>SUMPRODUCT('收入（外部）'!$B$3:$AAM$68,('收入（外部）'!$A$3:$A$68=$A36)*('收入（外部）'!$B$1:$AAM$1=$B$1-1)*('收入（外部）'!$B$2:$AAM$2&lt;=12))/10000</f>
        <v>1.2611639045999996</v>
      </c>
      <c r="D36" s="100">
        <f t="array" ref="D36">SUMPRODUCT('收入（外部）'!$B$3:$AAM$68,('收入（外部）'!$A$3:$A$68=$A36)*('收入（外部）'!$B$1:$AAM$1=$B$1-1)*('收入（外部）'!$B$2:$AAM$2&lt;=$B$2))/10000</f>
        <v>0.82034031499999982</v>
      </c>
      <c r="E36" s="100">
        <v>1.1719999999999999</v>
      </c>
      <c r="F36" s="100">
        <f>SUMPRODUCT('收入（外部）'!$B$3:$AAM$68,('收入（外部）'!$A$3:$A$68=$A36)*('收入（外部）'!$B$1:$AAM$1=$F$1)*('收入（外部）'!$B$2:$AAM$2=$F$2))/10000-F25</f>
        <v>6.6557320199999992E-2</v>
      </c>
      <c r="G36" s="100">
        <f>SUMPRODUCT('收入（外部）'!$B$3:$AAM$68,('收入（外部）'!$A$3:$A$68=$A36)*('收入（外部）'!$B$1:$AAM$1=$B$1)*('收入（外部）'!$B$2:$AAM$2=$B$2))/10000-G25</f>
        <v>0.13058054389999998</v>
      </c>
      <c r="H36" s="103">
        <f t="shared" si="0"/>
        <v>2.5483551850000022E-2</v>
      </c>
      <c r="I36" s="109">
        <f t="shared" si="3"/>
        <v>3.2913877233333319E-2</v>
      </c>
      <c r="J36" s="103">
        <f t="shared" si="4"/>
        <v>6.4023223699999993E-2</v>
      </c>
      <c r="K36" s="100">
        <f>'收入（汇总）'!BA27</f>
        <v>1.3234873696</v>
      </c>
      <c r="L36" s="100">
        <f>SUMPRODUCT('收入（外部）'!$B$3:$AAM$68,('收入（外部）'!$A$3:$A$68=$A36)*('收入（外部）'!$B$1:$AAM$1=$B$1)*('收入（外部）'!$B$2:$AAM$2&lt;=$B$2))/10000</f>
        <v>0.98803576850000008</v>
      </c>
      <c r="M36" s="109">
        <f t="shared" si="1"/>
        <v>0.20670243516666675</v>
      </c>
      <c r="N36" s="98">
        <f t="shared" si="2"/>
        <v>0.14725983210000038</v>
      </c>
      <c r="O36" s="98">
        <f t="shared" si="5"/>
        <v>0.16769545350000026</v>
      </c>
      <c r="P36" s="110">
        <f>SUMIFS('@预测#收入利润#'!$L$5:$L$44,'@预测#收入利润#'!$A$5:$A$44,'#收入完成情况'!A36)</f>
        <v>1421</v>
      </c>
      <c r="Q36" s="111">
        <f>G36*10000-P36</f>
        <v>-115.19456100000025</v>
      </c>
      <c r="S36" s="115">
        <f>SUMPRODUCT('收入（汇总）'!$C$3:$AAN$67,('收入（汇总）'!$B$3:$B$67=$A36)*('收入（汇总）'!$C$1:$AAN$1=$B$1-1)*('收入（汇总）'!$C$2:$AAN$2&lt;=12))</f>
        <v>13234.873696000001</v>
      </c>
      <c r="U36" s="115">
        <f>SUMPRODUCT('收入（汇总）'!$C$3:$AAN$67,('收入（汇总）'!$B$3:$B$67=$A36)*('收入（汇总）'!$C$1:$AAN$1=$B$1)*('收入（汇总）'!$C$2:$AAN$2&lt;=$B$2-1))</f>
        <v>9332.2857990000011</v>
      </c>
    </row>
    <row r="37" spans="1:21">
      <c r="A37" s="105" t="s">
        <v>123</v>
      </c>
      <c r="B37" s="99" t="s">
        <v>123</v>
      </c>
      <c r="C37" s="100">
        <f>SUMPRODUCT('收入（外部）'!$B$3:$AAM$68,('收入（外部）'!$A$3:$A$68=$A37)*('收入（外部）'!$B$1:$AAM$1=$B$1-1)*('收入（外部）'!$B$2:$AAM$2&lt;=12))/10000</f>
        <v>0.66366872840000002</v>
      </c>
      <c r="D37" s="100">
        <f t="array" ref="D37">SUMPRODUCT('收入（外部）'!$B$3:$AAM$68,('收入（外部）'!$A$3:$A$68=$A37)*('收入（外部）'!$B$1:$AAM$1=$B$1-1)*('收入（外部）'!$B$2:$AAM$2&lt;=$B$2))/10000</f>
        <v>0.37741342880000001</v>
      </c>
      <c r="E37" s="100">
        <v>1.194</v>
      </c>
      <c r="F37" s="100">
        <f>SUMPRODUCT('收入（外部）'!$B$3:$AAM$68,('收入（外部）'!$A$3:$A$68=$A37)*('收入（外部）'!$B$1:$AAM$1=$F$1)*('收入（外部）'!$B$2:$AAM$2=$F$2))/10000</f>
        <v>8.7114399600000003E-2</v>
      </c>
      <c r="G37" s="100">
        <f>SUMPRODUCT('收入（外部）'!$B$3:$AAM$68,('收入（外部）'!$A$3:$A$68=$A37)*('收入（外部）'!$B$1:$AAM$1=$B$1)*('收入（外部）'!$B$2:$AAM$2=$B$2))/10000</f>
        <v>7.0239828000000004E-2</v>
      </c>
      <c r="H37" s="103">
        <f t="shared" si="0"/>
        <v>1.4934100633333336E-2</v>
      </c>
      <c r="I37" s="109">
        <f t="shared" si="3"/>
        <v>-2.9260171999999987E-2</v>
      </c>
      <c r="J37" s="103">
        <f t="shared" si="4"/>
        <v>-1.6874571599999999E-2</v>
      </c>
      <c r="K37" s="100">
        <f>'收入（汇总）'!BA22</f>
        <v>0.90198984100000001</v>
      </c>
      <c r="L37" s="100">
        <f>SUMPRODUCT('收入（外部）'!$B$3:$AAM$68,('收入（外部）'!$A$3:$A$68=$A37)*('收入（外部）'!$B$1:$AAM$1=$B$1)*('收入（外部）'!$B$2:$AAM$2&lt;=$B$2))/10000</f>
        <v>0.64788935709999995</v>
      </c>
      <c r="M37" s="109">
        <f t="shared" si="1"/>
        <v>-0.14811064289999998</v>
      </c>
      <c r="N37" s="98">
        <f t="shared" si="2"/>
        <v>0.20544353816666661</v>
      </c>
      <c r="O37" s="98">
        <f t="shared" si="5"/>
        <v>0.27047592829999995</v>
      </c>
      <c r="P37" s="110">
        <f>SUMIFS('@预测#收入利润#'!$L$5:$L$44,'@预测#收入利润#'!$A$5:$A$44,'#收入完成情况'!A37)</f>
        <v>592</v>
      </c>
      <c r="Q37" s="111">
        <f>G37*10000-P37</f>
        <v>110.39828</v>
      </c>
      <c r="S37" s="115">
        <f>SUMPRODUCT('收入（汇总）'!$C$3:$AAN$67,('收入（汇总）'!$B$3:$B$67=$A37)*('收入（汇总）'!$C$1:$AAN$1=$B$1-1)*('收入（汇总）'!$C$2:$AAN$2&lt;=12))</f>
        <v>9019.8984099999998</v>
      </c>
      <c r="U37" s="115">
        <f>SUMPRODUCT('收入（汇总）'!$C$3:$AAN$67,('收入（汇总）'!$B$3:$B$67=$A37)*('收入（汇总）'!$C$1:$AAN$1=$B$1)*('收入（汇总）'!$C$2:$AAN$2&lt;=$B$2-1))</f>
        <v>7349.5072579999996</v>
      </c>
    </row>
    <row r="38" spans="1:21">
      <c r="A38" s="105" t="s">
        <v>131</v>
      </c>
      <c r="B38" s="99" t="s">
        <v>497</v>
      </c>
      <c r="C38" s="100">
        <f>SUMPRODUCT('收入（外部）'!$B$3:$AAM$68,('收入（外部）'!$A$3:$A$68=$A38)*('收入（外部）'!$B$1:$AAM$1=$B$1-1)*('收入（外部）'!$B$2:$AAM$2&lt;=12))/10000</f>
        <v>1.3966236963000001</v>
      </c>
      <c r="D38" s="100">
        <f t="array" ref="D38">SUMPRODUCT('收入（外部）'!$B$3:$AAM$68,('收入（外部）'!$A$3:$A$68=$A38)*('收入（外部）'!$B$1:$AAM$1=$B$1-1)*('收入（外部）'!$B$2:$AAM$2&lt;=$B$2))/10000</f>
        <v>0.91299794550000002</v>
      </c>
      <c r="E38" s="100">
        <v>1.324606</v>
      </c>
      <c r="F38" s="100">
        <f>SUMPRODUCT('收入（外部）'!$B$3:$AAM$68,('收入（外部）'!$A$3:$A$68=$A38)*('收入（外部）'!$B$1:$AAM$1=$F$1)*('收入（外部）'!$B$2:$AAM$2=$F$2))/10000</f>
        <v>3.2808650599999996E-2</v>
      </c>
      <c r="G38" s="100">
        <f>SUMPRODUCT('收入（外部）'!$B$3:$AAM$68,('收入（外部）'!$A$3:$A$68=$A38)*('收入（外部）'!$B$1:$AAM$1=$B$1)*('收入（外部）'!$B$2:$AAM$2=$B$2))/10000</f>
        <v>0.10119479739999997</v>
      </c>
      <c r="H38" s="103">
        <f t="shared" si="0"/>
        <v>-1.5190510625000042E-2</v>
      </c>
      <c r="I38" s="109">
        <f t="shared" si="3"/>
        <v>-9.1890359333333671E-3</v>
      </c>
      <c r="J38" s="103">
        <f t="shared" si="4"/>
        <v>6.8386146799999964E-2</v>
      </c>
      <c r="K38" s="100">
        <f>'收入（汇总）'!BA28</f>
        <v>1.6664452241999999</v>
      </c>
      <c r="L38" s="100">
        <f>SUMPRODUCT('收入（外部）'!$B$3:$AAM$68,('收入（外部）'!$A$3:$A$68=$A38)*('收入（外部）'!$B$1:$AAM$1=$B$1)*('收入（外部）'!$B$2:$AAM$2&lt;=$B$2))/10000</f>
        <v>0.54444655289999988</v>
      </c>
      <c r="M38" s="109">
        <f t="shared" si="1"/>
        <v>-0.33862411376666679</v>
      </c>
      <c r="N38" s="98">
        <f t="shared" si="2"/>
        <v>-0.38663591130000019</v>
      </c>
      <c r="O38" s="98">
        <f t="shared" si="5"/>
        <v>-0.36855139260000014</v>
      </c>
      <c r="P38" s="110">
        <f>SUMIFS('@预测#收入利润#'!$L$5:$L$44,'@预测#收入利润#'!$A$5:$A$44,'#收入完成情况'!A38)</f>
        <v>960</v>
      </c>
      <c r="Q38" s="111">
        <f>G38*10000-P38</f>
        <v>51.947973999999704</v>
      </c>
      <c r="S38" s="115">
        <f>SUMPRODUCT('收入（汇总）'!$C$3:$AAN$67,('收入（汇总）'!$B$3:$B$67=$A38)*('收入（汇总）'!$C$1:$AAN$1=$B$1-1)*('收入（汇总）'!$C$2:$AAN$2&lt;=12))</f>
        <v>16664.452241999999</v>
      </c>
      <c r="U38" s="115">
        <f>SUMPRODUCT('收入（汇总）'!$C$3:$AAN$67,('收入（汇总）'!$B$3:$B$67=$A38)*('收入（汇总）'!$C$1:$AAN$1=$B$1)*('收入（汇总）'!$C$2:$AAN$2&lt;=$B$2-1))</f>
        <v>7377.515453</v>
      </c>
    </row>
    <row r="39" spans="1:21" s="92" customFormat="1">
      <c r="A39" s="104"/>
      <c r="B39" s="95" t="s">
        <v>1018</v>
      </c>
      <c r="C39" s="96">
        <f>SUM(C40:C42)</f>
        <v>0</v>
      </c>
      <c r="D39" s="96">
        <f>SUM(D40:D42)</f>
        <v>0</v>
      </c>
      <c r="E39" s="96">
        <v>0.01</v>
      </c>
      <c r="F39" s="96">
        <f>SUM(F40:F42)</f>
        <v>0</v>
      </c>
      <c r="G39" s="96">
        <f>SUM(G40:G42)</f>
        <v>0</v>
      </c>
      <c r="H39" s="98">
        <f t="shared" si="0"/>
        <v>0</v>
      </c>
      <c r="I39" s="108">
        <f t="shared" si="3"/>
        <v>-8.3333333333333339E-4</v>
      </c>
      <c r="J39" s="98">
        <f t="shared" si="4"/>
        <v>0</v>
      </c>
      <c r="K39" s="96">
        <f>SUM(K40:K42)</f>
        <v>0</v>
      </c>
      <c r="L39" s="96">
        <f>SUM(L40:L42)</f>
        <v>0</v>
      </c>
      <c r="M39" s="108">
        <f t="shared" si="1"/>
        <v>-6.6666666666666671E-3</v>
      </c>
      <c r="N39" s="98">
        <f t="shared" si="2"/>
        <v>0</v>
      </c>
      <c r="O39" s="98">
        <f t="shared" si="5"/>
        <v>0</v>
      </c>
      <c r="P39" s="110"/>
      <c r="Q39" s="112"/>
      <c r="S39" s="115">
        <f>SUMPRODUCT('收入（汇总）'!$C$3:$AAN$67,('收入（汇总）'!$B$3:$B$67=$A39)*('收入（汇总）'!$C$1:$AAN$1=$B$1-1)*('收入（汇总）'!$C$2:$AAN$2&lt;=12))</f>
        <v>423057.55</v>
      </c>
      <c r="U39" s="115">
        <f>SUMPRODUCT('收入（汇总）'!$C$3:$AAN$67,('收入（汇总）'!$B$3:$B$67=$A39)*('收入（汇总）'!$C$1:$AAN$1=$B$1)*('收入（汇总）'!$C$2:$AAN$2&lt;=$B$2-1))</f>
        <v>0</v>
      </c>
    </row>
    <row r="40" spans="1:21">
      <c r="A40" s="105" t="s">
        <v>139</v>
      </c>
      <c r="B40" s="99" t="s">
        <v>139</v>
      </c>
      <c r="C40" s="100">
        <f>SUMPRODUCT('收入（外部）'!$B$3:$AAM$68,('收入（外部）'!$A$3:$A$68=$A40)*('收入（外部）'!$B$1:$AAM$1=$B$1-1)*('收入（外部）'!$B$2:$AAM$2&lt;=12))/10000</f>
        <v>0</v>
      </c>
      <c r="D40" s="100">
        <f t="array" ref="D40">SUMPRODUCT('收入（外部）'!$B$3:$AAM$68,('收入（外部）'!$A$3:$A$68=$A40)*('收入（外部）'!$B$1:$AAM$1=$B$1-1)*('收入（外部）'!$B$2:$AAM$2&lt;=$B$2))/10000</f>
        <v>0</v>
      </c>
      <c r="E40" s="100">
        <v>7.5600000000000001E-2</v>
      </c>
      <c r="F40" s="100">
        <f>SUMPRODUCT('收入（外部）'!$B$3:$AAM$68,('收入（外部）'!$A$3:$A$68=$A40)*('收入（外部）'!$B$1:$AAM$1=$F$1)*('收入（外部）'!$B$2:$AAM$2=$F$2))/10000</f>
        <v>0</v>
      </c>
      <c r="G40" s="100">
        <f>SUMPRODUCT('收入（外部）'!$B$3:$AAM$68,('收入（外部）'!$A$3:$A$68=$A40)*('收入（外部）'!$B$1:$AAM$1=$B$1)*('收入（外部）'!$B$2:$AAM$2=$B$2))/10000</f>
        <v>0</v>
      </c>
      <c r="H40" s="103">
        <f t="shared" si="0"/>
        <v>0</v>
      </c>
      <c r="I40" s="109">
        <f t="shared" si="3"/>
        <v>-6.3E-3</v>
      </c>
      <c r="J40" s="103">
        <f t="shared" si="4"/>
        <v>0</v>
      </c>
      <c r="K40" s="100">
        <v>0</v>
      </c>
      <c r="L40" s="100">
        <f>SUMPRODUCT('收入（外部）'!$B$3:$AAM$68,('收入（外部）'!$A$3:$A$68=$A40)*('收入（外部）'!$B$1:$AAM$1=$B$1)*('收入（外部）'!$B$2:$AAM$2&lt;=$B$2))/10000</f>
        <v>0</v>
      </c>
      <c r="M40" s="109">
        <f t="shared" si="1"/>
        <v>-5.04E-2</v>
      </c>
      <c r="N40" s="98">
        <f t="shared" si="2"/>
        <v>0</v>
      </c>
      <c r="O40" s="98">
        <f t="shared" si="5"/>
        <v>0</v>
      </c>
      <c r="P40" s="110"/>
      <c r="Q40" s="112"/>
      <c r="S40" s="115">
        <f>SUMPRODUCT('收入（汇总）'!$C$3:$AAN$67,('收入（汇总）'!$B$3:$B$67=$A40)*('收入（汇总）'!$C$1:$AAN$1=$B$1-1)*('收入（汇总）'!$C$2:$AAN$2&lt;=12))</f>
        <v>0</v>
      </c>
      <c r="U40" s="115">
        <f>SUMPRODUCT('收入（汇总）'!$C$3:$AAN$67,('收入（汇总）'!$B$3:$B$67=$A40)*('收入（汇总）'!$C$1:$AAN$1=$B$1)*('收入（汇总）'!$C$2:$AAN$2&lt;=$B$2-1))</f>
        <v>0</v>
      </c>
    </row>
    <row r="41" spans="1:21">
      <c r="A41" s="105" t="s">
        <v>140</v>
      </c>
      <c r="B41" s="99" t="s">
        <v>140</v>
      </c>
      <c r="C41" s="100">
        <f>SUMPRODUCT('收入（外部）'!$B$3:$AAM$68,('收入（外部）'!$A$3:$A$68=$A41)*('收入（外部）'!$B$1:$AAM$1=$B$1-1)*('收入（外部）'!$B$2:$AAM$2&lt;=12))/10000</f>
        <v>0</v>
      </c>
      <c r="D41" s="100">
        <f t="array" ref="D41">SUMPRODUCT('收入（外部）'!$B$3:$AAM$68,('收入（外部）'!$A$3:$A$68=$A41)*('收入（外部）'!$B$1:$AAM$1=$B$1-1)*('收入（外部）'!$B$2:$AAM$2&lt;=$B$2))/10000</f>
        <v>0</v>
      </c>
      <c r="E41" s="100">
        <v>4.8000000000000001E-2</v>
      </c>
      <c r="F41" s="100">
        <f>SUMPRODUCT('收入（外部）'!$B$3:$AAM$68,('收入（外部）'!$A$3:$A$68=$A41)*('收入（外部）'!$B$1:$AAM$1=$F$1)*('收入（外部）'!$B$2:$AAM$2=$F$2))/10000</f>
        <v>0</v>
      </c>
      <c r="G41" s="100">
        <f>SUMPRODUCT('收入（外部）'!$B$3:$AAM$68,('收入（外部）'!$A$3:$A$68=$A41)*('收入（外部）'!$B$1:$AAM$1=$B$1)*('收入（外部）'!$B$2:$AAM$2=$B$2))/10000</f>
        <v>0</v>
      </c>
      <c r="H41" s="103">
        <f t="shared" si="0"/>
        <v>0</v>
      </c>
      <c r="I41" s="109">
        <f t="shared" si="3"/>
        <v>-4.0000000000000001E-3</v>
      </c>
      <c r="J41" s="103">
        <f t="shared" si="4"/>
        <v>0</v>
      </c>
      <c r="K41" s="100">
        <v>0</v>
      </c>
      <c r="L41" s="100">
        <f>SUMPRODUCT('收入（外部）'!$B$3:$AAM$68,('收入（外部）'!$A$3:$A$68=$A41)*('收入（外部）'!$B$1:$AAM$1=$B$1)*('收入（外部）'!$B$2:$AAM$2&lt;=$B$2))/10000</f>
        <v>0</v>
      </c>
      <c r="M41" s="109">
        <f t="shared" si="1"/>
        <v>-3.2000000000000001E-2</v>
      </c>
      <c r="N41" s="98">
        <f t="shared" si="2"/>
        <v>0</v>
      </c>
      <c r="O41" s="98">
        <f t="shared" si="5"/>
        <v>0</v>
      </c>
      <c r="P41" s="110"/>
      <c r="Q41" s="112"/>
      <c r="S41" s="115">
        <f>SUMPRODUCT('收入（汇总）'!$C$3:$AAN$67,('收入（汇总）'!$B$3:$B$67=$A41)*('收入（汇总）'!$C$1:$AAN$1=$B$1-1)*('收入（汇总）'!$C$2:$AAN$2&lt;=12))</f>
        <v>0</v>
      </c>
      <c r="U41" s="115">
        <f>SUMPRODUCT('收入（汇总）'!$C$3:$AAN$67,('收入（汇总）'!$B$3:$B$67=$A41)*('收入（汇总）'!$C$1:$AAN$1=$B$1)*('收入（汇总）'!$C$2:$AAN$2&lt;=$B$2-1))</f>
        <v>0</v>
      </c>
    </row>
    <row r="42" spans="1:21">
      <c r="A42" s="105" t="s">
        <v>138</v>
      </c>
      <c r="B42" s="99" t="s">
        <v>138</v>
      </c>
      <c r="C42" s="100">
        <f>SUMPRODUCT('收入（外部）'!$B$3:$AAM$68,('收入（外部）'!$A$3:$A$68=$A42)*('收入（外部）'!$B$1:$AAM$1=$B$1-1)*('收入（外部）'!$B$2:$AAM$2&lt;=12))/10000</f>
        <v>0</v>
      </c>
      <c r="D42" s="100">
        <f t="array" ref="D42">SUMPRODUCT('收入（外部）'!$B$3:$AAM$68,('收入（外部）'!$A$3:$A$68=$A42)*('收入（外部）'!$B$1:$AAM$1=$B$1-1)*('收入（外部）'!$B$2:$AAM$2&lt;=$B$2))/10000</f>
        <v>0</v>
      </c>
      <c r="E42" s="100">
        <v>0</v>
      </c>
      <c r="F42" s="100">
        <f>SUMPRODUCT('收入（外部）'!$B$3:$AAM$68,('收入（外部）'!$A$3:$A$68=$A42)*('收入（外部）'!$B$1:$AAM$1=$F$1)*('收入（外部）'!$B$2:$AAM$2=$F$2))/10000</f>
        <v>0</v>
      </c>
      <c r="G42" s="100">
        <f>SUMPRODUCT('收入（外部）'!$B$3:$AAM$68,('收入（外部）'!$A$3:$A$68=$A42)*('收入（外部）'!$B$1:$AAM$1=$B$1)*('收入（外部）'!$B$2:$AAM$2=$B$2))/10000</f>
        <v>0</v>
      </c>
      <c r="H42" s="103">
        <f t="shared" si="0"/>
        <v>0</v>
      </c>
      <c r="I42" s="109">
        <f t="shared" si="3"/>
        <v>0</v>
      </c>
      <c r="J42" s="103">
        <f t="shared" si="4"/>
        <v>0</v>
      </c>
      <c r="K42" s="100">
        <v>0</v>
      </c>
      <c r="L42" s="100">
        <f>SUMPRODUCT('收入（外部）'!$B$3:$AAM$68,('收入（外部）'!$A$3:$A$68=$A42)*('收入（外部）'!$B$1:$AAM$1=$B$1)*('收入（外部）'!$B$2:$AAM$2&lt;=$B$2))/10000</f>
        <v>0</v>
      </c>
      <c r="M42" s="109">
        <f t="shared" si="1"/>
        <v>0</v>
      </c>
      <c r="N42" s="98">
        <f t="shared" si="2"/>
        <v>0</v>
      </c>
      <c r="O42" s="98">
        <f t="shared" si="5"/>
        <v>0</v>
      </c>
      <c r="P42" s="110"/>
      <c r="Q42" s="112"/>
      <c r="S42" s="115">
        <f>SUMPRODUCT('收入（汇总）'!$C$3:$AAN$67,('收入（汇总）'!$B$3:$B$67=$A42)*('收入（汇总）'!$C$1:$AAN$1=$B$1-1)*('收入（汇总）'!$C$2:$AAN$2&lt;=12))</f>
        <v>0</v>
      </c>
      <c r="U42" s="93">
        <f>SUMPRODUCT('收入（汇总）'!$C$3:$AAN$67,('收入（汇总）'!$B$3:$B$67=$A42)*('收入（汇总）'!$C$1:$AAN$1=$B$1)*('收入（汇总）'!$C$2:$AAN$2&lt;=$B$2-1))</f>
        <v>0</v>
      </c>
    </row>
    <row r="43" spans="1:21">
      <c r="A43" s="105"/>
      <c r="B43" s="2037" t="s">
        <v>1237</v>
      </c>
      <c r="C43" s="2038"/>
      <c r="D43" s="2039"/>
      <c r="E43" s="2040"/>
      <c r="F43" s="2039"/>
      <c r="G43" s="2039"/>
      <c r="H43" s="2041"/>
      <c r="I43" s="2041"/>
      <c r="J43" s="2041"/>
      <c r="K43" s="2040"/>
      <c r="L43" s="2039"/>
      <c r="M43" s="2041"/>
      <c r="N43" s="2041"/>
      <c r="O43" s="2035"/>
      <c r="P43" s="1812"/>
      <c r="Q43" s="2036"/>
      <c r="S43" s="115"/>
    </row>
    <row r="44" spans="1:21">
      <c r="A44" s="105"/>
      <c r="B44" s="2037" t="s">
        <v>1238</v>
      </c>
      <c r="C44" s="2038"/>
      <c r="D44" s="2039"/>
      <c r="E44" s="2040"/>
      <c r="F44" s="2039"/>
      <c r="G44" s="2039"/>
      <c r="H44" s="2041"/>
      <c r="I44" s="2041"/>
      <c r="J44" s="2041"/>
      <c r="K44" s="2040"/>
      <c r="L44" s="2039"/>
      <c r="M44" s="2041"/>
      <c r="N44" s="2041"/>
      <c r="O44" s="2035"/>
      <c r="P44" s="1812"/>
      <c r="Q44" s="2036"/>
      <c r="S44" s="115"/>
    </row>
  </sheetData>
  <customSheetViews>
    <customSheetView guid="{1683F931-F47D-47C0-A395-D48080DC7EE6}" showPageBreaks="1">
      <selection activeCell="E19" sqref="E19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 showPageBreaks="1" topLeftCell="A40">
      <selection activeCell="H23" sqref="H23"/>
      <pageMargins left="0.69930555555555596" right="0.69930555555555596" top="0.75" bottom="0.75" header="0.3" footer="0.3"/>
      <pageSetup paperSize="9" orientation="portrait" r:id="rId2"/>
    </customSheetView>
    <customSheetView guid="{849C46E5-4ED4-41B9-BDA9-A6465B9DA9C2}" fitToPage="1" hiddenColumns="1">
      <selection activeCell="J47" sqref="J47"/>
      <pageMargins left="0.69930555555555596" right="0.69930555555555596" top="0.75" bottom="0.75" header="0.3" footer="0.3"/>
      <pageSetup paperSize="9" scale="73" orientation="landscape" r:id="rId3"/>
    </customSheetView>
    <customSheetView guid="{8C09BCDE-4B8A-4469-B3F2-7F4528A2E78D}" showPageBreaks="1" fitToPage="1" printArea="1" hiddenColumns="1">
      <selection activeCell="J47" sqref="J47"/>
      <pageMargins left="0.69930555555555596" right="0.69930555555555596" top="0.75" bottom="0.75" header="0.3" footer="0.3"/>
      <pageSetup paperSize="9" scale="26" orientation="landscape" r:id="rId4"/>
    </customSheetView>
    <customSheetView guid="{F4EB51F4-FD23-4D5B-8072-1AF5D59D6686}" showPageBreaks="1" fitToPage="1" printArea="1" hiddenColumns="1" topLeftCell="A22">
      <selection activeCell="K28" sqref="K28"/>
      <pageMargins left="0.69930555555555596" right="0.69930555555555596" top="0.75" bottom="0.75" header="0.3" footer="0.3"/>
      <pageSetup paperSize="9" scale="73" orientation="landscape" r:id="rId5"/>
    </customSheetView>
    <customSheetView guid="{D7BCFB76-2797-401D-A6F1-E020B5162DD4}" hiddenColumns="1" topLeftCell="A12">
      <selection activeCell="O41" sqref="O41"/>
      <pageMargins left="0.69930555555555596" right="0.69930555555555596" top="0.75" bottom="0.75" header="0.3" footer="0.3"/>
      <pageSetup paperSize="9" orientation="portrait" r:id="rId6"/>
    </customSheetView>
    <customSheetView guid="{C9A88430-3808-49F4-8D86-BF8C70C55441}" showPageBreaks="1">
      <selection activeCell="E19" sqref="E19"/>
      <pageMargins left="0.69930555555555596" right="0.69930555555555596" top="0.75" bottom="0.75" header="0.3" footer="0.3"/>
      <pageSetup paperSize="9" orientation="portrait" r:id="rId7"/>
    </customSheetView>
    <customSheetView guid="{E61FFED3-723E-484A-93A0-94E1A801AF06}" showPageBreaks="1">
      <selection activeCell="D45" sqref="D45"/>
      <pageMargins left="0.69930555555555596" right="0.69930555555555596" top="0.75" bottom="0.75" header="0.3" footer="0.3"/>
      <pageSetup paperSize="9" orientation="portrait" r:id="rId8"/>
    </customSheetView>
    <customSheetView guid="{6B5CCA07-2BDD-4B8E-9E3C-2111BBA97430}" hiddenColumns="1">
      <selection activeCell="K6" sqref="K6"/>
      <pageMargins left="0.69930555555555596" right="0.69930555555555596" top="0.75" bottom="0.75" header="0.3" footer="0.3"/>
      <pageSetup paperSize="9" orientation="portrait" r:id="rId9"/>
    </customSheetView>
    <customSheetView guid="{2F47A827-9643-4D8A-AC5D-6B09D79AACF9}" showPageBreaks="1" topLeftCell="A4">
      <selection activeCell="H23" sqref="H23"/>
      <pageMargins left="0.69930555555555596" right="0.69930555555555596" top="0.75" bottom="0.75" header="0.3" footer="0.3"/>
      <pageSetup paperSize="9" orientation="portrait"/>
    </customSheetView>
    <customSheetView guid="{B37168A1-DBAB-4BDE-9F92-6261DCDF3D92}" showPageBreaks="1" fitToPage="1" printArea="1" hiddenColumns="1" topLeftCell="A33">
      <selection activeCell="C4" sqref="C4:M42"/>
      <pageMargins left="0.69930555555555596" right="0.69930555555555596" top="0.75" bottom="0.75" header="0.3" footer="0.3"/>
      <pageSetup paperSize="9" scale="86" orientation="landscape" r:id="rId10"/>
    </customSheetView>
    <customSheetView guid="{AE0DD889-C13C-4059-8024-0F5B234827E9}" showPageBreaks="1" hiddenColumns="1">
      <selection activeCell="H55" sqref="H55"/>
      <pageMargins left="0.69930555555555596" right="0.69930555555555596" top="0.75" bottom="0.75" header="0.3" footer="0.3"/>
      <pageSetup paperSize="9" orientation="portrait" r:id="rId11"/>
    </customSheetView>
    <customSheetView guid="{CCBBD9B0-4191-4D7A-9F7B-BAC044A49153}" showPageBreaks="1" fitToPage="1" printArea="1" hiddenColumns="1">
      <selection activeCell="B33" sqref="B33"/>
      <pageMargins left="0.69930555555555596" right="0.69930555555555596" top="0.75" bottom="0.75" header="0.3" footer="0.3"/>
      <pageSetup paperSize="9" scale="69" orientation="portrait"/>
    </customSheetView>
    <customSheetView guid="{F5F9735B-EE22-4AC6-B5AB-C856ED6C133D}" showPageBreaks="1" fitToPage="1" printArea="1" hiddenColumns="1">
      <selection activeCell="J28" sqref="J28"/>
      <pageMargins left="0.69930555555555596" right="0.69930555555555596" top="0.75" bottom="0.75" header="0.3" footer="0.3"/>
      <pageSetup paperSize="9" scale="10" orientation="landscape"/>
    </customSheetView>
    <customSheetView guid="{45B4C0D1-53B6-4553-BFF9-393760B8E0CE}" topLeftCell="A7">
      <selection activeCell="B3" sqref="B3:K40"/>
      <pageMargins left="0.69930555555555596" right="0.69930555555555596" top="0.75" bottom="0.75" header="0.3" footer="0.3"/>
      <pageSetup paperSize="9" orientation="portrait"/>
    </customSheetView>
    <customSheetView guid="{1BBD1596-143E-4714-99EF-E3545231CCD1}" topLeftCell="A19">
      <selection activeCell="G43" sqref="G43"/>
      <pageMargins left="0.69930555555555596" right="0.69930555555555596" top="0.75" bottom="0.75" header="0.3" footer="0.3"/>
    </customSheetView>
    <customSheetView guid="{A8456D60-99BA-4794-8966-0CBA0A37EA6F}">
      <selection activeCell="H23" sqref="H23"/>
      <pageMargins left="0.69930555555555596" right="0.69930555555555596" top="0.75" bottom="0.75" header="0.3" footer="0.3"/>
    </customSheetView>
    <customSheetView guid="{500C3980-ED13-4C97-96B1-955D50509B66}" hiddenColumns="1">
      <selection activeCell="K26" sqref="K26"/>
      <pageMargins left="0.69930555555555596" right="0.69930555555555596" top="0.75" bottom="0.75" header="0.3" footer="0.3"/>
      <pageSetup paperSize="9" orientation="portrait"/>
    </customSheetView>
    <customSheetView guid="{3B943BAF-34C7-494A-A071-85DE0891E5A1}" showPageBreaks="1" fitToPage="1" printArea="1" hiddenColumns="1">
      <selection activeCell="P30" sqref="P30"/>
      <pageMargins left="0.69930555555555596" right="0.69930555555555596" top="0.75" bottom="0.75" header="0.3" footer="0.3"/>
      <pageSetup paperSize="9" scale="89" orientation="landscape"/>
    </customSheetView>
    <customSheetView guid="{EEE4B3DA-ADF6-49CC-9873-068FE5927B92}" showPageBreaks="1" topLeftCell="A4">
      <selection activeCell="H23" sqref="H23"/>
      <pageMargins left="0.69930555555555596" right="0.69930555555555596" top="0.75" bottom="0.75" header="0.3" footer="0.3"/>
      <pageSetup paperSize="9" orientation="portrait"/>
    </customSheetView>
    <customSheetView guid="{C52D0F53-4D1D-4D01-B833-260359FD02A5}" showPageBreaks="1" fitToPage="1" printArea="1" hiddenColumns="1">
      <selection activeCell="M51" sqref="M51"/>
      <pageMargins left="0.69930555555555596" right="0.69930555555555596" top="0.75" bottom="0.75" header="0.3" footer="0.3"/>
      <pageSetup paperSize="9" scale="26" orientation="landscape" r:id="rId12"/>
    </customSheetView>
    <customSheetView guid="{6A1E79C9-91E3-4EEA-8ABB-4446083299EC}" showPageBreaks="1">
      <selection activeCell="E19" sqref="E19"/>
      <pageMargins left="0.69930555555555596" right="0.69930555555555596" top="0.75" bottom="0.75" header="0.3" footer="0.3"/>
      <pageSetup paperSize="9" orientation="portrait" r:id="rId13"/>
    </customSheetView>
    <customSheetView guid="{8B80B510-C931-46B1-8591-DEA916D76593}" fitToPage="1" hiddenColumns="1" topLeftCell="A10">
      <selection activeCell="P30" sqref="P30"/>
      <pageMargins left="0.69930555555555596" right="0.69930555555555596" top="0.75" bottom="0.75" header="0.3" footer="0.3"/>
      <pageSetup paperSize="9" scale="73" orientation="landscape" r:id="rId14"/>
    </customSheetView>
    <customSheetView guid="{303A9D89-611D-4504-BCAA-071C53B021F7}" showPageBreaks="1" topLeftCell="A34">
      <selection activeCell="G43" sqref="G43"/>
      <pageMargins left="0.69930555555555596" right="0.69930555555555596" top="0.75" bottom="0.75" header="0.3" footer="0.3"/>
      <pageSetup paperSize="9" orientation="portrait" horizontalDpi="1200" verticalDpi="1200" r:id="rId15"/>
    </customSheetView>
    <customSheetView guid="{4583A87D-5DFF-47BD-849A-FA4AAF2B9CE3}" showPageBreaks="1" fitToPage="1" printArea="1" hiddenColumns="1">
      <selection activeCell="P30" sqref="P30"/>
      <pageMargins left="0.69930555555555596" right="0.69930555555555596" top="0.75" bottom="0.75" header="0.3" footer="0.3"/>
      <pageSetup paperSize="9" scale="10" orientation="landscape" r:id="rId16"/>
    </customSheetView>
    <customSheetView guid="{EA856AC2-CDFF-46B6-B0C4-30449DF132F4}" showPageBreaks="1" fitToPage="1" printArea="1" hiddenColumns="1">
      <selection activeCell="P30" sqref="P30"/>
      <pageMargins left="0.69930555555555596" right="0.69930555555555596" top="0.75" bottom="0.75" header="0.3" footer="0.3"/>
      <pageSetup paperSize="9" scale="73" orientation="landscape" r:id="rId17"/>
    </customSheetView>
    <customSheetView guid="{322A45A6-8B26-49B8-A4D9-EFB3C94A758D}" showPageBreaks="1" topLeftCell="E28">
      <selection activeCell="E19" sqref="E19"/>
      <pageMargins left="0.69930555555555596" right="0.69930555555555596" top="0.75" bottom="0.75" header="0.3" footer="0.3"/>
      <pageSetup paperSize="9" orientation="portrait" r:id="rId18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19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Y51"/>
  <sheetViews>
    <sheetView topLeftCell="I1" workbookViewId="0">
      <selection activeCell="AF17" sqref="AF17"/>
    </sheetView>
  </sheetViews>
  <sheetFormatPr defaultColWidth="9" defaultRowHeight="14.25"/>
  <cols>
    <col min="1" max="1" width="24" style="206" customWidth="1"/>
    <col min="2" max="2" width="12" style="206" customWidth="1"/>
    <col min="3" max="3" width="14.5" style="206" customWidth="1"/>
    <col min="4" max="17" width="8.5" style="206" customWidth="1"/>
    <col min="18" max="18" width="11.25" style="206" customWidth="1"/>
    <col min="19" max="19" width="8.5" style="206" customWidth="1"/>
    <col min="20" max="20" width="8.875" style="206" hidden="1" customWidth="1"/>
    <col min="21" max="21" width="8.875" style="206" customWidth="1"/>
    <col min="22" max="24" width="9" style="206" customWidth="1"/>
    <col min="25" max="25" width="8.875" style="206" customWidth="1"/>
    <col min="26" max="31" width="9" style="206" customWidth="1"/>
    <col min="32" max="32" width="14.5" style="206" customWidth="1"/>
    <col min="33" max="33" width="10.5" style="206" customWidth="1"/>
    <col min="34" max="36" width="9" style="206" customWidth="1"/>
    <col min="37" max="37" width="14.5" style="206" customWidth="1"/>
    <col min="38" max="39" width="9" style="206" customWidth="1"/>
    <col min="40" max="40" width="9" style="206" bestFit="1" customWidth="1"/>
    <col min="41" max="41" width="9.5" style="206" bestFit="1" customWidth="1"/>
    <col min="42" max="42" width="10.5" style="206" bestFit="1" customWidth="1"/>
    <col min="43" max="43" width="10.5" style="206" customWidth="1"/>
    <col min="44" max="51" width="9" style="206"/>
    <col min="52" max="53" width="9" style="206" customWidth="1"/>
    <col min="54" max="16384" width="9" style="206"/>
  </cols>
  <sheetData>
    <row r="1" spans="1:51" s="189" customFormat="1">
      <c r="A1" s="189" t="s">
        <v>0</v>
      </c>
      <c r="B1" s="189">
        <v>2017</v>
      </c>
      <c r="C1" s="189">
        <v>2017</v>
      </c>
      <c r="D1" s="189">
        <v>2018</v>
      </c>
      <c r="E1" s="189">
        <v>2018</v>
      </c>
      <c r="F1" s="189">
        <v>2018</v>
      </c>
      <c r="G1" s="189">
        <v>2018</v>
      </c>
      <c r="H1" s="189">
        <v>2018</v>
      </c>
      <c r="I1" s="189">
        <v>2018</v>
      </c>
      <c r="J1" s="189">
        <v>2018</v>
      </c>
      <c r="K1" s="189">
        <v>2018</v>
      </c>
      <c r="L1" s="189">
        <v>2018</v>
      </c>
      <c r="M1" s="189">
        <v>2018</v>
      </c>
      <c r="N1" s="189">
        <v>2018</v>
      </c>
      <c r="O1" s="189">
        <v>2018</v>
      </c>
      <c r="P1" s="189">
        <v>2019</v>
      </c>
      <c r="Q1" s="189">
        <v>2019</v>
      </c>
      <c r="R1" s="189">
        <v>2019</v>
      </c>
      <c r="S1" s="189">
        <v>2019</v>
      </c>
      <c r="T1" s="189">
        <v>2019</v>
      </c>
      <c r="U1" s="189">
        <v>2019</v>
      </c>
      <c r="V1" s="189">
        <v>2019</v>
      </c>
      <c r="W1" s="189">
        <v>2019</v>
      </c>
      <c r="X1" s="189">
        <v>2019</v>
      </c>
      <c r="Y1" s="189">
        <v>2019</v>
      </c>
      <c r="Z1" s="189">
        <v>2019</v>
      </c>
      <c r="AA1" s="189">
        <v>2019</v>
      </c>
      <c r="AB1" s="189">
        <v>2020</v>
      </c>
      <c r="AC1" s="189">
        <v>2020</v>
      </c>
      <c r="AD1" s="189">
        <v>2020</v>
      </c>
      <c r="AE1" s="189">
        <v>2020</v>
      </c>
      <c r="AF1" s="189">
        <v>2020</v>
      </c>
      <c r="AG1" s="189">
        <v>2020</v>
      </c>
      <c r="AH1" s="189">
        <v>2020</v>
      </c>
      <c r="AI1" s="189">
        <v>2020</v>
      </c>
      <c r="AJ1" s="189">
        <v>2020</v>
      </c>
      <c r="AK1" s="189">
        <v>2020</v>
      </c>
      <c r="AL1" s="189">
        <v>2020</v>
      </c>
      <c r="AM1" s="189">
        <v>2020</v>
      </c>
      <c r="AN1" s="189">
        <v>2021</v>
      </c>
      <c r="AO1" s="189">
        <v>2021</v>
      </c>
      <c r="AP1" s="189">
        <v>2021</v>
      </c>
      <c r="AQ1" s="189">
        <v>2021</v>
      </c>
      <c r="AR1" s="189">
        <v>2021</v>
      </c>
      <c r="AS1" s="189">
        <v>2021</v>
      </c>
      <c r="AT1" s="189">
        <v>2021</v>
      </c>
      <c r="AU1" s="189">
        <v>2021</v>
      </c>
      <c r="AV1" s="189">
        <v>2021</v>
      </c>
      <c r="AW1" s="189">
        <v>2021</v>
      </c>
      <c r="AX1" s="189">
        <v>2021</v>
      </c>
      <c r="AY1" s="189">
        <v>2021</v>
      </c>
    </row>
    <row r="2" spans="1:51" s="190" customFormat="1">
      <c r="A2" s="207" t="s">
        <v>1</v>
      </c>
      <c r="B2" s="190" t="s">
        <v>5</v>
      </c>
      <c r="C2" s="190">
        <v>12</v>
      </c>
      <c r="D2" s="190">
        <v>1</v>
      </c>
      <c r="E2" s="190">
        <v>2</v>
      </c>
      <c r="F2" s="190">
        <v>3</v>
      </c>
      <c r="G2" s="190">
        <v>4</v>
      </c>
      <c r="H2" s="190">
        <v>5</v>
      </c>
      <c r="I2" s="190">
        <v>6</v>
      </c>
      <c r="J2" s="190">
        <v>7</v>
      </c>
      <c r="K2" s="190">
        <v>8</v>
      </c>
      <c r="L2" s="190">
        <v>9</v>
      </c>
      <c r="M2" s="190">
        <v>10</v>
      </c>
      <c r="N2" s="190">
        <v>11</v>
      </c>
      <c r="O2" s="190">
        <v>12</v>
      </c>
      <c r="P2" s="294">
        <v>1</v>
      </c>
      <c r="Q2" s="190">
        <v>2</v>
      </c>
      <c r="R2" s="294">
        <v>3</v>
      </c>
      <c r="S2" s="190">
        <v>4</v>
      </c>
      <c r="T2" s="294">
        <v>5</v>
      </c>
      <c r="U2" s="190">
        <v>6</v>
      </c>
      <c r="V2" s="294">
        <v>7</v>
      </c>
      <c r="W2" s="190">
        <v>8</v>
      </c>
      <c r="X2" s="294">
        <v>9</v>
      </c>
      <c r="Y2" s="190">
        <v>10</v>
      </c>
      <c r="Z2" s="294">
        <v>11</v>
      </c>
      <c r="AA2" s="190">
        <v>12</v>
      </c>
      <c r="AB2" s="294">
        <v>1</v>
      </c>
      <c r="AC2" s="190">
        <v>2</v>
      </c>
      <c r="AD2" s="294">
        <v>3</v>
      </c>
      <c r="AE2" s="190">
        <v>4</v>
      </c>
      <c r="AF2" s="294">
        <v>5</v>
      </c>
      <c r="AG2" s="190">
        <v>6</v>
      </c>
      <c r="AH2" s="294">
        <v>7</v>
      </c>
      <c r="AI2" s="190">
        <v>8</v>
      </c>
      <c r="AJ2" s="294">
        <v>9</v>
      </c>
      <c r="AK2" s="190">
        <v>10</v>
      </c>
      <c r="AL2" s="294">
        <v>11</v>
      </c>
      <c r="AM2" s="294">
        <v>12</v>
      </c>
      <c r="AN2" s="190">
        <v>1</v>
      </c>
      <c r="AO2" s="190">
        <v>2</v>
      </c>
      <c r="AP2" s="190">
        <v>3</v>
      </c>
      <c r="AQ2" s="190">
        <v>4</v>
      </c>
      <c r="AR2" s="190">
        <v>5</v>
      </c>
      <c r="AS2" s="190">
        <v>6</v>
      </c>
      <c r="AT2" s="190">
        <v>7</v>
      </c>
      <c r="AU2" s="190">
        <v>8</v>
      </c>
      <c r="AV2" s="190">
        <v>9</v>
      </c>
      <c r="AW2" s="190">
        <v>10</v>
      </c>
      <c r="AX2" s="190">
        <v>11</v>
      </c>
      <c r="AY2" s="190">
        <v>12</v>
      </c>
    </row>
    <row r="3" spans="1:51">
      <c r="A3" s="208" t="str">
        <f>'收入（汇总）'!B3</f>
        <v>母公司</v>
      </c>
      <c r="B3" s="209">
        <v>0</v>
      </c>
      <c r="C3" s="209">
        <v>113805.803415</v>
      </c>
      <c r="D3" s="209">
        <v>87132.824840000001</v>
      </c>
      <c r="E3" s="209">
        <v>82686.589548000004</v>
      </c>
      <c r="F3" s="209">
        <v>72889.970805999998</v>
      </c>
      <c r="G3" s="209">
        <v>77955.237391000002</v>
      </c>
      <c r="H3" s="209">
        <v>75945.825905999998</v>
      </c>
      <c r="I3" s="209">
        <v>77199.112175000002</v>
      </c>
      <c r="J3" s="209">
        <v>70744.418581999998</v>
      </c>
      <c r="K3" s="209">
        <v>77383.740521</v>
      </c>
      <c r="L3" s="209">
        <v>71708.610224999997</v>
      </c>
      <c r="M3" s="209">
        <v>69535.070942999999</v>
      </c>
      <c r="N3" s="209">
        <v>71899.203255</v>
      </c>
      <c r="O3" s="209">
        <v>70189.332360999993</v>
      </c>
      <c r="P3" s="295">
        <v>77874.044492000001</v>
      </c>
      <c r="Q3" s="238">
        <v>80235.197289000003</v>
      </c>
      <c r="R3" s="238">
        <v>77982.618069000004</v>
      </c>
      <c r="S3" s="238">
        <v>99308.101018000001</v>
      </c>
      <c r="T3" s="238">
        <v>96798.285694000006</v>
      </c>
      <c r="U3" s="238">
        <v>92386.951451999994</v>
      </c>
      <c r="V3" s="238">
        <v>97212.328594000006</v>
      </c>
      <c r="W3" s="238">
        <v>104200.359277</v>
      </c>
      <c r="X3" s="238">
        <v>108314.519583</v>
      </c>
      <c r="Y3" s="238">
        <v>99637.700186000002</v>
      </c>
      <c r="Z3" s="238">
        <v>102695.228393</v>
      </c>
      <c r="AA3" s="238">
        <v>110789</v>
      </c>
      <c r="AB3" s="238">
        <v>96368</v>
      </c>
      <c r="AC3" s="238">
        <v>108628</v>
      </c>
      <c r="AD3" s="238">
        <v>103464.00859100001</v>
      </c>
      <c r="AE3" s="206">
        <v>106394.429145</v>
      </c>
      <c r="AF3" s="306">
        <v>94299.572222999996</v>
      </c>
      <c r="AG3" s="206">
        <v>101617</v>
      </c>
      <c r="AH3" s="206">
        <v>87881</v>
      </c>
      <c r="AI3" s="206">
        <v>105248.389991</v>
      </c>
      <c r="AJ3" s="238">
        <v>95796.876174999998</v>
      </c>
      <c r="AK3" s="238">
        <v>109295.23543299999</v>
      </c>
      <c r="AL3" s="206">
        <v>126098.93</v>
      </c>
      <c r="AM3" s="206">
        <v>105705.493624</v>
      </c>
      <c r="AN3" s="206">
        <v>119444.008778</v>
      </c>
      <c r="AO3" s="206">
        <v>146840.04264900001</v>
      </c>
      <c r="AP3" s="238">
        <v>159434.17430399999</v>
      </c>
      <c r="AQ3" s="238">
        <v>202139</v>
      </c>
      <c r="AR3" s="206">
        <v>190586</v>
      </c>
      <c r="AS3" s="206">
        <v>208103.5851</v>
      </c>
      <c r="AT3" s="206">
        <v>206107.32478299999</v>
      </c>
      <c r="AU3" s="206">
        <v>212138.98428700003</v>
      </c>
    </row>
    <row r="4" spans="1:51">
      <c r="A4" s="208" t="s">
        <v>110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95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>
        <f>13707.1-131</f>
        <v>13576.1</v>
      </c>
      <c r="AB4" s="238">
        <v>8403.5536329999995</v>
      </c>
      <c r="AC4" s="238">
        <v>18086.733145999999</v>
      </c>
      <c r="AD4" s="238">
        <v>12580.619025</v>
      </c>
      <c r="AE4" s="206">
        <v>13157.9478</v>
      </c>
      <c r="AF4" s="306">
        <v>12720.44565</v>
      </c>
      <c r="AG4" s="206">
        <v>12379.368525</v>
      </c>
      <c r="AH4" s="206">
        <v>10578.239625</v>
      </c>
      <c r="AI4" s="206">
        <v>13694.135025</v>
      </c>
      <c r="AJ4" s="238">
        <v>5796.908625</v>
      </c>
      <c r="AK4" s="238">
        <v>13365.362426</v>
      </c>
      <c r="AL4" s="206">
        <v>11865.66596</v>
      </c>
      <c r="AM4" s="206">
        <v>15520.646524</v>
      </c>
      <c r="AN4" s="206">
        <v>14573.571008000001</v>
      </c>
      <c r="AO4" s="206">
        <v>16876.147426</v>
      </c>
      <c r="AP4" s="238">
        <v>21544.479576999998</v>
      </c>
      <c r="AQ4" s="238">
        <v>23843.926390000001</v>
      </c>
      <c r="AR4" s="206">
        <v>19653.424763999999</v>
      </c>
      <c r="AS4" s="206">
        <v>24895.641936</v>
      </c>
      <c r="AT4" s="206">
        <v>11739.083408999984</v>
      </c>
      <c r="AU4" s="206">
        <v>23699.332938000007</v>
      </c>
    </row>
    <row r="5" spans="1:51" s="191" customFormat="1">
      <c r="A5" s="210" t="str">
        <f>'收入（汇总）'!B5</f>
        <v>岚县矿业</v>
      </c>
      <c r="B5" s="211">
        <v>0</v>
      </c>
      <c r="C5" s="211">
        <v>30688.285216410299</v>
      </c>
      <c r="D5" s="211">
        <v>32049.951038461499</v>
      </c>
      <c r="E5" s="211">
        <v>33232.486151965801</v>
      </c>
      <c r="F5" s="211">
        <v>28457.408182906001</v>
      </c>
      <c r="G5" s="211">
        <v>28924.508748034201</v>
      </c>
      <c r="H5" s="211">
        <v>31618.7967365517</v>
      </c>
      <c r="I5" s="211">
        <v>34063.152890999998</v>
      </c>
      <c r="J5" s="211">
        <v>29257.71643</v>
      </c>
      <c r="K5" s="211">
        <v>37828.949842172398</v>
      </c>
      <c r="L5" s="211">
        <v>33320.612761551703</v>
      </c>
      <c r="M5" s="211">
        <v>37297.357231000002</v>
      </c>
      <c r="N5" s="211">
        <v>36615.435587</v>
      </c>
      <c r="O5" s="211">
        <v>30800.858280689601</v>
      </c>
      <c r="P5" s="296">
        <v>30587.685794000001</v>
      </c>
      <c r="Q5" s="240">
        <v>35497.714523758601</v>
      </c>
      <c r="R5" s="240">
        <v>28316.1530989655</v>
      </c>
      <c r="S5" s="240">
        <v>38189</v>
      </c>
      <c r="T5" s="240">
        <v>38495.153521592903</v>
      </c>
      <c r="U5" s="240">
        <v>38197.552598000002</v>
      </c>
      <c r="V5" s="240">
        <v>42963.783948999997</v>
      </c>
      <c r="W5" s="240">
        <v>35505.657707999999</v>
      </c>
      <c r="X5" s="240">
        <v>34675.290502999997</v>
      </c>
      <c r="Y5" s="240">
        <v>33090.830563000003</v>
      </c>
      <c r="Z5" s="240">
        <v>35943.958148999998</v>
      </c>
      <c r="AA5" s="240">
        <v>36255.208912000002</v>
      </c>
      <c r="AB5" s="240">
        <v>34416.661487999998</v>
      </c>
      <c r="AC5" s="240">
        <v>35588.482526</v>
      </c>
      <c r="AD5" s="240">
        <v>35971.947825000003</v>
      </c>
      <c r="AE5" s="191">
        <v>36695.689827000002</v>
      </c>
      <c r="AF5" s="250">
        <v>33745.982214000003</v>
      </c>
      <c r="AG5" s="191">
        <v>38917.799338999997</v>
      </c>
      <c r="AH5" s="191">
        <v>37073.414131999998</v>
      </c>
      <c r="AI5" s="191">
        <v>39290.588154999998</v>
      </c>
      <c r="AJ5" s="240">
        <v>35949.645897000002</v>
      </c>
      <c r="AK5" s="240">
        <v>41194.055322</v>
      </c>
      <c r="AL5" s="191">
        <v>51732.358939999998</v>
      </c>
      <c r="AM5" s="191">
        <v>37331.715624999997</v>
      </c>
      <c r="AN5" s="191">
        <v>49323.905680000003</v>
      </c>
      <c r="AO5" s="191">
        <v>69149.798473999996</v>
      </c>
      <c r="AP5" s="240">
        <v>100599.719001</v>
      </c>
      <c r="AQ5" s="240">
        <v>108434.294518</v>
      </c>
      <c r="AR5" s="191">
        <v>96994.821605999998</v>
      </c>
      <c r="AS5" s="191">
        <v>101444.37631000001</v>
      </c>
      <c r="AT5" s="191">
        <v>114918.38164000004</v>
      </c>
      <c r="AU5" s="191">
        <v>117531.38935199997</v>
      </c>
    </row>
    <row r="6" spans="1:51" s="192" customFormat="1">
      <c r="A6" s="212" t="str">
        <f>'收入（汇总）'!B6</f>
        <v>太钢鑫磊</v>
      </c>
      <c r="B6" s="213">
        <v>0</v>
      </c>
      <c r="C6" s="213">
        <v>2702.48585</v>
      </c>
      <c r="D6" s="213">
        <v>2102.0093000000002</v>
      </c>
      <c r="E6" s="213">
        <v>2464.87345</v>
      </c>
      <c r="F6" s="213">
        <v>1726.532899</v>
      </c>
      <c r="G6" s="213">
        <v>2202.7931279999998</v>
      </c>
      <c r="H6" s="213">
        <v>2113.6068</v>
      </c>
      <c r="I6" s="213">
        <v>2946.124163</v>
      </c>
      <c r="J6" s="213">
        <v>2536.3294190000001</v>
      </c>
      <c r="K6" s="213">
        <v>2031.8312330000001</v>
      </c>
      <c r="L6" s="213">
        <v>1889.9329740000001</v>
      </c>
      <c r="M6" s="213">
        <v>2491.0399470000002</v>
      </c>
      <c r="N6" s="213">
        <v>2698.5921189999999</v>
      </c>
      <c r="O6" s="213">
        <v>2203.1930200000002</v>
      </c>
      <c r="P6" s="297">
        <v>2538.0386100000001</v>
      </c>
      <c r="Q6" s="241">
        <v>2792.3641729999999</v>
      </c>
      <c r="R6" s="241">
        <v>1899.1811600000001</v>
      </c>
      <c r="S6" s="241">
        <v>3017</v>
      </c>
      <c r="T6" s="241">
        <v>2773.8700469999999</v>
      </c>
      <c r="U6" s="241">
        <v>2283.7244129999999</v>
      </c>
      <c r="V6" s="241">
        <v>2828.3159989999999</v>
      </c>
      <c r="W6" s="241">
        <v>3201.2494780000002</v>
      </c>
      <c r="X6" s="241">
        <v>2642.0506999999998</v>
      </c>
      <c r="Y6" s="241">
        <v>2466.9605190000002</v>
      </c>
      <c r="Z6" s="241">
        <v>2694.3578510000002</v>
      </c>
      <c r="AA6" s="241">
        <v>2680.4611300000001</v>
      </c>
      <c r="AB6" s="241">
        <v>2048.6673500000002</v>
      </c>
      <c r="AC6" s="241">
        <v>3089.4439240000002</v>
      </c>
      <c r="AD6" s="241">
        <v>2261.6984360000001</v>
      </c>
      <c r="AE6" s="192">
        <v>2225.9797440000002</v>
      </c>
      <c r="AF6" s="307">
        <v>2936.3555299999998</v>
      </c>
      <c r="AG6" s="192">
        <v>2518.72291</v>
      </c>
      <c r="AH6" s="192">
        <v>2350.9969879999999</v>
      </c>
      <c r="AI6" s="192">
        <v>3226.026198</v>
      </c>
      <c r="AJ6" s="241">
        <v>1337.167494</v>
      </c>
      <c r="AK6" s="241">
        <v>2358.9861000000001</v>
      </c>
      <c r="AL6" s="192">
        <v>2733.1112199999998</v>
      </c>
      <c r="AM6" s="192">
        <v>3145.59114</v>
      </c>
      <c r="AN6" s="192">
        <v>3078.4065300000002</v>
      </c>
      <c r="AO6" s="192">
        <v>3423.7727799999998</v>
      </c>
      <c r="AP6" s="241">
        <v>2683.9788899999999</v>
      </c>
      <c r="AQ6" s="241">
        <v>3065.3336399999998</v>
      </c>
      <c r="AR6" s="241">
        <v>2730.2460639999999</v>
      </c>
      <c r="AS6" s="192">
        <v>2910.2019799999998</v>
      </c>
      <c r="AT6" s="192">
        <v>2310.095863999999</v>
      </c>
      <c r="AU6" s="192">
        <v>2032.8793910000022</v>
      </c>
    </row>
    <row r="7" spans="1:51" s="191" customFormat="1">
      <c r="A7" s="210" t="str">
        <f>'收入（汇总）'!B7</f>
        <v>太钢不锈</v>
      </c>
      <c r="B7" s="211">
        <v>0</v>
      </c>
      <c r="C7" s="211">
        <v>11343.1001116108</v>
      </c>
      <c r="D7" s="211">
        <v>10203.107187</v>
      </c>
      <c r="E7" s="211">
        <v>7954.7905482008</v>
      </c>
      <c r="F7" s="211">
        <v>19279.684370675001</v>
      </c>
      <c r="G7" s="211">
        <v>10025.47868522</v>
      </c>
      <c r="H7" s="211">
        <f>7320.51742078-1339</f>
        <v>5981.5174207800001</v>
      </c>
      <c r="I7" s="211">
        <v>8076.1142923998004</v>
      </c>
      <c r="J7" s="211">
        <v>8513.5442648970002</v>
      </c>
      <c r="K7" s="211">
        <v>7937.3796876506003</v>
      </c>
      <c r="L7" s="211">
        <v>7305.2750906800002</v>
      </c>
      <c r="M7" s="211">
        <v>7415.100735209</v>
      </c>
      <c r="N7" s="211">
        <v>8550.0603653231992</v>
      </c>
      <c r="O7" s="211">
        <v>8611.6741779446002</v>
      </c>
      <c r="P7" s="296">
        <f>7734.224987+28</f>
        <v>7762.2249869999996</v>
      </c>
      <c r="Q7" s="240">
        <v>13608.5954284254</v>
      </c>
      <c r="R7" s="240">
        <v>12353.1836392564</v>
      </c>
      <c r="S7" s="240">
        <v>8044.0819715412999</v>
      </c>
      <c r="T7" s="240">
        <v>8262.7422976556009</v>
      </c>
      <c r="U7" s="240">
        <v>8102.1688806058</v>
      </c>
      <c r="V7" s="240">
        <v>8650.6292899960008</v>
      </c>
      <c r="W7" s="240">
        <v>8039.5889382823998</v>
      </c>
      <c r="X7" s="240">
        <v>7587.6002820000003</v>
      </c>
      <c r="Y7" s="240">
        <v>7122</v>
      </c>
      <c r="Z7" s="240">
        <v>9996.1818089999997</v>
      </c>
      <c r="AA7" s="240">
        <v>11021.438044</v>
      </c>
      <c r="AB7" s="240">
        <f>10616.008185-1</f>
        <v>10615.008185000001</v>
      </c>
      <c r="AC7" s="240">
        <v>9784.0213789999998</v>
      </c>
      <c r="AD7" s="240">
        <v>9237.3634430000002</v>
      </c>
      <c r="AE7" s="191">
        <v>8017.1872979999998</v>
      </c>
      <c r="AF7" s="250">
        <v>7813.4208189999999</v>
      </c>
      <c r="AG7" s="191">
        <v>8000</v>
      </c>
      <c r="AH7" s="191">
        <v>7500</v>
      </c>
      <c r="AI7" s="191">
        <v>8160.5723410000001</v>
      </c>
      <c r="AJ7" s="240">
        <v>6439.2401499999996</v>
      </c>
      <c r="AK7" s="240">
        <v>7922.8258459999997</v>
      </c>
      <c r="AL7" s="191">
        <v>9569.42</v>
      </c>
      <c r="AM7" s="191">
        <v>11315.696946</v>
      </c>
      <c r="AN7" s="191">
        <f>11353.853148-800</f>
        <v>10553.853148</v>
      </c>
      <c r="AO7" s="191">
        <v>10344.359</v>
      </c>
      <c r="AP7" s="240">
        <v>10010.995042</v>
      </c>
      <c r="AQ7" s="240">
        <v>8454.139878</v>
      </c>
      <c r="AR7" s="191">
        <v>9037</v>
      </c>
      <c r="AS7" s="191">
        <v>8601.2250399999994</v>
      </c>
      <c r="AT7" s="191">
        <v>7874</v>
      </c>
      <c r="AU7" s="191">
        <v>12501.453917999999</v>
      </c>
    </row>
    <row r="8" spans="1:51" s="191" customFormat="1">
      <c r="A8" s="210" t="s">
        <v>1233</v>
      </c>
      <c r="B8" s="211"/>
      <c r="C8" s="211"/>
      <c r="D8" s="211"/>
      <c r="E8" s="211"/>
      <c r="F8" s="211"/>
      <c r="G8" s="211"/>
      <c r="H8" s="211"/>
      <c r="I8" s="211"/>
      <c r="J8" s="211"/>
      <c r="K8" s="211"/>
      <c r="L8" s="211"/>
      <c r="M8" s="211"/>
      <c r="N8" s="211"/>
      <c r="O8" s="211"/>
      <c r="P8" s="296"/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0"/>
      <c r="AC8" s="240"/>
      <c r="AD8" s="240"/>
      <c r="AF8" s="250"/>
      <c r="AJ8" s="240"/>
      <c r="AK8" s="240"/>
    </row>
    <row r="9" spans="1:51" s="191" customFormat="1">
      <c r="A9" s="210" t="s">
        <v>1234</v>
      </c>
      <c r="B9" s="211"/>
      <c r="C9" s="211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1"/>
      <c r="O9" s="211"/>
      <c r="P9" s="296"/>
      <c r="Q9" s="240"/>
      <c r="R9" s="240"/>
      <c r="S9" s="240"/>
      <c r="T9" s="240"/>
      <c r="U9" s="240"/>
      <c r="V9" s="240"/>
      <c r="W9" s="240"/>
      <c r="X9" s="240"/>
      <c r="Y9" s="240"/>
      <c r="Z9" s="240"/>
      <c r="AA9" s="240"/>
      <c r="AB9" s="240"/>
      <c r="AC9" s="240"/>
      <c r="AD9" s="240"/>
      <c r="AF9" s="250"/>
      <c r="AJ9" s="240"/>
      <c r="AK9" s="240"/>
    </row>
    <row r="10" spans="1:51" s="191" customFormat="1">
      <c r="A10" s="210" t="s">
        <v>1288</v>
      </c>
      <c r="B10" s="211"/>
      <c r="C10" s="211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1"/>
      <c r="O10" s="211"/>
      <c r="P10" s="296"/>
      <c r="Q10" s="240"/>
      <c r="R10" s="240"/>
      <c r="S10" s="240"/>
      <c r="T10" s="240"/>
      <c r="U10" s="240"/>
      <c r="V10" s="240"/>
      <c r="W10" s="240"/>
      <c r="X10" s="240"/>
      <c r="Y10" s="240"/>
      <c r="Z10" s="240"/>
      <c r="AA10" s="240"/>
      <c r="AB10" s="240"/>
      <c r="AC10" s="240"/>
      <c r="AD10" s="240"/>
      <c r="AF10" s="250"/>
      <c r="AJ10" s="240"/>
      <c r="AK10" s="240"/>
      <c r="AN10" s="191">
        <v>15536</v>
      </c>
      <c r="AO10" s="2340">
        <v>13063</v>
      </c>
      <c r="AP10" s="2340">
        <v>2683</v>
      </c>
      <c r="AQ10" s="2340">
        <v>14266</v>
      </c>
      <c r="AR10" s="2340">
        <v>26700</v>
      </c>
      <c r="AS10" s="2340">
        <f>15200+20000-1053</f>
        <v>34147</v>
      </c>
      <c r="AT10" s="2340">
        <v>34971</v>
      </c>
      <c r="AU10" s="2340">
        <v>20195</v>
      </c>
      <c r="AV10" s="2340"/>
      <c r="AW10" s="2340"/>
      <c r="AX10" s="2340"/>
      <c r="AY10" s="2340"/>
    </row>
    <row r="11" spans="1:51" s="191" customFormat="1">
      <c r="A11" s="210" t="str">
        <f>'收入（汇总）'!B8</f>
        <v>太钢万邦</v>
      </c>
      <c r="B11" s="211">
        <v>0</v>
      </c>
      <c r="C11" s="211">
        <v>12891.728322864001</v>
      </c>
      <c r="D11" s="211">
        <v>12514.960313334001</v>
      </c>
      <c r="E11" s="211">
        <v>12001.497654594001</v>
      </c>
      <c r="F11" s="211">
        <v>15805.06667364</v>
      </c>
      <c r="G11" s="211">
        <v>15805.06667364</v>
      </c>
      <c r="H11" s="211">
        <v>12726.60221875</v>
      </c>
      <c r="I11" s="211">
        <v>9495.2836416589998</v>
      </c>
      <c r="J11" s="211">
        <v>8051.6260178969997</v>
      </c>
      <c r="K11" s="211">
        <v>14914.579830211</v>
      </c>
      <c r="L11" s="211">
        <v>11002.351551492</v>
      </c>
      <c r="M11" s="211">
        <v>13160.248590637</v>
      </c>
      <c r="N11" s="211">
        <v>10829.119669</v>
      </c>
      <c r="O11" s="211">
        <v>11249.800978159001</v>
      </c>
      <c r="P11" s="296">
        <v>12171.274167</v>
      </c>
      <c r="Q11" s="240">
        <v>10074.536748</v>
      </c>
      <c r="R11" s="240">
        <v>11671.676353999999</v>
      </c>
      <c r="S11" s="240">
        <v>13090.051688</v>
      </c>
      <c r="T11" s="240">
        <v>15102.787209</v>
      </c>
      <c r="U11" s="240">
        <v>12163.790582</v>
      </c>
      <c r="V11" s="240">
        <v>11544.730527</v>
      </c>
      <c r="W11" s="240">
        <v>8819.7330689999999</v>
      </c>
      <c r="X11" s="240">
        <v>11491.313072000001</v>
      </c>
      <c r="Y11" s="240">
        <v>10523.887172000001</v>
      </c>
      <c r="Z11" s="240">
        <v>8914.9688160000005</v>
      </c>
      <c r="AA11" s="240">
        <v>11304.026096</v>
      </c>
      <c r="AB11" s="240">
        <v>9198.3196650000009</v>
      </c>
      <c r="AC11" s="240">
        <v>9908.2873440000003</v>
      </c>
      <c r="AD11" s="240">
        <v>11476.244009</v>
      </c>
      <c r="AE11" s="191">
        <v>5480.1345430000001</v>
      </c>
      <c r="AF11" s="250">
        <v>7537.6878809999998</v>
      </c>
      <c r="AG11" s="191">
        <v>11959.204615000001</v>
      </c>
      <c r="AH11" s="191">
        <v>10385.580449999999</v>
      </c>
      <c r="AI11" s="191">
        <v>11003.026583000001</v>
      </c>
      <c r="AJ11" s="240">
        <v>10632.721642</v>
      </c>
      <c r="AK11" s="240">
        <v>11493.097263</v>
      </c>
      <c r="AL11" s="191">
        <v>10881.643531</v>
      </c>
      <c r="AM11" s="191">
        <v>9430.4416249999995</v>
      </c>
      <c r="AN11" s="191">
        <v>8216.0070610000002</v>
      </c>
      <c r="AO11" s="191">
        <v>13014.974238999999</v>
      </c>
      <c r="AP11" s="2342">
        <v>19134.739659999999</v>
      </c>
      <c r="AQ11" s="191">
        <v>15243.923699999999</v>
      </c>
      <c r="AR11" s="191">
        <v>16432.234127</v>
      </c>
      <c r="AS11" s="191">
        <v>14413.485172000001</v>
      </c>
      <c r="AT11" s="191">
        <v>14333.583312000001</v>
      </c>
      <c r="AU11" s="191">
        <v>18096.140371000016</v>
      </c>
    </row>
    <row r="12" spans="1:51" s="191" customFormat="1">
      <c r="A12" s="210" t="str">
        <f>'收入（汇总）'!B12</f>
        <v>钢科碳材料</v>
      </c>
      <c r="B12" s="211">
        <v>0</v>
      </c>
      <c r="C12" s="211">
        <v>0</v>
      </c>
      <c r="D12" s="211"/>
      <c r="E12" s="211"/>
      <c r="F12" s="211">
        <v>0</v>
      </c>
      <c r="G12" s="211"/>
      <c r="H12" s="211">
        <v>0</v>
      </c>
      <c r="I12" s="211"/>
      <c r="J12" s="211"/>
      <c r="K12" s="211"/>
      <c r="L12" s="211"/>
      <c r="M12" s="211"/>
      <c r="N12" s="211"/>
      <c r="O12" s="211"/>
      <c r="P12" s="296">
        <v>0</v>
      </c>
      <c r="Q12" s="240"/>
      <c r="R12" s="240">
        <v>0</v>
      </c>
      <c r="S12" s="240">
        <v>0</v>
      </c>
      <c r="T12" s="240"/>
      <c r="U12" s="240"/>
      <c r="V12" s="240"/>
      <c r="W12" s="240"/>
      <c r="X12" s="240"/>
      <c r="Y12" s="240"/>
      <c r="Z12" s="240"/>
      <c r="AA12" s="240"/>
      <c r="AB12" s="240"/>
      <c r="AC12" s="240">
        <v>0</v>
      </c>
      <c r="AD12" s="240">
        <v>104.6825</v>
      </c>
      <c r="AE12" s="191">
        <v>34.894167000000003</v>
      </c>
      <c r="AF12" s="250">
        <v>34.894167000000003</v>
      </c>
      <c r="AG12" s="191">
        <v>34.894167000000003</v>
      </c>
      <c r="AH12" s="191">
        <v>34.894167000000003</v>
      </c>
      <c r="AI12" s="191">
        <v>34.894167000000003</v>
      </c>
      <c r="AJ12" s="240">
        <v>34.894167000000003</v>
      </c>
      <c r="AK12" s="240">
        <v>34.894167000000003</v>
      </c>
      <c r="AL12" s="250">
        <v>34.894167000000003</v>
      </c>
      <c r="AM12" s="191">
        <v>34.894164000000004</v>
      </c>
      <c r="AN12" s="191">
        <v>34.894167000000003</v>
      </c>
      <c r="AO12" s="191">
        <v>34.894167000000003</v>
      </c>
      <c r="AP12" s="2342">
        <v>34.894167000000003</v>
      </c>
      <c r="AQ12" s="191">
        <v>34.894167000000003</v>
      </c>
      <c r="AR12" s="191">
        <v>34.894167000000003</v>
      </c>
      <c r="AS12" s="191">
        <v>34.894167000000003</v>
      </c>
      <c r="AT12" s="191">
        <v>35.185926999999964</v>
      </c>
      <c r="AU12" s="191">
        <v>91.796959000000015</v>
      </c>
    </row>
    <row r="13" spans="1:51" s="191" customFormat="1">
      <c r="A13" s="210" t="str">
        <f>'收入（汇总）'!B13</f>
        <v>BOC气体公司</v>
      </c>
      <c r="B13" s="211">
        <v>0</v>
      </c>
      <c r="C13" s="211">
        <v>11470.77311</v>
      </c>
      <c r="D13" s="211">
        <v>10706.805077000001</v>
      </c>
      <c r="E13" s="211">
        <v>9537.2261890000009</v>
      </c>
      <c r="F13" s="211">
        <v>10167.430407</v>
      </c>
      <c r="G13" s="211">
        <v>9379.7103279999992</v>
      </c>
      <c r="H13" s="211">
        <v>9748.5046509999993</v>
      </c>
      <c r="I13" s="211">
        <v>9813.2100950000004</v>
      </c>
      <c r="J13" s="211">
        <v>10154.926083</v>
      </c>
      <c r="K13" s="211">
        <v>10473.037612</v>
      </c>
      <c r="L13" s="211">
        <v>9883.8833770000001</v>
      </c>
      <c r="M13" s="211">
        <v>10314.025253</v>
      </c>
      <c r="N13" s="211">
        <v>9909.182417</v>
      </c>
      <c r="O13" s="211">
        <v>9911.3096650000007</v>
      </c>
      <c r="P13" s="296">
        <v>10138.089263</v>
      </c>
      <c r="Q13" s="240">
        <v>9304.6595589999997</v>
      </c>
      <c r="R13" s="240">
        <v>9667.3879440000001</v>
      </c>
      <c r="S13" s="240">
        <v>9789.9050700000007</v>
      </c>
      <c r="T13" s="240">
        <v>10561.457355</v>
      </c>
      <c r="U13" s="240">
        <v>10091.354905</v>
      </c>
      <c r="V13" s="240">
        <v>10313.506241999999</v>
      </c>
      <c r="W13" s="240">
        <v>10079.932783</v>
      </c>
      <c r="X13" s="240">
        <v>9940.1659139999992</v>
      </c>
      <c r="Y13" s="240">
        <v>9051.2927529999997</v>
      </c>
      <c r="Z13" s="240">
        <v>10252.324275000001</v>
      </c>
      <c r="AA13" s="240">
        <v>11570.605559</v>
      </c>
      <c r="AB13" s="240">
        <v>10618.330108</v>
      </c>
      <c r="AC13" s="240">
        <v>9950.9965319999992</v>
      </c>
      <c r="AD13" s="240">
        <v>10456.034874999999</v>
      </c>
      <c r="AE13" s="191">
        <v>10003.063018000001</v>
      </c>
      <c r="AF13" s="250">
        <v>10357.458264999999</v>
      </c>
      <c r="AG13" s="191">
        <v>9827.0822719999996</v>
      </c>
      <c r="AH13" s="191">
        <v>9119.5229959999997</v>
      </c>
      <c r="AI13" s="191">
        <v>9307.8804099999998</v>
      </c>
      <c r="AJ13" s="240">
        <v>8789.8836329999995</v>
      </c>
      <c r="AK13" s="240">
        <v>10488.575747000001</v>
      </c>
      <c r="AL13" s="191">
        <v>10210.481298999999</v>
      </c>
      <c r="AM13" s="240">
        <v>10905.233473</v>
      </c>
      <c r="AN13" s="191">
        <v>11192.54105</v>
      </c>
      <c r="AO13" s="191">
        <v>10386.699052</v>
      </c>
      <c r="AP13" s="2342">
        <v>10874.880814</v>
      </c>
      <c r="AQ13" s="191">
        <v>10637.525061</v>
      </c>
      <c r="AR13" s="191">
        <v>10740.266625</v>
      </c>
      <c r="AS13" s="191">
        <v>10963.844668</v>
      </c>
      <c r="AT13" s="191">
        <v>11211.622989999996</v>
      </c>
      <c r="AU13" s="191">
        <v>11431.310863000006</v>
      </c>
    </row>
    <row r="14" spans="1:51" s="191" customFormat="1">
      <c r="A14" s="210" t="str">
        <f>'收入（汇总）'!B14</f>
        <v>耐材公司</v>
      </c>
      <c r="B14" s="211">
        <v>0</v>
      </c>
      <c r="C14" s="211">
        <v>3245.6890090000002</v>
      </c>
      <c r="D14" s="211">
        <v>1946.5934279999999</v>
      </c>
      <c r="E14" s="211">
        <v>1731.0138690000001</v>
      </c>
      <c r="F14" s="211">
        <v>1940.9751940000001</v>
      </c>
      <c r="G14" s="211">
        <v>2485.476126</v>
      </c>
      <c r="H14" s="211">
        <v>1812.646315</v>
      </c>
      <c r="I14" s="211">
        <v>1730.6089079999999</v>
      </c>
      <c r="J14" s="211">
        <v>1592.601944</v>
      </c>
      <c r="K14" s="211">
        <v>1309.603738</v>
      </c>
      <c r="L14" s="211">
        <v>1271.5340650000001</v>
      </c>
      <c r="M14" s="211">
        <v>1021.501389</v>
      </c>
      <c r="N14" s="211">
        <v>1309.3257630000001</v>
      </c>
      <c r="O14" s="211">
        <v>1207.273856</v>
      </c>
      <c r="P14" s="296">
        <v>1137.422157</v>
      </c>
      <c r="Q14" s="240">
        <v>897.60659399999997</v>
      </c>
      <c r="R14" s="240">
        <v>919.14164700000003</v>
      </c>
      <c r="S14" s="240">
        <v>909.45770600000003</v>
      </c>
      <c r="T14" s="240">
        <v>843.58032800000001</v>
      </c>
      <c r="U14" s="240">
        <v>946.76189699999998</v>
      </c>
      <c r="V14" s="240">
        <v>845.18238799999995</v>
      </c>
      <c r="W14" s="240">
        <v>702.88173900000004</v>
      </c>
      <c r="X14" s="240">
        <v>973.64284299999997</v>
      </c>
      <c r="Y14" s="240">
        <v>1112.28568</v>
      </c>
      <c r="Z14" s="240">
        <v>1546.2595120000001</v>
      </c>
      <c r="AA14" s="240">
        <v>1175.377637</v>
      </c>
      <c r="AB14" s="240">
        <v>1269.518728</v>
      </c>
      <c r="AC14" s="240">
        <v>1239.5518460000001</v>
      </c>
      <c r="AD14" s="240">
        <v>1081.8829049999999</v>
      </c>
      <c r="AE14" s="191">
        <v>1135.1171489999999</v>
      </c>
      <c r="AF14" s="250">
        <v>1013.642791</v>
      </c>
      <c r="AG14" s="191">
        <v>985.75095799999997</v>
      </c>
      <c r="AH14" s="191">
        <v>1177.446011</v>
      </c>
      <c r="AI14" s="191">
        <v>1105.6849179999999</v>
      </c>
      <c r="AJ14" s="240">
        <v>1002.457077</v>
      </c>
      <c r="AK14" s="240">
        <v>1098.548683</v>
      </c>
      <c r="AL14" s="191">
        <v>1508.274277</v>
      </c>
      <c r="AM14" s="191">
        <v>1393.7869840000001</v>
      </c>
      <c r="AN14" s="191">
        <v>1411.559219</v>
      </c>
      <c r="AO14" s="191">
        <v>1391.0349309999999</v>
      </c>
      <c r="AP14" s="2342">
        <v>1076.3713640000001</v>
      </c>
      <c r="AQ14" s="191">
        <v>1255.6185809999999</v>
      </c>
      <c r="AR14" s="191">
        <v>946.26941199999999</v>
      </c>
      <c r="AS14" s="191">
        <v>1488.6647069999999</v>
      </c>
      <c r="AT14" s="191">
        <v>1521.266243</v>
      </c>
      <c r="AU14" s="191">
        <v>1126.326516000001</v>
      </c>
    </row>
    <row r="15" spans="1:51" s="191" customFormat="1">
      <c r="A15" s="210" t="str">
        <f>'收入（汇总）'!B15</f>
        <v>电气公司</v>
      </c>
      <c r="B15" s="211">
        <v>0</v>
      </c>
      <c r="C15" s="211">
        <v>539.76286500000003</v>
      </c>
      <c r="D15" s="211">
        <v>273.27058499999998</v>
      </c>
      <c r="E15" s="211">
        <v>177.29128299999999</v>
      </c>
      <c r="F15" s="211">
        <v>168.795536</v>
      </c>
      <c r="G15" s="211">
        <v>232.11513500000001</v>
      </c>
      <c r="H15" s="211">
        <v>232.680575</v>
      </c>
      <c r="I15" s="211">
        <v>355.84042499999998</v>
      </c>
      <c r="J15" s="211">
        <v>236.26720299999999</v>
      </c>
      <c r="K15" s="211">
        <v>250.41768400000001</v>
      </c>
      <c r="L15" s="211">
        <v>193.00582600000001</v>
      </c>
      <c r="M15" s="211">
        <v>310.16662200000002</v>
      </c>
      <c r="N15" s="211">
        <v>500.40661299999999</v>
      </c>
      <c r="O15" s="211">
        <v>458.04128300000002</v>
      </c>
      <c r="P15" s="296">
        <v>387.66881000000001</v>
      </c>
      <c r="Q15" s="240">
        <v>191.62966299999999</v>
      </c>
      <c r="R15" s="240">
        <v>242.67540600000001</v>
      </c>
      <c r="S15" s="240">
        <v>302.57019500000001</v>
      </c>
      <c r="T15" s="240">
        <v>459.00203199999999</v>
      </c>
      <c r="U15" s="240">
        <v>217.752264</v>
      </c>
      <c r="V15" s="240">
        <v>317.164424</v>
      </c>
      <c r="W15" s="240">
        <v>216.721419</v>
      </c>
      <c r="X15" s="240">
        <v>275.17837600000001</v>
      </c>
      <c r="Y15" s="240">
        <v>410.57933400000002</v>
      </c>
      <c r="Z15" s="240">
        <v>498.490454</v>
      </c>
      <c r="AA15" s="240">
        <v>919.57057599999996</v>
      </c>
      <c r="AB15" s="240">
        <v>72.8172</v>
      </c>
      <c r="AC15" s="240">
        <v>128.03559000000001</v>
      </c>
      <c r="AD15" s="240">
        <v>237.81899999999999</v>
      </c>
      <c r="AE15" s="191">
        <v>310.07869299999999</v>
      </c>
      <c r="AF15" s="250">
        <v>235.181915</v>
      </c>
      <c r="AG15" s="191">
        <v>314.46999699999998</v>
      </c>
      <c r="AH15" s="191">
        <v>150.813909</v>
      </c>
      <c r="AI15" s="191">
        <v>918.77191200000004</v>
      </c>
      <c r="AJ15" s="240">
        <v>443.121059</v>
      </c>
      <c r="AK15" s="240">
        <v>484.55030299999999</v>
      </c>
      <c r="AL15" s="191">
        <v>570.18143899999995</v>
      </c>
      <c r="AM15" s="191">
        <v>819.81723399999998</v>
      </c>
      <c r="AN15" s="191">
        <v>123.10192000000001</v>
      </c>
      <c r="AO15" s="191">
        <v>325.02485000000001</v>
      </c>
      <c r="AP15" s="2342">
        <v>378.37648899999999</v>
      </c>
      <c r="AQ15" s="191">
        <v>526.68496600000003</v>
      </c>
      <c r="AR15" s="191">
        <v>377.03599500000001</v>
      </c>
      <c r="AS15" s="191">
        <v>737.82302700000002</v>
      </c>
      <c r="AT15" s="191">
        <v>960.14388699999995</v>
      </c>
      <c r="AU15" s="191">
        <v>1109.8033859999996</v>
      </c>
    </row>
    <row r="16" spans="1:51" s="191" customFormat="1">
      <c r="A16" s="210" t="str">
        <f>'收入（汇总）'!B16</f>
        <v>综合利用公司</v>
      </c>
      <c r="B16" s="211">
        <v>0</v>
      </c>
      <c r="C16" s="211">
        <v>52.545653999999999</v>
      </c>
      <c r="D16" s="211">
        <v>10.8452</v>
      </c>
      <c r="E16" s="211">
        <v>0</v>
      </c>
      <c r="F16" s="211">
        <v>52.360613999999998</v>
      </c>
      <c r="G16" s="211">
        <v>1.6776</v>
      </c>
      <c r="H16" s="211">
        <v>1.4847999999999999</v>
      </c>
      <c r="I16" s="211">
        <v>55.469712000000001</v>
      </c>
      <c r="J16" s="211">
        <v>2.8988399999999999</v>
      </c>
      <c r="K16" s="211">
        <v>2.43872</v>
      </c>
      <c r="L16" s="211">
        <v>53.134697000000003</v>
      </c>
      <c r="M16" s="211">
        <v>1.4847999999999999</v>
      </c>
      <c r="N16" s="211">
        <v>3.5020799999999999</v>
      </c>
      <c r="O16" s="211">
        <v>55.287118999999997</v>
      </c>
      <c r="P16" s="296">
        <v>0.64100000000000001</v>
      </c>
      <c r="Q16" s="240">
        <v>1.0393600000000001</v>
      </c>
      <c r="R16" s="240">
        <v>56.723739999999999</v>
      </c>
      <c r="S16" s="240">
        <v>4.3637119999999996</v>
      </c>
      <c r="T16" s="240">
        <v>3.4713599999999998</v>
      </c>
      <c r="U16" s="240">
        <v>45.822347999999998</v>
      </c>
      <c r="V16" s="240">
        <v>4.4749290000000004</v>
      </c>
      <c r="W16" s="240">
        <v>1.6319999999999999</v>
      </c>
      <c r="X16" s="240">
        <v>56.216348000000004</v>
      </c>
      <c r="Y16" s="240">
        <v>1.8232919999999999</v>
      </c>
      <c r="Z16" s="240">
        <v>3.7090000000000001</v>
      </c>
      <c r="AA16" s="240">
        <v>57.193348</v>
      </c>
      <c r="AB16" s="240">
        <v>0.128</v>
      </c>
      <c r="AC16" s="240">
        <v>0</v>
      </c>
      <c r="AD16" s="240">
        <v>56.717058000000002</v>
      </c>
      <c r="AE16" s="191">
        <v>2.1589999999999998</v>
      </c>
      <c r="AF16" s="250">
        <v>4.2240000000000002</v>
      </c>
      <c r="AG16" s="191">
        <v>58.089348000000001</v>
      </c>
      <c r="AH16" s="191">
        <v>6.1821099999999998</v>
      </c>
      <c r="AI16" s="191">
        <v>4.1802919999999997</v>
      </c>
      <c r="AJ16" s="240">
        <v>56.374657999999997</v>
      </c>
      <c r="AK16" s="240">
        <v>2.7113100000000001</v>
      </c>
      <c r="AL16" s="191">
        <v>3.3962919999999999</v>
      </c>
      <c r="AM16" s="191">
        <v>56.809348</v>
      </c>
      <c r="AN16" s="191">
        <v>0.51200000000000001</v>
      </c>
      <c r="AO16" s="191">
        <v>0</v>
      </c>
      <c r="AP16" s="2342">
        <v>62.685347999999998</v>
      </c>
      <c r="AQ16" s="191">
        <v>13.411009</v>
      </c>
      <c r="AR16" s="191">
        <v>1.1200000000000001</v>
      </c>
      <c r="AS16" s="191">
        <v>57.174348000000002</v>
      </c>
      <c r="AT16" s="191">
        <v>3.5674999999999999</v>
      </c>
      <c r="AU16" s="191">
        <v>3.8980000000000246</v>
      </c>
    </row>
    <row r="17" spans="1:47" s="191" customFormat="1">
      <c r="A17" s="210" t="str">
        <f>'收入（汇总）'!B17</f>
        <v>修建公司</v>
      </c>
      <c r="B17" s="211">
        <v>0</v>
      </c>
      <c r="C17" s="211">
        <v>763.30926699999998</v>
      </c>
      <c r="D17" s="211">
        <v>200.823656</v>
      </c>
      <c r="E17" s="211">
        <v>540.58651499999996</v>
      </c>
      <c r="F17" s="211">
        <v>155.01070799999999</v>
      </c>
      <c r="G17" s="211">
        <v>1186.5808629999999</v>
      </c>
      <c r="H17" s="211">
        <v>83.096059999999994</v>
      </c>
      <c r="I17" s="211">
        <v>272.55710199999999</v>
      </c>
      <c r="J17" s="211">
        <v>401.673832</v>
      </c>
      <c r="K17" s="211">
        <v>343.261121</v>
      </c>
      <c r="L17" s="211">
        <v>524.19383700000003</v>
      </c>
      <c r="M17" s="211">
        <v>121.2372</v>
      </c>
      <c r="N17" s="211">
        <v>569.77932099999998</v>
      </c>
      <c r="O17" s="211">
        <v>241.09350800000001</v>
      </c>
      <c r="P17" s="296">
        <v>111.12787400000001</v>
      </c>
      <c r="Q17" s="240">
        <v>586.00496799999996</v>
      </c>
      <c r="R17" s="240">
        <v>337.16926699999999</v>
      </c>
      <c r="S17" s="240">
        <v>475.65089399999999</v>
      </c>
      <c r="T17" s="240">
        <v>300.316373</v>
      </c>
      <c r="U17" s="240">
        <v>384.959025</v>
      </c>
      <c r="V17" s="240">
        <v>501.91360600000002</v>
      </c>
      <c r="W17" s="240">
        <v>353.365858</v>
      </c>
      <c r="X17" s="240">
        <v>487.432458</v>
      </c>
      <c r="Y17" s="240">
        <v>477.13170600000001</v>
      </c>
      <c r="Z17" s="240">
        <v>625.844202</v>
      </c>
      <c r="AA17" s="240">
        <v>541.29628300000002</v>
      </c>
      <c r="AB17" s="240">
        <v>408.47732500000001</v>
      </c>
      <c r="AC17" s="240">
        <v>198.519879</v>
      </c>
      <c r="AD17" s="240">
        <v>242.34631099999999</v>
      </c>
      <c r="AE17" s="191">
        <v>290.669532</v>
      </c>
      <c r="AF17" s="250">
        <v>168.46834999999999</v>
      </c>
      <c r="AG17" s="191">
        <v>186.970325</v>
      </c>
      <c r="AH17" s="191">
        <v>260.84823</v>
      </c>
      <c r="AI17" s="191">
        <v>688.01707399999998</v>
      </c>
      <c r="AJ17" s="240">
        <v>1065.946332</v>
      </c>
      <c r="AK17" s="240">
        <v>1122.3186720000001</v>
      </c>
      <c r="AL17" s="191">
        <v>1787.6191229999999</v>
      </c>
      <c r="AM17" s="191">
        <v>2091.7007509999999</v>
      </c>
      <c r="AN17" s="191">
        <v>2701.5877850000002</v>
      </c>
      <c r="AO17" s="191">
        <v>774.012428</v>
      </c>
      <c r="AP17" s="2342">
        <v>926.554438</v>
      </c>
      <c r="AQ17" s="191">
        <v>910.30638299999998</v>
      </c>
      <c r="AR17" s="191">
        <v>2768.6578989999998</v>
      </c>
      <c r="AS17" s="191">
        <v>2492.3229200000001</v>
      </c>
      <c r="AT17" s="191">
        <v>2495.385452</v>
      </c>
      <c r="AU17" s="191">
        <v>1885.1726949999993</v>
      </c>
    </row>
    <row r="18" spans="1:47" s="191" customFormat="1">
      <c r="A18" s="210" t="str">
        <f>'收入（汇总）'!B18</f>
        <v>国贸公司</v>
      </c>
      <c r="B18" s="211">
        <v>0</v>
      </c>
      <c r="C18" s="211">
        <v>5400.9639660000003</v>
      </c>
      <c r="D18" s="211">
        <v>4759.6661450000001</v>
      </c>
      <c r="E18" s="211">
        <v>6471.0609100000001</v>
      </c>
      <c r="F18" s="211">
        <v>4770.9945879999996</v>
      </c>
      <c r="G18" s="211">
        <v>15724.094557</v>
      </c>
      <c r="H18" s="211">
        <v>34609.416786000002</v>
      </c>
      <c r="I18" s="211">
        <v>29615.869631000001</v>
      </c>
      <c r="J18" s="211">
        <v>26135.505232</v>
      </c>
      <c r="K18" s="211">
        <v>38215.488136</v>
      </c>
      <c r="L18" s="211">
        <v>34963.409121999997</v>
      </c>
      <c r="M18" s="211">
        <v>30571.434884999999</v>
      </c>
      <c r="N18" s="211">
        <v>32232.762755</v>
      </c>
      <c r="O18" s="211">
        <v>33957.321227</v>
      </c>
      <c r="P18" s="296">
        <v>37024.008723999999</v>
      </c>
      <c r="Q18" s="240">
        <v>30361.200754000001</v>
      </c>
      <c r="R18" s="240">
        <v>33575.443288000002</v>
      </c>
      <c r="S18" s="240">
        <v>40254.067517000003</v>
      </c>
      <c r="T18" s="240">
        <v>41529.026722000002</v>
      </c>
      <c r="U18" s="240">
        <v>34628.149704000003</v>
      </c>
      <c r="V18" s="240">
        <v>30264.000486000001</v>
      </c>
      <c r="W18" s="240">
        <v>29827.639193999999</v>
      </c>
      <c r="X18" s="240">
        <v>31327.392035000001</v>
      </c>
      <c r="Y18" s="240">
        <v>23303.807961999999</v>
      </c>
      <c r="Z18" s="240">
        <v>12931.717844999999</v>
      </c>
      <c r="AA18" s="240">
        <v>12483.814838</v>
      </c>
      <c r="AB18" s="240">
        <v>14416.329275</v>
      </c>
      <c r="AC18" s="240">
        <v>38506.124712999997</v>
      </c>
      <c r="AD18" s="240">
        <v>33904.288891999997</v>
      </c>
      <c r="AE18" s="191">
        <v>26147.945799000001</v>
      </c>
      <c r="AF18" s="250">
        <v>37497.466884000001</v>
      </c>
      <c r="AG18" s="191">
        <v>37615.593343</v>
      </c>
      <c r="AH18" s="191">
        <v>35914.004665</v>
      </c>
      <c r="AI18" s="191">
        <v>29860.286528000001</v>
      </c>
      <c r="AJ18" s="240">
        <v>33822.133673999997</v>
      </c>
      <c r="AK18" s="240">
        <v>30064.529398999999</v>
      </c>
      <c r="AL18" s="191">
        <v>37508.69</v>
      </c>
      <c r="AM18" s="191">
        <v>28046.529495999999</v>
      </c>
      <c r="AN18" s="191">
        <v>11203.736924000001</v>
      </c>
      <c r="AO18" s="191">
        <v>21379.760955999998</v>
      </c>
      <c r="AP18" s="2342">
        <v>17899.932640999999</v>
      </c>
      <c r="AQ18" s="191">
        <v>21889.957395000001</v>
      </c>
      <c r="AR18" s="191">
        <v>17583.716348000002</v>
      </c>
      <c r="AS18" s="191">
        <v>23891.270269000001</v>
      </c>
      <c r="AT18" s="191">
        <v>26956.511955999998</v>
      </c>
      <c r="AU18" s="191">
        <v>6791.6735110000009</v>
      </c>
    </row>
    <row r="19" spans="1:47" s="191" customFormat="1">
      <c r="A19" s="210" t="str">
        <f>'收入（汇总）'!B19</f>
        <v>香港公司</v>
      </c>
      <c r="B19" s="211">
        <v>0</v>
      </c>
      <c r="C19" s="211">
        <v>61027.086162491403</v>
      </c>
      <c r="D19" s="211">
        <f>120548.180820949-D20-D21</f>
        <v>120548.180820949</v>
      </c>
      <c r="E19" s="211">
        <f>69079.7840708632-E20-E21</f>
        <v>67885.199549863188</v>
      </c>
      <c r="F19" s="211">
        <v>88605.329538999998</v>
      </c>
      <c r="G19" s="211">
        <v>97123.765090845394</v>
      </c>
      <c r="H19" s="211">
        <v>121346.125386983</v>
      </c>
      <c r="I19" s="211">
        <v>84164.757228577902</v>
      </c>
      <c r="J19" s="211">
        <v>77844.431840112302</v>
      </c>
      <c r="K19" s="211">
        <v>95333.491048835102</v>
      </c>
      <c r="L19" s="211">
        <v>44966.665490444298</v>
      </c>
      <c r="M19" s="211">
        <v>58129.076807434903</v>
      </c>
      <c r="N19" s="211">
        <v>94850.604344773703</v>
      </c>
      <c r="O19" s="211">
        <v>84596.878442796806</v>
      </c>
      <c r="P19" s="296">
        <v>83065.437825900604</v>
      </c>
      <c r="Q19" s="240">
        <v>61022.823372344603</v>
      </c>
      <c r="R19" s="240">
        <v>78554.040020913497</v>
      </c>
      <c r="S19" s="240">
        <v>68170.265728718601</v>
      </c>
      <c r="T19" s="240">
        <v>88443.430165677593</v>
      </c>
      <c r="U19" s="240">
        <v>88048.313741102305</v>
      </c>
      <c r="V19" s="240">
        <v>84700.219839827303</v>
      </c>
      <c r="W19" s="240">
        <v>79018.906352069607</v>
      </c>
      <c r="X19" s="240">
        <v>89482.866164999999</v>
      </c>
      <c r="Y19" s="240">
        <v>131408.05991700001</v>
      </c>
      <c r="Z19" s="240">
        <v>138491.49165000001</v>
      </c>
      <c r="AA19" s="240">
        <v>118677.544593</v>
      </c>
      <c r="AB19" s="240">
        <f>93534.76971-204</f>
        <v>93330.769709999993</v>
      </c>
      <c r="AC19" s="240">
        <v>72075.009984999997</v>
      </c>
      <c r="AD19" s="240">
        <v>46000.504201000003</v>
      </c>
      <c r="AE19" s="191">
        <v>50732.155493999999</v>
      </c>
      <c r="AF19" s="250">
        <v>47749.326244999997</v>
      </c>
      <c r="AG19" s="191">
        <v>49302.717489000002</v>
      </c>
      <c r="AH19" s="191">
        <v>58168.015778000001</v>
      </c>
      <c r="AI19" s="191">
        <v>75346.937026</v>
      </c>
      <c r="AJ19" s="240">
        <v>98280.457366999995</v>
      </c>
      <c r="AK19" s="240">
        <v>92687.376891000007</v>
      </c>
      <c r="AL19" s="191">
        <v>79335.316844000001</v>
      </c>
      <c r="AM19" s="191">
        <v>136217.45621100001</v>
      </c>
      <c r="AN19" s="191">
        <v>127683.23940999999</v>
      </c>
      <c r="AO19" s="191">
        <v>83903.072023999994</v>
      </c>
      <c r="AP19" s="2342">
        <v>96619.474675999998</v>
      </c>
      <c r="AQ19" s="191">
        <v>127842.26727900001</v>
      </c>
      <c r="AR19" s="191">
        <v>81841.168485000002</v>
      </c>
      <c r="AS19" s="191">
        <v>169039.61232499999</v>
      </c>
      <c r="AT19" s="191">
        <v>136716.65974199999</v>
      </c>
      <c r="AU19" s="191">
        <v>107871.57340499992</v>
      </c>
    </row>
    <row r="20" spans="1:47" s="191" customFormat="1">
      <c r="A20" s="210" t="str">
        <f>'收入（汇总）'!B20</f>
        <v>融资租赁</v>
      </c>
      <c r="B20" s="211">
        <v>0</v>
      </c>
      <c r="C20" s="239">
        <v>1145.0593530000001</v>
      </c>
      <c r="D20" s="211"/>
      <c r="E20" s="211">
        <v>1039.7398929999999</v>
      </c>
      <c r="F20" s="211"/>
      <c r="G20" s="211"/>
      <c r="H20" s="211"/>
      <c r="I20" s="211">
        <v>786.23349124632705</v>
      </c>
      <c r="J20" s="211">
        <v>1008.928919</v>
      </c>
      <c r="K20" s="211">
        <v>1008.67</v>
      </c>
      <c r="L20" s="211">
        <v>924.76</v>
      </c>
      <c r="M20" s="211"/>
      <c r="N20" s="211"/>
      <c r="O20" s="239"/>
      <c r="P20" s="240">
        <f>'#需填写'!C46/10000</f>
        <v>604.55183299999999</v>
      </c>
      <c r="Q20" s="240">
        <f>'#需填写'!D46/10000</f>
        <v>705.62708799999996</v>
      </c>
      <c r="R20" s="240">
        <f>'#需填写'!E46/10000</f>
        <v>720.73222099999998</v>
      </c>
      <c r="S20" s="240">
        <f>'#需填写'!F46/10000</f>
        <v>670.559663</v>
      </c>
      <c r="T20" s="240">
        <f>'#需填写'!G46/10000</f>
        <v>676.03220499999998</v>
      </c>
      <c r="U20" s="240">
        <f>'#需填写'!H46/10000</f>
        <v>540.48181799999998</v>
      </c>
      <c r="V20" s="240">
        <f>'#需填写'!I46/10000</f>
        <v>675.90954598441306</v>
      </c>
      <c r="W20" s="240">
        <f>'#需填写'!J46/10000</f>
        <v>678.56279198441302</v>
      </c>
      <c r="X20" s="240">
        <f>'#需填写'!K46/10000</f>
        <v>642.58634199999995</v>
      </c>
      <c r="Y20" s="240">
        <f>'#需填写'!L46/10000</f>
        <v>673.30395282169502</v>
      </c>
      <c r="Z20" s="240">
        <f>'#需填写'!M46/10000</f>
        <v>663.99953499999992</v>
      </c>
      <c r="AA20" s="240">
        <f>'#需填写'!N46/10000</f>
        <v>694.57390799999996</v>
      </c>
      <c r="AB20" s="240">
        <f>'#需填写'!O46/10000</f>
        <v>706.45201699999996</v>
      </c>
      <c r="AC20" s="240">
        <f>'#需填写'!P46/10000</f>
        <v>657.548950973606</v>
      </c>
      <c r="AD20" s="240">
        <f>'#需填写'!Q46/10000</f>
        <v>655.65419876061696</v>
      </c>
      <c r="AE20" s="191">
        <f>'#需填写'!R46/10000</f>
        <v>666.637338</v>
      </c>
      <c r="AF20" s="250">
        <f>'#需填写'!S46/10000</f>
        <v>687.63585319773495</v>
      </c>
      <c r="AG20" s="250">
        <f>'#需填写'!T46/10000</f>
        <v>680.77860943540998</v>
      </c>
      <c r="AH20" s="191">
        <f>'#需填写'!U46/10000</f>
        <v>620.5077014456167</v>
      </c>
      <c r="AI20" s="191">
        <f>'#需填写'!V46/10000</f>
        <v>632.88919698043617</v>
      </c>
      <c r="AJ20" s="240">
        <f>'#需填写'!W46/10000</f>
        <v>547.1887320324862</v>
      </c>
      <c r="AK20" s="240">
        <f>'#需填写'!X46/10000</f>
        <v>603.004203892443</v>
      </c>
      <c r="AL20" s="240">
        <f>'#需填写'!Y46/10000</f>
        <v>625.10069580718061</v>
      </c>
      <c r="AM20" s="240">
        <f>'#需填写'!Z46/10000</f>
        <v>662.58874846715128</v>
      </c>
      <c r="AN20" s="240">
        <v>671.85265037134934</v>
      </c>
      <c r="AO20" s="240">
        <f>'#需填写'!AB46/10000</f>
        <v>593.92665599999998</v>
      </c>
      <c r="AP20" s="240">
        <f>'#需填写'!AC46/10000</f>
        <v>598.96909800000003</v>
      </c>
      <c r="AQ20" s="240">
        <f>'#需填写'!AD46/10000</f>
        <v>516</v>
      </c>
      <c r="AR20" s="240">
        <f>'#需填写'!AE46/10000</f>
        <v>507</v>
      </c>
      <c r="AS20" s="240">
        <f>'#需填写'!AF46/10000</f>
        <v>478</v>
      </c>
      <c r="AT20" s="240">
        <f>'#需填写'!AG46/10000</f>
        <v>509</v>
      </c>
      <c r="AU20" s="240">
        <f>'#需填写'!AH46/10000</f>
        <v>513</v>
      </c>
    </row>
    <row r="21" spans="1:47" s="192" customFormat="1">
      <c r="A21" s="212" t="str">
        <f>'收入（汇总）'!B21</f>
        <v>商业保理</v>
      </c>
      <c r="B21" s="213">
        <v>0</v>
      </c>
      <c r="C21" s="293">
        <v>168.25470000000001</v>
      </c>
      <c r="D21" s="213"/>
      <c r="E21" s="213">
        <v>154.844628</v>
      </c>
      <c r="F21" s="213"/>
      <c r="G21" s="213"/>
      <c r="H21" s="213"/>
      <c r="I21" s="213">
        <v>185.42182</v>
      </c>
      <c r="J21" s="213">
        <v>171.435123</v>
      </c>
      <c r="K21" s="213">
        <v>171.43510000000001</v>
      </c>
      <c r="L21" s="213">
        <v>120.43</v>
      </c>
      <c r="M21" s="213"/>
      <c r="N21" s="213"/>
      <c r="O21" s="293"/>
      <c r="P21" s="241">
        <f>'#需填写'!C49/10000</f>
        <v>181.443791</v>
      </c>
      <c r="Q21" s="241">
        <f>'#需填写'!D49/10000</f>
        <v>168.20911899999999</v>
      </c>
      <c r="R21" s="241">
        <f>'#需填写'!E49/10000</f>
        <v>191.87421499999999</v>
      </c>
      <c r="S21" s="241">
        <f>'#需填写'!F49/10000</f>
        <v>195.61320800000001</v>
      </c>
      <c r="T21" s="241">
        <f>'#需填写'!G49/10000</f>
        <v>214.24824500000003</v>
      </c>
      <c r="U21" s="241">
        <f>'#需填写'!H49/10000</f>
        <v>166.24646200000001</v>
      </c>
      <c r="V21" s="241">
        <f>'#需填写'!I49/10000</f>
        <v>211.65412000000001</v>
      </c>
      <c r="W21" s="241">
        <f>'#需填写'!J49/10000</f>
        <v>206.37519800000001</v>
      </c>
      <c r="X21" s="241">
        <f>'#需填写'!K49/10000</f>
        <v>193.16037800000001</v>
      </c>
      <c r="Y21" s="241">
        <f>'#需填写'!L49/10000</f>
        <v>156.50943700000002</v>
      </c>
      <c r="Z21" s="241">
        <f>'#需填写'!M49/10000</f>
        <v>156.50943700000002</v>
      </c>
      <c r="AA21" s="241">
        <f>'#需填写'!N49/10000</f>
        <v>199.78144699999999</v>
      </c>
      <c r="AB21" s="241">
        <f>'#需填写'!O49/10000</f>
        <v>205.25314599999999</v>
      </c>
      <c r="AC21" s="241">
        <f>'#需填写'!P49/10000</f>
        <v>189.23191809433999</v>
      </c>
      <c r="AD21" s="241">
        <f>'#需填写'!Q49/10000</f>
        <v>203.36076299999999</v>
      </c>
      <c r="AE21" s="192">
        <f>'#需填写'!R49/10000</f>
        <v>197.08189199999998</v>
      </c>
      <c r="AF21" s="307">
        <f>'#需填写'!S49/10000</f>
        <v>206.51367099999999</v>
      </c>
      <c r="AG21" s="307">
        <f>'#需填写'!T49/10000</f>
        <v>197.62622199999998</v>
      </c>
      <c r="AH21" s="192">
        <f>'#需填写'!U49/10000</f>
        <v>203.44536100000002</v>
      </c>
      <c r="AI21" s="192">
        <f>'#需填写'!V49/10000</f>
        <v>203.874606</v>
      </c>
      <c r="AJ21" s="241">
        <f>'#需填写'!W49/10000</f>
        <v>201.12775099999999</v>
      </c>
      <c r="AK21" s="241">
        <f>'#需填写'!X49/10000</f>
        <v>208.43212799999998</v>
      </c>
      <c r="AL21" s="241">
        <f>'#需填写'!Y49/10000</f>
        <v>204.02515750043239</v>
      </c>
      <c r="AM21" s="241">
        <f>'#需填写'!Z49/10000</f>
        <v>211.74410499999999</v>
      </c>
      <c r="AN21" s="241">
        <v>206.697181</v>
      </c>
      <c r="AO21" s="241">
        <f>'#需填写'!AB49/10000</f>
        <v>169.91740799999999</v>
      </c>
      <c r="AP21" s="241">
        <f>'#需填写'!AC49/10000</f>
        <v>75</v>
      </c>
      <c r="AQ21" s="241">
        <f>'#需填写'!AD49/10000</f>
        <v>72</v>
      </c>
      <c r="AR21" s="241">
        <f>'#需填写'!AE49/10000</f>
        <v>73</v>
      </c>
      <c r="AS21" s="241">
        <f>'#需填写'!AF49/10000</f>
        <v>72</v>
      </c>
      <c r="AT21" s="241">
        <f>'#需填写'!AG49/10000</f>
        <v>74</v>
      </c>
      <c r="AU21" s="241">
        <f>'#需填写'!AH49/10000</f>
        <v>150.97120200000001</v>
      </c>
    </row>
    <row r="22" spans="1:47" s="195" customFormat="1">
      <c r="A22" s="220" t="str">
        <f>'收入（汇总）'!B22</f>
        <v>世茂商务中心</v>
      </c>
      <c r="B22" s="221">
        <v>0</v>
      </c>
      <c r="C22" s="221">
        <v>141.26627999999999</v>
      </c>
      <c r="D22" s="221">
        <v>254.865298</v>
      </c>
      <c r="E22" s="221">
        <v>498.41289999999998</v>
      </c>
      <c r="F22" s="221">
        <v>274.69700799999998</v>
      </c>
      <c r="G22" s="221">
        <v>187.537903</v>
      </c>
      <c r="H22" s="221">
        <v>49.658799999999999</v>
      </c>
      <c r="I22" s="221">
        <v>323.80928</v>
      </c>
      <c r="J22" s="221">
        <v>709.46157600000004</v>
      </c>
      <c r="K22" s="221">
        <v>493.91988199999997</v>
      </c>
      <c r="L22" s="221">
        <v>590.47210700000005</v>
      </c>
      <c r="M22" s="221">
        <v>285.70414899999997</v>
      </c>
      <c r="N22" s="221">
        <v>596.55531499999995</v>
      </c>
      <c r="O22" s="221">
        <v>655.35611600000004</v>
      </c>
      <c r="P22" s="298">
        <v>664.18659109429404</v>
      </c>
      <c r="Q22" s="245">
        <v>425.16720400000003</v>
      </c>
      <c r="R22" s="245">
        <v>-434.52089796226397</v>
      </c>
      <c r="S22" s="245">
        <v>73.209849000000006</v>
      </c>
      <c r="T22" s="245">
        <v>189.34788900000001</v>
      </c>
      <c r="U22" s="245">
        <v>149.66847999999999</v>
      </c>
      <c r="V22" s="245">
        <v>186.82115200000001</v>
      </c>
      <c r="W22" s="245">
        <v>210.40898100000001</v>
      </c>
      <c r="X22" s="245">
        <v>196.543746</v>
      </c>
      <c r="Y22" s="245">
        <v>192.33791400000001</v>
      </c>
      <c r="Z22" s="245">
        <v>187.28492800000001</v>
      </c>
      <c r="AA22" s="245">
        <v>245.600877</v>
      </c>
      <c r="AB22" s="245">
        <v>172.662937</v>
      </c>
      <c r="AC22" s="245">
        <v>178.75110100000001</v>
      </c>
      <c r="AD22" s="245">
        <v>174.38919100000001</v>
      </c>
      <c r="AE22" s="195">
        <v>174.14090400000001</v>
      </c>
      <c r="AF22" s="308">
        <v>179.75063499999999</v>
      </c>
      <c r="AG22" s="195">
        <v>220.22955899999999</v>
      </c>
      <c r="AH22" s="195">
        <v>251.423159</v>
      </c>
      <c r="AI22" s="195">
        <v>42.262999999999998</v>
      </c>
      <c r="AJ22" s="245">
        <v>228.23735300000001</v>
      </c>
      <c r="AK22" s="245">
        <v>205.206535</v>
      </c>
      <c r="AL22" s="195">
        <v>234.965823</v>
      </c>
      <c r="AM22" s="195">
        <v>321.19092899999998</v>
      </c>
      <c r="AN22" s="195">
        <v>183.63684000000001</v>
      </c>
      <c r="AO22" s="195">
        <v>213.57205099999999</v>
      </c>
      <c r="AP22" s="2343">
        <v>229.80237299999999</v>
      </c>
      <c r="AQ22" s="195">
        <v>202.11144400000001</v>
      </c>
      <c r="AR22" s="195">
        <v>231.911146</v>
      </c>
      <c r="AS22" s="195">
        <v>227.33932300000001</v>
      </c>
      <c r="AT22" s="195">
        <v>284.63878999999997</v>
      </c>
      <c r="AU22" s="195">
        <v>185.98803300000009</v>
      </c>
    </row>
    <row r="23" spans="1:47" s="191" customFormat="1">
      <c r="A23" s="210" t="str">
        <f>'收入（汇总）'!B23</f>
        <v>财务公司</v>
      </c>
      <c r="B23" s="211">
        <v>0</v>
      </c>
      <c r="C23" s="211">
        <v>4170.1785369999998</v>
      </c>
      <c r="D23" s="211">
        <v>550.42506600000002</v>
      </c>
      <c r="E23" s="211">
        <v>1193.490436</v>
      </c>
      <c r="F23" s="211">
        <v>1193.490436</v>
      </c>
      <c r="G23" s="211">
        <v>1348.53601</v>
      </c>
      <c r="H23" s="211">
        <v>1251.648007</v>
      </c>
      <c r="I23" s="211">
        <v>3690.0104550000001</v>
      </c>
      <c r="J23" s="211">
        <v>-3598.576935</v>
      </c>
      <c r="K23" s="211">
        <v>1093.5500239999999</v>
      </c>
      <c r="L23" s="211">
        <v>940.57513400000005</v>
      </c>
      <c r="M23" s="211">
        <v>940.49352699999997</v>
      </c>
      <c r="N23" s="211">
        <v>918.94369900000004</v>
      </c>
      <c r="O23" s="211">
        <v>1705.3204268888901</v>
      </c>
      <c r="P23" s="296">
        <v>832.75672199999997</v>
      </c>
      <c r="Q23" s="240">
        <v>811.94029899999998</v>
      </c>
      <c r="R23" s="240">
        <v>952.61667199999999</v>
      </c>
      <c r="S23" s="240">
        <v>930.27296699999999</v>
      </c>
      <c r="T23" s="240">
        <v>961.57076980821898</v>
      </c>
      <c r="U23" s="240">
        <v>896.837806</v>
      </c>
      <c r="V23" s="240">
        <v>820.32873233333305</v>
      </c>
      <c r="W23" s="240">
        <v>880.47767799999997</v>
      </c>
      <c r="X23" s="240">
        <v>874.86366499999997</v>
      </c>
      <c r="Y23" s="240">
        <v>838.04741799999999</v>
      </c>
      <c r="Z23" s="240">
        <v>885.30887199999995</v>
      </c>
      <c r="AA23" s="240">
        <v>1010.789842</v>
      </c>
      <c r="AB23" s="240">
        <v>649.53394400000002</v>
      </c>
      <c r="AC23" s="240">
        <v>826.60158100000001</v>
      </c>
      <c r="AD23" s="240">
        <v>855.49784899999997</v>
      </c>
      <c r="AE23" s="191">
        <v>801.31728499999997</v>
      </c>
      <c r="AF23" s="250">
        <v>869.448486</v>
      </c>
      <c r="AG23" s="191">
        <v>858.37006799999995</v>
      </c>
      <c r="AH23" s="191">
        <v>825.13063299999999</v>
      </c>
      <c r="AI23" s="191">
        <v>905.93862300000001</v>
      </c>
      <c r="AJ23" s="240">
        <v>3152.1874699999998</v>
      </c>
      <c r="AK23" s="240">
        <v>876.57483999999999</v>
      </c>
      <c r="AL23" s="240">
        <v>694.69487600000002</v>
      </c>
      <c r="AM23" s="250">
        <v>686.09182299999998</v>
      </c>
      <c r="AN23" s="191">
        <v>496.32</v>
      </c>
      <c r="AO23" s="191">
        <v>542.54263900000001</v>
      </c>
      <c r="AP23" s="2342">
        <v>738.88665600000002</v>
      </c>
      <c r="AQ23" s="191">
        <v>742.97394399999996</v>
      </c>
      <c r="AR23" s="191">
        <v>799.83513400000004</v>
      </c>
      <c r="AS23" s="191">
        <v>760.64182500000004</v>
      </c>
      <c r="AT23" s="191">
        <v>771.07627600000001</v>
      </c>
      <c r="AU23" s="191">
        <v>735.12125300000025</v>
      </c>
    </row>
    <row r="24" spans="1:47" s="191" customFormat="1">
      <c r="A24" s="210" t="str">
        <f>'收入（汇总）'!B24</f>
        <v>保险代理</v>
      </c>
      <c r="B24" s="211">
        <v>0</v>
      </c>
      <c r="C24" s="211">
        <v>0</v>
      </c>
      <c r="D24" s="211">
        <v>0</v>
      </c>
      <c r="E24" s="211">
        <v>0</v>
      </c>
      <c r="F24" s="211">
        <v>0</v>
      </c>
      <c r="G24" s="211">
        <v>0</v>
      </c>
      <c r="H24" s="211">
        <v>0</v>
      </c>
      <c r="I24" s="211">
        <v>0</v>
      </c>
      <c r="J24" s="211">
        <v>0</v>
      </c>
      <c r="K24" s="211">
        <v>0</v>
      </c>
      <c r="L24" s="211">
        <v>0</v>
      </c>
      <c r="M24" s="211">
        <v>0</v>
      </c>
      <c r="N24" s="211"/>
      <c r="O24" s="211">
        <v>0</v>
      </c>
      <c r="P24" s="296">
        <v>0</v>
      </c>
      <c r="Q24" s="240"/>
      <c r="R24" s="240">
        <v>0</v>
      </c>
      <c r="S24" s="240">
        <v>0</v>
      </c>
      <c r="T24" s="240">
        <v>0</v>
      </c>
      <c r="U24" s="240">
        <v>0</v>
      </c>
      <c r="V24" s="240">
        <v>0</v>
      </c>
      <c r="W24" s="240">
        <v>0</v>
      </c>
      <c r="X24" s="240">
        <v>0</v>
      </c>
      <c r="Y24" s="240">
        <v>0</v>
      </c>
      <c r="Z24" s="240">
        <v>0</v>
      </c>
      <c r="AA24" s="240">
        <v>0</v>
      </c>
      <c r="AB24" s="240">
        <v>0</v>
      </c>
      <c r="AC24" s="240">
        <v>0</v>
      </c>
      <c r="AD24" s="240">
        <v>0</v>
      </c>
      <c r="AF24" s="250"/>
      <c r="AG24" s="191">
        <v>0</v>
      </c>
      <c r="AI24" s="191">
        <v>0</v>
      </c>
      <c r="AJ24" s="240">
        <v>0</v>
      </c>
      <c r="AK24" s="240">
        <v>0</v>
      </c>
      <c r="AL24" s="240">
        <v>0</v>
      </c>
      <c r="AM24" s="191">
        <v>0</v>
      </c>
      <c r="AN24" s="191">
        <v>0</v>
      </c>
      <c r="AP24" s="2342"/>
    </row>
    <row r="25" spans="1:47" s="192" customFormat="1">
      <c r="A25" s="212" t="str">
        <f>'收入（汇总）'!B25</f>
        <v>投资公司</v>
      </c>
      <c r="B25" s="213">
        <v>0</v>
      </c>
      <c r="C25" s="213">
        <v>0</v>
      </c>
      <c r="D25" s="213">
        <v>0</v>
      </c>
      <c r="E25" s="213">
        <v>0</v>
      </c>
      <c r="F25" s="213">
        <v>0</v>
      </c>
      <c r="G25" s="213">
        <v>0</v>
      </c>
      <c r="H25" s="213">
        <v>0</v>
      </c>
      <c r="I25" s="213">
        <v>0</v>
      </c>
      <c r="J25" s="213">
        <v>0</v>
      </c>
      <c r="K25" s="213">
        <v>0</v>
      </c>
      <c r="L25" s="213">
        <v>0</v>
      </c>
      <c r="M25" s="213">
        <v>0</v>
      </c>
      <c r="N25" s="213"/>
      <c r="O25" s="213">
        <v>0</v>
      </c>
      <c r="P25" s="297">
        <v>0</v>
      </c>
      <c r="Q25" s="241"/>
      <c r="R25" s="241">
        <v>0</v>
      </c>
      <c r="S25" s="241">
        <v>0</v>
      </c>
      <c r="T25" s="241">
        <v>0</v>
      </c>
      <c r="U25" s="241">
        <v>0</v>
      </c>
      <c r="V25" s="241">
        <v>0</v>
      </c>
      <c r="W25" s="241">
        <v>0</v>
      </c>
      <c r="X25" s="241">
        <v>0</v>
      </c>
      <c r="Y25" s="241">
        <v>0</v>
      </c>
      <c r="Z25" s="241">
        <v>0</v>
      </c>
      <c r="AA25" s="241">
        <v>0</v>
      </c>
      <c r="AB25" s="241">
        <v>0</v>
      </c>
      <c r="AC25" s="241">
        <v>0</v>
      </c>
      <c r="AD25" s="241">
        <v>0</v>
      </c>
      <c r="AF25" s="307"/>
      <c r="AG25" s="192">
        <v>0</v>
      </c>
      <c r="AI25" s="192">
        <v>0</v>
      </c>
      <c r="AJ25" s="241">
        <v>0</v>
      </c>
      <c r="AK25" s="241">
        <v>0</v>
      </c>
      <c r="AL25" s="241">
        <v>0</v>
      </c>
      <c r="AM25" s="192">
        <v>0</v>
      </c>
      <c r="AN25" s="192">
        <v>0</v>
      </c>
      <c r="AP25" s="2341"/>
    </row>
    <row r="26" spans="1:47" s="191" customFormat="1">
      <c r="A26" s="210" t="str">
        <f>'收入（汇总）'!B26</f>
        <v>临钢公司</v>
      </c>
      <c r="B26" s="211">
        <v>0</v>
      </c>
      <c r="C26" s="211">
        <v>742</v>
      </c>
      <c r="D26" s="211">
        <v>1487.5520329999999</v>
      </c>
      <c r="E26" s="211">
        <v>1239.14795</v>
      </c>
      <c r="F26" s="211">
        <v>1336.2309250000001</v>
      </c>
      <c r="G26" s="211">
        <v>1378.7195810000001</v>
      </c>
      <c r="H26" s="211">
        <v>1252.321066</v>
      </c>
      <c r="I26" s="211">
        <v>1380.397913</v>
      </c>
      <c r="J26" s="211">
        <v>1375.870874</v>
      </c>
      <c r="K26" s="211">
        <v>1576.3338779999999</v>
      </c>
      <c r="L26" s="211">
        <v>1772.2896860000001</v>
      </c>
      <c r="M26" s="211">
        <v>1502.0413960000001</v>
      </c>
      <c r="N26" s="211">
        <v>1365.0717420000001</v>
      </c>
      <c r="O26" s="211">
        <v>1835.6842959999999</v>
      </c>
      <c r="P26" s="296">
        <v>1305.304296</v>
      </c>
      <c r="Q26" s="240">
        <v>1328.4714799999999</v>
      </c>
      <c r="R26" s="240">
        <v>1288.6541560000001</v>
      </c>
      <c r="S26" s="240">
        <v>1286.6255719999999</v>
      </c>
      <c r="T26" s="240">
        <v>1269.1319329999999</v>
      </c>
      <c r="U26" s="240">
        <v>1292.990468</v>
      </c>
      <c r="V26" s="240">
        <v>1317.8946599999999</v>
      </c>
      <c r="W26" s="240">
        <v>1312.6251629999999</v>
      </c>
      <c r="X26" s="240">
        <v>1251.2640260000001</v>
      </c>
      <c r="Y26" s="240">
        <v>1244.4172639999999</v>
      </c>
      <c r="Z26" s="240">
        <v>1284.2090410000001</v>
      </c>
      <c r="AA26" s="240">
        <v>1335.02748</v>
      </c>
      <c r="AB26" s="240">
        <v>1415.6887939999999</v>
      </c>
      <c r="AC26" s="240">
        <v>1307.359674</v>
      </c>
      <c r="AD26" s="240">
        <v>1224.1840930000001</v>
      </c>
      <c r="AE26" s="191">
        <v>0</v>
      </c>
      <c r="AF26" s="250">
        <v>1236.668398</v>
      </c>
      <c r="AG26" s="191">
        <v>1320.0619369999999</v>
      </c>
      <c r="AH26" s="191">
        <v>1275.3480360000001</v>
      </c>
      <c r="AI26" s="191">
        <v>1285.7294489999999</v>
      </c>
      <c r="AJ26" s="240">
        <v>1219.8776330000001</v>
      </c>
      <c r="AK26" s="240">
        <v>1258.1330359999999</v>
      </c>
      <c r="AL26" s="191">
        <v>1347.3985700000001</v>
      </c>
      <c r="AM26" s="191">
        <v>1467.691896</v>
      </c>
      <c r="AN26" s="191">
        <v>1306.999689</v>
      </c>
      <c r="AO26" s="191">
        <v>1207.9339560000001</v>
      </c>
      <c r="AP26" s="2342">
        <v>1284.7763359999999</v>
      </c>
      <c r="AQ26" s="191">
        <v>1273.362629</v>
      </c>
      <c r="AR26" s="191">
        <v>1458.2908460000001</v>
      </c>
      <c r="AS26" s="191">
        <v>1412.782559</v>
      </c>
      <c r="AT26" s="191">
        <v>1323.5358140000001</v>
      </c>
      <c r="AU26" s="191">
        <v>1219.1992769999997</v>
      </c>
    </row>
    <row r="27" spans="1:47" s="191" customFormat="1">
      <c r="A27" s="210" t="str">
        <f>'收入（汇总）'!B27</f>
        <v>不锈钢工业园</v>
      </c>
      <c r="B27" s="211">
        <v>0</v>
      </c>
      <c r="C27" s="211">
        <v>405.756801</v>
      </c>
      <c r="D27" s="211">
        <v>51.438681000000003</v>
      </c>
      <c r="E27" s="211">
        <v>167.39265</v>
      </c>
      <c r="F27" s="211">
        <v>218.754627</v>
      </c>
      <c r="G27" s="211">
        <v>25.892567</v>
      </c>
      <c r="H27" s="211">
        <v>73.735937000000007</v>
      </c>
      <c r="I27" s="211">
        <v>276.06163600000002</v>
      </c>
      <c r="J27" s="211">
        <v>181.99298899999999</v>
      </c>
      <c r="K27" s="211">
        <v>15.648762</v>
      </c>
      <c r="L27" s="211">
        <v>39.107050999999998</v>
      </c>
      <c r="M27" s="211">
        <v>21.793316000000001</v>
      </c>
      <c r="N27" s="211">
        <v>16.635435000000001</v>
      </c>
      <c r="O27" s="211">
        <v>124.972127</v>
      </c>
      <c r="P27" s="296">
        <v>69.989091999999999</v>
      </c>
      <c r="Q27" s="240">
        <v>75.366663000000003</v>
      </c>
      <c r="R27" s="240">
        <v>16.580808000000001</v>
      </c>
      <c r="S27" s="240">
        <v>16.537347</v>
      </c>
      <c r="T27" s="240">
        <v>20.340648000000002</v>
      </c>
      <c r="U27" s="240">
        <v>25.942458999999999</v>
      </c>
      <c r="V27" s="240">
        <v>52.496592999999997</v>
      </c>
      <c r="W27" s="240">
        <v>163.11062200000001</v>
      </c>
      <c r="X27" s="240">
        <v>36.134422999999998</v>
      </c>
      <c r="Y27" s="240">
        <v>45.743045000000002</v>
      </c>
      <c r="Z27" s="240">
        <v>42.358960000000003</v>
      </c>
      <c r="AA27" s="240">
        <v>26.203430000000001</v>
      </c>
      <c r="AB27" s="240">
        <v>51.092910000000003</v>
      </c>
      <c r="AC27" s="240">
        <v>0</v>
      </c>
      <c r="AD27" s="240">
        <v>10.478698</v>
      </c>
      <c r="AE27" s="191">
        <v>23.917748</v>
      </c>
      <c r="AF27" s="250">
        <v>30.181132999999999</v>
      </c>
      <c r="AG27" s="191">
        <v>69.751892999999995</v>
      </c>
      <c r="AH27" s="191">
        <v>31.590071999999999</v>
      </c>
      <c r="AI27" s="191">
        <v>23.267796000000001</v>
      </c>
      <c r="AJ27" s="240">
        <v>22.712043999999999</v>
      </c>
      <c r="AK27" s="240">
        <v>28.891881000000001</v>
      </c>
      <c r="AL27" s="191">
        <v>232.34931499999999</v>
      </c>
      <c r="AM27" s="191">
        <v>99.001159999999999</v>
      </c>
      <c r="AN27" s="191">
        <v>188.96292299999999</v>
      </c>
      <c r="AO27" s="191">
        <v>103.97365499999999</v>
      </c>
      <c r="AP27" s="2342">
        <v>168.56186500000001</v>
      </c>
      <c r="AQ27" s="191">
        <v>212.58227099999999</v>
      </c>
      <c r="AR27" s="191">
        <v>37.734589999999997</v>
      </c>
      <c r="AS27" s="191">
        <v>23.504408000000002</v>
      </c>
      <c r="AT27" s="191">
        <v>22.413841000000001</v>
      </c>
      <c r="AU27" s="191">
        <v>44.119525000000067</v>
      </c>
    </row>
    <row r="28" spans="1:47" s="192" customFormat="1">
      <c r="A28" s="212" t="str">
        <f>'收入（汇总）'!B28</f>
        <v>房地产开发</v>
      </c>
      <c r="B28" s="213">
        <v>0</v>
      </c>
      <c r="C28" s="213">
        <v>113.459667</v>
      </c>
      <c r="D28" s="213">
        <v>2.5223</v>
      </c>
      <c r="E28" s="213">
        <v>44.031731999999998</v>
      </c>
      <c r="F28" s="213">
        <v>23.277016</v>
      </c>
      <c r="G28" s="213">
        <v>23.277016</v>
      </c>
      <c r="H28" s="213">
        <v>2.5223</v>
      </c>
      <c r="I28" s="213">
        <v>66.089091999999994</v>
      </c>
      <c r="J28" s="213">
        <v>23.928336999999999</v>
      </c>
      <c r="K28" s="213">
        <v>23.928336999999999</v>
      </c>
      <c r="L28" s="213">
        <v>23.928336999999999</v>
      </c>
      <c r="M28" s="213">
        <v>25.828337000000001</v>
      </c>
      <c r="N28" s="213">
        <v>24.010836999999999</v>
      </c>
      <c r="O28" s="213">
        <v>40.978169999999999</v>
      </c>
      <c r="P28" s="297">
        <v>2.6323750000000001</v>
      </c>
      <c r="Q28" s="241">
        <v>49.423048999999999</v>
      </c>
      <c r="R28" s="241">
        <v>25.160212000000001</v>
      </c>
      <c r="S28" s="241">
        <v>25.160212000000001</v>
      </c>
      <c r="T28" s="241">
        <v>25.160212000000001</v>
      </c>
      <c r="U28" s="241">
        <v>25.160212000000001</v>
      </c>
      <c r="V28" s="241">
        <v>25.160212000000001</v>
      </c>
      <c r="W28" s="241">
        <v>25.160212000000001</v>
      </c>
      <c r="X28" s="241">
        <v>25.160212000000001</v>
      </c>
      <c r="Y28" s="241">
        <v>25.144646000000002</v>
      </c>
      <c r="Z28" s="241">
        <v>25.160212000000001</v>
      </c>
      <c r="AA28" s="241">
        <v>25.160208000000001</v>
      </c>
      <c r="AB28" s="241">
        <v>0.89737500000000003</v>
      </c>
      <c r="AC28" s="241">
        <v>0.89737500000000003</v>
      </c>
      <c r="AD28" s="241">
        <v>608.14211</v>
      </c>
      <c r="AE28" s="192">
        <v>147.77989299999999</v>
      </c>
      <c r="AF28" s="307">
        <v>290.91126500000001</v>
      </c>
      <c r="AG28" s="192">
        <v>242.59361000000001</v>
      </c>
      <c r="AH28" s="192">
        <v>424.05242399999997</v>
      </c>
      <c r="AI28" s="192">
        <v>200.05340100000001</v>
      </c>
      <c r="AJ28" s="241">
        <v>199.50098600000001</v>
      </c>
      <c r="AK28" s="241">
        <v>188.33465100000001</v>
      </c>
      <c r="AL28" s="192">
        <v>190.407512</v>
      </c>
      <c r="AM28" s="192">
        <v>204.644677</v>
      </c>
      <c r="AN28" s="192">
        <v>329.78814999999997</v>
      </c>
      <c r="AO28" s="192">
        <v>299.27173299999998</v>
      </c>
      <c r="AP28" s="2341">
        <v>420.67057299999999</v>
      </c>
      <c r="AQ28" s="192">
        <v>338.42240099999998</v>
      </c>
      <c r="AR28" s="192">
        <v>347.50248599999998</v>
      </c>
      <c r="AS28" s="192">
        <v>462.87418400000001</v>
      </c>
      <c r="AT28" s="192">
        <v>746.46837100000005</v>
      </c>
      <c r="AU28" s="192">
        <v>462.86807100000033</v>
      </c>
    </row>
    <row r="29" spans="1:47" s="191" customFormat="1">
      <c r="A29" s="210" t="str">
        <f>'收入（汇总）'!B29</f>
        <v>工程技术公司</v>
      </c>
      <c r="B29" s="211">
        <v>0</v>
      </c>
      <c r="C29" s="211">
        <v>2475.1504209999998</v>
      </c>
      <c r="D29" s="211">
        <v>1558.4847400000001</v>
      </c>
      <c r="E29" s="211">
        <v>723.66107699999998</v>
      </c>
      <c r="F29" s="211">
        <v>1277.7873300000001</v>
      </c>
      <c r="G29" s="211">
        <v>1593.1696979999999</v>
      </c>
      <c r="H29" s="211">
        <v>423.229623</v>
      </c>
      <c r="I29" s="211">
        <v>13.908208</v>
      </c>
      <c r="J29" s="211">
        <v>1966.9472539999999</v>
      </c>
      <c r="K29" s="211">
        <v>1031.5498709999999</v>
      </c>
      <c r="L29" s="211">
        <v>5667.6891809999997</v>
      </c>
      <c r="M29" s="211">
        <v>816.26037899999994</v>
      </c>
      <c r="N29" s="211">
        <v>1554.5123160000001</v>
      </c>
      <c r="O29" s="211">
        <v>9234.1848399999999</v>
      </c>
      <c r="P29" s="296">
        <v>731.98323400000004</v>
      </c>
      <c r="Q29" s="240">
        <v>263.98227900000001</v>
      </c>
      <c r="R29" s="240">
        <v>1217.913045</v>
      </c>
      <c r="S29" s="240">
        <v>686.43701699999997</v>
      </c>
      <c r="T29" s="240">
        <v>298.21697999999998</v>
      </c>
      <c r="U29" s="240">
        <v>605.94530899999995</v>
      </c>
      <c r="V29" s="240">
        <v>1865.209805</v>
      </c>
      <c r="W29" s="240">
        <v>5066.7516070000001</v>
      </c>
      <c r="X29" s="240">
        <v>5037.5091819999998</v>
      </c>
      <c r="Y29" s="240">
        <v>7481.4112299999997</v>
      </c>
      <c r="Z29" s="240">
        <v>4937.1893749999999</v>
      </c>
      <c r="AA29" s="240">
        <v>7929.364399</v>
      </c>
      <c r="AB29" s="240">
        <v>7643.5036140000002</v>
      </c>
      <c r="AC29" s="240">
        <v>1987.749057</v>
      </c>
      <c r="AD29" s="240">
        <v>935.81616099999997</v>
      </c>
      <c r="AE29" s="191">
        <v>1505.4387019999999</v>
      </c>
      <c r="AF29" s="250">
        <v>2855.8877339999999</v>
      </c>
      <c r="AG29" s="191">
        <v>3759.1755710000002</v>
      </c>
      <c r="AH29" s="191">
        <v>5146.6618340000005</v>
      </c>
      <c r="AI29" s="191">
        <v>5215.834836</v>
      </c>
      <c r="AJ29" s="240">
        <v>3717.4383520000001</v>
      </c>
      <c r="AK29" s="240">
        <v>4748.9131900000002</v>
      </c>
      <c r="AL29" s="191">
        <v>8108.7118959999998</v>
      </c>
      <c r="AM29" s="191">
        <v>5041.764948</v>
      </c>
      <c r="AN29" s="191">
        <v>1952.78</v>
      </c>
      <c r="AO29" s="191">
        <v>2436.0369190000001</v>
      </c>
      <c r="AP29" s="2342">
        <v>6248.7680679999994</v>
      </c>
      <c r="AQ29" s="191">
        <v>4222.6160319999999</v>
      </c>
      <c r="AR29" s="191">
        <v>5927.1672850000004</v>
      </c>
      <c r="AS29" s="191">
        <v>4561.4635699999999</v>
      </c>
      <c r="AT29" s="191">
        <v>4009.4612089999973</v>
      </c>
      <c r="AU29" s="191">
        <v>1629</v>
      </c>
    </row>
    <row r="30" spans="1:47" s="191" customFormat="1">
      <c r="A30" s="210" t="str">
        <f>'收入（汇总）'!B30</f>
        <v>能源公司</v>
      </c>
      <c r="B30" s="211">
        <v>0</v>
      </c>
      <c r="C30" s="211">
        <v>0</v>
      </c>
      <c r="D30" s="211">
        <v>0</v>
      </c>
      <c r="E30" s="211">
        <v>0</v>
      </c>
      <c r="F30" s="211">
        <v>0</v>
      </c>
      <c r="G30" s="211">
        <v>0</v>
      </c>
      <c r="H30" s="211">
        <v>0</v>
      </c>
      <c r="I30" s="211"/>
      <c r="J30" s="211">
        <v>0</v>
      </c>
      <c r="K30" s="211">
        <v>0</v>
      </c>
      <c r="L30" s="211">
        <v>0</v>
      </c>
      <c r="M30" s="211">
        <v>0</v>
      </c>
      <c r="N30" s="211">
        <v>0</v>
      </c>
      <c r="O30" s="211">
        <v>0</v>
      </c>
      <c r="P30" s="296">
        <v>0</v>
      </c>
      <c r="Q30" s="240">
        <v>0</v>
      </c>
      <c r="R30" s="240">
        <v>0</v>
      </c>
      <c r="S30" s="240">
        <v>0</v>
      </c>
      <c r="T30" s="240">
        <v>0</v>
      </c>
      <c r="U30" s="240"/>
      <c r="V30" s="240"/>
      <c r="W30" s="240">
        <v>0</v>
      </c>
      <c r="X30" s="240">
        <v>0</v>
      </c>
      <c r="Y30" s="240">
        <v>0</v>
      </c>
      <c r="Z30" s="240"/>
      <c r="AA30" s="240"/>
      <c r="AB30" s="240">
        <v>0</v>
      </c>
      <c r="AC30" s="240">
        <v>0</v>
      </c>
      <c r="AD30" s="240">
        <v>0</v>
      </c>
      <c r="AE30" s="191">
        <v>0</v>
      </c>
      <c r="AF30" s="250">
        <v>0</v>
      </c>
      <c r="AG30" s="191">
        <v>0</v>
      </c>
      <c r="AH30" s="191">
        <v>0</v>
      </c>
      <c r="AI30" s="191">
        <v>42.206225000000003</v>
      </c>
      <c r="AJ30" s="240">
        <v>0</v>
      </c>
      <c r="AK30" s="240">
        <v>41.495471999999999</v>
      </c>
      <c r="AL30" s="191">
        <v>0</v>
      </c>
      <c r="AM30" s="191">
        <v>0</v>
      </c>
      <c r="AP30" s="2342">
        <v>46.944715000000002</v>
      </c>
      <c r="AS30" s="191">
        <v>40.58</v>
      </c>
    </row>
    <row r="31" spans="1:47">
      <c r="A31" s="208" t="str">
        <f>'收入（汇总）'!B31</f>
        <v>环境监测公司</v>
      </c>
      <c r="B31" s="209"/>
      <c r="C31" s="209"/>
      <c r="D31" s="209"/>
      <c r="E31" s="209"/>
      <c r="F31" s="209"/>
      <c r="G31" s="209"/>
      <c r="H31" s="209"/>
      <c r="I31" s="209"/>
      <c r="J31" s="209"/>
      <c r="K31" s="209"/>
      <c r="L31" s="209"/>
      <c r="M31" s="209"/>
      <c r="N31" s="209"/>
      <c r="O31" s="209"/>
      <c r="P31" s="295">
        <v>0</v>
      </c>
      <c r="Q31" s="238"/>
      <c r="R31" s="238">
        <v>0</v>
      </c>
      <c r="S31" s="238">
        <v>0</v>
      </c>
      <c r="T31" s="238"/>
      <c r="U31" s="238"/>
      <c r="V31" s="238"/>
      <c r="W31" s="238">
        <v>156</v>
      </c>
      <c r="X31" s="238"/>
      <c r="Y31" s="238">
        <v>140.07773599999999</v>
      </c>
      <c r="Z31" s="238">
        <v>66.762264999999999</v>
      </c>
      <c r="AA31" s="238">
        <v>252.855187</v>
      </c>
      <c r="AB31" s="238"/>
      <c r="AC31" s="238">
        <v>0</v>
      </c>
      <c r="AD31" s="238">
        <v>152.528774</v>
      </c>
      <c r="AE31" s="206">
        <v>0</v>
      </c>
      <c r="AF31" s="306">
        <v>0</v>
      </c>
      <c r="AG31" s="206">
        <v>238.88547199999999</v>
      </c>
      <c r="AH31" s="206">
        <v>0</v>
      </c>
      <c r="AI31" s="206">
        <v>0</v>
      </c>
      <c r="AJ31" s="238">
        <v>205.94028299999999</v>
      </c>
      <c r="AK31" s="238">
        <v>0.84905699999999995</v>
      </c>
      <c r="AL31" s="206">
        <v>112.125</v>
      </c>
      <c r="AM31" s="206">
        <v>299.169152</v>
      </c>
      <c r="AO31" s="206">
        <v>64.403019</v>
      </c>
      <c r="AP31" s="2344">
        <v>127.44858499999999</v>
      </c>
      <c r="AQ31" s="206">
        <v>91.230754000000005</v>
      </c>
      <c r="AR31" s="206">
        <v>85.733112000000006</v>
      </c>
      <c r="AS31" s="206">
        <v>290.87830100000002</v>
      </c>
      <c r="AT31" s="206">
        <v>122.554812</v>
      </c>
      <c r="AU31" s="206">
        <v>85.30622900000003</v>
      </c>
    </row>
    <row r="32" spans="1:47">
      <c r="A32" s="208" t="s">
        <v>135</v>
      </c>
      <c r="B32" s="209"/>
      <c r="C32" s="209"/>
      <c r="D32" s="209"/>
      <c r="E32" s="209"/>
      <c r="F32" s="209"/>
      <c r="G32" s="209"/>
      <c r="H32" s="209"/>
      <c r="I32" s="209"/>
      <c r="J32" s="209"/>
      <c r="K32" s="209"/>
      <c r="L32" s="209"/>
      <c r="M32" s="209"/>
      <c r="N32" s="209"/>
      <c r="O32" s="209"/>
      <c r="P32" s="295"/>
      <c r="Q32" s="238"/>
      <c r="R32" s="238"/>
      <c r="S32" s="238"/>
      <c r="T32" s="238"/>
      <c r="U32" s="238"/>
      <c r="V32" s="238"/>
      <c r="W32" s="238"/>
      <c r="X32" s="238"/>
      <c r="Y32" s="238"/>
      <c r="Z32" s="238"/>
      <c r="AA32" s="238"/>
      <c r="AB32" s="238"/>
      <c r="AC32" s="238">
        <v>0</v>
      </c>
      <c r="AD32" s="238">
        <v>0</v>
      </c>
      <c r="AE32" s="206">
        <v>0</v>
      </c>
      <c r="AF32" s="306">
        <v>0</v>
      </c>
      <c r="AG32" s="206">
        <v>0</v>
      </c>
      <c r="AH32" s="206">
        <v>0</v>
      </c>
      <c r="AI32" s="206">
        <v>0</v>
      </c>
      <c r="AJ32" s="238">
        <v>0</v>
      </c>
      <c r="AK32" s="238">
        <v>0</v>
      </c>
      <c r="AL32" s="206">
        <v>0</v>
      </c>
      <c r="AM32" s="206">
        <v>0</v>
      </c>
    </row>
    <row r="33" spans="1:51">
      <c r="A33" s="208" t="str">
        <f>'收入（汇总）'!B33</f>
        <v>先进材料研究院</v>
      </c>
      <c r="B33" s="209">
        <v>0</v>
      </c>
      <c r="C33" s="209">
        <v>0</v>
      </c>
      <c r="D33" s="209"/>
      <c r="E33" s="209"/>
      <c r="F33" s="209">
        <v>0</v>
      </c>
      <c r="G33" s="209"/>
      <c r="H33" s="209">
        <v>0</v>
      </c>
      <c r="I33" s="209"/>
      <c r="J33" s="209"/>
      <c r="K33" s="209"/>
      <c r="L33" s="209"/>
      <c r="M33" s="209"/>
      <c r="N33" s="209"/>
      <c r="O33" s="209"/>
      <c r="P33" s="295">
        <v>0</v>
      </c>
      <c r="Q33" s="238"/>
      <c r="R33" s="238">
        <v>0</v>
      </c>
      <c r="S33" s="238">
        <v>0</v>
      </c>
      <c r="T33" s="238"/>
      <c r="U33" s="238"/>
      <c r="V33" s="238"/>
      <c r="W33" s="238"/>
      <c r="X33" s="238"/>
      <c r="Y33" s="238"/>
      <c r="Z33" s="238"/>
      <c r="AA33" s="238"/>
      <c r="AB33" s="238"/>
      <c r="AC33" s="238">
        <v>0</v>
      </c>
      <c r="AD33" s="238">
        <v>0</v>
      </c>
      <c r="AE33" s="206">
        <v>0</v>
      </c>
      <c r="AF33" s="306">
        <v>0</v>
      </c>
      <c r="AG33" s="206">
        <v>0</v>
      </c>
      <c r="AH33" s="206">
        <v>0</v>
      </c>
      <c r="AI33" s="206">
        <v>0</v>
      </c>
      <c r="AJ33" s="238">
        <v>0</v>
      </c>
      <c r="AK33" s="238">
        <v>0</v>
      </c>
      <c r="AL33" s="206">
        <v>0</v>
      </c>
      <c r="AM33" s="206">
        <v>0</v>
      </c>
    </row>
    <row r="34" spans="1:51" s="192" customFormat="1">
      <c r="A34" s="212" t="str">
        <f>'收入（汇总）'!B34</f>
        <v>医疗公司</v>
      </c>
      <c r="B34" s="213">
        <v>0</v>
      </c>
      <c r="C34" s="213">
        <v>367.3535</v>
      </c>
      <c r="D34" s="213">
        <v>70.826800000000006</v>
      </c>
      <c r="E34" s="213">
        <v>109.2388</v>
      </c>
      <c r="F34" s="213">
        <v>320.11970000000002</v>
      </c>
      <c r="G34" s="213"/>
      <c r="H34" s="213">
        <v>247.21250000000001</v>
      </c>
      <c r="I34" s="213">
        <v>18.102699999999999</v>
      </c>
      <c r="J34" s="213">
        <v>178.53540000000001</v>
      </c>
      <c r="K34" s="213">
        <v>246.95202</v>
      </c>
      <c r="L34" s="213">
        <v>244.9941</v>
      </c>
      <c r="M34" s="213">
        <v>464.05905000000001</v>
      </c>
      <c r="N34" s="213">
        <v>176.23990000000001</v>
      </c>
      <c r="O34" s="213">
        <v>584.43849999999998</v>
      </c>
      <c r="P34" s="297">
        <v>135.94669999999999</v>
      </c>
      <c r="Q34" s="241">
        <v>41.0274</v>
      </c>
      <c r="R34" s="241">
        <v>-141.0641</v>
      </c>
      <c r="S34" s="241">
        <v>21.73</v>
      </c>
      <c r="T34" s="241">
        <v>50.127200000000002</v>
      </c>
      <c r="U34" s="241">
        <v>30.24</v>
      </c>
      <c r="V34" s="241">
        <v>37.01</v>
      </c>
      <c r="W34" s="241">
        <v>24.897600000000001</v>
      </c>
      <c r="X34" s="241">
        <v>55.160375999999999</v>
      </c>
      <c r="Y34" s="241">
        <v>39.726415000000003</v>
      </c>
      <c r="Z34" s="241">
        <v>73.054716999999997</v>
      </c>
      <c r="AA34" s="241">
        <v>38.196452000000001</v>
      </c>
      <c r="AB34" s="241">
        <v>12.735848000000001</v>
      </c>
      <c r="AC34" s="241">
        <v>39.389158000000002</v>
      </c>
      <c r="AD34" s="241">
        <v>40.424528000000002</v>
      </c>
      <c r="AE34" s="192">
        <v>72.387698</v>
      </c>
      <c r="AF34" s="307">
        <v>21.745283000000001</v>
      </c>
      <c r="AG34" s="192">
        <v>14.339622</v>
      </c>
      <c r="AH34" s="192">
        <v>426.19009999999997</v>
      </c>
      <c r="AI34" s="192">
        <v>0</v>
      </c>
      <c r="AJ34" s="241">
        <v>618.71288100000004</v>
      </c>
      <c r="AK34" s="241">
        <v>427.367593</v>
      </c>
      <c r="AL34" s="192">
        <v>337.83086100000003</v>
      </c>
      <c r="AM34" s="192">
        <v>564.34517300000005</v>
      </c>
      <c r="AN34" s="2341"/>
      <c r="AO34" s="2341"/>
      <c r="AP34" s="2341"/>
    </row>
    <row r="35" spans="1:51">
      <c r="A35" s="208" t="str">
        <f>'收入（汇总）'!B35</f>
        <v>峨口农业</v>
      </c>
      <c r="B35" s="209">
        <v>0</v>
      </c>
      <c r="C35" s="209">
        <v>0</v>
      </c>
      <c r="D35" s="209"/>
      <c r="E35" s="209"/>
      <c r="F35" s="209">
        <v>0</v>
      </c>
      <c r="G35" s="209"/>
      <c r="H35" s="209">
        <v>0</v>
      </c>
      <c r="I35" s="209"/>
      <c r="J35" s="209"/>
      <c r="K35" s="209"/>
      <c r="L35" s="209"/>
      <c r="M35" s="209"/>
      <c r="N35" s="209">
        <v>0</v>
      </c>
      <c r="O35" s="209"/>
      <c r="P35" s="295">
        <v>0</v>
      </c>
      <c r="Q35" s="238"/>
      <c r="R35" s="238">
        <v>0</v>
      </c>
      <c r="S35" s="238">
        <v>0</v>
      </c>
      <c r="T35" s="238"/>
      <c r="U35" s="238"/>
      <c r="V35" s="238"/>
      <c r="W35" s="238"/>
      <c r="X35" s="238"/>
      <c r="Y35" s="238"/>
      <c r="Z35" s="238"/>
      <c r="AA35" s="238"/>
      <c r="AB35" s="238"/>
      <c r="AC35" s="238">
        <v>0</v>
      </c>
      <c r="AD35" s="238">
        <v>0</v>
      </c>
    </row>
    <row r="36" spans="1:51">
      <c r="A36" s="208" t="str">
        <f>'收入（汇总）'!B36</f>
        <v>尖山农业</v>
      </c>
      <c r="B36" s="209">
        <v>0</v>
      </c>
      <c r="C36" s="209">
        <v>0</v>
      </c>
      <c r="D36" s="209"/>
      <c r="E36" s="209"/>
      <c r="F36" s="209">
        <v>0</v>
      </c>
      <c r="G36" s="209"/>
      <c r="H36" s="209">
        <v>0</v>
      </c>
      <c r="I36" s="209"/>
      <c r="J36" s="209"/>
      <c r="K36" s="209"/>
      <c r="L36" s="209"/>
      <c r="M36" s="209"/>
      <c r="N36" s="209">
        <v>0</v>
      </c>
      <c r="O36" s="209"/>
      <c r="P36" s="295">
        <v>0</v>
      </c>
      <c r="Q36" s="238"/>
      <c r="R36" s="238">
        <v>0</v>
      </c>
      <c r="S36" s="238">
        <v>0</v>
      </c>
      <c r="T36" s="238"/>
      <c r="U36" s="238"/>
      <c r="V36" s="238"/>
      <c r="W36" s="238"/>
      <c r="X36" s="238"/>
      <c r="Y36" s="238"/>
      <c r="Z36" s="238"/>
      <c r="AA36" s="238"/>
      <c r="AB36" s="238"/>
      <c r="AC36" s="238">
        <v>0</v>
      </c>
      <c r="AD36" s="238">
        <v>0</v>
      </c>
    </row>
    <row r="37" spans="1:51">
      <c r="A37" s="208" t="str">
        <f>'收入（汇总）'!B37</f>
        <v>岚县农业</v>
      </c>
      <c r="B37" s="209">
        <v>0</v>
      </c>
      <c r="C37" s="209">
        <v>0</v>
      </c>
      <c r="D37" s="209"/>
      <c r="E37" s="209"/>
      <c r="F37" s="209">
        <v>0</v>
      </c>
      <c r="G37" s="209"/>
      <c r="H37" s="209">
        <v>0</v>
      </c>
      <c r="I37" s="209"/>
      <c r="J37" s="209"/>
      <c r="K37" s="209"/>
      <c r="L37" s="209"/>
      <c r="M37" s="209"/>
      <c r="N37" s="209">
        <v>0</v>
      </c>
      <c r="O37" s="209"/>
      <c r="P37" s="295">
        <v>0</v>
      </c>
      <c r="Q37" s="238"/>
      <c r="R37" s="238">
        <v>0</v>
      </c>
      <c r="S37" s="238">
        <v>0</v>
      </c>
      <c r="T37" s="238"/>
      <c r="U37" s="238"/>
      <c r="V37" s="238"/>
      <c r="W37" s="238"/>
      <c r="X37" s="238"/>
      <c r="Y37" s="238"/>
      <c r="Z37" s="238"/>
      <c r="AA37" s="238"/>
      <c r="AB37" s="238"/>
      <c r="AC37" s="238">
        <v>0</v>
      </c>
      <c r="AD37" s="238">
        <v>0</v>
      </c>
    </row>
    <row r="38" spans="1:51" s="196" customFormat="1">
      <c r="A38" s="223" t="str">
        <f>'收入（汇总）'!B38</f>
        <v>投资收益</v>
      </c>
      <c r="B38" s="224"/>
      <c r="C38" s="224"/>
      <c r="D38" s="224"/>
      <c r="E38" s="224"/>
      <c r="F38" s="224"/>
      <c r="G38" s="224"/>
      <c r="H38" s="224"/>
      <c r="I38" s="224"/>
      <c r="J38" s="299"/>
      <c r="K38" s="224"/>
      <c r="L38" s="224"/>
      <c r="M38" s="224"/>
      <c r="N38" s="224"/>
      <c r="O38" s="224"/>
      <c r="P38" s="300"/>
      <c r="Q38" s="246"/>
      <c r="R38" s="246"/>
      <c r="S38" s="246"/>
      <c r="T38" s="246"/>
      <c r="U38" s="246"/>
      <c r="V38" s="246"/>
    </row>
    <row r="39" spans="1:51" s="197" customFormat="1">
      <c r="A39" s="225" t="str">
        <f>'收入（汇总）'!B39</f>
        <v>抵减财务公司投资收益</v>
      </c>
      <c r="B39" s="226"/>
      <c r="C39" s="226"/>
      <c r="D39" s="226"/>
      <c r="E39" s="226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301"/>
      <c r="Q39" s="247"/>
      <c r="R39" s="247"/>
      <c r="S39" s="247"/>
      <c r="T39" s="247"/>
      <c r="U39" s="247"/>
      <c r="V39" s="247"/>
    </row>
    <row r="40" spans="1:51" s="197" customFormat="1">
      <c r="A40" s="225" t="str">
        <f>'收入（汇总）'!B40</f>
        <v>合并财务公司拨备</v>
      </c>
      <c r="B40" s="226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47"/>
      <c r="Q40" s="247"/>
      <c r="R40" s="247"/>
      <c r="S40" s="247"/>
      <c r="T40" s="247"/>
      <c r="U40" s="247"/>
      <c r="V40" s="247"/>
    </row>
    <row r="41" spans="1:51" s="198" customFormat="1">
      <c r="A41" s="227" t="str">
        <f>'收入（汇总）'!B41</f>
        <v>其他事项处理</v>
      </c>
      <c r="B41" s="228">
        <f>B46</f>
        <v>0</v>
      </c>
      <c r="C41" s="228">
        <f t="shared" ref="C41:O41" si="0">C46</f>
        <v>0</v>
      </c>
      <c r="D41" s="228">
        <f t="shared" si="0"/>
        <v>0</v>
      </c>
      <c r="E41" s="228">
        <f t="shared" si="0"/>
        <v>-276</v>
      </c>
      <c r="F41" s="228">
        <f t="shared" si="0"/>
        <v>-215</v>
      </c>
      <c r="G41" s="228">
        <f t="shared" si="0"/>
        <v>0</v>
      </c>
      <c r="H41" s="228">
        <f t="shared" si="0"/>
        <v>0</v>
      </c>
      <c r="I41" s="228">
        <f t="shared" si="0"/>
        <v>0</v>
      </c>
      <c r="J41" s="228">
        <f t="shared" si="0"/>
        <v>-43</v>
      </c>
      <c r="K41" s="228">
        <f t="shared" si="0"/>
        <v>-31</v>
      </c>
      <c r="L41" s="228">
        <f t="shared" si="0"/>
        <v>-10</v>
      </c>
      <c r="M41" s="228">
        <f t="shared" si="0"/>
        <v>0</v>
      </c>
      <c r="N41" s="228">
        <f t="shared" si="0"/>
        <v>0</v>
      </c>
      <c r="O41" s="228">
        <f t="shared" si="0"/>
        <v>0</v>
      </c>
      <c r="P41" s="302"/>
      <c r="Q41" s="248"/>
      <c r="R41" s="248"/>
      <c r="S41" s="248"/>
      <c r="T41" s="248"/>
      <c r="U41" s="248"/>
      <c r="V41" s="248"/>
    </row>
    <row r="42" spans="1:51" s="199" customFormat="1">
      <c r="A42" s="229" t="s">
        <v>187</v>
      </c>
      <c r="B42" s="230">
        <f t="shared" ref="B42:AM42" si="1">SUM(B3:B41)-B20-B21-B8-B9</f>
        <v>0</v>
      </c>
      <c r="C42" s="230">
        <f t="shared" si="1"/>
        <v>262346.69815537654</v>
      </c>
      <c r="D42" s="230">
        <f t="shared" si="1"/>
        <v>286425.1525087445</v>
      </c>
      <c r="E42" s="230">
        <f t="shared" si="1"/>
        <v>228381.99121362381</v>
      </c>
      <c r="F42" s="230">
        <f t="shared" si="1"/>
        <v>248448.91656022097</v>
      </c>
      <c r="G42" s="230">
        <f t="shared" si="1"/>
        <v>265603.63710073958</v>
      </c>
      <c r="H42" s="230">
        <f t="shared" si="1"/>
        <v>299520.63188906468</v>
      </c>
      <c r="I42" s="230">
        <f t="shared" si="1"/>
        <v>263556.47954863665</v>
      </c>
      <c r="J42" s="230">
        <f t="shared" si="1"/>
        <v>236267.09918290627</v>
      </c>
      <c r="K42" s="230">
        <f t="shared" si="1"/>
        <v>290475.10194786917</v>
      </c>
      <c r="L42" s="230">
        <f t="shared" si="1"/>
        <v>226351.66461316802</v>
      </c>
      <c r="M42" s="230">
        <f t="shared" si="1"/>
        <v>234423.92455728093</v>
      </c>
      <c r="N42" s="230">
        <f t="shared" si="1"/>
        <v>274619.94353309687</v>
      </c>
      <c r="O42" s="230">
        <f t="shared" si="1"/>
        <v>267662.99839447887</v>
      </c>
      <c r="P42" s="230">
        <f t="shared" si="1"/>
        <v>266540.46271399484</v>
      </c>
      <c r="Q42" s="230">
        <f t="shared" si="1"/>
        <v>247568.75080652858</v>
      </c>
      <c r="R42" s="230">
        <f t="shared" si="1"/>
        <v>258500.7335291731</v>
      </c>
      <c r="S42" s="230">
        <f t="shared" si="1"/>
        <v>284594.48846425983</v>
      </c>
      <c r="T42" s="230">
        <f t="shared" si="1"/>
        <v>306387.0187367344</v>
      </c>
      <c r="U42" s="230">
        <f t="shared" si="1"/>
        <v>290524.08654370805</v>
      </c>
      <c r="V42" s="230">
        <f t="shared" si="1"/>
        <v>294451.17142815661</v>
      </c>
      <c r="W42" s="249">
        <f t="shared" si="1"/>
        <v>287807.09967835213</v>
      </c>
      <c r="X42" s="249">
        <f t="shared" si="1"/>
        <v>304730.30390899995</v>
      </c>
      <c r="Y42" s="249">
        <f t="shared" si="1"/>
        <v>328613.26475199993</v>
      </c>
      <c r="Z42" s="249">
        <f t="shared" si="1"/>
        <v>332095.86032600008</v>
      </c>
      <c r="AA42" s="249">
        <f t="shared" si="1"/>
        <v>341914.83489100001</v>
      </c>
      <c r="AB42" s="249">
        <f t="shared" si="1"/>
        <v>291112.69608900003</v>
      </c>
      <c r="AC42" s="249">
        <f t="shared" si="1"/>
        <v>311523.95481000002</v>
      </c>
      <c r="AD42" s="249">
        <f>SUM(AD3:AD41)-AD20-AD21-AD8-AD9</f>
        <v>271077.61847500014</v>
      </c>
      <c r="AE42" s="249">
        <f t="shared" si="1"/>
        <v>263352.4334390001</v>
      </c>
      <c r="AF42" s="249">
        <f t="shared" si="1"/>
        <v>261598.71986799996</v>
      </c>
      <c r="AG42" s="249">
        <f t="shared" si="1"/>
        <v>280441.07101999997</v>
      </c>
      <c r="AH42" s="249">
        <f t="shared" si="1"/>
        <v>268981.35531899997</v>
      </c>
      <c r="AI42" s="249">
        <f t="shared" si="1"/>
        <v>305604.68394999992</v>
      </c>
      <c r="AJ42" s="249">
        <f t="shared" si="1"/>
        <v>308812.43495199998</v>
      </c>
      <c r="AK42" s="249">
        <f>SUM(AK3:AK41)-AK20-AK21-AK8-AK9</f>
        <v>329388.83381700004</v>
      </c>
      <c r="AL42" s="249">
        <f t="shared" si="1"/>
        <v>355098.46694500005</v>
      </c>
      <c r="AM42" s="249">
        <f t="shared" si="1"/>
        <v>370699.71290300001</v>
      </c>
      <c r="AN42" s="249">
        <f>SUM(AN3:AN41)-AN20-AN21-AN8-AN9-AN10</f>
        <v>363999.412282</v>
      </c>
      <c r="AO42" s="249">
        <f>SUM(AO3:AO41)-AO20-AO21-AO8-AO9-AO10</f>
        <v>382711.326948</v>
      </c>
      <c r="AP42" s="249">
        <f t="shared" ref="AP42:AY42" si="2">SUM(AP3:AP41)-AP20-AP21-AP8-AP9-AP10</f>
        <v>450547.11558200011</v>
      </c>
      <c r="AQ42" s="249">
        <f t="shared" si="2"/>
        <v>531374.58244200016</v>
      </c>
      <c r="AR42" s="249">
        <f t="shared" si="2"/>
        <v>458615.03009100002</v>
      </c>
      <c r="AS42" s="249">
        <f t="shared" si="2"/>
        <v>576854.18613900011</v>
      </c>
      <c r="AT42" s="249">
        <f t="shared" si="2"/>
        <v>544462.96181799984</v>
      </c>
      <c r="AU42" s="249">
        <f t="shared" si="2"/>
        <v>520673.33797999995</v>
      </c>
      <c r="AV42" s="249">
        <f t="shared" si="2"/>
        <v>0</v>
      </c>
      <c r="AW42" s="249">
        <f t="shared" si="2"/>
        <v>0</v>
      </c>
      <c r="AX42" s="249">
        <f t="shared" si="2"/>
        <v>0</v>
      </c>
      <c r="AY42" s="249">
        <f t="shared" si="2"/>
        <v>0</v>
      </c>
    </row>
    <row r="43" spans="1:51" s="200" customFormat="1">
      <c r="A43" s="231"/>
      <c r="B43" s="232"/>
      <c r="C43" s="232"/>
      <c r="D43" s="232"/>
      <c r="E43" s="232"/>
      <c r="F43" s="232"/>
      <c r="G43" s="232"/>
      <c r="H43" s="232"/>
      <c r="I43" s="232"/>
      <c r="J43" s="232"/>
      <c r="K43" s="232"/>
      <c r="L43" s="232"/>
      <c r="M43" s="232"/>
      <c r="N43" s="232"/>
      <c r="O43" s="232"/>
    </row>
    <row r="44" spans="1:51" s="200" customFormat="1">
      <c r="A44" s="231" t="s">
        <v>877</v>
      </c>
      <c r="B44" s="232">
        <v>863062.34415999998</v>
      </c>
      <c r="C44" s="232">
        <v>106271</v>
      </c>
      <c r="D44" s="232">
        <v>79729</v>
      </c>
      <c r="E44" s="232">
        <v>75560</v>
      </c>
      <c r="F44" s="232">
        <v>65890</v>
      </c>
      <c r="G44" s="232">
        <v>70766</v>
      </c>
      <c r="H44" s="232">
        <v>68836</v>
      </c>
      <c r="I44" s="232">
        <v>38229.18</v>
      </c>
      <c r="J44" s="232">
        <v>63781</v>
      </c>
      <c r="K44" s="232">
        <v>68827</v>
      </c>
      <c r="L44" s="232">
        <v>67356</v>
      </c>
      <c r="M44" s="232">
        <v>66192</v>
      </c>
      <c r="N44" s="232">
        <v>68186</v>
      </c>
      <c r="O44" s="232">
        <v>66907</v>
      </c>
      <c r="P44" s="200">
        <v>42918.383009999998</v>
      </c>
      <c r="Q44" s="200">
        <v>40747.199733000001</v>
      </c>
      <c r="R44" s="200">
        <v>47387.180337999998</v>
      </c>
      <c r="S44" s="200">
        <v>59590.306690999998</v>
      </c>
      <c r="T44" s="305">
        <v>58617.808015000002</v>
      </c>
      <c r="U44" s="200">
        <v>54212.088662000002</v>
      </c>
      <c r="V44" s="200">
        <v>51343.777431000002</v>
      </c>
      <c r="W44" s="200">
        <v>58550.856781000002</v>
      </c>
      <c r="X44" s="200">
        <v>51310.221686999997</v>
      </c>
      <c r="Y44" s="200">
        <v>44517.564555999998</v>
      </c>
      <c r="Z44" s="309">
        <v>43411.407121999997</v>
      </c>
      <c r="AA44" s="200">
        <v>49809.924174</v>
      </c>
      <c r="AB44" s="200">
        <v>30349.116226999999</v>
      </c>
      <c r="AC44" s="305">
        <v>34300.100801000001</v>
      </c>
      <c r="AD44" s="200">
        <v>33581.617303999999</v>
      </c>
      <c r="AE44" s="200">
        <v>37613.927059000001</v>
      </c>
      <c r="AF44" s="310">
        <v>31794.706446</v>
      </c>
      <c r="AG44" s="200">
        <v>33662.953695999997</v>
      </c>
      <c r="AH44" s="200">
        <v>20033.736138</v>
      </c>
      <c r="AI44" s="200">
        <v>30165.510750000001</v>
      </c>
      <c r="AJ44" s="200">
        <v>28305.679132999998</v>
      </c>
      <c r="AK44" s="305">
        <v>34333.745972000004</v>
      </c>
      <c r="AL44" s="200">
        <v>40665.260439999998</v>
      </c>
      <c r="AM44" s="200">
        <v>35122.131668000002</v>
      </c>
      <c r="AN44" s="200">
        <v>38854.756889999997</v>
      </c>
      <c r="AO44" s="200">
        <v>38403.831967999999</v>
      </c>
      <c r="AP44" s="200">
        <v>46949.106212999999</v>
      </c>
      <c r="AQ44" s="200">
        <v>48407.562565</v>
      </c>
      <c r="AR44" s="200">
        <v>53872.0743</v>
      </c>
      <c r="AS44" s="200">
        <v>60930.152241999996</v>
      </c>
      <c r="AT44" s="200">
        <v>61631.563844999997</v>
      </c>
      <c r="AU44" s="200">
        <v>56728.820592999997</v>
      </c>
    </row>
    <row r="45" spans="1:51" s="201" customFormat="1">
      <c r="B45" s="233"/>
      <c r="C45" s="233"/>
      <c r="D45" s="233"/>
      <c r="E45" s="233"/>
      <c r="F45" s="233"/>
      <c r="G45" s="233"/>
      <c r="H45" s="233"/>
      <c r="I45" s="233"/>
      <c r="J45" s="233"/>
      <c r="K45" s="233"/>
      <c r="L45" s="233"/>
      <c r="M45" s="233"/>
      <c r="N45" s="233"/>
      <c r="O45" s="233"/>
      <c r="AP45" s="2345"/>
    </row>
    <row r="46" spans="1:51" s="202" customFormat="1">
      <c r="A46" s="202" t="s">
        <v>958</v>
      </c>
      <c r="B46" s="234">
        <f t="shared" ref="B46:O46" si="3">B48+B47</f>
        <v>0</v>
      </c>
      <c r="C46" s="234">
        <f t="shared" si="3"/>
        <v>0</v>
      </c>
      <c r="D46" s="234">
        <f t="shared" si="3"/>
        <v>0</v>
      </c>
      <c r="E46" s="234">
        <f t="shared" si="3"/>
        <v>-276</v>
      </c>
      <c r="F46" s="234">
        <f t="shared" si="3"/>
        <v>-215</v>
      </c>
      <c r="G46" s="234">
        <f t="shared" si="3"/>
        <v>0</v>
      </c>
      <c r="H46" s="234">
        <f t="shared" si="3"/>
        <v>0</v>
      </c>
      <c r="I46" s="234">
        <f t="shared" si="3"/>
        <v>0</v>
      </c>
      <c r="J46" s="234">
        <f t="shared" si="3"/>
        <v>-43</v>
      </c>
      <c r="K46" s="234">
        <f t="shared" si="3"/>
        <v>-31</v>
      </c>
      <c r="L46" s="234">
        <f t="shared" si="3"/>
        <v>-10</v>
      </c>
      <c r="M46" s="234">
        <f t="shared" si="3"/>
        <v>0</v>
      </c>
      <c r="N46" s="234">
        <f t="shared" si="3"/>
        <v>0</v>
      </c>
      <c r="O46" s="234">
        <f t="shared" si="3"/>
        <v>0</v>
      </c>
      <c r="AN46" s="1991"/>
    </row>
    <row r="47" spans="1:51" s="203" customFormat="1">
      <c r="A47" s="235" t="s">
        <v>959</v>
      </c>
      <c r="B47" s="236"/>
      <c r="C47" s="236"/>
      <c r="D47" s="236"/>
      <c r="E47" s="236">
        <v>-276</v>
      </c>
      <c r="F47" s="236">
        <v>-215</v>
      </c>
      <c r="G47" s="236"/>
      <c r="H47" s="236"/>
      <c r="I47" s="236"/>
      <c r="J47" s="236">
        <v>-43</v>
      </c>
      <c r="K47" s="236">
        <v>-31</v>
      </c>
      <c r="L47" s="236">
        <v>-10</v>
      </c>
      <c r="M47" s="236"/>
      <c r="N47" s="236"/>
      <c r="O47" s="236"/>
      <c r="P47" s="303"/>
    </row>
    <row r="48" spans="1:51" s="203" customFormat="1">
      <c r="A48" s="235" t="s">
        <v>960</v>
      </c>
      <c r="B48" s="236"/>
      <c r="C48" s="236"/>
      <c r="D48" s="236"/>
      <c r="E48" s="236"/>
      <c r="F48" s="236"/>
      <c r="G48" s="236"/>
      <c r="H48" s="236"/>
      <c r="I48" s="236"/>
      <c r="J48" s="236"/>
      <c r="K48" s="236"/>
      <c r="L48" s="236"/>
      <c r="M48" s="236"/>
      <c r="N48" s="236"/>
      <c r="O48" s="236"/>
      <c r="P48" s="304"/>
    </row>
    <row r="49" spans="39:41">
      <c r="AM49" s="238"/>
    </row>
    <row r="51" spans="39:41">
      <c r="AO51" s="238"/>
    </row>
  </sheetData>
  <customSheetViews>
    <customSheetView guid="{1683F931-F47D-47C0-A395-D48080DC7EE6}" showPageBreaks="1" hiddenColumns="1" topLeftCell="I1">
      <selection activeCell="AF17" sqref="AF17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 r:id="rId1"/>
    </customSheetView>
    <customSheetView guid="{43897816-D2F0-4C3D-8F57-E0039BD2296B}">
      <pane xSplit="2" ySplit="3" topLeftCell="F19" activePane="bottomRight" state="frozen"/>
      <selection pane="bottomRight" activeCell="Q41" sqref="Q4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849C46E5-4ED4-41B9-BDA9-A6465B9DA9C2}">
      <pane xSplit="2" ySplit="2" topLeftCell="AC6" activePane="bottomRight" state="frozen"/>
      <selection pane="bottomRight" activeCell="AE9" sqref="AE9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8C09BCDE-4B8A-4469-B3F2-7F4528A2E78D}">
      <pane xSplit="2" ySplit="2" topLeftCell="AC6" activePane="bottomRight" state="frozen"/>
      <selection pane="bottomRight" activeCell="AE9" sqref="AE9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F4EB51F4-FD23-4D5B-8072-1AF5D59D6686}">
      <pane xSplit="2" ySplit="2" topLeftCell="X3" activePane="bottomRight" state="frozen"/>
      <selection pane="bottomRight" activeCell="AN10" sqref="AB10:AN10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D7BCFB76-2797-401D-A6F1-E020B5162DD4}">
      <pane xSplit="2" ySplit="3" topLeftCell="AI4" activePane="bottomRight" state="frozen"/>
      <selection pane="bottomRight" activeCell="AN8" sqref="AN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C9A88430-3808-49F4-8D86-BF8C70C55441}">
      <pane xSplit="2" ySplit="3" topLeftCell="I28"/>
      <selection activeCell="A42" sqref="A42:XFD4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E61FFED3-723E-484A-93A0-94E1A801AF06}">
      <pane xSplit="2" ySplit="3" topLeftCell="L22" activePane="bottomRight" state="frozen"/>
      <selection pane="bottomRight" activeCell="R42" sqref="R4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6B5CCA07-2BDD-4B8E-9E3C-2111BBA97430}">
      <pane xSplit="2" ySplit="3" topLeftCell="AJ19" activePane="bottomRight" state="frozen"/>
      <selection pane="bottomRight" activeCell="AN8" sqref="AN8:AN9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 r:id="rId2"/>
    </customSheetView>
    <customSheetView guid="{2F47A827-9643-4D8A-AC5D-6B09D79AACF9}">
      <pane xSplit="2" ySplit="3" topLeftCell="F19" activePane="bottomRight" state="frozen"/>
      <selection pane="bottomRight" activeCell="Q41" sqref="Q4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B37168A1-DBAB-4BDE-9F92-6261DCDF3D92}">
      <pane xSplit="2" ySplit="2" topLeftCell="X18" activePane="bottomRight" state="frozen"/>
      <selection pane="bottomRight" activeCell="AG42" sqref="AG4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AE0DD889-C13C-4059-8024-0F5B234827E9}" hiddenColumns="1" topLeftCell="I1">
      <selection activeCell="AF17" sqref="AF17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CCBBD9B0-4191-4D7A-9F7B-BAC044A49153}">
      <pane xSplit="2" ySplit="2" topLeftCell="Q15" state="frozen"/>
      <selection activeCell="AD51" sqref="AD5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F5F9735B-EE22-4AC6-B5AB-C856ED6C133D}">
      <pane xSplit="2" ySplit="2" topLeftCell="M3" state="frozen"/>
      <selection activeCell="Y14" sqref="Y14:Y27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45B4C0D1-53B6-4553-BFF9-393760B8E0CE}">
      <pane xSplit="2" ySplit="3" topLeftCell="I28" state="frozen"/>
      <selection activeCell="A42" sqref="A42:XFD4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1BBD1596-143E-4714-99EF-E3545231CCD1}">
      <pane xSplit="2" ySplit="3" topLeftCell="F22" state="frozen"/>
      <selection activeCell="A28" sqref="A2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A8456D60-99BA-4794-8966-0CBA0A37EA6F}">
      <pane xSplit="2" ySplit="3" topLeftCell="F22" state="frozen"/>
      <selection activeCell="A28" sqref="A2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500C3980-ED13-4C97-96B1-955D50509B66}" hiddenColumns="1">
      <selection activeCell="AB5" sqref="AB5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3B943BAF-34C7-494A-A071-85DE0891E5A1}">
      <pane xSplit="2" ySplit="2" topLeftCell="O3" state="frozen"/>
      <selection activeCell="AD42" sqref="AD4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EEE4B3DA-ADF6-49CC-9873-068FE5927B92}">
      <pane xSplit="2" ySplit="3" topLeftCell="F19" state="frozen"/>
      <selection activeCell="Q41" sqref="Q4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C52D0F53-4D1D-4D01-B833-260359FD02A5}">
      <pane xSplit="2" ySplit="2" topLeftCell="Q15" activePane="bottomRight" state="frozen"/>
      <selection pane="bottomRight" activeCell="W49" sqref="W49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6A1E79C9-91E3-4EEA-8ABB-4446083299EC}">
      <pane xSplit="2" ySplit="3" topLeftCell="I28"/>
      <selection activeCell="A42" sqref="A42:XFD4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8B80B510-C931-46B1-8591-DEA916D76593}">
      <pane xSplit="2" ySplit="2" topLeftCell="AJ24" activePane="bottomRight" state="frozen"/>
      <selection pane="bottomRight" activeCell="AL43" sqref="AL43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303A9D89-611D-4504-BCAA-071C53B021F7}">
      <pane xSplit="2" ySplit="3" topLeftCell="F22" activePane="bottomRight" state="frozen"/>
      <selection pane="bottomRight" activeCell="A28" sqref="A2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4583A87D-5DFF-47BD-849A-FA4AAF2B9CE3}">
      <pane xSplit="2" ySplit="2" topLeftCell="O3" activePane="bottomRight" state="frozen"/>
      <selection pane="bottomRight" activeCell="AD42" sqref="AD4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EA856AC2-CDFF-46B6-B0C4-30449DF132F4}">
      <pane xSplit="2" ySplit="2" topLeftCell="AJ24" activePane="bottomRight" state="frozen"/>
      <selection pane="bottomRight" activeCell="AL43" sqref="AL43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322A45A6-8B26-49B8-A4D9-EFB3C94A758D}" hiddenColumns="1">
      <selection activeCell="AZ13" sqref="A1:AZ13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 r:id="rId3"/>
    </customSheetView>
  </customSheetViews>
  <phoneticPr fontId="133" type="noConversion"/>
  <printOptions horizontalCentered="1"/>
  <pageMargins left="0.70763888888888904" right="0.70763888888888904" top="0.74791666666666701" bottom="0.74791666666666701" header="0.31388888888888899" footer="0.31388888888888899"/>
  <pageSetup paperSize="9" scale="81" orientation="landscape" r:id="rId4"/>
  <legacyDrawing r:id="rId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68"/>
  <sheetViews>
    <sheetView zoomScaleNormal="85" workbookViewId="0">
      <selection activeCell="AT48" sqref="AT48"/>
    </sheetView>
  </sheetViews>
  <sheetFormatPr defaultColWidth="9" defaultRowHeight="14.25"/>
  <cols>
    <col min="1" max="1" width="29.5" style="266" customWidth="1"/>
    <col min="2" max="2" width="8.5" style="266" hidden="1" customWidth="1"/>
    <col min="3" max="15" width="7.5" style="266" hidden="1" customWidth="1"/>
    <col min="16" max="28" width="9" style="266" hidden="1" customWidth="1"/>
    <col min="29" max="29" width="9.5" style="266" hidden="1" customWidth="1"/>
    <col min="30" max="31" width="9" style="266" hidden="1" customWidth="1"/>
    <col min="32" max="32" width="9.875" style="266" hidden="1" customWidth="1"/>
    <col min="33" max="33" width="11.75" style="266" hidden="1" customWidth="1"/>
    <col min="34" max="35" width="9" style="266" hidden="1" customWidth="1"/>
    <col min="36" max="36" width="9.875" style="266" hidden="1" customWidth="1"/>
    <col min="37" max="38" width="9" style="266" hidden="1" customWidth="1"/>
    <col min="39" max="39" width="11" style="266" hidden="1" customWidth="1"/>
    <col min="40" max="40" width="10.875" style="266" customWidth="1"/>
    <col min="41" max="41" width="11.125" style="266" customWidth="1"/>
    <col min="42" max="44" width="12.75" style="266" bestFit="1" customWidth="1"/>
    <col min="45" max="45" width="12.375" style="266" customWidth="1"/>
    <col min="46" max="46" width="12" style="266" customWidth="1"/>
    <col min="47" max="47" width="13.125" style="266" customWidth="1"/>
    <col min="48" max="51" width="10.75" style="266" customWidth="1"/>
    <col min="52" max="52" width="9" style="266"/>
    <col min="53" max="53" width="11.375" style="266" customWidth="1"/>
    <col min="54" max="16384" width="9" style="266"/>
  </cols>
  <sheetData>
    <row r="1" spans="1:54" s="252" customFormat="1">
      <c r="A1" s="252" t="str">
        <f>'收入（汇总）'!B1</f>
        <v>年度</v>
      </c>
      <c r="B1" s="252">
        <f>'收入（汇总）'!C1</f>
        <v>2017</v>
      </c>
      <c r="C1" s="252">
        <f>'收入（汇总）'!D1</f>
        <v>2017</v>
      </c>
      <c r="D1" s="252">
        <f>'收入（汇总）'!E1</f>
        <v>2018</v>
      </c>
      <c r="E1" s="252">
        <f>'收入（汇总）'!F1</f>
        <v>2018</v>
      </c>
      <c r="F1" s="252">
        <f>'收入（汇总）'!G1</f>
        <v>2018</v>
      </c>
      <c r="G1" s="252">
        <f>'收入（汇总）'!H1</f>
        <v>2018</v>
      </c>
      <c r="H1" s="252">
        <f>'收入（汇总）'!I1</f>
        <v>2018</v>
      </c>
      <c r="I1" s="252">
        <f>'收入（汇总）'!J1</f>
        <v>2018</v>
      </c>
      <c r="J1" s="252">
        <f>'收入（汇总）'!K1</f>
        <v>2018</v>
      </c>
      <c r="K1" s="252">
        <f>'收入（汇总）'!L1</f>
        <v>2018</v>
      </c>
      <c r="L1" s="252">
        <f>'收入（汇总）'!M1</f>
        <v>2018</v>
      </c>
      <c r="M1" s="252">
        <f>'收入（汇总）'!N1</f>
        <v>2018</v>
      </c>
      <c r="N1" s="252">
        <f>'收入（汇总）'!O1</f>
        <v>2018</v>
      </c>
      <c r="O1" s="252">
        <f>'收入（汇总）'!P1</f>
        <v>2018</v>
      </c>
      <c r="P1" s="252">
        <v>2019</v>
      </c>
      <c r="Q1" s="252">
        <v>2019</v>
      </c>
      <c r="R1" s="252">
        <v>2019</v>
      </c>
      <c r="S1" s="252">
        <v>2019</v>
      </c>
      <c r="T1" s="252">
        <v>2019</v>
      </c>
      <c r="U1" s="252">
        <v>2019</v>
      </c>
      <c r="V1" s="252">
        <v>2019</v>
      </c>
      <c r="W1" s="252">
        <v>2019</v>
      </c>
      <c r="X1" s="252">
        <v>2019</v>
      </c>
      <c r="Y1" s="252">
        <v>2019</v>
      </c>
      <c r="Z1" s="252">
        <v>2019</v>
      </c>
      <c r="AA1" s="252">
        <v>2019</v>
      </c>
      <c r="AB1" s="252">
        <v>2020</v>
      </c>
      <c r="AC1" s="252">
        <v>2020</v>
      </c>
      <c r="AD1" s="252">
        <v>2020</v>
      </c>
      <c r="AE1" s="252">
        <v>2020</v>
      </c>
      <c r="AF1" s="252">
        <v>2020</v>
      </c>
      <c r="AG1" s="252">
        <v>2020</v>
      </c>
      <c r="AH1" s="252">
        <v>2020</v>
      </c>
      <c r="AI1" s="252">
        <v>2020</v>
      </c>
      <c r="AJ1" s="252">
        <v>2020</v>
      </c>
      <c r="AK1" s="252">
        <v>2020</v>
      </c>
      <c r="AL1" s="252">
        <v>2020</v>
      </c>
      <c r="AM1" s="252">
        <v>2020</v>
      </c>
      <c r="AN1" s="252">
        <v>2021</v>
      </c>
      <c r="AO1" s="252">
        <v>2021</v>
      </c>
      <c r="AP1" s="252">
        <v>2021</v>
      </c>
      <c r="AQ1" s="252">
        <v>2021</v>
      </c>
      <c r="AR1" s="252">
        <v>2021</v>
      </c>
      <c r="AS1" s="252">
        <v>2021</v>
      </c>
      <c r="AT1" s="252">
        <v>2021</v>
      </c>
      <c r="AU1" s="252">
        <v>2021</v>
      </c>
      <c r="AV1" s="252">
        <v>2021</v>
      </c>
      <c r="AW1" s="252">
        <v>2021</v>
      </c>
      <c r="AX1" s="252">
        <v>2021</v>
      </c>
      <c r="AY1" s="252">
        <v>2021</v>
      </c>
    </row>
    <row r="2" spans="1:54" s="253" customFormat="1">
      <c r="A2" s="253" t="str">
        <f>'收入（汇总）'!B2</f>
        <v>份</v>
      </c>
      <c r="B2" s="253" t="str">
        <f>'收入（汇总）'!C2</f>
        <v>累计</v>
      </c>
      <c r="C2" s="253">
        <f>'收入（汇总）'!D2</f>
        <v>12</v>
      </c>
      <c r="D2" s="253">
        <f>'收入（汇总）'!E2</f>
        <v>1</v>
      </c>
      <c r="E2" s="253">
        <f>'收入（汇总）'!F2</f>
        <v>2</v>
      </c>
      <c r="F2" s="253">
        <f>'收入（汇总）'!G2</f>
        <v>3</v>
      </c>
      <c r="G2" s="253">
        <f>'收入（汇总）'!H2</f>
        <v>4</v>
      </c>
      <c r="H2" s="253">
        <f>'收入（汇总）'!I2</f>
        <v>5</v>
      </c>
      <c r="I2" s="253">
        <f>'收入（汇总）'!J2</f>
        <v>6</v>
      </c>
      <c r="J2" s="253">
        <f>'收入（汇总）'!K2</f>
        <v>7</v>
      </c>
      <c r="K2" s="253">
        <f>'收入（汇总）'!L2</f>
        <v>8</v>
      </c>
      <c r="L2" s="253">
        <f>'收入（汇总）'!M2</f>
        <v>9</v>
      </c>
      <c r="M2" s="253">
        <f>'收入（汇总）'!N2</f>
        <v>10</v>
      </c>
      <c r="N2" s="253">
        <f>'收入（汇总）'!O2</f>
        <v>11</v>
      </c>
      <c r="O2" s="253">
        <f>'收入（汇总）'!P2</f>
        <v>12</v>
      </c>
      <c r="P2" s="253">
        <v>1</v>
      </c>
      <c r="Q2" s="253">
        <v>2</v>
      </c>
      <c r="R2" s="253">
        <v>3</v>
      </c>
      <c r="S2" s="253">
        <v>4</v>
      </c>
      <c r="T2" s="253">
        <v>5</v>
      </c>
      <c r="U2" s="253">
        <v>6</v>
      </c>
      <c r="V2" s="253">
        <v>7</v>
      </c>
      <c r="W2" s="253">
        <v>8</v>
      </c>
      <c r="X2" s="253">
        <v>9</v>
      </c>
      <c r="Y2" s="253">
        <v>10</v>
      </c>
      <c r="Z2" s="253">
        <v>11</v>
      </c>
      <c r="AA2" s="253">
        <v>12</v>
      </c>
      <c r="AB2" s="253">
        <v>1</v>
      </c>
      <c r="AC2" s="253">
        <v>2</v>
      </c>
      <c r="AD2" s="253">
        <v>3</v>
      </c>
      <c r="AE2" s="253">
        <v>4</v>
      </c>
      <c r="AF2" s="253">
        <v>5</v>
      </c>
      <c r="AG2" s="253">
        <v>6</v>
      </c>
      <c r="AH2" s="253">
        <v>7</v>
      </c>
      <c r="AI2" s="253">
        <v>8</v>
      </c>
      <c r="AJ2" s="253">
        <v>9</v>
      </c>
      <c r="AK2" s="253">
        <v>10</v>
      </c>
      <c r="AL2" s="253">
        <v>11</v>
      </c>
      <c r="AM2" s="253">
        <v>12</v>
      </c>
      <c r="AN2" s="253">
        <v>1</v>
      </c>
      <c r="AO2" s="253">
        <v>2</v>
      </c>
      <c r="AP2" s="253">
        <v>3</v>
      </c>
      <c r="AQ2" s="253">
        <v>4</v>
      </c>
      <c r="AR2" s="253">
        <v>5</v>
      </c>
      <c r="AS2" s="253">
        <v>6</v>
      </c>
      <c r="AT2" s="253">
        <v>7</v>
      </c>
      <c r="AU2" s="253">
        <v>8</v>
      </c>
      <c r="AV2" s="253">
        <v>9</v>
      </c>
      <c r="AW2" s="253">
        <v>10</v>
      </c>
      <c r="AX2" s="253">
        <v>11</v>
      </c>
      <c r="AY2" s="253">
        <v>12</v>
      </c>
    </row>
    <row r="3" spans="1:54">
      <c r="A3" s="266" t="str">
        <f>'收入（汇总）'!B3</f>
        <v>母公司</v>
      </c>
      <c r="B3" s="267">
        <f>'收入（汇总）'!C3-'收入（关联）'!B3</f>
        <v>119518.5967727</v>
      </c>
      <c r="C3" s="267">
        <f>'收入（汇总）'!D3-'收入（关联）'!C3</f>
        <v>11026.196584999998</v>
      </c>
      <c r="D3" s="267">
        <f>'收入（汇总）'!E3-'收入（关联）'!D3</f>
        <v>9006.1751599999989</v>
      </c>
      <c r="E3" s="267">
        <f>'收入（汇总）'!F3-'收入（关联）'!E3</f>
        <v>10465.410451999996</v>
      </c>
      <c r="F3" s="267">
        <f>'收入（汇总）'!G3-'收入（关联）'!F3</f>
        <v>8402.0815460000013</v>
      </c>
      <c r="G3" s="267">
        <f>'收入（汇总）'!H3-'收入（关联）'!G3</f>
        <v>5546.7626089999976</v>
      </c>
      <c r="H3" s="267">
        <f>'收入（汇总）'!I3-'收入（关联）'!H3</f>
        <v>10277.174094000002</v>
      </c>
      <c r="I3" s="267">
        <f>'收入（汇总）'!J3-'收入（关联）'!I3</f>
        <v>12128.887824999998</v>
      </c>
      <c r="J3" s="267">
        <f>'收入（汇总）'!K3-'收入（关联）'!J3</f>
        <v>10370.581418000002</v>
      </c>
      <c r="K3" s="267">
        <f>'收入（汇总）'!L3-'收入（关联）'!K3</f>
        <v>16104.259479</v>
      </c>
      <c r="L3" s="267">
        <f>'收入（汇总）'!M3-'收入（关联）'!L3</f>
        <v>13830.389775000003</v>
      </c>
      <c r="M3" s="267">
        <f>'收入（汇总）'!N3-'收入（关联）'!M3</f>
        <v>14794.929057000001</v>
      </c>
      <c r="N3" s="267">
        <f>'收入（汇总）'!O3-'收入（关联）'!N3</f>
        <v>12968.796745</v>
      </c>
      <c r="O3" s="267">
        <f>'收入（汇总）'!P3-'收入（关联）'!O3</f>
        <v>12899.667639000007</v>
      </c>
      <c r="P3" s="267">
        <f>'收入（汇总）'!Q3-'收入（关联）'!P3</f>
        <v>9449.9555079999991</v>
      </c>
      <c r="Q3" s="267">
        <f>'收入（汇总）'!R3-'收入（关联）'!Q3</f>
        <v>11671.802710999997</v>
      </c>
      <c r="R3" s="267">
        <f>'收入（汇总）'!S3-'收入（关联）'!R3</f>
        <v>14283.381930999996</v>
      </c>
      <c r="S3" s="267">
        <f>'收入（汇总）'!T3-'收入（关联）'!S3</f>
        <v>18819.898981999999</v>
      </c>
      <c r="T3" s="267">
        <f>'收入（汇总）'!U3-'收入（关联）'!T3</f>
        <v>21767.543888</v>
      </c>
      <c r="U3" s="267">
        <f>'收入（汇总）'!V3-'收入（关联）'!U3</f>
        <v>21618.048548000006</v>
      </c>
      <c r="V3" s="267">
        <f>'收入（汇总）'!W3-'收入（关联）'!V3</f>
        <v>21273.671405999994</v>
      </c>
      <c r="W3" s="267">
        <f>'收入（汇总）'!X3-'收入（关联）'!W3</f>
        <v>13216.640723000004</v>
      </c>
      <c r="X3" s="267">
        <f>'收入（汇总）'!Y3-'收入（关联）'!X3</f>
        <v>17268.270416999992</v>
      </c>
      <c r="Y3" s="267">
        <f>'收入（汇总）'!Z3-'收入（关联）'!Y3</f>
        <v>15070.299813999998</v>
      </c>
      <c r="Z3" s="267">
        <f>'收入（汇总）'!AA3-'收入（关联）'!Z3</f>
        <v>12565.771607000002</v>
      </c>
      <c r="AA3" s="267">
        <f>'收入（汇总）'!AB3-'收入（关联）'!AA3</f>
        <v>38241.78</v>
      </c>
      <c r="AB3" s="267">
        <f>'收入（汇总）'!AC3-'收入（关联）'!AB3</f>
        <v>13891</v>
      </c>
      <c r="AC3" s="279">
        <f>'收入（汇总）'!AD3-'收入（关联）'!AC3</f>
        <v>16297.929999999993</v>
      </c>
      <c r="AD3" s="279">
        <f>'收入（汇总）'!AE3-'收入（关联）'!AD3</f>
        <v>17406.541408999998</v>
      </c>
      <c r="AE3" s="279">
        <f>'收入（汇总）'!AF3-'收入（关联）'!AE3</f>
        <v>14138.570854999998</v>
      </c>
      <c r="AF3" s="279">
        <f>'收入（汇总）'!AG3-'收入（关联）'!AF3</f>
        <v>8250.4277770000044</v>
      </c>
      <c r="AG3" s="279">
        <f>'收入（汇总）'!AH3-'收入（关联）'!AG3</f>
        <v>36954.299999999988</v>
      </c>
      <c r="AH3" s="279">
        <f>'收入（汇总）'!AI3-'收入（关联）'!AH3</f>
        <v>42271</v>
      </c>
      <c r="AI3" s="279">
        <f>'收入（汇总）'!AJ3-'收入（关联）'!AI3</f>
        <v>35158.670008999994</v>
      </c>
      <c r="AJ3" s="279">
        <f>'收入（汇总）'!AK3-'收入（关联）'!AJ3</f>
        <v>36295.773824999997</v>
      </c>
      <c r="AK3" s="279">
        <f>'收入（汇总）'!AL3-'收入（关联）'!AK3</f>
        <v>29810.764567000006</v>
      </c>
      <c r="AL3" s="279">
        <f>'收入（汇总）'!AM3-'收入（关联）'!AL3</f>
        <v>29090.070000000007</v>
      </c>
      <c r="AM3" s="279">
        <f>'收入（汇总）'!AN3-'收入（关联）'!AM3</f>
        <v>13470.867376000009</v>
      </c>
      <c r="AN3" s="279">
        <f>'收入（汇总）'!AO3-'收入（关联）'!AN3</f>
        <v>16273.991221999997</v>
      </c>
      <c r="AO3" s="279">
        <f>'收入（汇总）'!AP3-'收入（关联）'!AO3</f>
        <v>36639.95735099999</v>
      </c>
      <c r="AP3" s="279">
        <f>'收入（汇总）'!AQ3-'收入（关联）'!AP3</f>
        <v>37885.825696000014</v>
      </c>
      <c r="AQ3" s="279">
        <f>'收入（汇总）'!AR3-'收入（关联）'!AQ3</f>
        <v>53285</v>
      </c>
      <c r="AR3" s="279">
        <f>'收入（汇总）'!AS3-'收入（关联）'!AR3</f>
        <v>48609.94</v>
      </c>
      <c r="AS3" s="279">
        <f>'收入（汇总）'!AT3-'收入（关联）'!AS3</f>
        <v>39444.414900000003</v>
      </c>
      <c r="AT3" s="279">
        <f>'收入（汇总）'!AU3-'收入（关联）'!AT3</f>
        <v>43726.675217000011</v>
      </c>
      <c r="AU3" s="279">
        <f>'收入（汇总）'!AV3-'收入（关联）'!AU3</f>
        <v>41997.015712999972</v>
      </c>
      <c r="AV3" s="266">
        <f>'收入（汇总）'!AW3-'收入（关联）'!AV3</f>
        <v>0</v>
      </c>
      <c r="AW3" s="266">
        <f>'收入（汇总）'!AX3-'收入（关联）'!AW3</f>
        <v>0</v>
      </c>
      <c r="AX3" s="266">
        <f>'收入（汇总）'!AY3-'收入（关联）'!AX3</f>
        <v>0</v>
      </c>
      <c r="AY3" s="266">
        <f>'收入（汇总）'!AZ3-'收入（关联）'!AY3</f>
        <v>0</v>
      </c>
      <c r="BA3" s="275">
        <f>SUM(AN3:AU3)</f>
        <v>317862.820099</v>
      </c>
    </row>
    <row r="4" spans="1:54">
      <c r="A4" s="266" t="s">
        <v>110</v>
      </c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  <c r="Z4" s="267"/>
      <c r="AA4" s="267"/>
      <c r="AB4" s="267">
        <f>'收入（汇总）'!AC4-'收入（关联）'!AB4</f>
        <v>170.60408100000132</v>
      </c>
      <c r="AC4" s="279">
        <f>'收入（汇总）'!AD4-'收入（关联）'!AC4</f>
        <v>45.50833799999964</v>
      </c>
      <c r="AD4" s="279">
        <f>'收入（汇总）'!AE4-'收入（关联）'!AD4</f>
        <v>200.46755200000007</v>
      </c>
      <c r="AE4" s="279">
        <f>'收入（汇总）'!AF4-'收入（关联）'!AE4</f>
        <v>372.64918799999941</v>
      </c>
      <c r="AF4" s="279">
        <f>'收入（汇总）'!AG4-'收入（关联）'!AF4</f>
        <v>280.25960300000042</v>
      </c>
      <c r="AG4" s="279">
        <f>'收入（汇总）'!AH4-'收入（关联）'!AG4</f>
        <v>345.19481199999973</v>
      </c>
      <c r="AH4" s="279">
        <f>'收入（汇总）'!AI4-'收入（关联）'!AH4</f>
        <v>314.41654700000072</v>
      </c>
      <c r="AI4" s="279">
        <f>'收入（汇总）'!AJ4-'收入（关联）'!AI4</f>
        <v>475.20569799999976</v>
      </c>
      <c r="AJ4" s="279">
        <f>'收入（汇总）'!AK4-'收入（关联）'!AJ4</f>
        <v>264.13741899999968</v>
      </c>
      <c r="AK4" s="279">
        <f>'收入（汇总）'!AL4-'收入（关联）'!AK4</f>
        <v>247.02307500000097</v>
      </c>
      <c r="AL4" s="279">
        <f>'收入（汇总）'!AM4-'收入（关联）'!AL4</f>
        <v>344.46594399999958</v>
      </c>
      <c r="AM4" s="279">
        <f>'收入（汇总）'!AN4-'收入（关联）'!AM4</f>
        <v>369.52076699999998</v>
      </c>
      <c r="AN4" s="279">
        <f>'收入（汇总）'!AO4-'收入（关联）'!AN4</f>
        <v>298.43006099999911</v>
      </c>
      <c r="AO4" s="279">
        <f>'收入（汇总）'!AP4-'收入（关联）'!AO4</f>
        <v>50.469422999998642</v>
      </c>
      <c r="AP4" s="279">
        <f>'收入（汇总）'!AQ4-'收入（关联）'!AP4</f>
        <v>392.91711800000121</v>
      </c>
      <c r="AQ4" s="279">
        <f>'收入（汇总）'!AR4-'收入（关联）'!AQ4</f>
        <v>323.51805899999817</v>
      </c>
      <c r="AR4" s="279">
        <f>'收入（汇总）'!AS4-'收入（关联）'!AR4</f>
        <v>275.09675699999934</v>
      </c>
      <c r="AS4" s="279">
        <f>'收入（汇总）'!AT4-'收入（关联）'!AS4</f>
        <v>425.40106999999989</v>
      </c>
      <c r="AT4" s="279">
        <f>'收入（汇总）'!AU4-'收入（关联）'!AT4</f>
        <v>9.3721130000158155</v>
      </c>
      <c r="AU4" s="279">
        <f>'收入（汇总）'!AV4-'收入（关联）'!AU4</f>
        <v>175.57901599999241</v>
      </c>
      <c r="AV4" s="266">
        <f>'收入（汇总）'!AW4-'收入（关联）'!AV4</f>
        <v>0</v>
      </c>
      <c r="AW4" s="266">
        <f>'收入（汇总）'!AX4-'收入（关联）'!AW4</f>
        <v>0</v>
      </c>
      <c r="AX4" s="266">
        <f>'收入（汇总）'!AY4-'收入（关联）'!AX4</f>
        <v>0</v>
      </c>
      <c r="AY4" s="266">
        <f>'收入（汇总）'!AZ4-'收入（关联）'!AY4</f>
        <v>0</v>
      </c>
      <c r="BA4" s="2587">
        <f t="shared" ref="BA4:BA34" si="0">SUM(AN4:AU4)</f>
        <v>1950.7836170000046</v>
      </c>
    </row>
    <row r="5" spans="1:54" s="254" customFormat="1">
      <c r="A5" s="254" t="str">
        <f>'收入（汇总）'!B5</f>
        <v>岚县矿业</v>
      </c>
      <c r="B5" s="268">
        <f>'收入（汇总）'!C5-'收入（关联）'!B5</f>
        <v>-515.15425711619901</v>
      </c>
      <c r="C5" s="268">
        <f>'收入（汇总）'!D5-'收入（关联）'!C5</f>
        <v>-2000.1252554102975</v>
      </c>
      <c r="D5" s="268">
        <f>'收入（汇总）'!E5-'收入（关联）'!D5</f>
        <v>151.59994853850003</v>
      </c>
      <c r="E5" s="268">
        <f>'收入（汇总）'!F5-'收入（关联）'!E5</f>
        <v>1.5766040341986809</v>
      </c>
      <c r="F5" s="268">
        <f>'收入（汇总）'!G5-'收入（关联）'!F5</f>
        <v>112.50497909399928</v>
      </c>
      <c r="G5" s="268">
        <f>'收入（汇总）'!H5-'收入（关联）'!G5</f>
        <v>271.77127496579851</v>
      </c>
      <c r="H5" s="268">
        <f>'收入（汇总）'!I5-'收入（关联）'!H5</f>
        <v>3.153017448301398</v>
      </c>
      <c r="I5" s="268">
        <f>'收入（汇总）'!J5-'收入（关联）'!I5</f>
        <v>14.192613999999594</v>
      </c>
      <c r="J5" s="268">
        <f>'收入（汇总）'!K5-'收入（关联）'!J5</f>
        <v>1.1932070000002568</v>
      </c>
      <c r="K5" s="268">
        <f>'收入（汇总）'!L5-'收入（关联）'!K5</f>
        <v>299.29059282760136</v>
      </c>
      <c r="L5" s="268">
        <f>'收入（汇总）'!M5-'收入（关联）'!L5</f>
        <v>175.08473044829589</v>
      </c>
      <c r="M5" s="268">
        <f>'收入（汇总）'!N5-'收入（关联）'!M5</f>
        <v>28.054325999997673</v>
      </c>
      <c r="N5" s="268">
        <f>'收入（汇总）'!O5-'收入（关联）'!N5</f>
        <v>578.66760800000338</v>
      </c>
      <c r="O5" s="268">
        <f>'收入（汇总）'!P5-'收入（关联）'!O5</f>
        <v>1933.6606283103974</v>
      </c>
      <c r="P5" s="268">
        <f>'收入（汇总）'!Q5-'收入（关联）'!P5</f>
        <v>166.57880400000067</v>
      </c>
      <c r="Q5" s="268">
        <f>'收入（汇总）'!R5-'收入（关联）'!Q5</f>
        <v>26.568923241400626</v>
      </c>
      <c r="R5" s="268">
        <f>'收入（汇总）'!S5-'收入（关联）'!R5</f>
        <v>351.35478803449951</v>
      </c>
      <c r="S5" s="268">
        <f>'收入（汇总）'!T5-'收入（关联）'!S5</f>
        <v>28.227778000000399</v>
      </c>
      <c r="T5" s="268">
        <f>'收入（汇总）'!U5-'收入（关联）'!T5</f>
        <v>267.67558640709467</v>
      </c>
      <c r="U5" s="268">
        <f>'收入（汇总）'!V5-'收入（关联）'!U5</f>
        <v>149.35915699999896</v>
      </c>
      <c r="V5" s="268">
        <f>'收入（汇总）'!W5-'收入（关联）'!V5</f>
        <v>210.53100000000268</v>
      </c>
      <c r="W5" s="268">
        <f>'收入（汇总）'!X5-'收入（关联）'!W5</f>
        <v>1.7794320000029984</v>
      </c>
      <c r="X5" s="268">
        <f>'收入（汇总）'!Y5-'收入（关联）'!X5</f>
        <v>141.5488930000065</v>
      </c>
      <c r="Y5" s="268">
        <f>'收入（汇总）'!Z5-'收入（关联）'!Y5</f>
        <v>237.1980329999933</v>
      </c>
      <c r="Z5" s="268">
        <f>'收入（汇总）'!AA5-'收入（关联）'!Z5</f>
        <v>130.33328800000163</v>
      </c>
      <c r="AA5" s="268">
        <f>'收入（汇总）'!AB5-'收入（关联）'!AA5</f>
        <v>547.22120699999505</v>
      </c>
      <c r="AB5" s="268">
        <f>'收入（汇总）'!AC5-'收入（关联）'!AB5</f>
        <v>60.819405000002007</v>
      </c>
      <c r="AC5" s="286">
        <f>'收入（汇总）'!AD5-'收入（关联）'!AC5</f>
        <v>-0.21590399999695364</v>
      </c>
      <c r="AD5" s="286">
        <f>'收入（汇总）'!AE5-'收入（关联）'!AD5</f>
        <v>129.79004200000054</v>
      </c>
      <c r="AE5" s="286">
        <f>'收入（汇总）'!AF5-'收入（关联）'!AE5</f>
        <v>135.22407699999894</v>
      </c>
      <c r="AF5" s="286">
        <f>'收入（汇总）'!AG5-'收入（关联）'!AF5</f>
        <v>222.05884099999821</v>
      </c>
      <c r="AG5" s="286">
        <f>'收入（汇总）'!AH5-'收入（关联）'!AG5</f>
        <v>152.82330799999909</v>
      </c>
      <c r="AH5" s="286">
        <f>'收入（汇总）'!AI5-'收入（关联）'!AH5</f>
        <v>141.40895799999998</v>
      </c>
      <c r="AI5" s="286">
        <f>'收入（汇总）'!AJ5-'收入（关联）'!AI5</f>
        <v>261.65887800000201</v>
      </c>
      <c r="AJ5" s="286">
        <f>'收入（汇总）'!AK5-'收入（关联）'!AJ5</f>
        <v>251.3489219999974</v>
      </c>
      <c r="AK5" s="286">
        <f>'收入（汇总）'!AL5-'收入（关联）'!AK5</f>
        <v>140.5669940000007</v>
      </c>
      <c r="AL5" s="286">
        <f>'收入（汇总）'!AM5-'收入（关联）'!AL5</f>
        <v>284.37991600000532</v>
      </c>
      <c r="AM5" s="286">
        <f>'收入（汇总）'!AN5-'收入（关联）'!AM5</f>
        <v>477.67812200000481</v>
      </c>
      <c r="AN5" s="286">
        <f>'收入（汇总）'!AO5-'收入（关联）'!AN5</f>
        <v>1.2362269999939599</v>
      </c>
      <c r="AO5" s="286">
        <f>'收入（汇总）'!AP5-'收入（关联）'!AO5</f>
        <v>69.183396000007633</v>
      </c>
      <c r="AP5" s="286">
        <f>'收入（汇总）'!AQ5-'收入（关联）'!AP5</f>
        <v>99.53412899999239</v>
      </c>
      <c r="AQ5" s="286">
        <f>'收入（汇总）'!AR5-'收入（关联）'!AQ5</f>
        <v>135.31955200000084</v>
      </c>
      <c r="AR5" s="286">
        <f>'收入（汇总）'!AS5-'收入（关联）'!AR5</f>
        <v>238.56026100000599</v>
      </c>
      <c r="AS5" s="286">
        <f>'收入（汇总）'!AT5-'收入（关联）'!AS5</f>
        <v>0.70490499999141321</v>
      </c>
      <c r="AT5" s="286">
        <f>'收入（汇总）'!AU5-'收入（关联）'!AT5</f>
        <v>145.67028299997037</v>
      </c>
      <c r="AU5" s="286">
        <f>'收入（汇总）'!AV5-'收入（关联）'!AU5</f>
        <v>22.220938000042224</v>
      </c>
      <c r="AV5" s="254">
        <f>'收入（汇总）'!AW5-'收入（关联）'!AV5</f>
        <v>0</v>
      </c>
      <c r="AW5" s="254">
        <f>'收入（汇总）'!AX5-'收入（关联）'!AW5</f>
        <v>0</v>
      </c>
      <c r="AX5" s="254">
        <f>'收入（汇总）'!AY5-'收入（关联）'!AX5</f>
        <v>0</v>
      </c>
      <c r="AY5" s="254">
        <f>'收入（汇总）'!AZ5-'收入（关联）'!AY5</f>
        <v>0</v>
      </c>
      <c r="BA5" s="275">
        <f t="shared" si="0"/>
        <v>712.42969100000482</v>
      </c>
    </row>
    <row r="6" spans="1:54" s="255" customFormat="1">
      <c r="A6" s="255" t="str">
        <f>'收入（汇总）'!B6</f>
        <v>太钢鑫磊</v>
      </c>
      <c r="B6" s="269">
        <f>'收入（汇总）'!C6-'收入（关联）'!B6</f>
        <v>256.63869699999901</v>
      </c>
      <c r="C6" s="269">
        <f>'收入（汇总）'!D6-'收入（关联）'!C6</f>
        <v>29.013249000000087</v>
      </c>
      <c r="D6" s="269">
        <f>'收入（汇总）'!E6-'收入（关联）'!D6</f>
        <v>0</v>
      </c>
      <c r="E6" s="269">
        <f>'收入（汇总）'!F6-'收入（关联）'!E6</f>
        <v>1.1099100000001272</v>
      </c>
      <c r="F6" s="269">
        <f>'收入（汇总）'!G6-'收入（关联）'!F6</f>
        <v>0</v>
      </c>
      <c r="G6" s="269">
        <f>'收入（汇总）'!H6-'收入（关联）'!G6</f>
        <v>41.923420000000078</v>
      </c>
      <c r="H6" s="269">
        <f>'收入（汇总）'!I6-'收入（关联）'!H6</f>
        <v>5.1040939999998045</v>
      </c>
      <c r="I6" s="269">
        <f>'收入（汇总）'!J6-'收入（关联）'!I6</f>
        <v>0.39207500000020445</v>
      </c>
      <c r="J6" s="269">
        <f>'收入（汇总）'!K6-'收入（关联）'!J6</f>
        <v>19.334425999999894</v>
      </c>
      <c r="K6" s="269">
        <f>'收入（汇总）'!L6-'收入（关联）'!K6</f>
        <v>4.7076999999944746E-2</v>
      </c>
      <c r="L6" s="269">
        <f>'收入（汇总）'!M6-'收入（关联）'!L6</f>
        <v>2.3504999999886422E-2</v>
      </c>
      <c r="M6" s="269">
        <f>'收入（汇总）'!N6-'收入（关联）'!M6</f>
        <v>0</v>
      </c>
      <c r="N6" s="269">
        <f>'收入（汇总）'!O6-'收入（关联）'!N6</f>
        <v>0</v>
      </c>
      <c r="O6" s="269">
        <f>'收入（汇总）'!P6-'收入（关联）'!O6</f>
        <v>28.698660000000018</v>
      </c>
      <c r="P6" s="269">
        <f>'收入（汇总）'!Q6-'收入（关联）'!P6</f>
        <v>0.48517200000014782</v>
      </c>
      <c r="Q6" s="269">
        <f>'收入（汇总）'!R6-'收入（关联）'!Q6</f>
        <v>0</v>
      </c>
      <c r="R6" s="269">
        <f>'收入（汇总）'!S6-'收入（关联）'!R6</f>
        <v>6.1558939999999893</v>
      </c>
      <c r="S6" s="269">
        <f>'收入（汇总）'!T6-'收入（关联）'!S6</f>
        <v>1.0593899999998939</v>
      </c>
      <c r="T6" s="269">
        <f>'收入（汇总）'!U6-'收入（关联）'!T6</f>
        <v>2.8532420000001366</v>
      </c>
      <c r="U6" s="269">
        <f>'收入（汇总）'!V6-'收入（关联）'!U6</f>
        <v>0.10634400000026289</v>
      </c>
      <c r="V6" s="269">
        <f>'收入（汇总）'!W6-'收入（关联）'!V6</f>
        <v>0</v>
      </c>
      <c r="W6" s="269">
        <f>'收入（汇总）'!X6-'收入（关联）'!W6</f>
        <v>0</v>
      </c>
      <c r="X6" s="269">
        <f>'收入（汇总）'!Y6-'收入（关联）'!X6</f>
        <v>14.464191000000028</v>
      </c>
      <c r="Y6" s="269">
        <f>'收入（汇总）'!Z6-'收入（关联）'!Y6</f>
        <v>5.5491009999996095</v>
      </c>
      <c r="Z6" s="269">
        <f>'收入（汇总）'!AA6-'收入（关联）'!Z6</f>
        <v>8.1782829999997375</v>
      </c>
      <c r="AA6" s="269">
        <f>'收入（汇总）'!AB6-'收入（关联）'!AA6</f>
        <v>13.679341999999906</v>
      </c>
      <c r="AB6" s="269">
        <f>'收入（汇总）'!AC6-'收入（关联）'!AB6</f>
        <v>90.361799999999675</v>
      </c>
      <c r="AC6" s="287">
        <f>'收入（汇总）'!AD6-'收入（关联）'!AC6</f>
        <v>0</v>
      </c>
      <c r="AD6" s="287">
        <f>'收入（汇总）'!AE6-'收入（关联）'!AD6</f>
        <v>85.298960000000079</v>
      </c>
      <c r="AE6" s="287">
        <f>'收入（汇总）'!AF6-'收入（关联）'!AE6</f>
        <v>16.514880999999605</v>
      </c>
      <c r="AF6" s="287">
        <f>'收入（汇总）'!AG6-'收入（关联）'!AF6</f>
        <v>11.19276200000013</v>
      </c>
      <c r="AG6" s="287">
        <f>'收入（汇总）'!AH6-'收入（关联）'!AG6</f>
        <v>14.400083999999879</v>
      </c>
      <c r="AH6" s="287">
        <f>'收入（汇总）'!AI6-'收入（关联）'!AH6</f>
        <v>41.278090000000248</v>
      </c>
      <c r="AI6" s="287">
        <f>'收入（汇总）'!AJ6-'收入（关联）'!AI6</f>
        <v>29.258307999999943</v>
      </c>
      <c r="AJ6" s="287">
        <f>'收入（汇总）'!AK6-'收入（关联）'!AJ6</f>
        <v>15.279183999999987</v>
      </c>
      <c r="AK6" s="287">
        <f>'收入（汇总）'!AL6-'收入（关联）'!AK6</f>
        <v>34.853976999999759</v>
      </c>
      <c r="AL6" s="287">
        <f>'收入（汇总）'!AM6-'收入（关联）'!AL6</f>
        <v>29.18519600000036</v>
      </c>
      <c r="AM6" s="287">
        <f>'收入（汇总）'!AN6-'收入（关联）'!AM6</f>
        <v>2.9909649999999601</v>
      </c>
      <c r="AN6" s="287">
        <f>'收入（汇总）'!AO6-'收入（关联）'!AN6</f>
        <v>22.83143999999993</v>
      </c>
      <c r="AO6" s="287">
        <f>'收入（汇总）'!AP6-'收入（关联）'!AO6</f>
        <v>0</v>
      </c>
      <c r="AP6" s="287">
        <f>'收入（汇总）'!AQ6-'收入（关联）'!AP6</f>
        <v>34.698933000000125</v>
      </c>
      <c r="AQ6" s="287">
        <f>'收入（汇总）'!AR6-'收入（关联）'!AQ6</f>
        <v>38.869267000000036</v>
      </c>
      <c r="AR6" s="287">
        <f>'收入（汇总）'!AS6-'收入（关联）'!AR6</f>
        <v>6.132832000000235</v>
      </c>
      <c r="AS6" s="287">
        <f>'收入（汇总）'!AT6-'收入（关联）'!AS6</f>
        <v>43.888115000000198</v>
      </c>
      <c r="AT6" s="287">
        <f>'收入（汇总）'!AU6-'收入（关联）'!AT6</f>
        <v>16.454647000000932</v>
      </c>
      <c r="AU6" s="287">
        <f>'收入（汇总）'!AV6-'收入（关联）'!AU6</f>
        <v>17.275411999997687</v>
      </c>
      <c r="AV6" s="255">
        <f>'收入（汇总）'!AW6-'收入（关联）'!AV6</f>
        <v>0</v>
      </c>
      <c r="AW6" s="255">
        <f>'收入（汇总）'!AX6-'收入（关联）'!AW6</f>
        <v>0</v>
      </c>
      <c r="AX6" s="255">
        <f>'收入（汇总）'!AY6-'收入（关联）'!AX6</f>
        <v>0</v>
      </c>
      <c r="AY6" s="255">
        <f>'收入（汇总）'!AZ6-'收入（关联）'!AY6</f>
        <v>0</v>
      </c>
      <c r="BA6" s="275">
        <f t="shared" si="0"/>
        <v>180.15064599999914</v>
      </c>
      <c r="BB6" s="255">
        <v>160</v>
      </c>
    </row>
    <row r="7" spans="1:54" s="254" customFormat="1">
      <c r="A7" s="254" t="str">
        <f>'收入（汇总）'!B7</f>
        <v>太钢不锈</v>
      </c>
      <c r="B7" s="268">
        <f>'收入（汇总）'!C7-'收入（关联）'!B7</f>
        <v>6628596.6691802097</v>
      </c>
      <c r="C7" s="268">
        <f>'收入（汇总）'!D7-'收入（关联）'!C7</f>
        <v>599271.89988838916</v>
      </c>
      <c r="D7" s="268">
        <f>'收入（汇总）'!E7-'收入（关联）'!D7</f>
        <v>607968.89281300001</v>
      </c>
      <c r="E7" s="268">
        <f>'收入（汇总）'!F7-'收入（关联）'!E7</f>
        <v>477033.20945179922</v>
      </c>
      <c r="F7" s="268">
        <f>'收入（汇总）'!G7-'收入（关联）'!F7</f>
        <v>688280.31562932499</v>
      </c>
      <c r="G7" s="268">
        <f>'收入（汇总）'!H7-'收入（关联）'!G7</f>
        <v>597545.52131478</v>
      </c>
      <c r="H7" s="268">
        <f>'收入（汇总）'!I7-'收入（关联）'!H7</f>
        <v>629949.48257921997</v>
      </c>
      <c r="I7" s="268">
        <f>'收入（汇总）'!J7-'收入（关联）'!I7</f>
        <v>614729.88570760016</v>
      </c>
      <c r="J7" s="268">
        <f>'收入（汇总）'!K7-'收入（关联）'!J7</f>
        <v>597256.70170510397</v>
      </c>
      <c r="K7" s="268">
        <f>'收入（汇总）'!L7-'收入（关联）'!K7</f>
        <v>622671.62031234941</v>
      </c>
      <c r="L7" s="268">
        <f>'收入（汇总）'!M7-'收入（关联）'!L7</f>
        <v>585926.78917332005</v>
      </c>
      <c r="M7" s="268">
        <f>'收入（汇总）'!N7-'收入（关联）'!M7</f>
        <v>592015.89926479105</v>
      </c>
      <c r="N7" s="268">
        <f>'收入（汇总）'!O7-'收入（关联）'!N7</f>
        <v>562629.93963467679</v>
      </c>
      <c r="O7" s="268">
        <f>'收入（汇总）'!P7-'收入（关联）'!O7</f>
        <v>607227.32582205546</v>
      </c>
      <c r="P7" s="268">
        <f>'收入（汇总）'!Q7-'收入（关联）'!P7</f>
        <v>532780.77501300001</v>
      </c>
      <c r="Q7" s="268">
        <f>'收入（汇总）'!R7-'收入（关联）'!Q7</f>
        <v>485140.40457157459</v>
      </c>
      <c r="R7" s="268">
        <f>'收入（汇总）'!S7-'收入（关联）'!R7</f>
        <v>656081.8163607436</v>
      </c>
      <c r="S7" s="268">
        <f>'收入（汇总）'!T7-'收入（关联）'!S7</f>
        <v>581179.51529445872</v>
      </c>
      <c r="T7" s="268">
        <f>'收入（汇总）'!U7-'收入（关联）'!T7</f>
        <v>591590.25770234445</v>
      </c>
      <c r="U7" s="268">
        <f>'收入（汇总）'!V7-'收入（关联）'!U7</f>
        <v>565763.83111939416</v>
      </c>
      <c r="V7" s="268">
        <f>'收入（汇总）'!W7-'收入（关联）'!V7</f>
        <v>595678.370710004</v>
      </c>
      <c r="W7" s="268">
        <f>'收入（汇总）'!X7-'收入（关联）'!W7</f>
        <v>632411.55197671754</v>
      </c>
      <c r="X7" s="268">
        <f>'收入（汇总）'!Y7-'收入（关联）'!X7</f>
        <v>608836.39971799997</v>
      </c>
      <c r="Y7" s="268">
        <f>'收入（汇总）'!Z7-'收入（关联）'!Y7</f>
        <v>532162</v>
      </c>
      <c r="Z7" s="268">
        <f>'收入（汇总）'!AA7-'收入（关联）'!Z7</f>
        <v>543761.81819100003</v>
      </c>
      <c r="AA7" s="268">
        <f>'收入（汇总）'!AB7-'收入（关联）'!AA7</f>
        <v>606555.56195600005</v>
      </c>
      <c r="AB7" s="268">
        <f>'收入（汇总）'!AC7-'收入（关联）'!AB7</f>
        <v>459144.773842</v>
      </c>
      <c r="AC7" s="286">
        <f>'收入（汇总）'!AD7-'收入（关联）'!AC7</f>
        <v>478677.97862100002</v>
      </c>
      <c r="AD7" s="286">
        <f>'收入（汇总）'!AE7-'收入（关联）'!AD7</f>
        <v>589276.63655699999</v>
      </c>
      <c r="AE7" s="286">
        <f>'收入（汇总）'!AF7-'收入（关联）'!AE7</f>
        <v>624067.81270200002</v>
      </c>
      <c r="AF7" s="286">
        <f>'收入（汇总）'!AG7-'收入（关联）'!AF7</f>
        <v>565395.57918100001</v>
      </c>
      <c r="AG7" s="286">
        <f>'收入（汇总）'!AH7-'收入（关联）'!AG7</f>
        <v>515347</v>
      </c>
      <c r="AH7" s="286">
        <f>'收入（汇总）'!AI7-'收入（关联）'!AH7</f>
        <v>509662</v>
      </c>
      <c r="AI7" s="286">
        <f>'收入（汇总）'!AJ7-'收入（关联）'!AI7</f>
        <v>512043.42765899998</v>
      </c>
      <c r="AJ7" s="286">
        <f>'收入（汇总）'!AK7-'收入（关联）'!AJ7</f>
        <v>493800.75984999997</v>
      </c>
      <c r="AK7" s="286">
        <f>'收入（汇总）'!AL7-'收入（关联）'!AK7</f>
        <v>590710.17415400001</v>
      </c>
      <c r="AL7" s="286">
        <f>'收入（汇总）'!AM7-'收入（关联）'!AL7</f>
        <v>623803.57999999996</v>
      </c>
      <c r="AM7" s="286">
        <f>'收入（汇总）'!AN7-'收入（关联）'!AM7</f>
        <v>670768.30305400002</v>
      </c>
      <c r="AN7" s="286">
        <f>'收入（汇总）'!AO7-'收入（关联）'!AN7</f>
        <v>663685.14685200003</v>
      </c>
      <c r="AO7" s="286">
        <f>'收入（汇总）'!AP7-'收入（关联）'!AO7</f>
        <v>638911.64099999995</v>
      </c>
      <c r="AP7" s="2348">
        <f>'收入（汇总）'!AQ7-'收入（关联）'!AP7</f>
        <v>794771.00495800003</v>
      </c>
      <c r="AQ7" s="286">
        <f>'收入（汇总）'!AR7-'收入（关联）'!AQ7</f>
        <v>820711.86012199998</v>
      </c>
      <c r="AR7" s="286">
        <f>'收入（汇总）'!AS7-'收入（关联）'!AR7</f>
        <v>907321</v>
      </c>
      <c r="AS7" s="286">
        <f>'收入（汇总）'!AT7-'收入（关联）'!AS7</f>
        <v>848313.77495999995</v>
      </c>
      <c r="AT7" s="286">
        <f>'收入（汇总）'!AU7-'收入（关联）'!AT7</f>
        <v>923558</v>
      </c>
      <c r="AU7" s="286">
        <f>'收入（汇总）'!AV7-'收入（关联）'!AU7</f>
        <v>930705.9411390688</v>
      </c>
      <c r="AV7" s="286">
        <f>'收入（汇总）'!AW7-'收入（关联）'!AV7</f>
        <v>0</v>
      </c>
      <c r="AW7" s="286">
        <f>'收入（汇总）'!AX7-'收入（关联）'!AW7</f>
        <v>0</v>
      </c>
      <c r="AX7" s="286">
        <f>'收入（汇总）'!AY7-'收入（关联）'!AX7</f>
        <v>0</v>
      </c>
      <c r="AY7" s="286">
        <f>'收入（汇总）'!AZ7-'收入（关联）'!AY7</f>
        <v>0</v>
      </c>
      <c r="BA7" s="275">
        <f t="shared" si="0"/>
        <v>6527978.3690310679</v>
      </c>
    </row>
    <row r="8" spans="1:54" s="254" customFormat="1">
      <c r="A8" s="210" t="s">
        <v>1233</v>
      </c>
      <c r="B8" s="268"/>
      <c r="C8" s="268"/>
      <c r="D8" s="268"/>
      <c r="E8" s="268"/>
      <c r="F8" s="268"/>
      <c r="G8" s="268"/>
      <c r="H8" s="268"/>
      <c r="I8" s="268"/>
      <c r="J8" s="268"/>
      <c r="K8" s="268"/>
      <c r="L8" s="268"/>
      <c r="M8" s="268"/>
      <c r="N8" s="268"/>
      <c r="O8" s="268"/>
      <c r="P8" s="268"/>
      <c r="Q8" s="268"/>
      <c r="R8" s="268"/>
      <c r="S8" s="268"/>
      <c r="T8" s="268"/>
      <c r="U8" s="268"/>
      <c r="V8" s="268"/>
      <c r="W8" s="268"/>
      <c r="X8" s="268"/>
      <c r="Y8" s="268"/>
      <c r="Z8" s="268"/>
      <c r="AA8" s="268"/>
      <c r="AB8" s="268">
        <f>'收入（汇总）'!AC9-'收入（关联）'!AB8</f>
        <v>44929.896663</v>
      </c>
      <c r="AC8" s="268">
        <f>'收入（汇总）'!AD9-'收入（关联）'!AC8</f>
        <v>35034.252424999999</v>
      </c>
      <c r="AD8" s="268">
        <f>'收入（汇总）'!AE9-'收入（关联）'!AD8</f>
        <v>77785.417421999999</v>
      </c>
      <c r="AE8" s="268">
        <f>'收入（汇总）'!AF9-'收入（关联）'!AE8</f>
        <v>100242.05940899999</v>
      </c>
      <c r="AF8" s="268">
        <f>'收入（汇总）'!AG9-'收入（关联）'!AF8</f>
        <v>110468.686281</v>
      </c>
      <c r="AG8" s="268">
        <f>'收入（汇总）'!AH9-'收入（关联）'!AG8</f>
        <v>94678.01354900001</v>
      </c>
      <c r="AH8" s="268">
        <f>'收入（汇总）'!AI9-'收入（关联）'!AH8</f>
        <v>100481.163877</v>
      </c>
      <c r="AI8" s="268">
        <f>'收入（汇总）'!AJ9-'收入（关联）'!AI8</f>
        <v>96590.198243999999</v>
      </c>
      <c r="AJ8" s="268">
        <f>'收入（汇总）'!AK9-'收入（关联）'!AJ8</f>
        <v>119720.812127</v>
      </c>
      <c r="AK8" s="268">
        <f>'收入（汇总）'!AL9-'收入（关联）'!AK8</f>
        <v>100084.00217200001</v>
      </c>
      <c r="AL8" s="268">
        <f>'收入（汇总）'!AM9-'收入（关联）'!AL8</f>
        <v>102157.30319600001</v>
      </c>
      <c r="AM8" s="268">
        <f>'收入（汇总）'!AN9-'收入（关联）'!AM8</f>
        <v>131929.63700700001</v>
      </c>
      <c r="AN8" s="268">
        <f>'收入（汇总）'!AO9-'收入（关联）'!AN8</f>
        <v>99811.591598000014</v>
      </c>
      <c r="AO8" s="268">
        <f>'收入（汇总）'!AP9-'收入（关联）'!AO8</f>
        <v>68728.193748999998</v>
      </c>
      <c r="AP8" s="268">
        <f>'收入（汇总）'!AQ9-'收入（关联）'!AP8</f>
        <v>127278.602524</v>
      </c>
      <c r="AQ8" s="268">
        <f>'收入（汇总）'!AR9-'收入（关联）'!AQ8</f>
        <v>130410.40260599999</v>
      </c>
      <c r="AR8" s="268">
        <f>'收入（汇总）'!AS9-'收入（关联）'!AR8</f>
        <v>122455.79134700001</v>
      </c>
      <c r="AS8" s="268">
        <f>'收入（汇总）'!AT9-'收入（关联）'!AS8</f>
        <v>119829.28973800001</v>
      </c>
      <c r="AT8" s="268">
        <f>'收入（汇总）'!AU9-'收入（关联）'!AT8</f>
        <v>142436.419807</v>
      </c>
      <c r="AU8" s="268">
        <f>'收入（汇总）'!AV9-'收入（关联）'!AU8</f>
        <v>143740.92000000001</v>
      </c>
      <c r="AV8" s="268">
        <f>'收入（汇总）'!AW9-'收入（关联）'!AV8</f>
        <v>0</v>
      </c>
      <c r="AW8" s="268">
        <f>'收入（汇总）'!AX9-'收入（关联）'!AW8</f>
        <v>0</v>
      </c>
      <c r="AX8" s="268">
        <f>'收入（汇总）'!AY9-'收入（关联）'!AX8</f>
        <v>0</v>
      </c>
      <c r="AY8" s="268">
        <f>'收入（汇总）'!AZ9-'收入（关联）'!AY8</f>
        <v>0</v>
      </c>
      <c r="BA8" s="275">
        <f t="shared" si="0"/>
        <v>954691.21136900003</v>
      </c>
    </row>
    <row r="9" spans="1:54" s="254" customFormat="1">
      <c r="A9" s="210" t="s">
        <v>1234</v>
      </c>
      <c r="B9" s="268"/>
      <c r="C9" s="268"/>
      <c r="D9" s="268"/>
      <c r="E9" s="268"/>
      <c r="F9" s="268"/>
      <c r="G9" s="268"/>
      <c r="H9" s="268"/>
      <c r="I9" s="268"/>
      <c r="J9" s="268"/>
      <c r="K9" s="268"/>
      <c r="L9" s="268"/>
      <c r="M9" s="268"/>
      <c r="N9" s="268"/>
      <c r="O9" s="268"/>
      <c r="P9" s="268"/>
      <c r="Q9" s="268"/>
      <c r="R9" s="268"/>
      <c r="S9" s="268"/>
      <c r="T9" s="268"/>
      <c r="U9" s="268"/>
      <c r="V9" s="268"/>
      <c r="W9" s="268"/>
      <c r="X9" s="268"/>
      <c r="Y9" s="268"/>
      <c r="Z9" s="268"/>
      <c r="AA9" s="268"/>
      <c r="AB9" s="268">
        <f>'收入（汇总）'!AC10-'收入（关联）'!AB9</f>
        <v>65481.202635000001</v>
      </c>
      <c r="AC9" s="268">
        <f>'收入（汇总）'!AD10-'收入（关联）'!AC9</f>
        <v>59874.031059000001</v>
      </c>
      <c r="AD9" s="268">
        <f>'收入（汇总）'!AE10-'收入（关联）'!AD9</f>
        <v>63949.726197999997</v>
      </c>
      <c r="AE9" s="268">
        <f>'收入（汇总）'!AF10-'收入（关联）'!AE9</f>
        <v>55468.548385000002</v>
      </c>
      <c r="AF9" s="268">
        <f>'收入（汇总）'!AG10-'收入（关联）'!AF9</f>
        <v>54946.023500000003</v>
      </c>
      <c r="AG9" s="268">
        <f>'收入（汇总）'!AH10-'收入（关联）'!AG9</f>
        <v>67088.240111999999</v>
      </c>
      <c r="AH9" s="268">
        <f>'收入（汇总）'!AI10-'收入（关联）'!AH9</f>
        <v>70150.068495999993</v>
      </c>
      <c r="AI9" s="268">
        <f>'收入（汇总）'!AJ10-'收入（关联）'!AI9</f>
        <v>72589.471986999997</v>
      </c>
      <c r="AJ9" s="268">
        <f>'收入（汇总）'!AK10-'收入（关联）'!AJ9</f>
        <v>72512.312246999994</v>
      </c>
      <c r="AK9" s="268">
        <f>'收入（汇总）'!AL10-'收入（关联）'!AK9</f>
        <v>73069.232046000005</v>
      </c>
      <c r="AL9" s="268">
        <f>'收入（汇总）'!AM10-'收入（关联）'!AL9</f>
        <v>69587.373351000002</v>
      </c>
      <c r="AM9" s="268">
        <f>'收入（汇总）'!AN10-'收入（关联）'!AM9</f>
        <v>73022.613981999995</v>
      </c>
      <c r="AN9" s="268">
        <f>'收入（汇总）'!AO10-'收入（关联）'!AN9</f>
        <v>53792.479535000006</v>
      </c>
      <c r="AO9" s="268">
        <f>'收入（汇总）'!AP10-'收入（关联）'!AO9</f>
        <v>61123.884918000003</v>
      </c>
      <c r="AP9" s="268">
        <f>'收入（汇总）'!AQ10-'收入（关联）'!AP9</f>
        <v>75211.388305</v>
      </c>
      <c r="AQ9" s="268">
        <f>'收入（汇总）'!AR10-'收入（关联）'!AQ9</f>
        <v>77823.412263000006</v>
      </c>
      <c r="AR9" s="268">
        <f>'收入（汇总）'!AS10-'收入（关联）'!AR9</f>
        <v>85535.306811999995</v>
      </c>
      <c r="AS9" s="268">
        <f>'收入（汇总）'!AT10-'收入（关联）'!AS9</f>
        <v>83822.731357000011</v>
      </c>
      <c r="AT9" s="268">
        <f>'收入（汇总）'!AU10-'收入（关联）'!AT9</f>
        <v>76162.422873999996</v>
      </c>
      <c r="AU9" s="268">
        <f>'收入（汇总）'!AV10-'收入（关联）'!AU9</f>
        <v>80931</v>
      </c>
      <c r="AV9" s="268">
        <f>'收入（汇总）'!AW10-'收入（关联）'!AV9</f>
        <v>0</v>
      </c>
      <c r="AW9" s="268">
        <f>'收入（汇总）'!AX10-'收入（关联）'!AW9</f>
        <v>0</v>
      </c>
      <c r="AX9" s="268">
        <f>'收入（汇总）'!AY10-'收入（关联）'!AX9</f>
        <v>0</v>
      </c>
      <c r="AY9" s="268">
        <f>'收入（汇总）'!AZ10-'收入（关联）'!AY9</f>
        <v>0</v>
      </c>
      <c r="BA9" s="275">
        <f t="shared" si="0"/>
        <v>594402.62606399995</v>
      </c>
    </row>
    <row r="10" spans="1:54" s="254" customFormat="1">
      <c r="A10" s="210" t="s">
        <v>1288</v>
      </c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L10" s="268"/>
      <c r="M10" s="268"/>
      <c r="N10" s="268"/>
      <c r="O10" s="268"/>
      <c r="P10" s="268"/>
      <c r="Q10" s="268"/>
      <c r="R10" s="268"/>
      <c r="S10" s="268"/>
      <c r="T10" s="268"/>
      <c r="U10" s="268"/>
      <c r="V10" s="268"/>
      <c r="W10" s="268"/>
      <c r="X10" s="268"/>
      <c r="Y10" s="268"/>
      <c r="Z10" s="268"/>
      <c r="AA10" s="268"/>
      <c r="AB10" s="268"/>
      <c r="AC10" s="268"/>
      <c r="AD10" s="268"/>
      <c r="AE10" s="268"/>
      <c r="AF10" s="268"/>
      <c r="AG10" s="268"/>
      <c r="AH10" s="268"/>
      <c r="AI10" s="268"/>
      <c r="AJ10" s="268"/>
      <c r="AK10" s="268"/>
      <c r="AL10" s="268"/>
      <c r="AM10" s="268"/>
      <c r="AN10" s="268">
        <f>'收入（汇总）'!AO11-'收入（关联）'!AN10</f>
        <v>-15536</v>
      </c>
      <c r="AO10" s="268">
        <f>'收入（汇总）'!AP11-'收入（关联）'!AO10</f>
        <v>-13063</v>
      </c>
      <c r="AP10" s="268">
        <f>'收入（汇总）'!AQ11-'收入（关联）'!AP10</f>
        <v>-2683</v>
      </c>
      <c r="AQ10" s="268">
        <f>'收入（汇总）'!AR11-'收入（关联）'!AQ10</f>
        <v>-14266</v>
      </c>
      <c r="AR10" s="268">
        <f>'收入（汇总）'!AS11-'收入（关联）'!AR10</f>
        <v>-26700</v>
      </c>
      <c r="AS10" s="268">
        <f>'收入（汇总）'!AT11-'收入（关联）'!AS10</f>
        <v>-34147</v>
      </c>
      <c r="AT10" s="268">
        <f>'收入（汇总）'!AU11-'收入（关联）'!AT10</f>
        <v>-34971</v>
      </c>
      <c r="AU10" s="268">
        <f>'收入（汇总）'!AV11-'收入（关联）'!AU10</f>
        <v>-20195</v>
      </c>
      <c r="AV10" s="268">
        <f>'收入（汇总）'!AW11-'收入（关联）'!AV10</f>
        <v>0</v>
      </c>
      <c r="AW10" s="268">
        <f>'收入（汇总）'!AX11-'收入（关联）'!AW10</f>
        <v>0</v>
      </c>
      <c r="AX10" s="268">
        <f>'收入（汇总）'!AY11-'收入（关联）'!AX10</f>
        <v>0</v>
      </c>
      <c r="AY10" s="268">
        <f>'收入（汇总）'!AZ11-'收入（关联）'!AY10</f>
        <v>0</v>
      </c>
      <c r="BA10" s="275">
        <f t="shared" si="0"/>
        <v>-161561</v>
      </c>
    </row>
    <row r="11" spans="1:54" s="254" customFormat="1">
      <c r="A11" s="254" t="str">
        <f>'收入（汇总）'!B8</f>
        <v>太钢万邦</v>
      </c>
      <c r="B11" s="268">
        <f>'收入（汇总）'!C8-'收入（关联）'!B11</f>
        <v>14524.354235588</v>
      </c>
      <c r="C11" s="268">
        <f>'收入（汇总）'!D8-'收入（关联）'!C11</f>
        <v>-734.33685186399998</v>
      </c>
      <c r="D11" s="268">
        <f>'收入（汇总）'!E8-'收入（关联）'!D11</f>
        <v>4600.3019346659985</v>
      </c>
      <c r="E11" s="268">
        <f>'收入（汇总）'!F8-'收入（关联）'!E11</f>
        <v>2218.1637914059993</v>
      </c>
      <c r="F11" s="268">
        <f>'收入（汇总）'!G8-'收入（关联）'!F11</f>
        <v>1338.9427393599999</v>
      </c>
      <c r="G11" s="268">
        <f>'收入（汇总）'!H8-'收入（关联）'!G11</f>
        <v>131.83746235999934</v>
      </c>
      <c r="H11" s="268">
        <f>'收入（汇总）'!I8-'收入（关联）'!H11</f>
        <v>1994.3602272499993</v>
      </c>
      <c r="I11" s="268">
        <f>'收入（汇总）'!J8-'收入（关联）'!I11</f>
        <v>3134.5555913410008</v>
      </c>
      <c r="J11" s="268">
        <f>'收入（汇总）'!K8-'收入（关联）'!J11</f>
        <v>9794.0878311029992</v>
      </c>
      <c r="K11" s="268">
        <f>'收入（汇总）'!L8-'收入（关联）'!K11</f>
        <v>1844.7580767890013</v>
      </c>
      <c r="L11" s="268">
        <f>'收入（汇总）'!M8-'收入（关联）'!L11</f>
        <v>2014.2815225079994</v>
      </c>
      <c r="M11" s="268">
        <f>'收入（汇总）'!N8-'收入（关联）'!M11</f>
        <v>2355.7824703629994</v>
      </c>
      <c r="N11" s="268">
        <f>'收入（汇总）'!O8-'收入（关联）'!N11</f>
        <v>1882.9593079999995</v>
      </c>
      <c r="O11" s="268">
        <f>'收入（汇总）'!P8-'收入（关联）'!O11</f>
        <v>1739.445085841</v>
      </c>
      <c r="P11" s="268">
        <f>'收入（汇总）'!Q8-'收入（关联）'!P11</f>
        <v>1851.3389790000001</v>
      </c>
      <c r="Q11" s="268">
        <f>'收入（汇总）'!R8-'收入（关联）'!Q11</f>
        <v>1080.0495620000002</v>
      </c>
      <c r="R11" s="268">
        <f>'收入（汇总）'!S8-'收入（关联）'!R11</f>
        <v>2569.60851</v>
      </c>
      <c r="S11" s="268">
        <f>'收入（汇总）'!T8-'收入（关联）'!S11</f>
        <v>3495.4307030000018</v>
      </c>
      <c r="T11" s="268">
        <f>'收入（汇总）'!U8-'收入（关联）'!T11</f>
        <v>1277.8091829999994</v>
      </c>
      <c r="U11" s="268">
        <f>'收入（汇总）'!V8-'收入（关联）'!U11</f>
        <v>2180.160844</v>
      </c>
      <c r="V11" s="268">
        <f>'收入（汇总）'!W8-'收入（关联）'!V11</f>
        <v>2940.8407060000009</v>
      </c>
      <c r="W11" s="268">
        <f>'收入（汇总）'!X8-'收入（关联）'!W11</f>
        <v>146.70227100000011</v>
      </c>
      <c r="X11" s="268">
        <f>'收入（汇总）'!Y8-'收入（关联）'!X11</f>
        <v>2421.0888899999991</v>
      </c>
      <c r="Y11" s="268">
        <f>'收入（汇总）'!Z8-'收入（关联）'!Y11</f>
        <v>2246.0351699999992</v>
      </c>
      <c r="Z11" s="268">
        <f>'收入（汇总）'!AA8-'收入（关联）'!Z11</f>
        <v>1997.4418239999995</v>
      </c>
      <c r="AA11" s="268">
        <f>'收入（汇总）'!AB8-'收入（关联）'!AA11</f>
        <v>1756.396933</v>
      </c>
      <c r="AB11" s="268">
        <f>'收入（汇总）'!AC8-'收入（关联）'!AB11</f>
        <v>757.02795099999821</v>
      </c>
      <c r="AC11" s="286">
        <f>'收入（汇总）'!AD8-'收入（关联）'!AC11</f>
        <v>513.42453100000057</v>
      </c>
      <c r="AD11" s="286">
        <f>'收入（汇总）'!AE8-'收入（关联）'!AD11</f>
        <v>1035.4035120000008</v>
      </c>
      <c r="AE11" s="286">
        <f>'收入（汇总）'!AF8-'收入（关联）'!AE11</f>
        <v>1650.2558149999995</v>
      </c>
      <c r="AF11" s="286">
        <f>'收入（汇总）'!AG8-'收入（关联）'!AF11</f>
        <v>2480.293291</v>
      </c>
      <c r="AG11" s="286">
        <f>'收入（汇总）'!AH8-'收入（关联）'!AG11</f>
        <v>1071.1453619999993</v>
      </c>
      <c r="AH11" s="286">
        <f>'收入（汇总）'!AI8-'收入（关联）'!AH11</f>
        <v>1310.840384000001</v>
      </c>
      <c r="AI11" s="286">
        <f>'收入（汇总）'!AJ8-'收入（关联）'!AI11</f>
        <v>482.03364899999906</v>
      </c>
      <c r="AJ11" s="286">
        <f>'收入（汇总）'!AK8-'收入（关联）'!AJ11</f>
        <v>1169.1390649999994</v>
      </c>
      <c r="AK11" s="286">
        <f>'收入（汇总）'!AL8-'收入（关联）'!AK11</f>
        <v>775.39553499999965</v>
      </c>
      <c r="AL11" s="286">
        <f>'收入（汇总）'!AM8-'收入（关联）'!AL11</f>
        <v>1173.3290849999994</v>
      </c>
      <c r="AM11" s="286">
        <f>'收入（汇总）'!AN8-'收入（关联）'!AM11</f>
        <v>804.76835100000062</v>
      </c>
      <c r="AN11" s="286">
        <f>'收入（汇总）'!AO8-'收入（关联）'!AN11</f>
        <v>893.7201929999992</v>
      </c>
      <c r="AO11" s="286">
        <f>'收入（汇总）'!AP8-'收入（关联）'!AO11</f>
        <v>324.08032000000094</v>
      </c>
      <c r="AP11" s="286">
        <f>'收入（汇总）'!AQ8-'收入（关联）'!AP11</f>
        <v>591.26034000000072</v>
      </c>
      <c r="AQ11" s="286">
        <f>'收入（汇总）'!AR8-'收入（关联）'!AQ11</f>
        <v>2096.5449159999989</v>
      </c>
      <c r="AR11" s="286">
        <f>'收入（汇总）'!AS8-'收入（关联）'!AR11</f>
        <v>1332.6602410000014</v>
      </c>
      <c r="AS11" s="286">
        <f>'收入（汇总）'!AT8-'收入（关联）'!AS11</f>
        <v>3317.1348089999992</v>
      </c>
      <c r="AT11" s="286">
        <f>'收入（汇总）'!AU8-'收入（关联）'!AT11</f>
        <v>638.40885399999934</v>
      </c>
      <c r="AU11" s="286">
        <f>'收入（汇总）'!AV8-'收入（关联）'!AU11</f>
        <v>1680.7382449999823</v>
      </c>
      <c r="AV11" s="254">
        <f>'收入（汇总）'!AW8-'收入（关联）'!AV11</f>
        <v>0</v>
      </c>
      <c r="AW11" s="254">
        <f>'收入（汇总）'!AX8-'收入（关联）'!AW11</f>
        <v>0</v>
      </c>
      <c r="AX11" s="254">
        <f>'收入（汇总）'!AY8-'收入（关联）'!AX11</f>
        <v>0</v>
      </c>
      <c r="AY11" s="254">
        <f>'收入（汇总）'!AZ8-'收入（关联）'!AY11</f>
        <v>0</v>
      </c>
      <c r="BA11" s="275">
        <f t="shared" si="0"/>
        <v>10874.547917999982</v>
      </c>
    </row>
    <row r="12" spans="1:54" s="254" customFormat="1">
      <c r="A12" s="254" t="str">
        <f>'收入（汇总）'!B12</f>
        <v>钢科碳材料</v>
      </c>
      <c r="B12" s="268">
        <f>'收入（汇总）'!C12-'收入（关联）'!B12</f>
        <v>4707.6769169999998</v>
      </c>
      <c r="C12" s="268">
        <f>'收入（汇总）'!D12-'收入（关联）'!C12</f>
        <v>970.89443000000006</v>
      </c>
      <c r="D12" s="268">
        <f>'收入（汇总）'!E12-'收入（关联）'!D12</f>
        <v>0</v>
      </c>
      <c r="E12" s="268">
        <f>'收入（汇总）'!F12-'收入（关联）'!E12</f>
        <v>0</v>
      </c>
      <c r="F12" s="268">
        <f>'收入（汇总）'!G12-'收入（关联）'!F12</f>
        <v>0</v>
      </c>
      <c r="G12" s="268">
        <f>'收入（汇总）'!H12-'收入（关联）'!G12</f>
        <v>12.947350999999999</v>
      </c>
      <c r="H12" s="268">
        <f>'收入（汇总）'!I12-'收入（关联）'!H12</f>
        <v>0</v>
      </c>
      <c r="I12" s="268">
        <f>'收入（汇总）'!J12-'收入（关联）'!I12</f>
        <v>0</v>
      </c>
      <c r="J12" s="268">
        <f>'收入（汇总）'!K12-'收入（关联）'!J12</f>
        <v>39.306303999999997</v>
      </c>
      <c r="K12" s="268">
        <f>'收入（汇总）'!L12-'收入（关联）'!K12</f>
        <v>0</v>
      </c>
      <c r="L12" s="268">
        <f>'收入（汇总）'!M12-'收入（关联）'!L12</f>
        <v>0</v>
      </c>
      <c r="M12" s="268">
        <f>'收入（汇总）'!N12-'收入（关联）'!M12</f>
        <v>65.461190000000002</v>
      </c>
      <c r="N12" s="268">
        <f>'收入（汇总）'!O12-'收入（关联）'!N12</f>
        <v>4.3481500000000004</v>
      </c>
      <c r="O12" s="268">
        <f>'收入（汇总）'!P12-'收入（关联）'!O12</f>
        <v>2477.7077549999999</v>
      </c>
      <c r="P12" s="268">
        <f>'收入（汇总）'!Q12-'收入（关联）'!P12</f>
        <v>18.62069</v>
      </c>
      <c r="Q12" s="268">
        <f>'收入（汇总）'!R12-'收入（关联）'!Q12</f>
        <v>785.44713100000001</v>
      </c>
      <c r="R12" s="268">
        <f>'收入（汇总）'!S12-'收入（关联）'!R12</f>
        <v>53.702134000000001</v>
      </c>
      <c r="S12" s="268">
        <f>'收入（汇总）'!T12-'收入（关联）'!S12</f>
        <v>1621.121883</v>
      </c>
      <c r="T12" s="268">
        <f>'收入（汇总）'!U12-'收入（关联）'!T12</f>
        <v>1564.3864209999999</v>
      </c>
      <c r="U12" s="268">
        <f>'收入（汇总）'!V12-'收入（关联）'!U12</f>
        <v>1067.874026</v>
      </c>
      <c r="V12" s="268">
        <f>'收入（汇总）'!W12-'收入（关联）'!V12</f>
        <v>1012.644056</v>
      </c>
      <c r="W12" s="268">
        <f>'收入（汇总）'!X12-'收入（关联）'!W12</f>
        <v>819.36982799999998</v>
      </c>
      <c r="X12" s="268">
        <f>'收入（汇总）'!Y12-'收入（关联）'!X12</f>
        <v>300.53346800000003</v>
      </c>
      <c r="Y12" s="268">
        <f>'收入（汇总）'!Z12-'收入（关联）'!Y12</f>
        <v>839.36009300000001</v>
      </c>
      <c r="Z12" s="268">
        <f>'收入（汇总）'!AA12-'收入（关联）'!Z12</f>
        <v>1856.787568</v>
      </c>
      <c r="AA12" s="268">
        <f>'收入（汇总）'!AB12-'收入（关联）'!AA12</f>
        <v>509.74997400000001</v>
      </c>
      <c r="AB12" s="268">
        <f>'收入（汇总）'!AC12-'收入（关联）'!AB12</f>
        <v>227.55381299999999</v>
      </c>
      <c r="AC12" s="286">
        <f>'收入（汇总）'!AD12-'收入（关联）'!AC12</f>
        <v>1131.5823009999999</v>
      </c>
      <c r="AD12" s="286">
        <f>'收入（汇总）'!AE12-'收入（关联）'!AD12</f>
        <v>101.80530999999999</v>
      </c>
      <c r="AE12" s="286">
        <f>'收入（汇总）'!AF12-'收入（关联）'!AE12</f>
        <v>192.80640799999998</v>
      </c>
      <c r="AF12" s="286">
        <f>'收入（汇总）'!AG12-'收入（关联）'!AF12</f>
        <v>315.48672500000004</v>
      </c>
      <c r="AG12" s="286">
        <f>'收入（汇总）'!AH12-'收入（关联）'!AG12</f>
        <v>2380.7253169999999</v>
      </c>
      <c r="AH12" s="286">
        <f>'收入（汇总）'!AI12-'收入（关联）'!AH12</f>
        <v>577.57448299999999</v>
      </c>
      <c r="AI12" s="286">
        <f>'收入（汇总）'!AJ12-'收入（关联）'!AI12</f>
        <v>177.18141499999999</v>
      </c>
      <c r="AJ12" s="286">
        <f>'收入（汇总）'!AK12-'收入（关联）'!AJ12</f>
        <v>672.82169399999998</v>
      </c>
      <c r="AK12" s="286">
        <f>'收入（汇总）'!AL12-'收入（关联）'!AK12</f>
        <v>1460.804134</v>
      </c>
      <c r="AL12" s="286">
        <f>'收入（汇总）'!AM12-'收入（关联）'!AL12</f>
        <v>1626.598389</v>
      </c>
      <c r="AM12" s="286">
        <f>'收入（汇总）'!AN12-'收入（关联）'!AM12</f>
        <v>918.846497</v>
      </c>
      <c r="AN12" s="286">
        <f>'收入（汇总）'!AO12-'收入（关联）'!AN12</f>
        <v>539.75577599999997</v>
      </c>
      <c r="AO12" s="286">
        <f>'收入（汇总）'!AP12-'收入（关联）'!AO12</f>
        <v>319.224425</v>
      </c>
      <c r="AP12" s="286">
        <f>'收入（汇总）'!AQ12-'收入（关联）'!AP12</f>
        <v>2277.4502430000002</v>
      </c>
      <c r="AQ12" s="286">
        <f>'收入（汇总）'!AR12-'收入（关联）'!AQ12</f>
        <v>1011.46672</v>
      </c>
      <c r="AR12" s="286">
        <f>'收入（汇总）'!AS12-'收入（关联）'!AR12</f>
        <v>2416.5565799999999</v>
      </c>
      <c r="AS12" s="286">
        <f>'收入（汇总）'!AT12-'收入（关联）'!AS12</f>
        <v>2536.9836370000003</v>
      </c>
      <c r="AT12" s="286">
        <f>'收入（汇总）'!AU12-'收入（关联）'!AT12</f>
        <v>1531.379968</v>
      </c>
      <c r="AU12" s="286">
        <f>'收入（汇总）'!AV12-'收入（关联）'!AU12</f>
        <v>1630.8292719999999</v>
      </c>
      <c r="AV12" s="254">
        <f>'收入（汇总）'!AW12-'收入（关联）'!AV12</f>
        <v>0</v>
      </c>
      <c r="AW12" s="254">
        <f>'收入（汇总）'!AX12-'收入（关联）'!AW12</f>
        <v>0</v>
      </c>
      <c r="AX12" s="254">
        <f>'收入（汇总）'!AY12-'收入（关联）'!AX12</f>
        <v>0</v>
      </c>
      <c r="AY12" s="254">
        <f>'收入（汇总）'!AZ12-'收入（关联）'!AY12</f>
        <v>0</v>
      </c>
      <c r="BA12" s="275">
        <f t="shared" si="0"/>
        <v>12263.646621</v>
      </c>
    </row>
    <row r="13" spans="1:54" s="254" customFormat="1">
      <c r="A13" s="254" t="str">
        <f>'收入（汇总）'!B13</f>
        <v>BOC气体公司</v>
      </c>
      <c r="B13" s="268">
        <f>'收入（汇总）'!C13-'收入（关联）'!B13</f>
        <v>2865.7427499999999</v>
      </c>
      <c r="C13" s="268">
        <f>'收入（汇总）'!D13-'收入（关联）'!C13</f>
        <v>156.00692399999934</v>
      </c>
      <c r="D13" s="268">
        <f>'收入（汇总）'!E13-'收入（关联）'!D13</f>
        <v>167.24426099999982</v>
      </c>
      <c r="E13" s="268">
        <f>'收入（汇总）'!F13-'收入（关联）'!E13</f>
        <v>97.215979999999035</v>
      </c>
      <c r="F13" s="268">
        <f>'收入（汇总）'!G13-'收入（关联）'!F13</f>
        <v>154.39552700000058</v>
      </c>
      <c r="G13" s="268">
        <f>'收入（汇总）'!H13-'收入（关联）'!G13</f>
        <v>381.76091700000143</v>
      </c>
      <c r="H13" s="268">
        <f>'收入（汇总）'!I13-'收入（关联）'!H13</f>
        <v>345.40920200000073</v>
      </c>
      <c r="I13" s="268">
        <f>'收入（汇总）'!J13-'收入（关联）'!I13</f>
        <v>529.09219300000041</v>
      </c>
      <c r="J13" s="268">
        <f>'收入（汇总）'!K13-'收入（关联）'!J13</f>
        <v>451.37770999999884</v>
      </c>
      <c r="K13" s="268">
        <f>'收入（汇总）'!L13-'收入（关联）'!K13</f>
        <v>567.63710600000013</v>
      </c>
      <c r="L13" s="268">
        <f>'收入（汇总）'!M13-'收入（关联）'!L13</f>
        <v>689.31608299999971</v>
      </c>
      <c r="M13" s="268">
        <f>'收入（汇总）'!N13-'收入（关联）'!M13</f>
        <v>281.4579219999996</v>
      </c>
      <c r="N13" s="268">
        <f>'收入（汇总）'!O13-'收入（关联）'!N13</f>
        <v>351.21338499999911</v>
      </c>
      <c r="O13" s="268">
        <f>'收入（汇总）'!P13-'收入（关联）'!O13</f>
        <v>146.05655499999921</v>
      </c>
      <c r="P13" s="268">
        <f>'收入（汇总）'!Q13-'收入（关联）'!P13</f>
        <v>204.35841600000094</v>
      </c>
      <c r="Q13" s="268">
        <f>'收入（汇总）'!R13-'收入（关联）'!Q13</f>
        <v>158.66634700000031</v>
      </c>
      <c r="R13" s="268">
        <f>'收入（汇总）'!S13-'收入（关联）'!R13</f>
        <v>278.22003699999914</v>
      </c>
      <c r="S13" s="268">
        <f>'收入（汇总）'!T13-'收入（关联）'!S13</f>
        <v>263.4578279999987</v>
      </c>
      <c r="T13" s="268">
        <f>'收入（汇总）'!U13-'收入（关联）'!T13</f>
        <v>298.64359599999989</v>
      </c>
      <c r="U13" s="268">
        <f>'收入（汇总）'!V13-'收入（关联）'!U13</f>
        <v>418.67454999999973</v>
      </c>
      <c r="V13" s="268">
        <f>'收入（汇总）'!W13-'收入（关联）'!V13</f>
        <v>243.46012200000041</v>
      </c>
      <c r="W13" s="268">
        <f>'收入（汇总）'!X13-'收入（关联）'!W13</f>
        <v>240.06109699999979</v>
      </c>
      <c r="X13" s="268">
        <f>'收入（汇总）'!Y13-'收入（关联）'!X13</f>
        <v>250.91087000000152</v>
      </c>
      <c r="Y13" s="268">
        <f>'收入（汇总）'!Z13-'收入（关联）'!Y13</f>
        <v>154.01455499999975</v>
      </c>
      <c r="Z13" s="268">
        <f>'收入（汇总）'!AA13-'收入（关联）'!Z13</f>
        <v>145.4319059999998</v>
      </c>
      <c r="AA13" s="268">
        <f>'收入（汇总）'!AB13-'收入（关联）'!AA13</f>
        <v>164.55622500000027</v>
      </c>
      <c r="AB13" s="268">
        <f>'收入（汇总）'!AC13-'收入（关联）'!AB13</f>
        <v>151.01019699999961</v>
      </c>
      <c r="AC13" s="286">
        <f>'收入（汇总）'!AD13-'收入（关联）'!AC13</f>
        <v>82.006174000000101</v>
      </c>
      <c r="AD13" s="286">
        <f>'收入（汇总）'!AE13-'收入（关联）'!AD13</f>
        <v>89.776612999999998</v>
      </c>
      <c r="AE13" s="286">
        <f>'收入（汇总）'!AF13-'收入（关联）'!AE13</f>
        <v>152.12916199999927</v>
      </c>
      <c r="AF13" s="286">
        <f>'收入（汇总）'!AG13-'收入（关联）'!AF13</f>
        <v>223.68255099999988</v>
      </c>
      <c r="AG13" s="286">
        <f>'收入（汇总）'!AH13-'收入（关联）'!AG13</f>
        <v>295.57927300000119</v>
      </c>
      <c r="AH13" s="286">
        <f>'收入（汇总）'!AI13-'收入（关联）'!AH13</f>
        <v>347.85494000000108</v>
      </c>
      <c r="AI13" s="286">
        <f>'收入（汇总）'!AJ13-'收入（关联）'!AI13</f>
        <v>572.42643900000076</v>
      </c>
      <c r="AJ13" s="286">
        <f>'收入（汇总）'!AK13-'收入（关联）'!AJ13</f>
        <v>327.20301300000028</v>
      </c>
      <c r="AK13" s="286">
        <f>'收入（汇总）'!AL13-'收入（关联）'!AK13</f>
        <v>233.95207799999844</v>
      </c>
      <c r="AL13" s="286">
        <f>'收入（汇总）'!AM13-'收入（关联）'!AL13</f>
        <v>279.43825000000106</v>
      </c>
      <c r="AM13" s="286">
        <f>'收入（汇总）'!AN13-'收入（关联）'!AM13</f>
        <v>261.77504799999952</v>
      </c>
      <c r="AN13" s="286">
        <f>'收入（汇总）'!AO13-'收入（关联）'!AN13</f>
        <v>218.48320400000011</v>
      </c>
      <c r="AO13" s="286">
        <f>'收入（汇总）'!AP13-'收入（关联）'!AO13</f>
        <v>118.65158300000076</v>
      </c>
      <c r="AP13" s="286">
        <f>'收入（汇总）'!AQ13-'收入（关联）'!AP13</f>
        <v>204.00684999999976</v>
      </c>
      <c r="AQ13" s="286">
        <f>'收入（汇总）'!AR13-'收入（关联）'!AQ13</f>
        <v>443.61493899999914</v>
      </c>
      <c r="AR13" s="286">
        <f>'收入（汇总）'!AS13-'收入（关联）'!AR13</f>
        <v>440.92444099999921</v>
      </c>
      <c r="AS13" s="286">
        <f>'收入（汇总）'!AT13-'收入（关联）'!AS13</f>
        <v>603.98815599999944</v>
      </c>
      <c r="AT13" s="286">
        <f>'收入（汇总）'!AU13-'收入（关联）'!AT13</f>
        <v>343.37701000000379</v>
      </c>
      <c r="AU13" s="286">
        <f>'收入（汇总）'!AV13-'收入（关联）'!AU13</f>
        <v>645.99846099999377</v>
      </c>
      <c r="AV13" s="254">
        <f>'收入（汇总）'!AW13-'收入（关联）'!AV13</f>
        <v>0</v>
      </c>
      <c r="AW13" s="254">
        <f>'收入（汇总）'!AX13-'收入（关联）'!AW13</f>
        <v>0</v>
      </c>
      <c r="AX13" s="254">
        <f>'收入（汇总）'!AY13-'收入（关联）'!AX13</f>
        <v>0</v>
      </c>
      <c r="AY13" s="254">
        <f>'收入（汇总）'!AZ13-'收入（关联）'!AY13</f>
        <v>0</v>
      </c>
      <c r="BA13" s="275">
        <f t="shared" si="0"/>
        <v>3019.044643999996</v>
      </c>
    </row>
    <row r="14" spans="1:54" s="254" customFormat="1">
      <c r="A14" s="254" t="str">
        <f>'收入（汇总）'!B14</f>
        <v>耐材公司</v>
      </c>
      <c r="B14" s="268">
        <f>'收入（汇总）'!C14-'收入（关联）'!B14</f>
        <v>8724.5026550000002</v>
      </c>
      <c r="C14" s="268">
        <f>'收入（汇总）'!D14-'收入（关联）'!C14</f>
        <v>1088.1756849999997</v>
      </c>
      <c r="D14" s="268">
        <f>'收入（汇总）'!E14-'收入（关联）'!D14</f>
        <v>1979.2084440000001</v>
      </c>
      <c r="E14" s="268">
        <f>'收入（汇总）'!F14-'收入（关联）'!E14</f>
        <v>1085.8883499999999</v>
      </c>
      <c r="F14" s="268">
        <f>'收入（汇总）'!G14-'收入（关联）'!F14</f>
        <v>1072.7576220000001</v>
      </c>
      <c r="G14" s="268">
        <f>'收入（汇总）'!H14-'收入（关联）'!G14</f>
        <v>1854.2223689999996</v>
      </c>
      <c r="H14" s="268">
        <f>'收入（汇总）'!I14-'收入（关联）'!H14</f>
        <v>1425.4938900000002</v>
      </c>
      <c r="I14" s="268">
        <f>'收入（汇总）'!J14-'收入（关联）'!I14</f>
        <v>786.66782900000021</v>
      </c>
      <c r="J14" s="268">
        <f>'收入（汇总）'!K14-'收入（关联）'!J14</f>
        <v>1307.5391789999999</v>
      </c>
      <c r="K14" s="268">
        <f>'收入（汇总）'!L14-'收入（关联）'!K14</f>
        <v>1497.4442240000001</v>
      </c>
      <c r="L14" s="268">
        <f>'收入（汇总）'!M14-'收入（关联）'!L14</f>
        <v>1380.8157399999998</v>
      </c>
      <c r="M14" s="268">
        <f>'收入（汇总）'!N14-'收入（关联）'!M14</f>
        <v>1396.7961890000001</v>
      </c>
      <c r="N14" s="268">
        <f>'收入（汇总）'!O14-'收入（关联）'!N14</f>
        <v>1584.7184420000001</v>
      </c>
      <c r="O14" s="268">
        <f>'收入（汇总）'!P14-'收入（关联）'!O14</f>
        <v>2024.581602</v>
      </c>
      <c r="P14" s="268">
        <f>'收入（汇总）'!Q14-'收入（关联）'!P14</f>
        <v>2017.5141920000001</v>
      </c>
      <c r="Q14" s="268">
        <f>'收入（汇总）'!R14-'收入（关联）'!Q14</f>
        <v>1005.9824560000001</v>
      </c>
      <c r="R14" s="268">
        <f>'收入（汇总）'!S14-'收入（关联）'!R14</f>
        <v>2465.8583530000001</v>
      </c>
      <c r="S14" s="268">
        <f>'收入（汇总）'!T14-'收入（关联）'!S14</f>
        <v>1219.5770579999999</v>
      </c>
      <c r="T14" s="268">
        <f>'收入（汇总）'!U14-'收入（关联）'!T14</f>
        <v>1436.6082569999999</v>
      </c>
      <c r="U14" s="268">
        <f>'收入（汇总）'!V14-'收入（关联）'!U14</f>
        <v>1407.3680130000002</v>
      </c>
      <c r="V14" s="268">
        <f>'收入（汇总）'!W14-'收入（关联）'!V14</f>
        <v>1129.254038</v>
      </c>
      <c r="W14" s="268">
        <f>'收入（汇总）'!X14-'收入（关联）'!W14</f>
        <v>1181.1154649999999</v>
      </c>
      <c r="X14" s="268">
        <f>'收入（汇总）'!Y14-'收入（关联）'!X14</f>
        <v>1091.855294</v>
      </c>
      <c r="Y14" s="268">
        <f>'收入（汇总）'!Z14-'收入（关联）'!Y14</f>
        <v>874.79088900000011</v>
      </c>
      <c r="Z14" s="268">
        <f>'收入（汇总）'!AA14-'收入（关联）'!Z14</f>
        <v>981.03252199999997</v>
      </c>
      <c r="AA14" s="268">
        <f>'收入（汇总）'!AB14-'收入（关联）'!AA14</f>
        <v>742.68023500000004</v>
      </c>
      <c r="AB14" s="268">
        <f>'收入（汇总）'!AC14-'收入（关联）'!AB14</f>
        <v>479.05837300000007</v>
      </c>
      <c r="AC14" s="286">
        <f>'收入（汇总）'!AD14-'收入（关联）'!AC14</f>
        <v>602.40993400000002</v>
      </c>
      <c r="AD14" s="286">
        <f>'收入（汇总）'!AE14-'收入（关联）'!AD14</f>
        <v>889.48215500000015</v>
      </c>
      <c r="AE14" s="286">
        <f>'收入（汇总）'!AF14-'收入（关联）'!AE14</f>
        <v>1122.5749640000001</v>
      </c>
      <c r="AF14" s="286">
        <f>'收入（汇总）'!AG14-'收入（关联）'!AF14</f>
        <v>1199.7506569999998</v>
      </c>
      <c r="AG14" s="286">
        <f>'收入（汇总）'!AH14-'收入（关联）'!AG14</f>
        <v>1404.9733649999998</v>
      </c>
      <c r="AH14" s="286">
        <f>'收入（汇总）'!AI14-'收入（关联）'!AH14</f>
        <v>1086.6236279999998</v>
      </c>
      <c r="AI14" s="286">
        <f>'收入（汇总）'!AJ14-'收入（关联）'!AI14</f>
        <v>1498.6502370000003</v>
      </c>
      <c r="AJ14" s="286">
        <f>'收入（汇总）'!AK14-'收入（关联）'!AJ14</f>
        <v>1557.684244</v>
      </c>
      <c r="AK14" s="286">
        <f>'收入（汇总）'!AL14-'收入（关联）'!AK14</f>
        <v>1486.2735560000001</v>
      </c>
      <c r="AL14" s="286">
        <f>'收入（汇总）'!AM14-'收入（关联）'!AL14</f>
        <v>1250.5398540000001</v>
      </c>
      <c r="AM14" s="286">
        <f>'收入（汇总）'!AN14-'收入（关联）'!AM14</f>
        <v>1221.1679449999999</v>
      </c>
      <c r="AN14" s="286">
        <f>'收入（汇总）'!AO14-'收入（关联）'!AN14</f>
        <v>1047.163687</v>
      </c>
      <c r="AO14" s="286">
        <f>'收入（汇总）'!AP14-'收入（关联）'!AO14</f>
        <v>931.48245500000007</v>
      </c>
      <c r="AP14" s="286">
        <f>'收入（汇总）'!AQ14-'收入（关联）'!AP14</f>
        <v>776.74508999999989</v>
      </c>
      <c r="AQ14" s="286">
        <f>'收入（汇总）'!AR14-'收入（关联）'!AQ14</f>
        <v>1509.9853909999999</v>
      </c>
      <c r="AR14" s="286">
        <f>'收入（汇总）'!AS14-'收入（关联）'!AR14</f>
        <v>1754.660668</v>
      </c>
      <c r="AS14" s="286">
        <f>'收入（汇总）'!AT14-'收入（关联）'!AS14</f>
        <v>2122.8199460000001</v>
      </c>
      <c r="AT14" s="286">
        <f>'收入（汇总）'!AU14-'收入（关联）'!AT14</f>
        <v>1644.0068080000001</v>
      </c>
      <c r="AU14" s="286">
        <f>'收入（汇总）'!AV14-'收入（关联）'!AU14</f>
        <v>1970.673483999999</v>
      </c>
      <c r="AV14" s="254">
        <f>'收入（汇总）'!AW14-'收入（关联）'!AV14</f>
        <v>0</v>
      </c>
      <c r="AW14" s="254">
        <f>'收入（汇总）'!AX14-'收入（关联）'!AW14</f>
        <v>0</v>
      </c>
      <c r="AX14" s="254">
        <f>'收入（汇总）'!AY14-'收入（关联）'!AX14</f>
        <v>0</v>
      </c>
      <c r="AY14" s="254">
        <f>'收入（汇总）'!AZ14-'收入（关联）'!AY14</f>
        <v>0</v>
      </c>
      <c r="BA14" s="275">
        <f t="shared" si="0"/>
        <v>11757.537528999999</v>
      </c>
    </row>
    <row r="15" spans="1:54" s="254" customFormat="1">
      <c r="A15" s="254" t="str">
        <f>'收入（汇总）'!B15</f>
        <v>电气公司</v>
      </c>
      <c r="B15" s="268">
        <f>'收入（汇总）'!C15-'收入（关联）'!B15</f>
        <v>724.53199199999995</v>
      </c>
      <c r="C15" s="268">
        <f>'收入（汇总）'!D15-'收入（关联）'!C15</f>
        <v>122.991534</v>
      </c>
      <c r="D15" s="268">
        <f>'收入（汇总）'!E15-'收入（关联）'!D15</f>
        <v>11.048744999999997</v>
      </c>
      <c r="E15" s="268">
        <f>'收入（汇总）'!F15-'收入（关联）'!E15</f>
        <v>27.340160999999995</v>
      </c>
      <c r="F15" s="268">
        <f>'收入（汇总）'!G15-'收入（关联）'!F15</f>
        <v>108.70093899999998</v>
      </c>
      <c r="G15" s="268">
        <f>'收入（汇总）'!H15-'收入（关联）'!G15</f>
        <v>52.750476999999989</v>
      </c>
      <c r="H15" s="268">
        <f>'收入（汇总）'!I15-'收入（关联）'!H15</f>
        <v>64.512187000000011</v>
      </c>
      <c r="I15" s="268">
        <f>'收入（汇总）'!J15-'收入（关联）'!I15</f>
        <v>105.743786</v>
      </c>
      <c r="J15" s="268">
        <f>'收入（汇总）'!K15-'收入（关联）'!J15</f>
        <v>104.68950100000001</v>
      </c>
      <c r="K15" s="268">
        <f>'收入（汇总）'!L15-'收入（关联）'!K15</f>
        <v>49.847815999999966</v>
      </c>
      <c r="L15" s="268">
        <f>'收入（汇总）'!M15-'收入（关联）'!L15</f>
        <v>116.83356900000001</v>
      </c>
      <c r="M15" s="268">
        <f>'收入（汇总）'!N15-'收入（关联）'!M15</f>
        <v>50.191489999999988</v>
      </c>
      <c r="N15" s="268">
        <f>'收入（汇总）'!O15-'收入（关联）'!N15</f>
        <v>36.521433999999999</v>
      </c>
      <c r="O15" s="268">
        <f>'收入（汇总）'!P15-'收入（关联）'!O15</f>
        <v>82.302510999999981</v>
      </c>
      <c r="P15" s="268">
        <f>'收入（汇总）'!Q15-'收入（关联）'!P15</f>
        <v>56.037980000000005</v>
      </c>
      <c r="Q15" s="268">
        <f>'收入（汇总）'!R15-'收入（关联）'!Q15</f>
        <v>11.224052999999998</v>
      </c>
      <c r="R15" s="268">
        <f>'收入（汇总）'!S15-'收入（关联）'!R15</f>
        <v>109.706074</v>
      </c>
      <c r="S15" s="268">
        <f>'收入（汇总）'!T15-'收入（关联）'!S15</f>
        <v>98.718598999999983</v>
      </c>
      <c r="T15" s="268">
        <f>'收入（汇总）'!U15-'收入（关联）'!T15</f>
        <v>108.95261700000003</v>
      </c>
      <c r="U15" s="268">
        <f>'收入（汇总）'!V15-'收入（关联）'!U15</f>
        <v>147.17809800000001</v>
      </c>
      <c r="V15" s="268">
        <f>'收入（汇总）'!W15-'收入（关联）'!V15</f>
        <v>69.995679999999993</v>
      </c>
      <c r="W15" s="268">
        <f>'收入（汇总）'!X15-'收入（关联）'!W15</f>
        <v>191.49673700000002</v>
      </c>
      <c r="X15" s="268">
        <f>'收入（汇总）'!Y15-'收入（关联）'!X15</f>
        <v>250.90459700000002</v>
      </c>
      <c r="Y15" s="268">
        <f>'收入（汇总）'!Z15-'收入（关联）'!Y15</f>
        <v>73.93839399999996</v>
      </c>
      <c r="Z15" s="268">
        <f>'收入（汇总）'!AA15-'收入（关联）'!Z15</f>
        <v>139.188582</v>
      </c>
      <c r="AA15" s="268">
        <f>'收入（汇总）'!AB15-'收入（关联）'!AA15</f>
        <v>119.34471399999995</v>
      </c>
      <c r="AB15" s="268">
        <f>'收入（汇总）'!AC15-'收入（关联）'!AB15</f>
        <v>141.825559</v>
      </c>
      <c r="AC15" s="286">
        <f>'收入（汇总）'!AD15-'收入（关联）'!AC15</f>
        <v>19.284899999999993</v>
      </c>
      <c r="AD15" s="286">
        <f>'收入（汇总）'!AE15-'收入（关联）'!AD15</f>
        <v>73.674766000000005</v>
      </c>
      <c r="AE15" s="286">
        <f>'收入（汇总）'!AF15-'收入（关联）'!AE15</f>
        <v>114.16774900000001</v>
      </c>
      <c r="AF15" s="286">
        <f>'收入（汇总）'!AG15-'收入（关联）'!AF15</f>
        <v>155.27660700000001</v>
      </c>
      <c r="AG15" s="286">
        <f>'收入（汇总）'!AH15-'收入（关联）'!AG15</f>
        <v>161.24624900000003</v>
      </c>
      <c r="AH15" s="286">
        <f>'收入（汇总）'!AI15-'收入（关联）'!AH15</f>
        <v>254.24743800000002</v>
      </c>
      <c r="AI15" s="286">
        <f>'收入（汇总）'!AJ15-'收入（关联）'!AI15</f>
        <v>94.25804699999992</v>
      </c>
      <c r="AJ15" s="286">
        <f>'收入（汇总）'!AK15-'收入（关联）'!AJ15</f>
        <v>160.18408200000005</v>
      </c>
      <c r="AK15" s="286">
        <f>'收入（汇总）'!AL15-'收入（关联）'!AK15</f>
        <v>306.02165100000002</v>
      </c>
      <c r="AL15" s="286">
        <f>'收入（汇总）'!AM15-'收入（关联）'!AL15</f>
        <v>188.00353300000006</v>
      </c>
      <c r="AM15" s="286">
        <f>'收入（汇总）'!AN15-'收入（关联）'!AM15</f>
        <v>228.81922799999995</v>
      </c>
      <c r="AN15" s="286">
        <f>'收入（汇总）'!AO15-'收入（关联）'!AN15</f>
        <v>209.63081699999998</v>
      </c>
      <c r="AO15" s="286">
        <f>'收入（汇总）'!AP15-'收入（关联）'!AO15</f>
        <v>154.042261</v>
      </c>
      <c r="AP15" s="286">
        <f>'收入（汇总）'!AQ15-'收入（关联）'!AP15</f>
        <v>226.63259500000004</v>
      </c>
      <c r="AQ15" s="286">
        <f>'收入（汇总）'!AR15-'收入（关联）'!AQ15</f>
        <v>315.31723</v>
      </c>
      <c r="AR15" s="286">
        <f>'收入（汇总）'!AS15-'收入（关联）'!AR15</f>
        <v>280.87060400000001</v>
      </c>
      <c r="AS15" s="286">
        <f>'收入（汇总）'!AT15-'收入（关联）'!AS15</f>
        <v>226.08556299999998</v>
      </c>
      <c r="AT15" s="286">
        <f>'收入（汇总）'!AU15-'收入（关联）'!AT15</f>
        <v>188.55261000000019</v>
      </c>
      <c r="AU15" s="286">
        <f>'收入（汇总）'!AV15-'收入（关联）'!AU15</f>
        <v>-91.365829999999505</v>
      </c>
      <c r="AV15" s="254">
        <f>'收入（汇总）'!AW15-'收入（关联）'!AV15</f>
        <v>0</v>
      </c>
      <c r="AW15" s="254">
        <f>'收入（汇总）'!AX15-'收入（关联）'!AW15</f>
        <v>0</v>
      </c>
      <c r="AX15" s="254">
        <f>'收入（汇总）'!AY15-'收入（关联）'!AX15</f>
        <v>0</v>
      </c>
      <c r="AY15" s="254">
        <f>'收入（汇总）'!AZ15-'收入（关联）'!AY15</f>
        <v>0</v>
      </c>
      <c r="BA15" s="275">
        <f t="shared" si="0"/>
        <v>1509.7658500000009</v>
      </c>
    </row>
    <row r="16" spans="1:54" s="254" customFormat="1">
      <c r="A16" s="254" t="str">
        <f>'收入（汇总）'!B16</f>
        <v>综合利用公司</v>
      </c>
      <c r="B16" s="268">
        <f>'收入（汇总）'!C16-'收入（关联）'!B16</f>
        <v>9792.5599629999997</v>
      </c>
      <c r="C16" s="268">
        <f>'收入（汇总）'!D16-'收入（关联）'!C16</f>
        <v>656.19873199999995</v>
      </c>
      <c r="D16" s="268">
        <f>'收入（汇总）'!E16-'收入（关联）'!D16</f>
        <v>340.43074000000001</v>
      </c>
      <c r="E16" s="268">
        <f>'收入（汇总）'!F16-'收入（关联）'!E16</f>
        <v>203.41549499999999</v>
      </c>
      <c r="F16" s="268">
        <f>'收入（汇总）'!G16-'收入（关联）'!F16</f>
        <v>898.23437100000001</v>
      </c>
      <c r="G16" s="268">
        <f>'收入（汇总）'!H16-'收入（关联）'!G16</f>
        <v>1660.56068</v>
      </c>
      <c r="H16" s="268">
        <f>'收入（汇总）'!I16-'收入（关联）'!H16</f>
        <v>1530.6115360000001</v>
      </c>
      <c r="I16" s="268">
        <f>'收入（汇总）'!J16-'收入（关联）'!I16</f>
        <v>1479.746979</v>
      </c>
      <c r="J16" s="268">
        <f>'收入（汇总）'!K16-'收入（关联）'!J16</f>
        <v>1472.162771</v>
      </c>
      <c r="K16" s="268">
        <f>'收入（汇总）'!L16-'收入（关联）'!K16</f>
        <v>1534.3095029999999</v>
      </c>
      <c r="L16" s="268">
        <f>'收入（汇总）'!M16-'收入（关联）'!L16</f>
        <v>1273.233324</v>
      </c>
      <c r="M16" s="268">
        <f>'收入（汇总）'!N16-'收入（关联）'!M16</f>
        <v>1408.4978619999999</v>
      </c>
      <c r="N16" s="268">
        <f>'收入（汇总）'!O16-'收入（关联）'!N16</f>
        <v>1308.839099</v>
      </c>
      <c r="O16" s="268">
        <f>'收入（汇总）'!P16-'收入（关联）'!O16</f>
        <v>725.14039000000002</v>
      </c>
      <c r="P16" s="268">
        <f>'收入（汇总）'!Q16-'收入（关联）'!P16</f>
        <v>336.18877199999997</v>
      </c>
      <c r="Q16" s="268">
        <f>'收入（汇总）'!R16-'收入（关联）'!Q16</f>
        <v>228.72824800000001</v>
      </c>
      <c r="R16" s="268">
        <f>'收入（汇总）'!S16-'收入（关联）'!R16</f>
        <v>1637.5090930000001</v>
      </c>
      <c r="S16" s="268">
        <f>'收入（汇总）'!T16-'收入（关联）'!S16</f>
        <v>1280.09905</v>
      </c>
      <c r="T16" s="268">
        <f>'收入（汇总）'!U16-'收入（关联）'!T16</f>
        <v>1441.8907119999999</v>
      </c>
      <c r="U16" s="268">
        <f>'收入（汇总）'!V16-'收入（关联）'!U16</f>
        <v>1114.435643</v>
      </c>
      <c r="V16" s="268">
        <f>'收入（汇总）'!W16-'收入（关联）'!V16</f>
        <v>1206.1716710000001</v>
      </c>
      <c r="W16" s="268">
        <f>'收入（汇总）'!X16-'收入（关联）'!W16</f>
        <v>1088.526781</v>
      </c>
      <c r="X16" s="268">
        <f>'收入（汇总）'!Y16-'收入（关联）'!X16</f>
        <v>1212.1424140000001</v>
      </c>
      <c r="Y16" s="268">
        <f>'收入（汇总）'!Z16-'收入（关联）'!Y16</f>
        <v>1331.3040579999999</v>
      </c>
      <c r="Z16" s="268">
        <f>'收入（汇总）'!AA16-'收入（关联）'!Z16</f>
        <v>1571.482209</v>
      </c>
      <c r="AA16" s="268">
        <f>'收入（汇总）'!AB16-'收入（关联）'!AA16</f>
        <v>819.44540199999994</v>
      </c>
      <c r="AB16" s="268">
        <f>'收入（汇总）'!AC16-'收入（关联）'!AB16</f>
        <v>304.920796</v>
      </c>
      <c r="AC16" s="286">
        <f>'收入（汇总）'!AD16-'收入（关联）'!AC16</f>
        <v>32.336708000000002</v>
      </c>
      <c r="AD16" s="286">
        <f>'收入（汇总）'!AE16-'收入（关联）'!AD16</f>
        <v>653.3487090000001</v>
      </c>
      <c r="AE16" s="286">
        <f>'收入（汇总）'!AF16-'收入（关联）'!AE16</f>
        <v>1701.858076</v>
      </c>
      <c r="AF16" s="286">
        <f>'收入（汇总）'!AG16-'收入（关联）'!AF16</f>
        <v>1831.2180580000002</v>
      </c>
      <c r="AG16" s="286">
        <f>'收入（汇总）'!AH16-'收入（关联）'!AG16</f>
        <v>1825.814333</v>
      </c>
      <c r="AH16" s="286">
        <f>'收入（汇总）'!AI16-'收入（关联）'!AH16</f>
        <v>1218.180075</v>
      </c>
      <c r="AI16" s="286">
        <f>'收入（汇总）'!AJ16-'收入（关联）'!AI16</f>
        <v>1484.729206</v>
      </c>
      <c r="AJ16" s="286">
        <f>'收入（汇总）'!AK16-'收入（关联）'!AJ16</f>
        <v>1506.2461049999999</v>
      </c>
      <c r="AK16" s="286">
        <f>'收入（汇总）'!AL16-'收入（关联）'!AK16</f>
        <v>1303.6033180000002</v>
      </c>
      <c r="AL16" s="286">
        <f>'收入（汇总）'!AM16-'收入（关联）'!AL16</f>
        <v>1264.7519500000001</v>
      </c>
      <c r="AM16" s="286">
        <f>'收入（汇总）'!AN16-'收入（关联）'!AM16</f>
        <v>627.86993800000005</v>
      </c>
      <c r="AN16" s="286">
        <f>'收入（汇总）'!AO16-'收入（关联）'!AN16</f>
        <v>261.70237100000003</v>
      </c>
      <c r="AO16" s="286">
        <f>'收入（汇总）'!AP16-'收入（关联）'!AO16</f>
        <v>73.358681000000004</v>
      </c>
      <c r="AP16" s="286">
        <f>'收入（汇总）'!AQ16-'收入（关联）'!AP16</f>
        <v>1056.489769</v>
      </c>
      <c r="AQ16" s="286">
        <f>'收入（汇总）'!AR16-'收入（关联）'!AQ16</f>
        <v>1541.3090100000002</v>
      </c>
      <c r="AR16" s="286">
        <f>'收入（汇总）'!AS16-'收入（关联）'!AR16</f>
        <v>1759.7380270000001</v>
      </c>
      <c r="AS16" s="286">
        <f>'收入（汇总）'!AT16-'收入（关联）'!AS16</f>
        <v>1887.7145499999999</v>
      </c>
      <c r="AT16" s="286">
        <f>'收入（汇总）'!AU16-'收入（关联）'!AT16</f>
        <v>1204.2866529999999</v>
      </c>
      <c r="AU16" s="286">
        <f>'收入（汇总）'!AV16-'收入（关联）'!AU16</f>
        <v>1127.9730210000002</v>
      </c>
      <c r="AV16" s="254">
        <f>'收入（汇总）'!AW16-'收入（关联）'!AV16</f>
        <v>0</v>
      </c>
      <c r="AW16" s="254">
        <f>'收入（汇总）'!AX16-'收入（关联）'!AW16</f>
        <v>0</v>
      </c>
      <c r="AX16" s="254">
        <f>'收入（汇总）'!AY16-'收入（关联）'!AX16</f>
        <v>0</v>
      </c>
      <c r="AY16" s="254">
        <f>'收入（汇总）'!AZ16-'收入（关联）'!AY16</f>
        <v>0</v>
      </c>
      <c r="BA16" s="275">
        <f t="shared" si="0"/>
        <v>8912.5720820000006</v>
      </c>
    </row>
    <row r="17" spans="1:53" s="254" customFormat="1">
      <c r="A17" s="254" t="str">
        <f>'收入（汇总）'!B17</f>
        <v>修建公司</v>
      </c>
      <c r="B17" s="268">
        <f>'收入（汇总）'!C17-'收入（关联）'!B17</f>
        <v>116.545541</v>
      </c>
      <c r="C17" s="268">
        <f>'收入（汇总）'!D17-'收入（关联）'!C17</f>
        <v>0.78589999999996962</v>
      </c>
      <c r="D17" s="268">
        <f>'收入（汇总）'!E17-'收入（关联）'!D17</f>
        <v>0.17953800000000797</v>
      </c>
      <c r="E17" s="268">
        <f>'收入（汇总）'!F17-'收入（关联）'!E17</f>
        <v>0</v>
      </c>
      <c r="F17" s="268">
        <f>'收入（汇总）'!G17-'收入（关联）'!F17</f>
        <v>0</v>
      </c>
      <c r="G17" s="268">
        <f>'收入（汇总）'!H17-'收入（关联）'!G17</f>
        <v>0.60760700000014367</v>
      </c>
      <c r="H17" s="268">
        <f>'收入（汇总）'!I17-'收入（关联）'!H17</f>
        <v>0</v>
      </c>
      <c r="I17" s="268">
        <f>'收入（汇总）'!J17-'收入（关联）'!I17</f>
        <v>0</v>
      </c>
      <c r="J17" s="268">
        <f>'收入（汇总）'!K17-'收入（关联）'!J17</f>
        <v>0</v>
      </c>
      <c r="K17" s="268">
        <f>'收入（汇总）'!L17-'收入（关联）'!K17</f>
        <v>4.3103449999999839</v>
      </c>
      <c r="L17" s="268">
        <f>'收入（汇总）'!M17-'收入（关联）'!L17</f>
        <v>1.2462929999999233</v>
      </c>
      <c r="M17" s="268">
        <f>'收入（汇总）'!N17-'收入（关联）'!M17</f>
        <v>0.52768600000000276</v>
      </c>
      <c r="N17" s="268">
        <f>'收入（汇总）'!O17-'收入（关联）'!N17</f>
        <v>4.2357530000000452</v>
      </c>
      <c r="O17" s="268">
        <f>'收入（汇总）'!P17-'收入（关联）'!O17</f>
        <v>11.435399999999987</v>
      </c>
      <c r="P17" s="268">
        <f>'收入（汇总）'!Q17-'收入（关联）'!P17</f>
        <v>0</v>
      </c>
      <c r="Q17" s="268">
        <f>'收入（汇总）'!R17-'收入（关联）'!Q17</f>
        <v>2.6082000000000107</v>
      </c>
      <c r="R17" s="268">
        <f>'收入（汇总）'!S17-'收入（关联）'!R17</f>
        <v>1.8842000000000212</v>
      </c>
      <c r="S17" s="268">
        <f>'收入（汇总）'!T17-'收入（关联）'!S17</f>
        <v>4.7024000000000115</v>
      </c>
      <c r="T17" s="268">
        <f>'收入（汇总）'!U17-'收入（关联）'!T17</f>
        <v>0.10550000000000637</v>
      </c>
      <c r="U17" s="268">
        <f>'收入（汇总）'!V17-'收入（关联）'!U17</f>
        <v>0</v>
      </c>
      <c r="V17" s="268">
        <f>'收入（汇总）'!W17-'收入（关联）'!V17</f>
        <v>0</v>
      </c>
      <c r="W17" s="268">
        <f>'收入（汇总）'!X17-'收入（关联）'!W17</f>
        <v>1.9409089999999765</v>
      </c>
      <c r="X17" s="268">
        <f>'收入（汇总）'!Y17-'收入（关联）'!X17</f>
        <v>0.742999999999995</v>
      </c>
      <c r="Y17" s="268">
        <f>'收入（汇总）'!Z17-'收入（关联）'!Y17</f>
        <v>0.1723999999999819</v>
      </c>
      <c r="Z17" s="268">
        <f>'收入（汇总）'!AA17-'收入（关联）'!Z17</f>
        <v>116.90893300000005</v>
      </c>
      <c r="AA17" s="268">
        <f>'收入（汇总）'!AB17-'收入（关联）'!AA17</f>
        <v>7.3324999999999818</v>
      </c>
      <c r="AB17" s="268">
        <f>'收入（汇总）'!AC17-'收入（关联）'!AB17</f>
        <v>75.216636999999992</v>
      </c>
      <c r="AC17" s="286">
        <f>'收入（汇总）'!AD17-'收入（关联）'!AC17</f>
        <v>0</v>
      </c>
      <c r="AD17" s="286">
        <f>'收入（汇总）'!AE17-'收入（关联）'!AD17</f>
        <v>0</v>
      </c>
      <c r="AE17" s="286">
        <f>'收入（汇总）'!AF17-'收入（关联）'!AE17</f>
        <v>0</v>
      </c>
      <c r="AF17" s="286">
        <f>'收入（汇总）'!AG17-'收入（关联）'!AF17</f>
        <v>3.5056610000000035</v>
      </c>
      <c r="AG17" s="286">
        <f>'收入（汇总）'!AH17-'收入（关联）'!AG17</f>
        <v>5.4618869999999902</v>
      </c>
      <c r="AH17" s="286">
        <f>'收入（汇总）'!AI17-'收入（关联）'!AH17</f>
        <v>9.8178570000000036</v>
      </c>
      <c r="AI17" s="286">
        <f>'收入（汇总）'!AJ17-'收入（关联）'!AI17</f>
        <v>6.2589430000000448</v>
      </c>
      <c r="AJ17" s="286">
        <f>'收入（汇总）'!AK17-'收入（关联）'!AJ17</f>
        <v>-0.41935199999988981</v>
      </c>
      <c r="AK17" s="286">
        <f>'收入（汇总）'!AL17-'收入（关联）'!AK17</f>
        <v>0.80939999999986867</v>
      </c>
      <c r="AL17" s="286">
        <f>'收入（汇总）'!AM17-'收入（关联）'!AL17</f>
        <v>4.5</v>
      </c>
      <c r="AM17" s="286">
        <f>'收入（汇总）'!AN17-'收入（关联）'!AM17</f>
        <v>117.22285000000011</v>
      </c>
      <c r="AN17" s="286">
        <f>'收入（汇总）'!AO17-'收入（关联）'!AN17</f>
        <v>797.60691099999985</v>
      </c>
      <c r="AO17" s="286">
        <f>'收入（汇总）'!AP17-'收入（关联）'!AO17</f>
        <v>141.05298500000004</v>
      </c>
      <c r="AP17" s="286">
        <f>'收入（汇总）'!AQ17-'收入（关联）'!AP17</f>
        <v>686.07173300000011</v>
      </c>
      <c r="AQ17" s="286">
        <f>'收入（汇总）'!AR17-'收入（关联）'!AQ17</f>
        <v>9.9195780000000013</v>
      </c>
      <c r="AR17" s="286">
        <f>'收入（汇总）'!AS17-'收入（关联）'!AR17</f>
        <v>50.836679000000004</v>
      </c>
      <c r="AS17" s="286">
        <f>'收入（汇总）'!AT17-'收入（关联）'!AS17</f>
        <v>205.50960399999985</v>
      </c>
      <c r="AT17" s="286">
        <f>'收入（汇总）'!AU17-'收入（关联）'!AT17</f>
        <v>0</v>
      </c>
      <c r="AU17" s="286">
        <f>'收入（汇总）'!AV17-'收入（关联）'!AU17</f>
        <v>19.240555000000768</v>
      </c>
      <c r="AV17" s="254">
        <f>'收入（汇总）'!AW17-'收入（关联）'!AV17</f>
        <v>0</v>
      </c>
      <c r="AW17" s="254">
        <f>'收入（汇总）'!AX17-'收入（关联）'!AW17</f>
        <v>0</v>
      </c>
      <c r="AX17" s="254">
        <f>'收入（汇总）'!AY17-'收入（关联）'!AX17</f>
        <v>0</v>
      </c>
      <c r="AY17" s="254">
        <f>'收入（汇总）'!AZ17-'收入（关联）'!AY17</f>
        <v>0</v>
      </c>
      <c r="BA17" s="275">
        <f t="shared" si="0"/>
        <v>1910.2380450000005</v>
      </c>
    </row>
    <row r="18" spans="1:53" s="254" customFormat="1">
      <c r="A18" s="254" t="str">
        <f>'收入（汇总）'!B18</f>
        <v>国贸公司</v>
      </c>
      <c r="B18" s="268">
        <f>'收入（汇总）'!C18-'收入（关联）'!B18</f>
        <v>1077332.1932779499</v>
      </c>
      <c r="C18" s="268">
        <f>'收入（汇总）'!D18-'收入（关联）'!C18</f>
        <v>4229.9883949999994</v>
      </c>
      <c r="D18" s="268">
        <f>'收入（汇总）'!E18-'收入（关联）'!D18</f>
        <v>5089.1700659999997</v>
      </c>
      <c r="E18" s="268">
        <f>'收入（汇总）'!F18-'收入（关联）'!E18</f>
        <v>6206.9257519999992</v>
      </c>
      <c r="F18" s="268">
        <f>'收入（汇总）'!G18-'收入（关联）'!F18</f>
        <v>16581.203657999999</v>
      </c>
      <c r="G18" s="268">
        <f>'收入（汇总）'!H18-'收入（关联）'!G18</f>
        <v>15409.238155999999</v>
      </c>
      <c r="H18" s="268">
        <f>'收入（汇总）'!I18-'收入（关联）'!H18</f>
        <v>16004.360412000002</v>
      </c>
      <c r="I18" s="268">
        <f>'收入（汇总）'!J18-'收入（关联）'!I18</f>
        <v>11775.361314000002</v>
      </c>
      <c r="J18" s="268">
        <f>'收入（汇总）'!K18-'收入（关联）'!J18</f>
        <v>18002.037410000001</v>
      </c>
      <c r="K18" s="268">
        <f>'收入（汇总）'!L18-'收入（关联）'!K18</f>
        <v>23743.368892999999</v>
      </c>
      <c r="L18" s="268">
        <f>'收入（汇总）'!M18-'收入（关联）'!L18</f>
        <v>18820.865016000003</v>
      </c>
      <c r="M18" s="268">
        <f>'收入（汇总）'!N18-'收入（关联）'!M18</f>
        <v>23585.068754000004</v>
      </c>
      <c r="N18" s="268">
        <f>'收入（汇总）'!O18-'收入（关联）'!N18</f>
        <v>29962.00173</v>
      </c>
      <c r="O18" s="268">
        <f>'收入（汇总）'!P18-'收入（关联）'!O18</f>
        <v>29256.794270999999</v>
      </c>
      <c r="P18" s="268">
        <f>'收入（汇总）'!Q18-'收入（关联）'!P18</f>
        <v>40370.164434000006</v>
      </c>
      <c r="Q18" s="268">
        <f>'收入（汇总）'!R18-'收入（关联）'!Q18</f>
        <v>19812.585277000002</v>
      </c>
      <c r="R18" s="268">
        <f>'收入（汇总）'!S18-'收入（关联）'!R18</f>
        <v>34299.629431000001</v>
      </c>
      <c r="S18" s="268">
        <f>'收入（汇总）'!T18-'收入（关联）'!S18</f>
        <v>41611.426601999992</v>
      </c>
      <c r="T18" s="268">
        <f>'收入（汇总）'!U18-'收入（关联）'!T18</f>
        <v>39256.690442999992</v>
      </c>
      <c r="U18" s="268">
        <f>'收入（汇总）'!V18-'收入（关联）'!U18</f>
        <v>35284.876830000001</v>
      </c>
      <c r="V18" s="268">
        <f>'收入（汇总）'!W18-'收入（关联）'!V18</f>
        <v>29614.095189999996</v>
      </c>
      <c r="W18" s="268">
        <f>'收入（汇总）'!X18-'收入（关联）'!W18</f>
        <v>40726.919947000002</v>
      </c>
      <c r="X18" s="268">
        <f>'收入（汇总）'!Y18-'收入（关联）'!X18</f>
        <v>36684.405326000007</v>
      </c>
      <c r="Y18" s="268">
        <f>'收入（汇总）'!Z18-'收入（关联）'!Y18</f>
        <v>21174.874980000001</v>
      </c>
      <c r="Z18" s="268">
        <f>'收入（汇总）'!AA18-'收入（关联）'!Z18</f>
        <v>30134.624286999999</v>
      </c>
      <c r="AA18" s="268">
        <f>'收入（汇总）'!AB18-'收入（关联）'!AA18</f>
        <v>38428.398182000004</v>
      </c>
      <c r="AB18" s="268">
        <f>'收入（汇总）'!AC18-'收入（关联）'!AB18</f>
        <v>35651.622258999996</v>
      </c>
      <c r="AC18" s="286">
        <f>'收入（汇总）'!AD18-'收入（关联）'!AC18</f>
        <v>33127.121064000006</v>
      </c>
      <c r="AD18" s="286">
        <f>'收入（汇总）'!AE18-'收入（关联）'!AD18</f>
        <v>42476.081071000008</v>
      </c>
      <c r="AE18" s="286">
        <f>'收入（汇总）'!AF18-'收入（关联）'!AE18</f>
        <v>52733.003852000002</v>
      </c>
      <c r="AF18" s="286">
        <f>'收入（汇总）'!AG18-'收入（关联）'!AF18</f>
        <v>29379.900671999996</v>
      </c>
      <c r="AG18" s="286">
        <f>'收入（汇总）'!AH18-'收入（关联）'!AG18</f>
        <v>44042.22914499999</v>
      </c>
      <c r="AH18" s="286">
        <f>'收入（汇总）'!AI18-'收入（关联）'!AH18</f>
        <v>36684.191109000007</v>
      </c>
      <c r="AI18" s="286">
        <f>'收入（汇总）'!AJ18-'收入（关联）'!AI18</f>
        <v>34334.165302000009</v>
      </c>
      <c r="AJ18" s="286">
        <f>'收入（汇总）'!AK18-'收入（关联）'!AJ18</f>
        <v>34584.788883999994</v>
      </c>
      <c r="AK18" s="286">
        <f>'收入（汇总）'!AL18-'收入（关联）'!AK18</f>
        <v>34059.035681999994</v>
      </c>
      <c r="AL18" s="286">
        <f>'收入（汇总）'!AM18-'收入（关联）'!AL18</f>
        <v>57751.880000000005</v>
      </c>
      <c r="AM18" s="286">
        <f>'收入（汇总）'!AN18-'收入（关联）'!AM18</f>
        <v>112325.92785499999</v>
      </c>
      <c r="AN18" s="286">
        <f>'收入（汇总）'!AO18-'收入（关联）'!AN18</f>
        <v>53831.245861999996</v>
      </c>
      <c r="AO18" s="286">
        <f>'收入（汇总）'!AP18-'收入（关联）'!AO18</f>
        <v>54726.999628000005</v>
      </c>
      <c r="AP18" s="286">
        <f>'收入（汇总）'!AQ18-'收入（关联）'!AP18</f>
        <v>46669.932242999996</v>
      </c>
      <c r="AQ18" s="286">
        <f>'收入（汇总）'!AR18-'收入（关联）'!AQ18</f>
        <v>71640.042604999995</v>
      </c>
      <c r="AR18" s="286">
        <f>'收入（汇总）'!AS18-'收入（关联）'!AR18</f>
        <v>83954.343651999996</v>
      </c>
      <c r="AS18" s="286">
        <f>'收入（汇总）'!AT18-'收入（关联）'!AS18</f>
        <v>105517.729731</v>
      </c>
      <c r="AT18" s="286">
        <f>'收入（汇总）'!AU18-'收入（关联）'!AT18</f>
        <v>41009.713164000001</v>
      </c>
      <c r="AU18" s="286">
        <f>'收入（汇总）'!AV18-'收入（关联）'!AU18</f>
        <v>51404.326488999999</v>
      </c>
      <c r="AV18" s="254">
        <f>'收入（汇总）'!AW18-'收入（关联）'!AV18</f>
        <v>0</v>
      </c>
      <c r="AW18" s="254">
        <f>'收入（汇总）'!AX18-'收入（关联）'!AW18</f>
        <v>0</v>
      </c>
      <c r="AX18" s="254">
        <f>'收入（汇总）'!AY18-'收入（关联）'!AX18</f>
        <v>0</v>
      </c>
      <c r="AY18" s="254">
        <f>'收入（汇总）'!AZ18-'收入（关联）'!AY18</f>
        <v>0</v>
      </c>
      <c r="BA18" s="275">
        <f t="shared" si="0"/>
        <v>508754.33337399998</v>
      </c>
    </row>
    <row r="19" spans="1:53" s="254" customFormat="1">
      <c r="A19" s="254" t="str">
        <f>'收入（汇总）'!B19</f>
        <v>香港公司</v>
      </c>
      <c r="B19" s="268">
        <f>'收入（汇总）'!C19-'收入（关联）'!B19</f>
        <v>108490.148299837</v>
      </c>
      <c r="C19" s="268">
        <f>'收入（汇总）'!D19-'收入（关联）'!C19</f>
        <v>8382.1040918598956</v>
      </c>
      <c r="D19" s="268">
        <f>'收入（汇总）'!E19-'收入（关联）'!D19</f>
        <v>-455.61237589700613</v>
      </c>
      <c r="E19" s="268">
        <f>'收入（汇总）'!F19-'收入（关联）'!E19</f>
        <v>9707.6009867143002</v>
      </c>
      <c r="F19" s="268">
        <f>'收入（汇总）'!G19-'收入（关联）'!F19</f>
        <v>6104.0195384276012</v>
      </c>
      <c r="G19" s="268">
        <f>'收入（汇总）'!H19-'收入（关联）'!G19</f>
        <v>3732.5601786616025</v>
      </c>
      <c r="H19" s="268">
        <f>'收入（汇总）'!I19-'收入（关联）'!H19</f>
        <v>9741.9912909559935</v>
      </c>
      <c r="I19" s="268">
        <f>'收入（汇总）'!J19-'收入（关联）'!I19</f>
        <v>4769.333720660492</v>
      </c>
      <c r="J19" s="268">
        <f>'收入（汇总）'!K19-'收入（关联）'!J19</f>
        <v>30781.3918470317</v>
      </c>
      <c r="K19" s="268">
        <f>'收入（汇总）'!L19-'收入（关联）'!K19</f>
        <v>8077.3879023508925</v>
      </c>
      <c r="L19" s="268">
        <f>'收入（汇总）'!M19-'收入（关联）'!L19</f>
        <v>5475.4886054278031</v>
      </c>
      <c r="M19" s="268">
        <f>'收入（汇总）'!N19-'收入（关联）'!M19</f>
        <v>6255.3859508376991</v>
      </c>
      <c r="N19" s="268">
        <f>'收入（汇总）'!O19-'收入（关联）'!N19</f>
        <v>3619.7689418174996</v>
      </c>
      <c r="O19" s="268">
        <f>'收入（汇总）'!P19-'收入（关联）'!O19</f>
        <v>6780.0711998309998</v>
      </c>
      <c r="P19" s="268">
        <f>'收入（汇总）'!Q19-'收入（关联）'!P19</f>
        <v>5467.8014181485923</v>
      </c>
      <c r="Q19" s="268">
        <f>'收入（汇总）'!R19-'收入（关联）'!Q19</f>
        <v>9134.5809558108012</v>
      </c>
      <c r="R19" s="268">
        <f>'收入（汇总）'!S19-'收入（关联）'!R19</f>
        <v>10113.118981165608</v>
      </c>
      <c r="S19" s="268">
        <f>'收入（汇总）'!T19-'收入（关联）'!S19</f>
        <v>17411.175960623295</v>
      </c>
      <c r="T19" s="268">
        <f>'收入（汇总）'!U19-'收入（关联）'!T19</f>
        <v>23533.341415031406</v>
      </c>
      <c r="U19" s="268">
        <f>'收入（汇总）'!V19-'收入（关联）'!U19</f>
        <v>22267.129361830695</v>
      </c>
      <c r="V19" s="268">
        <f>'收入（汇总）'!W19-'收入（关联）'!V19</f>
        <v>18765.088288879691</v>
      </c>
      <c r="W19" s="268">
        <f>'收入（汇总）'!X19-'收入（关联）'!W19</f>
        <v>8213.5540409886889</v>
      </c>
      <c r="X19" s="268">
        <f>'收入（汇总）'!Y19-'收入（关联）'!X19</f>
        <v>14128.971994236999</v>
      </c>
      <c r="Y19" s="268">
        <f>'收入（汇总）'!Z19-'收入（关联）'!Y19</f>
        <v>6591.5717089999816</v>
      </c>
      <c r="Z19" s="268">
        <f>'收入（汇总）'!AA19-'收入（关联）'!Z19</f>
        <v>1572.317406999995</v>
      </c>
      <c r="AA19" s="268">
        <f>'收入（汇总）'!AB19-'收入（关联）'!AA19</f>
        <v>16574.511710999999</v>
      </c>
      <c r="AB19" s="268">
        <f>'收入（汇总）'!AC19-'收入（关联）'!AB19</f>
        <v>551.23280300000624</v>
      </c>
      <c r="AC19" s="286">
        <f>'收入（汇总）'!AD19-'收入（关联）'!AC19</f>
        <v>14331.361186000009</v>
      </c>
      <c r="AD19" s="286">
        <f>'收入（汇总）'!AE19-'收入（关联）'!AD19</f>
        <v>18465.85959</v>
      </c>
      <c r="AE19" s="286">
        <f>'收入（汇总）'!AF19-'收入（关联）'!AE19</f>
        <v>5056.6207429999995</v>
      </c>
      <c r="AF19" s="286">
        <f>'收入（汇总）'!AG19-'收入（关联）'!AF19</f>
        <v>2475.3441530000055</v>
      </c>
      <c r="AG19" s="286">
        <f>'收入（汇总）'!AH19-'收入（关联）'!AG19</f>
        <v>21585.245066000003</v>
      </c>
      <c r="AH19" s="286">
        <f>'收入（汇总）'!AI19-'收入（关联）'!AH19</f>
        <v>12752.715433000005</v>
      </c>
      <c r="AI19" s="286">
        <f>'收入（汇总）'!AJ19-'收入（关联）'!AI19</f>
        <v>6867.7004489999963</v>
      </c>
      <c r="AJ19" s="286">
        <f>'收入（汇总）'!AK19-'收入（关联）'!AJ19</f>
        <v>5804.5768059999973</v>
      </c>
      <c r="AK19" s="286">
        <f>'收入（汇总）'!AL19-'收入（关联）'!AK19</f>
        <v>22176.828820999988</v>
      </c>
      <c r="AL19" s="286">
        <f>'收入（汇总）'!AM19-'收入（关联）'!AL19</f>
        <v>20091.576686</v>
      </c>
      <c r="AM19" s="286">
        <f>'收入（汇总）'!AN19-'收入（关联）'!AM19</f>
        <v>46833.249572000001</v>
      </c>
      <c r="AN19" s="286">
        <f>'收入（汇总）'!AO19-'收入（关联）'!AN19</f>
        <v>37517.004040999993</v>
      </c>
      <c r="AO19" s="286">
        <f>'收入（汇总）'!AP19-'收入（关联）'!AO19</f>
        <v>7817.2886810000055</v>
      </c>
      <c r="AP19" s="286">
        <f>'收入（汇总）'!AQ19-'收入（关联）'!AP19</f>
        <v>16914.855672000005</v>
      </c>
      <c r="AQ19" s="286">
        <f>'收入（汇总）'!AR19-'收入（关联）'!AQ19</f>
        <v>8523.9433189999982</v>
      </c>
      <c r="AR19" s="286">
        <f>'收入（汇总）'!AS19-'收入（关联）'!AR19</f>
        <v>12407.105687000003</v>
      </c>
      <c r="AS19" s="286">
        <f>'收入（汇总）'!AT19-'收入（关联）'!AS19</f>
        <v>17999.022316000017</v>
      </c>
      <c r="AT19" s="286">
        <f>'收入（汇总）'!AU19-'收入（关联）'!AT19</f>
        <v>18711.689705000026</v>
      </c>
      <c r="AU19" s="286">
        <f>'收入（汇总）'!AV19-'收入（关联）'!AU19</f>
        <v>4071.4265950000845</v>
      </c>
      <c r="AV19" s="254">
        <f>'收入（汇总）'!AW19-'收入（关联）'!AV19</f>
        <v>0</v>
      </c>
      <c r="AW19" s="254">
        <f>'收入（汇总）'!AX19-'收入（关联）'!AW19</f>
        <v>0</v>
      </c>
      <c r="AX19" s="254">
        <f>'收入（汇总）'!AY19-'收入（关联）'!AX19</f>
        <v>0</v>
      </c>
      <c r="AY19" s="254">
        <f>'收入（汇总）'!AZ19-'收入（关联）'!AY19</f>
        <v>0</v>
      </c>
      <c r="BA19" s="275">
        <f t="shared" si="0"/>
        <v>123962.33601600013</v>
      </c>
    </row>
    <row r="20" spans="1:53" s="254" customFormat="1">
      <c r="A20" s="254" t="str">
        <f>'收入（汇总）'!B20</f>
        <v>融资租赁</v>
      </c>
      <c r="B20" s="268">
        <f>'收入（汇总）'!C20-'收入（关联）'!B20</f>
        <v>3.9999999999963599E-2</v>
      </c>
      <c r="C20" s="268">
        <f>'收入（汇总）'!D20-'收入（关联）'!C20</f>
        <v>0</v>
      </c>
      <c r="D20" s="268">
        <f>'收入（汇总）'!E20-'收入（关联）'!D20</f>
        <v>1154.6099999999999</v>
      </c>
      <c r="E20" s="268">
        <f>'收入（汇总）'!F20-'收入（关联）'!E20</f>
        <v>0</v>
      </c>
      <c r="F20" s="268">
        <f>'收入（汇总）'!G20-'收入（关联）'!F20</f>
        <v>0</v>
      </c>
      <c r="G20" s="268">
        <f>'收入（汇总）'!H20-'收入（关联）'!G20</f>
        <v>0</v>
      </c>
      <c r="H20" s="268">
        <f>'收入（汇总）'!I20-'收入（关联）'!H20</f>
        <v>0</v>
      </c>
      <c r="I20" s="268">
        <f>'收入（汇总）'!J20-'收入（关联）'!I20</f>
        <v>0</v>
      </c>
      <c r="J20" s="268">
        <f>'收入（汇总）'!K20-'收入（关联）'!J20</f>
        <v>0</v>
      </c>
      <c r="K20" s="268">
        <f>'收入（汇总）'!L20-'收入（关联）'!K20</f>
        <v>0</v>
      </c>
      <c r="L20" s="268">
        <f>'收入（汇总）'!M20-'收入（关联）'!L20</f>
        <v>0</v>
      </c>
      <c r="M20" s="268">
        <f>'收入（汇总）'!N20-'收入（关联）'!M20</f>
        <v>0</v>
      </c>
      <c r="N20" s="268">
        <f>'收入（汇总）'!O20-'收入（关联）'!N20</f>
        <v>0</v>
      </c>
      <c r="O20" s="268">
        <f>'收入（汇总）'!P20-'收入（关联）'!O20</f>
        <v>0</v>
      </c>
      <c r="P20" s="268">
        <f>'收入（汇总）'!Q20-'收入（关联）'!P20</f>
        <v>19.125991999999997</v>
      </c>
      <c r="Q20" s="268">
        <f>'收入（汇总）'!R20-'收入（关联）'!Q20</f>
        <v>17.291508000000022</v>
      </c>
      <c r="R20" s="268">
        <f>'收入（汇总）'!S20-'收入（关联）'!R20</f>
        <v>144.19939499999998</v>
      </c>
      <c r="S20" s="268">
        <f>'收入（汇总）'!T20-'收入（关联）'!S20</f>
        <v>131.60741100000007</v>
      </c>
      <c r="T20" s="268">
        <f>'收入（汇总）'!U20-'收入（关联）'!T20</f>
        <v>149.32551000000001</v>
      </c>
      <c r="U20" s="268">
        <f>'收入（汇总）'!V20-'收入（关联）'!U20</f>
        <v>2.9229880000000321</v>
      </c>
      <c r="V20" s="268">
        <f>'收入（汇总）'!W20-'收入（关联）'!V20</f>
        <v>188.055669015587</v>
      </c>
      <c r="W20" s="268">
        <f>'收入（汇总）'!X20-'收入（关联）'!W20</f>
        <v>184.45337601558697</v>
      </c>
      <c r="X20" s="268">
        <f>'收入（汇总）'!Y20-'收入（关联）'!X20</f>
        <v>182.00808800000004</v>
      </c>
      <c r="Y20" s="268">
        <f>'收入（汇总）'!Z20-'收入（关联）'!Y20</f>
        <v>198.96026517830489</v>
      </c>
      <c r="Z20" s="268">
        <f>'收入（汇总）'!AA20-'收入（关联）'!Z20</f>
        <v>205.66605700000002</v>
      </c>
      <c r="AA20" s="268">
        <f>'收入（汇总）'!AB20-'收入（关联）'!AA20</f>
        <v>214.1719240000001</v>
      </c>
      <c r="AB20" s="268">
        <f>'收入（汇总）'!AC20-'收入（关联）'!AB20</f>
        <v>228.12245900000005</v>
      </c>
      <c r="AC20" s="286">
        <f>'收入（汇总）'!AD20-'收入（关联）'!AC20</f>
        <v>224.01574602639403</v>
      </c>
      <c r="AD20" s="286">
        <f>'收入（汇总）'!AE20-'收入（关联）'!AD20</f>
        <v>309.02461023938304</v>
      </c>
      <c r="AE20" s="286">
        <f>'收入（汇总）'!AF20-'收入（关联）'!AE20</f>
        <v>302.19531000000006</v>
      </c>
      <c r="AF20" s="286">
        <f>'收入（汇总）'!AG20-'收入（关联）'!AF20</f>
        <v>339.60659080226503</v>
      </c>
      <c r="AG20" s="286">
        <f>'收入（汇总）'!AH20-'收入（关联）'!AG20</f>
        <v>332.74139056459001</v>
      </c>
      <c r="AH20" s="286">
        <f>'收入（汇总）'!AI20-'收入（关联）'!AH20</f>
        <v>340.96749055438329</v>
      </c>
      <c r="AI20" s="286">
        <f>'收入（汇总）'!AJ20-'收入（关联）'!AI20</f>
        <v>337.72342701956381</v>
      </c>
      <c r="AJ20" s="286">
        <f>'收入（汇总）'!AK20-'收入（关联）'!AJ20</f>
        <v>346.98832396751391</v>
      </c>
      <c r="AK20" s="286">
        <f>'收入（汇总）'!AL20-'收入（关联）'!AK20</f>
        <v>367.76612710755705</v>
      </c>
      <c r="AL20" s="286">
        <f>'收入（汇总）'!AM20-'收入（关联）'!AL20</f>
        <v>386.66293619281942</v>
      </c>
      <c r="AM20" s="286">
        <f>'收入（汇总）'!AN20-'收入（关联）'!AM20</f>
        <v>330.44643553284868</v>
      </c>
      <c r="AN20" s="286">
        <f>'收入（汇总）'!AO20-'收入（关联）'!AN20</f>
        <v>311.28882262865068</v>
      </c>
      <c r="AO20" s="286">
        <f>'收入（汇总）'!AP20-'收入（关联）'!AO20</f>
        <v>355.224919</v>
      </c>
      <c r="AP20" s="286">
        <f>'收入（汇总）'!AQ20-'收入（关联）'!AP20</f>
        <v>410.86862699999995</v>
      </c>
      <c r="AQ20" s="286">
        <f>'收入（汇总）'!AR20-'收入（关联）'!AQ20</f>
        <v>359.08398900000009</v>
      </c>
      <c r="AR20" s="286">
        <f>'收入（汇总）'!AS20-'收入（关联）'!AR20</f>
        <v>370.50788800000009</v>
      </c>
      <c r="AS20" s="286">
        <f>'收入（汇总）'!AT20-'收入（关联）'!AS20</f>
        <v>349.55617999999993</v>
      </c>
      <c r="AT20" s="286">
        <f>'收入（汇总）'!AU20-'收入（关联）'!AT20</f>
        <v>360.51145700000006</v>
      </c>
      <c r="AU20" s="286">
        <f>'收入（汇总）'!AV20-'收入（关联）'!AU20</f>
        <v>371.26979199999994</v>
      </c>
      <c r="AV20" s="254">
        <f>'收入（汇总）'!AW20-'收入（关联）'!AV20</f>
        <v>0</v>
      </c>
      <c r="AW20" s="254">
        <f>'收入（汇总）'!AX20-'收入（关联）'!AW20</f>
        <v>0</v>
      </c>
      <c r="AX20" s="254">
        <f>'收入（汇总）'!AY20-'收入（关联）'!AX20</f>
        <v>0</v>
      </c>
      <c r="AY20" s="254">
        <f>'收入（汇总）'!AZ20-'收入（关联）'!AY20</f>
        <v>0</v>
      </c>
      <c r="BA20" s="275">
        <f t="shared" si="0"/>
        <v>2888.311674628651</v>
      </c>
    </row>
    <row r="21" spans="1:53" s="255" customFormat="1">
      <c r="A21" s="255" t="str">
        <f>'收入（汇总）'!B21</f>
        <v>商业保理</v>
      </c>
      <c r="B21" s="269">
        <f>'收入（汇总）'!C21-'收入（关联）'!B21</f>
        <v>-0.44999999999998902</v>
      </c>
      <c r="C21" s="269">
        <f>'收入（汇总）'!D21-'收入（关联）'!C21</f>
        <v>0</v>
      </c>
      <c r="D21" s="269">
        <f>'收入（汇总）'!E21-'收入（关联）'!D21</f>
        <v>170.72</v>
      </c>
      <c r="E21" s="269">
        <f>'收入（汇总）'!F21-'收入（关联）'!E21</f>
        <v>0</v>
      </c>
      <c r="F21" s="269">
        <f>'收入（汇总）'!G21-'收入（关联）'!F21</f>
        <v>0</v>
      </c>
      <c r="G21" s="269">
        <f>'收入（汇总）'!H21-'收入（关联）'!G21</f>
        <v>0</v>
      </c>
      <c r="H21" s="269">
        <f>'收入（汇总）'!I21-'收入（关联）'!H21</f>
        <v>0</v>
      </c>
      <c r="I21" s="269">
        <f>'收入（汇总）'!J21-'收入（关联）'!I21</f>
        <v>0</v>
      </c>
      <c r="J21" s="269">
        <f>'收入（汇总）'!K21-'收入（关联）'!J21</f>
        <v>0</v>
      </c>
      <c r="K21" s="269">
        <f>'收入（汇总）'!L21-'收入（关联）'!K21</f>
        <v>0</v>
      </c>
      <c r="L21" s="269">
        <f>'收入（汇总）'!M21-'收入（关联）'!L21</f>
        <v>0</v>
      </c>
      <c r="M21" s="269">
        <f>'收入（汇总）'!N21-'收入（关联）'!M21</f>
        <v>0</v>
      </c>
      <c r="N21" s="269">
        <f>'收入（汇总）'!O21-'收入（关联）'!N21</f>
        <v>0</v>
      </c>
      <c r="O21" s="269">
        <f>'收入（汇总）'!P21-'收入（关联）'!O21</f>
        <v>0</v>
      </c>
      <c r="P21" s="269">
        <f>'收入（汇总）'!Q21-'收入（关联）'!P21</f>
        <v>0</v>
      </c>
      <c r="Q21" s="269">
        <f>'收入（汇总）'!R21-'收入（关联）'!Q21</f>
        <v>0</v>
      </c>
      <c r="R21" s="269">
        <f>'收入（汇总）'!S21-'收入（关联）'!R21</f>
        <v>0</v>
      </c>
      <c r="S21" s="269">
        <f>'收入（汇总）'!T21-'收入（关联）'!S21</f>
        <v>0</v>
      </c>
      <c r="T21" s="269">
        <f>'收入（汇总）'!U21-'收入（关联）'!T21</f>
        <v>0</v>
      </c>
      <c r="U21" s="269">
        <f>'收入（汇总）'!V21-'收入（关联）'!U21</f>
        <v>0</v>
      </c>
      <c r="V21" s="269">
        <f>'收入（汇总）'!W21-'收入（关联）'!V21</f>
        <v>0</v>
      </c>
      <c r="W21" s="269">
        <f>'收入（汇总）'!X21-'收入（关联）'!W21</f>
        <v>0</v>
      </c>
      <c r="X21" s="269">
        <f>'收入（汇总）'!Y21-'收入（关联）'!X21</f>
        <v>1.4528310000000033</v>
      </c>
      <c r="Y21" s="269">
        <f>'收入（汇总）'!Z21-'收入（关联）'!Y21</f>
        <v>0</v>
      </c>
      <c r="Z21" s="269">
        <f>'收入（汇总）'!AA21-'收入（关联）'!Z21</f>
        <v>36.650940999999989</v>
      </c>
      <c r="AA21" s="269">
        <f>'收入（汇总）'!AB21-'收入（关联）'!AA21</f>
        <v>0.44025200000001519</v>
      </c>
      <c r="AB21" s="269">
        <f>'收入（汇总）'!AC21-'收入（关联）'!AB21</f>
        <v>3.0411420000000078</v>
      </c>
      <c r="AC21" s="287">
        <f>'收入（汇总）'!AD21-'收入（关联）'!AC21</f>
        <v>4.5977469056599887</v>
      </c>
      <c r="AD21" s="287">
        <f>'收入（汇总）'!AE21-'收入（关联）'!AD21</f>
        <v>4.9148340000000132</v>
      </c>
      <c r="AE21" s="287">
        <f>'收入（汇总）'!AF21-'收入（关联）'!AE21</f>
        <v>5.0516230000000064</v>
      </c>
      <c r="AF21" s="287">
        <f>'收入（汇总）'!AG21-'收入（关联）'!AF21</f>
        <v>4.5167710000000056</v>
      </c>
      <c r="AG21" s="287">
        <f>'收入（汇总）'!AH21-'收入（关联）'!AG21</f>
        <v>5.2337780000000294</v>
      </c>
      <c r="AH21" s="287">
        <f>'收入（汇总）'!AI21-'收入（关联）'!AH21</f>
        <v>9.0533059999999637</v>
      </c>
      <c r="AI21" s="287">
        <f>'收入（汇总）'!AJ21-'收入（关联）'!AI21</f>
        <v>3.5013099999999895</v>
      </c>
      <c r="AJ21" s="287">
        <f>'收入（汇总）'!AK21-'收入（关联）'!AJ21</f>
        <v>1.3411959999999965</v>
      </c>
      <c r="AK21" s="287">
        <f>'收入（汇总）'!AL21-'收入（关联）'!AK21</f>
        <v>1.9494240000000218</v>
      </c>
      <c r="AL21" s="287">
        <f>'收入（汇总）'!AM21-'收入（关联）'!AL21</f>
        <v>0.93553549956760662</v>
      </c>
      <c r="AM21" s="287">
        <f>'收入（汇总）'!AN21-'收入（关联）'!AM21</f>
        <v>0.9667190000000403</v>
      </c>
      <c r="AN21" s="287">
        <f>'收入（汇总）'!AO21-'收入（关联）'!AN21</f>
        <v>7.240304000000009</v>
      </c>
      <c r="AO21" s="287">
        <f>'收入（汇总）'!AP21-'收入（关联）'!AO21</f>
        <v>33.892033999999995</v>
      </c>
      <c r="AP21" s="287">
        <f>'收入（汇总）'!AQ21-'收入（关联）'!AP21</f>
        <v>145.89918500000002</v>
      </c>
      <c r="AQ21" s="287">
        <f>'收入（汇总）'!AR21-'收入（关联）'!AQ21</f>
        <v>163.766187</v>
      </c>
      <c r="AR21" s="287">
        <f>'收入（汇总）'!AS21-'收入（关联）'!AR21</f>
        <v>173.617267</v>
      </c>
      <c r="AS21" s="287">
        <f>'收入（汇总）'!AT21-'收入（关联）'!AS21</f>
        <v>189.84115600000001</v>
      </c>
      <c r="AT21" s="287">
        <f>'收入（汇总）'!AU21-'收入（关联）'!AT21</f>
        <v>173.77653199999997</v>
      </c>
      <c r="AU21" s="287">
        <f>'收入（汇总）'!AV21-'收入（关联）'!AU21</f>
        <v>74.737945999999994</v>
      </c>
      <c r="AV21" s="255">
        <f>'收入（汇总）'!AW21-'收入（关联）'!AV21</f>
        <v>0</v>
      </c>
      <c r="AW21" s="255">
        <f>'收入（汇总）'!AX21-'收入（关联）'!AW21</f>
        <v>0</v>
      </c>
      <c r="AX21" s="255">
        <f>'收入（汇总）'!AY21-'收入（关联）'!AX21</f>
        <v>0</v>
      </c>
      <c r="AY21" s="255">
        <f>'收入（汇总）'!AZ21-'收入（关联）'!AY21</f>
        <v>0</v>
      </c>
      <c r="BA21" s="275">
        <f t="shared" si="0"/>
        <v>962.77061100000003</v>
      </c>
    </row>
    <row r="22" spans="1:53" s="256" customFormat="1">
      <c r="A22" s="256" t="str">
        <f>'收入（汇总）'!B22</f>
        <v>世茂商务中心</v>
      </c>
      <c r="B22" s="270">
        <f>'收入（汇总）'!C22-'收入（关联）'!B22</f>
        <v>5214.4385199999997</v>
      </c>
      <c r="C22" s="270">
        <f>'收入（汇总）'!D22-'收入（关联）'!C22</f>
        <v>457.375697</v>
      </c>
      <c r="D22" s="270">
        <f>'收入（汇总）'!E22-'收入（关联）'!D22</f>
        <v>506.54785299999998</v>
      </c>
      <c r="E22" s="270">
        <f>'收入（汇总）'!F22-'收入（关联）'!E22</f>
        <v>242.47772800000001</v>
      </c>
      <c r="F22" s="270">
        <f>'收入（汇总）'!G22-'收入（关联）'!F22</f>
        <v>447.78797299999997</v>
      </c>
      <c r="G22" s="270">
        <f>'收入（汇总）'!H22-'收入（关联）'!G22</f>
        <v>429.428224</v>
      </c>
      <c r="H22" s="270">
        <f>'收入（汇总）'!I22-'收入（关联）'!H22</f>
        <v>637.99183999999991</v>
      </c>
      <c r="I22" s="270">
        <f>'收入（汇总）'!J22-'收入（关联）'!I22</f>
        <v>424.64746699999995</v>
      </c>
      <c r="J22" s="270">
        <f>'收入（汇总）'!K22-'收入（关联）'!J22</f>
        <v>86.888632999999913</v>
      </c>
      <c r="K22" s="270">
        <f>'收入（汇总）'!L22-'收入（关联）'!K22</f>
        <v>380.18441799999999</v>
      </c>
      <c r="L22" s="270">
        <f>'收入（汇总）'!M22-'收入（关联）'!L22</f>
        <v>364.93158499999993</v>
      </c>
      <c r="M22" s="270">
        <f>'收入（汇总）'!N22-'收入（关联）'!M22</f>
        <v>352.21538400000003</v>
      </c>
      <c r="N22" s="270">
        <f>'收入（汇总）'!O22-'收入（关联）'!N22</f>
        <v>191.89515400000005</v>
      </c>
      <c r="O22" s="270">
        <f>'收入（汇总）'!P22-'收入（关联）'!O22</f>
        <v>142.11542899999995</v>
      </c>
      <c r="P22" s="270">
        <f>'收入（汇总）'!Q22-'收入（关联）'!P22</f>
        <v>227.16157290570595</v>
      </c>
      <c r="Q22" s="270">
        <f>'收入（汇总）'!R22-'收入（关联）'!Q22</f>
        <v>263.14138899999995</v>
      </c>
      <c r="R22" s="270">
        <f>'收入（汇总）'!S22-'收入（关联）'!R22</f>
        <v>1143.558321962264</v>
      </c>
      <c r="S22" s="270">
        <f>'收入（汇总）'!T22-'收入（关联）'!S22</f>
        <v>678.09171300000003</v>
      </c>
      <c r="T22" s="270">
        <f>'收入（汇总）'!U22-'收入（关联）'!T22</f>
        <v>519.92240000000004</v>
      </c>
      <c r="U22" s="270">
        <f>'收入（汇总）'!V22-'收入（关联）'!U22</f>
        <v>532.20822900000007</v>
      </c>
      <c r="V22" s="270">
        <f>'收入（汇总）'!W22-'收入（关联）'!V22</f>
        <v>586.97065900000007</v>
      </c>
      <c r="W22" s="270">
        <f>'收入（汇总）'!X22-'收入（关联）'!W22</f>
        <v>676.81603999999993</v>
      </c>
      <c r="X22" s="270">
        <f>'收入（汇总）'!Y22-'收入（关联）'!X22</f>
        <v>730.64822200000003</v>
      </c>
      <c r="Y22" s="270">
        <f>'收入（汇总）'!Z22-'收入（关联）'!Y22</f>
        <v>747.2689620000001</v>
      </c>
      <c r="Z22" s="270">
        <f>'收入（汇总）'!AA22-'收入（关联）'!Z22</f>
        <v>654.08088199999997</v>
      </c>
      <c r="AA22" s="270">
        <f>'收入（汇总）'!AB22-'收入（关联）'!AA22</f>
        <v>568.44564400000002</v>
      </c>
      <c r="AB22" s="270">
        <f>'收入（汇总）'!AC22-'收入（关联）'!AB22</f>
        <v>771.91760900000008</v>
      </c>
      <c r="AC22" s="288">
        <f>'收入（汇总）'!AD22-'收入（关联）'!AC22</f>
        <v>79.253941999999995</v>
      </c>
      <c r="AD22" s="288">
        <f>'收入（汇总）'!AE22-'收入（关联）'!AD22</f>
        <v>318.722171</v>
      </c>
      <c r="AE22" s="288">
        <f>'收入（汇总）'!AF22-'收入（关联）'!AE22</f>
        <v>420.02370000000008</v>
      </c>
      <c r="AF22" s="288">
        <f>'收入（汇总）'!AG22-'收入（关联）'!AF22</f>
        <v>426.63595499999997</v>
      </c>
      <c r="AG22" s="288">
        <f>'收入（汇总）'!AH22-'收入（关联）'!AG22</f>
        <v>416.79550400000005</v>
      </c>
      <c r="AH22" s="288">
        <f>'收入（汇总）'!AI22-'收入（关联）'!AH22</f>
        <v>528.00225300000011</v>
      </c>
      <c r="AI22" s="288">
        <f>'收入（汇总）'!AJ22-'收入（关联）'!AI22</f>
        <v>812.78315399999997</v>
      </c>
      <c r="AJ22" s="288">
        <f>'收入（汇总）'!AK22-'收入（关联）'!AJ22</f>
        <v>709.38679000000002</v>
      </c>
      <c r="AK22" s="288">
        <f>'收入（汇总）'!AL22-'收入（关联）'!AK22</f>
        <v>815.43525999999997</v>
      </c>
      <c r="AL22" s="288">
        <f>'收入（汇总）'!AM22-'收入（关联）'!AL22</f>
        <v>690.03756199999998</v>
      </c>
      <c r="AM22" s="288">
        <f>'收入（汇总）'!AN22-'收入（关联）'!AM22</f>
        <v>647.69338400000004</v>
      </c>
      <c r="AN22" s="288">
        <f>'收入（汇总）'!AO22-'收入（关联）'!AN22</f>
        <v>736.16315799999995</v>
      </c>
      <c r="AO22" s="288">
        <f>'收入（汇总）'!AP22-'收入（关联）'!AO22</f>
        <v>640.86413900000002</v>
      </c>
      <c r="AP22" s="288">
        <f>'收入（汇总）'!AQ22-'收入（关联）'!AP22</f>
        <v>777.28301999999996</v>
      </c>
      <c r="AQ22" s="288">
        <f>'收入（汇总）'!AR22-'收入（关联）'!AQ22</f>
        <v>829.29647699999998</v>
      </c>
      <c r="AR22" s="288">
        <f>'收入（汇总）'!AS22-'收入（关联）'!AR22</f>
        <v>1003.174629</v>
      </c>
      <c r="AS22" s="288">
        <f>'收入（汇总）'!AT22-'收入（关联）'!AS22</f>
        <v>918.56987199999992</v>
      </c>
      <c r="AT22" s="288">
        <f>'收入（汇总）'!AU22-'收入（关联）'!AT22</f>
        <v>871.14399600000002</v>
      </c>
      <c r="AU22" s="288">
        <f>'收入（汇总）'!AV22-'收入（关联）'!AU22</f>
        <v>702.39828</v>
      </c>
      <c r="AV22" s="256">
        <f>'收入（汇总）'!AW22-'收入（关联）'!AV22</f>
        <v>0</v>
      </c>
      <c r="AW22" s="256">
        <f>'收入（汇总）'!AX22-'收入（关联）'!AW22</f>
        <v>0</v>
      </c>
      <c r="AX22" s="256">
        <f>'收入（汇总）'!AY22-'收入（关联）'!AX22</f>
        <v>0</v>
      </c>
      <c r="AY22" s="256">
        <f>'收入（汇总）'!AZ22-'收入（关联）'!AY22</f>
        <v>0</v>
      </c>
      <c r="BA22" s="275">
        <f t="shared" si="0"/>
        <v>6478.8935709999996</v>
      </c>
    </row>
    <row r="23" spans="1:53" s="254" customFormat="1">
      <c r="A23" s="254" t="str">
        <f>'收入（汇总）'!B23</f>
        <v>财务公司</v>
      </c>
      <c r="B23" s="268">
        <f>'收入（汇总）'!C23-'收入（关联）'!B23</f>
        <v>16303.733122244799</v>
      </c>
      <c r="C23" s="268">
        <f>'收入（汇总）'!D23-'收入（关联）'!C23</f>
        <v>2063.9020380000002</v>
      </c>
      <c r="D23" s="268">
        <f>'收入（汇总）'!E23-'收入（关联）'!D23</f>
        <v>1525.8376609999998</v>
      </c>
      <c r="E23" s="268">
        <f>'收入（汇总）'!F23-'收入（关联）'!E23</f>
        <v>1927.5457759999999</v>
      </c>
      <c r="F23" s="268">
        <f>'收入（汇总）'!G23-'收入（关联）'!F23</f>
        <v>1929.9997210000001</v>
      </c>
      <c r="G23" s="268">
        <f>'收入（汇总）'!H23-'收入（关联）'!G23</f>
        <v>1533.70299</v>
      </c>
      <c r="H23" s="268">
        <f>'收入（汇总）'!I23-'收入（关联）'!H23</f>
        <v>1598.6667930000001</v>
      </c>
      <c r="I23" s="268">
        <f>'收入（汇总）'!J23-'收入（关联）'!I23</f>
        <v>-406.78592900000012</v>
      </c>
      <c r="J23" s="268">
        <f>'收入（汇总）'!K23-'收入（关联）'!J23</f>
        <v>6469.9680779999999</v>
      </c>
      <c r="K23" s="268">
        <f>'收入（汇总）'!L23-'收入（关联）'!K23</f>
        <v>2030.7566990000003</v>
      </c>
      <c r="L23" s="268">
        <f>'收入（汇总）'!M23-'收入（关联）'!L23</f>
        <v>3041.4118129999997</v>
      </c>
      <c r="M23" s="268">
        <f>'收入（汇总）'!N23-'收入（关联）'!M23</f>
        <v>2651.9568100000001</v>
      </c>
      <c r="N23" s="268">
        <f>'收入（汇总）'!O23-'收入（关联）'!N23</f>
        <v>2444.2965020000001</v>
      </c>
      <c r="O23" s="268">
        <f>'收入（汇总）'!P23-'收入（关联）'!O23</f>
        <v>2275.4990541111101</v>
      </c>
      <c r="P23" s="268">
        <f>'收入（汇总）'!Q23-'收入（关联）'!P23</f>
        <v>2008.4281040000001</v>
      </c>
      <c r="Q23" s="268">
        <f>'收入（汇总）'!R23-'收入（关联）'!Q23</f>
        <v>2472.577812</v>
      </c>
      <c r="R23" s="268">
        <f>'收入（汇总）'!S23-'收入（关联）'!R23</f>
        <v>2265.6866519999999</v>
      </c>
      <c r="S23" s="268">
        <f>'收入（汇总）'!T23-'收入（关联）'!S23</f>
        <v>2458.2608829999999</v>
      </c>
      <c r="T23" s="268">
        <f>'收入（汇总）'!U23-'收入（关联）'!T23</f>
        <v>2032.1057741917809</v>
      </c>
      <c r="U23" s="268">
        <f>'收入（汇总）'!V23-'收入（关联）'!U23</f>
        <v>1980.5721020000001</v>
      </c>
      <c r="V23" s="268">
        <f>'收入（汇总）'!W23-'收入（关联）'!V23</f>
        <v>2396.0463566666672</v>
      </c>
      <c r="W23" s="268">
        <f>'收入（汇总）'!X23-'收入（关联）'!W23</f>
        <v>2713.2327699999996</v>
      </c>
      <c r="X23" s="268">
        <f>'收入（汇总）'!Y23-'收入（关联）'!X23</f>
        <v>1864.609888</v>
      </c>
      <c r="Y23" s="268">
        <f>'收入（汇总）'!Z23-'收入（关联）'!Y23</f>
        <v>1927.3922779999998</v>
      </c>
      <c r="Z23" s="268">
        <f>'收入（汇总）'!AA23-'收入（关联）'!Z23</f>
        <v>1994.1849990000001</v>
      </c>
      <c r="AA23" s="268">
        <f>'收入（汇总）'!AB23-'收入（关联）'!AA23</f>
        <v>2712.5608829999996</v>
      </c>
      <c r="AB23" s="268">
        <f>'收入（汇总）'!AC23-'收入（关联）'!AB23</f>
        <v>2566.6721019999995</v>
      </c>
      <c r="AC23" s="286">
        <f>'收入（汇总）'!AD23-'收入（关联）'!AC23</f>
        <v>2403.9775549999999</v>
      </c>
      <c r="AD23" s="286">
        <f>'收入（汇总）'!AE23-'收入（关联）'!AD23</f>
        <v>2507.2371840000001</v>
      </c>
      <c r="AE23" s="286">
        <f>'收入（汇总）'!AF23-'收入（关联）'!AE23</f>
        <v>3354.6382889999995</v>
      </c>
      <c r="AF23" s="286">
        <f>'收入（汇总）'!AG23-'收入（关联）'!AF23</f>
        <v>4033.0722909999995</v>
      </c>
      <c r="AG23" s="286">
        <f>'收入（汇总）'!AH23-'收入（关联）'!AG23</f>
        <v>3477.0635679999996</v>
      </c>
      <c r="AH23" s="286">
        <f>'收入（汇总）'!AI23-'收入（关联）'!AH23</f>
        <v>2996.8431339999997</v>
      </c>
      <c r="AI23" s="286">
        <f>'收入（汇总）'!AJ23-'收入（关联）'!AI23</f>
        <v>3485.2314690000003</v>
      </c>
      <c r="AJ23" s="286">
        <f>'收入（汇总）'!AK23-'收入（关联）'!AJ23</f>
        <v>484.79763100000037</v>
      </c>
      <c r="AK23" s="286">
        <f>'收入（汇总）'!AL23-'收入（关联）'!AK23</f>
        <v>3573.7855979999995</v>
      </c>
      <c r="AL23" s="286">
        <f>'收入（汇总）'!AM23-'收入（关联）'!AL23</f>
        <v>3347.6584899999998</v>
      </c>
      <c r="AM23" s="286">
        <f>'收入（汇总）'!AN23-'收入（关联）'!AM23</f>
        <v>2625.3768010000003</v>
      </c>
      <c r="AN23" s="286">
        <f>'收入（汇总）'!AO23-'收入（关联）'!AN23</f>
        <v>2244.5793589999998</v>
      </c>
      <c r="AO23" s="286">
        <f>'收入（汇总）'!AP23-'收入（关联）'!AO23</f>
        <v>3503.0351469999996</v>
      </c>
      <c r="AP23" s="286">
        <f>'收入（汇总）'!AQ23-'收入（关联）'!AP23</f>
        <v>5837.463874</v>
      </c>
      <c r="AQ23" s="286">
        <f>'收入（汇总）'!AR23-'收入（关联）'!AQ23</f>
        <v>5264.7351490000001</v>
      </c>
      <c r="AR23" s="286">
        <f>'收入（汇总）'!AS23-'收入（关联）'!AR23</f>
        <v>4533.3951530000004</v>
      </c>
      <c r="AS23" s="286">
        <f>'收入（汇总）'!AT23-'收入（关联）'!AS23</f>
        <v>4335.7895820000003</v>
      </c>
      <c r="AT23" s="286">
        <f>'收入（汇总）'!AU23-'收入（关联）'!AT23</f>
        <v>4640.3493109999999</v>
      </c>
      <c r="AU23" s="286">
        <f>'收入（汇总）'!AV23-'收入（关联）'!AU23</f>
        <v>4427.0135479999999</v>
      </c>
      <c r="AV23" s="254">
        <f>'收入（汇总）'!AW23-'收入（关联）'!AV23</f>
        <v>0</v>
      </c>
      <c r="AW23" s="254">
        <f>'收入（汇总）'!AX23-'收入（关联）'!AW23</f>
        <v>0</v>
      </c>
      <c r="AX23" s="254">
        <f>'收入（汇总）'!AY23-'收入（关联）'!AX23</f>
        <v>0</v>
      </c>
      <c r="AY23" s="254">
        <f>'收入（汇总）'!AZ23-'收入（关联）'!AY23</f>
        <v>0</v>
      </c>
      <c r="BA23" s="275">
        <f t="shared" si="0"/>
        <v>34786.361123000002</v>
      </c>
    </row>
    <row r="24" spans="1:53" s="254" customFormat="1">
      <c r="A24" s="254" t="str">
        <f>'收入（汇总）'!B24</f>
        <v>保险代理</v>
      </c>
      <c r="B24" s="268">
        <f>'收入（汇总）'!C24-'收入（关联）'!B24</f>
        <v>584.14588900000001</v>
      </c>
      <c r="C24" s="268">
        <f>'收入（汇总）'!D24-'收入（关联）'!C24</f>
        <v>1.889707</v>
      </c>
      <c r="D24" s="268">
        <f>'收入（汇总）'!E24-'收入（关联）'!D24</f>
        <v>98.342644000000007</v>
      </c>
      <c r="E24" s="268">
        <f>'收入（汇总）'!F24-'收入（关联）'!E24</f>
        <v>218.71952999999999</v>
      </c>
      <c r="F24" s="268">
        <f>'收入（汇总）'!G24-'收入（关联）'!F24</f>
        <v>85.832984999999994</v>
      </c>
      <c r="G24" s="268">
        <f>'收入（汇总）'!H24-'收入（关联）'!G24</f>
        <v>43.63505</v>
      </c>
      <c r="H24" s="268">
        <f>'收入（汇总）'!I24-'收入（关联）'!H24</f>
        <v>11.691941999999999</v>
      </c>
      <c r="I24" s="268">
        <f>'收入（汇总）'!J24-'收入（关联）'!I24</f>
        <v>4.7295930000000004</v>
      </c>
      <c r="J24" s="268">
        <f>'收入（汇总）'!K24-'收入（关联）'!J24</f>
        <v>26.275093999999999</v>
      </c>
      <c r="K24" s="268">
        <f>'收入（汇总）'!L24-'收入（关联）'!K24</f>
        <v>139.50715500000001</v>
      </c>
      <c r="L24" s="268">
        <f>'收入（汇总）'!M24-'收入（关联）'!L24</f>
        <v>6.7005999999999996E-2</v>
      </c>
      <c r="M24" s="268">
        <f>'收入（汇总）'!N24-'收入（关联）'!M24</f>
        <v>106.142062</v>
      </c>
      <c r="N24" s="268">
        <f>'收入（汇总）'!O24-'收入（关联）'!N24</f>
        <v>11.671298</v>
      </c>
      <c r="O24" s="268">
        <f>'收入（汇总）'!P24-'收入（关联）'!O24</f>
        <v>1.0163E-2</v>
      </c>
      <c r="P24" s="268">
        <f>'收入（汇总）'!Q24-'收入（关联）'!P24</f>
        <v>262.37252100000001</v>
      </c>
      <c r="Q24" s="268">
        <f>'收入（汇总）'!R24-'收入（关联）'!Q24</f>
        <v>168.384187</v>
      </c>
      <c r="R24" s="268">
        <f>'收入（汇总）'!S24-'收入（关联）'!R24</f>
        <v>68.110911000000002</v>
      </c>
      <c r="S24" s="268">
        <f>'收入（汇总）'!T24-'收入（关联）'!S24</f>
        <v>155.46506299999999</v>
      </c>
      <c r="T24" s="268">
        <f>'收入（汇总）'!U24-'收入（关联）'!T24</f>
        <v>32.535964999999997</v>
      </c>
      <c r="U24" s="268">
        <f>'收入（汇总）'!V24-'收入（关联）'!U24</f>
        <v>63.499509000000003</v>
      </c>
      <c r="V24" s="268">
        <f>'收入（汇总）'!W24-'收入（关联）'!V24</f>
        <v>14.546583</v>
      </c>
      <c r="W24" s="268">
        <f>'收入（汇总）'!X24-'收入（关联）'!W24</f>
        <v>139.19106099999999</v>
      </c>
      <c r="X24" s="268">
        <f>'收入（汇总）'!Y24-'收入（关联）'!X24</f>
        <v>12.835817</v>
      </c>
      <c r="Y24" s="268">
        <f>'收入（汇总）'!Z24-'收入（关联）'!Y24</f>
        <v>24.193608000000001</v>
      </c>
      <c r="Z24" s="268">
        <f>'收入（汇总）'!AA24-'收入（关联）'!Z24</f>
        <v>11.321346</v>
      </c>
      <c r="AA24" s="268">
        <f>'收入（汇总）'!AB24-'收入（关联）'!AA24</f>
        <v>168.35648900000001</v>
      </c>
      <c r="AB24" s="268">
        <f>'收入（汇总）'!AC24-'收入（关联）'!AB24</f>
        <v>158.96527399999999</v>
      </c>
      <c r="AC24" s="286">
        <f>'收入（汇总）'!AD24-'收入（关联）'!AC24</f>
        <v>24.717753999999999</v>
      </c>
      <c r="AD24" s="286">
        <f>'收入（汇总）'!AE24-'收入（关联）'!AD24</f>
        <v>8.2617960000000004</v>
      </c>
      <c r="AE24" s="286">
        <f>'收入（汇总）'!AF24-'收入（关联）'!AE24</f>
        <v>192.052727</v>
      </c>
      <c r="AF24" s="286">
        <f>'收入（汇总）'!AG24-'收入（关联）'!AF24</f>
        <v>29.071672</v>
      </c>
      <c r="AG24" s="286">
        <f>'收入（汇总）'!AH24-'收入（关联）'!AG24</f>
        <v>29.682991999999999</v>
      </c>
      <c r="AH24" s="286">
        <f>'收入（汇总）'!AI24-'收入（关联）'!AH24</f>
        <v>146.9273</v>
      </c>
      <c r="AI24" s="286">
        <f>'收入（汇总）'!AJ24-'收入（关联）'!AI24</f>
        <v>0.83311500000000005</v>
      </c>
      <c r="AJ24" s="286">
        <f>'收入（汇总）'!AK24-'收入（关联）'!AJ24</f>
        <v>19.769988999999999</v>
      </c>
      <c r="AK24" s="286">
        <f>'收入（汇总）'!AL24-'收入（关联）'!AK24</f>
        <v>144.15645799999999</v>
      </c>
      <c r="AL24" s="286">
        <f>'收入（汇总）'!AM24-'收入（关联）'!AL24</f>
        <v>58.455193999999999</v>
      </c>
      <c r="AM24" s="286">
        <f>'收入（汇总）'!AN24-'收入（关联）'!AM24</f>
        <v>78.275401000000002</v>
      </c>
      <c r="AN24" s="286">
        <f>'收入（汇总）'!AO24-'收入（关联）'!AN24</f>
        <v>163.08125000000001</v>
      </c>
      <c r="AO24" s="286">
        <f>'收入（汇总）'!AP24-'收入（关联）'!AO24</f>
        <v>21.553484999999998</v>
      </c>
      <c r="AP24" s="286">
        <f>'收入（汇总）'!AQ24-'收入（关联）'!AP24</f>
        <v>53.181775999999999</v>
      </c>
      <c r="AQ24" s="286">
        <f>'收入（汇总）'!AR24-'收入（关联）'!AQ24</f>
        <v>120.835365</v>
      </c>
      <c r="AR24" s="286">
        <f>'收入（汇总）'!AS24-'收入（关联）'!AR24</f>
        <v>87.449031000000005</v>
      </c>
      <c r="AS24" s="286">
        <f>'收入（汇总）'!AT24-'收入（关联）'!AS24</f>
        <v>44.518237999999997</v>
      </c>
      <c r="AT24" s="286">
        <f>'收入（汇总）'!AU24-'收入（关联）'!AT24</f>
        <v>31.616495</v>
      </c>
      <c r="AU24" s="286">
        <f>'收入（汇总）'!AV24-'收入（关联）'!AU24</f>
        <v>113.20965600000001</v>
      </c>
      <c r="AV24" s="254">
        <f>'收入（汇总）'!AW24-'收入（关联）'!AV24</f>
        <v>0</v>
      </c>
      <c r="AW24" s="254">
        <f>'收入（汇总）'!AX24-'收入（关联）'!AW24</f>
        <v>0</v>
      </c>
      <c r="AX24" s="254">
        <f>'收入（汇总）'!AY24-'收入（关联）'!AX24</f>
        <v>0</v>
      </c>
      <c r="AY24" s="254">
        <f>'收入（汇总）'!AZ24-'收入（关联）'!AY24</f>
        <v>0</v>
      </c>
      <c r="BA24" s="275">
        <f t="shared" si="0"/>
        <v>635.44529599999998</v>
      </c>
    </row>
    <row r="25" spans="1:53" s="255" customFormat="1">
      <c r="A25" s="255" t="str">
        <f>'收入（汇总）'!B25</f>
        <v>投资公司</v>
      </c>
      <c r="B25" s="269">
        <f>'收入（汇总）'!C25-'收入（关联）'!B25</f>
        <v>0</v>
      </c>
      <c r="C25" s="269">
        <f>'收入（汇总）'!D25-'收入（关联）'!C25</f>
        <v>0</v>
      </c>
      <c r="D25" s="269">
        <f>'收入（汇总）'!E25-'收入（关联）'!D25</f>
        <v>0</v>
      </c>
      <c r="E25" s="269">
        <f>'收入（汇总）'!F25-'收入（关联）'!E25</f>
        <v>0</v>
      </c>
      <c r="F25" s="269">
        <f>'收入（汇总）'!G25-'收入（关联）'!F25</f>
        <v>0</v>
      </c>
      <c r="G25" s="269">
        <f>'收入（汇总）'!H25-'收入（关联）'!G25</f>
        <v>0</v>
      </c>
      <c r="H25" s="269">
        <f>'收入（汇总）'!I25-'收入（关联）'!H25</f>
        <v>350.270465</v>
      </c>
      <c r="I25" s="269">
        <f>'收入（汇总）'!J25-'收入（关联）'!I25</f>
        <v>0</v>
      </c>
      <c r="J25" s="269">
        <f>'收入（汇总）'!K25-'收入（关联）'!J25</f>
        <v>0</v>
      </c>
      <c r="K25" s="269">
        <f>'收入（汇总）'!L25-'收入（关联）'!K25</f>
        <v>0</v>
      </c>
      <c r="L25" s="269">
        <f>'收入（汇总）'!M25-'收入（关联）'!L25</f>
        <v>0</v>
      </c>
      <c r="M25" s="269">
        <f>'收入（汇总）'!N25-'收入（关联）'!M25</f>
        <v>0</v>
      </c>
      <c r="N25" s="269">
        <f>'收入（汇总）'!O25-'收入（关联）'!N25</f>
        <v>0</v>
      </c>
      <c r="O25" s="269">
        <f>'收入（汇总）'!P25-'收入（关联）'!O25</f>
        <v>9.9555600000000002</v>
      </c>
      <c r="P25" s="269">
        <f>'收入（汇总）'!Q25-'收入（关联）'!P25</f>
        <v>0</v>
      </c>
      <c r="Q25" s="269">
        <f>'收入（汇总）'!R25-'收入（关联）'!Q25</f>
        <v>0</v>
      </c>
      <c r="R25" s="269">
        <f>'收入（汇总）'!S25-'收入（关联）'!R25</f>
        <v>0</v>
      </c>
      <c r="S25" s="269">
        <f>'收入（汇总）'!T25-'收入（关联）'!S25</f>
        <v>0</v>
      </c>
      <c r="T25" s="269">
        <f>'收入（汇总）'!U25-'收入（关联）'!T25</f>
        <v>0</v>
      </c>
      <c r="U25" s="269">
        <f>'收入（汇总）'!V25-'收入（关联）'!U25</f>
        <v>0</v>
      </c>
      <c r="V25" s="269">
        <f>'收入（汇总）'!W25-'收入（关联）'!V25</f>
        <v>0</v>
      </c>
      <c r="W25" s="269">
        <f>'收入（汇总）'!X25-'收入（关联）'!W25</f>
        <v>0</v>
      </c>
      <c r="X25" s="269">
        <f>'收入（汇总）'!Y25-'收入（关联）'!X25</f>
        <v>0</v>
      </c>
      <c r="Y25" s="269">
        <f>'收入（汇总）'!Z25-'收入（关联）'!Y25</f>
        <v>0</v>
      </c>
      <c r="Z25" s="269">
        <f>'收入（汇总）'!AA25-'收入（关联）'!Z25</f>
        <v>0</v>
      </c>
      <c r="AA25" s="269">
        <f>'收入（汇总）'!AB25-'收入（关联）'!AA25</f>
        <v>13.688904000000001</v>
      </c>
      <c r="AB25" s="269">
        <f>'收入（汇总）'!AC25-'收入（关联）'!AB25</f>
        <v>0</v>
      </c>
      <c r="AC25" s="287">
        <f>'收入（汇总）'!AD25-'收入（关联）'!AC25</f>
        <v>0</v>
      </c>
      <c r="AD25" s="287">
        <f>'收入（汇总）'!AE25-'收入（关联）'!AD25</f>
        <v>0</v>
      </c>
      <c r="AE25" s="287">
        <f>'收入（汇总）'!AF25-'收入（关联）'!AE25</f>
        <v>0</v>
      </c>
      <c r="AF25" s="287">
        <f>'收入（汇总）'!AG25-'收入（关联）'!AF25</f>
        <v>0</v>
      </c>
      <c r="AG25" s="287">
        <f>'收入（汇总）'!AH25-'收入（关联）'!AG25</f>
        <v>10.860132</v>
      </c>
      <c r="AH25" s="287">
        <f>'收入（汇总）'!AI25-'收入（关联）'!AH25</f>
        <v>0</v>
      </c>
      <c r="AI25" s="287">
        <f>'收入（汇总）'!AJ25-'收入（关联）'!AI25</f>
        <v>2.1876280000000001</v>
      </c>
      <c r="AJ25" s="287">
        <f>'收入（汇总）'!AK25-'收入（关联）'!AJ25</f>
        <v>8.0491790000000005</v>
      </c>
      <c r="AK25" s="287">
        <f>'收入（汇总）'!AL25-'收入（关联）'!AK25</f>
        <v>8.2215980000000002</v>
      </c>
      <c r="AL25" s="287">
        <f>'收入（汇总）'!AM25-'收入（关联）'!AL25</f>
        <v>5.9747880000000002</v>
      </c>
      <c r="AM25" s="287">
        <f>'收入（汇总）'!AN25-'收入（关联）'!AM25</f>
        <v>6.0398810000000003</v>
      </c>
      <c r="AN25" s="287">
        <f>'收入（汇总）'!AO25-'收入（关联）'!AN25</f>
        <v>6.2248679999999998</v>
      </c>
      <c r="AO25" s="287">
        <f>'收入（汇总）'!AP25-'收入（关联）'!AO25</f>
        <v>16.259558999999999</v>
      </c>
      <c r="AP25" s="287">
        <f>'收入（汇总）'!AQ25-'收入（关联）'!AP25</f>
        <v>1.8876790000000001</v>
      </c>
      <c r="AQ25" s="287">
        <f>'收入（汇总）'!AR25-'收入（关联）'!AQ25</f>
        <v>1.9448110000000001</v>
      </c>
      <c r="AR25" s="287">
        <f>'收入（汇总）'!AS25-'收入（关联）'!AR25</f>
        <v>3.0096699999999998</v>
      </c>
      <c r="AS25" s="287">
        <f>'收入（汇总）'!AT25-'收入（关联）'!AS25</f>
        <v>82.258870999999999</v>
      </c>
      <c r="AT25" s="287">
        <f>'收入（汇总）'!AU25-'收入（关联）'!AT25</f>
        <v>67.532550000000001</v>
      </c>
      <c r="AU25" s="287">
        <f>'收入（汇总）'!AV25-'收入（关联）'!AU25</f>
        <v>12.687231000000001</v>
      </c>
      <c r="AV25" s="255">
        <f>'收入（汇总）'!AW25-'收入（关联）'!AV25</f>
        <v>0</v>
      </c>
      <c r="AW25" s="255">
        <f>'收入（汇总）'!AX25-'收入（关联）'!AW25</f>
        <v>0</v>
      </c>
      <c r="AX25" s="255">
        <f>'收入（汇总）'!AY25-'收入（关联）'!AX25</f>
        <v>0</v>
      </c>
      <c r="AY25" s="255">
        <f>'收入（汇总）'!AZ25-'收入（关联）'!AY25</f>
        <v>0</v>
      </c>
      <c r="BA25" s="275">
        <f t="shared" si="0"/>
        <v>191.805239</v>
      </c>
    </row>
    <row r="26" spans="1:53" s="254" customFormat="1">
      <c r="A26" s="254" t="str">
        <f>'收入（汇总）'!B26</f>
        <v>临钢公司</v>
      </c>
      <c r="B26" s="268">
        <f>'收入（汇总）'!C26-'收入（关联）'!B26</f>
        <v>35312.214691000001</v>
      </c>
      <c r="C26" s="268">
        <f>'收入（汇总）'!D26-'收入（关联）'!C26</f>
        <v>1688</v>
      </c>
      <c r="D26" s="268">
        <f>'收入（汇总）'!E26-'收入（关联）'!D26</f>
        <v>468.66300300000012</v>
      </c>
      <c r="E26" s="268">
        <f>'收入（汇总）'!F26-'收入（关联）'!E26</f>
        <v>463.30185400000005</v>
      </c>
      <c r="F26" s="268">
        <f>'收入（汇总）'!G26-'收入（关联）'!F26</f>
        <v>388.45075399999996</v>
      </c>
      <c r="G26" s="268">
        <f>'收入（汇总）'!H26-'收入（关联）'!G26</f>
        <v>851.11265500000013</v>
      </c>
      <c r="H26" s="268">
        <f>'收入（汇总）'!I26-'收入（关联）'!H26</f>
        <v>424.92689900000005</v>
      </c>
      <c r="I26" s="268">
        <f>'收入（汇总）'!J26-'收入（关联）'!I26</f>
        <v>359.82053500000006</v>
      </c>
      <c r="J26" s="268">
        <f>'收入（汇总）'!K26-'收入（关联）'!J26</f>
        <v>555.60362499999997</v>
      </c>
      <c r="K26" s="268">
        <f>'收入（汇总）'!L26-'收入（关联）'!K26</f>
        <v>485.86714000000029</v>
      </c>
      <c r="L26" s="268">
        <f>'收入（汇总）'!M26-'收入（关联）'!L26</f>
        <v>290.04443700000002</v>
      </c>
      <c r="M26" s="268">
        <f>'收入（汇总）'!N26-'收入（关联）'!M26</f>
        <v>426.10051099999987</v>
      </c>
      <c r="N26" s="268">
        <f>'收入（汇总）'!O26-'收入（关联）'!N26</f>
        <v>413.45137799999998</v>
      </c>
      <c r="O26" s="268">
        <f>'收入（汇总）'!P26-'收入（关联）'!O26</f>
        <v>284.1645309999999</v>
      </c>
      <c r="P26" s="268">
        <f>'收入（汇总）'!Q26-'收入（关联）'!P26</f>
        <v>569.73772800000006</v>
      </c>
      <c r="Q26" s="268">
        <f>'收入（汇总）'!R26-'收入（关联）'!Q26</f>
        <v>170.01519300000018</v>
      </c>
      <c r="R26" s="268">
        <f>'收入（汇总）'!S26-'收入（关联）'!R26</f>
        <v>386.46828000000005</v>
      </c>
      <c r="S26" s="268">
        <f>'收入（汇总）'!T26-'收入（关联）'!S26</f>
        <v>454.75721199999998</v>
      </c>
      <c r="T26" s="268">
        <f>'收入（汇总）'!U26-'收入（关联）'!T26</f>
        <v>295.88741500000015</v>
      </c>
      <c r="U26" s="268">
        <f>'收入（汇总）'!V26-'收入（关联）'!U26</f>
        <v>280.55859200000009</v>
      </c>
      <c r="V26" s="268">
        <f>'收入（汇总）'!W26-'收入（关联）'!V26</f>
        <v>303.96758199999999</v>
      </c>
      <c r="W26" s="268">
        <f>'收入（汇总）'!X26-'收入（关联）'!W26</f>
        <v>190.66394800000012</v>
      </c>
      <c r="X26" s="268">
        <f>'收入（汇总）'!Y26-'收入（关联）'!X26</f>
        <v>480.67753700000003</v>
      </c>
      <c r="Y26" s="268">
        <f>'收入（汇总）'!Z26-'收入（关联）'!Y26</f>
        <v>340.42793300000017</v>
      </c>
      <c r="Z26" s="268">
        <f>'收入（汇总）'!AA26-'收入（关联）'!Z26</f>
        <v>280.113609</v>
      </c>
      <c r="AA26" s="268">
        <f>'收入（汇总）'!AB26-'收入（关联）'!AA26</f>
        <v>164.38467200000014</v>
      </c>
      <c r="AB26" s="268">
        <f>'收入（汇总）'!AC26-'收入（关联）'!AB26</f>
        <v>285.17284500000005</v>
      </c>
      <c r="AC26" s="286">
        <f>'收入（汇总）'!AD26-'收入（关联）'!AC26</f>
        <v>48.688642000000073</v>
      </c>
      <c r="AD26" s="286">
        <f>'收入（汇总）'!AE26-'收入（关联）'!AD26</f>
        <v>235.16913199999999</v>
      </c>
      <c r="AE26" s="286">
        <f>'收入（汇总）'!AF26-'收入（关联）'!AE26</f>
        <v>1436.019055</v>
      </c>
      <c r="AF26" s="286">
        <f>'收入（汇总）'!AG26-'收入（关联）'!AF26</f>
        <v>412.64211999999998</v>
      </c>
      <c r="AG26" s="286">
        <f>'收入（汇总）'!AH26-'收入（关联）'!AG26</f>
        <v>333.89911500000017</v>
      </c>
      <c r="AH26" s="286">
        <f>'收入（汇总）'!AI26-'收入（关联）'!AH26</f>
        <v>225.28571399999987</v>
      </c>
      <c r="AI26" s="286">
        <f>'收入（汇总）'!AJ26-'收入（关联）'!AI26</f>
        <v>316.22608100000002</v>
      </c>
      <c r="AJ26" s="286">
        <f>'收入（汇总）'!AK26-'收入（关联）'!AJ26</f>
        <v>288.42348399999992</v>
      </c>
      <c r="AK26" s="286">
        <f>'收入（汇总）'!AL26-'收入（关联）'!AK26</f>
        <v>227.75066800000013</v>
      </c>
      <c r="AL26" s="286">
        <f>'收入（汇总）'!AM26-'收入（关联）'!AL26</f>
        <v>216.27162999999996</v>
      </c>
      <c r="AM26" s="286">
        <f>'收入（汇总）'!AN26-'收入（关联）'!AM26</f>
        <v>132.040391</v>
      </c>
      <c r="AN26" s="286">
        <f>'收入（汇总）'!AO26-'收入（关联）'!AN26</f>
        <v>670.95027899999991</v>
      </c>
      <c r="AO26" s="286">
        <f>'收入（汇总）'!AP26-'收入（关联）'!AO26</f>
        <v>267.53314799999998</v>
      </c>
      <c r="AP26" s="286">
        <f>'收入（汇总）'!AQ26-'收入（关联）'!AP26</f>
        <v>308.75853100000018</v>
      </c>
      <c r="AQ26" s="286">
        <f>'收入（汇总）'!AR26-'收入（关联）'!AQ26</f>
        <v>592.45226500000012</v>
      </c>
      <c r="AR26" s="286">
        <f>'收入（汇总）'!AS26-'收入（关联）'!AR26</f>
        <v>344.13414999999986</v>
      </c>
      <c r="AS26" s="286">
        <f>'收入（汇总）'!AT26-'收入（关联）'!AS26</f>
        <v>410.66884499999992</v>
      </c>
      <c r="AT26" s="286">
        <f>'收入（汇总）'!AU26-'收入（关联）'!AT26</f>
        <v>290.58127099999979</v>
      </c>
      <c r="AU26" s="286">
        <f>'收入（汇总）'!AV26-'收入（关联）'!AU26</f>
        <v>326.69964400000049</v>
      </c>
      <c r="AV26" s="254">
        <f>'收入（汇总）'!AW26-'收入（关联）'!AV26</f>
        <v>0</v>
      </c>
      <c r="AW26" s="254">
        <f>'收入（汇总）'!AX26-'收入（关联）'!AW26</f>
        <v>0</v>
      </c>
      <c r="AX26" s="254">
        <f>'收入（汇总）'!AY26-'收入（关联）'!AX26</f>
        <v>0</v>
      </c>
      <c r="AY26" s="254">
        <f>'收入（汇总）'!AZ26-'收入（关联）'!AY26</f>
        <v>0</v>
      </c>
      <c r="BA26" s="275">
        <f t="shared" si="0"/>
        <v>3211.7781330000007</v>
      </c>
    </row>
    <row r="27" spans="1:53" s="254" customFormat="1">
      <c r="A27" s="254" t="str">
        <f>'收入（汇总）'!B27</f>
        <v>不锈钢工业园</v>
      </c>
      <c r="B27" s="268">
        <f>'收入（汇总）'!C27-'收入（关联）'!B27</f>
        <v>12808.641793000001</v>
      </c>
      <c r="C27" s="268">
        <f>'收入（汇总）'!D27-'收入（关联）'!C27</f>
        <v>1012.9362349999999</v>
      </c>
      <c r="D27" s="268">
        <f>'收入（汇总）'!E27-'收入（关联）'!D27</f>
        <v>722.37620500000003</v>
      </c>
      <c r="E27" s="268">
        <f>'收入（汇总）'!F27-'收入（关联）'!E27</f>
        <v>775.98397299999999</v>
      </c>
      <c r="F27" s="268">
        <f>'收入（汇总）'!G27-'收入（关联）'!F27</f>
        <v>378.63766099999998</v>
      </c>
      <c r="G27" s="268">
        <f>'收入（汇总）'!H27-'收入（关联）'!G27</f>
        <v>609.08047899999997</v>
      </c>
      <c r="H27" s="268">
        <f>'收入（汇总）'!I27-'收入（关联）'!H27</f>
        <v>682.12654299999997</v>
      </c>
      <c r="I27" s="268">
        <f>'收入（汇总）'!J27-'收入（关联）'!I27</f>
        <v>718.01339199999995</v>
      </c>
      <c r="J27" s="268">
        <f>'收入（汇总）'!K27-'收入（关联）'!J27</f>
        <v>822.042148</v>
      </c>
      <c r="K27" s="268">
        <f>'收入（汇总）'!L27-'收入（关联）'!K27</f>
        <v>1011.1866049999999</v>
      </c>
      <c r="L27" s="268">
        <f>'收入（汇总）'!M27-'收入（关联）'!L27</f>
        <v>1025.5799930000001</v>
      </c>
      <c r="M27" s="268">
        <f>'收入（汇总）'!N27-'收入（关联）'!M27</f>
        <v>1013.509996</v>
      </c>
      <c r="N27" s="268">
        <f>'收入（汇总）'!O27-'收入（关联）'!N27</f>
        <v>907.05265899999995</v>
      </c>
      <c r="O27" s="268">
        <f>'收入（汇总）'!P27-'收入（关联）'!O27</f>
        <v>758.41850499999998</v>
      </c>
      <c r="P27" s="268">
        <f>'收入（汇总）'!Q27-'收入（关联）'!P27</f>
        <v>990.82808499999987</v>
      </c>
      <c r="Q27" s="268">
        <f>'收入（汇总）'!R27-'收入（关联）'!Q27</f>
        <v>607.34547199999997</v>
      </c>
      <c r="R27" s="268">
        <f>'收入（汇总）'!S27-'收入（关联）'!R27</f>
        <v>854.30106599999999</v>
      </c>
      <c r="S27" s="268">
        <f>'收入（汇总）'!T27-'收入（关联）'!S27</f>
        <v>1297.8191400000001</v>
      </c>
      <c r="T27" s="268">
        <f>'收入（汇总）'!U27-'收入（关联）'!T27</f>
        <v>1501.6653549999999</v>
      </c>
      <c r="U27" s="268">
        <f>'收入（汇总）'!V27-'收入（关联）'!U27</f>
        <v>1198.5341469999998</v>
      </c>
      <c r="V27" s="268">
        <f>'收入（汇总）'!W27-'收入（关联）'!V27</f>
        <v>1540.1357209999999</v>
      </c>
      <c r="W27" s="268">
        <f>'收入（汇总）'!X27-'收入（关联）'!W27</f>
        <v>1282.282375</v>
      </c>
      <c r="X27" s="268">
        <f>'收入（汇总）'!Y27-'收入（关联）'!X27</f>
        <v>1292.8046100000001</v>
      </c>
      <c r="Y27" s="268">
        <f>'收入（汇总）'!Z27-'收入（关联）'!Y27</f>
        <v>1095.6704240000001</v>
      </c>
      <c r="Z27" s="268">
        <f>'收入（汇总）'!AA27-'收入（关联）'!Z27</f>
        <v>1096.631093</v>
      </c>
      <c r="AA27" s="268">
        <f>'收入（汇总）'!AB27-'收入（关联）'!AA27</f>
        <v>1802.063406</v>
      </c>
      <c r="AB27" s="268">
        <f>'收入（汇总）'!AC27-'收入（关联）'!AB27</f>
        <v>1514.106096</v>
      </c>
      <c r="AC27" s="286">
        <f>'收入（汇总）'!AD27-'收入（关联）'!AC27</f>
        <v>468.72552400000001</v>
      </c>
      <c r="AD27" s="286">
        <f>'收入（汇总）'!AE27-'收入（关联）'!AD27</f>
        <v>870.31065899999999</v>
      </c>
      <c r="AE27" s="286">
        <f>'收入（汇总）'!AF27-'收入（关联）'!AE27</f>
        <v>861.928271</v>
      </c>
      <c r="AF27" s="286">
        <f>'收入（汇总）'!AG27-'收入（关联）'!AF27</f>
        <v>949.74041699999998</v>
      </c>
      <c r="AG27" s="286">
        <f>'收入（汇总）'!AH27-'收入（关联）'!AG27</f>
        <v>1200.9920419999999</v>
      </c>
      <c r="AH27" s="286">
        <f>'收入（汇总）'!AI27-'收入（关联）'!AH27</f>
        <v>1104.488936</v>
      </c>
      <c r="AI27" s="286">
        <f>'收入（汇总）'!AJ27-'收入（关联）'!AI27</f>
        <v>1233.1112049999999</v>
      </c>
      <c r="AJ27" s="286">
        <f>'收入（汇总）'!AK27-'收入（关联）'!AJ27</f>
        <v>1324.272113</v>
      </c>
      <c r="AK27" s="286">
        <f>'收入（汇总）'!AL27-'收入（关联）'!AK27</f>
        <v>1226.6030969999999</v>
      </c>
      <c r="AL27" s="286">
        <f>'收入（汇总）'!AM27-'收入（关联）'!AL27</f>
        <v>793.27802599999995</v>
      </c>
      <c r="AM27" s="286">
        <f>'收入（汇总）'!AN27-'收入（关联）'!AM27</f>
        <v>1064.08266</v>
      </c>
      <c r="AN27" s="286">
        <f>'收入（汇总）'!AO27-'收入（关联）'!AN27</f>
        <v>765.31458500000008</v>
      </c>
      <c r="AO27" s="286">
        <f>'收入（汇总）'!AP27-'收入（关联）'!AO27</f>
        <v>479.22072600000001</v>
      </c>
      <c r="AP27" s="286">
        <f>'收入（汇总）'!AQ27-'收入（关联）'!AP27</f>
        <v>1620.390523</v>
      </c>
      <c r="AQ27" s="286">
        <f>'收入（汇总）'!AR27-'收入（关联）'!AQ27</f>
        <v>1321.3074469999999</v>
      </c>
      <c r="AR27" s="286">
        <f>'收入（汇总）'!AS27-'收入（关联）'!AR27</f>
        <v>1241.95784</v>
      </c>
      <c r="AS27" s="286">
        <f>'收入（汇总）'!AT27-'收入（关联）'!AS27</f>
        <v>2214.7749660000004</v>
      </c>
      <c r="AT27" s="286">
        <f>'收入（汇总）'!AU27-'收入（关联）'!AT27</f>
        <v>931.58615899999995</v>
      </c>
      <c r="AU27" s="286">
        <f>'收入（汇总）'!AV27-'收入（关联）'!AU27</f>
        <v>1305.805439</v>
      </c>
      <c r="AV27" s="254">
        <f>'收入（汇总）'!AW27-'收入（关联）'!AV27</f>
        <v>0</v>
      </c>
      <c r="AW27" s="254">
        <f>'收入（汇总）'!AX27-'收入（关联）'!AW27</f>
        <v>0</v>
      </c>
      <c r="AX27" s="254">
        <f>'收入（汇总）'!AY27-'收入（关联）'!AX27</f>
        <v>0</v>
      </c>
      <c r="AY27" s="254">
        <f>'收入（汇总）'!AZ27-'收入（关联）'!AY27</f>
        <v>0</v>
      </c>
      <c r="BA27" s="275">
        <f t="shared" si="0"/>
        <v>9880.3576850000009</v>
      </c>
    </row>
    <row r="28" spans="1:53" s="255" customFormat="1">
      <c r="A28" s="255" t="str">
        <f>'收入（汇总）'!B28</f>
        <v>房地产开发</v>
      </c>
      <c r="B28" s="269">
        <f>'收入（汇总）'!C28-'收入（关联）'!B28</f>
        <v>5477.6420479999997</v>
      </c>
      <c r="C28" s="269">
        <f>'收入（汇总）'!D28-'收入（关联）'!C28</f>
        <v>936.62003700000002</v>
      </c>
      <c r="D28" s="269">
        <f>'收入（汇总）'!E28-'收入（关联）'!D28</f>
        <v>1164.376675</v>
      </c>
      <c r="E28" s="269">
        <f>'收入（汇总）'!F28-'收入（关联）'!E28</f>
        <v>689.97085900000002</v>
      </c>
      <c r="F28" s="269">
        <f>'收入（汇总）'!G28-'收入（关联）'!F28</f>
        <v>930.03049799999997</v>
      </c>
      <c r="G28" s="269">
        <f>'收入（汇总）'!H28-'收入（关联）'!G28</f>
        <v>380.52610599999997</v>
      </c>
      <c r="H28" s="269">
        <f>'收入（汇总）'!I28-'收入（关联）'!H28</f>
        <v>476.36188500000003</v>
      </c>
      <c r="I28" s="269">
        <f>'收入（汇总）'!J28-'收入（关联）'!I28</f>
        <v>282.42848500000002</v>
      </c>
      <c r="J28" s="269">
        <f>'收入（汇总）'!K28-'收入（关联）'!J28</f>
        <v>245.33224999999999</v>
      </c>
      <c r="K28" s="269">
        <f>'收入（汇总）'!L28-'收入（关联）'!K28</f>
        <v>369.85987299999999</v>
      </c>
      <c r="L28" s="269">
        <f>'收入（汇总）'!M28-'收入（关联）'!L28</f>
        <v>3761.2148750000001</v>
      </c>
      <c r="M28" s="269">
        <f>'收入（汇总）'!N28-'收入（关联）'!M28</f>
        <v>299.52865100000002</v>
      </c>
      <c r="N28" s="269">
        <f>'收入（汇总）'!O28-'收入（关联）'!N28</f>
        <v>1146.276664</v>
      </c>
      <c r="O28" s="269">
        <f>'收入（汇总）'!P28-'收入（关联）'!O28</f>
        <v>1791.7684019999999</v>
      </c>
      <c r="P28" s="269">
        <f>'收入（汇总）'!Q28-'收入（关联）'!P28</f>
        <v>8455.6756170000008</v>
      </c>
      <c r="Q28" s="269">
        <f>'收入（汇总）'!R28-'收入（关联）'!Q28</f>
        <v>104.46654900000001</v>
      </c>
      <c r="R28" s="269">
        <f>'收入（汇总）'!S28-'收入（关联）'!R28</f>
        <v>243.67128600000001</v>
      </c>
      <c r="S28" s="269">
        <f>'收入（汇总）'!T28-'收入（关联）'!S28</f>
        <v>525.96622400000001</v>
      </c>
      <c r="T28" s="269">
        <f>'收入（汇总）'!U28-'收入（关联）'!T28</f>
        <v>804.81051100000002</v>
      </c>
      <c r="U28" s="269">
        <f>'收入（汇总）'!V28-'收入（关联）'!U28</f>
        <v>1296.062784</v>
      </c>
      <c r="V28" s="269">
        <f>'收入（汇总）'!W28-'收入（关联）'!V28</f>
        <v>762.914176</v>
      </c>
      <c r="W28" s="269">
        <f>'收入（汇总）'!X28-'收入（关联）'!W28</f>
        <v>788.71594700000003</v>
      </c>
      <c r="X28" s="269">
        <f>'收入（汇总）'!Y28-'收入（关联）'!X28</f>
        <v>641.72599100000002</v>
      </c>
      <c r="Y28" s="269">
        <f>'收入（汇总）'!Z28-'收入（关联）'!Y28</f>
        <v>559.21551499999998</v>
      </c>
      <c r="Z28" s="269">
        <f>'收入（汇总）'!AA28-'收入（关联）'!Z28</f>
        <v>716.894766</v>
      </c>
      <c r="AA28" s="269">
        <f>'收入（汇总）'!AB28-'收入（关联）'!AA28</f>
        <v>630.37930199999994</v>
      </c>
      <c r="AB28" s="269">
        <f>'收入（汇总）'!AC28-'收入（关联）'!AB28</f>
        <v>6889.5812100000003</v>
      </c>
      <c r="AC28" s="287">
        <f>'收入（汇总）'!AD28-'收入（关联）'!AC28</f>
        <v>138.47618399999999</v>
      </c>
      <c r="AD28" s="287">
        <f>'收入（汇总）'!AE28-'收入（关联）'!AD28</f>
        <v>136.60754199999997</v>
      </c>
      <c r="AE28" s="287">
        <f>'收入（汇总）'!AF28-'收入（关联）'!AE28</f>
        <v>152.72159300000001</v>
      </c>
      <c r="AF28" s="287">
        <f>'收入（汇总）'!AG28-'收入（关联）'!AF28</f>
        <v>207.08319899999998</v>
      </c>
      <c r="AG28" s="287">
        <f>'收入（汇总）'!AH28-'收入（关联）'!AG28</f>
        <v>876.11253500000009</v>
      </c>
      <c r="AH28" s="287">
        <f>'收入（汇总）'!AI28-'收入（关联）'!AH28</f>
        <v>349.05029500000001</v>
      </c>
      <c r="AI28" s="287">
        <f>'收入（汇总）'!AJ28-'收入（关联）'!AI28</f>
        <v>380.34689700000001</v>
      </c>
      <c r="AJ28" s="287">
        <f>'收入（汇总）'!AK28-'收入（关联）'!AJ28</f>
        <v>559.49814700000002</v>
      </c>
      <c r="AK28" s="287">
        <f>'收入（汇总）'!AL28-'收入（关联）'!AK28</f>
        <v>928.34413899999993</v>
      </c>
      <c r="AL28" s="287">
        <f>'收入（汇总）'!AM28-'收入（关联）'!AL28</f>
        <v>755.88560500000006</v>
      </c>
      <c r="AM28" s="287">
        <f>'收入（汇总）'!AN28-'收入（关联）'!AM28</f>
        <v>2592.5296170000001</v>
      </c>
      <c r="AN28" s="287">
        <f>'收入（汇总）'!AO28-'收入（关联）'!AN28</f>
        <v>1037.4055659999999</v>
      </c>
      <c r="AO28" s="287">
        <f>'收入（汇总）'!AP28-'收入（关联）'!AO28</f>
        <v>188.52815700000002</v>
      </c>
      <c r="AP28" s="287">
        <f>'收入（汇总）'!AQ28-'收入（关联）'!AP28</f>
        <v>207.70228199999997</v>
      </c>
      <c r="AQ28" s="287">
        <f>'收入（汇总）'!AR28-'收入（关联）'!AQ28</f>
        <v>397.54620100000005</v>
      </c>
      <c r="AR28" s="287">
        <f>'收入（汇总）'!AS28-'收入（关联）'!AR28</f>
        <v>1193.4583680000001</v>
      </c>
      <c r="AS28" s="287">
        <f>'收入（汇总）'!AT28-'收入（关联）'!AS28</f>
        <v>1079.790475</v>
      </c>
      <c r="AT28" s="287">
        <f>'收入（汇总）'!AU28-'收入（关联）'!AT28</f>
        <v>328.08650599999999</v>
      </c>
      <c r="AU28" s="287">
        <f>'收入（汇总）'!AV28-'收入（关联）'!AU28</f>
        <v>1011.9479739999997</v>
      </c>
      <c r="AV28" s="255">
        <f>'收入（汇总）'!AW28-'收入（关联）'!AV28</f>
        <v>0</v>
      </c>
      <c r="AW28" s="255">
        <f>'收入（汇总）'!AX28-'收入（关联）'!AW28</f>
        <v>0</v>
      </c>
      <c r="AX28" s="255">
        <f>'收入（汇总）'!AY28-'收入（关联）'!AX28</f>
        <v>0</v>
      </c>
      <c r="AY28" s="255">
        <f>'收入（汇总）'!AZ28-'收入（关联）'!AY28</f>
        <v>0</v>
      </c>
      <c r="BA28" s="275">
        <f t="shared" si="0"/>
        <v>5444.4655289999992</v>
      </c>
    </row>
    <row r="29" spans="1:53" s="254" customFormat="1">
      <c r="A29" s="254" t="str">
        <f>'收入（汇总）'!B29</f>
        <v>工程技术公司</v>
      </c>
      <c r="B29" s="268">
        <f>'收入（汇总）'!C29-'收入（关联）'!B29</f>
        <v>28334.527695000001</v>
      </c>
      <c r="C29" s="268">
        <f>'收入（汇总）'!D29-'收入（关联）'!C29</f>
        <v>11531.165010999999</v>
      </c>
      <c r="D29" s="268">
        <f>'收入（汇总）'!E29-'收入（关联）'!D29</f>
        <v>1089.4608049999999</v>
      </c>
      <c r="E29" s="268">
        <f>'收入（汇总）'!F29-'收入（关联）'!E29</f>
        <v>15.158290000000079</v>
      </c>
      <c r="F29" s="268">
        <f>'收入（汇总）'!G29-'收入（关联）'!F29</f>
        <v>80.405867999999828</v>
      </c>
      <c r="G29" s="268">
        <f>'收入（汇总）'!H29-'收入（关联）'!G29</f>
        <v>1055.049593</v>
      </c>
      <c r="H29" s="268">
        <f>'收入（汇总）'!I29-'收入（关联）'!H29</f>
        <v>249.79585000000003</v>
      </c>
      <c r="I29" s="268">
        <f>'收入（汇总）'!J29-'收入（关联）'!I29</f>
        <v>1903.4839569999999</v>
      </c>
      <c r="J29" s="268">
        <f>'收入（汇总）'!K29-'收入（关联）'!J29</f>
        <v>1035.2873010000001</v>
      </c>
      <c r="K29" s="268">
        <f>'收入（汇总）'!L29-'收入（关联）'!K29</f>
        <v>50.80546900000013</v>
      </c>
      <c r="L29" s="268">
        <f>'收入（汇总）'!M29-'收入（关联）'!L29</f>
        <v>1132.692548</v>
      </c>
      <c r="M29" s="268">
        <f>'收入（汇总）'!N29-'收入（关联）'!M29</f>
        <v>167.70545400000003</v>
      </c>
      <c r="N29" s="268">
        <f>'收入（汇总）'!O29-'收入（关联）'!N29</f>
        <v>1590.3123269999999</v>
      </c>
      <c r="O29" s="268">
        <f>'收入（汇总）'!P29-'收入（关联）'!O29</f>
        <v>6184.0827410000002</v>
      </c>
      <c r="P29" s="268">
        <f>'收入（汇总）'!Q29-'收入（关联）'!P29</f>
        <v>484.18741699999987</v>
      </c>
      <c r="Q29" s="268">
        <f>'收入（汇总）'!R29-'收入（关联）'!Q29</f>
        <v>927.9446089999999</v>
      </c>
      <c r="R29" s="268">
        <f>'收入（汇总）'!S29-'收入（关联）'!R29</f>
        <v>2023.3798140000001</v>
      </c>
      <c r="S29" s="268">
        <f>'收入（汇总）'!T29-'收入（关联）'!S29</f>
        <v>1584.4798090000002</v>
      </c>
      <c r="T29" s="268">
        <f>'收入（汇总）'!U29-'收入（关联）'!T29</f>
        <v>3900.1988540000002</v>
      </c>
      <c r="U29" s="268">
        <f>'收入（汇总）'!V29-'收入（关联）'!U29</f>
        <v>1670.288166</v>
      </c>
      <c r="V29" s="268">
        <f>'收入（汇总）'!W29-'收入（关联）'!V29</f>
        <v>1247.8998470000001</v>
      </c>
      <c r="W29" s="268">
        <f>'收入（汇总）'!X29-'收入（关联）'!W29</f>
        <v>573.61605799999961</v>
      </c>
      <c r="X29" s="268">
        <f>'收入（汇总）'!Y29-'收入（关联）'!X29</f>
        <v>2011.3739860000005</v>
      </c>
      <c r="Y29" s="268">
        <f>'收入（汇总）'!Z29-'收入（关联）'!Y29</f>
        <v>649.93882100000064</v>
      </c>
      <c r="Z29" s="268">
        <f>'收入（汇总）'!AA29-'收入（关联）'!Z29</f>
        <v>2839.7647010000001</v>
      </c>
      <c r="AA29" s="268">
        <f>'收入（汇总）'!AB29-'收入（关联）'!AA29</f>
        <v>64.155053999999836</v>
      </c>
      <c r="AB29" s="268">
        <f>'收入（汇总）'!AC29-'收入（关联）'!AB29</f>
        <v>161.39375599999948</v>
      </c>
      <c r="AC29" s="286">
        <f>'收入（汇总）'!AD29-'收入（关联）'!AC29</f>
        <v>5.6603769999999258</v>
      </c>
      <c r="AD29" s="286">
        <f>'收入（汇总）'!AE29-'收入（关联）'!AD29</f>
        <v>186.78049099999998</v>
      </c>
      <c r="AE29" s="286">
        <f>'收入（汇总）'!AF29-'收入（关联）'!AE29</f>
        <v>561.13283499999989</v>
      </c>
      <c r="AF29" s="286">
        <f>'收入（汇总）'!AG29-'收入（关联）'!AF29</f>
        <v>950.16772399999991</v>
      </c>
      <c r="AG29" s="286">
        <f>'收入（汇总）'!AH29-'收入（关联）'!AG29</f>
        <v>562.21445999999969</v>
      </c>
      <c r="AH29" s="286">
        <f>'收入（汇总）'!AI29-'收入（关联）'!AH29</f>
        <v>311.75188699999944</v>
      </c>
      <c r="AI29" s="286">
        <f>'收入（汇总）'!AJ29-'收入（关联）'!AI29</f>
        <v>327.12108799999987</v>
      </c>
      <c r="AJ29" s="286">
        <f>'收入（汇总）'!AK29-'收入（关联）'!AJ29</f>
        <v>595.56806799999958</v>
      </c>
      <c r="AK29" s="286">
        <f>'收入（汇总）'!AL29-'收入（关联）'!AK29</f>
        <v>632.03561499999978</v>
      </c>
      <c r="AL29" s="286">
        <f>'收入（汇总）'!AM29-'收入（关联）'!AL29</f>
        <v>17.182958000000326</v>
      </c>
      <c r="AM29" s="286">
        <f>'收入（汇总）'!AN29-'收入（关联）'!AM29</f>
        <v>231.14713099999972</v>
      </c>
      <c r="AN29" s="286">
        <f>'收入（汇总）'!AO29-'收入（关联）'!AN29</f>
        <v>1322.8894280000002</v>
      </c>
      <c r="AO29" s="286">
        <f>'收入（汇总）'!AP29-'收入（关联）'!AO29</f>
        <v>2878.2657049999998</v>
      </c>
      <c r="AP29" s="286">
        <f>'收入（汇总）'!AQ29-'收入（关联）'!AP29</f>
        <v>-2855.0399999999995</v>
      </c>
      <c r="AQ29" s="286">
        <f>'收入（汇总）'!AR29-'收入（关联）'!AQ29</f>
        <v>0</v>
      </c>
      <c r="AR29" s="286">
        <f>'收入（汇总）'!AS29-'收入（关联）'!AR29</f>
        <v>150.94339599999967</v>
      </c>
      <c r="AS29" s="286">
        <f>'收入（汇总）'!AT29-'收入（关联）'!AS29</f>
        <v>779.98631600000044</v>
      </c>
      <c r="AT29" s="286">
        <f>'收入（汇总）'!AU29-'收入（关联）'!AT29</f>
        <v>-2.5466799999971954</v>
      </c>
      <c r="AU29" s="286">
        <f>'收入（汇总）'!AV29-'收入（关联）'!AU29</f>
        <v>5.0289999999222346E-3</v>
      </c>
      <c r="AV29" s="254">
        <f>'收入（汇总）'!AW29-'收入（关联）'!AV29</f>
        <v>0</v>
      </c>
      <c r="AW29" s="254">
        <f>'收入（汇总）'!AX29-'收入（关联）'!AW29</f>
        <v>0</v>
      </c>
      <c r="AX29" s="254">
        <f>'收入（汇总）'!AY29-'收入（关联）'!AX29</f>
        <v>0</v>
      </c>
      <c r="AY29" s="254">
        <f>'收入（汇总）'!AZ29-'收入（关联）'!AY29</f>
        <v>0</v>
      </c>
      <c r="BA29" s="275">
        <f t="shared" si="0"/>
        <v>2274.5031940000035</v>
      </c>
    </row>
    <row r="30" spans="1:53" s="254" customFormat="1">
      <c r="A30" s="254" t="str">
        <f>'收入（汇总）'!B30</f>
        <v>能源公司</v>
      </c>
      <c r="B30" s="268">
        <f>'收入（汇总）'!C30-'收入（关联）'!B30</f>
        <v>0</v>
      </c>
      <c r="C30" s="268">
        <f>'收入（汇总）'!D30-'收入（关联）'!C30</f>
        <v>0</v>
      </c>
      <c r="D30" s="268">
        <f>'收入（汇总）'!E30-'收入（关联）'!D30</f>
        <v>0</v>
      </c>
      <c r="E30" s="268">
        <f>'收入（汇总）'!F30-'收入（关联）'!E30</f>
        <v>0</v>
      </c>
      <c r="F30" s="268">
        <f>'收入（汇总）'!G30-'收入（关联）'!F30</f>
        <v>0</v>
      </c>
      <c r="G30" s="268">
        <f>'收入（汇总）'!H30-'收入（关联）'!G30</f>
        <v>0</v>
      </c>
      <c r="H30" s="268">
        <f>'收入（汇总）'!I30-'收入（关联）'!H30</f>
        <v>0</v>
      </c>
      <c r="I30" s="268">
        <f>'收入（汇总）'!J30-'收入（关联）'!I30</f>
        <v>0</v>
      </c>
      <c r="J30" s="268">
        <f>'收入（汇总）'!K30-'收入（关联）'!J30</f>
        <v>0</v>
      </c>
      <c r="K30" s="268">
        <f>'收入（汇总）'!L30-'收入（关联）'!K30</f>
        <v>0</v>
      </c>
      <c r="L30" s="268">
        <f>'收入（汇总）'!M30-'收入（关联）'!L30</f>
        <v>0</v>
      </c>
      <c r="M30" s="268">
        <f>'收入（汇总）'!N30-'收入（关联）'!M30</f>
        <v>0</v>
      </c>
      <c r="N30" s="268">
        <f>'收入（汇总）'!O30-'收入（关联）'!N30</f>
        <v>0</v>
      </c>
      <c r="O30" s="268">
        <f>'收入（汇总）'!P30-'收入（关联）'!O30</f>
        <v>0</v>
      </c>
      <c r="P30" s="268">
        <f>'收入（汇总）'!Q30-'收入（关联）'!P30</f>
        <v>0</v>
      </c>
      <c r="Q30" s="268">
        <f>'收入（汇总）'!R30-'收入（关联）'!Q30</f>
        <v>0</v>
      </c>
      <c r="R30" s="268">
        <f>'收入（汇总）'!S30-'收入（关联）'!R30</f>
        <v>0</v>
      </c>
      <c r="S30" s="268">
        <f>'收入（汇总）'!T30-'收入（关联）'!S30</f>
        <v>0</v>
      </c>
      <c r="T30" s="268">
        <f>'收入（汇总）'!U30-'收入（关联）'!T30</f>
        <v>0</v>
      </c>
      <c r="U30" s="268">
        <f>'收入（汇总）'!V30-'收入（关联）'!U30</f>
        <v>0</v>
      </c>
      <c r="V30" s="268">
        <f>'收入（汇总）'!W30-'收入（关联）'!V30</f>
        <v>0</v>
      </c>
      <c r="W30" s="268">
        <f>'收入（汇总）'!X30-'收入（关联）'!W30</f>
        <v>0</v>
      </c>
      <c r="X30" s="268">
        <f>'收入（汇总）'!Y30-'收入（关联）'!X30</f>
        <v>0</v>
      </c>
      <c r="Y30" s="268">
        <f>'收入（汇总）'!Z30-'收入（关联）'!Y30</f>
        <v>0</v>
      </c>
      <c r="Z30" s="268">
        <f>'收入（汇总）'!AA30-'收入（关联）'!Z30</f>
        <v>0</v>
      </c>
      <c r="AA30" s="268">
        <f>'收入（汇总）'!AB30-'收入（关联）'!AA30</f>
        <v>0</v>
      </c>
      <c r="AB30" s="268">
        <f>'收入（汇总）'!AC30-'收入（关联）'!AB30</f>
        <v>0</v>
      </c>
      <c r="AC30" s="286">
        <f>'收入（汇总）'!AD30-'收入（关联）'!AC30</f>
        <v>0</v>
      </c>
      <c r="AD30" s="286">
        <f>'收入（汇总）'!AE30-'收入（关联）'!AD30</f>
        <v>0</v>
      </c>
      <c r="AE30" s="286">
        <f>'收入（汇总）'!AF30-'收入（关联）'!AE30</f>
        <v>0</v>
      </c>
      <c r="AF30" s="286">
        <f>'收入（汇总）'!AG30-'收入（关联）'!AF30</f>
        <v>0</v>
      </c>
      <c r="AG30" s="286">
        <f>'收入（汇总）'!AH30-'收入（关联）'!AG30</f>
        <v>0</v>
      </c>
      <c r="AH30" s="286">
        <f>'收入（汇总）'!AI30-'收入（关联）'!AH30</f>
        <v>0</v>
      </c>
      <c r="AI30" s="286">
        <f>'收入（汇总）'!AJ30-'收入（关联）'!AI30</f>
        <v>0</v>
      </c>
      <c r="AJ30" s="286">
        <f>'收入（汇总）'!AK30-'收入（关联）'!AJ30</f>
        <v>0</v>
      </c>
      <c r="AK30" s="286">
        <f>'收入（汇总）'!AL30-'收入（关联）'!AK30</f>
        <v>0</v>
      </c>
      <c r="AL30" s="286">
        <f>'收入（汇总）'!AM30-'收入（关联）'!AL30</f>
        <v>0</v>
      </c>
      <c r="AM30" s="286">
        <f>'收入（汇总）'!AN30-'收入（关联）'!AM30</f>
        <v>0</v>
      </c>
      <c r="AN30" s="286">
        <f>'收入（汇总）'!AO30-'收入（关联）'!AN30</f>
        <v>0</v>
      </c>
      <c r="AO30" s="286">
        <f>'收入（汇总）'!AP30-'收入（关联）'!AO30</f>
        <v>0</v>
      </c>
      <c r="AP30" s="286">
        <f>'收入（汇总）'!AQ30-'收入（关联）'!AP30</f>
        <v>0</v>
      </c>
      <c r="AQ30" s="286">
        <f>'收入（汇总）'!AR30-'收入（关联）'!AQ30</f>
        <v>0</v>
      </c>
      <c r="AR30" s="286">
        <f>'收入（汇总）'!AS30-'收入（关联）'!AR30</f>
        <v>0</v>
      </c>
      <c r="AS30" s="286">
        <f>'收入（汇总）'!AT30-'收入（关联）'!AS30</f>
        <v>0</v>
      </c>
      <c r="AT30" s="286">
        <f>'收入（汇总）'!AU30-'收入（关联）'!AT30</f>
        <v>0</v>
      </c>
      <c r="AU30" s="286">
        <f>'收入（汇总）'!AV30-'收入（关联）'!AU30</f>
        <v>0</v>
      </c>
      <c r="AV30" s="254">
        <f>'收入（汇总）'!AW30-'收入（关联）'!AV30</f>
        <v>0</v>
      </c>
      <c r="AW30" s="254">
        <f>'收入（汇总）'!AX30-'收入（关联）'!AW30</f>
        <v>0</v>
      </c>
      <c r="AX30" s="254">
        <f>'收入（汇总）'!AY30-'收入（关联）'!AX30</f>
        <v>0</v>
      </c>
      <c r="AY30" s="254">
        <f>'收入（汇总）'!AZ30-'收入（关联）'!AY30</f>
        <v>0</v>
      </c>
      <c r="BA30" s="275">
        <f t="shared" si="0"/>
        <v>0</v>
      </c>
    </row>
    <row r="31" spans="1:53">
      <c r="A31" s="266" t="str">
        <f>'收入（汇总）'!B31</f>
        <v>环境监测公司</v>
      </c>
      <c r="B31" s="267"/>
      <c r="C31" s="267">
        <f>'收入（汇总）'!D31-'收入（关联）'!C31</f>
        <v>0</v>
      </c>
      <c r="D31" s="267">
        <f>'收入（汇总）'!E31-'收入（关联）'!D31</f>
        <v>0</v>
      </c>
      <c r="E31" s="267">
        <f>'收入（汇总）'!F31-'收入（关联）'!E31</f>
        <v>0</v>
      </c>
      <c r="F31" s="267">
        <f>'收入（汇总）'!G31-'收入（关联）'!F31</f>
        <v>0</v>
      </c>
      <c r="G31" s="267">
        <f>'收入（汇总）'!H31-'收入（关联）'!G31</f>
        <v>0</v>
      </c>
      <c r="H31" s="267">
        <f>'收入（汇总）'!I31-'收入（关联）'!H31</f>
        <v>0</v>
      </c>
      <c r="I31" s="267">
        <f>'收入（汇总）'!J31-'收入（关联）'!I31</f>
        <v>0</v>
      </c>
      <c r="J31" s="267">
        <f>'收入（汇总）'!K31-'收入（关联）'!J31</f>
        <v>0</v>
      </c>
      <c r="K31" s="267">
        <f>'收入（汇总）'!L31-'收入（关联）'!K31</f>
        <v>0</v>
      </c>
      <c r="L31" s="267">
        <f>'收入（汇总）'!M31-'收入（关联）'!L31</f>
        <v>0</v>
      </c>
      <c r="M31" s="267">
        <f>'收入（汇总）'!N31-'收入（关联）'!M31</f>
        <v>0</v>
      </c>
      <c r="N31" s="267">
        <f>'收入（汇总）'!O31-'收入（关联）'!N31</f>
        <v>0</v>
      </c>
      <c r="O31" s="267">
        <f>'收入（汇总）'!P31-'收入（关联）'!O31</f>
        <v>0</v>
      </c>
      <c r="P31" s="267">
        <f>'收入（汇总）'!Q31-'收入（关联）'!P31</f>
        <v>0</v>
      </c>
      <c r="Q31" s="267">
        <f>'收入（汇总）'!R31-'收入（关联）'!Q31</f>
        <v>0</v>
      </c>
      <c r="R31" s="267">
        <f>'收入（汇总）'!S31-'收入（关联）'!R31</f>
        <v>0</v>
      </c>
      <c r="S31" s="267">
        <f>'收入（汇总）'!T31-'收入（关联）'!S31</f>
        <v>0</v>
      </c>
      <c r="T31" s="267">
        <f>'收入（汇总）'!U31-'收入（关联）'!T31</f>
        <v>0</v>
      </c>
      <c r="U31" s="267">
        <f>'收入（汇总）'!V31-'收入（关联）'!U31</f>
        <v>0</v>
      </c>
      <c r="V31" s="267">
        <f>'收入（汇总）'!W31-'收入（关联）'!V31</f>
        <v>0</v>
      </c>
      <c r="W31" s="267">
        <f>'收入（汇总）'!X31-'收入（关联）'!W31</f>
        <v>0.49301900000000387</v>
      </c>
      <c r="X31" s="267">
        <f>'收入（汇总）'!Y31-'收入（关联）'!X31</f>
        <v>0</v>
      </c>
      <c r="Y31" s="267">
        <f>'收入（汇总）'!Z31-'收入（关联）'!Y31</f>
        <v>0</v>
      </c>
      <c r="Z31" s="267">
        <f>'收入（汇总）'!AA31-'收入（关联）'!Z31</f>
        <v>0</v>
      </c>
      <c r="AA31" s="267">
        <f>'收入（汇总）'!AB31-'收入（关联）'!AA31</f>
        <v>0</v>
      </c>
      <c r="AB31" s="267">
        <f>'收入（汇总）'!AC31-'收入（关联）'!AB31</f>
        <v>0</v>
      </c>
      <c r="AC31" s="279">
        <f>'收入（汇总）'!AD31-'收入（关联）'!AC31</f>
        <v>0</v>
      </c>
      <c r="AD31" s="279">
        <f>'收入（汇总）'!AE31-'收入（关联）'!AD31</f>
        <v>0</v>
      </c>
      <c r="AE31" s="279">
        <f>'收入（汇总）'!AF31-'收入（关联）'!AE31</f>
        <v>0</v>
      </c>
      <c r="AF31" s="279">
        <f>'收入（汇总）'!AG31-'收入（关联）'!AF31</f>
        <v>0</v>
      </c>
      <c r="AG31" s="279">
        <f>'收入（汇总）'!AH31-'收入（关联）'!AG31</f>
        <v>0.6809430000000134</v>
      </c>
      <c r="AH31" s="279">
        <f>'收入（汇总）'!AI31-'收入（关联）'!AH31</f>
        <v>0</v>
      </c>
      <c r="AI31" s="279">
        <f>'收入（汇总）'!AJ31-'收入（关联）'!AI31</f>
        <v>0</v>
      </c>
      <c r="AJ31" s="279">
        <f>'收入（汇总）'!AK31-'收入（关联）'!AJ31</f>
        <v>0</v>
      </c>
      <c r="AK31" s="279">
        <f>'收入（汇总）'!AL31-'收入（关联）'!AK31</f>
        <v>0.84905600000000003</v>
      </c>
      <c r="AL31" s="279">
        <f>'收入（汇总）'!AM31-'收入（关联）'!AL31</f>
        <v>3.4443389999999994</v>
      </c>
      <c r="AM31" s="279">
        <f>'收入（汇总）'!AN31-'收入（关联）'!AM31</f>
        <v>0</v>
      </c>
      <c r="AN31" s="279">
        <f>'收入（汇总）'!AO31-'收入（关联）'!AN31</f>
        <v>0</v>
      </c>
      <c r="AO31" s="279">
        <f>'收入（汇总）'!AP31-'收入（关联）'!AO31</f>
        <v>0</v>
      </c>
      <c r="AP31" s="279">
        <f>'收入（汇总）'!AQ31-'收入（关联）'!AP31</f>
        <v>0</v>
      </c>
      <c r="AQ31" s="279">
        <f>'收入（汇总）'!AR31-'收入（关联）'!AQ31</f>
        <v>0.28301899999999591</v>
      </c>
      <c r="AR31" s="279">
        <f>'收入（汇总）'!AS31-'收入（关联）'!AR31</f>
        <v>0.38349099999999225</v>
      </c>
      <c r="AS31" s="279">
        <f>'收入（汇总）'!AT31-'收入（关联）'!AS31</f>
        <v>9.4339999999988322E-2</v>
      </c>
      <c r="AT31" s="279">
        <f>'收入（汇总）'!AU31-'收入（关联）'!AT31</f>
        <v>-55.172076000000004</v>
      </c>
      <c r="AU31" s="279">
        <f>'收入（汇总）'!AV31-'收入（关联）'!AU31</f>
        <v>0.74339299999996911</v>
      </c>
      <c r="AV31" s="266">
        <f>'收入（汇总）'!AW31-'收入（关联）'!AV31</f>
        <v>0</v>
      </c>
      <c r="AW31" s="266">
        <f>'收入（汇总）'!AX31-'收入（关联）'!AW31</f>
        <v>0</v>
      </c>
      <c r="AX31" s="266">
        <f>'收入（汇总）'!AY31-'收入（关联）'!AX31</f>
        <v>0</v>
      </c>
      <c r="AY31" s="266">
        <f>'收入（汇总）'!AZ31-'收入（关联）'!AY31</f>
        <v>0</v>
      </c>
      <c r="BA31" s="275">
        <f t="shared" si="0"/>
        <v>-53.667833000000059</v>
      </c>
    </row>
    <row r="32" spans="1:53">
      <c r="A32" s="266" t="s">
        <v>135</v>
      </c>
      <c r="B32" s="267"/>
      <c r="C32" s="267">
        <f>'收入（汇总）'!D32-'收入（关联）'!C32</f>
        <v>0</v>
      </c>
      <c r="D32" s="267">
        <f>'收入（汇总）'!E32-'收入（关联）'!D32</f>
        <v>0</v>
      </c>
      <c r="E32" s="267">
        <f>'收入（汇总）'!F32-'收入（关联）'!E32</f>
        <v>0</v>
      </c>
      <c r="F32" s="267">
        <f>'收入（汇总）'!G32-'收入（关联）'!F32</f>
        <v>0</v>
      </c>
      <c r="G32" s="267">
        <f>'收入（汇总）'!H32-'收入（关联）'!G32</f>
        <v>0</v>
      </c>
      <c r="H32" s="267">
        <f>'收入（汇总）'!I32-'收入（关联）'!H32</f>
        <v>0</v>
      </c>
      <c r="I32" s="267">
        <f>'收入（汇总）'!J32-'收入（关联）'!I32</f>
        <v>0</v>
      </c>
      <c r="J32" s="267">
        <f>'收入（汇总）'!K32-'收入（关联）'!J32</f>
        <v>0</v>
      </c>
      <c r="K32" s="267">
        <f>'收入（汇总）'!L32-'收入（关联）'!K32</f>
        <v>0</v>
      </c>
      <c r="L32" s="267">
        <f>'收入（汇总）'!M32-'收入（关联）'!L32</f>
        <v>0</v>
      </c>
      <c r="M32" s="267">
        <f>'收入（汇总）'!N32-'收入（关联）'!M32</f>
        <v>0</v>
      </c>
      <c r="N32" s="267">
        <f>'收入（汇总）'!O32-'收入（关联）'!N32</f>
        <v>0</v>
      </c>
      <c r="O32" s="267">
        <f>'收入（汇总）'!P32-'收入（关联）'!O32</f>
        <v>0</v>
      </c>
      <c r="P32" s="267">
        <f>'收入（汇总）'!Q32-'收入（关联）'!P32</f>
        <v>0</v>
      </c>
      <c r="Q32" s="267">
        <f>'收入（汇总）'!R32-'收入（关联）'!Q32</f>
        <v>0</v>
      </c>
      <c r="R32" s="267">
        <f>'收入（汇总）'!S32-'收入（关联）'!R32</f>
        <v>0</v>
      </c>
      <c r="S32" s="267">
        <f>'收入（汇总）'!T32-'收入（关联）'!S32</f>
        <v>0</v>
      </c>
      <c r="T32" s="267">
        <f>'收入（汇总）'!U32-'收入（关联）'!T32</f>
        <v>0</v>
      </c>
      <c r="U32" s="267">
        <f>'收入（汇总）'!V32-'收入（关联）'!U32</f>
        <v>0</v>
      </c>
      <c r="V32" s="267">
        <f>'收入（汇总）'!W32-'收入（关联）'!V32</f>
        <v>0</v>
      </c>
      <c r="W32" s="267">
        <f>'收入（汇总）'!X32-'收入（关联）'!W32</f>
        <v>0</v>
      </c>
      <c r="X32" s="267">
        <f>'收入（汇总）'!Y32-'收入（关联）'!X32</f>
        <v>0</v>
      </c>
      <c r="Y32" s="267">
        <f>'收入（汇总）'!Z32-'收入（关联）'!Y32</f>
        <v>0</v>
      </c>
      <c r="Z32" s="267">
        <f>'收入（汇总）'!AA32-'收入（关联）'!Z32</f>
        <v>0</v>
      </c>
      <c r="AA32" s="267">
        <f>'收入（汇总）'!AB32-'收入（关联）'!AA32</f>
        <v>0</v>
      </c>
      <c r="AB32" s="267">
        <f>'收入（汇总）'!AC32-'收入（关联）'!AB32</f>
        <v>0</v>
      </c>
      <c r="AC32" s="279">
        <f>'收入（汇总）'!AD32-'收入（关联）'!AC32</f>
        <v>0</v>
      </c>
      <c r="AD32" s="279">
        <f>'收入（汇总）'!AE32-'收入（关联）'!AD32</f>
        <v>0</v>
      </c>
      <c r="AE32" s="279">
        <f>'收入（汇总）'!AF32-'收入（关联）'!AE32</f>
        <v>0</v>
      </c>
      <c r="AF32" s="279">
        <f>'收入（汇总）'!AG32-'收入（关联）'!AF32</f>
        <v>0</v>
      </c>
      <c r="AG32" s="279">
        <f>'收入（汇总）'!AH32-'收入（关联）'!AG32</f>
        <v>0</v>
      </c>
      <c r="AH32" s="279">
        <f>'收入（汇总）'!AI32-'收入（关联）'!AH32</f>
        <v>0</v>
      </c>
      <c r="AI32" s="279">
        <f>'收入（汇总）'!AJ32-'收入（关联）'!AI32</f>
        <v>0</v>
      </c>
      <c r="AJ32" s="279">
        <f>'收入（汇总）'!AK32-'收入（关联）'!AJ32</f>
        <v>0</v>
      </c>
      <c r="AK32" s="279">
        <f>'收入（汇总）'!AL32-'收入（关联）'!AK32</f>
        <v>0</v>
      </c>
      <c r="AL32" s="279">
        <f>'收入（汇总）'!AM32-'收入（关联）'!AL32</f>
        <v>0</v>
      </c>
      <c r="AM32" s="279">
        <f>'收入（汇总）'!AN32-'收入（关联）'!AM32</f>
        <v>0</v>
      </c>
      <c r="AN32" s="279">
        <f>'收入（汇总）'!AO32-'收入（关联）'!AN32</f>
        <v>0</v>
      </c>
      <c r="AO32" s="279">
        <f>'收入（汇总）'!AP32-'收入（关联）'!AO32</f>
        <v>0</v>
      </c>
      <c r="AP32" s="279">
        <f>'收入（汇总）'!AQ32-'收入（关联）'!AP32</f>
        <v>0</v>
      </c>
      <c r="AQ32" s="279">
        <f>'收入（汇总）'!AR32-'收入（关联）'!AQ32</f>
        <v>0</v>
      </c>
      <c r="AR32" s="266">
        <f>'收入（汇总）'!AS32-'收入（关联）'!AR32</f>
        <v>0</v>
      </c>
      <c r="AS32" s="279">
        <f>'收入（汇总）'!AT32-'收入（关联）'!AS32</f>
        <v>0</v>
      </c>
      <c r="AT32" s="266">
        <f>'收入（汇总）'!AU32-'收入（关联）'!AT32</f>
        <v>0</v>
      </c>
      <c r="AU32" s="266">
        <f>'收入（汇总）'!AV32-'收入（关联）'!AU32</f>
        <v>0</v>
      </c>
      <c r="AV32" s="266">
        <f>'收入（汇总）'!AW32-'收入（关联）'!AV32</f>
        <v>0</v>
      </c>
      <c r="AW32" s="266">
        <f>'收入（汇总）'!AX32-'收入（关联）'!AW32</f>
        <v>0</v>
      </c>
      <c r="AX32" s="266">
        <f>'收入（汇总）'!AY32-'收入（关联）'!AX32</f>
        <v>0</v>
      </c>
      <c r="AY32" s="266">
        <f>'收入（汇总）'!AZ32-'收入（关联）'!AY32</f>
        <v>0</v>
      </c>
      <c r="BA32" s="275">
        <f t="shared" si="0"/>
        <v>0</v>
      </c>
    </row>
    <row r="33" spans="1:53">
      <c r="A33" s="266" t="str">
        <f>'收入（汇总）'!B33</f>
        <v>先进材料研究院</v>
      </c>
      <c r="B33" s="267">
        <f>'收入（汇总）'!C33-'收入（关联）'!B33</f>
        <v>0</v>
      </c>
      <c r="C33" s="267">
        <f>'收入（汇总）'!D33-'收入（关联）'!C33</f>
        <v>0</v>
      </c>
      <c r="D33" s="267">
        <f>'收入（汇总）'!E33-'收入（关联）'!D33</f>
        <v>0</v>
      </c>
      <c r="E33" s="267">
        <f>'收入（汇总）'!F33-'收入（关联）'!E33</f>
        <v>0</v>
      </c>
      <c r="F33" s="267">
        <f>'收入（汇总）'!G33-'收入（关联）'!F33</f>
        <v>0</v>
      </c>
      <c r="G33" s="267">
        <f>'收入（汇总）'!H33-'收入（关联）'!G33</f>
        <v>0</v>
      </c>
      <c r="H33" s="267">
        <f>'收入（汇总）'!I33-'收入（关联）'!H33</f>
        <v>0</v>
      </c>
      <c r="I33" s="267">
        <f>'收入（汇总）'!J33-'收入（关联）'!I33</f>
        <v>0</v>
      </c>
      <c r="J33" s="267">
        <f>'收入（汇总）'!K33-'收入（关联）'!J33</f>
        <v>0</v>
      </c>
      <c r="K33" s="267">
        <f>'收入（汇总）'!L33-'收入（关联）'!K33</f>
        <v>0</v>
      </c>
      <c r="L33" s="267">
        <f>'收入（汇总）'!M33-'收入（关联）'!L33</f>
        <v>0</v>
      </c>
      <c r="M33" s="267">
        <f>'收入（汇总）'!N33-'收入（关联）'!M33</f>
        <v>0</v>
      </c>
      <c r="N33" s="267">
        <f>'收入（汇总）'!O33-'收入（关联）'!N33</f>
        <v>0</v>
      </c>
      <c r="O33" s="267">
        <f>'收入（汇总）'!P33-'收入（关联）'!O33</f>
        <v>0</v>
      </c>
      <c r="P33" s="267">
        <f>'收入（汇总）'!Q33-'收入（关联）'!P33</f>
        <v>0</v>
      </c>
      <c r="Q33" s="267">
        <f>'收入（汇总）'!R33-'收入（关联）'!Q33</f>
        <v>0</v>
      </c>
      <c r="R33" s="267">
        <f>'收入（汇总）'!S33-'收入（关联）'!R33</f>
        <v>0</v>
      </c>
      <c r="S33" s="267">
        <f>'收入（汇总）'!T33-'收入（关联）'!S33</f>
        <v>0</v>
      </c>
      <c r="T33" s="267">
        <f>'收入（汇总）'!U33-'收入（关联）'!T33</f>
        <v>0</v>
      </c>
      <c r="U33" s="267">
        <f>'收入（汇总）'!V33-'收入（关联）'!U33</f>
        <v>0</v>
      </c>
      <c r="V33" s="267">
        <f>'收入（汇总）'!W33-'收入（关联）'!V33</f>
        <v>0</v>
      </c>
      <c r="W33" s="267">
        <f>'收入（汇总）'!X33-'收入（关联）'!W33</f>
        <v>0</v>
      </c>
      <c r="X33" s="267">
        <f>'收入（汇总）'!Y33-'收入（关联）'!X33</f>
        <v>0</v>
      </c>
      <c r="Y33" s="267">
        <f>'收入（汇总）'!Z33-'收入（关联）'!Y33</f>
        <v>0</v>
      </c>
      <c r="Z33" s="267">
        <f>'收入（汇总）'!AA33-'收入（关联）'!Z33</f>
        <v>0</v>
      </c>
      <c r="AA33" s="267">
        <f>'收入（汇总）'!AB33-'收入（关联）'!AA33</f>
        <v>0</v>
      </c>
      <c r="AB33" s="267">
        <f>'收入（汇总）'!AC33-'收入（关联）'!AB33</f>
        <v>0</v>
      </c>
      <c r="AC33" s="279">
        <f>'收入（汇总）'!AD33-'收入（关联）'!AC33</f>
        <v>0</v>
      </c>
      <c r="AD33" s="279">
        <f>'收入（汇总）'!AE33-'收入（关联）'!AD33</f>
        <v>0</v>
      </c>
      <c r="AE33" s="279">
        <f>'收入（汇总）'!AF33-'收入（关联）'!AE33</f>
        <v>0</v>
      </c>
      <c r="AF33" s="279">
        <f>'收入（汇总）'!AG33-'收入（关联）'!AF33</f>
        <v>0</v>
      </c>
      <c r="AG33" s="279">
        <f>'收入（汇总）'!AH33-'收入（关联）'!AG33</f>
        <v>0</v>
      </c>
      <c r="AH33" s="279">
        <f>'收入（汇总）'!AI33-'收入（关联）'!AH33</f>
        <v>0</v>
      </c>
      <c r="AI33" s="279">
        <f>'收入（汇总）'!AJ33-'收入（关联）'!AI33</f>
        <v>0</v>
      </c>
      <c r="AJ33" s="279">
        <f>'收入（汇总）'!AK33-'收入（关联）'!AJ33</f>
        <v>0</v>
      </c>
      <c r="AK33" s="279">
        <f>'收入（汇总）'!AL33-'收入（关联）'!AK33</f>
        <v>0</v>
      </c>
      <c r="AL33" s="279">
        <f>'收入（汇总）'!AM33-'收入（关联）'!AL33</f>
        <v>0</v>
      </c>
      <c r="AM33" s="279">
        <f>'收入（汇总）'!AN33-'收入（关联）'!AM33</f>
        <v>0</v>
      </c>
      <c r="AN33" s="279">
        <f>'收入（汇总）'!AO33-'收入（关联）'!AN33</f>
        <v>0</v>
      </c>
      <c r="AO33" s="279">
        <f>'收入（汇总）'!AP33-'收入（关联）'!AO33</f>
        <v>0</v>
      </c>
      <c r="AP33" s="279">
        <f>'收入（汇总）'!AQ33-'收入（关联）'!AP33</f>
        <v>0</v>
      </c>
      <c r="AQ33" s="279">
        <f>'收入（汇总）'!AR33-'收入（关联）'!AQ33</f>
        <v>0</v>
      </c>
      <c r="AR33" s="266">
        <f>'收入（汇总）'!AS33-'收入（关联）'!AR33</f>
        <v>0</v>
      </c>
      <c r="AS33" s="279">
        <f>'收入（汇总）'!AT33-'收入（关联）'!AS33</f>
        <v>0</v>
      </c>
      <c r="AT33" s="266">
        <f>'收入（汇总）'!AU33-'收入（关联）'!AT33</f>
        <v>0</v>
      </c>
      <c r="AU33" s="266">
        <f>'收入（汇总）'!AV33-'收入（关联）'!AU33</f>
        <v>0</v>
      </c>
      <c r="AV33" s="266">
        <f>'收入（汇总）'!AW33-'收入（关联）'!AV33</f>
        <v>0</v>
      </c>
      <c r="AW33" s="266">
        <f>'收入（汇总）'!AX33-'收入（关联）'!AW33</f>
        <v>0</v>
      </c>
      <c r="AX33" s="266">
        <f>'收入（汇总）'!AY33-'收入（关联）'!AX33</f>
        <v>0</v>
      </c>
      <c r="AY33" s="266">
        <f>'收入（汇总）'!AZ33-'收入（关联）'!AY33</f>
        <v>0</v>
      </c>
      <c r="BA33" s="275">
        <f t="shared" si="0"/>
        <v>0</v>
      </c>
    </row>
    <row r="34" spans="1:53" s="255" customFormat="1">
      <c r="A34" s="255" t="str">
        <f>'收入（汇总）'!B34</f>
        <v>医疗公司</v>
      </c>
      <c r="B34" s="269">
        <f>'收入（汇总）'!C34-'收入（关联）'!B34</f>
        <v>61443.949515</v>
      </c>
      <c r="C34" s="269">
        <f>'收入（汇总）'!D34-'收入（关联）'!C34</f>
        <v>6372.9404519999998</v>
      </c>
      <c r="D34" s="269">
        <f>'收入（汇总）'!E34-'收入（关联）'!D34</f>
        <v>6259.3600610000003</v>
      </c>
      <c r="E34" s="269">
        <f>'收入（汇总）'!F34-'收入（关联）'!E34</f>
        <v>4828.6958269999996</v>
      </c>
      <c r="F34" s="269">
        <f>'收入（汇总）'!G34-'收入（关联）'!F34</f>
        <v>5981.0719849999996</v>
      </c>
      <c r="G34" s="269">
        <f>'收入（汇总）'!H34-'收入（关联）'!G34</f>
        <v>6447.9069040000004</v>
      </c>
      <c r="H34" s="269">
        <f>'收入（汇总）'!I34-'收入（关联）'!H34</f>
        <v>6165.3147090000002</v>
      </c>
      <c r="I34" s="269">
        <f>'收入（汇总）'!J34-'收入（关联）'!I34</f>
        <v>6297.9066919999996</v>
      </c>
      <c r="J34" s="269">
        <f>'收入（汇总）'!K34-'收入（关联）'!J34</f>
        <v>6077.3006439999999</v>
      </c>
      <c r="K34" s="269">
        <f>'收入（汇总）'!L34-'收入（关联）'!K34</f>
        <v>6056.5063630000004</v>
      </c>
      <c r="L34" s="269">
        <f>'收入（汇总）'!M34-'收入（关联）'!L34</f>
        <v>5854.0958049999999</v>
      </c>
      <c r="M34" s="269">
        <f>'收入（汇总）'!N34-'收入（关联）'!M34</f>
        <v>5503.3727589999999</v>
      </c>
      <c r="N34" s="269">
        <f>'收入（汇总）'!O34-'收入（关联）'!N34</f>
        <v>6858.24622</v>
      </c>
      <c r="O34" s="269">
        <f>'收入（汇总）'!P34-'收入（关联）'!O34</f>
        <v>7016.5603039999996</v>
      </c>
      <c r="P34" s="269">
        <f>'收入（汇总）'!Q34-'收入（关联）'!P34</f>
        <v>6123.5476269999999</v>
      </c>
      <c r="Q34" s="269">
        <f>'收入（汇总）'!R34-'收入（关联）'!Q34</f>
        <v>5835.6524959999997</v>
      </c>
      <c r="R34" s="269">
        <f>'收入（汇总）'!S34-'收入（关联）'!R34</f>
        <v>8066.4382879999994</v>
      </c>
      <c r="S34" s="269">
        <f>'收入（汇总）'!T34-'收入（关联）'!S34</f>
        <v>7765.9904580000002</v>
      </c>
      <c r="T34" s="269">
        <f>'收入（汇总）'!U34-'收入（关联）'!T34</f>
        <v>7126.0826809999999</v>
      </c>
      <c r="U34" s="269">
        <f>'收入（汇总）'!V34-'收入（关联）'!U34</f>
        <v>7482.2334170000004</v>
      </c>
      <c r="V34" s="269">
        <f>'收入（汇总）'!W34-'收入（关联）'!V34</f>
        <v>7406.2876509999996</v>
      </c>
      <c r="W34" s="269">
        <f>'收入（汇总）'!X34-'收入（关联）'!W34</f>
        <v>7127.8646129999997</v>
      </c>
      <c r="X34" s="269">
        <f>'收入（汇总）'!Y34-'收入（关联）'!X34</f>
        <v>7404.2994829999998</v>
      </c>
      <c r="Y34" s="269">
        <f>'收入（汇总）'!Z34-'收入（关联）'!Y34</f>
        <v>6654.6378439999999</v>
      </c>
      <c r="Z34" s="269">
        <f>'收入（汇总）'!AA34-'收入（关联）'!Z34</f>
        <v>7318.8249619999997</v>
      </c>
      <c r="AA34" s="269">
        <f>'收入（汇总）'!AB34-'收入（关联）'!AA34</f>
        <v>7845.5041220000003</v>
      </c>
      <c r="AB34" s="269">
        <f>'收入（汇总）'!AC34-'收入（关联）'!AB34</f>
        <v>5347.8662359999998</v>
      </c>
      <c r="AC34" s="287">
        <f>'收入（汇总）'!AD34-'收入（关联）'!AC34</f>
        <v>3310.5383299999999</v>
      </c>
      <c r="AD34" s="287">
        <f>'收入（汇总）'!AE34-'收入（关联）'!AD34</f>
        <v>4656.3945320000003</v>
      </c>
      <c r="AE34" s="287">
        <f>'收入（汇总）'!AF34-'收入（关联）'!AE34</f>
        <v>6336.2365599999994</v>
      </c>
      <c r="AF34" s="287">
        <f>'收入（汇总）'!AG34-'收入（关联）'!AF34</f>
        <v>5945.7308359999997</v>
      </c>
      <c r="AG34" s="287">
        <f>'收入（汇总）'!AH34-'收入（关联）'!AG34</f>
        <v>6362.0767019999994</v>
      </c>
      <c r="AH34" s="287">
        <f>'收入（汇总）'!AI34-'收入（关联）'!AH34</f>
        <v>5486.7066990000003</v>
      </c>
      <c r="AI34" s="287">
        <f>'收入（汇总）'!AJ34-'收入（关联）'!AI34</f>
        <v>6165.744541</v>
      </c>
      <c r="AJ34" s="287">
        <f>'收入（汇总）'!AK34-'收入（关联）'!AJ34</f>
        <v>6172.436326</v>
      </c>
      <c r="AK34" s="287">
        <f>'收入（汇总）'!AL34-'收入（关联）'!AK34</f>
        <v>5139.5052759999999</v>
      </c>
      <c r="AL34" s="287">
        <f>'收入（汇总）'!AM34-'收入（关联）'!AL34</f>
        <v>6807.7981519999994</v>
      </c>
      <c r="AM34" s="287">
        <f>'收入（汇总）'!AN34-'收入（关联）'!AM34</f>
        <v>7316.2087460000002</v>
      </c>
      <c r="AN34" s="287">
        <f>'收入（汇总）'!AO34-'收入（关联）'!AN34</f>
        <v>0</v>
      </c>
      <c r="AO34" s="287">
        <f>'收入（汇总）'!AP34-'收入（关联）'!AO34</f>
        <v>0</v>
      </c>
      <c r="AP34" s="287">
        <f>'收入（汇总）'!AQ34-'收入（关联）'!AP34</f>
        <v>0</v>
      </c>
      <c r="AQ34" s="287">
        <f>'收入（汇总）'!AR34-'收入（关联）'!AQ34</f>
        <v>0</v>
      </c>
      <c r="AR34" s="287">
        <f>'收入（汇总）'!AS34-'收入（关联）'!AR34</f>
        <v>0</v>
      </c>
      <c r="AS34" s="287">
        <f>'收入（汇总）'!AT34-'收入（关联）'!AS34</f>
        <v>0</v>
      </c>
      <c r="AT34" s="255">
        <f>'收入（汇总）'!AU34-'收入（关联）'!AT34</f>
        <v>0</v>
      </c>
      <c r="AU34" s="255">
        <f>'收入（汇总）'!AV34-'收入（关联）'!AU34</f>
        <v>0</v>
      </c>
      <c r="AV34" s="255">
        <f>'收入（汇总）'!AW34-'收入（关联）'!AV34</f>
        <v>0</v>
      </c>
      <c r="AW34" s="255">
        <f>'收入（汇总）'!AX34-'收入（关联）'!AW34</f>
        <v>0</v>
      </c>
      <c r="AX34" s="255">
        <f>'收入（汇总）'!AY34-'收入（关联）'!AX34</f>
        <v>0</v>
      </c>
      <c r="AY34" s="255">
        <f>'收入（汇总）'!AZ34-'收入（关联）'!AY34</f>
        <v>0</v>
      </c>
      <c r="BA34" s="275">
        <f t="shared" si="0"/>
        <v>0</v>
      </c>
    </row>
    <row r="35" spans="1:53">
      <c r="A35" s="266" t="str">
        <f>'收入（汇总）'!B35</f>
        <v>峨口农业</v>
      </c>
      <c r="B35" s="267">
        <f>'收入（汇总）'!C35-'收入（关联）'!B35</f>
        <v>0</v>
      </c>
      <c r="C35" s="267">
        <f>'收入（汇总）'!D35-'收入（关联）'!C35</f>
        <v>0</v>
      </c>
      <c r="D35" s="267">
        <f>'收入（汇总）'!E35-'收入（关联）'!D35</f>
        <v>0</v>
      </c>
      <c r="E35" s="267">
        <f>'收入（汇总）'!F35-'收入（关联）'!E35</f>
        <v>0</v>
      </c>
      <c r="F35" s="267">
        <f>'收入（汇总）'!G35-'收入（关联）'!F35</f>
        <v>0</v>
      </c>
      <c r="G35" s="267">
        <f>'收入（汇总）'!H35-'收入（关联）'!G35</f>
        <v>0</v>
      </c>
      <c r="H35" s="267">
        <f>'收入（汇总）'!I35-'收入（关联）'!H35</f>
        <v>34.971429000000001</v>
      </c>
      <c r="I35" s="267">
        <f>'收入（汇总）'!J35-'收入（关联）'!I35</f>
        <v>0</v>
      </c>
      <c r="J35" s="267">
        <f>'收入（汇总）'!K35-'收入（关联）'!J35</f>
        <v>0</v>
      </c>
      <c r="K35" s="267">
        <f>'收入（汇总）'!L35-'收入（关联）'!K35</f>
        <v>0.79500000000000004</v>
      </c>
      <c r="L35" s="267">
        <f>'收入（汇总）'!M35-'收入（关联）'!L35</f>
        <v>0</v>
      </c>
      <c r="M35" s="267">
        <f>'收入（汇总）'!N35-'收入（关联）'!M35</f>
        <v>0</v>
      </c>
      <c r="N35" s="267">
        <f>'收入（汇总）'!O35-'收入（关联）'!N35</f>
        <v>0</v>
      </c>
      <c r="O35" s="267">
        <f>'收入（汇总）'!P35-'收入（关联）'!O35</f>
        <v>0</v>
      </c>
      <c r="P35" s="267">
        <f>'收入（汇总）'!Q35-'收入（关联）'!P35</f>
        <v>0</v>
      </c>
      <c r="Q35" s="267">
        <f>'收入（汇总）'!R35-'收入（关联）'!Q35</f>
        <v>0</v>
      </c>
      <c r="R35" s="267">
        <f>'收入（汇总）'!S35-'收入（关联）'!R35</f>
        <v>0</v>
      </c>
      <c r="S35" s="267">
        <f>'收入（汇总）'!T35-'收入（关联）'!S35</f>
        <v>0</v>
      </c>
      <c r="T35" s="267">
        <f>'收入（汇总）'!U35-'收入（关联）'!T35</f>
        <v>0</v>
      </c>
      <c r="U35" s="267">
        <f>'收入（汇总）'!V35-'收入（关联）'!U35</f>
        <v>0</v>
      </c>
      <c r="V35" s="267">
        <f>'收入（汇总）'!W35-'收入（关联）'!V35</f>
        <v>0</v>
      </c>
      <c r="W35" s="267">
        <f>'收入（汇总）'!X35-'收入（关联）'!W35</f>
        <v>0</v>
      </c>
      <c r="X35" s="267">
        <f>'收入（汇总）'!Y35-'收入（关联）'!X35</f>
        <v>0</v>
      </c>
      <c r="Y35" s="267">
        <f>'收入（汇总）'!Z35-'收入（关联）'!Y35</f>
        <v>0</v>
      </c>
      <c r="Z35" s="267">
        <f>'收入（汇总）'!AA35-'收入（关联）'!Z35</f>
        <v>0</v>
      </c>
      <c r="AA35" s="267">
        <f>'收入（汇总）'!AB35-'收入（关联）'!AA35</f>
        <v>0</v>
      </c>
      <c r="AB35" s="267">
        <f>'收入（汇总）'!AC35-'收入（关联）'!AB35</f>
        <v>0</v>
      </c>
      <c r="AC35" s="279">
        <f>'收入（汇总）'!AD35-'收入（关联）'!AC35</f>
        <v>0</v>
      </c>
      <c r="AD35" s="279">
        <f>'收入（汇总）'!AE35-'收入（关联）'!AD35</f>
        <v>0</v>
      </c>
      <c r="AE35" s="279">
        <f>'收入（汇总）'!AF35-'收入（关联）'!AE35</f>
        <v>0</v>
      </c>
      <c r="AF35" s="279">
        <f>'收入（汇总）'!AG35-'收入（关联）'!AF35</f>
        <v>0</v>
      </c>
      <c r="AG35" s="279">
        <f>'收入（汇总）'!AH35-'收入（关联）'!AG35</f>
        <v>0</v>
      </c>
      <c r="AH35" s="279">
        <f>'收入（汇总）'!AI35-'收入（关联）'!AH35</f>
        <v>0</v>
      </c>
      <c r="AI35" s="279">
        <f>'收入（汇总）'!AJ35-'收入（关联）'!AI35</f>
        <v>0</v>
      </c>
      <c r="AJ35" s="266">
        <f>'收入（汇总）'!AK35-'收入（关联）'!AJ35</f>
        <v>0</v>
      </c>
      <c r="AK35" s="279">
        <f>'收入（汇总）'!AL35-'收入（关联）'!AK35</f>
        <v>0</v>
      </c>
      <c r="AL35" s="266">
        <f>'收入（汇总）'!AM35-'收入（关联）'!AL35</f>
        <v>0</v>
      </c>
      <c r="AM35" s="266">
        <f>'收入（汇总）'!AN35-'收入（关联）'!AM35</f>
        <v>0</v>
      </c>
      <c r="AN35" s="266">
        <f>'收入（汇总）'!AO35-'收入（关联）'!AN35</f>
        <v>0</v>
      </c>
      <c r="AO35" s="266">
        <f>'收入（汇总）'!AP35-'收入（关联）'!AO35</f>
        <v>0</v>
      </c>
      <c r="AP35" s="266">
        <f>'收入（汇总）'!AQ35-'收入（关联）'!AP35</f>
        <v>0</v>
      </c>
      <c r="AQ35" s="266">
        <f>'收入（汇总）'!AR35-'收入（关联）'!AQ35</f>
        <v>0</v>
      </c>
      <c r="AR35" s="266">
        <f>'收入（汇总）'!AS35-'收入（关联）'!AR35</f>
        <v>0</v>
      </c>
      <c r="AS35" s="279">
        <f>'收入（汇总）'!AT35-'收入（关联）'!AS35</f>
        <v>0</v>
      </c>
      <c r="AT35" s="266">
        <f>'收入（汇总）'!AU35-'收入（关联）'!AT35</f>
        <v>0</v>
      </c>
      <c r="AU35" s="266">
        <f>'收入（汇总）'!AV35-'收入（关联）'!AU35</f>
        <v>0</v>
      </c>
      <c r="AV35" s="266">
        <f>'收入（汇总）'!AW35-'收入（关联）'!AV35</f>
        <v>0</v>
      </c>
      <c r="AW35" s="266">
        <f>'收入（汇总）'!AX35-'收入（关联）'!AW35</f>
        <v>0</v>
      </c>
      <c r="AX35" s="266">
        <f>'收入（汇总）'!AY35-'收入（关联）'!AX35</f>
        <v>0</v>
      </c>
      <c r="AY35" s="266">
        <f>'收入（汇总）'!AZ35-'收入（关联）'!AY35</f>
        <v>0</v>
      </c>
    </row>
    <row r="36" spans="1:53">
      <c r="A36" s="266" t="str">
        <f>'收入（汇总）'!B36</f>
        <v>尖山农业</v>
      </c>
      <c r="B36" s="267">
        <f>'收入（汇总）'!C36-'收入（关联）'!B36</f>
        <v>0</v>
      </c>
      <c r="C36" s="267">
        <f>'收入（汇总）'!D36-'收入（关联）'!C36</f>
        <v>0</v>
      </c>
      <c r="D36" s="267">
        <f>'收入（汇总）'!E36-'收入（关联）'!D36</f>
        <v>0</v>
      </c>
      <c r="E36" s="267">
        <f>'收入（汇总）'!F36-'收入（关联）'!E36</f>
        <v>0</v>
      </c>
      <c r="F36" s="267">
        <f>'收入（汇总）'!G36-'收入（关联）'!F36</f>
        <v>0</v>
      </c>
      <c r="G36" s="267">
        <f>'收入（汇总）'!H36-'收入（关联）'!G36</f>
        <v>0</v>
      </c>
      <c r="H36" s="267">
        <f>'收入（汇总）'!I36-'收入（关联）'!H36</f>
        <v>0</v>
      </c>
      <c r="I36" s="267">
        <f>'收入（汇总）'!J36-'收入（关联）'!I36</f>
        <v>0</v>
      </c>
      <c r="J36" s="267">
        <f>'收入（汇总）'!K36-'收入（关联）'!J36</f>
        <v>0</v>
      </c>
      <c r="K36" s="267">
        <f>'收入（汇总）'!L36-'收入（关联）'!K36</f>
        <v>0</v>
      </c>
      <c r="L36" s="267">
        <f>'收入（汇总）'!M36-'收入（关联）'!L36</f>
        <v>0</v>
      </c>
      <c r="M36" s="267">
        <f>'收入（汇总）'!N36-'收入（关联）'!M36</f>
        <v>0</v>
      </c>
      <c r="N36" s="267">
        <f>'收入（汇总）'!O36-'收入（关联）'!N36</f>
        <v>0</v>
      </c>
      <c r="O36" s="267">
        <f>'收入（汇总）'!P36-'收入（关联）'!O36</f>
        <v>0</v>
      </c>
      <c r="P36" s="267">
        <f>'收入（汇总）'!Q36-'收入（关联）'!P36</f>
        <v>0</v>
      </c>
      <c r="Q36" s="267">
        <f>'收入（汇总）'!R36-'收入（关联）'!Q36</f>
        <v>0</v>
      </c>
      <c r="R36" s="267">
        <f>'收入（汇总）'!S36-'收入（关联）'!R36</f>
        <v>0</v>
      </c>
      <c r="S36" s="267">
        <f>'收入（汇总）'!T36-'收入（关联）'!S36</f>
        <v>0</v>
      </c>
      <c r="T36" s="267">
        <f>'收入（汇总）'!U36-'收入（关联）'!T36</f>
        <v>0</v>
      </c>
      <c r="U36" s="267">
        <f>'收入（汇总）'!V36-'收入（关联）'!U36</f>
        <v>0</v>
      </c>
      <c r="V36" s="267">
        <f>'收入（汇总）'!W36-'收入（关联）'!V36</f>
        <v>0</v>
      </c>
      <c r="W36" s="267">
        <f>'收入（汇总）'!X36-'收入（关联）'!W36</f>
        <v>0</v>
      </c>
      <c r="X36" s="267">
        <f>'收入（汇总）'!Y36-'收入（关联）'!X36</f>
        <v>0</v>
      </c>
      <c r="Y36" s="267">
        <f>'收入（汇总）'!Z36-'收入（关联）'!Y36</f>
        <v>0</v>
      </c>
      <c r="Z36" s="267">
        <f>'收入（汇总）'!AA36-'收入（关联）'!Z36</f>
        <v>0</v>
      </c>
      <c r="AA36" s="267">
        <f>'收入（汇总）'!AB36-'收入（关联）'!AA36</f>
        <v>0</v>
      </c>
      <c r="AB36" s="267">
        <f>'收入（汇总）'!AC36-'收入（关联）'!AB36</f>
        <v>0</v>
      </c>
      <c r="AC36" s="279">
        <f>'收入（汇总）'!AD36-'收入（关联）'!AC36</f>
        <v>0</v>
      </c>
      <c r="AD36" s="279">
        <f>'收入（汇总）'!AE36-'收入（关联）'!AD36</f>
        <v>0</v>
      </c>
      <c r="AE36" s="279">
        <f>'收入（汇总）'!AF36-'收入（关联）'!AE36</f>
        <v>0</v>
      </c>
      <c r="AF36" s="279">
        <f>'收入（汇总）'!AG36-'收入（关联）'!AF36</f>
        <v>0</v>
      </c>
      <c r="AG36" s="279">
        <f>'收入（汇总）'!AH36-'收入（关联）'!AG36</f>
        <v>0</v>
      </c>
      <c r="AH36" s="279">
        <f>'收入（汇总）'!AI36-'收入（关联）'!AH36</f>
        <v>0</v>
      </c>
      <c r="AI36" s="279">
        <f>'收入（汇总）'!AJ36-'收入（关联）'!AI36</f>
        <v>0</v>
      </c>
      <c r="AJ36" s="266">
        <f>'收入（汇总）'!AK36-'收入（关联）'!AJ36</f>
        <v>0</v>
      </c>
      <c r="AK36" s="279">
        <f>'收入（汇总）'!AL36-'收入（关联）'!AK36</f>
        <v>0</v>
      </c>
      <c r="AL36" s="266">
        <f>'收入（汇总）'!AM36-'收入（关联）'!AL36</f>
        <v>0</v>
      </c>
      <c r="AM36" s="266">
        <f>'收入（汇总）'!AN36-'收入（关联）'!AM36</f>
        <v>0</v>
      </c>
      <c r="AN36" s="266">
        <f>'收入（汇总）'!AO36-'收入（关联）'!AN36</f>
        <v>0</v>
      </c>
      <c r="AO36" s="266">
        <f>'收入（汇总）'!AP36-'收入（关联）'!AO36</f>
        <v>0</v>
      </c>
      <c r="AP36" s="266">
        <f>'收入（汇总）'!AQ36-'收入（关联）'!AP36</f>
        <v>0</v>
      </c>
      <c r="AQ36" s="266">
        <f>'收入（汇总）'!AR36-'收入（关联）'!AQ36</f>
        <v>0</v>
      </c>
      <c r="AR36" s="266">
        <f>'收入（汇总）'!AS36-'收入（关联）'!AR36</f>
        <v>0</v>
      </c>
      <c r="AS36" s="279">
        <f>'收入（汇总）'!AT36-'收入（关联）'!AS36</f>
        <v>0</v>
      </c>
      <c r="AT36" s="266">
        <f>'收入（汇总）'!AU36-'收入（关联）'!AT36</f>
        <v>0</v>
      </c>
      <c r="AU36" s="266">
        <f>'收入（汇总）'!AV36-'收入（关联）'!AU36</f>
        <v>0</v>
      </c>
      <c r="AV36" s="266">
        <f>'收入（汇总）'!AW36-'收入（关联）'!AV36</f>
        <v>0</v>
      </c>
      <c r="AW36" s="266">
        <f>'收入（汇总）'!AX36-'收入（关联）'!AW36</f>
        <v>0</v>
      </c>
      <c r="AX36" s="266">
        <f>'收入（汇总）'!AY36-'收入（关联）'!AX36</f>
        <v>0</v>
      </c>
      <c r="AY36" s="266">
        <f>'收入（汇总）'!AZ36-'收入（关联）'!AY36</f>
        <v>0</v>
      </c>
    </row>
    <row r="37" spans="1:53">
      <c r="A37" s="266" t="str">
        <f>'收入（汇总）'!B37</f>
        <v>岚县农业</v>
      </c>
      <c r="B37" s="267">
        <f>'收入（汇总）'!C37-'收入（关联）'!B37</f>
        <v>480</v>
      </c>
      <c r="C37" s="267">
        <f>'收入（汇总）'!D37-'收入（关联）'!C37</f>
        <v>480</v>
      </c>
      <c r="D37" s="267">
        <f>'收入（汇总）'!E37-'收入（关联）'!D37</f>
        <v>0</v>
      </c>
      <c r="E37" s="267">
        <f>'收入（汇总）'!F37-'收入（关联）'!E37</f>
        <v>0</v>
      </c>
      <c r="F37" s="267">
        <f>'收入（汇总）'!G37-'收入（关联）'!F37</f>
        <v>0</v>
      </c>
      <c r="G37" s="267">
        <f>'收入（汇总）'!H37-'收入（关联）'!G37</f>
        <v>0</v>
      </c>
      <c r="H37" s="267">
        <f>'收入（汇总）'!I37-'收入（关联）'!H37</f>
        <v>0</v>
      </c>
      <c r="I37" s="267">
        <f>'收入（汇总）'!J37-'收入（关联）'!I37</f>
        <v>0</v>
      </c>
      <c r="J37" s="267">
        <f>'收入（汇总）'!K37-'收入（关联）'!J37</f>
        <v>0</v>
      </c>
      <c r="K37" s="267">
        <f>'收入（汇总）'!L37-'收入（关联）'!K37</f>
        <v>0</v>
      </c>
      <c r="L37" s="267">
        <f>'收入（汇总）'!M37-'收入（关联）'!L37</f>
        <v>0</v>
      </c>
      <c r="M37" s="267">
        <f>'收入（汇总）'!N37-'收入（关联）'!M37</f>
        <v>0</v>
      </c>
      <c r="N37" s="267">
        <f>'收入（汇总）'!O37-'收入（关联）'!N37</f>
        <v>0</v>
      </c>
      <c r="O37" s="267">
        <f>'收入（汇总）'!P37-'收入（关联）'!O37</f>
        <v>480</v>
      </c>
      <c r="P37" s="267">
        <f>'收入（汇总）'!Q37-'收入（关联）'!P37</f>
        <v>0</v>
      </c>
      <c r="Q37" s="267">
        <f>'收入（汇总）'!R37-'收入（关联）'!Q37</f>
        <v>0</v>
      </c>
      <c r="R37" s="267">
        <f>'收入（汇总）'!S37-'收入（关联）'!R37</f>
        <v>0</v>
      </c>
      <c r="S37" s="267">
        <f>'收入（汇总）'!T37-'收入（关联）'!S37</f>
        <v>0</v>
      </c>
      <c r="T37" s="267">
        <f>'收入（汇总）'!U37-'收入（关联）'!T37</f>
        <v>0</v>
      </c>
      <c r="U37" s="267">
        <f>'收入（汇总）'!V37-'收入（关联）'!U37</f>
        <v>0</v>
      </c>
      <c r="V37" s="267">
        <f>'收入（汇总）'!W37-'收入（关联）'!V37</f>
        <v>0</v>
      </c>
      <c r="W37" s="267">
        <f>'收入（汇总）'!X37-'收入（关联）'!W37</f>
        <v>0</v>
      </c>
      <c r="X37" s="267">
        <f>'收入（汇总）'!Y37-'收入（关联）'!X37</f>
        <v>0</v>
      </c>
      <c r="Y37" s="267">
        <f>'收入（汇总）'!Z37-'收入（关联）'!Y37</f>
        <v>0</v>
      </c>
      <c r="Z37" s="267">
        <f>'收入（汇总）'!AA37-'收入（关联）'!Z37</f>
        <v>0</v>
      </c>
      <c r="AA37" s="267">
        <f>'收入（汇总）'!AB37-'收入（关联）'!AA37</f>
        <v>0</v>
      </c>
      <c r="AB37" s="267">
        <f>'收入（汇总）'!AC37-'收入（关联）'!AB37</f>
        <v>0</v>
      </c>
      <c r="AC37" s="279">
        <f>'收入（汇总）'!AD37-'收入（关联）'!AC37</f>
        <v>0</v>
      </c>
      <c r="AD37" s="279">
        <f>'收入（汇总）'!AE37-'收入（关联）'!AD37</f>
        <v>0</v>
      </c>
      <c r="AE37" s="279">
        <f>'收入（汇总）'!AF37-'收入（关联）'!AE37</f>
        <v>0</v>
      </c>
      <c r="AF37" s="279">
        <f>'收入（汇总）'!AG37-'收入（关联）'!AF37</f>
        <v>0</v>
      </c>
      <c r="AG37" s="279">
        <f>'收入（汇总）'!AH37-'收入（关联）'!AG37</f>
        <v>0</v>
      </c>
      <c r="AH37" s="279">
        <f>'收入（汇总）'!AI37-'收入（关联）'!AH37</f>
        <v>0</v>
      </c>
      <c r="AI37" s="279">
        <f>'收入（汇总）'!AJ37-'收入（关联）'!AI37</f>
        <v>0</v>
      </c>
      <c r="AJ37" s="266">
        <f>'收入（汇总）'!AK37-'收入（关联）'!AJ37</f>
        <v>0</v>
      </c>
      <c r="AK37" s="279">
        <f>'收入（汇总）'!AL37-'收入（关联）'!AK37</f>
        <v>0</v>
      </c>
      <c r="AL37" s="266">
        <f>'收入（汇总）'!AM37-'收入（关联）'!AL37</f>
        <v>0</v>
      </c>
      <c r="AM37" s="266">
        <f>'收入（汇总）'!AN37-'收入（关联）'!AM37</f>
        <v>0</v>
      </c>
      <c r="AN37" s="266">
        <f>'收入（汇总）'!AO37-'收入（关联）'!AN37</f>
        <v>0</v>
      </c>
      <c r="AO37" s="266">
        <f>'收入（汇总）'!AP37-'收入（关联）'!AO37</f>
        <v>0</v>
      </c>
      <c r="AP37" s="266">
        <f>'收入（汇总）'!AQ37-'收入（关联）'!AP37</f>
        <v>0</v>
      </c>
      <c r="AQ37" s="266">
        <f>'收入（汇总）'!AR37-'收入（关联）'!AQ37</f>
        <v>0</v>
      </c>
      <c r="AR37" s="266">
        <f>'收入（汇总）'!AS37-'收入（关联）'!AR37</f>
        <v>0</v>
      </c>
      <c r="AS37" s="279">
        <f>'收入（汇总）'!AT37-'收入（关联）'!AS37</f>
        <v>0</v>
      </c>
      <c r="AT37" s="266">
        <f>'收入（汇总）'!AU37-'收入（关联）'!AT37</f>
        <v>0</v>
      </c>
      <c r="AU37" s="266">
        <f>'收入（汇总）'!AV37-'收入（关联）'!AU37</f>
        <v>0</v>
      </c>
      <c r="AV37" s="266">
        <f>'收入（汇总）'!AW37-'收入（关联）'!AV37</f>
        <v>0</v>
      </c>
      <c r="AW37" s="266">
        <f>'收入（汇总）'!AX37-'收入（关联）'!AW37</f>
        <v>0</v>
      </c>
      <c r="AX37" s="266">
        <f>'收入（汇总）'!AY37-'收入（关联）'!AX37</f>
        <v>0</v>
      </c>
      <c r="AY37" s="266">
        <f>'收入（汇总）'!AZ37-'收入（关联）'!AY37</f>
        <v>0</v>
      </c>
    </row>
    <row r="38" spans="1:53" s="257" customFormat="1">
      <c r="A38" s="257" t="str">
        <f>'收入（汇总）'!B38</f>
        <v>投资收益</v>
      </c>
      <c r="B38" s="271">
        <f>'收入（汇总）'!C38-'收入（关联）'!B38</f>
        <v>0</v>
      </c>
      <c r="C38" s="271">
        <f>'收入（汇总）'!D38-'收入（关联）'!C38</f>
        <v>0</v>
      </c>
      <c r="D38" s="271">
        <f>'收入（汇总）'!E38-'收入（关联）'!D38</f>
        <v>0</v>
      </c>
      <c r="E38" s="271">
        <f>'收入（汇总）'!F38-'收入（关联）'!E38</f>
        <v>0</v>
      </c>
      <c r="F38" s="271">
        <f>'收入（汇总）'!G38-'收入（关联）'!F38</f>
        <v>0</v>
      </c>
      <c r="G38" s="271">
        <f>'收入（汇总）'!H38-'收入（关联）'!G38</f>
        <v>0</v>
      </c>
      <c r="H38" s="271">
        <f>'收入（汇总）'!I38-'收入（关联）'!H38</f>
        <v>0</v>
      </c>
      <c r="I38" s="271">
        <f>'收入（汇总）'!J38-'收入（关联）'!I38</f>
        <v>0</v>
      </c>
      <c r="J38" s="271">
        <f>'收入（汇总）'!K38-'收入（关联）'!J38</f>
        <v>0</v>
      </c>
      <c r="K38" s="271">
        <f>'收入（汇总）'!L38-'收入（关联）'!K38</f>
        <v>0</v>
      </c>
      <c r="L38" s="271">
        <f>'收入（汇总）'!M38-'收入（关联）'!L38</f>
        <v>0</v>
      </c>
      <c r="M38" s="271">
        <f>'收入（汇总）'!N38-'收入（关联）'!M38</f>
        <v>0</v>
      </c>
      <c r="N38" s="271">
        <f>'收入（汇总）'!O38-'收入（关联）'!N38</f>
        <v>0</v>
      </c>
      <c r="O38" s="271">
        <f>'收入（汇总）'!P38-'收入（关联）'!O38</f>
        <v>0</v>
      </c>
      <c r="P38" s="271">
        <f>'收入（汇总）'!Q38-'收入（关联）'!P38</f>
        <v>0</v>
      </c>
      <c r="Q38" s="271">
        <f>'收入（汇总）'!R38-'收入（关联）'!Q38</f>
        <v>0</v>
      </c>
      <c r="R38" s="271">
        <f>'收入（汇总）'!S38-'收入（关联）'!R38</f>
        <v>0</v>
      </c>
      <c r="S38" s="271">
        <f>'收入（汇总）'!T38-'收入（关联）'!S38</f>
        <v>0</v>
      </c>
      <c r="T38" s="271">
        <f>'收入（汇总）'!U38-'收入（关联）'!T38</f>
        <v>0</v>
      </c>
      <c r="U38" s="271">
        <f>'收入（汇总）'!V38-'收入（关联）'!U38</f>
        <v>0</v>
      </c>
      <c r="V38" s="271">
        <f>'收入（汇总）'!W38-'收入（关联）'!V38</f>
        <v>0</v>
      </c>
      <c r="W38" s="271">
        <f>'收入（汇总）'!X38-'收入（关联）'!W38</f>
        <v>0</v>
      </c>
      <c r="X38" s="271">
        <f>'收入（汇总）'!Y38-'收入（关联）'!X38</f>
        <v>0</v>
      </c>
      <c r="Y38" s="271">
        <f>'收入（汇总）'!Z38-'收入（关联）'!Y38</f>
        <v>0</v>
      </c>
      <c r="Z38" s="271">
        <f>'收入（汇总）'!AA38-'收入（关联）'!Z38</f>
        <v>0</v>
      </c>
      <c r="AA38" s="271">
        <f>'收入（汇总）'!AB38-'收入（关联）'!AA38</f>
        <v>0</v>
      </c>
      <c r="AB38" s="271">
        <f>'收入（汇总）'!AC38-'收入（关联）'!AB38</f>
        <v>0</v>
      </c>
      <c r="AC38" s="289">
        <f>'收入（汇总）'!AD38-'收入（关联）'!AC38</f>
        <v>0</v>
      </c>
      <c r="AD38" s="289">
        <f>'收入（汇总）'!AE38-'收入（关联）'!AD38</f>
        <v>0</v>
      </c>
      <c r="AE38" s="289">
        <f>'收入（汇总）'!AF38-'收入（关联）'!AE38</f>
        <v>0</v>
      </c>
      <c r="AF38" s="289">
        <f>'收入（汇总）'!AG38-'收入（关联）'!AF38</f>
        <v>0</v>
      </c>
      <c r="AG38" s="289">
        <f>'收入（汇总）'!AH38-'收入（关联）'!AG38</f>
        <v>0</v>
      </c>
      <c r="AH38" s="289">
        <f>'收入（汇总）'!AI38-'收入（关联）'!AH38</f>
        <v>0</v>
      </c>
      <c r="AI38" s="289">
        <f>'收入（汇总）'!AJ38-'收入（关联）'!AI38</f>
        <v>0</v>
      </c>
      <c r="AJ38" s="257">
        <f>'收入（汇总）'!AK38-'收入（关联）'!AJ38</f>
        <v>0</v>
      </c>
      <c r="AK38" s="289">
        <f>'收入（汇总）'!AL38-'收入（关联）'!AK38</f>
        <v>0</v>
      </c>
      <c r="AL38" s="257">
        <f>'收入（汇总）'!AM38-'收入（关联）'!AL38</f>
        <v>0</v>
      </c>
      <c r="AM38" s="257">
        <f>'收入（汇总）'!AN38-'收入（关联）'!AM38</f>
        <v>0</v>
      </c>
      <c r="AN38" s="257">
        <f>'收入（汇总）'!AO38-'收入（关联）'!AN38</f>
        <v>0</v>
      </c>
      <c r="AO38" s="257">
        <f>'收入（汇总）'!AP38-'收入（关联）'!AO38</f>
        <v>0</v>
      </c>
      <c r="AP38" s="257">
        <f>'收入（汇总）'!AQ38-'收入（关联）'!AP38</f>
        <v>0</v>
      </c>
      <c r="AQ38" s="257">
        <f>'收入（汇总）'!AR38-'收入（关联）'!AQ38</f>
        <v>0</v>
      </c>
      <c r="AR38" s="257">
        <f>'收入（汇总）'!AS38-'收入（关联）'!AR38</f>
        <v>0</v>
      </c>
      <c r="AS38" s="289">
        <f>'收入（汇总）'!AT38-'收入（关联）'!AS38</f>
        <v>0</v>
      </c>
      <c r="AT38" s="257">
        <f>'收入（汇总）'!AU38-'收入（关联）'!AT38</f>
        <v>0</v>
      </c>
      <c r="AU38" s="257">
        <f>'收入（汇总）'!AV38-'收入（关联）'!AU38</f>
        <v>0</v>
      </c>
      <c r="AV38" s="257">
        <f>'收入（汇总）'!AW38-'收入（关联）'!AV38</f>
        <v>0</v>
      </c>
      <c r="AW38" s="257">
        <f>'收入（汇总）'!AX38-'收入（关联）'!AW38</f>
        <v>0</v>
      </c>
      <c r="AX38" s="257">
        <f>'收入（汇总）'!AY38-'收入（关联）'!AX38</f>
        <v>0</v>
      </c>
      <c r="AY38" s="257">
        <f>'收入（汇总）'!AZ38-'收入（关联）'!AY38</f>
        <v>0</v>
      </c>
    </row>
    <row r="39" spans="1:53" s="258" customFormat="1">
      <c r="A39" s="258" t="str">
        <f>'收入（汇总）'!B39</f>
        <v>抵减财务公司投资收益</v>
      </c>
      <c r="B39" s="272">
        <f>'收入（汇总）'!C39-'收入（关联）'!B39</f>
        <v>0</v>
      </c>
      <c r="C39" s="272">
        <f>'收入（汇总）'!D39-'收入（关联）'!C39</f>
        <v>0</v>
      </c>
      <c r="D39" s="272">
        <f>'收入（汇总）'!E39-'收入（关联）'!D39</f>
        <v>0</v>
      </c>
      <c r="E39" s="272">
        <f>'收入（汇总）'!F39-'收入（关联）'!E39</f>
        <v>0</v>
      </c>
      <c r="F39" s="272">
        <f>'收入（汇总）'!G39-'收入（关联）'!F39</f>
        <v>0</v>
      </c>
      <c r="G39" s="272">
        <f>'收入（汇总）'!H39-'收入（关联）'!G39</f>
        <v>0</v>
      </c>
      <c r="H39" s="272">
        <f>'收入（汇总）'!I39-'收入（关联）'!H39</f>
        <v>0</v>
      </c>
      <c r="I39" s="272">
        <f>'收入（汇总）'!J39-'收入（关联）'!I39</f>
        <v>0</v>
      </c>
      <c r="J39" s="272">
        <f>'收入（汇总）'!K39-'收入（关联）'!J39</f>
        <v>0</v>
      </c>
      <c r="K39" s="272">
        <f>'收入（汇总）'!L39-'收入（关联）'!K39</f>
        <v>0</v>
      </c>
      <c r="L39" s="272">
        <f>'收入（汇总）'!M39-'收入（关联）'!L39</f>
        <v>0</v>
      </c>
      <c r="M39" s="272">
        <f>'收入（汇总）'!N39-'收入（关联）'!M39</f>
        <v>0</v>
      </c>
      <c r="N39" s="272">
        <f>'收入（汇总）'!O39-'收入（关联）'!N39</f>
        <v>0</v>
      </c>
      <c r="O39" s="272">
        <f>'收入（汇总）'!P39-'收入（关联）'!O39</f>
        <v>0</v>
      </c>
      <c r="P39" s="272">
        <f>'收入（汇总）'!Q39-'收入（关联）'!P39</f>
        <v>0</v>
      </c>
      <c r="Q39" s="272">
        <f>'收入（汇总）'!R39-'收入（关联）'!Q39</f>
        <v>0</v>
      </c>
      <c r="R39" s="272">
        <f>'收入（汇总）'!S39-'收入（关联）'!R39</f>
        <v>0</v>
      </c>
      <c r="S39" s="272">
        <f>'收入（汇总）'!T39-'收入（关联）'!S39</f>
        <v>0</v>
      </c>
      <c r="T39" s="272">
        <f>'收入（汇总）'!U39-'收入（关联）'!T39</f>
        <v>0</v>
      </c>
      <c r="U39" s="272">
        <f>'收入（汇总）'!V39-'收入（关联）'!U39</f>
        <v>0</v>
      </c>
      <c r="V39" s="272">
        <f>'收入（汇总）'!W39-'收入（关联）'!V39</f>
        <v>0</v>
      </c>
      <c r="W39" s="272">
        <f>'收入（汇总）'!X39-'收入（关联）'!W39</f>
        <v>0</v>
      </c>
      <c r="X39" s="272">
        <f>'收入（汇总）'!Y39-'收入（关联）'!X39</f>
        <v>0</v>
      </c>
      <c r="Y39" s="272">
        <f>'收入（汇总）'!Z39-'收入（关联）'!Y39</f>
        <v>0</v>
      </c>
      <c r="Z39" s="272">
        <f>'收入（汇总）'!AA39-'收入（关联）'!Z39</f>
        <v>0</v>
      </c>
      <c r="AA39" s="272">
        <f>'收入（汇总）'!AB39-'收入（关联）'!AA39</f>
        <v>0</v>
      </c>
      <c r="AB39" s="272">
        <f>'收入（汇总）'!AC39-'收入（关联）'!AB39</f>
        <v>0</v>
      </c>
      <c r="AC39" s="290">
        <f>'收入（汇总）'!AD39-'收入（关联）'!AC39</f>
        <v>0</v>
      </c>
      <c r="AD39" s="290">
        <f>'收入（汇总）'!AE39-'收入（关联）'!AD39</f>
        <v>0</v>
      </c>
      <c r="AE39" s="290">
        <f>'收入（汇总）'!AF39-'收入（关联）'!AE39</f>
        <v>0</v>
      </c>
      <c r="AF39" s="290">
        <f>'收入（汇总）'!AG39-'收入（关联）'!AF39</f>
        <v>0</v>
      </c>
      <c r="AG39" s="290">
        <f>'收入（汇总）'!AH39-'收入（关联）'!AG39</f>
        <v>0</v>
      </c>
      <c r="AH39" s="290">
        <f>'收入（汇总）'!AI39-'收入（关联）'!AH39</f>
        <v>0</v>
      </c>
      <c r="AI39" s="290">
        <f>'收入（汇总）'!AJ39-'收入（关联）'!AI39</f>
        <v>0</v>
      </c>
      <c r="AJ39" s="258">
        <f>'收入（汇总）'!AK39-'收入（关联）'!AJ39</f>
        <v>0</v>
      </c>
      <c r="AK39" s="290">
        <f>'收入（汇总）'!AL39-'收入（关联）'!AK39</f>
        <v>0</v>
      </c>
      <c r="AL39" s="258">
        <f>'收入（汇总）'!AM39-'收入（关联）'!AL39</f>
        <v>0</v>
      </c>
      <c r="AM39" s="258">
        <f>'收入（汇总）'!AN39-'收入（关联）'!AM39</f>
        <v>0</v>
      </c>
      <c r="AN39" s="258">
        <f>'收入（汇总）'!AO39-'收入（关联）'!AN39</f>
        <v>0</v>
      </c>
      <c r="AO39" s="258">
        <f>'收入（汇总）'!AP39-'收入（关联）'!AO39</f>
        <v>0</v>
      </c>
      <c r="AP39" s="258">
        <f>'收入（汇总）'!AQ39-'收入（关联）'!AP39</f>
        <v>0</v>
      </c>
      <c r="AQ39" s="258">
        <f>'收入（汇总）'!AR39-'收入（关联）'!AQ39</f>
        <v>0</v>
      </c>
      <c r="AR39" s="258">
        <f>'收入（汇总）'!AS39-'收入（关联）'!AR39</f>
        <v>0</v>
      </c>
      <c r="AS39" s="290">
        <f>'收入（汇总）'!AT39-'收入（关联）'!AS39</f>
        <v>0</v>
      </c>
      <c r="AT39" s="258">
        <f>'收入（汇总）'!AU39-'收入（关联）'!AT39</f>
        <v>0</v>
      </c>
      <c r="AU39" s="258">
        <f>'收入（汇总）'!AV39-'收入（关联）'!AU39</f>
        <v>0</v>
      </c>
      <c r="AV39" s="258">
        <f>'收入（汇总）'!AW39-'收入（关联）'!AV39</f>
        <v>0</v>
      </c>
      <c r="AW39" s="258">
        <f>'收入（汇总）'!AX39-'收入（关联）'!AW39</f>
        <v>0</v>
      </c>
      <c r="AX39" s="258">
        <f>'收入（汇总）'!AY39-'收入（关联）'!AX39</f>
        <v>0</v>
      </c>
      <c r="AY39" s="258">
        <f>'收入（汇总）'!AZ39-'收入（关联）'!AY39</f>
        <v>0</v>
      </c>
    </row>
    <row r="40" spans="1:53" s="258" customFormat="1">
      <c r="A40" s="258" t="str">
        <f>'收入（汇总）'!B40</f>
        <v>合并财务公司拨备</v>
      </c>
      <c r="B40" s="272">
        <f>'收入（汇总）'!C40-'收入（关联）'!B40</f>
        <v>0</v>
      </c>
      <c r="C40" s="272">
        <f>'收入（汇总）'!D40-'收入（关联）'!C40</f>
        <v>0</v>
      </c>
      <c r="D40" s="272">
        <f>'收入（汇总）'!E40-'收入（关联）'!D40</f>
        <v>0</v>
      </c>
      <c r="E40" s="272">
        <f>'收入（汇总）'!F40-'收入（关联）'!E40</f>
        <v>0</v>
      </c>
      <c r="F40" s="272">
        <f>'收入（汇总）'!G40-'收入（关联）'!F40</f>
        <v>0</v>
      </c>
      <c r="G40" s="272">
        <f>'收入（汇总）'!H40-'收入（关联）'!G40</f>
        <v>0</v>
      </c>
      <c r="H40" s="272">
        <f>'收入（汇总）'!I40-'收入（关联）'!H40</f>
        <v>0</v>
      </c>
      <c r="I40" s="272">
        <f>'收入（汇总）'!J40-'收入（关联）'!I40</f>
        <v>0</v>
      </c>
      <c r="J40" s="272">
        <f>'收入（汇总）'!K40-'收入（关联）'!J40</f>
        <v>0</v>
      </c>
      <c r="K40" s="272">
        <f>'收入（汇总）'!L40-'收入（关联）'!K40</f>
        <v>0</v>
      </c>
      <c r="L40" s="272">
        <f>'收入（汇总）'!M40-'收入（关联）'!L40</f>
        <v>0</v>
      </c>
      <c r="M40" s="272">
        <f>'收入（汇总）'!N40-'收入（关联）'!M40</f>
        <v>0</v>
      </c>
      <c r="N40" s="272">
        <f>'收入（汇总）'!O40-'收入（关联）'!N40</f>
        <v>0</v>
      </c>
      <c r="O40" s="272">
        <f>'收入（汇总）'!P40-'收入（关联）'!O40</f>
        <v>0</v>
      </c>
      <c r="P40" s="272">
        <f>'收入（汇总）'!Q40-'收入（关联）'!P40</f>
        <v>0</v>
      </c>
      <c r="Q40" s="272">
        <f>'收入（汇总）'!R40-'收入（关联）'!Q40</f>
        <v>0</v>
      </c>
      <c r="R40" s="272">
        <f>'收入（汇总）'!S40-'收入（关联）'!R40</f>
        <v>0</v>
      </c>
      <c r="S40" s="272">
        <f>'收入（汇总）'!T40-'收入（关联）'!S40</f>
        <v>0</v>
      </c>
      <c r="T40" s="272">
        <f>'收入（汇总）'!U40-'收入（关联）'!T40</f>
        <v>0</v>
      </c>
      <c r="U40" s="272">
        <f>'收入（汇总）'!V40-'收入（关联）'!U40</f>
        <v>0</v>
      </c>
      <c r="V40" s="272">
        <f>'收入（汇总）'!W40-'收入（关联）'!V40</f>
        <v>0</v>
      </c>
      <c r="W40" s="272">
        <f>'收入（汇总）'!X40-'收入（关联）'!W40</f>
        <v>0</v>
      </c>
      <c r="X40" s="272">
        <f>'收入（汇总）'!Y40-'收入（关联）'!X40</f>
        <v>0</v>
      </c>
      <c r="Y40" s="272">
        <f>'收入（汇总）'!Z40-'收入（关联）'!Y40</f>
        <v>0</v>
      </c>
      <c r="Z40" s="272">
        <f>'收入（汇总）'!AA40-'收入（关联）'!Z40</f>
        <v>0</v>
      </c>
      <c r="AA40" s="272">
        <f>'收入（汇总）'!AB40-'收入（关联）'!AA40</f>
        <v>0</v>
      </c>
      <c r="AB40" s="272">
        <f>'收入（汇总）'!AC40-'收入（关联）'!AB40</f>
        <v>0</v>
      </c>
      <c r="AC40" s="290">
        <f>'收入（汇总）'!AD40-'收入（关联）'!AC40</f>
        <v>0</v>
      </c>
      <c r="AD40" s="290">
        <f>'收入（汇总）'!AE40-'收入（关联）'!AD40</f>
        <v>0</v>
      </c>
      <c r="AE40" s="290">
        <f>'收入（汇总）'!AF40-'收入（关联）'!AE40</f>
        <v>0</v>
      </c>
      <c r="AF40" s="290">
        <f>'收入（汇总）'!AG40-'收入（关联）'!AF40</f>
        <v>0</v>
      </c>
      <c r="AG40" s="290">
        <f>'收入（汇总）'!AH40-'收入（关联）'!AG40</f>
        <v>0</v>
      </c>
      <c r="AH40" s="290">
        <f>'收入（汇总）'!AI40-'收入（关联）'!AH40</f>
        <v>0</v>
      </c>
      <c r="AI40" s="290">
        <f>'收入（汇总）'!AJ40-'收入（关联）'!AI40</f>
        <v>0</v>
      </c>
      <c r="AJ40" s="258">
        <f>'收入（汇总）'!AK40-'收入（关联）'!AJ40</f>
        <v>0</v>
      </c>
      <c r="AK40" s="290">
        <f>'收入（汇总）'!AL40-'收入（关联）'!AK40</f>
        <v>0</v>
      </c>
      <c r="AL40" s="258">
        <f>'收入（汇总）'!AM40-'收入（关联）'!AL40</f>
        <v>0</v>
      </c>
      <c r="AM40" s="258">
        <f>'收入（汇总）'!AN40-'收入（关联）'!AM40</f>
        <v>0</v>
      </c>
      <c r="AN40" s="258">
        <f>'收入（汇总）'!AO40-'收入（关联）'!AN40</f>
        <v>0</v>
      </c>
      <c r="AO40" s="258">
        <f>'收入（汇总）'!AP40-'收入（关联）'!AO40</f>
        <v>0</v>
      </c>
      <c r="AP40" s="258">
        <f>'收入（汇总）'!AQ40-'收入（关联）'!AP40</f>
        <v>0</v>
      </c>
      <c r="AQ40" s="258">
        <f>'收入（汇总）'!AR40-'收入（关联）'!AQ40</f>
        <v>0</v>
      </c>
      <c r="AR40" s="258">
        <f>'收入（汇总）'!AS40-'收入（关联）'!AR40</f>
        <v>0</v>
      </c>
      <c r="AS40" s="290">
        <f>'收入（汇总）'!AT40-'收入（关联）'!AS40</f>
        <v>0</v>
      </c>
      <c r="AT40" s="258">
        <f>'收入（汇总）'!AU40-'收入（关联）'!AT40</f>
        <v>0</v>
      </c>
      <c r="AU40" s="258">
        <f>'收入（汇总）'!AV40-'收入（关联）'!AU40</f>
        <v>0</v>
      </c>
      <c r="AV40" s="258">
        <f>'收入（汇总）'!AW40-'收入（关联）'!AV40</f>
        <v>0</v>
      </c>
      <c r="AW40" s="258">
        <f>'收入（汇总）'!AX40-'收入（关联）'!AW40</f>
        <v>0</v>
      </c>
      <c r="AX40" s="258">
        <f>'收入（汇总）'!AY40-'收入（关联）'!AX40</f>
        <v>0</v>
      </c>
      <c r="AY40" s="258">
        <f>'收入（汇总）'!AZ40-'收入（关联）'!AY40</f>
        <v>0</v>
      </c>
    </row>
    <row r="41" spans="1:53" s="259" customFormat="1">
      <c r="A41" s="259" t="str">
        <f>'收入（汇总）'!B41</f>
        <v>其他事项处理</v>
      </c>
      <c r="B41" s="273">
        <f>'收入（汇总）'!C41-'收入（关联）'!B41</f>
        <v>0</v>
      </c>
      <c r="C41" s="273">
        <f>'收入（汇总）'!D41-'收入（关联）'!C41</f>
        <v>-324</v>
      </c>
      <c r="D41" s="273">
        <f>'收入（汇总）'!E41-'收入（关联）'!D41</f>
        <v>-323</v>
      </c>
      <c r="E41" s="273">
        <f>'收入（汇总）'!F41-'收入（关联）'!E41</f>
        <v>0</v>
      </c>
      <c r="F41" s="273">
        <f>'收入（汇总）'!G41-'收入（关联）'!F41</f>
        <v>0</v>
      </c>
      <c r="G41" s="273">
        <f>'收入（汇总）'!H41-'收入（关联）'!G41</f>
        <v>0</v>
      </c>
      <c r="H41" s="273">
        <f>'收入（汇总）'!I41-'收入（关联）'!H41</f>
        <v>0</v>
      </c>
      <c r="I41" s="273">
        <f>'收入（汇总）'!J41-'收入（关联）'!I41</f>
        <v>0</v>
      </c>
      <c r="J41" s="273">
        <f>'收入（汇总）'!K41-'收入（关联）'!J41</f>
        <v>0</v>
      </c>
      <c r="K41" s="273">
        <f>'收入（汇总）'!L41-'收入（关联）'!K41</f>
        <v>0</v>
      </c>
      <c r="L41" s="273">
        <f>'收入（汇总）'!M41-'收入（关联）'!L41</f>
        <v>0</v>
      </c>
      <c r="M41" s="273">
        <f>'收入（汇总）'!N41-'收入（关联）'!M41</f>
        <v>0</v>
      </c>
      <c r="N41" s="273">
        <f>'收入（汇总）'!O41-'收入（关联）'!N41</f>
        <v>0</v>
      </c>
      <c r="O41" s="273">
        <f>'收入（汇总）'!P41-'收入（关联）'!O41</f>
        <v>0</v>
      </c>
      <c r="P41" s="273">
        <f>'收入（汇总）'!Q41-'收入（关联）'!P41</f>
        <v>0</v>
      </c>
      <c r="Q41" s="273">
        <f>'收入（汇总）'!R41-'收入（关联）'!Q41</f>
        <v>0</v>
      </c>
      <c r="R41" s="273">
        <f>'收入（汇总）'!S41-'收入（关联）'!R41</f>
        <v>0</v>
      </c>
      <c r="S41" s="273">
        <f>'收入（汇总）'!T41-'收入（关联）'!S41</f>
        <v>0</v>
      </c>
      <c r="T41" s="273">
        <f>'收入（汇总）'!U41-'收入（关联）'!T41</f>
        <v>0</v>
      </c>
      <c r="U41" s="273">
        <f>'收入（汇总）'!V41-'收入（关联）'!U41</f>
        <v>0</v>
      </c>
      <c r="V41" s="273">
        <f>'收入（汇总）'!W41-'收入（关联）'!V41</f>
        <v>0</v>
      </c>
      <c r="W41" s="273">
        <f>'收入（汇总）'!X41-'收入（关联）'!W41</f>
        <v>0</v>
      </c>
      <c r="X41" s="273">
        <f>'收入（汇总）'!Y41-'收入（关联）'!X41</f>
        <v>0</v>
      </c>
      <c r="Y41" s="273">
        <f>'收入（汇总）'!Z41-'收入（关联）'!Y41</f>
        <v>0</v>
      </c>
      <c r="Z41" s="273">
        <f>'收入（汇总）'!AA41-'收入（关联）'!Z41</f>
        <v>0</v>
      </c>
      <c r="AA41" s="273">
        <f>'收入（汇总）'!AB41-'收入（关联）'!AA41</f>
        <v>0</v>
      </c>
      <c r="AB41" s="273">
        <f>'收入（汇总）'!AC41-'收入（关联）'!AB41</f>
        <v>0</v>
      </c>
      <c r="AC41" s="291">
        <f>'收入（汇总）'!AD41-'收入（关联）'!AC41</f>
        <v>0</v>
      </c>
      <c r="AD41" s="291">
        <f>'收入（汇总）'!AE41-'收入（关联）'!AD41</f>
        <v>0</v>
      </c>
      <c r="AE41" s="291">
        <f>'收入（汇总）'!AF41-'收入（关联）'!AE41</f>
        <v>0</v>
      </c>
      <c r="AF41" s="291">
        <f>'收入（汇总）'!AG41-'收入（关联）'!AF41</f>
        <v>0</v>
      </c>
      <c r="AG41" s="291">
        <f>'收入（汇总）'!AH41-'收入（关联）'!AG41</f>
        <v>0</v>
      </c>
      <c r="AH41" s="291">
        <f>'收入（汇总）'!AI41-'收入（关联）'!AH41</f>
        <v>0</v>
      </c>
      <c r="AI41" s="291">
        <f>'收入（汇总）'!AJ41-'收入（关联）'!AI41</f>
        <v>0</v>
      </c>
      <c r="AJ41" s="259">
        <f>'收入（汇总）'!AK41-'收入（关联）'!AJ41</f>
        <v>0</v>
      </c>
      <c r="AK41" s="291">
        <f>'收入（汇总）'!AL41-'收入（关联）'!AK41</f>
        <v>0</v>
      </c>
      <c r="AL41" s="259">
        <f>'收入（汇总）'!AM41-'收入（关联）'!AL41</f>
        <v>0</v>
      </c>
      <c r="AM41" s="259">
        <f>'收入（汇总）'!AN41-'收入（关联）'!AM41</f>
        <v>0</v>
      </c>
      <c r="AN41" s="259">
        <f>'收入（汇总）'!AO41-'收入（关联）'!AN41</f>
        <v>0</v>
      </c>
      <c r="AO41" s="259">
        <f>'收入（汇总）'!AP41-'收入（关联）'!AO41</f>
        <v>0</v>
      </c>
      <c r="AP41" s="259">
        <f>'收入（汇总）'!AQ41-'收入（关联）'!AP41</f>
        <v>0</v>
      </c>
      <c r="AQ41" s="259">
        <f>'收入（汇总）'!AR41-'收入（关联）'!AQ41</f>
        <v>0</v>
      </c>
      <c r="AR41" s="259">
        <f>'收入（汇总）'!AS41-'收入（关联）'!AR41</f>
        <v>0</v>
      </c>
      <c r="AS41" s="291">
        <f>'收入（汇总）'!AT41-'收入（关联）'!AS41</f>
        <v>0</v>
      </c>
      <c r="AT41" s="259">
        <f>'收入（汇总）'!AU41-'收入（关联）'!AT41</f>
        <v>0</v>
      </c>
      <c r="AU41" s="259">
        <f>'收入（汇总）'!AV41-'收入（关联）'!AU41</f>
        <v>0</v>
      </c>
      <c r="AV41" s="259">
        <f>'收入（汇总）'!AW41-'收入（关联）'!AV41</f>
        <v>0</v>
      </c>
      <c r="AW41" s="259">
        <f>'收入（汇总）'!AX41-'收入（关联）'!AW41</f>
        <v>0</v>
      </c>
      <c r="AX41" s="259">
        <f>'收入（汇总）'!AY41-'收入（关联）'!AX41</f>
        <v>0</v>
      </c>
      <c r="AY41" s="259">
        <f>'收入（汇总）'!AZ41-'收入（关联）'!AY41</f>
        <v>0</v>
      </c>
    </row>
    <row r="42" spans="1:53" s="260" customFormat="1" ht="15" thickBot="1">
      <c r="A42" s="260" t="str">
        <f>'收入（汇总）'!B42</f>
        <v>合计</v>
      </c>
      <c r="B42" s="274">
        <f>'收入（汇总）'!C42-'收入（关联）'!B42</f>
        <v>8141094.2992974129</v>
      </c>
      <c r="C42" s="274">
        <f>'收入（汇总）'!D42-'收入（关联）'!C42</f>
        <v>647420.62248397479</v>
      </c>
      <c r="D42" s="274">
        <f>'收入（汇总）'!E42-'收入（关联）'!D42</f>
        <v>640370.6041813076</v>
      </c>
      <c r="E42" s="274">
        <f>'收入（汇总）'!F42-'收入（关联）'!E42</f>
        <v>516209.7107709538</v>
      </c>
      <c r="F42" s="274">
        <f>'收入（汇总）'!G42-'收入（关联）'!F42</f>
        <v>733275.37399420654</v>
      </c>
      <c r="G42" s="274">
        <f>'收入（汇总）'!H42-'收入（关联）'!G42</f>
        <v>637992.90581776761</v>
      </c>
      <c r="H42" s="274">
        <f>'收入（汇总）'!I42-'收入（关联）'!H42</f>
        <v>681973.77088487416</v>
      </c>
      <c r="I42" s="274">
        <f>'收入（汇总）'!J42-'收入（关联）'!I42</f>
        <v>659038.10382660176</v>
      </c>
      <c r="J42" s="274">
        <f>'收入（汇总）'!K42-'收入（关联）'!J42</f>
        <v>684919.10108223883</v>
      </c>
      <c r="K42" s="274">
        <f>'收入（汇总）'!L42-'收入（关联）'!K42</f>
        <v>686919.75004931679</v>
      </c>
      <c r="L42" s="274">
        <f>'收入（汇总）'!M42-'收入（关联）'!L42</f>
        <v>645174.40539870411</v>
      </c>
      <c r="M42" s="274">
        <f>'收入（汇总）'!N42-'收入（关联）'!M42</f>
        <v>652758.58378899144</v>
      </c>
      <c r="N42" s="274">
        <f>'收入（汇总）'!O42-'收入（关联）'!N42</f>
        <v>628495.21243249439</v>
      </c>
      <c r="O42" s="274">
        <f>'收入（汇总）'!P42-'收入（关联）'!O42</f>
        <v>684275.46220814856</v>
      </c>
      <c r="P42" s="274">
        <f>'收入（汇总）'!Q42-'收入（关联）'!P42</f>
        <v>611841.75805005408</v>
      </c>
      <c r="Q42" s="274">
        <f>'收入（汇总）'!R42-'收入（关联）'!Q42</f>
        <v>539608.17614262667</v>
      </c>
      <c r="R42" s="274">
        <f>'收入（汇总）'!S42-'收入（关联）'!R42</f>
        <v>737303.56040590617</v>
      </c>
      <c r="S42" s="274">
        <f>'收入（汇总）'!T42-'收入（关联）'!S42</f>
        <v>681955.24203008227</v>
      </c>
      <c r="T42" s="274">
        <f>'收入（汇总）'!U42-'收入（关联）'!T42</f>
        <v>698759.96751797467</v>
      </c>
      <c r="U42" s="274">
        <f>'收入（汇总）'!V42-'收入（关联）'!U42</f>
        <v>665922.99948022491</v>
      </c>
      <c r="V42" s="274">
        <f>'收入（汇总）'!W42-'收入（关联）'!V42</f>
        <v>686402.89144355035</v>
      </c>
      <c r="W42" s="274">
        <f>'收入（汇总）'!X42-'收入（关联）'!W42</f>
        <v>711732.53503870615</v>
      </c>
      <c r="X42" s="274">
        <f>'收入（汇总）'!Y42-'收入（关联）'!X42</f>
        <v>697041.21460623713</v>
      </c>
      <c r="Y42" s="274">
        <f>'收入（汇总）'!Z42-'收入（关联）'!Y42</f>
        <v>592759.85458099982</v>
      </c>
      <c r="Z42" s="274">
        <f>'收入（汇总）'!AA42-'收入（关联）'!Z42</f>
        <v>609893.13296500011</v>
      </c>
      <c r="AA42" s="274">
        <f>'收入（汇总）'!AB42-'收入（关联）'!AA42</f>
        <v>718581.19685700024</v>
      </c>
      <c r="AB42" s="274">
        <f>SUM(AB3:AB41)-AB20-AB21-AB8-AB9+AB10</f>
        <v>529392.70264399995</v>
      </c>
      <c r="AC42" s="274">
        <f t="shared" ref="AC42:AJ42" si="1">SUM(AC3:AC41)-AC20-AC21-AC8-AC9+AC10</f>
        <v>551340.76616100012</v>
      </c>
      <c r="AD42" s="274">
        <f t="shared" si="1"/>
        <v>679803.64975299966</v>
      </c>
      <c r="AE42" s="274">
        <f t="shared" si="1"/>
        <v>714768.94150200021</v>
      </c>
      <c r="AF42" s="274">
        <f t="shared" si="1"/>
        <v>625178.12075300002</v>
      </c>
      <c r="AG42" s="274">
        <f t="shared" si="1"/>
        <v>638856.51619400003</v>
      </c>
      <c r="AH42" s="274">
        <f t="shared" si="1"/>
        <v>617821.20516000013</v>
      </c>
      <c r="AI42" s="274">
        <f t="shared" si="1"/>
        <v>606209.20941699983</v>
      </c>
      <c r="AJ42" s="274">
        <f t="shared" si="1"/>
        <v>586571.72546800016</v>
      </c>
      <c r="AK42" s="274">
        <f>SUM(AK3:AK41)-AK20-AK21-AK8-AK9+AK10</f>
        <v>695442.79370699998</v>
      </c>
      <c r="AL42" s="274">
        <f t="shared" ref="AL42" si="2">SUM(AL3:AL41)-AL20-AL21-AL8-AL9+AL10</f>
        <v>749878.28554699977</v>
      </c>
      <c r="AM42" s="274">
        <f t="shared" ref="AM42" si="3">SUM(AM3:AM41)-AM20-AM21-AM8-AM9+AM10</f>
        <v>863122.40158000006</v>
      </c>
      <c r="AN42" s="274">
        <f>SUM(AN3:AN41)-AN20-AN21-AN8-AN9-AN10</f>
        <v>782544.55715700029</v>
      </c>
      <c r="AO42" s="274">
        <f>SUM(AO3:AO41)-AO20-AO21-AO8-AO9-AO10</f>
        <v>748272.69225499989</v>
      </c>
      <c r="AP42" s="274">
        <f>SUM(AP3:AP41)-AP20-AP21-AP8-AP9-AP10</f>
        <v>908539.05305399979</v>
      </c>
      <c r="AQ42" s="274">
        <f>SUM(AQ3:AQ41)-AQ20-AQ21-AQ8-AQ9-AQ10</f>
        <v>970115.11144199979</v>
      </c>
      <c r="AR42" s="274">
        <f>SUM(AR3:AR41)-AR20-AR21-AR8-AR9-AR10</f>
        <v>1069406.3321570004</v>
      </c>
      <c r="AS42" s="274">
        <f t="shared" ref="AS42:AY42" si="4">SUM(AS3:AS41)-AS20-AS21-AS8-AS9-AS10</f>
        <v>1032511.6237670002</v>
      </c>
      <c r="AT42" s="274">
        <f>SUM(AT3:AT41)-AT20-AT21-AT8-AT9-AT10</f>
        <v>1039830.7645639997</v>
      </c>
      <c r="AU42" s="274">
        <f t="shared" si="4"/>
        <v>1043278.3827040687</v>
      </c>
      <c r="AV42" s="274">
        <f t="shared" si="4"/>
        <v>0</v>
      </c>
      <c r="AW42" s="274">
        <f t="shared" si="4"/>
        <v>0</v>
      </c>
      <c r="AX42" s="274">
        <f t="shared" si="4"/>
        <v>0</v>
      </c>
      <c r="AY42" s="274">
        <f t="shared" si="4"/>
        <v>0</v>
      </c>
      <c r="BA42" s="279"/>
    </row>
    <row r="43" spans="1:53" s="261" customFormat="1">
      <c r="B43" s="275"/>
      <c r="C43" s="275"/>
      <c r="D43" s="275"/>
      <c r="E43" s="275"/>
      <c r="F43" s="275"/>
      <c r="G43" s="275"/>
      <c r="H43" s="275"/>
      <c r="I43" s="275"/>
      <c r="J43" s="275"/>
      <c r="K43" s="275"/>
      <c r="L43" s="275"/>
      <c r="M43" s="275"/>
      <c r="N43" s="275"/>
      <c r="O43" s="275"/>
      <c r="AB43" s="2177"/>
      <c r="AC43" s="2177"/>
      <c r="AD43" s="2177"/>
    </row>
    <row r="44" spans="1:53" s="262" customFormat="1">
      <c r="A44" s="276" t="s">
        <v>877</v>
      </c>
      <c r="B44" s="272">
        <f>'收入（汇总）'!C47-'收入（关联）'!B44</f>
        <v>107951.506819</v>
      </c>
      <c r="C44" s="272">
        <f>'收入（汇总）'!D47-'收入（关联）'!C44</f>
        <v>7637</v>
      </c>
      <c r="D44" s="272">
        <f>'收入（汇总）'!E47-'收入（关联）'!D44</f>
        <v>8362</v>
      </c>
      <c r="E44" s="272">
        <f>'收入（汇总）'!F47-'收入（关联）'!E44</f>
        <v>9679</v>
      </c>
      <c r="F44" s="272">
        <f>'收入（汇总）'!G47-'收入（关联）'!F44</f>
        <v>6459</v>
      </c>
      <c r="G44" s="272">
        <f>'收入（汇总）'!H47-'收入（关联）'!G44</f>
        <v>4934</v>
      </c>
      <c r="H44" s="272">
        <f>'收入（汇总）'!I47-'收入（关联）'!H44</f>
        <v>9750</v>
      </c>
      <c r="I44" s="272">
        <f>'收入（汇总）'!J47-'收入（关联）'!I44</f>
        <v>10320</v>
      </c>
      <c r="J44" s="272">
        <f>'收入（汇总）'!K47-'收入（关联）'!J44</f>
        <v>9804</v>
      </c>
      <c r="K44" s="272">
        <f>'收入（汇总）'!L47-'收入（关联）'!K44</f>
        <v>15340</v>
      </c>
      <c r="L44" s="272">
        <f>'收入（汇总）'!M47-'收入（关联）'!L44</f>
        <v>12131</v>
      </c>
      <c r="M44" s="272">
        <f>'收入（汇总）'!N47-'收入（关联）'!M44</f>
        <v>13881</v>
      </c>
      <c r="N44" s="272">
        <f>'收入（汇总）'!O47-'收入（关联）'!N44</f>
        <v>12341</v>
      </c>
      <c r="O44" s="272">
        <f>'收入（汇总）'!P47-'收入（关联）'!O44</f>
        <v>9987</v>
      </c>
      <c r="P44" s="272">
        <f>'收入（汇总）'!Q47-'收入（关联）'!P44</f>
        <v>8803.9377769999992</v>
      </c>
      <c r="Q44" s="272">
        <f>'收入（汇总）'!R47-'收入（关联）'!Q44</f>
        <v>10977.514761999999</v>
      </c>
      <c r="R44" s="272">
        <f>'收入（汇总）'!S47-'收入（关联）'!R44</f>
        <v>12756.685911</v>
      </c>
      <c r="S44" s="272">
        <f>'收入（汇总）'!T47-'收入（关联）'!S44</f>
        <v>17572.843570000005</v>
      </c>
      <c r="T44" s="272">
        <f>'收入（汇总）'!U47-'收入（关联）'!T44</f>
        <v>21172.205252</v>
      </c>
      <c r="U44" s="272">
        <f>'收入（汇总）'!V47-'收入（关联）'!U44</f>
        <v>19922.884722999988</v>
      </c>
      <c r="V44" s="272">
        <f>'收入（汇总）'!W47-'收入（关联）'!V44</f>
        <v>20639.260234999987</v>
      </c>
      <c r="W44" s="272">
        <f>'收入（汇总）'!X47-'收入（关联）'!W44</f>
        <v>12676.616300000002</v>
      </c>
      <c r="X44" s="272">
        <f>'收入（汇总）'!Y47-'收入（关联）'!X44</f>
        <v>15642.257201</v>
      </c>
      <c r="Y44" s="272">
        <f>'收入（汇总）'!Z47-'收入（关联）'!Y44</f>
        <v>14390.116528000006</v>
      </c>
      <c r="Z44" s="272">
        <f>'收入（汇总）'!AA47-'收入（关联）'!Z44</f>
        <v>11721.380709000005</v>
      </c>
      <c r="AA44" s="272">
        <f>'收入（汇总）'!AB47-'收入（关联）'!AA44</f>
        <v>16055.547525999995</v>
      </c>
      <c r="AB44" s="272">
        <f>'收入（汇总）'!AC47-'收入（关联）'!AB44</f>
        <v>13444.005740000001</v>
      </c>
      <c r="AC44" s="272">
        <f>'收入（汇总）'!AD47-'收入（关联）'!AC44</f>
        <v>15833.486282999998</v>
      </c>
      <c r="AD44" s="272">
        <f>'收入（汇总）'!AE47-'收入（关联）'!AD44</f>
        <v>16098.064925999999</v>
      </c>
      <c r="AE44" s="272">
        <f>'收入（汇总）'!AF47-'收入（关联）'!AE44</f>
        <v>13579.076977999997</v>
      </c>
      <c r="AF44" s="272">
        <f>'收入（汇总）'!AG47-'收入（关联）'!AF44</f>
        <v>7571.0543109999962</v>
      </c>
      <c r="AG44" s="272">
        <f>'收入（汇总）'!AH47-'收入（关联）'!AG44</f>
        <v>35338.370704000015</v>
      </c>
      <c r="AH44" s="272">
        <f>'收入（汇总）'!AI47-'收入（关联）'!AH44</f>
        <v>30194.414027999999</v>
      </c>
      <c r="AI44" s="272">
        <f>'收入（汇总）'!AJ47-'收入（关联）'!AI44</f>
        <v>34448.960849999996</v>
      </c>
      <c r="AJ44" s="272">
        <f>'收入（汇总）'!AK47-'收入（关联）'!AJ44</f>
        <v>35548.972254000008</v>
      </c>
      <c r="AK44" s="272">
        <f>'收入（汇总）'!AL47-'收入（关联）'!AK44</f>
        <v>28961.144969000001</v>
      </c>
      <c r="AL44" s="272">
        <f>'收入（汇总）'!AM47-'收入（关联）'!AL44</f>
        <v>28257.345786999998</v>
      </c>
      <c r="AM44" s="272">
        <f>'收入（汇总）'!AN47-'收入（关联）'!AM44</f>
        <v>11597.174144999997</v>
      </c>
      <c r="AN44" s="272">
        <f>'收入（汇总）'!AO47-'收入（关联）'!AN44</f>
        <v>15553.209004000004</v>
      </c>
      <c r="AO44" s="272">
        <f>'收入（汇总）'!AP47-'收入（关联）'!AO44</f>
        <v>35896.698007999992</v>
      </c>
      <c r="AP44" s="272">
        <f>'收入（汇总）'!AQ47-'收入（关联）'!AP44</f>
        <v>37255.429125000002</v>
      </c>
      <c r="AQ44" s="272">
        <f>'收入（汇总）'!AR47-'收入（关联）'!AQ44</f>
        <v>52474.692691000004</v>
      </c>
      <c r="AR44" s="272">
        <f>'收入（汇总）'!AS47-'收入（关联）'!AR44</f>
        <v>48256.874199999998</v>
      </c>
      <c r="AS44" s="272">
        <f>'收入（汇总）'!AT47-'收入（关联）'!AS44</f>
        <v>38828.977968000007</v>
      </c>
      <c r="AT44" s="272">
        <f>'收入（汇总）'!AU47-'收入（关联）'!AT44</f>
        <v>42934.950492000004</v>
      </c>
      <c r="AU44" s="272">
        <f>'收入（汇总）'!AV47-'收入（关联）'!AU44</f>
        <v>49551.746421000003</v>
      </c>
      <c r="AV44" s="272">
        <f>'收入（汇总）'!AW47-'收入（关联）'!AV44</f>
        <v>0</v>
      </c>
      <c r="AW44" s="272">
        <f>'收入（汇总）'!AX47-'收入（关联）'!AW44</f>
        <v>0</v>
      </c>
      <c r="AX44" s="272">
        <f>'收入（汇总）'!AY47-'收入（关联）'!AX44</f>
        <v>0</v>
      </c>
      <c r="AY44" s="272">
        <f>'收入（汇总）'!AZ47-'收入（关联）'!AY44</f>
        <v>0</v>
      </c>
    </row>
    <row r="45" spans="1:53" s="258" customFormat="1">
      <c r="A45" s="276" t="s">
        <v>962</v>
      </c>
      <c r="B45" s="277">
        <f t="shared" ref="B45:AG45" si="5">SUM(B23:B37)+B26+B11</f>
        <v>210581.42367983278</v>
      </c>
      <c r="C45" s="277">
        <f t="shared" si="5"/>
        <v>25041.116628135998</v>
      </c>
      <c r="D45" s="277">
        <f t="shared" si="5"/>
        <v>16397.381991666</v>
      </c>
      <c r="E45" s="277">
        <f t="shared" si="5"/>
        <v>11600.841754405998</v>
      </c>
      <c r="F45" s="277">
        <f t="shared" si="5"/>
        <v>11501.822965359999</v>
      </c>
      <c r="G45" s="277">
        <f t="shared" si="5"/>
        <v>11903.96389436</v>
      </c>
      <c r="H45" s="277">
        <f t="shared" si="5"/>
        <v>12413.413641249999</v>
      </c>
      <c r="I45" s="277">
        <f t="shared" si="5"/>
        <v>12653.972851341001</v>
      </c>
      <c r="J45" s="277">
        <f t="shared" si="5"/>
        <v>25581.500596102996</v>
      </c>
      <c r="K45" s="277">
        <f t="shared" si="5"/>
        <v>12475.909520789002</v>
      </c>
      <c r="L45" s="277">
        <f t="shared" si="5"/>
        <v>17409.432436508003</v>
      </c>
      <c r="M45" s="277">
        <f t="shared" si="5"/>
        <v>12950.199224362999</v>
      </c>
      <c r="N45" s="277">
        <f t="shared" si="5"/>
        <v>15667.717733999998</v>
      </c>
      <c r="O45" s="277">
        <f t="shared" si="5"/>
        <v>20824.068876952108</v>
      </c>
      <c r="P45" s="277">
        <f t="shared" si="5"/>
        <v>21315.853805999999</v>
      </c>
      <c r="Q45" s="277">
        <f t="shared" si="5"/>
        <v>11536.451073</v>
      </c>
      <c r="R45" s="277">
        <f t="shared" si="5"/>
        <v>16864.133087000002</v>
      </c>
      <c r="S45" s="277">
        <f t="shared" si="5"/>
        <v>18192.926704000005</v>
      </c>
      <c r="T45" s="277">
        <f t="shared" si="5"/>
        <v>17266.983153191781</v>
      </c>
      <c r="U45" s="277">
        <f t="shared" si="5"/>
        <v>16432.468153000002</v>
      </c>
      <c r="V45" s="277">
        <f t="shared" si="5"/>
        <v>16916.606204666667</v>
      </c>
      <c r="W45" s="277">
        <f t="shared" si="5"/>
        <v>13153.426009999997</v>
      </c>
      <c r="X45" s="277">
        <f t="shared" si="5"/>
        <v>16610.093739</v>
      </c>
      <c r="Y45" s="277">
        <f t="shared" si="5"/>
        <v>13837.939526</v>
      </c>
      <c r="Z45" s="277">
        <f t="shared" si="5"/>
        <v>16535.290908999999</v>
      </c>
      <c r="AA45" s="277">
        <f t="shared" si="5"/>
        <v>15321.874437</v>
      </c>
      <c r="AB45" s="277">
        <f t="shared" si="5"/>
        <v>17965.958314999996</v>
      </c>
      <c r="AC45" s="277">
        <f t="shared" si="5"/>
        <v>6962.8975390000005</v>
      </c>
      <c r="AD45" s="277">
        <f t="shared" si="5"/>
        <v>9871.3339799999994</v>
      </c>
      <c r="AE45" s="277">
        <f t="shared" si="5"/>
        <v>15981.004199999999</v>
      </c>
      <c r="AF45" s="277">
        <f t="shared" si="5"/>
        <v>15420.443669999999</v>
      </c>
      <c r="AG45" s="277">
        <f t="shared" si="5"/>
        <v>14258.626965999998</v>
      </c>
      <c r="AH45" s="277">
        <f t="shared" ref="AH45:AY45" si="6">SUM(AH23:AH37)+AH26+AH11</f>
        <v>12157.180063</v>
      </c>
      <c r="AI45" s="277">
        <f t="shared" si="6"/>
        <v>12709.061754</v>
      </c>
      <c r="AJ45" s="277">
        <f t="shared" si="6"/>
        <v>10910.377485999998</v>
      </c>
      <c r="AK45" s="277">
        <f t="shared" si="6"/>
        <v>12884.397708</v>
      </c>
      <c r="AL45" s="277">
        <f t="shared" si="6"/>
        <v>13395.549896999999</v>
      </c>
      <c r="AM45" s="1779">
        <f t="shared" si="6"/>
        <v>14982.509370000002</v>
      </c>
      <c r="AN45" s="1779">
        <f t="shared" si="6"/>
        <v>7775.1158069999992</v>
      </c>
      <c r="AO45" s="1779">
        <f t="shared" si="6"/>
        <v>7946.0093949999991</v>
      </c>
      <c r="AP45" s="1779">
        <f t="shared" si="6"/>
        <v>6074.3635360000035</v>
      </c>
      <c r="AQ45" s="1779">
        <f t="shared" si="6"/>
        <v>10388.101438</v>
      </c>
      <c r="AR45" s="1779">
        <f t="shared" si="6"/>
        <v>9231.5254900000018</v>
      </c>
      <c r="AS45" s="1779">
        <f t="shared" si="6"/>
        <v>12675.685287</v>
      </c>
      <c r="AT45" s="1779">
        <f t="shared" si="6"/>
        <v>7161.0236610000011</v>
      </c>
      <c r="AU45" s="1779">
        <f t="shared" si="6"/>
        <v>9205.5498029999817</v>
      </c>
      <c r="AV45" s="1779">
        <f t="shared" si="6"/>
        <v>0</v>
      </c>
      <c r="AW45" s="1779">
        <f t="shared" si="6"/>
        <v>0</v>
      </c>
      <c r="AX45" s="1779">
        <f t="shared" si="6"/>
        <v>0</v>
      </c>
      <c r="AY45" s="1779">
        <f t="shared" si="6"/>
        <v>0</v>
      </c>
    </row>
    <row r="46" spans="1:53" s="258" customFormat="1">
      <c r="A46" s="276" t="s">
        <v>963</v>
      </c>
      <c r="B46" s="277"/>
      <c r="C46" s="277"/>
      <c r="D46" s="277">
        <f>SUMPRODUCT('#销量数据'!$C$4:$AAB$114,('#销量数据'!$C$1:$AAB$1=D1)*('#销量数据'!$C$2:$AAB$2=D2)*('#销量数据'!$C$3:$AAB$3="收入")*('#销量数据'!$B$4:$B$114="复合材料厂"))</f>
        <v>471.42048599999998</v>
      </c>
      <c r="E46" s="277">
        <f>SUMPRODUCT('#销量数据'!$C$4:$AAB$114,('#销量数据'!$C$1:$AAB$1=E1)*('#销量数据'!$C$2:$AAB$2=E2)*('#销量数据'!$C$3:$AAB$3="收入")*('#销量数据'!$B$4:$B$114="复合材料厂"))</f>
        <v>1286.6300000000001</v>
      </c>
      <c r="F46" s="277">
        <f>SUMPRODUCT('#销量数据'!$C$4:$AAB$114,('#销量数据'!$C$1:$AAB$1=F1)*('#销量数据'!$C$2:$AAB$2=F2)*('#销量数据'!$C$3:$AAB$3="收入")*('#销量数据'!$B$4:$B$114="复合材料厂"))</f>
        <v>995</v>
      </c>
      <c r="G46" s="277">
        <f>SUMPRODUCT('#销量数据'!$C$4:$AAB$114,('#销量数据'!$C$1:$AAB$1=G1)*('#销量数据'!$C$2:$AAB$2=G2)*('#销量数据'!$C$3:$AAB$3="收入")*('#销量数据'!$B$4:$B$114="复合材料厂"))</f>
        <v>1393</v>
      </c>
      <c r="H46" s="277">
        <f>SUMPRODUCT('#销量数据'!$C$4:$AAB$114,('#销量数据'!$C$1:$AAB$1=H1)*('#销量数据'!$C$2:$AAB$2=H2)*('#销量数据'!$C$3:$AAB$3="收入")*('#销量数据'!$B$4:$B$114="复合材料厂"))</f>
        <v>499.93</v>
      </c>
      <c r="I46" s="277">
        <f>SUMPRODUCT('#销量数据'!$C$4:$AAB$114,('#销量数据'!$C$1:$AAB$1=I1)*('#销量数据'!$C$2:$AAB$2=I2)*('#销量数据'!$C$3:$AAB$3="收入")*('#销量数据'!$B$4:$B$114="复合材料厂"))</f>
        <v>916.72</v>
      </c>
      <c r="J46" s="277">
        <f>SUMPRODUCT('#销量数据'!$C$4:$AAB$114,('#销量数据'!$C$1:$AAB$1=J1)*('#销量数据'!$C$2:$AAB$2=J2)*('#销量数据'!$C$3:$AAB$3="收入")*('#销量数据'!$B$4:$B$114="复合材料厂"))</f>
        <v>1257</v>
      </c>
      <c r="K46" s="277">
        <f>SUMPRODUCT('#销量数据'!$C$4:$AAB$114,('#销量数据'!$C$1:$AAB$1=K1)*('#销量数据'!$C$2:$AAB$2=K2)*('#销量数据'!$C$3:$AAB$3="收入")*('#销量数据'!$B$4:$B$114="复合材料厂"))</f>
        <v>1283</v>
      </c>
      <c r="L46" s="277">
        <f>SUMPRODUCT('#销量数据'!$C$4:$AAB$114,('#销量数据'!$C$1:$AAB$1=L1)*('#销量数据'!$C$2:$AAB$2=L2)*('#销量数据'!$C$3:$AAB$3="收入")*('#销量数据'!$B$4:$B$114="复合材料厂"))</f>
        <v>1747.9095620000001</v>
      </c>
      <c r="M46" s="277">
        <f>SUMPRODUCT('#销量数据'!$C$4:$AAB$114,('#销量数据'!$C$1:$AAB$1=M1)*('#销量数据'!$C$2:$AAB$2=M2)*('#销量数据'!$C$3:$AAB$3="收入")*('#销量数据'!$B$4:$B$114="复合材料厂"))</f>
        <v>978</v>
      </c>
      <c r="N46" s="277">
        <f>SUMPRODUCT('#销量数据'!$C$4:$AAB$114,('#销量数据'!$C$1:$AAB$1=N1)*('#销量数据'!$C$2:$AAB$2=N2)*('#销量数据'!$C$3:$AAB$3="收入")*('#销量数据'!$B$4:$B$114="复合材料厂"))</f>
        <v>686</v>
      </c>
      <c r="O46" s="277">
        <f>SUMPRODUCT('#销量数据'!$C$4:$AAB$114,('#销量数据'!$C$1:$AAB$1=O1)*('#销量数据'!$C$2:$AAB$2=O2)*('#销量数据'!$C$3:$AAB$3="收入")*('#销量数据'!$B$4:$B$114="复合材料厂"))</f>
        <v>1047</v>
      </c>
      <c r="P46" s="277">
        <f>SUMIFS('#销量数据'!80:80,'#销量数据'!1:1,P1,'#销量数据'!2:2,P2,'#销量数据'!3:3,"收入")</f>
        <v>2076</v>
      </c>
      <c r="Q46" s="277">
        <f>SUMIFS('#销量数据'!80:80,'#销量数据'!1:1,Q1,'#销量数据'!2:2,Q2,'#销量数据'!3:3,"收入")</f>
        <v>1605.71</v>
      </c>
      <c r="R46" s="277">
        <f>SUMIFS('#销量数据'!80:80,'#销量数据'!1:1,R1,'#销量数据'!2:2,R2,'#销量数据'!3:3,"收入")</f>
        <v>1752</v>
      </c>
      <c r="S46" s="277">
        <f>SUMIFS('#销量数据'!80:80,'#销量数据'!1:1,S1,'#销量数据'!2:2,S2,'#销量数据'!3:3,"收入")</f>
        <v>1088.4517000000001</v>
      </c>
      <c r="T46" s="277">
        <f>SUMIFS('#销量数据'!80:80,'#销量数据'!1:1,T1,'#销量数据'!2:2,T2,'#销量数据'!3:3,"收入")</f>
        <v>1604.22</v>
      </c>
      <c r="U46" s="277">
        <f>SUMIFS('#销量数据'!80:80,'#销量数据'!1:1,U1,'#销量数据'!2:2,U2,'#销量数据'!3:3,"收入")</f>
        <v>1049.45</v>
      </c>
      <c r="V46" s="277">
        <f>SUMIFS('#销量数据'!80:80,'#销量数据'!1:1,V1,'#销量数据'!2:2,V2,'#销量数据'!3:3,"收入")</f>
        <v>1956</v>
      </c>
      <c r="W46" s="277">
        <f>SUMIFS('#销量数据'!80:80,'#销量数据'!1:1,W1,'#销量数据'!2:2,W2,'#销量数据'!3:3,"收入")</f>
        <v>675.58</v>
      </c>
      <c r="X46" s="277">
        <f>SUMIFS('#销量数据'!80:80,'#销量数据'!1:1,X1,'#销量数据'!2:2,X2,'#销量数据'!3:3,"收入")</f>
        <v>725.52887799999996</v>
      </c>
      <c r="Y46" s="277">
        <f>SUMIFS('#销量数据'!80:80,'#销量数据'!1:1,Y1,'#销量数据'!2:2,Y2,'#销量数据'!3:3,"收入")</f>
        <v>657.44093099999998</v>
      </c>
      <c r="Z46" s="277">
        <f>SUMIFS('#销量数据'!80:80,'#销量数据'!1:1,Z1,'#销量数据'!2:2,Z2,'#销量数据'!3:3,"收入")</f>
        <v>1099.47992421609</v>
      </c>
      <c r="AA46" s="277">
        <f>SUMIFS('#销量数据'!80:80,'#销量数据'!1:1,AA1,'#销量数据'!2:2,AA2,'#销量数据'!3:3,"收入")</f>
        <v>1744.193235</v>
      </c>
      <c r="AB46" s="277">
        <f>SUMIFS('#销量数据'!80:80,'#销量数据'!1:1,AB1,'#销量数据'!2:2,AB2,'#销量数据'!3:3,"收入")</f>
        <v>1402.322163</v>
      </c>
      <c r="AC46" s="277">
        <f>SUMIFS('#销量数据'!80:80,'#销量数据'!1:1,AC1,'#销量数据'!2:2,AC2,'#销量数据'!3:3,"收入")</f>
        <v>687.11790347399995</v>
      </c>
      <c r="AD46" s="277">
        <f>SUMIFS('#销量数据'!80:80,'#销量数据'!1:1,AD1,'#销量数据'!2:2,AD2,'#销量数据'!3:3,"收入")</f>
        <v>329.110187</v>
      </c>
      <c r="AE46" s="277">
        <f>SUMIFS('#销量数据'!80:80,'#销量数据'!1:1,AE1,'#销量数据'!2:2,AE2,'#销量数据'!3:3,"收入")</f>
        <v>790.878604</v>
      </c>
      <c r="AF46" s="277">
        <f>SUMIFS('#销量数据'!80:80,'#销量数据'!1:1,AF1,'#销量数据'!2:2,AF2,'#销量数据'!3:3,"收入")</f>
        <v>957.24541699999997</v>
      </c>
      <c r="AG46" s="277">
        <f>SUMIFS('#销量数据'!80:80,'#销量数据'!1:1,AG1,'#销量数据'!2:2,AG2,'#销量数据'!3:3,"收入")</f>
        <v>1670.6481269999999</v>
      </c>
      <c r="AH46" s="277">
        <f>SUMIFS('#销量数据'!80:80,'#销量数据'!1:1,AH1,'#销量数据'!2:2,AH2,'#销量数据'!3:3,"收入")</f>
        <v>825.887428</v>
      </c>
      <c r="AI46" s="277">
        <f>SUMIFS('#销量数据'!80:80,'#销量数据'!1:1,AI1,'#销量数据'!2:2,AI2,'#销量数据'!3:3,"收入")</f>
        <v>1066.8429960000001</v>
      </c>
      <c r="AJ46" s="277">
        <f>SUMIFS('#销量数据'!80:80,'#销量数据'!1:1,AJ1,'#销量数据'!2:2,AJ2,'#销量数据'!3:3,"收入")</f>
        <v>1494.1742650000001</v>
      </c>
      <c r="AK46" s="277">
        <f>SUMIFS('#销量数据'!80:80,'#销量数据'!1:1,AK1,'#销量数据'!2:2,AK2,'#销量数据'!3:3,"收入")</f>
        <v>1518.1626120000001</v>
      </c>
      <c r="AL46" s="277">
        <f>SUMIFS('#销量数据'!80:80,'#销量数据'!1:1,AL1,'#销量数据'!2:2,AL2,'#销量数据'!3:3,"收入")</f>
        <v>1278.352819</v>
      </c>
      <c r="AM46" s="1779">
        <f>SUMIFS('#销量数据'!80:80,'#销量数据'!1:1,AM1,'#销量数据'!2:2,AM2,'#销量数据'!3:3,"收入")</f>
        <v>2143.8389649999999</v>
      </c>
      <c r="AN46" s="1779">
        <f>SUMIFS('#销量数据'!80:80,'#销量数据'!1:1,AN1,'#销量数据'!2:2,AN2,'#销量数据'!3:3,"收入")</f>
        <v>1372.45542</v>
      </c>
      <c r="AO46" s="1779">
        <f>SUMIFS('#销量数据'!80:80,'#销量数据'!1:1,AO1,'#销量数据'!2:2,AO2,'#销量数据'!3:3,"收入")</f>
        <v>665.88190299999997</v>
      </c>
      <c r="AP46" s="1779">
        <f>SUMIFS('#销量数据'!80:80,'#销量数据'!1:1,AP1,'#销量数据'!2:2,AP2,'#销量数据'!3:3,"收入")</f>
        <v>2460.3156439999998</v>
      </c>
      <c r="AQ46" s="1779">
        <f>SUMIFS('#销量数据'!80:80,'#销量数据'!1:1,AQ1,'#销量数据'!2:2,AQ2,'#销量数据'!3:3,"收入")</f>
        <v>1399.3795720000001</v>
      </c>
      <c r="AR46" s="1779">
        <f>SUMIFS('#销量数据'!80:80,'#销量数据'!1:1,AR1,'#销量数据'!2:2,AR2,'#销量数据'!3:3,"收入")</f>
        <v>2397.8914599999998</v>
      </c>
      <c r="AS46" s="1779">
        <f>SUMIFS('#销量数据'!80:80,'#销量数据'!1:1,AS1,'#销量数据'!2:2,AS2,'#销量数据'!3:3,"收入")</f>
        <v>2132.1275030000002</v>
      </c>
      <c r="AT46" s="1779">
        <f>SUMIFS('#销量数据'!80:80,'#销量数据'!1:1,AT1,'#销量数据'!2:2,AT2,'#销量数据'!3:3,"收入")</f>
        <v>1349.5763999999999</v>
      </c>
      <c r="AU46" s="1779">
        <f>SUMIFS('#销量数据'!80:80,'#销量数据'!1:1,AU1,'#销量数据'!2:2,AU2,'#销量数据'!3:3,"收入")</f>
        <v>2036.25441</v>
      </c>
      <c r="AV46" s="1779">
        <f>SUMIFS('#销量数据'!80:80,'#销量数据'!1:1,AV1,'#销量数据'!2:2,AV2,'#销量数据'!3:3,"收入")</f>
        <v>0</v>
      </c>
      <c r="AW46" s="1779">
        <f>SUMIFS('#销量数据'!80:80,'#销量数据'!1:1,AW1,'#销量数据'!2:2,AW2,'#销量数据'!3:3,"收入")</f>
        <v>0</v>
      </c>
      <c r="AX46" s="1779">
        <f>SUMIFS('#销量数据'!80:80,'#销量数据'!1:1,AX1,'#销量数据'!2:2,AX2,'#销量数据'!3:3,"收入")</f>
        <v>0</v>
      </c>
      <c r="AY46" s="1779">
        <f>SUMIFS('#销量数据'!80:80,'#销量数据'!1:1,AY1,'#销量数据'!2:2,AY2,'#销量数据'!3:3,"收入")</f>
        <v>0</v>
      </c>
    </row>
    <row r="47" spans="1:53" s="258" customFormat="1">
      <c r="A47" s="276" t="s">
        <v>964</v>
      </c>
      <c r="B47" s="277"/>
      <c r="C47" s="277"/>
      <c r="D47" s="277"/>
      <c r="E47" s="277"/>
      <c r="F47" s="277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>
        <f>'收入（汇总）'!V45-'收入（汇总）'!V44</f>
        <v>2264</v>
      </c>
      <c r="V47" s="277">
        <v>4683</v>
      </c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277"/>
      <c r="AI47" s="277"/>
      <c r="AJ47" s="277"/>
      <c r="AK47" s="277"/>
      <c r="AL47" s="277"/>
      <c r="AM47" s="1779"/>
      <c r="AN47" s="1779"/>
      <c r="AO47" s="1779"/>
      <c r="AP47" s="1779"/>
      <c r="AQ47" s="1779"/>
      <c r="AR47" s="1779"/>
      <c r="AS47" s="1779"/>
      <c r="AT47" s="1779"/>
      <c r="AU47" s="1779"/>
      <c r="AV47" s="1779"/>
      <c r="AW47" s="1779"/>
      <c r="AX47" s="1779"/>
      <c r="AY47" s="1779"/>
    </row>
    <row r="48" spans="1:53">
      <c r="B48" s="278"/>
      <c r="C48" s="278"/>
      <c r="D48" s="278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  <c r="Q48" s="278"/>
      <c r="R48" s="278"/>
      <c r="S48" s="278"/>
      <c r="T48" s="278"/>
      <c r="U48" s="278"/>
      <c r="V48" s="278"/>
      <c r="W48" s="278"/>
    </row>
    <row r="49" spans="1:51">
      <c r="A49" s="266" t="s">
        <v>965</v>
      </c>
      <c r="B49" s="278">
        <f>B44+B5+B6+B30</f>
        <v>107692.99125888381</v>
      </c>
      <c r="C49" s="278">
        <f>C44+C5+C6+C30</f>
        <v>5665.8879935897021</v>
      </c>
      <c r="D49" s="278">
        <f t="shared" ref="D49:T49" si="7">D44+D5+D6+D30-D46</f>
        <v>8042.1794625385</v>
      </c>
      <c r="E49" s="278">
        <f t="shared" si="7"/>
        <v>8395.0565140341969</v>
      </c>
      <c r="F49" s="278">
        <f t="shared" si="7"/>
        <v>5576.5049790939993</v>
      </c>
      <c r="G49" s="278">
        <f t="shared" si="7"/>
        <v>3854.6946949657986</v>
      </c>
      <c r="H49" s="278">
        <f t="shared" si="7"/>
        <v>9258.3271114483014</v>
      </c>
      <c r="I49" s="278">
        <f t="shared" si="7"/>
        <v>9417.864689</v>
      </c>
      <c r="J49" s="278">
        <f t="shared" si="7"/>
        <v>8567.5276329999997</v>
      </c>
      <c r="K49" s="278">
        <f t="shared" si="7"/>
        <v>14356.337669827601</v>
      </c>
      <c r="L49" s="278">
        <f t="shared" si="7"/>
        <v>10558.198673448294</v>
      </c>
      <c r="M49" s="278">
        <f t="shared" si="7"/>
        <v>12931.054325999998</v>
      </c>
      <c r="N49" s="278">
        <f t="shared" si="7"/>
        <v>12233.667608000003</v>
      </c>
      <c r="O49" s="278">
        <f t="shared" si="7"/>
        <v>10902.359288310397</v>
      </c>
      <c r="P49" s="278">
        <f t="shared" si="7"/>
        <v>6895.0017530000005</v>
      </c>
      <c r="Q49" s="278">
        <f t="shared" si="7"/>
        <v>9398.3736852414004</v>
      </c>
      <c r="R49" s="278">
        <f t="shared" si="7"/>
        <v>11362.1965930345</v>
      </c>
      <c r="S49" s="278">
        <f t="shared" si="7"/>
        <v>16513.679038000002</v>
      </c>
      <c r="T49" s="278">
        <f t="shared" si="7"/>
        <v>19838.514080407094</v>
      </c>
      <c r="U49" s="278">
        <f t="shared" ref="U49:AY49" si="8">U44+U5+U6+U30-U46+U47</f>
        <v>21286.900223999986</v>
      </c>
      <c r="V49" s="278">
        <f t="shared" si="8"/>
        <v>23576.79123499999</v>
      </c>
      <c r="W49" s="278">
        <f t="shared" si="8"/>
        <v>12002.815732000005</v>
      </c>
      <c r="X49" s="278">
        <f t="shared" si="8"/>
        <v>15072.741407000007</v>
      </c>
      <c r="Y49" s="278">
        <f t="shared" si="8"/>
        <v>13975.422731000001</v>
      </c>
      <c r="Z49" s="278">
        <f t="shared" si="8"/>
        <v>10760.412355783916</v>
      </c>
      <c r="AA49" s="278">
        <f t="shared" si="8"/>
        <v>14872.254839999989</v>
      </c>
      <c r="AB49" s="278">
        <f>AB44+AB5+AB6+AB30-AB46+AB47</f>
        <v>12192.864782000001</v>
      </c>
      <c r="AC49" s="278">
        <f t="shared" si="8"/>
        <v>15146.152475526002</v>
      </c>
      <c r="AD49" s="278">
        <f t="shared" si="8"/>
        <v>15984.043740999999</v>
      </c>
      <c r="AE49" s="278">
        <f t="shared" si="8"/>
        <v>12939.937331999996</v>
      </c>
      <c r="AF49" s="278">
        <f>AF44+AF5+AF6+AF30-AF46+AF47</f>
        <v>6847.0604969999949</v>
      </c>
      <c r="AG49" s="278">
        <f t="shared" si="8"/>
        <v>33834.945969000015</v>
      </c>
      <c r="AH49" s="278">
        <f t="shared" si="8"/>
        <v>29551.213647999997</v>
      </c>
      <c r="AI49" s="278">
        <f t="shared" si="8"/>
        <v>33673.035039999995</v>
      </c>
      <c r="AJ49" s="278">
        <f t="shared" si="8"/>
        <v>34321.426095000003</v>
      </c>
      <c r="AK49" s="278">
        <f t="shared" si="8"/>
        <v>27618.403328</v>
      </c>
      <c r="AL49" s="278">
        <f t="shared" si="8"/>
        <v>27292.558080000003</v>
      </c>
      <c r="AM49" s="292">
        <f t="shared" si="8"/>
        <v>9934.0042670000039</v>
      </c>
      <c r="AN49" s="292">
        <f t="shared" si="8"/>
        <v>14204.821250999998</v>
      </c>
      <c r="AO49" s="292">
        <f t="shared" si="8"/>
        <v>35299.999500999998</v>
      </c>
      <c r="AP49" s="292">
        <f t="shared" si="8"/>
        <v>34929.346542999992</v>
      </c>
      <c r="AQ49" s="292">
        <f t="shared" si="8"/>
        <v>51249.501938000009</v>
      </c>
      <c r="AR49" s="292">
        <f t="shared" si="8"/>
        <v>46103.675833000008</v>
      </c>
      <c r="AS49" s="292">
        <f t="shared" si="8"/>
        <v>36741.443484999996</v>
      </c>
      <c r="AT49" s="292">
        <f t="shared" si="8"/>
        <v>41747.499021999975</v>
      </c>
      <c r="AU49" s="292">
        <f t="shared" si="8"/>
        <v>47554.98836100004</v>
      </c>
      <c r="AV49" s="292">
        <f t="shared" si="8"/>
        <v>0</v>
      </c>
      <c r="AW49" s="292">
        <f t="shared" si="8"/>
        <v>0</v>
      </c>
      <c r="AX49" s="292">
        <f t="shared" si="8"/>
        <v>0</v>
      </c>
      <c r="AY49" s="292">
        <f t="shared" si="8"/>
        <v>0</v>
      </c>
    </row>
    <row r="50" spans="1:51">
      <c r="A50" s="266" t="s">
        <v>966</v>
      </c>
      <c r="B50" s="278">
        <f>SUMIFS('#销量数据'!$82:$82,'#销量数据'!$3:$3,"收入",'#销量数据'!$1:$1,B1,'#销量数据'!$2:$2,B2)</f>
        <v>0</v>
      </c>
      <c r="C50" s="278">
        <f>SUMIFS('#销量数据'!$82:$82,'#销量数据'!$3:$3,"收入",'#销量数据'!$1:$1,C1,'#销量数据'!$2:$2,C2)</f>
        <v>627421.78704300022</v>
      </c>
      <c r="D50" s="278">
        <f>SUMIFS('#销量数据'!$82:$82,'#销量数据'!$3:$3,"收入",'#销量数据'!$1:$1,D1,'#销量数据'!$2:$2,D2)</f>
        <v>598602.08434198727</v>
      </c>
      <c r="E50" s="278">
        <f>SUMIFS('#销量数据'!$82:$82,'#销量数据'!$3:$3,"收入",'#销量数据'!$1:$1,E1,'#销量数据'!$2:$2,E2)</f>
        <v>469029.65748322121</v>
      </c>
      <c r="F50" s="278">
        <f>SUMIFS('#销量数据'!$82:$82,'#销量数据'!$3:$3,"收入",'#销量数据'!$1:$1,F1,'#销量数据'!$2:$2,F2)</f>
        <v>681307.30407433002</v>
      </c>
      <c r="G50" s="278">
        <f>SUMIFS('#销量数据'!$82:$82,'#销量数据'!$3:$3,"收入",'#销量数据'!$1:$1,G1,'#销量数据'!$2:$2,G2)</f>
        <v>583093.6275475655</v>
      </c>
      <c r="H50" s="278">
        <f>SUMIFS('#销量数据'!$82:$82,'#销量数据'!$3:$3,"收入",'#销量数据'!$1:$1,H1,'#销量数据'!$2:$2,H2)</f>
        <v>618675.27290500025</v>
      </c>
      <c r="I50" s="278">
        <f>SUMIFS('#销量数据'!$82:$82,'#销量数据'!$3:$3,"收入",'#销量数据'!$1:$1,I1,'#销量数据'!$2:$2,I2)</f>
        <v>600834.61388167541</v>
      </c>
      <c r="J50" s="278">
        <f>SUMIFS('#销量数据'!$82:$82,'#销量数据'!$3:$3,"收入",'#销量数据'!$1:$1,J1,'#销量数据'!$2:$2,J2)</f>
        <v>584500.68051400001</v>
      </c>
      <c r="K50" s="278">
        <f>SUMIFS('#销量数据'!$82:$82,'#销量数据'!$3:$3,"收入",'#销量数据'!$1:$1,K1,'#销量数据'!$2:$2,K2)</f>
        <v>611670.23911672423</v>
      </c>
      <c r="L50" s="278">
        <f>SUMIFS('#销量数据'!$82:$82,'#销量数据'!$3:$3,"收入",'#销量数据'!$1:$1,L1,'#销量数据'!$2:$2,L2)</f>
        <v>576143.71613260929</v>
      </c>
      <c r="M50" s="278">
        <f>SUMIFS('#销量数据'!$82:$82,'#销量数据'!$3:$3,"收入",'#销量数据'!$1:$1,M1,'#销量数据'!$2:$2,M2)</f>
        <v>581494</v>
      </c>
      <c r="N50" s="278">
        <f>SUMIFS('#销量数据'!$82:$82,'#销量数据'!$3:$3,"收入",'#销量数据'!$1:$1,N1,'#销量数据'!$2:$2,N2)</f>
        <v>551454.76969999995</v>
      </c>
      <c r="O50" s="278">
        <f>SUMIFS('#销量数据'!$82:$82,'#销量数据'!$3:$3,"收入",'#销量数据'!$1:$1,O1,'#销量数据'!$2:$2,O2)</f>
        <v>596574.0303418882</v>
      </c>
      <c r="P50" s="278">
        <f>SUMIFS('#销量数据'!$82:$82,'#销量数据'!$3:$3,"收入",'#销量数据'!$1:$1,P1,'#销量数据'!$2:$2,P2)</f>
        <v>521369.75289169658</v>
      </c>
      <c r="Q50" s="278">
        <f>SUMIFS('#销量数据'!$82:$82,'#销量数据'!$3:$3,"收入",'#销量数据'!$1:$1,Q1,'#销量数据'!$2:$2,Q2)</f>
        <v>476271.18839032506</v>
      </c>
      <c r="R50" s="278">
        <f>SUMIFS('#销量数据'!$82:$82,'#销量数据'!$3:$3,"收入",'#销量数据'!$1:$1,R1,'#销量数据'!$2:$2,R2)</f>
        <v>643446.09521546389</v>
      </c>
      <c r="S50" s="278">
        <f>SUMIFS('#销量数据'!$82:$82,'#销量数据'!$3:$3,"收入",'#销量数据'!$1:$1,S1,'#销量数据'!$2:$2,S2)</f>
        <v>568364.33708437998</v>
      </c>
      <c r="T50" s="278">
        <f>SUMIFS('#销量数据'!$82:$82,'#销量数据'!$3:$3,"收入",'#销量数据'!$1:$1,T1,'#销量数据'!$2:$2,T2)</f>
        <v>575474.97476014751</v>
      </c>
      <c r="U50" s="278">
        <f>SUMIFS('#销量数据'!$82:$82,'#销量数据'!$3:$3,"收入",'#销量数据'!$1:$1,U1,'#销量数据'!$2:$2,U2)</f>
        <v>556491.91728239297</v>
      </c>
      <c r="V50" s="278">
        <f>SUMIFS('#销量数据'!$82:$82,'#销量数据'!$3:$3,"收入",'#销量数据'!$1:$1,V1,'#销量数据'!$2:$2,V2)</f>
        <v>583864.37760845863</v>
      </c>
      <c r="W50" s="278">
        <f>SUMIFS('#销量数据'!$82:$82,'#销量数据'!$3:$3,"收入",'#销量数据'!$1:$1,W1,'#销量数据'!$2:$2,W2)</f>
        <v>617870.07899920887</v>
      </c>
      <c r="X50" s="278">
        <f>SUMIFS('#销量数据'!$82:$82,'#销量数据'!$3:$3,"收入",'#销量数据'!$1:$1,X1,'#销量数据'!$2:$2,X2)</f>
        <v>596065.132960808</v>
      </c>
      <c r="Y50" s="278">
        <f>SUMIFS('#销量数据'!$82:$82,'#销量数据'!$3:$3,"收入",'#销量数据'!$1:$1,Y1,'#销量数据'!$2:$2,Y2)</f>
        <v>521508.15267592552</v>
      </c>
      <c r="Z50" s="292">
        <f>SUMIFS('#销量数据'!$82:$82,'#销量数据'!$3:$3,"收入",'#销量数据'!$1:$1,Z1,'#销量数据'!$2:$2,Z2)</f>
        <v>530554.79545026063</v>
      </c>
      <c r="AA50" s="292">
        <f>SUMIFS('#销量数据'!$82:$82,'#销量数据'!$3:$3,"收入",'#销量数据'!$1:$1,AA1,'#销量数据'!$2:$2,AA2)</f>
        <v>596796.55856929475</v>
      </c>
      <c r="AB50" s="292">
        <f>SUMIFS('#销量数据'!$82:$82,'#销量数据'!$3:$3,"收入",'#销量数据'!$1:$1,AB1,'#销量数据'!$2:$2,AB2)</f>
        <v>444977.07406871259</v>
      </c>
      <c r="AC50" s="292">
        <f>SUMIFS('#销量数据'!$82:$82,'#销量数据'!$3:$3,"收入",'#销量数据'!$1:$1,AC1,'#销量数据'!$2:$2,AC2)</f>
        <v>470230.41273647395</v>
      </c>
      <c r="AD50" s="292">
        <f>SUMIFS('#销量数据'!$82:$82,'#销量数据'!$3:$3,"收入",'#销量数据'!$1:$1,AD1,'#销量数据'!$2:$2,AD2)</f>
        <v>573807.30995625455</v>
      </c>
      <c r="AE50" s="292">
        <f>SUMIFS('#销量数据'!$82:$82,'#销量数据'!$3:$3,"收入",'#销量数据'!$1:$1,AE1,'#销量数据'!$2:$2,AE2)</f>
        <v>604118.76544767537</v>
      </c>
      <c r="AF50" s="292">
        <f>SUMIFS('#销量数据'!$82:$82,'#销量数据'!$3:$3,"收入",'#销量数据'!$1:$1,AF1,'#销量数据'!$2:$2,AF2)</f>
        <v>549084.31283043674</v>
      </c>
      <c r="AG50" s="292">
        <f>SUMIFS('#销量数据'!$82:$82,'#销量数据'!$3:$3,"收入",'#销量数据'!$1:$1,AG1,'#销量数据'!$2:$2,AG2)</f>
        <v>489481.31189909013</v>
      </c>
      <c r="AH50" s="292">
        <f>SUMIFS('#销量数据'!$82:$82,'#销量数据'!$3:$3,"收入",'#销量数据'!$1:$1,AH1,'#销量数据'!$2:$2,AH2)</f>
        <v>481578.0781784461</v>
      </c>
      <c r="AI50" s="292">
        <f>SUMIFS('#销量数据'!$82:$82,'#销量数据'!$3:$3,"收入",'#销量数据'!$1:$1,AI1,'#销量数据'!$2:$2,AI2)</f>
        <v>492495.01586366771</v>
      </c>
      <c r="AJ50" s="292">
        <f>SUMIFS('#销量数据'!$82:$82,'#销量数据'!$3:$3,"收入",'#销量数据'!$1:$1,AJ1,'#销量数据'!$2:$2,AJ2)</f>
        <v>479199.81784898118</v>
      </c>
      <c r="AK50" s="292">
        <f>SUMIFS('#销量数据'!$82:$82,'#销量数据'!$3:$3,"收入",'#销量数据'!$1:$1,AK1,'#销量数据'!$2:$2,AK2)</f>
        <v>568798.7510959924</v>
      </c>
      <c r="AL50" s="292">
        <f>SUMIFS('#销量数据'!$82:$82,'#销量数据'!$3:$3,"收入",'#销量数据'!$1:$1,AL1,'#销量数据'!$2:$2,AL2)</f>
        <v>610410.2172830276</v>
      </c>
      <c r="AM50" s="292">
        <f>SUMIFS('#销量数据'!$82:$82,'#销量数据'!$3:$3,"收入",'#销量数据'!$1:$1,AM1,'#销量数据'!$2:$2,AM2)</f>
        <v>661749.92733329977</v>
      </c>
      <c r="AN50" s="292">
        <f>SUMIFS('#销量数据'!$82:$82,'#销量数据'!$3:$3,"收入",'#销量数据'!$1:$1,AN1,'#销量数据'!$2:$2,AN2)</f>
        <v>651905.15581660322</v>
      </c>
      <c r="AO50" s="292">
        <f>SUMIFS('#销量数据'!$82:$82,'#销量数据'!$3:$3,"收入",'#销量数据'!$1:$1,AO1,'#销量数据'!$2:$2,AO2)</f>
        <v>629147.46784037771</v>
      </c>
      <c r="AP50" s="292">
        <f>SUMIFS('#销量数据'!$82:$82,'#销量数据'!$3:$3,"收入",'#销量数据'!$1:$1,AP1,'#销量数据'!$2:$2,AP2)</f>
        <v>772488.63585465914</v>
      </c>
      <c r="AQ50" s="292">
        <f>SUMIFS('#销量数据'!$82:$82,'#销量数据'!$3:$3,"收入",'#销量数据'!$1:$1,AQ1,'#销量数据'!$2:$2,AQ2)</f>
        <v>800217.92278228397</v>
      </c>
      <c r="AR50" s="292">
        <f>SUMIFS('#销量数据'!$82:$82,'#销量数据'!$3:$3,"收入",'#销量数据'!$1:$1,AR1,'#销量数据'!$2:$2,AR2)</f>
        <v>888767.63589016034</v>
      </c>
      <c r="AS50" s="292">
        <f>SUMIFS('#销量数据'!$82:$82,'#销量数据'!$3:$3,"收入",'#销量数据'!$1:$1,AS1,'#销量数据'!$2:$2,AS2)</f>
        <v>833886.69972398295</v>
      </c>
      <c r="AT50" s="292">
        <f>SUMIFS('#销量数据'!$82:$82,'#销量数据'!$3:$3,"收入",'#销量数据'!$1:$1,AT1,'#销量数据'!$2:$2,AT2)</f>
        <v>900228.68442917976</v>
      </c>
      <c r="AU50" s="292">
        <f>SUMIFS('#销量数据'!$82:$82,'#销量数据'!$3:$3,"收入",'#销量数据'!$1:$1,AU1,'#销量数据'!$2:$2,AU2)</f>
        <v>916199.69458400004</v>
      </c>
      <c r="AV50" s="292">
        <f>SUMIFS('#销量数据'!$82:$82,'#销量数据'!$3:$3,"收入",'#销量数据'!$1:$1,AV1,'#销量数据'!$2:$2,AV2)</f>
        <v>0</v>
      </c>
      <c r="AW50" s="292">
        <f>SUMIFS('#销量数据'!$82:$82,'#销量数据'!$3:$3,"收入",'#销量数据'!$1:$1,AW1,'#销量数据'!$2:$2,AW2)</f>
        <v>0</v>
      </c>
      <c r="AX50" s="292">
        <f>SUMIFS('#销量数据'!$82:$82,'#销量数据'!$3:$3,"收入",'#销量数据'!$1:$1,AX1,'#销量数据'!$2:$2,AX2)</f>
        <v>0</v>
      </c>
      <c r="AY50" s="292">
        <f>SUMIFS('#销量数据'!$82:$82,'#销量数据'!$3:$3,"收入",'#销量数据'!$1:$1,AY1,'#销量数据'!$2:$2,AY2)</f>
        <v>0</v>
      </c>
    </row>
    <row r="51" spans="1:51">
      <c r="A51" s="266" t="s">
        <v>967</v>
      </c>
      <c r="B51" s="279">
        <f t="shared" ref="B51:AA51" si="9">B18+B19</f>
        <v>1185822.341577787</v>
      </c>
      <c r="C51" s="279">
        <f t="shared" si="9"/>
        <v>12612.092486859896</v>
      </c>
      <c r="D51" s="279">
        <f t="shared" si="9"/>
        <v>4633.5576901029935</v>
      </c>
      <c r="E51" s="279">
        <f t="shared" si="9"/>
        <v>15914.526738714299</v>
      </c>
      <c r="F51" s="279">
        <f t="shared" si="9"/>
        <v>22685.2231964276</v>
      </c>
      <c r="G51" s="279">
        <f t="shared" si="9"/>
        <v>19141.798334661602</v>
      </c>
      <c r="H51" s="279">
        <f t="shared" si="9"/>
        <v>25746.351702955995</v>
      </c>
      <c r="I51" s="279">
        <f t="shared" si="9"/>
        <v>16544.695034660494</v>
      </c>
      <c r="J51" s="279">
        <f t="shared" si="9"/>
        <v>48783.429257031705</v>
      </c>
      <c r="K51" s="279">
        <f t="shared" si="9"/>
        <v>31820.756795350891</v>
      </c>
      <c r="L51" s="279">
        <f t="shared" si="9"/>
        <v>24296.353621427807</v>
      </c>
      <c r="M51" s="279">
        <f t="shared" si="9"/>
        <v>29840.454704837703</v>
      </c>
      <c r="N51" s="279">
        <f t="shared" si="9"/>
        <v>33581.770671817503</v>
      </c>
      <c r="O51" s="279">
        <f t="shared" si="9"/>
        <v>36036.865470830999</v>
      </c>
      <c r="P51" s="279">
        <f t="shared" si="9"/>
        <v>45837.965852148598</v>
      </c>
      <c r="Q51" s="279">
        <f t="shared" si="9"/>
        <v>28947.166232810803</v>
      </c>
      <c r="R51" s="279">
        <f t="shared" si="9"/>
        <v>44412.748412165609</v>
      </c>
      <c r="S51" s="279">
        <f t="shared" si="9"/>
        <v>59022.602562623288</v>
      </c>
      <c r="T51" s="279">
        <f t="shared" si="9"/>
        <v>62790.031858031398</v>
      </c>
      <c r="U51" s="279">
        <f t="shared" si="9"/>
        <v>57552.006191830696</v>
      </c>
      <c r="V51" s="279">
        <f t="shared" si="9"/>
        <v>48379.183478879684</v>
      </c>
      <c r="W51" s="279">
        <f t="shared" si="9"/>
        <v>48940.473987988691</v>
      </c>
      <c r="X51" s="279">
        <f t="shared" si="9"/>
        <v>50813.377320237007</v>
      </c>
      <c r="Y51" s="279">
        <f t="shared" si="9"/>
        <v>27766.446688999982</v>
      </c>
      <c r="Z51" s="279">
        <f t="shared" si="9"/>
        <v>31706.941693999994</v>
      </c>
      <c r="AA51" s="279">
        <f t="shared" si="9"/>
        <v>55002.909893000004</v>
      </c>
      <c r="AB51" s="279">
        <f t="shared" ref="AB51:AL51" si="10">AB18+AB19-AB20-AB21</f>
        <v>35971.691461000002</v>
      </c>
      <c r="AC51" s="279">
        <f t="shared" si="10"/>
        <v>47229.868757067961</v>
      </c>
      <c r="AD51" s="279">
        <f t="shared" si="10"/>
        <v>60628.001216760626</v>
      </c>
      <c r="AE51" s="279">
        <f t="shared" si="10"/>
        <v>57482.377661999999</v>
      </c>
      <c r="AF51" s="279">
        <f t="shared" si="10"/>
        <v>31511.121463197738</v>
      </c>
      <c r="AG51" s="279">
        <f t="shared" si="10"/>
        <v>65289.499042435404</v>
      </c>
      <c r="AH51" s="279">
        <f t="shared" si="10"/>
        <v>49086.88574544563</v>
      </c>
      <c r="AI51" s="279">
        <f t="shared" si="10"/>
        <v>40860.641013980443</v>
      </c>
      <c r="AJ51" s="279">
        <f t="shared" si="10"/>
        <v>40041.036170032479</v>
      </c>
      <c r="AK51" s="279">
        <f t="shared" si="10"/>
        <v>55866.148951892428</v>
      </c>
      <c r="AL51" s="279">
        <f t="shared" si="10"/>
        <v>77455.85821430762</v>
      </c>
      <c r="AM51" s="279">
        <f>AM18+AM19-AM20-AM21</f>
        <v>158827.76427246715</v>
      </c>
      <c r="AN51" s="279">
        <f>AN18+AN19-AN20-AN21</f>
        <v>91029.720776371338</v>
      </c>
      <c r="AO51" s="279">
        <f t="shared" ref="AO51:AY51" si="11">AO18+AO19-AO20-AO21</f>
        <v>62155.171356000013</v>
      </c>
      <c r="AP51" s="279">
        <f t="shared" si="11"/>
        <v>63028.020102999995</v>
      </c>
      <c r="AQ51" s="279">
        <f t="shared" si="11"/>
        <v>79641.135747999986</v>
      </c>
      <c r="AR51" s="279">
        <f t="shared" si="11"/>
        <v>95817.324183999997</v>
      </c>
      <c r="AS51" s="279">
        <f t="shared" si="11"/>
        <v>122977.35471100002</v>
      </c>
      <c r="AT51" s="279">
        <f t="shared" si="11"/>
        <v>59187.114880000023</v>
      </c>
      <c r="AU51" s="279">
        <f t="shared" si="11"/>
        <v>55029.745346000083</v>
      </c>
      <c r="AV51" s="279">
        <f t="shared" si="11"/>
        <v>0</v>
      </c>
      <c r="AW51" s="279">
        <f t="shared" si="11"/>
        <v>0</v>
      </c>
      <c r="AX51" s="279">
        <f t="shared" si="11"/>
        <v>0</v>
      </c>
      <c r="AY51" s="279">
        <f t="shared" si="11"/>
        <v>0</v>
      </c>
    </row>
    <row r="52" spans="1:51">
      <c r="A52" s="266" t="s">
        <v>968</v>
      </c>
      <c r="B52" s="279">
        <f t="shared" ref="B52:O52" si="12">B42-B49-B50-B51</f>
        <v>6847578.9664607421</v>
      </c>
      <c r="C52" s="279">
        <f t="shared" si="12"/>
        <v>1720.8549605249282</v>
      </c>
      <c r="D52" s="279">
        <f t="shared" si="12"/>
        <v>29092.782686678889</v>
      </c>
      <c r="E52" s="279">
        <f t="shared" si="12"/>
        <v>22870.470034984068</v>
      </c>
      <c r="F52" s="279">
        <f t="shared" si="12"/>
        <v>23706.341744354897</v>
      </c>
      <c r="G52" s="279">
        <f t="shared" si="12"/>
        <v>31902.78524057466</v>
      </c>
      <c r="H52" s="279">
        <f t="shared" si="12"/>
        <v>28293.819165469635</v>
      </c>
      <c r="I52" s="279">
        <f t="shared" si="12"/>
        <v>32240.930221265902</v>
      </c>
      <c r="J52" s="279">
        <f t="shared" si="12"/>
        <v>43067.463678207074</v>
      </c>
      <c r="K52" s="279">
        <f t="shared" si="12"/>
        <v>29072.416467414041</v>
      </c>
      <c r="L52" s="279">
        <f t="shared" si="12"/>
        <v>34176.136971218722</v>
      </c>
      <c r="M52" s="279">
        <f t="shared" si="12"/>
        <v>28493.074758153696</v>
      </c>
      <c r="N52" s="279">
        <f t="shared" si="12"/>
        <v>31225.004452676949</v>
      </c>
      <c r="O52" s="279">
        <f t="shared" si="12"/>
        <v>40762.207107118964</v>
      </c>
      <c r="P52" s="279">
        <f t="shared" ref="P52:X52" si="13">P42-P49-P50-P51</f>
        <v>37739.037553208938</v>
      </c>
      <c r="Q52" s="279">
        <f t="shared" si="13"/>
        <v>24991.447834249371</v>
      </c>
      <c r="R52" s="279">
        <f t="shared" si="13"/>
        <v>38082.520185242123</v>
      </c>
      <c r="S52" s="279">
        <f t="shared" si="13"/>
        <v>38054.623345078944</v>
      </c>
      <c r="T52" s="279">
        <f t="shared" si="13"/>
        <v>40656.446819388664</v>
      </c>
      <c r="U52" s="279">
        <f t="shared" si="13"/>
        <v>30592.175782001264</v>
      </c>
      <c r="V52" s="279">
        <f t="shared" si="13"/>
        <v>30582.53912121203</v>
      </c>
      <c r="W52" s="279">
        <f t="shared" si="13"/>
        <v>32919.166319508542</v>
      </c>
      <c r="X52" s="279">
        <f t="shared" si="13"/>
        <v>35089.962918192134</v>
      </c>
      <c r="Y52" s="279">
        <f>Y42-Y49-Y50-Y51</f>
        <v>29509.832485074316</v>
      </c>
      <c r="Z52" s="279">
        <f>Z42-Z49-Z50-Z51</f>
        <v>36870.983464955629</v>
      </c>
      <c r="AA52" s="279">
        <f>AA42-AA49-AA50-AA51</f>
        <v>51909.473554705532</v>
      </c>
      <c r="AB52" s="279">
        <f>AB42-AB49-AB50-AB51</f>
        <v>36251.072332287331</v>
      </c>
      <c r="AC52" s="279">
        <f>AC42-AC49-AC50-AC51</f>
        <v>18734.332191932233</v>
      </c>
      <c r="AD52" s="279">
        <f t="shared" ref="AD52:AL52" si="14">AD42-AD49-AD50-AD51</f>
        <v>29384.294838984475</v>
      </c>
      <c r="AE52" s="279">
        <f t="shared" si="14"/>
        <v>40227.861060324838</v>
      </c>
      <c r="AF52" s="279">
        <f t="shared" si="14"/>
        <v>37735.62596236555</v>
      </c>
      <c r="AG52" s="279">
        <f t="shared" si="14"/>
        <v>50250.759283474501</v>
      </c>
      <c r="AH52" s="279">
        <f t="shared" si="14"/>
        <v>57605.027588108365</v>
      </c>
      <c r="AI52" s="279">
        <f t="shared" si="14"/>
        <v>39180.517499351692</v>
      </c>
      <c r="AJ52" s="279">
        <f t="shared" si="14"/>
        <v>33009.445353986499</v>
      </c>
      <c r="AK52" s="279">
        <f t="shared" si="14"/>
        <v>43159.490331115165</v>
      </c>
      <c r="AL52" s="279">
        <f t="shared" si="14"/>
        <v>34719.65196966457</v>
      </c>
      <c r="AM52" s="279">
        <f>AM42-AM49-AM50-AM51</f>
        <v>32610.705707233137</v>
      </c>
      <c r="AN52" s="279">
        <f>AN42-AN49-AN50-AN51</f>
        <v>25404.859313025692</v>
      </c>
      <c r="AO52" s="279">
        <f>AO42-AO49-AO50-AO51</f>
        <v>21670.053557622123</v>
      </c>
      <c r="AP52" s="279">
        <f t="shared" ref="AP52:AY52" si="15">AP42-AP49-AP50-AP51</f>
        <v>38093.05055334069</v>
      </c>
      <c r="AQ52" s="279">
        <f t="shared" si="15"/>
        <v>39006.550973715857</v>
      </c>
      <c r="AR52" s="279">
        <f t="shared" si="15"/>
        <v>38717.696249840112</v>
      </c>
      <c r="AS52" s="279">
        <f t="shared" si="15"/>
        <v>38906.125847017247</v>
      </c>
      <c r="AT52" s="279">
        <f t="shared" si="15"/>
        <v>38667.466232819934</v>
      </c>
      <c r="AU52" s="279">
        <f t="shared" si="15"/>
        <v>24493.954413068466</v>
      </c>
      <c r="AV52" s="279">
        <f t="shared" si="15"/>
        <v>0</v>
      </c>
      <c r="AW52" s="279">
        <f t="shared" si="15"/>
        <v>0</v>
      </c>
      <c r="AX52" s="279">
        <f t="shared" si="15"/>
        <v>0</v>
      </c>
      <c r="AY52" s="279">
        <f t="shared" si="15"/>
        <v>0</v>
      </c>
    </row>
    <row r="53" spans="1:51" s="263" customFormat="1">
      <c r="A53" s="263" t="s">
        <v>969</v>
      </c>
      <c r="B53" s="280">
        <f t="shared" ref="B53:AG53" si="16">(B7-B50)</f>
        <v>6628596.6691802097</v>
      </c>
      <c r="C53" s="280">
        <f t="shared" si="16"/>
        <v>-28149.88715461106</v>
      </c>
      <c r="D53" s="280">
        <f t="shared" si="16"/>
        <v>9366.8084710127441</v>
      </c>
      <c r="E53" s="280">
        <f t="shared" si="16"/>
        <v>8003.5519685780164</v>
      </c>
      <c r="F53" s="280">
        <f t="shared" si="16"/>
        <v>6973.0115549949696</v>
      </c>
      <c r="G53" s="280">
        <f t="shared" si="16"/>
        <v>14451.893767214497</v>
      </c>
      <c r="H53" s="280">
        <f t="shared" si="16"/>
        <v>11274.209674219717</v>
      </c>
      <c r="I53" s="280">
        <f t="shared" si="16"/>
        <v>13895.271825924749</v>
      </c>
      <c r="J53" s="280">
        <f t="shared" si="16"/>
        <v>12756.021191103966</v>
      </c>
      <c r="K53" s="280">
        <f t="shared" si="16"/>
        <v>11001.381195625174</v>
      </c>
      <c r="L53" s="280">
        <f t="shared" si="16"/>
        <v>9783.0730407107621</v>
      </c>
      <c r="M53" s="280">
        <f t="shared" si="16"/>
        <v>10521.899264791049</v>
      </c>
      <c r="N53" s="280">
        <f t="shared" si="16"/>
        <v>11175.169934676844</v>
      </c>
      <c r="O53" s="280">
        <f t="shared" si="16"/>
        <v>10653.29548016726</v>
      </c>
      <c r="P53" s="280">
        <f t="shared" si="16"/>
        <v>11411.022121303424</v>
      </c>
      <c r="Q53" s="280">
        <f t="shared" si="16"/>
        <v>8869.2161812495324</v>
      </c>
      <c r="R53" s="280">
        <f t="shared" si="16"/>
        <v>12635.721145279706</v>
      </c>
      <c r="S53" s="280">
        <f t="shared" si="16"/>
        <v>12815.178210078739</v>
      </c>
      <c r="T53" s="280">
        <f t="shared" si="16"/>
        <v>16115.282942196936</v>
      </c>
      <c r="U53" s="280">
        <f t="shared" si="16"/>
        <v>9271.9138370011933</v>
      </c>
      <c r="V53" s="280">
        <f t="shared" si="16"/>
        <v>11813.993101545377</v>
      </c>
      <c r="W53" s="280">
        <f t="shared" si="16"/>
        <v>14541.472977508674</v>
      </c>
      <c r="X53" s="280">
        <f t="shared" si="16"/>
        <v>12771.266757191974</v>
      </c>
      <c r="Y53" s="280">
        <f t="shared" si="16"/>
        <v>10653.847324074479</v>
      </c>
      <c r="Z53" s="280">
        <f t="shared" si="16"/>
        <v>13207.022740739398</v>
      </c>
      <c r="AA53" s="280">
        <f t="shared" si="16"/>
        <v>9759.0033867052989</v>
      </c>
      <c r="AB53" s="280">
        <f t="shared" si="16"/>
        <v>14167.699773287401</v>
      </c>
      <c r="AC53" s="280">
        <f t="shared" si="16"/>
        <v>8447.5658845260623</v>
      </c>
      <c r="AD53" s="280">
        <f t="shared" si="16"/>
        <v>15469.326600745437</v>
      </c>
      <c r="AE53" s="280">
        <f t="shared" si="16"/>
        <v>19949.047254324658</v>
      </c>
      <c r="AF53" s="280">
        <f t="shared" si="16"/>
        <v>16311.266350563266</v>
      </c>
      <c r="AG53" s="280">
        <f t="shared" si="16"/>
        <v>25865.688100909872</v>
      </c>
      <c r="AH53" s="280">
        <f t="shared" ref="AH53:AY53" si="17">(AH7-AH50)</f>
        <v>28083.9218215539</v>
      </c>
      <c r="AI53" s="280">
        <f t="shared" si="17"/>
        <v>19548.411795332271</v>
      </c>
      <c r="AJ53" s="280">
        <f t="shared" si="17"/>
        <v>14600.94200101879</v>
      </c>
      <c r="AK53" s="280">
        <f t="shared" si="17"/>
        <v>21911.423058007611</v>
      </c>
      <c r="AL53" s="280">
        <f t="shared" si="17"/>
        <v>13393.362716972362</v>
      </c>
      <c r="AM53" s="280">
        <f t="shared" si="17"/>
        <v>9018.3757207002491</v>
      </c>
      <c r="AN53" s="280">
        <f>(AN7-AN50)</f>
        <v>11779.991035396815</v>
      </c>
      <c r="AO53" s="280">
        <f t="shared" si="17"/>
        <v>9764.173159622238</v>
      </c>
      <c r="AP53" s="280">
        <f t="shared" si="17"/>
        <v>22282.369103340898</v>
      </c>
      <c r="AQ53" s="280">
        <f t="shared" si="17"/>
        <v>20493.937339716009</v>
      </c>
      <c r="AR53" s="280">
        <f t="shared" si="17"/>
        <v>18553.364109839662</v>
      </c>
      <c r="AS53" s="280">
        <f t="shared" si="17"/>
        <v>14427.075236017001</v>
      </c>
      <c r="AT53" s="280">
        <f>(AT7-AT50)</f>
        <v>23329.315570820239</v>
      </c>
      <c r="AU53" s="280">
        <f>(AU7-AU50)</f>
        <v>14506.246555068763</v>
      </c>
      <c r="AV53" s="280">
        <f t="shared" si="17"/>
        <v>0</v>
      </c>
      <c r="AW53" s="280">
        <f t="shared" si="17"/>
        <v>0</v>
      </c>
      <c r="AX53" s="280">
        <f t="shared" si="17"/>
        <v>0</v>
      </c>
      <c r="AY53" s="280">
        <f t="shared" si="17"/>
        <v>0</v>
      </c>
    </row>
    <row r="54" spans="1:51">
      <c r="AH54" s="279"/>
    </row>
    <row r="55" spans="1:51">
      <c r="A55" s="266" t="s">
        <v>1488</v>
      </c>
      <c r="AB55" s="279">
        <v>593938.80336321215</v>
      </c>
      <c r="AC55" s="279">
        <v>598374.39847945096</v>
      </c>
      <c r="AD55" s="279">
        <v>755691.26740414009</v>
      </c>
      <c r="AE55" s="279">
        <v>800727.65360026807</v>
      </c>
      <c r="AF55" s="279">
        <v>745240.02373818425</v>
      </c>
      <c r="AG55" s="279">
        <v>719454.86683199392</v>
      </c>
      <c r="AH55" s="279">
        <v>716718.96058299998</v>
      </c>
      <c r="AI55" s="279">
        <v>722937.59024999931</v>
      </c>
      <c r="AJ55" s="279">
        <v>728947.28572100005</v>
      </c>
      <c r="AK55" s="279">
        <v>802298.69157700054</v>
      </c>
      <c r="AL55" s="279">
        <v>834053.4922310001</v>
      </c>
      <c r="AM55" s="279">
        <v>906499.34688699932</v>
      </c>
      <c r="AN55" s="266">
        <v>834979.31791600038</v>
      </c>
      <c r="AO55" s="266">
        <v>816600.0144873776</v>
      </c>
      <c r="AP55" s="266">
        <v>1041729.041725</v>
      </c>
      <c r="AQ55" s="266">
        <v>1090631.6013897101</v>
      </c>
      <c r="AR55" s="266">
        <v>1170200.5776052894</v>
      </c>
      <c r="AS55" s="266">
        <v>1106578.0272016237</v>
      </c>
      <c r="AT55" s="266">
        <v>1193509.8554700001</v>
      </c>
    </row>
    <row r="58" spans="1:51" s="264" customFormat="1">
      <c r="A58" s="264" t="s">
        <v>54</v>
      </c>
      <c r="E58" s="264">
        <v>-20000</v>
      </c>
      <c r="F58" s="264">
        <v>20000</v>
      </c>
      <c r="O58" s="282">
        <v>23769.704475148701</v>
      </c>
      <c r="P58" s="264">
        <v>20000</v>
      </c>
      <c r="Q58" s="264">
        <v>-20000</v>
      </c>
      <c r="R58" s="282">
        <v>57999.919625000097</v>
      </c>
      <c r="S58" s="285">
        <f>-20644-355+176</f>
        <v>-20823</v>
      </c>
      <c r="T58" s="264">
        <v>-4000</v>
      </c>
      <c r="U58" s="264">
        <f>-33001-4100</f>
        <v>-37101</v>
      </c>
      <c r="V58" s="264">
        <v>3924</v>
      </c>
      <c r="Z58" s="264">
        <v>-50000</v>
      </c>
      <c r="AA58" s="264">
        <v>50000</v>
      </c>
    </row>
    <row r="59" spans="1:51" s="265" customFormat="1">
      <c r="A59" s="265" t="s">
        <v>778</v>
      </c>
      <c r="C59" s="281">
        <f t="shared" ref="C59:P59" si="18">C42-C58</f>
        <v>647420.62248397479</v>
      </c>
      <c r="D59" s="281">
        <f t="shared" si="18"/>
        <v>640370.6041813076</v>
      </c>
      <c r="E59" s="281">
        <f t="shared" si="18"/>
        <v>536209.7107709538</v>
      </c>
      <c r="F59" s="281">
        <f t="shared" si="18"/>
        <v>713275.37399420654</v>
      </c>
      <c r="G59" s="281">
        <f t="shared" si="18"/>
        <v>637992.90581776761</v>
      </c>
      <c r="H59" s="281">
        <f t="shared" si="18"/>
        <v>681973.77088487416</v>
      </c>
      <c r="I59" s="281">
        <f t="shared" si="18"/>
        <v>659038.10382660176</v>
      </c>
      <c r="J59" s="281">
        <f t="shared" si="18"/>
        <v>684919.10108223883</v>
      </c>
      <c r="K59" s="281">
        <f t="shared" si="18"/>
        <v>686919.75004931679</v>
      </c>
      <c r="L59" s="281">
        <f t="shared" si="18"/>
        <v>645174.40539870411</v>
      </c>
      <c r="M59" s="281">
        <f t="shared" si="18"/>
        <v>652758.58378899144</v>
      </c>
      <c r="N59" s="281">
        <f t="shared" si="18"/>
        <v>628495.21243249439</v>
      </c>
      <c r="O59" s="281">
        <f t="shared" si="18"/>
        <v>660505.75773299986</v>
      </c>
      <c r="P59" s="281">
        <f t="shared" si="18"/>
        <v>591841.75805005408</v>
      </c>
      <c r="Q59" s="281">
        <f t="shared" ref="Q59:AA59" si="19">Q42-Q58</f>
        <v>559608.17614262667</v>
      </c>
      <c r="R59" s="281">
        <f t="shared" si="19"/>
        <v>679303.64078090608</v>
      </c>
      <c r="S59" s="281">
        <f t="shared" si="19"/>
        <v>702778.24203008227</v>
      </c>
      <c r="T59" s="281">
        <f t="shared" si="19"/>
        <v>702759.96751797467</v>
      </c>
      <c r="U59" s="281">
        <f t="shared" si="19"/>
        <v>703023.99948022491</v>
      </c>
      <c r="V59" s="281">
        <f t="shared" si="19"/>
        <v>682478.89144355035</v>
      </c>
      <c r="W59" s="281">
        <f t="shared" si="19"/>
        <v>711732.53503870615</v>
      </c>
      <c r="X59" s="281">
        <f t="shared" si="19"/>
        <v>697041.21460623713</v>
      </c>
      <c r="Y59" s="281">
        <f t="shared" si="19"/>
        <v>592759.85458099982</v>
      </c>
      <c r="Z59" s="281">
        <f t="shared" si="19"/>
        <v>659893.13296500011</v>
      </c>
      <c r="AA59" s="281">
        <f t="shared" si="19"/>
        <v>668581.19685700024</v>
      </c>
      <c r="AB59" s="281">
        <f>534795.760535-4028</f>
        <v>530767.76053500001</v>
      </c>
      <c r="AC59" s="281">
        <v>552176.07254099997</v>
      </c>
      <c r="AD59" s="281">
        <v>679850.1315759999</v>
      </c>
      <c r="AE59" s="281">
        <v>714532.45965899993</v>
      </c>
      <c r="AF59" s="281">
        <v>625130.56291799992</v>
      </c>
      <c r="AG59" s="281">
        <v>639198.59706399997</v>
      </c>
      <c r="AH59" s="281">
        <v>616703.45235699997</v>
      </c>
      <c r="AI59" s="281">
        <v>605472.88606099901</v>
      </c>
      <c r="AJ59" s="281">
        <v>586524.153223</v>
      </c>
      <c r="AK59" s="281">
        <v>695676</v>
      </c>
      <c r="AL59" s="281">
        <v>749670</v>
      </c>
      <c r="AM59" s="281">
        <v>862724.70230100001</v>
      </c>
      <c r="AN59" s="281">
        <v>787963.89151500002</v>
      </c>
      <c r="AO59" s="281">
        <v>752600.96187637805</v>
      </c>
      <c r="AP59" s="2444">
        <v>915264.63837299997</v>
      </c>
      <c r="AQ59" s="2444">
        <v>977657.34337071003</v>
      </c>
      <c r="AR59" s="2444">
        <v>1077068.72</v>
      </c>
      <c r="AS59" s="2444">
        <f>1039970.232134-32884.7+1300</f>
        <v>1008385.5321340001</v>
      </c>
      <c r="AT59" s="2183">
        <f>AT42-AT58</f>
        <v>1039830.7645639997</v>
      </c>
      <c r="AU59" s="2183">
        <f>AU42-AU58</f>
        <v>1043278.3827040687</v>
      </c>
      <c r="AV59" s="2183">
        <f t="shared" ref="AV59:AY59" si="20">AV42-AV58</f>
        <v>0</v>
      </c>
      <c r="AW59" s="2183">
        <f t="shared" si="20"/>
        <v>0</v>
      </c>
      <c r="AX59" s="2183">
        <f t="shared" si="20"/>
        <v>0</v>
      </c>
      <c r="AY59" s="2183">
        <f t="shared" si="20"/>
        <v>0</v>
      </c>
    </row>
    <row r="61" spans="1:51">
      <c r="O61" s="283"/>
    </row>
    <row r="62" spans="1:51">
      <c r="A62" s="266" t="s">
        <v>1493</v>
      </c>
      <c r="H62" s="279"/>
      <c r="AB62" s="279">
        <f t="shared" ref="AB62:AN62" si="21">(AB46+AB49)*10000</f>
        <v>135951869.45000002</v>
      </c>
      <c r="AC62" s="279">
        <f t="shared" si="21"/>
        <v>158332703.79000002</v>
      </c>
      <c r="AD62" s="279">
        <f t="shared" si="21"/>
        <v>163131539.28</v>
      </c>
      <c r="AE62" s="279">
        <f t="shared" si="21"/>
        <v>137308159.35999995</v>
      </c>
      <c r="AF62" s="279">
        <f t="shared" si="21"/>
        <v>78043059.139999956</v>
      </c>
      <c r="AG62" s="279">
        <f t="shared" si="21"/>
        <v>355055940.96000016</v>
      </c>
      <c r="AH62" s="279">
        <f t="shared" si="21"/>
        <v>303771010.75999999</v>
      </c>
      <c r="AI62" s="279">
        <f t="shared" si="21"/>
        <v>347398780.35999995</v>
      </c>
      <c r="AJ62" s="279">
        <f t="shared" si="21"/>
        <v>358156003.60000002</v>
      </c>
      <c r="AK62" s="279">
        <f t="shared" si="21"/>
        <v>291365659.39999998</v>
      </c>
      <c r="AL62" s="279">
        <f t="shared" si="21"/>
        <v>285709108.99000001</v>
      </c>
      <c r="AM62" s="279">
        <f t="shared" si="21"/>
        <v>120778432.32000002</v>
      </c>
      <c r="AN62" s="279">
        <f t="shared" si="21"/>
        <v>155772766.70999998</v>
      </c>
      <c r="AO62" s="279">
        <f>(AO46+AO49)*10000</f>
        <v>359658814.04000002</v>
      </c>
      <c r="AP62" s="279">
        <f>(AP46+AP49)*10000</f>
        <v>373896621.86999995</v>
      </c>
      <c r="AQ62" s="279">
        <f t="shared" ref="AQ62:AY62" si="22">(AQ46+AQ49)*10000</f>
        <v>526488815.10000008</v>
      </c>
      <c r="AR62" s="279">
        <f t="shared" si="22"/>
        <v>485015672.93000007</v>
      </c>
      <c r="AS62" s="279">
        <f t="shared" si="22"/>
        <v>388735709.88</v>
      </c>
      <c r="AT62" s="279">
        <f t="shared" si="22"/>
        <v>430970754.21999973</v>
      </c>
      <c r="AU62" s="279">
        <f t="shared" si="22"/>
        <v>495912427.7100004</v>
      </c>
      <c r="AV62" s="279">
        <f t="shared" si="22"/>
        <v>0</v>
      </c>
      <c r="AW62" s="279">
        <f t="shared" si="22"/>
        <v>0</v>
      </c>
      <c r="AX62" s="279">
        <f t="shared" si="22"/>
        <v>0</v>
      </c>
      <c r="AY62" s="279">
        <f t="shared" si="22"/>
        <v>0</v>
      </c>
    </row>
    <row r="63" spans="1:51">
      <c r="P63" s="284"/>
      <c r="Q63" s="284"/>
      <c r="R63" s="284"/>
      <c r="S63" s="284"/>
      <c r="T63" s="284"/>
      <c r="U63" s="284"/>
      <c r="V63" s="284"/>
    </row>
    <row r="64" spans="1:51">
      <c r="A64" s="266" t="s">
        <v>1482</v>
      </c>
      <c r="O64" s="279"/>
      <c r="AB64" s="279">
        <f t="shared" ref="AB64:AY64" si="23">AB62+AB7*10000+AB8*10000+AB9*10000</f>
        <v>5831510600.8500004</v>
      </c>
      <c r="AC64" s="279">
        <f t="shared" si="23"/>
        <v>5894195324.8400002</v>
      </c>
      <c r="AD64" s="279">
        <f t="shared" si="23"/>
        <v>7473249341.0499992</v>
      </c>
      <c r="AE64" s="279">
        <f t="shared" si="23"/>
        <v>7935092364.3200006</v>
      </c>
      <c r="AF64" s="279">
        <f t="shared" si="23"/>
        <v>7386145948.7600002</v>
      </c>
      <c r="AG64" s="279">
        <f t="shared" si="23"/>
        <v>7126188477.5699997</v>
      </c>
      <c r="AH64" s="279">
        <f t="shared" si="23"/>
        <v>7106703334.4900007</v>
      </c>
      <c r="AI64" s="279">
        <f t="shared" si="23"/>
        <v>7159629759.2599993</v>
      </c>
      <c r="AJ64" s="279">
        <f t="shared" si="23"/>
        <v>7218494845.8400011</v>
      </c>
      <c r="AK64" s="279">
        <f t="shared" si="23"/>
        <v>7929999743.1199999</v>
      </c>
      <c r="AL64" s="279">
        <f t="shared" si="23"/>
        <v>8241191674.46</v>
      </c>
      <c r="AM64" s="279">
        <f t="shared" si="23"/>
        <v>8877983972.75</v>
      </c>
      <c r="AN64" s="279">
        <f t="shared" si="23"/>
        <v>8328664946.5600014</v>
      </c>
      <c r="AO64" s="279">
        <f t="shared" si="23"/>
        <v>8047296010.7099991</v>
      </c>
      <c r="AP64" s="279">
        <f t="shared" si="23"/>
        <v>10346506579.74</v>
      </c>
      <c r="AQ64" s="279">
        <f>AQ62+AQ7*10000+AQ8*10000+AQ9*10000</f>
        <v>10815945565.009998</v>
      </c>
      <c r="AR64" s="279">
        <f>AR62+AR7*10000+AR8*10000+AR9*10000</f>
        <v>11638136654.52</v>
      </c>
      <c r="AS64" s="279">
        <f t="shared" si="23"/>
        <v>10908393670.43</v>
      </c>
      <c r="AT64" s="279">
        <f>AT62+AT7*10000+AT8*10000+AT9*10000</f>
        <v>11852539181.029999</v>
      </c>
      <c r="AU64" s="279">
        <f t="shared" si="23"/>
        <v>12049691039.100689</v>
      </c>
      <c r="AV64" s="279">
        <f t="shared" si="23"/>
        <v>0</v>
      </c>
      <c r="AW64" s="279">
        <f t="shared" si="23"/>
        <v>0</v>
      </c>
      <c r="AX64" s="279">
        <f t="shared" si="23"/>
        <v>0</v>
      </c>
      <c r="AY64" s="279">
        <f t="shared" si="23"/>
        <v>0</v>
      </c>
    </row>
    <row r="66" spans="16:22">
      <c r="P66" s="284"/>
      <c r="Q66" s="284"/>
      <c r="R66" s="284"/>
      <c r="S66" s="284"/>
      <c r="T66" s="284"/>
      <c r="U66" s="284"/>
      <c r="V66" s="284"/>
    </row>
    <row r="67" spans="16:22">
      <c r="P67" s="284"/>
      <c r="Q67" s="284"/>
      <c r="R67" s="284"/>
      <c r="S67" s="284"/>
      <c r="T67" s="284"/>
      <c r="U67" s="284"/>
      <c r="V67" s="284"/>
    </row>
    <row r="68" spans="16:22">
      <c r="P68" s="284"/>
      <c r="Q68" s="284"/>
      <c r="R68" s="284"/>
      <c r="S68" s="284"/>
      <c r="T68" s="284"/>
      <c r="U68" s="284"/>
      <c r="V68" s="284"/>
    </row>
  </sheetData>
  <customSheetViews>
    <customSheetView guid="{1683F931-F47D-47C0-A395-D48080DC7EE6}" showPageBreaks="1" printArea="1" hiddenColumns="1" topLeftCell="L10">
      <selection activeCell="AF3" sqref="AF3:AF40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 showPageBreaks="1">
      <pane xSplit="2" ySplit="3" topLeftCell="AH40" activePane="bottomRight" state="frozen"/>
      <selection pane="bottomRight" activeCell="AR65" sqref="AR65"/>
      <pageMargins left="0.69930555555555596" right="0.69930555555555596" top="0.75" bottom="0.75" header="0.3" footer="0.3"/>
      <pageSetup paperSize="9" orientation="portrait" r:id="rId2"/>
    </customSheetView>
    <customSheetView guid="{849C46E5-4ED4-41B9-BDA9-A6465B9DA9C2}" topLeftCell="A27">
      <pane xSplit="1" topLeftCell="AJ1" activePane="topRight" state="frozen"/>
      <selection pane="topRight" activeCell="AQ42" sqref="AQ42:AY42"/>
      <pageMargins left="0.69930555555555596" right="0.69930555555555596" top="0.75" bottom="0.75" header="0.3" footer="0.3"/>
      <pageSetup paperSize="9" orientation="portrait" r:id="rId3"/>
    </customSheetView>
    <customSheetView guid="{8C09BCDE-4B8A-4469-B3F2-7F4528A2E78D}" showPageBreaks="1" printArea="1" topLeftCell="A27">
      <pane xSplit="1" topLeftCell="AJ1" activePane="topRight" state="frozen"/>
      <selection pane="topRight" activeCell="AQ42" sqref="AQ42:AY42"/>
      <pageMargins left="0.69930555555555596" right="0.69930555555555596" top="0.75" bottom="0.75" header="0.3" footer="0.3"/>
      <pageSetup paperSize="9" orientation="portrait" r:id="rId4"/>
    </customSheetView>
    <customSheetView guid="{F4EB51F4-FD23-4D5B-8072-1AF5D59D6686}" scale="85" showPageBreaks="1" printArea="1">
      <pane xSplit="1" topLeftCell="AF1" activePane="topRight" state="frozen"/>
      <selection pane="topRight" activeCell="AO62" sqref="AO62"/>
      <pageMargins left="0.69930555555555596" right="0.69930555555555596" top="0.75" bottom="0.75" header="0.3" footer="0.3"/>
      <pageSetup paperSize="9" orientation="portrait" r:id="rId5"/>
    </customSheetView>
    <customSheetView guid="{D7BCFB76-2797-401D-A6F1-E020B5162DD4}">
      <pane xSplit="2" ySplit="3" topLeftCell="AL4" activePane="bottomRight" state="frozen"/>
      <selection pane="bottomRight" activeCell="AS8" sqref="AS8:AS9"/>
      <pageMargins left="0.69930555555555596" right="0.69930555555555596" top="0.75" bottom="0.75" header="0.3" footer="0.3"/>
      <pageSetup paperSize="9" orientation="portrait" r:id="rId6"/>
    </customSheetView>
    <customSheetView guid="{C9A88430-3808-49F4-8D86-BF8C70C55441}" showPageBreaks="1" printArea="1" topLeftCell="K1">
      <selection activeCell="Z23" sqref="Z23"/>
      <pageMargins left="0.69930555555555596" right="0.69930555555555596" top="0.75" bottom="0.75" header="0.3" footer="0.3"/>
      <pageSetup paperSize="9" orientation="portrait" r:id="rId7"/>
    </customSheetView>
    <customSheetView guid="{E61FFED3-723E-484A-93A0-94E1A801AF06}" showPageBreaks="1">
      <pane xSplit="2" ySplit="3" topLeftCell="L4" activePane="bottomRight" state="frozen"/>
      <selection pane="bottomRight" activeCell="AC47" sqref="AC47"/>
      <pageMargins left="0.69930555555555596" right="0.69930555555555596" top="0.75" bottom="0.75" header="0.3" footer="0.3"/>
      <pageSetup paperSize="9" orientation="portrait" r:id="rId8"/>
    </customSheetView>
    <customSheetView guid="{6B5CCA07-2BDD-4B8E-9E3C-2111BBA97430}" scale="85">
      <pane xSplit="2" ySplit="3" topLeftCell="AC16" activePane="bottomRight" state="frozen"/>
      <selection pane="bottomRight" activeCell="AK42" sqref="AK42"/>
      <pageMargins left="0.69930555555555596" right="0.69930555555555596" top="0.75" bottom="0.75" header="0.3" footer="0.3"/>
      <pageSetup paperSize="9" orientation="portrait" r:id="rId9"/>
    </customSheetView>
    <customSheetView guid="{2F47A827-9643-4D8A-AC5D-6B09D79AACF9}" showPageBreaks="1">
      <pane xSplit="2" ySplit="3" topLeftCell="C4" activePane="bottomRight" state="frozen"/>
      <selection pane="bottomRight" activeCell="S25" sqref="S25"/>
      <pageMargins left="0.69930555555555596" right="0.69930555555555596" top="0.75" bottom="0.75" header="0.3" footer="0.3"/>
      <pageSetup paperSize="9" orientation="portrait" r:id="rId10"/>
    </customSheetView>
    <customSheetView guid="{B37168A1-DBAB-4BDE-9F92-6261DCDF3D92}" scale="85" showPageBreaks="1" printArea="1" hiddenColumns="1">
      <pane ySplit="1" topLeftCell="A2" activePane="bottomLeft" state="frozen"/>
      <selection pane="bottomLeft" activeCell="AH42" sqref="AH42"/>
      <pageMargins left="0.69930555555555596" right="0.69930555555555596" top="0.75" bottom="0.75" header="0.3" footer="0.3"/>
      <pageSetup paperSize="9" orientation="portrait" r:id="rId11"/>
    </customSheetView>
    <customSheetView guid="{AE0DD889-C13C-4059-8024-0F5B234827E9}" showPageBreaks="1" printArea="1" hiddenColumns="1">
      <selection activeCell="AF16" sqref="AF16:AF17"/>
      <pageMargins left="0.69930555555555596" right="0.69930555555555596" top="0.75" bottom="0.75" header="0.3" footer="0.3"/>
      <pageSetup paperSize="9" orientation="portrait" r:id="rId12"/>
    </customSheetView>
    <customSheetView guid="{CCBBD9B0-4191-4D7A-9F7B-BAC044A49153}" showPageBreaks="1" printArea="1" topLeftCell="J1">
      <selection activeCell="AF20" sqref="AF20"/>
      <pageMargins left="0.69930555555555596" right="0.69930555555555596" top="0.75" bottom="0.75" header="0.3" footer="0.3"/>
      <pageSetup paperSize="9" orientation="portrait"/>
    </customSheetView>
    <customSheetView guid="{F5F9735B-EE22-4AC6-B5AB-C856ED6C133D}" showPageBreaks="1" printArea="1" topLeftCell="A22">
      <selection activeCell="W58" sqref="W58"/>
      <pageMargins left="0.69930555555555596" right="0.69930555555555596" top="0.75" bottom="0.75" header="0.3" footer="0.3"/>
      <pageSetup paperSize="9" orientation="portrait"/>
    </customSheetView>
    <customSheetView guid="{45B4C0D1-53B6-4553-BFF9-393760B8E0CE}" showPageBreaks="1" printArea="1">
      <pane xSplit="13" ySplit="3" topLeftCell="Q31" state="frozen"/>
      <selection activeCell="H43" sqref="H43"/>
      <pageMargins left="0.69930555555555596" right="0.69930555555555596" top="0.75" bottom="0.75" header="0.3" footer="0.3"/>
      <pageSetup paperSize="9" orientation="portrait"/>
    </customSheetView>
    <customSheetView guid="{1BBD1596-143E-4714-99EF-E3545231CCD1}">
      <pane xSplit="2" ySplit="3" topLeftCell="C40" state="frozen"/>
      <selection activeCell="D54" sqref="D54"/>
      <pageMargins left="0.69930555555555596" right="0.69930555555555596" top="0.75" bottom="0.75" header="0.3" footer="0.3"/>
    </customSheetView>
    <customSheetView guid="{A8456D60-99BA-4794-8966-0CBA0A37EA6F}">
      <pane xSplit="2" ySplit="3" topLeftCell="C40" state="frozen"/>
      <selection activeCell="D54" sqref="D54"/>
      <pageMargins left="0.69930555555555596" right="0.69930555555555596" top="0.75" bottom="0.75" header="0.3" footer="0.3"/>
    </customSheetView>
    <customSheetView guid="{500C3980-ED13-4C97-96B1-955D50509B66}" showPageBreaks="1" printArea="1" hiddenColumns="1" topLeftCell="A28">
      <selection activeCell="AC30" sqref="AC30"/>
      <pageMargins left="0.69930555555555596" right="0.69930555555555596" top="0.75" bottom="0.75" header="0.3" footer="0.3"/>
      <pageSetup paperSize="9" orientation="portrait"/>
    </customSheetView>
    <customSheetView guid="{3B943BAF-34C7-494A-A071-85DE0891E5A1}" showPageBreaks="1" printArea="1" topLeftCell="M1">
      <selection activeCell="U58" sqref="U58"/>
      <pageMargins left="0.69930555555555596" right="0.69930555555555596" top="0.75" bottom="0.75" header="0.3" footer="0.3"/>
      <pageSetup paperSize="9" orientation="portrait"/>
    </customSheetView>
    <customSheetView guid="{EEE4B3DA-ADF6-49CC-9873-068FE5927B92}" showPageBreaks="1">
      <pane xSplit="2" ySplit="3" topLeftCell="C4" state="frozen"/>
      <selection activeCell="S25" sqref="S25"/>
      <pageMargins left="0.69930555555555596" right="0.69930555555555596" top="0.75" bottom="0.75" header="0.3" footer="0.3"/>
      <pageSetup paperSize="9" orientation="portrait"/>
    </customSheetView>
    <customSheetView guid="{C52D0F53-4D1D-4D01-B833-260359FD02A5}" showPageBreaks="1" printArea="1">
      <selection activeCell="A22" sqref="A22"/>
      <pageMargins left="0.69930555555555596" right="0.69930555555555596" top="0.75" bottom="0.75" header="0.3" footer="0.3"/>
      <pageSetup paperSize="9" orientation="portrait" r:id="rId13"/>
    </customSheetView>
    <customSheetView guid="{6A1E79C9-91E3-4EEA-8ABB-4446083299EC}" showPageBreaks="1" printArea="1">
      <selection activeCell="S48" sqref="S48"/>
      <pageMargins left="0.69930555555555596" right="0.69930555555555596" top="0.75" bottom="0.75" header="0.3" footer="0.3"/>
      <pageSetup paperSize="9" orientation="portrait" r:id="rId14"/>
    </customSheetView>
    <customSheetView guid="{8B80B510-C931-46B1-8591-DEA916D76593}" topLeftCell="M28">
      <selection activeCell="V60" sqref="V60"/>
      <pageMargins left="0.69930555555555596" right="0.69930555555555596" top="0.75" bottom="0.75" header="0.3" footer="0.3"/>
      <pageSetup paperSize="9" orientation="portrait" r:id="rId15"/>
    </customSheetView>
    <customSheetView guid="{303A9D89-611D-4504-BCAA-071C53B021F7}" showPageBreaks="1">
      <pane xSplit="2" ySplit="3" topLeftCell="C40" activePane="bottomRight" state="frozen"/>
      <selection pane="bottomRight" activeCell="D54" sqref="D54"/>
      <pageMargins left="0.69930555555555596" right="0.69930555555555596" top="0.75" bottom="0.75" header="0.3" footer="0.3"/>
      <pageSetup paperSize="9" orientation="portrait" horizontalDpi="300" verticalDpi="300" r:id="rId16"/>
    </customSheetView>
    <customSheetView guid="{4583A87D-5DFF-47BD-849A-FA4AAF2B9CE3}" showPageBreaks="1" printArea="1" topLeftCell="M1">
      <selection activeCell="U58" sqref="U58"/>
      <pageMargins left="0.69930555555555596" right="0.69930555555555596" top="0.75" bottom="0.75" header="0.3" footer="0.3"/>
      <pageSetup paperSize="9" orientation="portrait" r:id="rId17"/>
    </customSheetView>
    <customSheetView guid="{EA856AC2-CDFF-46B6-B0C4-30449DF132F4}" showPageBreaks="1" printArea="1" topLeftCell="AF37">
      <selection activeCell="AT70" sqref="AT70"/>
      <pageMargins left="0.69930555555555596" right="0.69930555555555596" top="0.75" bottom="0.75" header="0.3" footer="0.3"/>
      <pageSetup paperSize="9" orientation="portrait" r:id="rId18"/>
    </customSheetView>
    <customSheetView guid="{322A45A6-8B26-49B8-A4D9-EFB3C94A758D}" showPageBreaks="1" printArea="1" hiddenColumns="1">
      <selection activeCell="AS29" sqref="AS29"/>
      <pageMargins left="0.69930555555555596" right="0.69930555555555596" top="0.75" bottom="0.75" header="0.3" footer="0.3"/>
      <pageSetup paperSize="9" orientation="portrait" r:id="rId19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2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1"/>
  <sheetViews>
    <sheetView zoomScaleNormal="85" workbookViewId="0">
      <pane xSplit="2" ySplit="1" topLeftCell="AO2" activePane="bottomRight" state="frozen"/>
      <selection pane="topRight" activeCell="C1" sqref="C1"/>
      <selection pane="bottomLeft" activeCell="A2" sqref="A2"/>
      <selection pane="bottomRight" activeCell="AS20" sqref="AS20:AT20"/>
    </sheetView>
  </sheetViews>
  <sheetFormatPr defaultColWidth="9" defaultRowHeight="14.25"/>
  <cols>
    <col min="1" max="1" width="7.25" style="206" customWidth="1"/>
    <col min="2" max="2" width="24" style="206" customWidth="1"/>
    <col min="3" max="4" width="14.5" style="206" customWidth="1"/>
    <col min="5" max="6" width="7.375" style="206" customWidth="1"/>
    <col min="7" max="7" width="15.375" style="206" customWidth="1"/>
    <col min="8" max="13" width="7.375" style="206" customWidth="1"/>
    <col min="14" max="15" width="7.5" style="206" customWidth="1"/>
    <col min="16" max="16" width="8.5" style="206" customWidth="1"/>
    <col min="17" max="17" width="7.625" style="206" customWidth="1"/>
    <col min="18" max="19" width="7.375" style="206" customWidth="1"/>
    <col min="20" max="20" width="10.5" style="206" customWidth="1"/>
    <col min="21" max="21" width="11.625" style="206" hidden="1" customWidth="1"/>
    <col min="22" max="23" width="9.375" style="206" customWidth="1"/>
    <col min="24" max="24" width="13.875" style="206" customWidth="1"/>
    <col min="25" max="26" width="10.125" style="206" customWidth="1"/>
    <col min="27" max="27" width="13.875" style="206" customWidth="1"/>
    <col min="28" max="28" width="10.125" style="206" customWidth="1"/>
    <col min="29" max="29" width="10.5" style="206" customWidth="1"/>
    <col min="30" max="30" width="12.25" style="206" customWidth="1"/>
    <col min="31" max="31" width="12" style="206" customWidth="1"/>
    <col min="32" max="32" width="9.75" style="206" customWidth="1"/>
    <col min="33" max="33" width="11.625" style="206" customWidth="1"/>
    <col min="34" max="34" width="11.125" style="206" customWidth="1"/>
    <col min="35" max="35" width="10.75" style="206" customWidth="1"/>
    <col min="36" max="36" width="10.875" style="206" customWidth="1"/>
    <col min="37" max="37" width="10.5" style="206" bestFit="1" customWidth="1"/>
    <col min="38" max="38" width="13.375" style="206" customWidth="1"/>
    <col min="39" max="39" width="10.625" style="206" bestFit="1" customWidth="1"/>
    <col min="40" max="40" width="11.75" style="206" bestFit="1" customWidth="1"/>
    <col min="41" max="41" width="13.75" style="206" customWidth="1"/>
    <col min="42" max="42" width="11.875" style="206" customWidth="1"/>
    <col min="43" max="45" width="11.625" style="206" customWidth="1"/>
    <col min="46" max="46" width="13.125" style="206" customWidth="1"/>
    <col min="47" max="47" width="11.625" style="206" customWidth="1"/>
    <col min="48" max="48" width="11.5" style="206" customWidth="1"/>
    <col min="49" max="52" width="11.625" style="206" customWidth="1"/>
    <col min="53" max="53" width="16.25" style="206" customWidth="1"/>
    <col min="54" max="16384" width="9" style="206"/>
  </cols>
  <sheetData>
    <row r="1" spans="1:53" s="189" customFormat="1">
      <c r="B1" s="189" t="s">
        <v>0</v>
      </c>
      <c r="C1" s="189">
        <v>2017</v>
      </c>
      <c r="D1" s="189">
        <v>2017</v>
      </c>
      <c r="E1" s="189">
        <v>2018</v>
      </c>
      <c r="F1" s="189">
        <v>2018</v>
      </c>
      <c r="G1" s="189">
        <v>2018</v>
      </c>
      <c r="H1" s="189">
        <v>2018</v>
      </c>
      <c r="I1" s="189">
        <v>2018</v>
      </c>
      <c r="J1" s="189">
        <v>2018</v>
      </c>
      <c r="K1" s="189">
        <v>2018</v>
      </c>
      <c r="L1" s="189">
        <v>2018</v>
      </c>
      <c r="M1" s="189">
        <v>2018</v>
      </c>
      <c r="N1" s="189">
        <v>2018</v>
      </c>
      <c r="O1" s="189">
        <v>2018</v>
      </c>
      <c r="P1" s="189">
        <v>2018</v>
      </c>
      <c r="Q1" s="189">
        <v>2019</v>
      </c>
      <c r="R1" s="189">
        <v>2019</v>
      </c>
      <c r="S1" s="189">
        <v>2019</v>
      </c>
      <c r="T1" s="189">
        <v>2019</v>
      </c>
      <c r="U1" s="189">
        <v>2019</v>
      </c>
      <c r="V1" s="189">
        <v>2019</v>
      </c>
      <c r="W1" s="189">
        <v>2019</v>
      </c>
      <c r="X1" s="189">
        <v>2019</v>
      </c>
      <c r="Y1" s="189">
        <v>2019</v>
      </c>
      <c r="Z1" s="189">
        <v>2019</v>
      </c>
      <c r="AA1" s="189">
        <v>2019</v>
      </c>
      <c r="AB1" s="189">
        <v>2019</v>
      </c>
      <c r="AC1" s="189">
        <v>2020</v>
      </c>
      <c r="AD1" s="189">
        <v>2020</v>
      </c>
      <c r="AE1" s="189">
        <v>2020</v>
      </c>
      <c r="AF1" s="189">
        <v>2020</v>
      </c>
      <c r="AG1" s="189">
        <v>2020</v>
      </c>
      <c r="AH1" s="189">
        <v>2020</v>
      </c>
      <c r="AI1" s="189">
        <v>2020</v>
      </c>
      <c r="AJ1" s="189">
        <v>2020</v>
      </c>
      <c r="AK1" s="189">
        <v>2020</v>
      </c>
      <c r="AL1" s="189">
        <v>2020</v>
      </c>
      <c r="AM1" s="189">
        <v>2020</v>
      </c>
      <c r="AN1" s="189">
        <v>2020</v>
      </c>
      <c r="AO1" s="189">
        <v>2021</v>
      </c>
      <c r="AP1" s="189">
        <v>2021</v>
      </c>
      <c r="AQ1" s="189">
        <v>2021</v>
      </c>
      <c r="AR1" s="189">
        <v>2021</v>
      </c>
      <c r="AS1" s="189">
        <v>2021</v>
      </c>
      <c r="AT1" s="189">
        <v>2021</v>
      </c>
      <c r="AU1" s="189">
        <v>2021</v>
      </c>
      <c r="AV1" s="189">
        <v>2021</v>
      </c>
      <c r="AW1" s="189">
        <v>2021</v>
      </c>
      <c r="AX1" s="189">
        <v>2021</v>
      </c>
      <c r="AY1" s="189">
        <v>2021</v>
      </c>
      <c r="AZ1" s="189">
        <v>2021</v>
      </c>
    </row>
    <row r="2" spans="1:53" s="190" customFormat="1">
      <c r="B2" s="207" t="s">
        <v>1</v>
      </c>
      <c r="C2" s="190" t="s">
        <v>5</v>
      </c>
      <c r="D2" s="190">
        <v>12</v>
      </c>
      <c r="E2" s="190">
        <v>1</v>
      </c>
      <c r="F2" s="190">
        <v>2</v>
      </c>
      <c r="G2" s="190">
        <v>3</v>
      </c>
      <c r="H2" s="190">
        <v>4</v>
      </c>
      <c r="I2" s="190">
        <v>5</v>
      </c>
      <c r="J2" s="190">
        <v>6</v>
      </c>
      <c r="K2" s="190">
        <v>7</v>
      </c>
      <c r="L2" s="190">
        <v>8</v>
      </c>
      <c r="M2" s="190">
        <v>9</v>
      </c>
      <c r="N2" s="190">
        <v>10</v>
      </c>
      <c r="O2" s="190">
        <v>11</v>
      </c>
      <c r="P2" s="190">
        <v>12</v>
      </c>
      <c r="Q2" s="190">
        <v>1</v>
      </c>
      <c r="R2" s="190">
        <v>2</v>
      </c>
      <c r="S2" s="190">
        <v>3</v>
      </c>
      <c r="T2" s="190">
        <v>4</v>
      </c>
      <c r="U2" s="190">
        <v>5</v>
      </c>
      <c r="V2" s="190">
        <v>6</v>
      </c>
      <c r="W2" s="190">
        <v>7</v>
      </c>
      <c r="X2" s="190">
        <v>8</v>
      </c>
      <c r="Y2" s="190">
        <v>9</v>
      </c>
      <c r="Z2" s="190">
        <v>10</v>
      </c>
      <c r="AA2" s="190">
        <v>11</v>
      </c>
      <c r="AB2" s="190">
        <v>12</v>
      </c>
      <c r="AC2" s="190">
        <v>1</v>
      </c>
      <c r="AD2" s="190">
        <v>2</v>
      </c>
      <c r="AE2" s="190">
        <v>3</v>
      </c>
      <c r="AF2" s="190">
        <v>4</v>
      </c>
      <c r="AG2" s="190">
        <v>5</v>
      </c>
      <c r="AH2" s="190">
        <v>6</v>
      </c>
      <c r="AI2" s="190">
        <v>7</v>
      </c>
      <c r="AJ2" s="190">
        <v>8</v>
      </c>
      <c r="AK2" s="190">
        <v>9</v>
      </c>
      <c r="AL2" s="190">
        <v>10</v>
      </c>
      <c r="AM2" s="190">
        <v>11</v>
      </c>
      <c r="AN2" s="190">
        <v>12</v>
      </c>
      <c r="AO2" s="190">
        <v>1</v>
      </c>
      <c r="AP2" s="190">
        <v>2</v>
      </c>
      <c r="AQ2" s="190">
        <v>3</v>
      </c>
      <c r="AR2" s="190">
        <v>4</v>
      </c>
      <c r="AS2" s="190">
        <v>5</v>
      </c>
      <c r="AT2" s="190">
        <v>6</v>
      </c>
      <c r="AU2" s="190">
        <v>7</v>
      </c>
      <c r="AV2" s="190">
        <v>8</v>
      </c>
      <c r="AW2" s="190">
        <v>9</v>
      </c>
      <c r="AX2" s="190">
        <v>10</v>
      </c>
      <c r="AY2" s="190">
        <v>11</v>
      </c>
      <c r="AZ2" s="190">
        <v>12</v>
      </c>
      <c r="BA2" s="190" t="s">
        <v>1163</v>
      </c>
    </row>
    <row r="3" spans="1:53">
      <c r="B3" s="208" t="str">
        <f>'收入（汇总）'!B3</f>
        <v>母公司</v>
      </c>
      <c r="C3" s="209">
        <v>40936</v>
      </c>
      <c r="D3" s="209">
        <v>10317</v>
      </c>
      <c r="E3" s="209">
        <v>10188</v>
      </c>
      <c r="F3" s="209">
        <v>6328</v>
      </c>
      <c r="G3" s="209">
        <v>-648</v>
      </c>
      <c r="H3" s="209">
        <f>-1857-1000-2076</f>
        <v>-4933</v>
      </c>
      <c r="I3" s="209">
        <v>-418.44</v>
      </c>
      <c r="J3" s="209">
        <v>2170</v>
      </c>
      <c r="K3" s="209">
        <v>-3544</v>
      </c>
      <c r="L3" s="209">
        <f>-4138+2064</f>
        <v>-2074</v>
      </c>
      <c r="M3" s="209">
        <v>-2965</v>
      </c>
      <c r="N3" s="209">
        <v>-12118</v>
      </c>
      <c r="O3" s="209">
        <f>-5557-27100</f>
        <v>-32657</v>
      </c>
      <c r="P3" s="209">
        <f>-28817.506641+(14553-1155)+880-21369</f>
        <v>-35908.506641</v>
      </c>
      <c r="Q3" s="238">
        <f>'#母公司报表'!D69</f>
        <v>-5617.5364719999998</v>
      </c>
      <c r="R3" s="238">
        <f>'#母公司报表'!E69</f>
        <v>1682.302956</v>
      </c>
      <c r="S3" s="238">
        <f>'#母公司报表'!F69</f>
        <v>-2761.9287439999989</v>
      </c>
      <c r="T3" s="238">
        <f>'#母公司报表'!G69</f>
        <v>2835.7161409999985</v>
      </c>
      <c r="U3" s="238">
        <f>'#母公司报表'!H69</f>
        <v>4486.0932810000013</v>
      </c>
      <c r="V3" s="238">
        <f>'#母公司报表'!I69</f>
        <v>6111.6456210000006</v>
      </c>
      <c r="W3" s="238">
        <f>'#母公司报表'!J69</f>
        <v>7720.2521670000006</v>
      </c>
      <c r="X3" s="238">
        <f>'#母公司报表'!K69</f>
        <v>7070.7857539999968</v>
      </c>
      <c r="Y3" s="238">
        <f>'#母公司报表'!L69</f>
        <v>14487.279263999999</v>
      </c>
      <c r="Z3" s="238">
        <f>'#母公司报表'!M69</f>
        <v>12245.323783</v>
      </c>
      <c r="AA3" s="238">
        <f>'#母公司报表'!N69</f>
        <v>8653.2751969999881</v>
      </c>
      <c r="AB3" s="238">
        <f>'#母公司报表'!O69-894</f>
        <v>13405.408081</v>
      </c>
      <c r="AC3" s="679">
        <f>'#母公司报表'!P69</f>
        <v>11795.938900000001</v>
      </c>
      <c r="AD3" s="679">
        <f>'#母公司报表'!Q69</f>
        <v>-2759.3998120000006</v>
      </c>
      <c r="AE3" s="679">
        <f>'#母公司报表'!R69</f>
        <v>10089.166718000002</v>
      </c>
      <c r="AF3" s="679">
        <f>'#母公司报表'!S69</f>
        <v>7688.2350939999997</v>
      </c>
      <c r="AG3" s="679">
        <f>'#母公司报表'!T69</f>
        <v>5083.7879140000005</v>
      </c>
      <c r="AH3" s="679">
        <f>'#母公司报表'!U69</f>
        <v>-4920.3347529999992</v>
      </c>
      <c r="AI3" s="679">
        <f>'#母公司报表'!V69</f>
        <v>12902.746455</v>
      </c>
      <c r="AJ3" s="679">
        <f>'#母公司报表'!W69</f>
        <v>6423.4330049999999</v>
      </c>
      <c r="AK3" s="679">
        <f>'#母公司报表'!X69</f>
        <v>12513.253873</v>
      </c>
      <c r="AL3" s="679">
        <f>'#母公司报表'!Y69</f>
        <v>8444.6839689999997</v>
      </c>
      <c r="AM3" s="679">
        <f>'#母公司报表'!Z69</f>
        <v>2023.5464180000004</v>
      </c>
      <c r="AN3" s="679">
        <v>-61438.508178999989</v>
      </c>
      <c r="AO3" s="679">
        <f>'#母公司报表'!AB69-796</f>
        <v>11635.249755999999</v>
      </c>
      <c r="AP3" s="679">
        <f>'#母公司报表'!AC69+796</f>
        <v>16648.662945000004</v>
      </c>
      <c r="AQ3" s="679">
        <f>'#母公司报表'!AD69</f>
        <v>-2227.5880539999962</v>
      </c>
      <c r="AR3" s="679">
        <f>'#母公司报表'!AE69</f>
        <v>25179.834978999999</v>
      </c>
      <c r="AS3" s="679">
        <f>'#母公司报表'!AF69</f>
        <v>34275.113229999995</v>
      </c>
      <c r="AT3" s="679">
        <f>'#母公司报表'!AG69</f>
        <v>40089.582414999997</v>
      </c>
      <c r="AU3" s="679">
        <f>'#母公司报表'!AH69</f>
        <v>34767.318359000019</v>
      </c>
      <c r="AV3" s="679">
        <f>'#母公司报表'!AI69</f>
        <v>30673.699038000028</v>
      </c>
      <c r="AW3" s="679"/>
      <c r="AX3" s="679"/>
      <c r="AY3" s="679"/>
      <c r="AZ3" s="679"/>
      <c r="BA3" s="206">
        <f>SUMIFS(D3:AN3,$D$1:$AN$1,'#经营概况'!$B$1,'利润（汇总）'!$D$2:$AN$2,'#经营概况'!$B$2)</f>
        <v>0</v>
      </c>
    </row>
    <row r="4" spans="1:53">
      <c r="A4" s="206" t="s">
        <v>920</v>
      </c>
      <c r="B4" s="208" t="s">
        <v>110</v>
      </c>
      <c r="C4" s="209"/>
      <c r="D4" s="209"/>
      <c r="E4" s="209"/>
      <c r="F4" s="209"/>
      <c r="G4" s="209"/>
      <c r="H4" s="209"/>
      <c r="I4" s="209"/>
      <c r="J4" s="209"/>
      <c r="K4" s="209"/>
      <c r="L4" s="209"/>
      <c r="M4" s="209"/>
      <c r="N4" s="209"/>
      <c r="O4" s="209"/>
      <c r="P4" s="209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>
        <v>894</v>
      </c>
      <c r="AC4" s="238">
        <v>-2.1009120000000001</v>
      </c>
      <c r="AD4" s="238">
        <v>1287.6410719999999</v>
      </c>
      <c r="AE4" s="238">
        <v>27.322942999999999</v>
      </c>
      <c r="AF4" s="238">
        <v>421.55365999999998</v>
      </c>
      <c r="AG4" s="238">
        <v>4.9976099999999999</v>
      </c>
      <c r="AH4" s="238">
        <v>-145.544916</v>
      </c>
      <c r="AI4" s="238">
        <v>-274.86767099999997</v>
      </c>
      <c r="AJ4" s="238">
        <f>1028.552916-2030.713204</f>
        <v>-1002.1602879999998</v>
      </c>
      <c r="AK4" s="238">
        <v>-901.37926400000003</v>
      </c>
      <c r="AL4" s="238">
        <v>1853.7690090000001</v>
      </c>
      <c r="AM4" s="238">
        <v>-2159.2570759999999</v>
      </c>
      <c r="AN4" s="238">
        <v>-7726.4307259999996</v>
      </c>
      <c r="AO4" s="2053">
        <v>-2336.4983710000001</v>
      </c>
      <c r="AP4" s="238">
        <v>154.624923</v>
      </c>
      <c r="AQ4" s="238">
        <v>5685.3656929999997</v>
      </c>
      <c r="AR4" s="238">
        <v>8157.9488350000001</v>
      </c>
      <c r="AS4" s="238">
        <v>8700.7656700000007</v>
      </c>
      <c r="AT4" s="238">
        <v>8483.1919390000003</v>
      </c>
      <c r="AU4" s="238">
        <v>2958</v>
      </c>
      <c r="AV4" s="238">
        <v>1172</v>
      </c>
      <c r="AW4" s="238"/>
      <c r="AX4" s="238"/>
      <c r="AY4" s="238"/>
      <c r="AZ4" s="238"/>
      <c r="BA4" s="206">
        <f>SUMIFS(D4:AN4,$D$1:$AN$1,'#经营概况'!$B$1,'利润（汇总）'!$D$2:$AN$2,'#经营概况'!$B$2)</f>
        <v>0</v>
      </c>
    </row>
    <row r="5" spans="1:53" s="191" customFormat="1">
      <c r="A5" s="191" t="s">
        <v>921</v>
      </c>
      <c r="B5" s="210" t="str">
        <f>'收入（汇总）'!B5</f>
        <v>岚县矿业</v>
      </c>
      <c r="C5" s="211">
        <v>19333.237879</v>
      </c>
      <c r="D5" s="211">
        <v>2195.6781110000002</v>
      </c>
      <c r="E5" s="211">
        <v>2043.6396646000001</v>
      </c>
      <c r="F5" s="211">
        <v>1979.9023110000001</v>
      </c>
      <c r="G5" s="211">
        <v>1304.9705670000001</v>
      </c>
      <c r="H5" s="211">
        <v>1295.8493659999999</v>
      </c>
      <c r="I5" s="211">
        <v>992.15185200000099</v>
      </c>
      <c r="J5" s="211">
        <v>794.557106000001</v>
      </c>
      <c r="K5" s="211">
        <v>206.001988000002</v>
      </c>
      <c r="L5" s="211">
        <v>1230.7413959999999</v>
      </c>
      <c r="M5" s="211">
        <v>2029.066699</v>
      </c>
      <c r="N5" s="211">
        <v>2381.2401599999998</v>
      </c>
      <c r="O5" s="211">
        <v>2449.1486239999999</v>
      </c>
      <c r="P5" s="211">
        <v>979.95731499999704</v>
      </c>
      <c r="Q5" s="240">
        <v>1920.764713</v>
      </c>
      <c r="R5" s="240">
        <v>2740.4024359999999</v>
      </c>
      <c r="S5" s="240">
        <v>2741.2795059999999</v>
      </c>
      <c r="T5" s="240">
        <v>3203.4827719999998</v>
      </c>
      <c r="U5" s="240">
        <v>2940.6437940000001</v>
      </c>
      <c r="V5" s="240">
        <v>2116.1582060000101</v>
      </c>
      <c r="W5" s="240">
        <v>3476.5790950000001</v>
      </c>
      <c r="X5" s="240">
        <v>667.90120399999796</v>
      </c>
      <c r="Y5" s="240">
        <v>859.67947799999797</v>
      </c>
      <c r="Z5" s="240">
        <f>-422.291314+12.72</f>
        <v>-409.57131399999997</v>
      </c>
      <c r="AA5" s="240">
        <v>-1193.84295</v>
      </c>
      <c r="AB5" s="240">
        <f>-7217.9752+8960</f>
        <v>1742.0248000000001</v>
      </c>
      <c r="AC5" s="240">
        <v>3424.8373580000002</v>
      </c>
      <c r="AD5" s="240">
        <v>2645.7785359999998</v>
      </c>
      <c r="AE5" s="240">
        <v>4711.3139369999999</v>
      </c>
      <c r="AF5" s="240">
        <v>4260.5629849999996</v>
      </c>
      <c r="AG5" s="240">
        <v>3856.7218360000002</v>
      </c>
      <c r="AH5" s="240">
        <v>3160.4205360000001</v>
      </c>
      <c r="AI5" s="240">
        <v>5791.973113</v>
      </c>
      <c r="AJ5" s="240">
        <v>6742.4672769999997</v>
      </c>
      <c r="AK5" s="240">
        <v>3881.0874779999999</v>
      </c>
      <c r="AL5" s="240">
        <v>7458.6827219999996</v>
      </c>
      <c r="AM5" s="240">
        <v>-2747.3947440000002</v>
      </c>
      <c r="AN5" s="240">
        <v>-26211.840208000001</v>
      </c>
      <c r="AO5" s="2149">
        <v>12546.086181000001</v>
      </c>
      <c r="AP5" s="240">
        <v>24400.142</v>
      </c>
      <c r="AQ5" s="240">
        <v>56925.744704999997</v>
      </c>
      <c r="AR5" s="240">
        <v>50993.592603999998</v>
      </c>
      <c r="AS5" s="240">
        <v>50109.718480000003</v>
      </c>
      <c r="AT5" s="240">
        <v>54573.296918</v>
      </c>
      <c r="AU5" s="240">
        <v>65368.601999999999</v>
      </c>
      <c r="AV5" s="240">
        <v>62470.785720999971</v>
      </c>
      <c r="AW5" s="240"/>
      <c r="AX5" s="240"/>
      <c r="AY5" s="240"/>
      <c r="AZ5" s="240"/>
      <c r="BA5" s="191">
        <f>SUMIFS(D5:AN5,$D$1:$AN$1,'#经营概况'!$B$1,'利润（汇总）'!$D$2:$AN$2,'#经营概况'!$B$2)</f>
        <v>0</v>
      </c>
    </row>
    <row r="6" spans="1:53" s="192" customFormat="1">
      <c r="A6" s="192" t="s">
        <v>922</v>
      </c>
      <c r="B6" s="212" t="str">
        <f>'收入（汇总）'!B6</f>
        <v>太钢鑫磊</v>
      </c>
      <c r="C6" s="213">
        <v>121.699659</v>
      </c>
      <c r="D6" s="213">
        <v>470</v>
      </c>
      <c r="E6" s="213">
        <v>49.977409999999999</v>
      </c>
      <c r="F6" s="213">
        <v>211.864272</v>
      </c>
      <c r="G6" s="213">
        <v>104.27806699999999</v>
      </c>
      <c r="H6" s="213">
        <v>131.88155800000001</v>
      </c>
      <c r="I6" s="213">
        <v>41.732192000000197</v>
      </c>
      <c r="J6" s="213">
        <v>243.50687300000001</v>
      </c>
      <c r="K6" s="213">
        <v>94.602101000000005</v>
      </c>
      <c r="L6" s="213">
        <v>14.690566</v>
      </c>
      <c r="M6" s="213">
        <v>-76.382152000000104</v>
      </c>
      <c r="N6" s="213">
        <v>-29.099050000000201</v>
      </c>
      <c r="O6" s="213">
        <v>8.9985310000002396</v>
      </c>
      <c r="P6" s="213">
        <v>40.295552999999998</v>
      </c>
      <c r="Q6" s="241">
        <v>269.63046400000002</v>
      </c>
      <c r="R6" s="241">
        <v>343.97221100000002</v>
      </c>
      <c r="S6" s="241">
        <v>-93.841465000000198</v>
      </c>
      <c r="T6" s="241">
        <v>242.34834599999999</v>
      </c>
      <c r="U6" s="241">
        <v>234.91264699999999</v>
      </c>
      <c r="V6" s="241">
        <v>69.776330999999999</v>
      </c>
      <c r="W6" s="241">
        <v>112.89948200000001</v>
      </c>
      <c r="X6" s="241">
        <v>310.35981800000002</v>
      </c>
      <c r="Y6" s="241">
        <v>249.49858399999999</v>
      </c>
      <c r="Z6" s="241">
        <v>219.74837600000001</v>
      </c>
      <c r="AA6" s="241">
        <v>321.60008599999998</v>
      </c>
      <c r="AB6" s="241">
        <f>215.334589+35</f>
        <v>250.33458899999999</v>
      </c>
      <c r="AC6" s="241">
        <v>179.18482299999999</v>
      </c>
      <c r="AD6" s="241">
        <v>572.32428100000004</v>
      </c>
      <c r="AE6" s="241">
        <v>210.86801199999999</v>
      </c>
      <c r="AF6" s="241">
        <v>140.93642399999999</v>
      </c>
      <c r="AG6" s="241">
        <v>574.971768</v>
      </c>
      <c r="AH6" s="241">
        <v>408.05805700000002</v>
      </c>
      <c r="AI6" s="241">
        <v>188.85313300000001</v>
      </c>
      <c r="AJ6" s="241">
        <v>607.15622299999995</v>
      </c>
      <c r="AK6" s="241">
        <v>-148.86440400000001</v>
      </c>
      <c r="AL6" s="241">
        <v>258.93335200000001</v>
      </c>
      <c r="AM6" s="241">
        <v>528.867751</v>
      </c>
      <c r="AN6" s="241">
        <v>-1915.2481640000001</v>
      </c>
      <c r="AO6" s="2150">
        <v>258.81249500000001</v>
      </c>
      <c r="AP6" s="241">
        <v>440.91714000000002</v>
      </c>
      <c r="AQ6" s="241">
        <v>351.39330699999999</v>
      </c>
      <c r="AR6" s="241">
        <v>421.85190299999999</v>
      </c>
      <c r="AS6" s="241">
        <v>149.32101599999999</v>
      </c>
      <c r="AT6" s="241">
        <v>109.82137400000001</v>
      </c>
      <c r="AU6" s="241">
        <v>-320</v>
      </c>
      <c r="AV6" s="241">
        <v>-345.42</v>
      </c>
      <c r="AW6" s="241"/>
      <c r="AX6" s="241"/>
      <c r="AY6" s="241"/>
      <c r="AZ6" s="241"/>
      <c r="BA6" s="192">
        <f>SUMIFS(D6:AN6,$D$1:$AN$1,'#经营概况'!$B$1,'利润（汇总）'!$D$2:$AN$2,'#经营概况'!$B$2)</f>
        <v>0</v>
      </c>
    </row>
    <row r="7" spans="1:53" s="191" customFormat="1">
      <c r="A7" s="191" t="s">
        <v>923</v>
      </c>
      <c r="B7" s="210" t="str">
        <f>'收入（汇总）'!B7</f>
        <v>太钢不锈</v>
      </c>
      <c r="C7" s="211">
        <v>479500</v>
      </c>
      <c r="D7" s="211">
        <v>48701</v>
      </c>
      <c r="E7" s="211">
        <f>59468-31</f>
        <v>59437</v>
      </c>
      <c r="F7" s="211">
        <v>23398</v>
      </c>
      <c r="G7" s="211">
        <v>50693</v>
      </c>
      <c r="H7" s="211">
        <f>39227+708</f>
        <v>39935</v>
      </c>
      <c r="I7" s="211">
        <v>46176.810322999998</v>
      </c>
      <c r="J7" s="211">
        <f>54681+350</f>
        <v>55031</v>
      </c>
      <c r="K7" s="211">
        <f>43639+952</f>
        <v>44591</v>
      </c>
      <c r="L7" s="211">
        <f>45578+581</f>
        <v>46159</v>
      </c>
      <c r="M7" s="239">
        <v>46191</v>
      </c>
      <c r="N7" s="211">
        <f>41293+891</f>
        <v>42184</v>
      </c>
      <c r="O7" s="211">
        <f>29109+1095</f>
        <v>30204</v>
      </c>
      <c r="P7" s="211">
        <f>3289+103</f>
        <v>3392</v>
      </c>
      <c r="Q7" s="240">
        <f>1254+913-15</f>
        <v>2152</v>
      </c>
      <c r="R7" s="240">
        <f>9280+397</f>
        <v>9677</v>
      </c>
      <c r="S7" s="240">
        <f>30715+1298</f>
        <v>32013</v>
      </c>
      <c r="T7" s="240">
        <f>26630+935</f>
        <v>27565</v>
      </c>
      <c r="U7" s="242">
        <f>30389+1148</f>
        <v>31537</v>
      </c>
      <c r="V7" s="240">
        <f>25948-1029</f>
        <v>24919</v>
      </c>
      <c r="W7" s="240">
        <f>29128+909</f>
        <v>30037</v>
      </c>
      <c r="X7" s="240">
        <f>31105+272</f>
        <v>31377</v>
      </c>
      <c r="Y7" s="240">
        <f>12868+397</f>
        <v>13265</v>
      </c>
      <c r="Z7" s="240">
        <f>11512+97</f>
        <v>11609</v>
      </c>
      <c r="AA7" s="240">
        <f>5315+178</f>
        <v>5493</v>
      </c>
      <c r="AB7" s="240">
        <f>-4099+327</f>
        <v>-3772</v>
      </c>
      <c r="AC7" s="191">
        <f>3555+852</f>
        <v>4407</v>
      </c>
      <c r="AD7" s="240">
        <f>-3407+486</f>
        <v>-2921</v>
      </c>
      <c r="AE7" s="191">
        <f>-5136-747</f>
        <v>-5883</v>
      </c>
      <c r="AF7" s="240">
        <f>-8850+1705</f>
        <v>-7145</v>
      </c>
      <c r="AG7" s="240">
        <f>-574+2198</f>
        <v>1624</v>
      </c>
      <c r="AH7" s="191">
        <f>13707+1951+15187</f>
        <v>30845</v>
      </c>
      <c r="AI7" s="240">
        <f>4032+2434</f>
        <v>6466</v>
      </c>
      <c r="AJ7" s="240">
        <f>21731+2273</f>
        <v>24004</v>
      </c>
      <c r="AK7" s="1645">
        <f>14480+603</f>
        <v>15083</v>
      </c>
      <c r="AL7" s="240">
        <f>29458+652</f>
        <v>30110</v>
      </c>
      <c r="AM7" s="240">
        <f>18457+14</f>
        <v>18471</v>
      </c>
      <c r="AN7" s="240">
        <v>23985</v>
      </c>
      <c r="AO7" s="2151">
        <v>62465</v>
      </c>
      <c r="AP7" s="240">
        <v>83036</v>
      </c>
      <c r="AQ7" s="2242">
        <f>105499-19</f>
        <v>105480</v>
      </c>
      <c r="AR7" s="240">
        <v>118526</v>
      </c>
      <c r="AS7" s="240">
        <v>124337</v>
      </c>
      <c r="AT7" s="240">
        <f>85997-1004</f>
        <v>84993</v>
      </c>
      <c r="AU7" s="240">
        <v>104942</v>
      </c>
      <c r="AV7" s="191">
        <v>87793</v>
      </c>
      <c r="AW7" s="240"/>
      <c r="AX7" s="240"/>
      <c r="AY7" s="240"/>
      <c r="AZ7" s="240"/>
      <c r="BA7" s="191">
        <f>SUMIFS(D7:AN7,$D$1:$AN$1,'#经营概况'!$B$1,'利润（汇总）'!$D$2:$AN$2,'#经营概况'!$B$2)</f>
        <v>0</v>
      </c>
    </row>
    <row r="8" spans="1:53" s="191" customFormat="1">
      <c r="A8" s="191" t="s">
        <v>1258</v>
      </c>
      <c r="B8" s="210" t="s">
        <v>1233</v>
      </c>
      <c r="C8" s="211"/>
      <c r="D8" s="211"/>
      <c r="E8" s="211"/>
      <c r="F8" s="211"/>
      <c r="G8" s="211"/>
      <c r="H8" s="211"/>
      <c r="I8" s="211"/>
      <c r="J8" s="211"/>
      <c r="K8" s="211"/>
      <c r="L8" s="211"/>
      <c r="M8" s="239"/>
      <c r="N8" s="211"/>
      <c r="O8" s="211"/>
      <c r="P8" s="211"/>
      <c r="Q8" s="240"/>
      <c r="R8" s="240"/>
      <c r="S8" s="240"/>
      <c r="T8" s="240"/>
      <c r="U8" s="242"/>
      <c r="V8" s="240"/>
      <c r="W8" s="240"/>
      <c r="X8" s="240"/>
      <c r="Y8" s="240"/>
      <c r="Z8" s="240"/>
      <c r="AA8" s="240"/>
      <c r="AB8" s="240"/>
      <c r="AC8" s="191">
        <v>-4697.6055230000002</v>
      </c>
      <c r="AD8" s="240">
        <v>-4409.7433970000002</v>
      </c>
      <c r="AE8" s="240">
        <v>-8595.719653000011</v>
      </c>
      <c r="AF8" s="240">
        <v>-15868.998259</v>
      </c>
      <c r="AG8" s="240">
        <v>-11704.132868999999</v>
      </c>
      <c r="AH8" s="240">
        <v>-7935.232062000011</v>
      </c>
      <c r="AI8" s="240">
        <v>-3861.4379669999998</v>
      </c>
      <c r="AJ8" s="240">
        <v>-2050.3986749999899</v>
      </c>
      <c r="AK8" s="2242">
        <v>1204.7858650000101</v>
      </c>
      <c r="AL8" s="240">
        <v>1551.2050750000001</v>
      </c>
      <c r="AM8" s="240">
        <v>2579.2019399999899</v>
      </c>
      <c r="AN8" s="240">
        <v>1097.44297799998</v>
      </c>
      <c r="AO8" s="240">
        <v>1485.978609</v>
      </c>
      <c r="AP8" s="240">
        <v>1492.3743449999999</v>
      </c>
      <c r="AQ8" s="240">
        <v>995.02528599999619</v>
      </c>
      <c r="AR8" s="240">
        <v>547.49019899998871</v>
      </c>
      <c r="AS8" s="240">
        <v>468</v>
      </c>
      <c r="AT8" s="240">
        <v>1109</v>
      </c>
      <c r="AU8" s="240">
        <v>-4419.5829999999996</v>
      </c>
      <c r="AV8" s="240">
        <v>1831.02878099999</v>
      </c>
      <c r="AW8" s="240"/>
      <c r="AX8" s="240"/>
      <c r="AY8" s="240"/>
      <c r="AZ8" s="240"/>
    </row>
    <row r="9" spans="1:53" s="191" customFormat="1">
      <c r="A9" s="191" t="s">
        <v>1259</v>
      </c>
      <c r="B9" s="210" t="s">
        <v>1234</v>
      </c>
      <c r="C9" s="211"/>
      <c r="D9" s="211"/>
      <c r="E9" s="211"/>
      <c r="F9" s="211"/>
      <c r="G9" s="211"/>
      <c r="H9" s="211"/>
      <c r="I9" s="211"/>
      <c r="J9" s="211"/>
      <c r="K9" s="211"/>
      <c r="L9" s="211"/>
      <c r="M9" s="239"/>
      <c r="N9" s="211"/>
      <c r="O9" s="211"/>
      <c r="P9" s="211"/>
      <c r="Q9" s="240"/>
      <c r="R9" s="240"/>
      <c r="S9" s="240"/>
      <c r="T9" s="240"/>
      <c r="U9" s="242"/>
      <c r="V9" s="240"/>
      <c r="W9" s="240"/>
      <c r="X9" s="240"/>
      <c r="Y9" s="240"/>
      <c r="Z9" s="240"/>
      <c r="AA9" s="240"/>
      <c r="AB9" s="240"/>
      <c r="AC9" s="240">
        <v>1605.1182229999899</v>
      </c>
      <c r="AD9" s="240">
        <v>1720.16878600001</v>
      </c>
      <c r="AE9" s="2242">
        <v>57.291553999998101</v>
      </c>
      <c r="AF9" s="240">
        <v>-197.78474200000599</v>
      </c>
      <c r="AG9" s="240">
        <v>-1301.5247409999999</v>
      </c>
      <c r="AH9" s="240">
        <v>2168.2573220000099</v>
      </c>
      <c r="AI9" s="240">
        <v>1109.869835</v>
      </c>
      <c r="AJ9" s="240">
        <v>1482.993346</v>
      </c>
      <c r="AK9" s="2242">
        <v>2422.8023149999999</v>
      </c>
      <c r="AL9" s="240">
        <v>2667.60895600001</v>
      </c>
      <c r="AM9" s="240">
        <v>2850.1452670000199</v>
      </c>
      <c r="AN9" s="240">
        <v>1690.713391</v>
      </c>
      <c r="AO9" s="240">
        <v>1332.7243859999999</v>
      </c>
      <c r="AP9" s="240">
        <v>4702.0730469999999</v>
      </c>
      <c r="AQ9" s="240">
        <v>3541.1525700000047</v>
      </c>
      <c r="AR9" s="240">
        <v>5666.581806999995</v>
      </c>
      <c r="AS9" s="240">
        <v>3797</v>
      </c>
      <c r="AT9" s="240">
        <v>3017</v>
      </c>
      <c r="AU9" s="240">
        <v>3526</v>
      </c>
      <c r="AV9" s="240">
        <v>5561.8383140000096</v>
      </c>
      <c r="AW9" s="240"/>
      <c r="AX9" s="240"/>
      <c r="AY9" s="240"/>
      <c r="AZ9" s="240"/>
    </row>
    <row r="10" spans="1:53" s="191" customFormat="1">
      <c r="A10" s="191" t="s">
        <v>924</v>
      </c>
      <c r="B10" s="210" t="str">
        <f>'收入（汇总）'!B8</f>
        <v>太钢万邦</v>
      </c>
      <c r="C10" s="211">
        <v>106.969833000002</v>
      </c>
      <c r="D10" s="211">
        <v>88.209620999999999</v>
      </c>
      <c r="E10" s="211">
        <v>-1018.436861</v>
      </c>
      <c r="F10" s="211">
        <v>-850.78902499999901</v>
      </c>
      <c r="G10" s="211">
        <v>125.104483000001</v>
      </c>
      <c r="H10" s="211">
        <v>-552.39324699999895</v>
      </c>
      <c r="I10" s="211">
        <v>-1579.007143</v>
      </c>
      <c r="J10" s="211">
        <v>-1445.9976489999999</v>
      </c>
      <c r="K10" s="211">
        <v>-1345.216987</v>
      </c>
      <c r="L10" s="211">
        <v>-1392.597162</v>
      </c>
      <c r="M10" s="211">
        <v>-2750.9405729999999</v>
      </c>
      <c r="N10" s="211">
        <v>-2813.2165570000002</v>
      </c>
      <c r="O10" s="211">
        <v>-2188.4434500000002</v>
      </c>
      <c r="P10" s="211">
        <v>-2068.161294</v>
      </c>
      <c r="Q10" s="240">
        <v>-2061.396111</v>
      </c>
      <c r="R10" s="240">
        <v>-1379.0108009999999</v>
      </c>
      <c r="S10" s="240">
        <v>-715.31550400000197</v>
      </c>
      <c r="T10" s="240">
        <v>16.174826999999201</v>
      </c>
      <c r="U10" s="240">
        <v>9.4994879999987791</v>
      </c>
      <c r="V10" s="240">
        <v>-1100.3699329999999</v>
      </c>
      <c r="W10" s="240">
        <v>-2357.9086379999999</v>
      </c>
      <c r="X10" s="240">
        <v>-1936.6200819999999</v>
      </c>
      <c r="Y10" s="240">
        <v>-2026.468519</v>
      </c>
      <c r="Z10" s="240">
        <v>-1281.0926899999999</v>
      </c>
      <c r="AA10" s="240">
        <v>-1262.3761260000001</v>
      </c>
      <c r="AB10" s="240">
        <f>-2521.460072-1260</f>
        <v>-3781.4600719999999</v>
      </c>
      <c r="AC10" s="240">
        <v>-2346.7800889999999</v>
      </c>
      <c r="AD10" s="240">
        <v>-2101.2988580000001</v>
      </c>
      <c r="AE10" s="240">
        <v>-2690.1583959999998</v>
      </c>
      <c r="AF10" s="240">
        <v>-1188.735353</v>
      </c>
      <c r="AG10" s="240">
        <v>-1442.7569229999999</v>
      </c>
      <c r="AH10" s="240">
        <v>146.722205</v>
      </c>
      <c r="AI10" s="240">
        <v>-1013.8467460000001</v>
      </c>
      <c r="AJ10" s="240">
        <v>-1454.1571489999999</v>
      </c>
      <c r="AK10" s="240">
        <v>-956.87146700000005</v>
      </c>
      <c r="AL10" s="240">
        <v>-1620.2605779999999</v>
      </c>
      <c r="AM10" s="240">
        <v>-1631.0518199999999</v>
      </c>
      <c r="AN10" s="240">
        <v>-4093.8810279999998</v>
      </c>
      <c r="AO10" s="2149">
        <v>-1238.68</v>
      </c>
      <c r="AP10" s="240">
        <v>1176.962518</v>
      </c>
      <c r="AQ10" s="240">
        <v>3262.9440300000001</v>
      </c>
      <c r="AR10" s="240">
        <v>4430.3485860000001</v>
      </c>
      <c r="AS10" s="240">
        <v>3107.0309120000002</v>
      </c>
      <c r="AT10" s="240">
        <v>1954.463626</v>
      </c>
      <c r="AU10" s="240">
        <v>1515.6657270000001</v>
      </c>
      <c r="AV10" s="240">
        <v>4432.1400000000003</v>
      </c>
      <c r="AW10" s="240"/>
      <c r="AX10" s="240"/>
      <c r="AY10" s="240"/>
      <c r="AZ10" s="240"/>
      <c r="BA10" s="191">
        <f>SUMIFS(D10:AN10,$D$1:$AN$1,'#经营概况'!$B$1,'利润（汇总）'!$D$2:$AN$2,'#经营概况'!$B$2)</f>
        <v>0</v>
      </c>
    </row>
    <row r="11" spans="1:53" s="191" customFormat="1">
      <c r="A11" s="191" t="s">
        <v>925</v>
      </c>
      <c r="B11" s="210" t="str">
        <f>'收入（汇总）'!B12</f>
        <v>钢科碳材料</v>
      </c>
      <c r="C11" s="211">
        <v>714.06196499999999</v>
      </c>
      <c r="D11" s="211">
        <v>282.82191899999998</v>
      </c>
      <c r="E11" s="211">
        <v>-237.94448399999999</v>
      </c>
      <c r="F11" s="211">
        <v>-212.944952</v>
      </c>
      <c r="G11" s="211">
        <v>-274.871554</v>
      </c>
      <c r="H11" s="211">
        <v>-268.33311900000001</v>
      </c>
      <c r="I11" s="211">
        <v>-163.59713400000001</v>
      </c>
      <c r="J11" s="211">
        <v>-276.596789</v>
      </c>
      <c r="K11" s="211">
        <v>-364.95674600000001</v>
      </c>
      <c r="L11" s="211">
        <v>-226.93533300000001</v>
      </c>
      <c r="M11" s="211">
        <v>-296.03076900000002</v>
      </c>
      <c r="N11" s="211">
        <v>-424.64284800000001</v>
      </c>
      <c r="O11" s="211">
        <v>-535.03113399999995</v>
      </c>
      <c r="P11" s="211">
        <v>1153.2739369999999</v>
      </c>
      <c r="Q11" s="240">
        <v>-430.80075900000003</v>
      </c>
      <c r="R11" s="240">
        <v>341.315271</v>
      </c>
      <c r="S11" s="240">
        <v>-497.18856599999998</v>
      </c>
      <c r="T11" s="240">
        <v>514.02092200000004</v>
      </c>
      <c r="U11" s="240">
        <v>467.83778999999998</v>
      </c>
      <c r="V11" s="240">
        <v>448.20608299999998</v>
      </c>
      <c r="W11" s="240">
        <v>-79.948258999999993</v>
      </c>
      <c r="X11" s="240">
        <v>69.013232000000002</v>
      </c>
      <c r="Y11" s="240">
        <v>-262.97395599999999</v>
      </c>
      <c r="Z11" s="240">
        <v>-295.02279800000002</v>
      </c>
      <c r="AA11" s="240">
        <v>517.90995699999996</v>
      </c>
      <c r="AB11" s="240">
        <v>-620.55635600000005</v>
      </c>
      <c r="AC11" s="240">
        <v>-449.27105999999998</v>
      </c>
      <c r="AD11" s="240">
        <v>419.58144600000003</v>
      </c>
      <c r="AE11" s="240">
        <v>-418.779358</v>
      </c>
      <c r="AF11" s="240">
        <v>-394.57532500000002</v>
      </c>
      <c r="AG11" s="240">
        <v>-305.05782900000003</v>
      </c>
      <c r="AH11" s="240">
        <v>1299.1330539999999</v>
      </c>
      <c r="AI11" s="240">
        <v>-24.681778000000001</v>
      </c>
      <c r="AJ11" s="240">
        <v>-80.547166000000004</v>
      </c>
      <c r="AK11" s="240">
        <v>-403.97355599999997</v>
      </c>
      <c r="AL11" s="240">
        <v>1032.484741</v>
      </c>
      <c r="AM11" s="240">
        <v>415.997727</v>
      </c>
      <c r="AN11" s="240">
        <v>-754.02079300000003</v>
      </c>
      <c r="AO11" s="2149">
        <v>-409.20861000000002</v>
      </c>
      <c r="AP11" s="240">
        <v>-548.92084199999999</v>
      </c>
      <c r="AQ11" s="240">
        <v>1352.0602530000001</v>
      </c>
      <c r="AR11" s="240">
        <v>-71.360415000000003</v>
      </c>
      <c r="AS11" s="240">
        <v>544.83111499999995</v>
      </c>
      <c r="AT11" s="240">
        <v>1120.7305839999999</v>
      </c>
      <c r="AU11" s="240">
        <v>1096</v>
      </c>
      <c r="AV11" s="240">
        <v>677.5</v>
      </c>
      <c r="AW11" s="240"/>
      <c r="AX11" s="240"/>
      <c r="AY11" s="240"/>
      <c r="AZ11" s="240"/>
      <c r="BA11" s="191">
        <f>SUMIFS(D11:AN11,$D$1:$AN$1,'#经营概况'!$B$1,'利润（汇总）'!$D$2:$AN$2,'#经营概况'!$B$2)</f>
        <v>0</v>
      </c>
    </row>
    <row r="12" spans="1:53" s="191" customFormat="1">
      <c r="A12" s="191" t="s">
        <v>926</v>
      </c>
      <c r="B12" s="210" t="str">
        <f>'收入（汇总）'!B13</f>
        <v>BOC气体公司</v>
      </c>
      <c r="C12" s="211">
        <v>22366.603099</v>
      </c>
      <c r="D12" s="211">
        <v>2386.4482109999999</v>
      </c>
      <c r="E12" s="211">
        <v>2430.4481689999998</v>
      </c>
      <c r="F12" s="211">
        <v>2170.0592040000001</v>
      </c>
      <c r="G12" s="211">
        <v>2284.645794</v>
      </c>
      <c r="H12" s="211">
        <v>1958.51496</v>
      </c>
      <c r="I12" s="211">
        <v>2107.1034439999999</v>
      </c>
      <c r="J12" s="211">
        <v>2193.0814180000002</v>
      </c>
      <c r="K12" s="211">
        <v>2417.7906819999998</v>
      </c>
      <c r="L12" s="211">
        <v>2261.0113369999999</v>
      </c>
      <c r="M12" s="211">
        <v>2419.6842700000002</v>
      </c>
      <c r="N12" s="211">
        <v>2339.1085170000001</v>
      </c>
      <c r="O12" s="211">
        <v>2350.890883</v>
      </c>
      <c r="P12" s="211">
        <v>2634.562563</v>
      </c>
      <c r="Q12" s="240">
        <v>2371.574314</v>
      </c>
      <c r="R12" s="240">
        <v>2282.5655750000001</v>
      </c>
      <c r="S12" s="240">
        <v>2413.227414</v>
      </c>
      <c r="T12" s="240">
        <v>2419.2029189999998</v>
      </c>
      <c r="U12" s="240">
        <v>2937.2437719999998</v>
      </c>
      <c r="V12" s="240">
        <v>2563.03568</v>
      </c>
      <c r="W12" s="240">
        <v>2676.6084129999999</v>
      </c>
      <c r="X12" s="240">
        <v>2562.9757410000002</v>
      </c>
      <c r="Y12" s="240">
        <v>2576.59429</v>
      </c>
      <c r="Z12" s="240">
        <v>2028.4824229999999</v>
      </c>
      <c r="AA12" s="240">
        <v>2586.0633910000001</v>
      </c>
      <c r="AB12" s="240">
        <v>1985.0934970000001</v>
      </c>
      <c r="AC12" s="240">
        <v>2627.0529350000002</v>
      </c>
      <c r="AD12" s="240">
        <v>2526.3494390000001</v>
      </c>
      <c r="AE12" s="240">
        <v>2815.3370519999999</v>
      </c>
      <c r="AF12" s="240">
        <v>2744.8653290000002</v>
      </c>
      <c r="AG12" s="240">
        <v>2468.09015</v>
      </c>
      <c r="AH12" s="240">
        <v>2117.7248060000002</v>
      </c>
      <c r="AI12" s="240">
        <v>1775.976678</v>
      </c>
      <c r="AJ12" s="240">
        <v>2346.5675689999998</v>
      </c>
      <c r="AK12" s="240">
        <v>1720.176334</v>
      </c>
      <c r="AL12" s="240">
        <v>2591.159678</v>
      </c>
      <c r="AM12" s="240">
        <v>2667.9805099999999</v>
      </c>
      <c r="AN12" s="240">
        <v>3431.5832380000002</v>
      </c>
      <c r="AO12" s="2149">
        <v>2906.5506099999998</v>
      </c>
      <c r="AP12" s="240">
        <v>2764.8229470000001</v>
      </c>
      <c r="AQ12" s="240">
        <v>2882.5464299999999</v>
      </c>
      <c r="AR12" s="240">
        <v>2771</v>
      </c>
      <c r="AS12" s="240">
        <v>3055.9939420000001</v>
      </c>
      <c r="AT12" s="240">
        <v>3212.134881</v>
      </c>
      <c r="AU12" s="240">
        <v>2755.5444600000001</v>
      </c>
      <c r="AV12" s="240">
        <v>3425.2</v>
      </c>
      <c r="AW12" s="240"/>
      <c r="AX12" s="240"/>
      <c r="AY12" s="240"/>
      <c r="AZ12" s="240"/>
      <c r="BA12" s="191">
        <f>SUMIFS(D12:AN12,$D$1:$AN$1,'#经营概况'!$B$1,'利润（汇总）'!$D$2:$AN$2,'#经营概况'!$B$2)</f>
        <v>0</v>
      </c>
    </row>
    <row r="13" spans="1:53" s="191" customFormat="1">
      <c r="A13" s="191" t="s">
        <v>927</v>
      </c>
      <c r="B13" s="210" t="str">
        <f>'收入（汇总）'!B14</f>
        <v>耐材公司</v>
      </c>
      <c r="C13" s="211">
        <v>2867.5937479999998</v>
      </c>
      <c r="D13" s="211">
        <v>2965</v>
      </c>
      <c r="E13" s="211">
        <v>354.267135</v>
      </c>
      <c r="F13" s="211">
        <v>156.496521</v>
      </c>
      <c r="G13" s="211">
        <v>283.29150900000002</v>
      </c>
      <c r="H13" s="211">
        <v>556.01606500000105</v>
      </c>
      <c r="I13" s="211">
        <v>290.34016700000001</v>
      </c>
      <c r="J13" s="211">
        <v>158.972241</v>
      </c>
      <c r="K13" s="211">
        <v>97.429535999999899</v>
      </c>
      <c r="L13" s="211">
        <v>173.06994299999999</v>
      </c>
      <c r="M13" s="211">
        <v>-67.959814999999793</v>
      </c>
      <c r="N13" s="211">
        <v>-313.42267700000002</v>
      </c>
      <c r="O13" s="211">
        <v>-60.271725000000004</v>
      </c>
      <c r="P13" s="211">
        <v>-11.758471999999999</v>
      </c>
      <c r="Q13" s="240">
        <v>143.023584</v>
      </c>
      <c r="R13" s="240">
        <v>2.2658120000000599</v>
      </c>
      <c r="S13" s="240">
        <v>402.32</v>
      </c>
      <c r="T13" s="240">
        <v>58.369065000000099</v>
      </c>
      <c r="U13" s="240">
        <v>42.917489000000003</v>
      </c>
      <c r="V13" s="240">
        <v>41.865092000000402</v>
      </c>
      <c r="W13" s="240">
        <v>-87.019946999999803</v>
      </c>
      <c r="X13" s="240">
        <v>-552.40710899999999</v>
      </c>
      <c r="Y13" s="240">
        <v>-16.433039999999799</v>
      </c>
      <c r="Z13" s="240">
        <v>-121.799842</v>
      </c>
      <c r="AA13" s="240">
        <v>-19.638441</v>
      </c>
      <c r="AB13" s="240">
        <v>-1154.7068240000001</v>
      </c>
      <c r="AC13" s="240">
        <v>-322.66976099999999</v>
      </c>
      <c r="AD13" s="240">
        <v>-848.23684900000001</v>
      </c>
      <c r="AE13" s="240">
        <v>-538.53549099999998</v>
      </c>
      <c r="AF13" s="240">
        <v>-629</v>
      </c>
      <c r="AG13" s="240">
        <v>-383.79996499999999</v>
      </c>
      <c r="AH13" s="240">
        <v>-367.14619599999997</v>
      </c>
      <c r="AI13" s="240">
        <v>-543.35842100000002</v>
      </c>
      <c r="AJ13" s="240">
        <v>-518.39449300000001</v>
      </c>
      <c r="AK13" s="240">
        <v>-323.47433599999999</v>
      </c>
      <c r="AL13" s="240">
        <v>-401.83431100000001</v>
      </c>
      <c r="AM13" s="240">
        <v>-364.72008699999998</v>
      </c>
      <c r="AN13" s="240">
        <v>-419.74489</v>
      </c>
      <c r="AO13" s="2149">
        <v>-119.55524</v>
      </c>
      <c r="AP13" s="240">
        <v>-636.91688499999998</v>
      </c>
      <c r="AQ13" s="240">
        <v>-319.147066</v>
      </c>
      <c r="AR13" s="240">
        <v>-307.72521999999998</v>
      </c>
      <c r="AS13" s="240">
        <v>-300.82155999999998</v>
      </c>
      <c r="AT13" s="240">
        <v>-69.643562000000003</v>
      </c>
      <c r="AU13" s="240">
        <v>-276</v>
      </c>
      <c r="AV13" s="1645">
        <v>-201</v>
      </c>
      <c r="AW13" s="240"/>
      <c r="AX13" s="240"/>
      <c r="AY13" s="240"/>
      <c r="AZ13" s="240"/>
      <c r="BA13" s="191">
        <f>SUMIFS(D13:AN13,$D$1:$AN$1,'#经营概况'!$B$1,'利润（汇总）'!$D$2:$AN$2,'#经营概况'!$B$2)</f>
        <v>0</v>
      </c>
    </row>
    <row r="14" spans="1:53" s="191" customFormat="1">
      <c r="A14" s="191" t="s">
        <v>928</v>
      </c>
      <c r="B14" s="210" t="str">
        <f>'收入（汇总）'!B15</f>
        <v>电气公司</v>
      </c>
      <c r="C14" s="211">
        <v>487.99916899999999</v>
      </c>
      <c r="D14" s="211">
        <v>149.85135199999999</v>
      </c>
      <c r="E14" s="211">
        <v>-8.2350490000000196</v>
      </c>
      <c r="F14" s="211">
        <v>5.9900010000000004</v>
      </c>
      <c r="G14" s="211">
        <v>-22.711174</v>
      </c>
      <c r="H14" s="211">
        <v>-21.868347</v>
      </c>
      <c r="I14" s="211">
        <v>-56.682965000000003</v>
      </c>
      <c r="J14" s="211">
        <v>143.393688</v>
      </c>
      <c r="K14" s="211">
        <v>-9.1881699999999995</v>
      </c>
      <c r="L14" s="211">
        <v>-37.461734</v>
      </c>
      <c r="M14" s="211">
        <v>-51.851667999999997</v>
      </c>
      <c r="N14" s="211">
        <v>61.664648</v>
      </c>
      <c r="O14" s="211">
        <v>75.318580999999995</v>
      </c>
      <c r="P14" s="211">
        <v>-170.12596500000001</v>
      </c>
      <c r="Q14" s="240">
        <v>118.601632</v>
      </c>
      <c r="R14" s="240">
        <v>-15.218527</v>
      </c>
      <c r="S14" s="240">
        <v>-0.250027</v>
      </c>
      <c r="T14" s="240">
        <v>-13.972390000000001</v>
      </c>
      <c r="U14" s="240">
        <v>34.776440000000001</v>
      </c>
      <c r="V14" s="240">
        <v>39.074700999999997</v>
      </c>
      <c r="W14" s="240">
        <v>49.339773999999998</v>
      </c>
      <c r="X14" s="240">
        <v>-49.124130999999998</v>
      </c>
      <c r="Y14" s="240">
        <v>26.439488000000001</v>
      </c>
      <c r="Z14" s="240">
        <v>73.144159000000002</v>
      </c>
      <c r="AA14" s="240">
        <v>7.5203170000000004</v>
      </c>
      <c r="AB14" s="240">
        <f>-68.429488-82</f>
        <v>-150.42948799999999</v>
      </c>
      <c r="AC14" s="240">
        <v>-111.484337</v>
      </c>
      <c r="AD14" s="240">
        <v>-43.203899999999997</v>
      </c>
      <c r="AE14" s="240">
        <v>13.588082999999999</v>
      </c>
      <c r="AF14" s="240">
        <v>17.928792999999999</v>
      </c>
      <c r="AG14" s="240">
        <v>-37.908216000000003</v>
      </c>
      <c r="AH14" s="240">
        <v>15.250419000000001</v>
      </c>
      <c r="AI14" s="240">
        <v>-130.38083399999999</v>
      </c>
      <c r="AJ14" s="240">
        <v>32.776932000000002</v>
      </c>
      <c r="AK14" s="240">
        <v>13.493278</v>
      </c>
      <c r="AL14" s="240">
        <v>139.192283</v>
      </c>
      <c r="AM14" s="240">
        <v>33.377716999999997</v>
      </c>
      <c r="AN14" s="240">
        <v>277.05381699999998</v>
      </c>
      <c r="AO14" s="2149">
        <v>-112.691833</v>
      </c>
      <c r="AP14" s="240">
        <v>-182.09091699999999</v>
      </c>
      <c r="AQ14" s="240">
        <v>204.75301200000001</v>
      </c>
      <c r="AR14" s="240">
        <v>77.980378000000002</v>
      </c>
      <c r="AS14" s="240">
        <v>111.122153</v>
      </c>
      <c r="AT14" s="240">
        <v>292.25281999999999</v>
      </c>
      <c r="AU14" s="240">
        <v>-210.11</v>
      </c>
      <c r="AV14" s="240">
        <v>186.59</v>
      </c>
      <c r="AW14" s="240"/>
      <c r="AX14" s="240"/>
      <c r="AY14" s="240"/>
      <c r="AZ14" s="240"/>
      <c r="BA14" s="191">
        <f>SUMIFS(D14:AN14,$D$1:$AN$1,'#经营概况'!$B$1,'利润（汇总）'!$D$2:$AN$2,'#经营概况'!$B$2)</f>
        <v>0</v>
      </c>
    </row>
    <row r="15" spans="1:53" s="191" customFormat="1">
      <c r="A15" s="191" t="s">
        <v>929</v>
      </c>
      <c r="B15" s="210" t="str">
        <f>'收入（汇总）'!B16</f>
        <v>综合利用公司</v>
      </c>
      <c r="C15" s="211">
        <v>-304.26870600000001</v>
      </c>
      <c r="D15" s="211">
        <v>-202.80897400000001</v>
      </c>
      <c r="E15" s="211">
        <v>-389.298316</v>
      </c>
      <c r="F15" s="211">
        <v>-378.48973799999999</v>
      </c>
      <c r="G15" s="211">
        <v>50.939971999999898</v>
      </c>
      <c r="H15" s="211">
        <v>257.057455</v>
      </c>
      <c r="I15" s="211">
        <v>261.72734700000001</v>
      </c>
      <c r="J15" s="211">
        <v>303.02316200000001</v>
      </c>
      <c r="K15" s="211">
        <v>248.68548699999999</v>
      </c>
      <c r="L15" s="211">
        <v>223.496002</v>
      </c>
      <c r="M15" s="211">
        <v>235.906746</v>
      </c>
      <c r="N15" s="211">
        <v>218.77722700000001</v>
      </c>
      <c r="O15" s="211">
        <v>205.65750199999999</v>
      </c>
      <c r="P15" s="211">
        <v>-277.62572699999998</v>
      </c>
      <c r="Q15" s="240">
        <v>-197.28154699999999</v>
      </c>
      <c r="R15" s="240">
        <v>-232.50858400000001</v>
      </c>
      <c r="S15" s="240">
        <v>271.73955100000001</v>
      </c>
      <c r="T15" s="240">
        <v>208.09088600000001</v>
      </c>
      <c r="U15" s="240">
        <v>307.935067</v>
      </c>
      <c r="V15" s="240">
        <v>227.652582</v>
      </c>
      <c r="W15" s="240">
        <v>208.81714700000001</v>
      </c>
      <c r="X15" s="240">
        <v>163.17702499999999</v>
      </c>
      <c r="Y15" s="240">
        <v>198.75420800000001</v>
      </c>
      <c r="Z15" s="240">
        <v>142.136943</v>
      </c>
      <c r="AA15" s="240">
        <v>189.61816300000001</v>
      </c>
      <c r="AB15" s="240">
        <v>-154.16143099999999</v>
      </c>
      <c r="AC15" s="240">
        <v>-265.46408200000002</v>
      </c>
      <c r="AD15" s="240">
        <v>-141.496049</v>
      </c>
      <c r="AE15" s="240">
        <v>-250.286295</v>
      </c>
      <c r="AF15" s="240">
        <v>242.671448</v>
      </c>
      <c r="AG15" s="240">
        <v>386.76842499999998</v>
      </c>
      <c r="AH15" s="240">
        <v>650.96035700000004</v>
      </c>
      <c r="AI15" s="240">
        <v>247.233439</v>
      </c>
      <c r="AJ15" s="240">
        <v>211.451887</v>
      </c>
      <c r="AK15" s="240">
        <v>220.56639300000001</v>
      </c>
      <c r="AL15" s="240">
        <v>146.895295</v>
      </c>
      <c r="AM15" s="240">
        <v>146.26645400000001</v>
      </c>
      <c r="AN15" s="240">
        <v>-469.80387200000001</v>
      </c>
      <c r="AO15" s="2149">
        <v>-148.860467</v>
      </c>
      <c r="AP15" s="240">
        <v>-233.03101599999999</v>
      </c>
      <c r="AQ15" s="240">
        <v>384.49211500000001</v>
      </c>
      <c r="AR15" s="240">
        <v>-297.43743899999998</v>
      </c>
      <c r="AS15" s="240">
        <v>69.141966999999994</v>
      </c>
      <c r="AT15" s="240">
        <v>812.08310100000006</v>
      </c>
      <c r="AU15" s="240">
        <v>-185.81</v>
      </c>
      <c r="AV15" s="240">
        <v>-201.42</v>
      </c>
      <c r="AW15" s="240"/>
      <c r="AX15" s="240"/>
      <c r="AY15" s="240"/>
      <c r="AZ15" s="240"/>
      <c r="BA15" s="191">
        <f>SUMIFS(D15:AN15,$D$1:$AN$1,'#经营概况'!$B$1,'利润（汇总）'!$D$2:$AN$2,'#经营概况'!$B$2)</f>
        <v>0</v>
      </c>
    </row>
    <row r="16" spans="1:53" s="191" customFormat="1">
      <c r="A16" s="191" t="s">
        <v>930</v>
      </c>
      <c r="B16" s="210" t="str">
        <f>'收入（汇总）'!B17</f>
        <v>修建公司</v>
      </c>
      <c r="C16" s="211">
        <v>-4780.242107</v>
      </c>
      <c r="D16" s="211">
        <v>-300.89188899999999</v>
      </c>
      <c r="E16" s="211">
        <v>-379.90878500000002</v>
      </c>
      <c r="F16" s="211">
        <v>-367.24819000000002</v>
      </c>
      <c r="G16" s="211">
        <v>-372.46698300000003</v>
      </c>
      <c r="H16" s="211">
        <v>-352.80280299999998</v>
      </c>
      <c r="I16" s="211">
        <v>-379.370025</v>
      </c>
      <c r="J16" s="211">
        <v>-370.90273200000001</v>
      </c>
      <c r="K16" s="211">
        <v>-381.17290400000002</v>
      </c>
      <c r="L16" s="211">
        <v>-364.13424700000002</v>
      </c>
      <c r="M16" s="211">
        <v>-356.93759399999999</v>
      </c>
      <c r="N16" s="211">
        <v>-524.53902100000005</v>
      </c>
      <c r="O16" s="211">
        <v>-303.53031700000003</v>
      </c>
      <c r="P16" s="211">
        <v>-400.83229</v>
      </c>
      <c r="Q16" s="240">
        <v>-286.54105499999997</v>
      </c>
      <c r="R16" s="240">
        <v>-195.56720799999999</v>
      </c>
      <c r="S16" s="240">
        <v>-226.05707000000001</v>
      </c>
      <c r="T16" s="240">
        <v>-236.470606</v>
      </c>
      <c r="U16" s="240">
        <v>-228.45467199999999</v>
      </c>
      <c r="V16" s="240">
        <v>-211.85155</v>
      </c>
      <c r="W16" s="240">
        <v>-237.96007599999999</v>
      </c>
      <c r="X16" s="240">
        <v>-203.448319</v>
      </c>
      <c r="Y16" s="240">
        <v>-232.86005900000001</v>
      </c>
      <c r="Z16" s="240">
        <v>-282.42607700000002</v>
      </c>
      <c r="AA16" s="240">
        <v>-236.00520499999999</v>
      </c>
      <c r="AB16" s="240">
        <v>-268.30397199999999</v>
      </c>
      <c r="AC16" s="240">
        <v>-248.66205500000001</v>
      </c>
      <c r="AD16" s="240">
        <v>-84.564808999999997</v>
      </c>
      <c r="AE16" s="240">
        <v>-44.905551000000003</v>
      </c>
      <c r="AF16" s="240">
        <v>-38.425776999999997</v>
      </c>
      <c r="AG16" s="240">
        <v>-34.706012999999999</v>
      </c>
      <c r="AH16" s="240">
        <v>-10.648019</v>
      </c>
      <c r="AI16" s="240">
        <v>1.8426210000000001</v>
      </c>
      <c r="AJ16" s="240">
        <v>8.1367759999999993</v>
      </c>
      <c r="AK16" s="240">
        <v>11.686394999999999</v>
      </c>
      <c r="AL16" s="240">
        <v>9.4617020000000007</v>
      </c>
      <c r="AM16" s="240">
        <v>25.581301</v>
      </c>
      <c r="AN16" s="240">
        <v>-363.12925799999999</v>
      </c>
      <c r="AO16" s="2149">
        <v>8.4435780000000005</v>
      </c>
      <c r="AP16" s="240">
        <v>7.3287719999999998</v>
      </c>
      <c r="AQ16" s="240">
        <v>10.983580999999999</v>
      </c>
      <c r="AR16" s="240">
        <v>8.9534199999999995</v>
      </c>
      <c r="AS16" s="240">
        <v>10.457039999999999</v>
      </c>
      <c r="AT16" s="240">
        <v>214.497873</v>
      </c>
      <c r="AU16" s="240">
        <v>14</v>
      </c>
      <c r="AV16" s="240">
        <v>13</v>
      </c>
      <c r="AW16" s="240"/>
      <c r="AX16" s="240"/>
      <c r="AY16" s="240"/>
      <c r="AZ16" s="240"/>
      <c r="BA16" s="191">
        <f>SUMIFS(D16:AN16,$D$1:$AN$1,'#经营概况'!$B$1,'利润（汇总）'!$D$2:$AN$2,'#经营概况'!$B$2)</f>
        <v>0</v>
      </c>
    </row>
    <row r="17" spans="1:53" s="191" customFormat="1">
      <c r="A17" s="191" t="s">
        <v>931</v>
      </c>
      <c r="B17" s="210" t="str">
        <f>'收入（汇总）'!B18</f>
        <v>国贸公司</v>
      </c>
      <c r="C17" s="211">
        <v>8446.3758165166091</v>
      </c>
      <c r="D17" s="211">
        <v>-35.030833000000001</v>
      </c>
      <c r="E17" s="211">
        <v>826.44810600000096</v>
      </c>
      <c r="F17" s="211">
        <v>25.998131000000299</v>
      </c>
      <c r="G17" s="211">
        <v>322.24562700000001</v>
      </c>
      <c r="H17" s="211">
        <v>83.370489999999094</v>
      </c>
      <c r="I17" s="211">
        <v>-717.76217199999905</v>
      </c>
      <c r="J17" s="211">
        <v>-973.12991899999997</v>
      </c>
      <c r="K17" s="211">
        <v>-1097.742853</v>
      </c>
      <c r="L17" s="211">
        <v>670.84709999999598</v>
      </c>
      <c r="M17" s="211">
        <v>61.541388000001803</v>
      </c>
      <c r="N17" s="211">
        <v>-367.82208800000302</v>
      </c>
      <c r="O17" s="211">
        <v>909.98677599999996</v>
      </c>
      <c r="P17" s="211">
        <v>2486.3465800000099</v>
      </c>
      <c r="Q17" s="240">
        <f>3364.87102100001-376-163</f>
        <v>2825.8710210000099</v>
      </c>
      <c r="R17" s="240">
        <f>1076.984784-1205+376</f>
        <v>247.98478399999999</v>
      </c>
      <c r="S17" s="240">
        <f>535.280431000004-666</f>
        <v>-130.719568999996</v>
      </c>
      <c r="T17" s="240">
        <v>1425.35716200001</v>
      </c>
      <c r="U17" s="240">
        <v>-474.430681999998</v>
      </c>
      <c r="V17" s="240">
        <v>1838.5000970000101</v>
      </c>
      <c r="W17" s="240">
        <v>148.37521999999601</v>
      </c>
      <c r="X17" s="240">
        <v>-1385.55264300001</v>
      </c>
      <c r="Y17" s="240">
        <v>982.76950699999804</v>
      </c>
      <c r="Z17" s="240">
        <v>1843.069082</v>
      </c>
      <c r="AA17" s="240">
        <v>1766.462491</v>
      </c>
      <c r="AB17" s="240">
        <v>767.92335000000003</v>
      </c>
      <c r="AC17" s="240">
        <v>1285.019209</v>
      </c>
      <c r="AD17" s="240">
        <v>-487.94154099999997</v>
      </c>
      <c r="AE17" s="240">
        <v>1199.0477880000001</v>
      </c>
      <c r="AF17" s="240">
        <v>2234.651437</v>
      </c>
      <c r="AG17" s="240">
        <v>609.79027199999996</v>
      </c>
      <c r="AH17" s="250">
        <v>3034.789538</v>
      </c>
      <c r="AI17" s="240">
        <v>2072.351893</v>
      </c>
      <c r="AJ17" s="240">
        <v>1061.027139</v>
      </c>
      <c r="AK17" s="240">
        <v>-730.41702599999996</v>
      </c>
      <c r="AL17" s="240">
        <v>-549.77675999999997</v>
      </c>
      <c r="AM17" s="240">
        <v>1643.0580239999999</v>
      </c>
      <c r="AN17" s="240">
        <v>315.39743700000002</v>
      </c>
      <c r="AO17" s="2149">
        <v>2437.4471910000002</v>
      </c>
      <c r="AP17" s="240">
        <v>708.34805700000004</v>
      </c>
      <c r="AQ17" s="240">
        <v>-575.56233599999996</v>
      </c>
      <c r="AR17" s="240">
        <v>1479.5985450000001</v>
      </c>
      <c r="AS17" s="240">
        <v>2478.5594529999998</v>
      </c>
      <c r="AT17" s="240">
        <v>-2275.893309</v>
      </c>
      <c r="AU17" s="240">
        <v>1635</v>
      </c>
      <c r="AV17" s="240">
        <v>1012</v>
      </c>
      <c r="AW17" s="240"/>
      <c r="AX17" s="240"/>
      <c r="AY17" s="240"/>
      <c r="AZ17" s="240"/>
      <c r="BA17" s="191">
        <f>SUMIFS(D17:AN17,$D$1:$AN$1,'#经营概况'!$B$1,'利润（汇总）'!$D$2:$AN$2,'#经营概况'!$B$2)</f>
        <v>0</v>
      </c>
    </row>
    <row r="18" spans="1:53" s="193" customFormat="1">
      <c r="A18" s="193" t="s">
        <v>932</v>
      </c>
      <c r="B18" s="214" t="str">
        <f>'收入（汇总）'!B19</f>
        <v>香港公司</v>
      </c>
      <c r="C18" s="215">
        <v>7480.9648181619896</v>
      </c>
      <c r="D18" s="215">
        <v>2694.7562873295201</v>
      </c>
      <c r="E18" s="215">
        <f>2592.74349429165-E19-E20</f>
        <v>1911.9734942916505</v>
      </c>
      <c r="F18" s="215">
        <f>2064.52141579218-F19-F20</f>
        <v>729.85802379218012</v>
      </c>
      <c r="G18" s="215">
        <v>626.86399967802697</v>
      </c>
      <c r="H18" s="215">
        <v>1391.44527878348</v>
      </c>
      <c r="I18" s="215">
        <v>1517.17915481511</v>
      </c>
      <c r="J18" s="215">
        <v>920.42</v>
      </c>
      <c r="K18" s="215">
        <v>377.92758588235603</v>
      </c>
      <c r="L18" s="215">
        <v>645.06512100803604</v>
      </c>
      <c r="M18" s="215">
        <v>332.49207085065001</v>
      </c>
      <c r="N18" s="215">
        <v>-540.274648459942</v>
      </c>
      <c r="O18" s="215">
        <v>10.6818588350109</v>
      </c>
      <c r="P18" s="215">
        <v>9989</v>
      </c>
      <c r="Q18" s="243">
        <f>'#需填写'!C44/10000</f>
        <v>360.27179890975498</v>
      </c>
      <c r="R18" s="243">
        <f>'#需填写'!D44/10000</f>
        <v>85.5508440727112</v>
      </c>
      <c r="S18" s="243">
        <f>'#需填写'!E44/10000</f>
        <v>771.28853576161896</v>
      </c>
      <c r="T18" s="243">
        <f>'#需填写'!F44/10000</f>
        <v>382.37306999484599</v>
      </c>
      <c r="U18" s="243">
        <f>'#需填写'!G44/10000</f>
        <v>788.89949029653394</v>
      </c>
      <c r="V18" s="243">
        <f>'#需填写'!H44/10000</f>
        <v>1327.5342989051401</v>
      </c>
      <c r="W18" s="243">
        <f>'#需填写'!I44/10000</f>
        <v>506.85852555643601</v>
      </c>
      <c r="X18" s="243">
        <f>'#需填写'!J44/10000</f>
        <v>104.14904844675699</v>
      </c>
      <c r="Y18" s="243">
        <f>'#需填写'!K44/10000</f>
        <v>1228.92706323059</v>
      </c>
      <c r="Z18" s="243">
        <f>'#需填写'!L44/10000</f>
        <v>1680.39513898273</v>
      </c>
      <c r="AA18" s="243">
        <f>'#需填写'!M44/10000</f>
        <v>1941.3416793275501</v>
      </c>
      <c r="AB18" s="243">
        <f>'#需填写'!N44/10000</f>
        <v>12447.457016906599</v>
      </c>
      <c r="AC18" s="243">
        <f>'#需填写'!O44/10000</f>
        <v>453.61692129526602</v>
      </c>
      <c r="AD18" s="243">
        <f>'#需填写'!P44/10000</f>
        <v>276.06144902967299</v>
      </c>
      <c r="AE18" s="243">
        <f>'#需填写'!Q44/10000</f>
        <v>386.26962214571</v>
      </c>
      <c r="AF18" s="243">
        <v>103.218772</v>
      </c>
      <c r="AG18" s="243">
        <v>184.63998900000001</v>
      </c>
      <c r="AH18" s="251">
        <f>1259.442086-AH19-AH20</f>
        <v>445.26672900000005</v>
      </c>
      <c r="AI18" s="243">
        <v>473.11568599999998</v>
      </c>
      <c r="AJ18" s="243">
        <v>711.49177399999996</v>
      </c>
      <c r="AK18" s="243">
        <v>770.429576</v>
      </c>
      <c r="AL18" s="243">
        <v>677.19328600000017</v>
      </c>
      <c r="AM18" s="243">
        <v>632.08107300000006</v>
      </c>
      <c r="AN18" s="243">
        <v>8472.6828079999996</v>
      </c>
      <c r="AO18" s="2152">
        <v>961.83735100000013</v>
      </c>
      <c r="AP18" s="243">
        <f>1223.653535-AP19-AP20</f>
        <v>498.33307699999989</v>
      </c>
      <c r="AQ18" s="243">
        <f>990-AQ19-AQ20</f>
        <v>179.65409599999992</v>
      </c>
      <c r="AR18" s="243">
        <f>1469.73-AR19-AR20</f>
        <v>766.31691499999999</v>
      </c>
      <c r="AS18" s="243">
        <v>361.47663499999999</v>
      </c>
      <c r="AT18" s="243">
        <v>777.99485099999993</v>
      </c>
      <c r="AU18" s="243">
        <v>1029</v>
      </c>
      <c r="AV18" s="243">
        <v>595</v>
      </c>
      <c r="AW18" s="243"/>
      <c r="AX18" s="243"/>
      <c r="AY18" s="243"/>
      <c r="AZ18" s="243"/>
      <c r="BA18" s="193">
        <f>SUMIFS(D18:AN18,$D$1:$AN$1,'#经营概况'!$B$1,'利润（汇总）'!$D$2:$AN$2,'#经营概况'!$B$2)</f>
        <v>0</v>
      </c>
    </row>
    <row r="19" spans="1:53" s="193" customFormat="1">
      <c r="A19" s="193" t="s">
        <v>933</v>
      </c>
      <c r="B19" s="214" t="str">
        <f>'收入（汇总）'!B20</f>
        <v>融资租赁</v>
      </c>
      <c r="C19" s="215">
        <v>5295.54</v>
      </c>
      <c r="D19" s="216">
        <v>697</v>
      </c>
      <c r="E19" s="215">
        <v>510.26</v>
      </c>
      <c r="F19" s="215">
        <v>1179.89302</v>
      </c>
      <c r="G19" s="215">
        <v>567</v>
      </c>
      <c r="H19" s="215">
        <v>308.47274800000002</v>
      </c>
      <c r="I19" s="215">
        <v>375.925747</v>
      </c>
      <c r="J19" s="215">
        <v>546.89031199999999</v>
      </c>
      <c r="K19" s="215">
        <v>419.44717400000002</v>
      </c>
      <c r="L19" s="215">
        <v>437.87</v>
      </c>
      <c r="M19" s="215">
        <v>523.26</v>
      </c>
      <c r="N19" s="215">
        <v>383.95514900000001</v>
      </c>
      <c r="O19" s="215">
        <v>2006.510088</v>
      </c>
      <c r="P19" s="216">
        <v>449.29389200000003</v>
      </c>
      <c r="Q19" s="243">
        <f>'#需填写'!C47/10000</f>
        <v>416.58188899999999</v>
      </c>
      <c r="R19" s="243">
        <f>'#需填写'!D47/10000</f>
        <v>568.78012999999999</v>
      </c>
      <c r="S19" s="243">
        <f>'#需填写'!E47/10000</f>
        <v>591.588435</v>
      </c>
      <c r="T19" s="243">
        <f>'#需填写'!F47/10000</f>
        <v>603.62442099999998</v>
      </c>
      <c r="U19" s="243">
        <f>'#需填写'!G47/10000</f>
        <v>472.77522999999997</v>
      </c>
      <c r="V19" s="243">
        <f>'#需填写'!H47/10000</f>
        <v>327.00566700000002</v>
      </c>
      <c r="W19" s="243">
        <f>'#需填写'!I47/10000</f>
        <v>352.87949199999997</v>
      </c>
      <c r="X19" s="243">
        <f>'#需填写'!J47/10000</f>
        <v>1327.9878900000001</v>
      </c>
      <c r="Y19" s="243">
        <f>'#需填写'!K47/10000</f>
        <v>386.91214600000001</v>
      </c>
      <c r="Z19" s="243">
        <f>'#需填写'!L47/10000</f>
        <v>239.14194599999999</v>
      </c>
      <c r="AA19" s="243">
        <f>'#需填写'!M47/10000</f>
        <v>525.13007400000004</v>
      </c>
      <c r="AB19" s="243">
        <f>'#需填写'!N47/10000</f>
        <v>681.92395199999999</v>
      </c>
      <c r="AC19" s="243">
        <f>'#需填写'!O47/10000</f>
        <v>536.69909599999994</v>
      </c>
      <c r="AD19" s="243">
        <f>'#需填写'!P47/10000</f>
        <v>392.50344100000001</v>
      </c>
      <c r="AE19" s="243">
        <f>'#需填写'!Q47/10000</f>
        <v>542.45188399999995</v>
      </c>
      <c r="AF19" s="243">
        <f>'#需填写'!R47/10000</f>
        <v>545.63442699999996</v>
      </c>
      <c r="AG19" s="243">
        <f>'#需填写'!S47/10000</f>
        <v>589.56273600000009</v>
      </c>
      <c r="AH19" s="243">
        <v>621.46024299999999</v>
      </c>
      <c r="AI19" s="243">
        <f>'#需填写'!U47/10000</f>
        <v>529.67913899999996</v>
      </c>
      <c r="AJ19" s="243">
        <f>'#需填写'!V47/10000</f>
        <v>586.548495</v>
      </c>
      <c r="AK19" s="243">
        <f>'#需填写'!W47/10000</f>
        <v>534.47716600000012</v>
      </c>
      <c r="AL19" s="243">
        <f>'#需填写'!X47/10000</f>
        <v>1056.2750429999999</v>
      </c>
      <c r="AM19" s="243">
        <f>'#需填写'!Y47/10000</f>
        <v>683.79876300000001</v>
      </c>
      <c r="AN19" s="243">
        <v>487.17062400000003</v>
      </c>
      <c r="AO19" s="2152">
        <f>'#需填写'!AA47/10000</f>
        <v>590.66995799999995</v>
      </c>
      <c r="AP19" s="243">
        <f>'#需填写'!AB47/10000</f>
        <v>541.288951</v>
      </c>
      <c r="AQ19" s="243">
        <f>'#需填写'!AC47/10000</f>
        <v>606.97677800000008</v>
      </c>
      <c r="AR19" s="243">
        <f>'#需填写'!AD47/10000</f>
        <v>514.768824</v>
      </c>
      <c r="AS19" s="243">
        <f>'#需填写'!AE47/10000</f>
        <v>528.25696000000016</v>
      </c>
      <c r="AT19" s="243">
        <f>'#需填写'!AF47/10000</f>
        <v>509.53975499999996</v>
      </c>
      <c r="AU19" s="243">
        <f>'#需填写'!AG47/10000</f>
        <v>519.64996300000007</v>
      </c>
      <c r="AV19" s="243">
        <f>'#需填写'!AH47/10000</f>
        <v>1246.7662150000001</v>
      </c>
      <c r="AW19" s="243">
        <f>'#需填写'!AI47/10000</f>
        <v>0</v>
      </c>
      <c r="AX19" s="243">
        <f>'#需填写'!AJ47/10000</f>
        <v>0</v>
      </c>
      <c r="AY19" s="243">
        <f>'#需填写'!AK47/10000</f>
        <v>0</v>
      </c>
      <c r="AZ19" s="243">
        <f>'#需填写'!AL47/10000</f>
        <v>0</v>
      </c>
      <c r="BA19" s="193">
        <f>SUMIFS(D19:AN19,$D$1:$AN$1,'#经营概况'!$B$1,'利润（汇总）'!$D$2:$AN$2,'#经营概况'!$B$2)</f>
        <v>0</v>
      </c>
    </row>
    <row r="20" spans="1:53" s="194" customFormat="1">
      <c r="A20" s="194" t="s">
        <v>934</v>
      </c>
      <c r="B20" s="217" t="str">
        <f>'收入（汇总）'!B21</f>
        <v>商业保理</v>
      </c>
      <c r="C20" s="218">
        <v>2251.1138369999999</v>
      </c>
      <c r="D20" s="219">
        <v>395.00383699999998</v>
      </c>
      <c r="E20" s="218">
        <v>170.51</v>
      </c>
      <c r="F20" s="218">
        <v>154.77037200000001</v>
      </c>
      <c r="G20" s="218">
        <v>175</v>
      </c>
      <c r="H20" s="218">
        <v>100.379288</v>
      </c>
      <c r="I20" s="218">
        <v>165.85141999999999</v>
      </c>
      <c r="J20" s="218">
        <v>185.42182</v>
      </c>
      <c r="K20" s="218">
        <v>171.43432300000001</v>
      </c>
      <c r="L20" s="218">
        <v>169.43600000000001</v>
      </c>
      <c r="M20" s="218">
        <v>124.47</v>
      </c>
      <c r="N20" s="218">
        <v>93.287597000000005</v>
      </c>
      <c r="O20" s="218">
        <v>360.14391599999999</v>
      </c>
      <c r="P20" s="219">
        <v>188.041754</v>
      </c>
      <c r="Q20" s="244">
        <f>'#需填写'!C50/10000</f>
        <v>180.99986799999999</v>
      </c>
      <c r="R20" s="244">
        <f>'#需填写'!D50/10000</f>
        <v>166.361569</v>
      </c>
      <c r="S20" s="244">
        <f>'#需填写'!E50/10000</f>
        <v>190.758769</v>
      </c>
      <c r="T20" s="244">
        <f>'#需填写'!F50/10000</f>
        <v>195.45651899999999</v>
      </c>
      <c r="U20" s="244">
        <f>'#需填写'!G50/10000</f>
        <v>212.41233300000002</v>
      </c>
      <c r="V20" s="244">
        <f>'#需填写'!H50/10000</f>
        <v>166.408153</v>
      </c>
      <c r="W20" s="244">
        <f>'#需填写'!I50/10000</f>
        <v>210.87566200000001</v>
      </c>
      <c r="X20" s="244">
        <f>'#需填写'!J50/10000</f>
        <v>415.530348</v>
      </c>
      <c r="Y20" s="244">
        <f>'#需填写'!K50/10000</f>
        <v>196.86252999999999</v>
      </c>
      <c r="Z20" s="244">
        <f>'#需填写'!L50/10000</f>
        <v>149.713908</v>
      </c>
      <c r="AA20" s="244">
        <f>'#需填写'!M50/10000</f>
        <v>186.693603</v>
      </c>
      <c r="AB20" s="244">
        <f>'#需填写'!N50/10000</f>
        <v>218.18092899999999</v>
      </c>
      <c r="AC20" s="244">
        <f>'#需填写'!O50/10000</f>
        <v>199.15781200000001</v>
      </c>
      <c r="AD20" s="244">
        <f>'#需填写'!P50/10000</f>
        <v>188.17043600000002</v>
      </c>
      <c r="AE20" s="244">
        <f>'#需填写'!Q50/10000</f>
        <v>200.992952</v>
      </c>
      <c r="AF20" s="244">
        <f>'#需填写'!R50/10000</f>
        <v>189.66840400000001</v>
      </c>
      <c r="AG20" s="244">
        <f>'#需填写'!S50/10000</f>
        <v>203.69722400000001</v>
      </c>
      <c r="AH20" s="244">
        <v>192.715114</v>
      </c>
      <c r="AI20" s="244">
        <f>'#需填写'!U50/10000</f>
        <v>447.58292799999992</v>
      </c>
      <c r="AJ20" s="244">
        <f>'#需填写'!V50/10000</f>
        <v>200.41324699999998</v>
      </c>
      <c r="AK20" s="244">
        <f>'#需填写'!W50/10000</f>
        <v>193.19665800000001</v>
      </c>
      <c r="AL20" s="244">
        <f>'#需填写'!X50/10000</f>
        <v>194.209633</v>
      </c>
      <c r="AM20" s="244">
        <f>'#需填写'!Y50/10000</f>
        <v>196.69546</v>
      </c>
      <c r="AN20" s="244">
        <v>201.57822800000002</v>
      </c>
      <c r="AO20" s="2153">
        <f>'#需填写'!AA50/10000</f>
        <v>189.013588</v>
      </c>
      <c r="AP20" s="244">
        <f>'#需填写'!AB50/10000</f>
        <v>184.031507</v>
      </c>
      <c r="AQ20" s="244">
        <f>'#需填写'!AC50/10000</f>
        <v>203.36912599999999</v>
      </c>
      <c r="AR20" s="244">
        <f>'#需填写'!AD50/10000</f>
        <v>188.644261</v>
      </c>
      <c r="AS20" s="244">
        <f>'#需填写'!AE50/10000</f>
        <v>208.046953</v>
      </c>
      <c r="AT20" s="244">
        <f>'#需填写'!AF50/10000</f>
        <v>206.61284599999999</v>
      </c>
      <c r="AU20" s="244">
        <f>'#需填写'!AG50/10000</f>
        <v>195.67499799999999</v>
      </c>
      <c r="AV20" s="244">
        <f>'#需填写'!AH50/10000</f>
        <v>472.78586899999993</v>
      </c>
      <c r="AW20" s="244">
        <f>'#需填写'!AI50/10000</f>
        <v>0</v>
      </c>
      <c r="AX20" s="244">
        <f>'#需填写'!AJ50/10000</f>
        <v>0</v>
      </c>
      <c r="AY20" s="244">
        <f>'#需填写'!AK50/10000</f>
        <v>0</v>
      </c>
      <c r="AZ20" s="244">
        <f>'#需填写'!AL50/10000</f>
        <v>0</v>
      </c>
      <c r="BA20" s="194">
        <f>SUMIFS(D20:AN20,$D$1:$AN$1,'#经营概况'!$B$1,'利润（汇总）'!$D$2:$AN$2,'#经营概况'!$B$2)</f>
        <v>0</v>
      </c>
    </row>
    <row r="21" spans="1:53" s="195" customFormat="1">
      <c r="A21" s="195" t="s">
        <v>935</v>
      </c>
      <c r="B21" s="220" t="str">
        <f>'收入（汇总）'!B22</f>
        <v>世茂商务中心</v>
      </c>
      <c r="C21" s="221">
        <v>-3277.3352100000002</v>
      </c>
      <c r="D21" s="221">
        <v>-301.52413300000001</v>
      </c>
      <c r="E21" s="221">
        <v>-251.263792</v>
      </c>
      <c r="F21" s="221">
        <v>-287.29639100000003</v>
      </c>
      <c r="G21" s="221">
        <v>-186.122108</v>
      </c>
      <c r="H21" s="221">
        <v>-227.52466200000001</v>
      </c>
      <c r="I21" s="221">
        <v>-174.62010100000001</v>
      </c>
      <c r="J21" s="221">
        <v>-219.13286500000001</v>
      </c>
      <c r="K21" s="221">
        <v>-193.54150100000001</v>
      </c>
      <c r="L21" s="221">
        <v>-188.235974</v>
      </c>
      <c r="M21" s="221">
        <v>-191.22334900000001</v>
      </c>
      <c r="N21" s="221">
        <v>-250.357178</v>
      </c>
      <c r="O21" s="221">
        <v>-218.54697100000001</v>
      </c>
      <c r="P21" s="221">
        <v>-217.96049199999999</v>
      </c>
      <c r="Q21" s="245">
        <v>-245.766041</v>
      </c>
      <c r="R21" s="245">
        <v>-311.237886</v>
      </c>
      <c r="S21" s="245">
        <v>-245.852397</v>
      </c>
      <c r="T21" s="245">
        <v>-199.01127299999999</v>
      </c>
      <c r="U21" s="245">
        <v>-229.00721999999999</v>
      </c>
      <c r="V21" s="245">
        <v>-274.95032099999997</v>
      </c>
      <c r="W21" s="245">
        <v>-169.889487</v>
      </c>
      <c r="X21" s="245">
        <v>-77.851558999999895</v>
      </c>
      <c r="Y21" s="245">
        <v>-64.923128000000105</v>
      </c>
      <c r="Z21" s="245">
        <v>-103.36610400000001</v>
      </c>
      <c r="AA21" s="245">
        <v>-132.725213</v>
      </c>
      <c r="AB21" s="245">
        <v>-398.38890400000003</v>
      </c>
      <c r="AC21" s="245">
        <v>-320.088548</v>
      </c>
      <c r="AD21" s="245">
        <v>-434.05604299999999</v>
      </c>
      <c r="AE21" s="245">
        <v>-322.10717</v>
      </c>
      <c r="AF21" s="245">
        <v>-358.80783400000001</v>
      </c>
      <c r="AG21" s="245">
        <v>-321.58685600000001</v>
      </c>
      <c r="AH21" s="245">
        <v>-304.48615000000001</v>
      </c>
      <c r="AI21" s="245">
        <v>-169.46757099999999</v>
      </c>
      <c r="AJ21" s="245">
        <v>-146.13381699999999</v>
      </c>
      <c r="AK21" s="245">
        <v>-112.542896</v>
      </c>
      <c r="AL21" s="245">
        <v>-7.5195740000000004</v>
      </c>
      <c r="AM21" s="245">
        <v>-271.16096900000002</v>
      </c>
      <c r="AN21" s="245">
        <v>-371.21701100000001</v>
      </c>
      <c r="AO21" s="2149">
        <v>-193.70460499999999</v>
      </c>
      <c r="AP21" s="240">
        <v>-189.22141199999999</v>
      </c>
      <c r="AQ21" s="240">
        <v>48.653168000000001</v>
      </c>
      <c r="AR21" s="240">
        <v>55.17651</v>
      </c>
      <c r="AS21" s="240">
        <v>151.96728300000001</v>
      </c>
      <c r="AT21" s="240">
        <v>134.92921000000001</v>
      </c>
      <c r="AU21" s="240">
        <v>58</v>
      </c>
      <c r="AV21" s="240">
        <v>-61.28</v>
      </c>
      <c r="AW21" s="240"/>
      <c r="AX21" s="240"/>
      <c r="AY21" s="240"/>
      <c r="AZ21" s="240"/>
      <c r="BA21" s="195">
        <f>SUMIFS(D21:AN21,$D$1:$AN$1,'#经营概况'!$B$1,'利润（汇总）'!$D$2:$AN$2,'#经营概况'!$B$2)</f>
        <v>0</v>
      </c>
    </row>
    <row r="22" spans="1:53" s="191" customFormat="1">
      <c r="A22" s="191" t="s">
        <v>936</v>
      </c>
      <c r="B22" s="210" t="str">
        <f>'收入（汇总）'!B23</f>
        <v>财务公司</v>
      </c>
      <c r="C22" s="211">
        <v>24583.144842000002</v>
      </c>
      <c r="D22" s="211">
        <v>2482.5157429999999</v>
      </c>
      <c r="E22" s="211">
        <v>2771.0330260000001</v>
      </c>
      <c r="F22" s="211">
        <v>2800.2975329999999</v>
      </c>
      <c r="G22" s="211">
        <f>2193.515319</f>
        <v>2193.5153190000001</v>
      </c>
      <c r="H22" s="211">
        <v>2699.8219559999998</v>
      </c>
      <c r="I22" s="211">
        <f>2832.266015+19</f>
        <v>2851.2660150000002</v>
      </c>
      <c r="J22" s="211">
        <v>2899.421092</v>
      </c>
      <c r="K22" s="211">
        <v>2802.9257440000001</v>
      </c>
      <c r="L22" s="211">
        <v>2776.4825369999999</v>
      </c>
      <c r="M22" s="211">
        <v>2152.164487</v>
      </c>
      <c r="N22" s="211">
        <v>3177.8790519999998</v>
      </c>
      <c r="O22" s="211">
        <v>2661.2727650000002</v>
      </c>
      <c r="P22" s="211">
        <v>1345.9829569999999</v>
      </c>
      <c r="Q22" s="240">
        <v>2809.3781640000002</v>
      </c>
      <c r="R22" s="240">
        <v>2830.3659969999999</v>
      </c>
      <c r="S22" s="240">
        <v>2830.7046479999999</v>
      </c>
      <c r="T22" s="240">
        <v>2846.7261170000002</v>
      </c>
      <c r="U22" s="240">
        <v>2823.561733</v>
      </c>
      <c r="V22" s="240">
        <v>-59.202641999999898</v>
      </c>
      <c r="W22" s="240">
        <v>2760.9413060000002</v>
      </c>
      <c r="X22" s="240">
        <v>3228.8880469999999</v>
      </c>
      <c r="Y22" s="240">
        <v>2763.583764</v>
      </c>
      <c r="Z22" s="240">
        <v>2681.7350240000001</v>
      </c>
      <c r="AA22" s="240">
        <v>2854.3069019999998</v>
      </c>
      <c r="AB22" s="240">
        <v>1884.8390440000001</v>
      </c>
      <c r="AC22" s="240">
        <v>3168.0865439999998</v>
      </c>
      <c r="AD22" s="240">
        <v>3290.0564429999999</v>
      </c>
      <c r="AE22" s="240">
        <v>1040.347718</v>
      </c>
      <c r="AF22" s="240">
        <v>3458.5318940000002</v>
      </c>
      <c r="AG22" s="240">
        <v>4222.9314510000004</v>
      </c>
      <c r="AH22" s="240">
        <v>4063.8221960000001</v>
      </c>
      <c r="AI22" s="240">
        <v>4002.8270470000002</v>
      </c>
      <c r="AJ22" s="240">
        <v>4199.1183650000003</v>
      </c>
      <c r="AK22" s="240">
        <v>1630.531925</v>
      </c>
      <c r="AL22" s="240">
        <v>3680.1204429999998</v>
      </c>
      <c r="AM22" s="240">
        <v>3240.2936519999998</v>
      </c>
      <c r="AN22" s="240">
        <v>5021.9971699999996</v>
      </c>
      <c r="AO22" s="2149">
        <v>3606.7266909999998</v>
      </c>
      <c r="AP22" s="240">
        <v>2241.679208</v>
      </c>
      <c r="AQ22" s="240">
        <v>1126.4697289999999</v>
      </c>
      <c r="AR22" s="240">
        <v>4911.0933750000004</v>
      </c>
      <c r="AS22" s="240">
        <v>4965.2447089999996</v>
      </c>
      <c r="AT22" s="240">
        <v>2218.5712330000001</v>
      </c>
      <c r="AU22" s="240">
        <v>2995.2456000000002</v>
      </c>
      <c r="AV22" s="240">
        <v>4040.4353660000002</v>
      </c>
      <c r="AW22" s="240"/>
      <c r="AX22" s="240"/>
      <c r="AY22" s="240"/>
      <c r="AZ22" s="240"/>
      <c r="BA22" s="191">
        <f>SUMIFS(D22:AN22,$D$1:$AN$1,'#经营概况'!$B$1,'利润（汇总）'!$D$2:$AN$2,'#经营概况'!$B$2)</f>
        <v>0</v>
      </c>
    </row>
    <row r="23" spans="1:53" s="191" customFormat="1">
      <c r="A23" s="191" t="s">
        <v>937</v>
      </c>
      <c r="B23" s="210" t="str">
        <f>'收入（汇总）'!B24</f>
        <v>保险代理</v>
      </c>
      <c r="C23" s="211">
        <v>132.015421</v>
      </c>
      <c r="D23" s="211">
        <v>-11.518246</v>
      </c>
      <c r="E23" s="211">
        <v>14.036543999999999</v>
      </c>
      <c r="F23" s="211">
        <v>97.637978000000004</v>
      </c>
      <c r="G23" s="211">
        <v>21.411645</v>
      </c>
      <c r="H23" s="211">
        <v>9.5767749999999996</v>
      </c>
      <c r="I23" s="211">
        <v>-3.6234299999999999</v>
      </c>
      <c r="J23" s="211">
        <v>-5.4554229999999997</v>
      </c>
      <c r="K23" s="211">
        <v>-0.59682499999999905</v>
      </c>
      <c r="L23" s="211">
        <v>47.705441</v>
      </c>
      <c r="M23" s="211">
        <v>-8.0307969999999997</v>
      </c>
      <c r="N23" s="211">
        <v>32.247850999999997</v>
      </c>
      <c r="O23" s="211">
        <v>-2.3870070000000001</v>
      </c>
      <c r="P23" s="211">
        <v>-12.360445</v>
      </c>
      <c r="Q23" s="240">
        <v>106.88208299999999</v>
      </c>
      <c r="R23" s="240">
        <v>60.223140999999998</v>
      </c>
      <c r="S23" s="240">
        <v>18.118504000000001</v>
      </c>
      <c r="T23" s="240">
        <v>52.487205000000003</v>
      </c>
      <c r="U23" s="240">
        <v>3.4569809999999999</v>
      </c>
      <c r="V23" s="240">
        <v>15.209600999999999</v>
      </c>
      <c r="W23" s="240">
        <v>-2.0729340000000001</v>
      </c>
      <c r="X23" s="240">
        <v>43.032770999999997</v>
      </c>
      <c r="Y23" s="240">
        <v>-4.4769220000000001</v>
      </c>
      <c r="Z23" s="240">
        <v>-2.5316139999999998</v>
      </c>
      <c r="AA23" s="240">
        <v>-3.8191310000000001</v>
      </c>
      <c r="AB23" s="240">
        <v>45.95637</v>
      </c>
      <c r="AC23" s="240">
        <v>52.814207000000003</v>
      </c>
      <c r="AD23" s="240">
        <v>2.3128679999999999</v>
      </c>
      <c r="AE23" s="240">
        <v>-2.1759620000000002</v>
      </c>
      <c r="AF23" s="240">
        <v>68.988294999999994</v>
      </c>
      <c r="AG23" s="240">
        <v>4.0659470000000004</v>
      </c>
      <c r="AH23" s="240">
        <v>5.1747810000000003</v>
      </c>
      <c r="AI23" s="240">
        <v>47.411870999999998</v>
      </c>
      <c r="AJ23" s="240">
        <v>-4.4739930000000001</v>
      </c>
      <c r="AK23" s="240">
        <v>2.0921850000000002</v>
      </c>
      <c r="AL23" s="240">
        <v>46.765946</v>
      </c>
      <c r="AM23" s="240">
        <v>14.342822999999999</v>
      </c>
      <c r="AN23" s="240">
        <v>25.415958</v>
      </c>
      <c r="AO23" s="2149">
        <v>56.241615000000003</v>
      </c>
      <c r="AP23" s="240">
        <v>2.1511900000000002</v>
      </c>
      <c r="AQ23" s="240">
        <v>12.298685000000001</v>
      </c>
      <c r="AR23" s="240">
        <v>38.654693999999999</v>
      </c>
      <c r="AS23" s="240">
        <v>33.121088999999998</v>
      </c>
      <c r="AT23" s="240">
        <v>8.6148430000000005</v>
      </c>
      <c r="AU23" s="240">
        <v>5.79</v>
      </c>
      <c r="AV23" s="240">
        <v>38.24</v>
      </c>
      <c r="AW23" s="240"/>
      <c r="AX23" s="240"/>
      <c r="AY23" s="240"/>
      <c r="AZ23" s="240"/>
      <c r="BA23" s="191">
        <f>SUMIFS(D23:AN23,$D$1:$AN$1,'#经营概况'!$B$1,'利润（汇总）'!$D$2:$AN$2,'#经营概况'!$B$2)</f>
        <v>0</v>
      </c>
    </row>
    <row r="24" spans="1:53" s="192" customFormat="1">
      <c r="A24" s="192" t="s">
        <v>938</v>
      </c>
      <c r="B24" s="212" t="str">
        <f>'收入（汇总）'!B25</f>
        <v>投资公司</v>
      </c>
      <c r="C24" s="213">
        <v>1130.6278159999999</v>
      </c>
      <c r="D24" s="213">
        <v>26.536783</v>
      </c>
      <c r="E24" s="213">
        <v>-114.87871699999999</v>
      </c>
      <c r="F24" s="213">
        <v>-37.082064000000003</v>
      </c>
      <c r="G24" s="213">
        <v>66.881833999999998</v>
      </c>
      <c r="H24" s="213">
        <v>-12.462102</v>
      </c>
      <c r="I24" s="213">
        <v>295.20894700000002</v>
      </c>
      <c r="J24" s="213">
        <v>-7442.7527579999996</v>
      </c>
      <c r="K24" s="213">
        <v>1863.4269879999999</v>
      </c>
      <c r="L24" s="213">
        <v>55.286405999999999</v>
      </c>
      <c r="M24" s="213">
        <v>468.56592000000001</v>
      </c>
      <c r="N24" s="213">
        <v>19.482758</v>
      </c>
      <c r="O24" s="213">
        <v>-27.573499999999999</v>
      </c>
      <c r="P24" s="213">
        <v>-10967.165859000001</v>
      </c>
      <c r="Q24" s="241">
        <v>-44.718352000000003</v>
      </c>
      <c r="R24" s="241">
        <v>719.89160300000003</v>
      </c>
      <c r="S24" s="241">
        <v>1663.2397020000001</v>
      </c>
      <c r="T24" s="241">
        <v>246.09816799999999</v>
      </c>
      <c r="U24" s="241">
        <v>652.12445500000001</v>
      </c>
      <c r="V24" s="241">
        <v>679.752835</v>
      </c>
      <c r="W24" s="241">
        <v>622.07783500000005</v>
      </c>
      <c r="X24" s="241">
        <v>345.76553200000001</v>
      </c>
      <c r="Y24" s="241">
        <v>200.25105600000001</v>
      </c>
      <c r="Z24" s="241">
        <v>126.167562</v>
      </c>
      <c r="AA24" s="241">
        <v>119.81262099999999</v>
      </c>
      <c r="AB24" s="241">
        <v>-46.789994</v>
      </c>
      <c r="AC24" s="241">
        <v>375.11237799999998</v>
      </c>
      <c r="AD24" s="241">
        <v>270.54330199999998</v>
      </c>
      <c r="AE24" s="241">
        <v>576.86713799999995</v>
      </c>
      <c r="AF24" s="241">
        <v>329.79532799999998</v>
      </c>
      <c r="AG24" s="241">
        <v>252.44380799999999</v>
      </c>
      <c r="AH24" s="241">
        <v>2008.3571159999999</v>
      </c>
      <c r="AI24" s="241">
        <v>1780.2439589999999</v>
      </c>
      <c r="AJ24" s="241">
        <v>388.041043</v>
      </c>
      <c r="AK24" s="241">
        <v>132.45702800000001</v>
      </c>
      <c r="AL24" s="241">
        <v>268.95093500000002</v>
      </c>
      <c r="AM24" s="241">
        <v>58.153092000000001</v>
      </c>
      <c r="AN24" s="241">
        <v>342.648459</v>
      </c>
      <c r="AO24" s="2149">
        <v>-265.93599</v>
      </c>
      <c r="AP24" s="240">
        <v>537.73547799999994</v>
      </c>
      <c r="AQ24" s="240">
        <v>1670.6422669999999</v>
      </c>
      <c r="AR24" s="240">
        <v>2391.9278490000002</v>
      </c>
      <c r="AS24" s="240">
        <v>-442.463841</v>
      </c>
      <c r="AT24" s="240">
        <v>671.60530200000005</v>
      </c>
      <c r="AU24" s="240">
        <v>-467</v>
      </c>
      <c r="AV24" s="240">
        <v>2484</v>
      </c>
      <c r="AW24" s="240"/>
      <c r="AX24" s="240"/>
      <c r="AY24" s="240"/>
      <c r="AZ24" s="240"/>
      <c r="BA24" s="192">
        <f>SUMIFS(D24:AN24,$D$1:$AN$1,'#经营概况'!$B$1,'利润（汇总）'!$D$2:$AN$2,'#经营概况'!$B$2)</f>
        <v>0</v>
      </c>
    </row>
    <row r="25" spans="1:53" s="191" customFormat="1">
      <c r="A25" s="191" t="s">
        <v>939</v>
      </c>
      <c r="B25" s="210" t="str">
        <f>'收入（汇总）'!B26</f>
        <v>临钢公司</v>
      </c>
      <c r="C25" s="211">
        <v>-28303.110107</v>
      </c>
      <c r="D25" s="211">
        <v>1833</v>
      </c>
      <c r="E25" s="211">
        <v>-1779.977263</v>
      </c>
      <c r="F25" s="211">
        <v>-1590.5010239999999</v>
      </c>
      <c r="G25" s="211">
        <v>-1609.4763210000001</v>
      </c>
      <c r="H25" s="211">
        <v>-1605.230609</v>
      </c>
      <c r="I25" s="211">
        <v>-1554.406133</v>
      </c>
      <c r="J25" s="211">
        <v>-1574.1151179999999</v>
      </c>
      <c r="K25" s="211">
        <v>-1407.190014</v>
      </c>
      <c r="L25" s="211">
        <v>-1611.722088</v>
      </c>
      <c r="M25" s="211">
        <v>-504.64109400000001</v>
      </c>
      <c r="N25" s="211">
        <v>-370.371599</v>
      </c>
      <c r="O25" s="211">
        <v>-265.86662999999999</v>
      </c>
      <c r="P25" s="211">
        <v>5875.1911479999999</v>
      </c>
      <c r="Q25" s="240">
        <v>2.2260780000001201</v>
      </c>
      <c r="R25" s="240">
        <v>7.3276339999999403</v>
      </c>
      <c r="S25" s="240">
        <v>1617.5773449999999</v>
      </c>
      <c r="T25" s="240">
        <v>14.068483000000001</v>
      </c>
      <c r="U25" s="240">
        <v>17.782140000000101</v>
      </c>
      <c r="V25" s="240">
        <v>18.3317739999998</v>
      </c>
      <c r="W25" s="240">
        <v>13.636381</v>
      </c>
      <c r="X25" s="240">
        <v>12.245922999999999</v>
      </c>
      <c r="Y25" s="240">
        <v>107.412087</v>
      </c>
      <c r="Z25" s="240">
        <v>21.023205000000001</v>
      </c>
      <c r="AA25" s="240">
        <v>26.673580999999999</v>
      </c>
      <c r="AB25" s="240">
        <v>107.844399</v>
      </c>
      <c r="AC25" s="240">
        <v>25.613965</v>
      </c>
      <c r="AD25" s="240">
        <v>-83.89</v>
      </c>
      <c r="AE25" s="240">
        <v>-182.09481400000001</v>
      </c>
      <c r="AF25" s="240">
        <v>-17.245183000000001</v>
      </c>
      <c r="AG25" s="240">
        <v>308.76119299999999</v>
      </c>
      <c r="AH25" s="240">
        <v>1997.784095</v>
      </c>
      <c r="AI25" s="240">
        <v>26.059640999999999</v>
      </c>
      <c r="AJ25" s="240">
        <v>17.294067999999999</v>
      </c>
      <c r="AK25" s="240">
        <v>31.401654000000001</v>
      </c>
      <c r="AL25" s="240">
        <v>8.4818750000000005</v>
      </c>
      <c r="AM25" s="240">
        <v>16.22268</v>
      </c>
      <c r="AN25" s="240">
        <v>-323.93014699999998</v>
      </c>
      <c r="AO25" s="2149">
        <v>18.403973000000001</v>
      </c>
      <c r="AP25" s="240">
        <v>8.3671229999999994</v>
      </c>
      <c r="AQ25" s="240">
        <v>277.39925499999998</v>
      </c>
      <c r="AR25" s="240">
        <v>87.752548000000004</v>
      </c>
      <c r="AS25" s="240">
        <v>197.06245999999999</v>
      </c>
      <c r="AT25" s="240">
        <v>623.22992199999999</v>
      </c>
      <c r="AU25" s="240">
        <v>130.30000000000001</v>
      </c>
      <c r="AV25" s="240">
        <v>48.7</v>
      </c>
      <c r="AW25" s="240"/>
      <c r="AX25" s="240"/>
      <c r="AY25" s="240"/>
      <c r="AZ25" s="240"/>
      <c r="BA25" s="191">
        <f>SUMIFS(D25:AN25,$D$1:$AN$1,'#经营概况'!$B$1,'利润（汇总）'!$D$2:$AN$2,'#经营概况'!$B$2)</f>
        <v>0</v>
      </c>
    </row>
    <row r="26" spans="1:53" s="191" customFormat="1">
      <c r="A26" s="191" t="s">
        <v>940</v>
      </c>
      <c r="B26" s="210" t="str">
        <f>'收入（汇总）'!B27</f>
        <v>不锈钢工业园</v>
      </c>
      <c r="C26" s="211">
        <v>-446.48396100000002</v>
      </c>
      <c r="D26" s="211">
        <v>-826.19065599999999</v>
      </c>
      <c r="E26" s="211">
        <v>34.664048999999999</v>
      </c>
      <c r="F26" s="211">
        <v>54.6079000000001</v>
      </c>
      <c r="G26" s="211">
        <v>55.685507000000001</v>
      </c>
      <c r="H26" s="211">
        <v>79.980678999999995</v>
      </c>
      <c r="I26" s="211">
        <v>61.926099999999998</v>
      </c>
      <c r="J26" s="211">
        <v>88.974926999999994</v>
      </c>
      <c r="K26" s="211">
        <v>74.582470000000001</v>
      </c>
      <c r="L26" s="211">
        <v>115.612753</v>
      </c>
      <c r="M26" s="211">
        <v>81.718088000000094</v>
      </c>
      <c r="N26" s="211">
        <v>133.85893799999999</v>
      </c>
      <c r="O26" s="211">
        <v>117.404537</v>
      </c>
      <c r="P26" s="211">
        <v>-36.829343999999899</v>
      </c>
      <c r="Q26" s="240">
        <f>132.196296-5</f>
        <v>127.19629599999999</v>
      </c>
      <c r="R26" s="240">
        <v>73.841691999999995</v>
      </c>
      <c r="S26" s="240">
        <v>134.64157900000001</v>
      </c>
      <c r="T26" s="240">
        <v>134.578912</v>
      </c>
      <c r="U26" s="240">
        <v>126.83432999999999</v>
      </c>
      <c r="V26" s="240">
        <v>104.297541</v>
      </c>
      <c r="W26" s="240">
        <v>125.198162</v>
      </c>
      <c r="X26" s="240">
        <v>92.185656000000193</v>
      </c>
      <c r="Y26" s="240">
        <v>100.08449400000001</v>
      </c>
      <c r="Z26" s="240">
        <v>89.192218999999994</v>
      </c>
      <c r="AA26" s="240">
        <v>47.645508999999997</v>
      </c>
      <c r="AB26" s="240">
        <f>235.885267+64+13</f>
        <v>312.885267</v>
      </c>
      <c r="AC26" s="240">
        <v>156.51006000000001</v>
      </c>
      <c r="AD26" s="240">
        <v>-137.509118</v>
      </c>
      <c r="AE26" s="240">
        <v>-93.540043999999995</v>
      </c>
      <c r="AF26" s="240">
        <v>-4.7230569999999998</v>
      </c>
      <c r="AG26" s="240">
        <v>125.585503</v>
      </c>
      <c r="AH26" s="240">
        <v>204.125685</v>
      </c>
      <c r="AI26" s="240">
        <v>133.208212</v>
      </c>
      <c r="AJ26" s="240">
        <v>121.278504</v>
      </c>
      <c r="AK26" s="240">
        <v>213.29401799999999</v>
      </c>
      <c r="AL26" s="240">
        <v>81.092710999999994</v>
      </c>
      <c r="AM26" s="240">
        <v>108.880985</v>
      </c>
      <c r="AN26" s="240">
        <v>-2901.8508430000002</v>
      </c>
      <c r="AO26" s="2149">
        <v>125.468863</v>
      </c>
      <c r="AP26" s="240">
        <v>129.352586</v>
      </c>
      <c r="AQ26" s="240">
        <v>192.22763800000001</v>
      </c>
      <c r="AR26" s="240">
        <v>168.53474399999999</v>
      </c>
      <c r="AS26" s="240">
        <v>151.22020499999999</v>
      </c>
      <c r="AT26" s="240">
        <v>281.73851300000001</v>
      </c>
      <c r="AU26" s="240">
        <v>112.7</v>
      </c>
      <c r="AV26" s="240">
        <v>197</v>
      </c>
      <c r="AW26" s="240"/>
      <c r="AX26" s="240"/>
      <c r="AY26" s="240"/>
      <c r="AZ26" s="240"/>
      <c r="BA26" s="191">
        <f>SUMIFS(D26:AN26,$D$1:$AN$1,'#经营概况'!$B$1,'利润（汇总）'!$D$2:$AN$2,'#经营概况'!$B$2)</f>
        <v>0</v>
      </c>
    </row>
    <row r="27" spans="1:53" s="192" customFormat="1">
      <c r="A27" s="192" t="s">
        <v>942</v>
      </c>
      <c r="B27" s="212" t="str">
        <f>'收入（汇总）'!B28</f>
        <v>房地产开发</v>
      </c>
      <c r="C27" s="213">
        <v>-1371.019605</v>
      </c>
      <c r="D27" s="213">
        <v>-737.68644800000004</v>
      </c>
      <c r="E27" s="213">
        <v>-162.061432</v>
      </c>
      <c r="F27" s="213">
        <v>-102.882007</v>
      </c>
      <c r="G27" s="213">
        <v>-103.854163</v>
      </c>
      <c r="H27" s="213">
        <v>-74.093283999999997</v>
      </c>
      <c r="I27" s="213">
        <v>-21.784776999999998</v>
      </c>
      <c r="J27" s="213">
        <v>14.173927000000001</v>
      </c>
      <c r="K27" s="213">
        <v>-136.495034</v>
      </c>
      <c r="L27" s="213">
        <v>-104.375739</v>
      </c>
      <c r="M27" s="213">
        <v>2.028975</v>
      </c>
      <c r="N27" s="213">
        <v>-137.57879500000001</v>
      </c>
      <c r="O27" s="213">
        <v>-80.250073999999998</v>
      </c>
      <c r="P27" s="213">
        <v>-476.93784299999999</v>
      </c>
      <c r="Q27" s="241">
        <v>-66.025874999999999</v>
      </c>
      <c r="R27" s="241">
        <v>-219.179102</v>
      </c>
      <c r="S27" s="241">
        <v>-185.99321499999999</v>
      </c>
      <c r="T27" s="241">
        <v>-71.655635000000004</v>
      </c>
      <c r="U27" s="241">
        <v>-88.977093999999994</v>
      </c>
      <c r="V27" s="241">
        <v>54.176582000000103</v>
      </c>
      <c r="W27" s="241">
        <v>-158.104704</v>
      </c>
      <c r="X27" s="241">
        <v>-138.60234299999999</v>
      </c>
      <c r="Y27" s="241">
        <v>-154.91107099999999</v>
      </c>
      <c r="Z27" s="241">
        <v>-100.452624</v>
      </c>
      <c r="AA27" s="241">
        <v>-141.53807399999999</v>
      </c>
      <c r="AB27" s="241">
        <v>-585.08149400000002</v>
      </c>
      <c r="AC27" s="241">
        <v>-205.53807599999999</v>
      </c>
      <c r="AD27" s="241">
        <v>-277.82237400000002</v>
      </c>
      <c r="AE27" s="241">
        <v>274.806622</v>
      </c>
      <c r="AF27" s="241">
        <v>-105.27981699999999</v>
      </c>
      <c r="AG27" s="241">
        <v>-93.286597999999998</v>
      </c>
      <c r="AH27" s="241">
        <v>0.49211700000000003</v>
      </c>
      <c r="AI27" s="241">
        <v>73.594469000000004</v>
      </c>
      <c r="AJ27" s="241">
        <v>-69.551568000000003</v>
      </c>
      <c r="AK27" s="241">
        <v>-63.262107</v>
      </c>
      <c r="AL27" s="241">
        <v>-304.07730099999998</v>
      </c>
      <c r="AM27" s="241">
        <v>-196.49483699999999</v>
      </c>
      <c r="AN27" s="241">
        <v>-675.92640900000004</v>
      </c>
      <c r="AO27" s="2149">
        <v>41.265281000000002</v>
      </c>
      <c r="AP27" s="240">
        <v>-38.247683000000002</v>
      </c>
      <c r="AQ27" s="240">
        <v>80.685404000000005</v>
      </c>
      <c r="AR27" s="240">
        <v>38.475476999999998</v>
      </c>
      <c r="AS27" s="240">
        <v>24.764901999999999</v>
      </c>
      <c r="AT27" s="240">
        <v>108.696984</v>
      </c>
      <c r="AU27" s="240">
        <v>-101.637</v>
      </c>
      <c r="AV27" s="240">
        <v>13</v>
      </c>
      <c r="AW27" s="240"/>
      <c r="AX27" s="240"/>
      <c r="AY27" s="240"/>
      <c r="AZ27" s="240"/>
      <c r="BA27" s="192">
        <f>SUMIFS(D27:AN27,$D$1:$AN$1,'#经营概况'!$B$1,'利润（汇总）'!$D$2:$AN$2,'#经营概况'!$B$2)</f>
        <v>0</v>
      </c>
    </row>
    <row r="28" spans="1:53" s="191" customFormat="1">
      <c r="A28" s="191" t="s">
        <v>944</v>
      </c>
      <c r="B28" s="210" t="str">
        <f>'收入（汇总）'!B29</f>
        <v>工程技术公司</v>
      </c>
      <c r="C28" s="211">
        <v>-1740.549242</v>
      </c>
      <c r="D28" s="211">
        <v>1756.1725610000001</v>
      </c>
      <c r="E28" s="211">
        <v>-602.50670300000002</v>
      </c>
      <c r="F28" s="211">
        <v>-253.698342</v>
      </c>
      <c r="G28" s="211">
        <v>-233.843557</v>
      </c>
      <c r="H28" s="211">
        <v>-164.53547900000001</v>
      </c>
      <c r="I28" s="211">
        <v>-312.44342999999998</v>
      </c>
      <c r="J28" s="211">
        <v>-392.75635299999999</v>
      </c>
      <c r="K28" s="211">
        <v>-256.658275</v>
      </c>
      <c r="L28" s="211">
        <v>-231.524586</v>
      </c>
      <c r="M28" s="211">
        <v>-290.82275600000003</v>
      </c>
      <c r="N28" s="211">
        <v>-227.113618</v>
      </c>
      <c r="O28" s="211">
        <v>-104.41126199999999</v>
      </c>
      <c r="P28" s="211">
        <v>4031.0868220000002</v>
      </c>
      <c r="Q28" s="240">
        <v>-103.27057499999999</v>
      </c>
      <c r="R28" s="240">
        <v>-108.944593</v>
      </c>
      <c r="S28" s="240">
        <v>322.06460800000002</v>
      </c>
      <c r="T28" s="240">
        <v>299.02544699999999</v>
      </c>
      <c r="U28" s="240">
        <v>740.85853299999997</v>
      </c>
      <c r="V28" s="240">
        <v>220.68466900000001</v>
      </c>
      <c r="W28" s="240">
        <v>54.707473999999898</v>
      </c>
      <c r="X28" s="240">
        <v>-201.644679</v>
      </c>
      <c r="Y28" s="240">
        <v>461.19368500000098</v>
      </c>
      <c r="Z28" s="240">
        <v>-101.197565</v>
      </c>
      <c r="AA28" s="240">
        <v>413.22272900000002</v>
      </c>
      <c r="AB28" s="240">
        <v>393.97587600000003</v>
      </c>
      <c r="AC28" s="240">
        <v>315.11504500000001</v>
      </c>
      <c r="AD28" s="240">
        <v>-386.85790400000002</v>
      </c>
      <c r="AE28" s="240">
        <v>-370.43370900000002</v>
      </c>
      <c r="AF28" s="240">
        <v>62.205525999999999</v>
      </c>
      <c r="AG28" s="240">
        <v>612.194388</v>
      </c>
      <c r="AH28" s="240">
        <v>637.24973599999998</v>
      </c>
      <c r="AI28" s="240">
        <v>227.208459</v>
      </c>
      <c r="AJ28" s="240">
        <v>87.828836999999993</v>
      </c>
      <c r="AK28" s="240">
        <v>291.86843800000003</v>
      </c>
      <c r="AL28" s="240">
        <v>386.92460199999999</v>
      </c>
      <c r="AM28" s="240">
        <v>260.810858</v>
      </c>
      <c r="AN28" s="240">
        <v>-68.039482000000007</v>
      </c>
      <c r="AO28" s="2149">
        <v>-104.16</v>
      </c>
      <c r="AP28" s="240">
        <v>-167.04862600000001</v>
      </c>
      <c r="AQ28" s="240">
        <v>560.68390399999998</v>
      </c>
      <c r="AR28" s="240">
        <v>-86.663319999999999</v>
      </c>
      <c r="AS28" s="240">
        <v>392.07484599999998</v>
      </c>
      <c r="AT28" s="240">
        <v>601.29879200000005</v>
      </c>
      <c r="AU28" s="240">
        <v>-191.368336</v>
      </c>
      <c r="AV28" s="240">
        <v>61.28</v>
      </c>
      <c r="AW28" s="240"/>
      <c r="AX28" s="240"/>
      <c r="AY28" s="240"/>
      <c r="AZ28" s="240"/>
      <c r="BA28" s="191">
        <f>SUMIFS(D28:AN28,$D$1:$AN$1,'#经营概况'!$B$1,'利润（汇总）'!$D$2:$AN$2,'#经营概况'!$B$2)</f>
        <v>0</v>
      </c>
    </row>
    <row r="29" spans="1:53" s="191" customFormat="1">
      <c r="A29" s="191" t="s">
        <v>943</v>
      </c>
      <c r="B29" s="210" t="str">
        <f>'收入（汇总）'!B30</f>
        <v>能源公司</v>
      </c>
      <c r="C29" s="211">
        <v>-130.93770599999999</v>
      </c>
      <c r="D29" s="211">
        <v>-58.472762000000003</v>
      </c>
      <c r="E29" s="211">
        <v>-4.7209000000000003</v>
      </c>
      <c r="F29" s="211">
        <v>-4.2159000000000004</v>
      </c>
      <c r="G29" s="211">
        <v>-4.9852489999999996</v>
      </c>
      <c r="H29" s="211">
        <v>-5.9820390000000003</v>
      </c>
      <c r="I29" s="211">
        <v>-4.570284</v>
      </c>
      <c r="J29" s="211">
        <v>-6.416283</v>
      </c>
      <c r="K29" s="211">
        <v>-7.8743749999999997</v>
      </c>
      <c r="L29" s="211">
        <v>-5.3442449999999999</v>
      </c>
      <c r="M29" s="211">
        <v>-6.2503690000000001</v>
      </c>
      <c r="N29" s="211">
        <v>-7.661791</v>
      </c>
      <c r="O29" s="211">
        <v>-5.648701</v>
      </c>
      <c r="P29" s="211">
        <v>-59.364758999999999</v>
      </c>
      <c r="Q29" s="240">
        <v>-5.6376309999999998</v>
      </c>
      <c r="R29" s="240">
        <v>-5.354177</v>
      </c>
      <c r="S29" s="240">
        <v>-5.7592400000000001</v>
      </c>
      <c r="T29" s="240">
        <v>-5.4306289999999997</v>
      </c>
      <c r="U29" s="240">
        <v>-7.7648460000000004</v>
      </c>
      <c r="V29" s="240">
        <v>-6.3963770000000002</v>
      </c>
      <c r="W29" s="240">
        <v>-5.2842710000000004</v>
      </c>
      <c r="X29" s="240">
        <v>-5.4249010000000002</v>
      </c>
      <c r="Y29" s="240">
        <v>-5.6069009999999997</v>
      </c>
      <c r="Z29" s="240">
        <v>-7.4936420000000004</v>
      </c>
      <c r="AA29" s="240">
        <v>-5.4837819999999997</v>
      </c>
      <c r="AB29" s="240">
        <v>3.666658</v>
      </c>
      <c r="AC29" s="240">
        <v>-5.7838159999999998</v>
      </c>
      <c r="AD29" s="240">
        <v>-4.8523969999999998</v>
      </c>
      <c r="AE29" s="240">
        <v>-3.6798649999999999</v>
      </c>
      <c r="AF29" s="240">
        <v>-4.7737970000000001</v>
      </c>
      <c r="AG29" s="240">
        <v>-15.255862</v>
      </c>
      <c r="AH29" s="240">
        <v>-5.089226</v>
      </c>
      <c r="AI29" s="240">
        <v>-4.9840400000000002</v>
      </c>
      <c r="AJ29" s="240">
        <v>36.799373000000003</v>
      </c>
      <c r="AK29" s="240">
        <v>-6.7343310000000001</v>
      </c>
      <c r="AL29" s="240">
        <v>34.939337999999999</v>
      </c>
      <c r="AM29" s="240">
        <v>-7.7051179999999997</v>
      </c>
      <c r="AN29" s="240">
        <v>42.263787000000001</v>
      </c>
      <c r="AO29" s="2149">
        <v>-6.4329010000000002</v>
      </c>
      <c r="AP29" s="240">
        <v>-14.593318</v>
      </c>
      <c r="AQ29" s="240">
        <v>40.043320999999999</v>
      </c>
      <c r="AR29" s="240">
        <v>-6.6555900000000001</v>
      </c>
      <c r="AS29" s="240">
        <v>-6.342028</v>
      </c>
      <c r="AT29" s="240">
        <v>33.676141999999999</v>
      </c>
      <c r="AU29" s="240">
        <v>-9</v>
      </c>
      <c r="AV29" s="240">
        <v>-7</v>
      </c>
      <c r="AW29" s="240"/>
      <c r="AX29" s="240"/>
      <c r="AY29" s="240"/>
      <c r="AZ29" s="240"/>
      <c r="BA29" s="191">
        <f>SUMIFS(D29:AN29,$D$1:$AN$1,'#经营概况'!$B$1,'利润（汇总）'!$D$2:$AN$2,'#经营概况'!$B$2)</f>
        <v>0</v>
      </c>
    </row>
    <row r="30" spans="1:53">
      <c r="A30" s="206" t="s">
        <v>945</v>
      </c>
      <c r="B30" s="222" t="str">
        <f>'收入（汇总）'!B31</f>
        <v>环境监测公司</v>
      </c>
      <c r="C30" s="209"/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38">
        <v>0</v>
      </c>
      <c r="R30" s="238">
        <v>0</v>
      </c>
      <c r="S30" s="238">
        <v>0</v>
      </c>
      <c r="T30" s="238">
        <v>0</v>
      </c>
      <c r="U30" s="238">
        <v>-32.995705999999998</v>
      </c>
      <c r="V30" s="238">
        <v>-41.116883000000001</v>
      </c>
      <c r="W30" s="238">
        <v>-34.858651999999999</v>
      </c>
      <c r="X30" s="238">
        <v>105.114898</v>
      </c>
      <c r="Y30" s="238">
        <v>-56.748503999999997</v>
      </c>
      <c r="Z30" s="238">
        <v>72.857445999999996</v>
      </c>
      <c r="AA30" s="238">
        <v>-37.954143999999999</v>
      </c>
      <c r="AB30" s="238">
        <v>174.00177400000001</v>
      </c>
      <c r="AC30" s="238">
        <v>-47.226939999999999</v>
      </c>
      <c r="AD30" s="238">
        <v>-35.331696000000001</v>
      </c>
      <c r="AE30" s="238">
        <v>105.44641799999999</v>
      </c>
      <c r="AF30" s="238">
        <v>-60.384177000000001</v>
      </c>
      <c r="AG30" s="238">
        <v>-47.835399000000002</v>
      </c>
      <c r="AH30" s="238">
        <v>186.893269</v>
      </c>
      <c r="AI30" s="238">
        <v>-55.842272000000001</v>
      </c>
      <c r="AJ30" s="238">
        <v>-46.611995999999998</v>
      </c>
      <c r="AK30" s="238">
        <v>139.74879200000001</v>
      </c>
      <c r="AL30" s="238">
        <v>-62.490957000000002</v>
      </c>
      <c r="AM30" s="238">
        <v>-17.439831999999999</v>
      </c>
      <c r="AN30" s="238">
        <v>189.486392</v>
      </c>
      <c r="AO30" s="2053">
        <v>-56</v>
      </c>
      <c r="AP30" s="238">
        <v>15.951878000000001</v>
      </c>
      <c r="AQ30" s="238">
        <v>81.304754000000003</v>
      </c>
      <c r="AR30" s="238">
        <v>42.541024</v>
      </c>
      <c r="AS30" s="238">
        <v>29.296185999999999</v>
      </c>
      <c r="AT30" s="238">
        <v>66.397098</v>
      </c>
      <c r="AU30" s="238">
        <v>1.73327899999999</v>
      </c>
      <c r="AV30" s="238">
        <v>27</v>
      </c>
      <c r="AW30" s="238"/>
      <c r="AX30" s="238"/>
      <c r="AY30" s="238"/>
      <c r="AZ30" s="238"/>
      <c r="BA30" s="206">
        <f>SUMIFS(D30:AN30,$D$1:$AN$1,'#经营概况'!$B$1,'利润（汇总）'!$D$2:$AN$2,'#经营概况'!$B$2)</f>
        <v>0</v>
      </c>
    </row>
    <row r="31" spans="1:53">
      <c r="A31" s="206" t="s">
        <v>946</v>
      </c>
      <c r="B31" s="222" t="s">
        <v>135</v>
      </c>
      <c r="C31" s="209"/>
      <c r="D31" s="209"/>
      <c r="E31" s="209"/>
      <c r="F31" s="209"/>
      <c r="G31" s="209"/>
      <c r="H31" s="209"/>
      <c r="I31" s="209"/>
      <c r="J31" s="209"/>
      <c r="K31" s="209"/>
      <c r="L31" s="209"/>
      <c r="M31" s="209"/>
      <c r="N31" s="209"/>
      <c r="O31" s="209"/>
      <c r="P31" s="209"/>
      <c r="Q31" s="238">
        <v>-8.4627020000000002</v>
      </c>
      <c r="R31" s="238">
        <v>-14.67</v>
      </c>
      <c r="S31" s="238">
        <v>-1.4698789999999999</v>
      </c>
      <c r="T31" s="238">
        <v>-5.009474</v>
      </c>
      <c r="U31" s="238">
        <v>-4.6699679999999999</v>
      </c>
      <c r="V31" s="238">
        <v>-3.447594</v>
      </c>
      <c r="W31" s="238">
        <v>-9.8772719999999996</v>
      </c>
      <c r="X31" s="238">
        <v>-11.221468</v>
      </c>
      <c r="Y31" s="238">
        <v>-13.993848</v>
      </c>
      <c r="Z31" s="238">
        <v>-12.085117</v>
      </c>
      <c r="AA31" s="238">
        <v>-8.0481429999999996</v>
      </c>
      <c r="AB31" s="238">
        <v>-89.182543999999993</v>
      </c>
      <c r="AC31" s="238">
        <v>-10.208774999999999</v>
      </c>
      <c r="AD31" s="238">
        <v>-8.1711819999999999</v>
      </c>
      <c r="AE31" s="238">
        <v>-10.115099000000001</v>
      </c>
      <c r="AF31" s="238">
        <v>-7.766635</v>
      </c>
      <c r="AG31" s="238">
        <v>-30.236944000000001</v>
      </c>
      <c r="AH31" s="238">
        <v>-7.7676369999999997</v>
      </c>
      <c r="AI31" s="238">
        <v>-12.800133000000001</v>
      </c>
      <c r="AJ31" s="238">
        <v>-7.4362649999999997</v>
      </c>
      <c r="AK31" s="238">
        <v>-12.280146</v>
      </c>
      <c r="AL31" s="238">
        <v>-11.183685000000001</v>
      </c>
      <c r="AM31" s="238">
        <v>-6.6625759999999996</v>
      </c>
      <c r="AN31" s="238">
        <v>-11.282322000000001</v>
      </c>
      <c r="AO31" s="2053">
        <v>-8.2128130000000006</v>
      </c>
      <c r="AP31" s="238">
        <v>-7.4755820000000002</v>
      </c>
      <c r="AQ31" s="238">
        <v>-10.885730000000001</v>
      </c>
      <c r="AR31" s="238">
        <v>-15.747343000000001</v>
      </c>
      <c r="AS31" s="238">
        <v>-4.6607770000000004</v>
      </c>
      <c r="AT31" s="238">
        <v>-15.500119</v>
      </c>
      <c r="AU31" s="2559">
        <v>-11.501206</v>
      </c>
      <c r="AV31" s="238">
        <v>-7.3065769999999999</v>
      </c>
      <c r="AW31" s="238"/>
      <c r="AX31" s="238"/>
      <c r="AY31" s="238"/>
      <c r="AZ31" s="238"/>
      <c r="BA31" s="206">
        <f>SUMIFS(D31:AN31,$D$1:$AN$1,'#经营概况'!$B$1,'利润（汇总）'!$D$2:$AN$2,'#经营概况'!$B$2)</f>
        <v>0</v>
      </c>
    </row>
    <row r="32" spans="1:53">
      <c r="A32" s="206" t="s">
        <v>947</v>
      </c>
      <c r="B32" s="208" t="str">
        <f>'收入（汇总）'!B33</f>
        <v>先进材料研究院</v>
      </c>
      <c r="C32" s="209">
        <v>-17.222715000000001</v>
      </c>
      <c r="D32" s="209">
        <v>-1.9396500000000001</v>
      </c>
      <c r="E32" s="209">
        <v>-1.282502</v>
      </c>
      <c r="F32" s="209">
        <v>-1.222496</v>
      </c>
      <c r="G32" s="209">
        <v>-1.792179</v>
      </c>
      <c r="H32" s="209">
        <v>-1.2224969999999999</v>
      </c>
      <c r="I32" s="209">
        <v>-1.232496</v>
      </c>
      <c r="J32" s="209">
        <v>-1.8580380000000001</v>
      </c>
      <c r="K32" s="209">
        <v>-1.242497</v>
      </c>
      <c r="L32" s="209">
        <v>-1.222496</v>
      </c>
      <c r="M32" s="209">
        <v>-1.856449</v>
      </c>
      <c r="N32" s="209">
        <v>-1.2224969999999999</v>
      </c>
      <c r="O32" s="209">
        <v>-1.222496</v>
      </c>
      <c r="P32" s="209">
        <v>-1.8769340000000001</v>
      </c>
      <c r="Q32" s="238">
        <v>-1.2224969999999999</v>
      </c>
      <c r="R32" s="238">
        <v>-1.222496</v>
      </c>
      <c r="S32" s="238">
        <v>-1.744823</v>
      </c>
      <c r="T32" s="238">
        <v>-1.2224969999999999</v>
      </c>
      <c r="U32" s="238">
        <v>-1.215233</v>
      </c>
      <c r="V32" s="238">
        <v>-1.7242759999999999</v>
      </c>
      <c r="W32" s="238">
        <v>-1.242497</v>
      </c>
      <c r="X32" s="238">
        <v>-1.222496</v>
      </c>
      <c r="Y32" s="238">
        <v>-1.706267</v>
      </c>
      <c r="Z32" s="238">
        <v>-1.2224969999999999</v>
      </c>
      <c r="AA32" s="238">
        <v>-1.222496</v>
      </c>
      <c r="AB32" s="238">
        <v>-1.701643</v>
      </c>
      <c r="AC32" s="238">
        <v>-1.2224969999999999</v>
      </c>
      <c r="AD32" s="238">
        <v>-1.222496</v>
      </c>
      <c r="AE32" s="238">
        <v>-1.235528</v>
      </c>
      <c r="AF32" s="238">
        <v>-1.2224969999999999</v>
      </c>
      <c r="AG32" s="238">
        <v>-1.2524960000000001</v>
      </c>
      <c r="AH32" s="238">
        <v>-1.9820340000000001</v>
      </c>
      <c r="AI32" s="238">
        <v>-1.2224969999999999</v>
      </c>
      <c r="AJ32" s="238">
        <v>-1.2604960000000001</v>
      </c>
      <c r="AK32" s="238">
        <v>-1.1214230000000001</v>
      </c>
      <c r="AL32" s="238">
        <v>-1.2224969999999999</v>
      </c>
      <c r="AM32" s="238">
        <v>-1.222496</v>
      </c>
      <c r="AN32" s="238">
        <v>-39.435268999999998</v>
      </c>
      <c r="AO32" s="2053">
        <v>-1.245101</v>
      </c>
      <c r="AP32" s="238">
        <v>-1.2784960000000001</v>
      </c>
      <c r="AQ32" s="238">
        <v>-1.1664209999999999</v>
      </c>
      <c r="AR32" s="238">
        <v>-1.2224969999999999</v>
      </c>
      <c r="AS32" s="238">
        <v>-1.232496</v>
      </c>
      <c r="AT32" s="238">
        <v>-2.1882999999999999</v>
      </c>
      <c r="AU32" s="238">
        <v>-1.22</v>
      </c>
      <c r="AV32" s="238">
        <v>-1.3644670000000001</v>
      </c>
      <c r="AW32" s="238"/>
      <c r="AX32" s="238"/>
      <c r="AY32" s="238"/>
      <c r="AZ32" s="238"/>
      <c r="BA32" s="206">
        <f>SUMIFS(D32:AN32,$D$1:$AN$1,'#经营概况'!$B$1,'利润（汇总）'!$D$2:$AN$2,'#经营概况'!$B$2)</f>
        <v>0</v>
      </c>
    </row>
    <row r="33" spans="1:55" s="192" customFormat="1">
      <c r="A33" s="192" t="s">
        <v>948</v>
      </c>
      <c r="B33" s="212" t="str">
        <f>'收入（汇总）'!B34</f>
        <v>医疗公司</v>
      </c>
      <c r="C33" s="213">
        <v>1456.3404290000001</v>
      </c>
      <c r="D33" s="213">
        <v>-443.32792699999999</v>
      </c>
      <c r="E33" s="213">
        <v>4.2433369999996904</v>
      </c>
      <c r="F33" s="213">
        <v>-1440.034251</v>
      </c>
      <c r="G33" s="213">
        <v>72.299962000000093</v>
      </c>
      <c r="H33" s="213">
        <v>189.79369500000001</v>
      </c>
      <c r="I33" s="213">
        <v>55.224314000000597</v>
      </c>
      <c r="J33" s="213">
        <v>85.512806000000396</v>
      </c>
      <c r="K33" s="213">
        <v>-246.934608</v>
      </c>
      <c r="L33" s="213">
        <v>287.99374299999999</v>
      </c>
      <c r="M33" s="213">
        <v>235.536585</v>
      </c>
      <c r="N33" s="213">
        <v>-106.054278</v>
      </c>
      <c r="O33" s="213">
        <v>601.13661100000002</v>
      </c>
      <c r="P33" s="213">
        <v>274.57283999999999</v>
      </c>
      <c r="Q33" s="241">
        <v>-404.35151400000001</v>
      </c>
      <c r="R33" s="241">
        <v>-3.9675409999998998</v>
      </c>
      <c r="S33" s="241">
        <v>747.61688299999901</v>
      </c>
      <c r="T33" s="241">
        <v>270.81174199999998</v>
      </c>
      <c r="U33" s="241">
        <v>204.08885100000001</v>
      </c>
      <c r="V33" s="241">
        <v>309.42372799999998</v>
      </c>
      <c r="W33" s="241">
        <v>223.85459399999999</v>
      </c>
      <c r="X33" s="241">
        <v>214.52469499999901</v>
      </c>
      <c r="Y33" s="241">
        <v>226.479964</v>
      </c>
      <c r="Z33" s="241">
        <v>160.159616</v>
      </c>
      <c r="AA33" s="241">
        <v>257.39328699999999</v>
      </c>
      <c r="AB33" s="241">
        <v>-0.40506199999999998</v>
      </c>
      <c r="AC33" s="241">
        <v>-284.86500599999999</v>
      </c>
      <c r="AD33" s="241">
        <v>-1060.510094</v>
      </c>
      <c r="AE33" s="241">
        <v>283.95622600000002</v>
      </c>
      <c r="AF33" s="241">
        <v>717.06893300000002</v>
      </c>
      <c r="AG33" s="241">
        <v>162.11648199999999</v>
      </c>
      <c r="AH33" s="241">
        <v>386.01950699999998</v>
      </c>
      <c r="AI33" s="241">
        <v>132.024641</v>
      </c>
      <c r="AJ33" s="241">
        <v>667.70675100000005</v>
      </c>
      <c r="AK33" s="241">
        <v>173.337267</v>
      </c>
      <c r="AL33" s="241">
        <v>-777.72407799999996</v>
      </c>
      <c r="AM33" s="241">
        <v>189.44671199999999</v>
      </c>
      <c r="AN33" s="241">
        <v>368.65194600000001</v>
      </c>
      <c r="AO33" s="2529"/>
      <c r="AP33" s="2529"/>
      <c r="AQ33" s="2529"/>
      <c r="AR33" s="2529"/>
      <c r="AS33" s="2529"/>
      <c r="AT33" s="2529"/>
      <c r="AU33" s="2529"/>
      <c r="AV33" s="2529"/>
      <c r="AW33" s="2529"/>
      <c r="AX33" s="2529"/>
      <c r="AY33" s="2529"/>
      <c r="AZ33" s="2529"/>
      <c r="BA33" s="192">
        <f>SUMIFS(D33:AN33,$D$1:$AN$1,'#经营概况'!$B$1,'利润（汇总）'!$D$2:$AN$2,'#经营概况'!$B$2)</f>
        <v>0</v>
      </c>
    </row>
    <row r="34" spans="1:55">
      <c r="A34" s="206" t="s">
        <v>949</v>
      </c>
      <c r="B34" s="208" t="str">
        <f>'收入（汇总）'!B35</f>
        <v>峨口农业</v>
      </c>
      <c r="C34" s="209">
        <v>-53.839193000000002</v>
      </c>
      <c r="D34" s="209">
        <v>-4.5635389999999996</v>
      </c>
      <c r="E34" s="209">
        <v>-6.9198000000000004</v>
      </c>
      <c r="F34" s="209">
        <v>-5.4607999999999999</v>
      </c>
      <c r="G34" s="209">
        <v>-3.1673550000000001</v>
      </c>
      <c r="H34" s="209">
        <v>-4.8095999999999997</v>
      </c>
      <c r="I34" s="209">
        <v>-5.0042</v>
      </c>
      <c r="J34" s="209">
        <v>-2.9673449999999999</v>
      </c>
      <c r="K34" s="209">
        <v>-5.0603210000000001</v>
      </c>
      <c r="L34" s="209">
        <v>-5.4855999999999998</v>
      </c>
      <c r="M34" s="209">
        <v>-4.1621689999999996</v>
      </c>
      <c r="N34" s="209">
        <v>-5.0922000000000001</v>
      </c>
      <c r="O34" s="209">
        <v>-4.5994000000000002</v>
      </c>
      <c r="P34" s="209">
        <v>-4.2913839999999999</v>
      </c>
      <c r="Q34" s="238">
        <v>-6.5885999999999996</v>
      </c>
      <c r="R34" s="238">
        <v>-4.6138000000000003</v>
      </c>
      <c r="S34" s="238">
        <v>-3.2570890000000001</v>
      </c>
      <c r="T34" s="238">
        <v>-5.1871999999999998</v>
      </c>
      <c r="U34" s="238">
        <v>-6.6955</v>
      </c>
      <c r="V34" s="238">
        <v>-3.8387910000000001</v>
      </c>
      <c r="W34" s="238">
        <v>-6.1529999999999996</v>
      </c>
      <c r="X34" s="238">
        <v>-4.6905999999999999</v>
      </c>
      <c r="Y34" s="238">
        <v>-3.8469989999999998</v>
      </c>
      <c r="Z34" s="238">
        <v>-5.8517999999999999</v>
      </c>
      <c r="AA34" s="238">
        <v>-4.2728999999999999</v>
      </c>
      <c r="AB34" s="238">
        <v>-3.6476660000000001</v>
      </c>
      <c r="AC34" s="238">
        <v>-5.2371999999999996</v>
      </c>
      <c r="AD34" s="238">
        <v>-4.0110999999999999</v>
      </c>
      <c r="AE34" s="238">
        <v>-1.595756</v>
      </c>
      <c r="AF34" s="238">
        <v>-4.8472999999999997</v>
      </c>
      <c r="AG34" s="238">
        <v>-4.7225000000000001</v>
      </c>
      <c r="AH34" s="238">
        <v>-2.3049780000000002</v>
      </c>
      <c r="AI34" s="238">
        <v>-4.9619</v>
      </c>
      <c r="AJ34" s="238">
        <v>-2.8738000000000001</v>
      </c>
      <c r="AK34" s="238">
        <v>-1.7374069999999999</v>
      </c>
      <c r="AL34" s="238">
        <v>-5.9638</v>
      </c>
      <c r="AM34" s="238">
        <v>-5.96</v>
      </c>
      <c r="AN34" s="238">
        <v>-1.837467</v>
      </c>
      <c r="AO34" s="2053">
        <v>-4.4115000000000002</v>
      </c>
      <c r="AP34" s="238">
        <v>-4.9753999999999996</v>
      </c>
      <c r="AQ34" s="238">
        <v>-2.5652650000000001</v>
      </c>
      <c r="AR34" s="238">
        <v>-4.1337999999999999</v>
      </c>
      <c r="AS34" s="238">
        <v>-4.3236920000000003</v>
      </c>
      <c r="AT34" s="238">
        <v>1.8188359999999999</v>
      </c>
      <c r="AU34" s="238">
        <v>0</v>
      </c>
      <c r="AV34" s="238">
        <v>0.99154300000000006</v>
      </c>
      <c r="AW34" s="238"/>
      <c r="AX34" s="238"/>
      <c r="AY34" s="238"/>
      <c r="AZ34" s="238"/>
      <c r="BA34" s="206">
        <f>SUMIFS(D34:AN34,$D$1:$AN$1,'#经营概况'!$B$1,'利润（汇总）'!$D$2:$AN$2,'#经营概况'!$B$2)</f>
        <v>0</v>
      </c>
    </row>
    <row r="35" spans="1:55">
      <c r="A35" s="206" t="s">
        <v>950</v>
      </c>
      <c r="B35" s="208" t="str">
        <f>'收入（汇总）'!B36</f>
        <v>尖山农业</v>
      </c>
      <c r="C35" s="209">
        <v>-365.68856699999998</v>
      </c>
      <c r="D35" s="209">
        <v>15.788899000000001</v>
      </c>
      <c r="E35" s="209">
        <v>-14.309357</v>
      </c>
      <c r="F35" s="209">
        <v>-13.502158</v>
      </c>
      <c r="G35" s="209">
        <v>-12.788460000000001</v>
      </c>
      <c r="H35" s="209">
        <v>-13.935858</v>
      </c>
      <c r="I35" s="209">
        <v>-13.767158</v>
      </c>
      <c r="J35" s="209">
        <v>-12.862249</v>
      </c>
      <c r="K35" s="209">
        <v>-15.280545999999999</v>
      </c>
      <c r="L35" s="209">
        <v>-15.615957999999999</v>
      </c>
      <c r="M35" s="209">
        <v>-16.132148000000001</v>
      </c>
      <c r="N35" s="209">
        <v>-14.132558</v>
      </c>
      <c r="O35" s="209">
        <v>-16.764241999999999</v>
      </c>
      <c r="P35" s="209">
        <v>-14.238756</v>
      </c>
      <c r="Q35" s="238">
        <v>-14.485458</v>
      </c>
      <c r="R35" s="238">
        <v>-13.907057999999999</v>
      </c>
      <c r="S35" s="238">
        <v>-13.699166999999999</v>
      </c>
      <c r="T35" s="238">
        <v>-14.210858</v>
      </c>
      <c r="U35" s="238">
        <v>-15.036358</v>
      </c>
      <c r="V35" s="238">
        <v>-18.932587000000002</v>
      </c>
      <c r="W35" s="238">
        <v>-14.858591000000001</v>
      </c>
      <c r="X35" s="238">
        <v>-14.067291000000001</v>
      </c>
      <c r="Y35" s="238">
        <v>-13.510425</v>
      </c>
      <c r="Z35" s="238">
        <v>-14.398369000000001</v>
      </c>
      <c r="AA35" s="238">
        <v>-15.130091</v>
      </c>
      <c r="AB35" s="238">
        <v>-14.660551</v>
      </c>
      <c r="AC35" s="238">
        <v>-14.562013</v>
      </c>
      <c r="AD35" s="238">
        <v>-14.409791</v>
      </c>
      <c r="AE35" s="238">
        <v>-13.727679999999999</v>
      </c>
      <c r="AF35" s="238">
        <v>-14.356890999999999</v>
      </c>
      <c r="AG35" s="238">
        <v>-14.901991000000001</v>
      </c>
      <c r="AH35" s="238">
        <v>-13.801304</v>
      </c>
      <c r="AI35" s="238">
        <v>-15.951091</v>
      </c>
      <c r="AJ35" s="238">
        <v>-14.475991</v>
      </c>
      <c r="AK35" s="238">
        <v>-14.984086</v>
      </c>
      <c r="AL35" s="238">
        <v>-15.674991</v>
      </c>
      <c r="AM35" s="238">
        <v>-15.67</v>
      </c>
      <c r="AN35" s="238">
        <v>-14.9808</v>
      </c>
      <c r="AO35" s="2053">
        <v>-15.750291000000001</v>
      </c>
      <c r="AP35" s="238">
        <v>-14.975891000000001</v>
      </c>
      <c r="AQ35" s="238">
        <v>-15.028878000000001</v>
      </c>
      <c r="AR35" s="238">
        <v>-15.061691</v>
      </c>
      <c r="AS35" s="238">
        <v>-15.090391</v>
      </c>
      <c r="AT35" s="238">
        <v>-14.929835000000001</v>
      </c>
      <c r="AU35" s="238">
        <v>-17</v>
      </c>
      <c r="AV35" s="238">
        <v>-17.068158</v>
      </c>
      <c r="AW35" s="238"/>
      <c r="AX35" s="238"/>
      <c r="AY35" s="238"/>
      <c r="AZ35" s="238"/>
      <c r="BA35" s="206">
        <f>SUMIFS(D35:AN35,$D$1:$AN$1,'#经营概况'!$B$1,'利润（汇总）'!$D$2:$AN$2,'#经营概况'!$B$2)</f>
        <v>0</v>
      </c>
    </row>
    <row r="36" spans="1:55">
      <c r="A36" s="206" t="s">
        <v>951</v>
      </c>
      <c r="B36" s="208" t="str">
        <f>'收入（汇总）'!B37</f>
        <v>岚县农业</v>
      </c>
      <c r="C36" s="209">
        <v>226.13964300000001</v>
      </c>
      <c r="D36" s="209">
        <v>283.54509300000001</v>
      </c>
      <c r="E36" s="209">
        <v>-6.152596</v>
      </c>
      <c r="F36" s="209">
        <v>-6.0369960000000003</v>
      </c>
      <c r="G36" s="209">
        <v>-4.8922480000000004</v>
      </c>
      <c r="H36" s="209">
        <v>-5.3359959999999997</v>
      </c>
      <c r="I36" s="209">
        <v>-5.882396</v>
      </c>
      <c r="J36" s="209">
        <v>-5.3059609999999999</v>
      </c>
      <c r="K36" s="209">
        <v>-8.1944490000000005</v>
      </c>
      <c r="L36" s="209">
        <v>-7.2904489999999997</v>
      </c>
      <c r="M36" s="209">
        <v>-4.9366859999999999</v>
      </c>
      <c r="N36" s="209">
        <v>-5.8733490000000002</v>
      </c>
      <c r="O36" s="209">
        <v>-7.1613490000000004</v>
      </c>
      <c r="P36" s="209">
        <v>281.35341299999999</v>
      </c>
      <c r="Q36" s="238">
        <v>-6.074649</v>
      </c>
      <c r="R36" s="238">
        <v>-5.8440630000000002</v>
      </c>
      <c r="S36" s="238">
        <v>-6.5431439999999998</v>
      </c>
      <c r="T36" s="238">
        <v>-6.3400059999999998</v>
      </c>
      <c r="U36" s="238">
        <v>-7.5530059999999999</v>
      </c>
      <c r="V36" s="238">
        <v>-4.8735359999999996</v>
      </c>
      <c r="W36" s="238">
        <v>-6.622706</v>
      </c>
      <c r="X36" s="238">
        <v>-7.5752059999999997</v>
      </c>
      <c r="Y36" s="238">
        <v>-5.668507</v>
      </c>
      <c r="Z36" s="238">
        <v>-6.8054309999999996</v>
      </c>
      <c r="AA36" s="238">
        <v>-7.8176310000000004</v>
      </c>
      <c r="AB36" s="238">
        <v>-6.2618840000000002</v>
      </c>
      <c r="AC36" s="238">
        <v>-6.9395150000000001</v>
      </c>
      <c r="AD36" s="238">
        <v>-5.8713150000000001</v>
      </c>
      <c r="AE36" s="238">
        <v>-5.2973569999999999</v>
      </c>
      <c r="AF36" s="238">
        <v>-5.7137000000000002</v>
      </c>
      <c r="AG36" s="238">
        <v>-6.8780999999999999</v>
      </c>
      <c r="AH36" s="238">
        <v>-4.8462440000000004</v>
      </c>
      <c r="AI36" s="238">
        <v>-6.8608000000000002</v>
      </c>
      <c r="AJ36" s="238">
        <v>-6.0738000000000003</v>
      </c>
      <c r="AK36" s="238">
        <v>-6.0413569999999996</v>
      </c>
      <c r="AL36" s="238">
        <v>-8.3621999999999996</v>
      </c>
      <c r="AM36" s="238">
        <v>-8.36</v>
      </c>
      <c r="AN36" s="238">
        <v>-5.1322890000000001</v>
      </c>
      <c r="AO36" s="2053">
        <v>-5.8734000000000002</v>
      </c>
      <c r="AP36" s="238">
        <v>-7.3765000000000001</v>
      </c>
      <c r="AQ36" s="238">
        <v>-5.1390919999999998</v>
      </c>
      <c r="AR36" s="238">
        <v>-6.641</v>
      </c>
      <c r="AS36" s="238">
        <v>-6.5468999999999999</v>
      </c>
      <c r="AT36" s="238">
        <v>-11.513377</v>
      </c>
      <c r="AU36" s="238">
        <v>-8</v>
      </c>
      <c r="AV36" s="238">
        <v>-8.1818000000000008</v>
      </c>
      <c r="AW36" s="238"/>
      <c r="AX36" s="238"/>
      <c r="AY36" s="238"/>
      <c r="AZ36" s="238"/>
      <c r="BA36" s="206">
        <f>SUMIFS(D36:AN36,$D$1:$AN$1,'#经营概况'!$B$1,'利润（汇总）'!$D$2:$AN$2,'#经营概况'!$B$2)</f>
        <v>0</v>
      </c>
    </row>
    <row r="37" spans="1:55" s="196" customFormat="1">
      <c r="B37" s="223" t="str">
        <f>'收入（汇总）'!B38</f>
        <v>投资收益</v>
      </c>
      <c r="C37" s="224">
        <v>2025.1693655766701</v>
      </c>
      <c r="D37" s="224">
        <v>5375.8264251066703</v>
      </c>
      <c r="E37" s="224">
        <v>-7841.0637063200002</v>
      </c>
      <c r="F37" s="224">
        <v>757.09235261000003</v>
      </c>
      <c r="G37" s="224">
        <v>406.79643338</v>
      </c>
      <c r="H37" s="224">
        <v>12191.36133337</v>
      </c>
      <c r="I37" s="224">
        <v>3870.2597816299999</v>
      </c>
      <c r="J37" s="224">
        <v>3859.8767370619998</v>
      </c>
      <c r="K37" s="224">
        <v>4576.2382429999998</v>
      </c>
      <c r="L37" s="224">
        <v>1789.1784425799999</v>
      </c>
      <c r="M37" s="224">
        <v>4137.84</v>
      </c>
      <c r="N37" s="224">
        <v>-629.89091189999999</v>
      </c>
      <c r="O37" s="224">
        <v>4304.4091591899996</v>
      </c>
      <c r="P37" s="224">
        <v>-2569.4661512299999</v>
      </c>
      <c r="Q37" s="246">
        <f>SUMIFS('#投资收益'!53:53,'#投资收益'!1:1,Q1,'#投资收益'!2:2,Q2,'#投资收益'!3:3,"投资收益")</f>
        <v>2102.9158408300009</v>
      </c>
      <c r="R37" s="246">
        <f>SUMIFS('#投资收益'!53:53,'#投资收益'!1:1,R1,'#投资收益'!2:2,R2,'#投资收益'!3:3,"投资收益")</f>
        <v>-1011.1756467500005</v>
      </c>
      <c r="S37" s="246">
        <f>SUMIFS('#投资收益'!53:53,'#投资收益'!1:1,S1,'#投资收益'!2:2,S2,'#投资收益'!3:3,"投资收益")</f>
        <v>86.859262310000076</v>
      </c>
      <c r="T37" s="246">
        <f>SUMIFS('#投资收益'!53:53,'#投资收益'!1:1,T1,'#投资收益'!2:2,T2,'#投资收益'!3:3,"投资收益")</f>
        <v>873.10810284000013</v>
      </c>
      <c r="U37" s="246">
        <f>SUMIFS('#投资收益'!53:53,'#投资收益'!1:1,U1,'#投资收益'!2:2,U2,'#投资收益'!3:3,"投资收益")</f>
        <v>39287.771562870003</v>
      </c>
      <c r="V37" s="246">
        <f>SUMIFS('#投资收益'!53:53,'#投资收益'!1:1,V1,'#投资收益'!2:2,V2,'#投资收益'!3:3,"投资收益")</f>
        <v>1086.9330555959198</v>
      </c>
      <c r="W37" s="246">
        <f>SUMIFS('#投资收益'!53:53,'#投资收益'!1:1,W1,'#投资收益'!2:2,W2,'#投资收益'!3:3,"投资收益")</f>
        <v>1150.78576737408</v>
      </c>
      <c r="X37" s="246">
        <f>SUMIFS('#投资收益'!53:53,'#投资收益'!1:1,X1,'#投资收益'!2:2,X2,'#投资收益'!3:3,"投资收益")</f>
        <v>10823.8822134</v>
      </c>
      <c r="Y37" s="246">
        <f>SUMIFS('#投资收益'!53:53,'#投资收益'!1:1,Y1,'#投资收益'!2:2,Y2,'#投资收益'!3:3,"投资收益")</f>
        <v>1705.3552733481552</v>
      </c>
      <c r="Z37" s="246">
        <f>SUMIFS('#投资收益'!53:53,'#投资收益'!1:1,Z1,'#投资收益'!2:2,Z2,'#投资收益'!3:3,"投资收益")</f>
        <v>2463.175050851843</v>
      </c>
      <c r="AA37" s="246">
        <f>SUMIFS('#投资收益'!53:53,'#投资收益'!1:1,AA1,'#投资收益'!2:2,AA2,'#投资收益'!3:3,"投资收益")</f>
        <v>8066.750200290001</v>
      </c>
      <c r="AB37" s="246">
        <f>SUMIFS('#投资收益'!53:53,'#投资收益'!1:1,AB1,'#投资收益'!2:2,AB2,'#投资收益'!3:3,"投资收益")</f>
        <v>7742.2046573599991</v>
      </c>
      <c r="AC37" s="246">
        <f>SUMIFS('#投资收益'!53:53,'#投资收益'!1:1,AC1,'#投资收益'!2:2,AC2,'#投资收益'!3:3,"投资收益")</f>
        <v>-293.62785434999995</v>
      </c>
      <c r="AD37" s="246">
        <f>SUMIFS('#投资收益'!53:53,'#投资收益'!1:1,AD1,'#投资收益'!2:2,AD2,'#投资收益'!3:3,"投资收益")</f>
        <v>4303.9396158100008</v>
      </c>
      <c r="AE37" s="246">
        <f>SUMIFS('#投资收益'!53:53,'#投资收益'!1:1,AE1,'#投资收益'!2:2,AE2,'#投资收益'!3:3,"投资收益")</f>
        <v>3352.288165720001</v>
      </c>
      <c r="AF37" s="246">
        <f>SUMIFS('#投资收益'!53:53,'#投资收益'!1:1,AF1,'#投资收益'!2:2,AF2,'#投资收益'!3:3,"投资收益")</f>
        <v>2381.2931231499988</v>
      </c>
      <c r="AG37" s="246">
        <f>SUMIFS('#投资收益'!53:53,'#投资收益'!1:1,AG1,'#投资收益'!2:2,AG2,'#投资收益'!3:3,"投资收益")</f>
        <v>38769.499946719996</v>
      </c>
      <c r="AH37" s="196">
        <f>SUMIFS('#投资收益'!53:53,'#投资收益'!1:1,AH1,'#投资收益'!2:2,AH2,'#投资收益'!3:3,"投资收益")</f>
        <v>8016.0888748699999</v>
      </c>
      <c r="AI37" s="196">
        <f>SUMIFS('#投资收益'!53:53,'#投资收益'!1:1,AI1,'#投资收益'!2:2,AI2,'#投资收益'!3:3,"投资收益")</f>
        <v>326.28753060999998</v>
      </c>
      <c r="AJ37" s="196">
        <f>SUMIFS('#投资收益'!53:53,'#投资收益'!1:1,AJ1,'#投资收益'!2:2,AJ2,'#投资收益'!3:3,"投资收益")</f>
        <v>-937.6963383599998</v>
      </c>
      <c r="AK37" s="196">
        <f>SUMIFS('#投资收益'!53:53,'#投资收益'!1:1,AK1,'#投资收益'!2:2,AK2,'#投资收益'!3:3,"投资收益")</f>
        <v>1558.1545669400002</v>
      </c>
      <c r="AL37" s="246">
        <f>SUMIFS('#投资收益'!53:53,'#投资收益'!1:1,AL1,'#投资收益'!2:2,AL2,'#投资收益'!3:3,"投资收益")</f>
        <v>13945.731880469997</v>
      </c>
      <c r="AM37" s="246">
        <f>SUMIFS('#投资收益'!53:53,'#投资收益'!1:1,AM1,'#投资收益'!2:2,AM2,'#投资收益'!3:3,"投资收益")</f>
        <v>3872.4645895199992</v>
      </c>
      <c r="AN37" s="246">
        <f>SUMIFS('#投资收益'!53:53,'#投资收益'!1:1,AN1,'#投资收益'!2:2,AN2,'#投资收益'!3:3,"投资收益")</f>
        <v>107364.87187942</v>
      </c>
      <c r="AO37" s="246">
        <f>SUMIFS('#投资收益'!53:53,'#投资收益'!1:1,AO1,'#投资收益'!2:2,AO2,'#投资收益'!3:3,"投资收益")</f>
        <v>1397.204949190002</v>
      </c>
      <c r="AP37" s="246">
        <f>SUMIFS('#投资收益'!53:53,'#投资收益'!1:1,AP1,'#投资收益'!2:2,AP2,'#投资收益'!3:3,"投资收益")</f>
        <v>291.56606089000036</v>
      </c>
      <c r="AQ37" s="246">
        <f>SUMIFS('#投资收益'!53:53,'#投资收益'!1:1,AQ1,'#投资收益'!2:2,AQ2,'#投资收益'!3:3,"投资收益")</f>
        <v>2941.4805369000014</v>
      </c>
      <c r="AR37" s="246">
        <f>SUMIFS('#投资收益'!53:53,'#投资收益'!1:1,AR1,'#投资收益'!2:2,AR2,'#投资收益'!3:3,"投资收益")</f>
        <v>1640.4014676699994</v>
      </c>
      <c r="AS37" s="246">
        <f>SUMIFS('#投资收益'!53:53,'#投资收益'!1:1,AS1,'#投资收益'!2:2,AS2,'#投资收益'!3:3,"投资收益")</f>
        <v>55569.64053379</v>
      </c>
      <c r="AT37" s="246">
        <f>SUMIFS('#投资收益'!53:53,'#投资收益'!1:1,AT1,'#投资收益'!2:2,AT2,'#投资收益'!3:3,"投资收益")</f>
        <v>30011.002045720001</v>
      </c>
      <c r="AU37" s="246">
        <f>SUMIFS('#投资收益'!53:53,'#投资收益'!1:1,AU1,'#投资收益'!2:2,AU2,'#投资收益'!3:3,"投资收益")</f>
        <v>2270.0452814100004</v>
      </c>
      <c r="AV37" s="246">
        <f>SUMIFS('#投资收益'!53:53,'#投资收益'!1:1,AV1,'#投资收益'!2:2,AV2,'#投资收益'!3:3,"投资收益")</f>
        <v>6634.2905809999993</v>
      </c>
      <c r="AW37" s="246">
        <f>SUMIFS('#投资收益'!53:53,'#投资收益'!1:1,AW1,'#投资收益'!2:2,AW2,'#投资收益'!3:3,"投资收益")</f>
        <v>0</v>
      </c>
      <c r="AX37" s="246">
        <f>SUMIFS('#投资收益'!53:53,'#投资收益'!1:1,AX1,'#投资收益'!2:2,AX2,'#投资收益'!3:3,"投资收益")</f>
        <v>0</v>
      </c>
      <c r="AY37" s="246">
        <f>SUMIFS('#投资收益'!53:53,'#投资收益'!1:1,AY1,'#投资收益'!2:2,AY2,'#投资收益'!3:3,"投资收益")</f>
        <v>0</v>
      </c>
      <c r="AZ37" s="246">
        <f>SUMIFS('#投资收益'!53:53,'#投资收益'!1:1,AZ1,'#投资收益'!2:2,AZ2,'#投资收益'!3:3,"投资收益")</f>
        <v>0</v>
      </c>
      <c r="BA37" s="196">
        <f>SUMIFS('#投资收益'!53:53,'#投资收益'!1:1,BA1,'#投资收益'!2:2,BA2,'#投资收益'!3:3,"投资收益")</f>
        <v>0</v>
      </c>
      <c r="BB37" s="196">
        <f>SUMIFS('#投资收益'!53:53,'#投资收益'!1:1,BB1,'#投资收益'!2:2,BB2,'#投资收益'!3:3,"投资收益")</f>
        <v>0</v>
      </c>
      <c r="BC37" s="196">
        <f>SUMIFS('#投资收益'!53:53,'#投资收益'!1:1,BC1,'#投资收益'!2:2,BC2,'#投资收益'!3:3,"投资收益")</f>
        <v>0</v>
      </c>
    </row>
    <row r="38" spans="1:55" s="197" customFormat="1">
      <c r="B38" s="225" t="str">
        <f>'收入（汇总）'!B39</f>
        <v>抵减财务公司投资收益</v>
      </c>
      <c r="C38" s="226">
        <v>-12381.334029435</v>
      </c>
      <c r="D38" s="226">
        <v>-4259.3528355525004</v>
      </c>
      <c r="E38" s="226">
        <f>-E22*0.75*0.49</f>
        <v>-1018.3546370549999</v>
      </c>
      <c r="F38" s="226">
        <f>-F22*0.75*0.49</f>
        <v>-1029.1093433775</v>
      </c>
      <c r="G38" s="226">
        <f>-G22*0.75*0.49</f>
        <v>-806.11687973250002</v>
      </c>
      <c r="H38" s="226">
        <f>-H22*0.75*0.49</f>
        <v>-992.18456882999988</v>
      </c>
      <c r="I38" s="226">
        <f>-1114.68384608</f>
        <v>-1114.68384608</v>
      </c>
      <c r="J38" s="226">
        <f t="shared" ref="J38:O38" si="0">-J22*0.75*0.49</f>
        <v>-1065.5372513099999</v>
      </c>
      <c r="K38" s="226">
        <f t="shared" si="0"/>
        <v>-1030.07521092</v>
      </c>
      <c r="L38" s="226">
        <f t="shared" si="0"/>
        <v>-1020.3573323474999</v>
      </c>
      <c r="M38" s="226">
        <f t="shared" si="0"/>
        <v>-790.92044897250003</v>
      </c>
      <c r="N38" s="226">
        <f t="shared" si="0"/>
        <v>-1167.8705516099999</v>
      </c>
      <c r="O38" s="226">
        <f t="shared" si="0"/>
        <v>-978.01774113750014</v>
      </c>
      <c r="P38" s="226">
        <v>-825.18</v>
      </c>
      <c r="Q38" s="247">
        <f>-Q22*0.75*0.49</f>
        <v>-1032.4464752700001</v>
      </c>
      <c r="R38" s="247">
        <v>-1040.1595038974999</v>
      </c>
      <c r="S38" s="247">
        <v>-1040.2839581400001</v>
      </c>
      <c r="T38" s="247">
        <v>-1046.17184812</v>
      </c>
      <c r="U38" s="247">
        <v>-1036.3205735399999</v>
      </c>
      <c r="V38" s="247">
        <v>21.756965299999901</v>
      </c>
      <c r="W38" s="247">
        <v>-1014.64592383</v>
      </c>
      <c r="X38" s="247">
        <v>-1186.6163571500001</v>
      </c>
      <c r="Y38" s="247">
        <v>-1015.61703327</v>
      </c>
      <c r="Z38" s="247">
        <v>-985.53762131999997</v>
      </c>
      <c r="AA38" s="247">
        <v>-1048.9577862399999</v>
      </c>
      <c r="AB38" s="247">
        <v>-771.73046614999998</v>
      </c>
      <c r="AC38" s="247">
        <v>-1164.27180492</v>
      </c>
      <c r="AD38" s="247">
        <v>-1209.0957426800001</v>
      </c>
      <c r="AE38" s="247">
        <v>-382.32778611999998</v>
      </c>
      <c r="AF38" s="247">
        <v>-1271.0104707999999</v>
      </c>
      <c r="AG38" s="247">
        <v>-1551.59239361</v>
      </c>
      <c r="AH38" s="197">
        <v>-1493.4546570299999</v>
      </c>
      <c r="AI38" s="197">
        <v>-1471.03893965</v>
      </c>
      <c r="AJ38" s="197">
        <v>-1543.17599926</v>
      </c>
      <c r="AK38" s="197">
        <v>-599.22048256000005</v>
      </c>
      <c r="AL38" s="247">
        <v>-1352.4442626800001</v>
      </c>
      <c r="AM38" s="247">
        <v>-1190.8079171100001</v>
      </c>
      <c r="AN38" s="247">
        <v>-2060.3703024800002</v>
      </c>
      <c r="AO38" s="247">
        <v>-1325.47205882</v>
      </c>
      <c r="AP38" s="247">
        <v>-823.81710894000003</v>
      </c>
      <c r="AQ38" s="247">
        <v>-551.74</v>
      </c>
      <c r="AR38" s="247">
        <v>-1694.8268151899999</v>
      </c>
      <c r="AS38" s="247">
        <v>-1825</v>
      </c>
      <c r="AT38" s="247">
        <v>-815.32492824999997</v>
      </c>
      <c r="AU38" s="247">
        <v>-1101</v>
      </c>
      <c r="AV38" s="247">
        <v>-1118.8599999999999</v>
      </c>
      <c r="AW38" s="247"/>
      <c r="AX38" s="247"/>
      <c r="AY38" s="247"/>
      <c r="AZ38" s="247"/>
    </row>
    <row r="39" spans="1:55" s="197" customFormat="1">
      <c r="B39" s="225" t="str">
        <f>'收入（汇总）'!B40</f>
        <v>合并财务公司拨备</v>
      </c>
      <c r="C39" s="226"/>
      <c r="D39" s="226"/>
      <c r="E39" s="226"/>
      <c r="F39" s="226"/>
      <c r="G39" s="226">
        <v>-644</v>
      </c>
      <c r="H39" s="226"/>
      <c r="I39" s="226"/>
      <c r="J39" s="226">
        <v>350</v>
      </c>
      <c r="K39" s="226"/>
      <c r="L39" s="226"/>
      <c r="M39" s="226">
        <v>828.89</v>
      </c>
      <c r="N39" s="226"/>
      <c r="O39" s="226"/>
      <c r="P39" s="226">
        <v>1662.63</v>
      </c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>
        <v>-5338.66</v>
      </c>
      <c r="AD39" s="247"/>
      <c r="AE39" s="247">
        <v>1470.99</v>
      </c>
      <c r="AF39" s="247"/>
      <c r="AG39" s="247"/>
      <c r="AH39" s="197">
        <v>84</v>
      </c>
      <c r="AK39" s="197">
        <v>431</v>
      </c>
      <c r="AN39" s="247">
        <v>-2210.8000000000002</v>
      </c>
      <c r="AO39" s="247"/>
      <c r="AP39" s="247"/>
      <c r="AQ39" s="247">
        <v>169.52</v>
      </c>
      <c r="AR39" s="247"/>
      <c r="AS39" s="247"/>
      <c r="AT39" s="247">
        <v>529.01254800000004</v>
      </c>
      <c r="AU39" s="247"/>
      <c r="AV39" s="247"/>
      <c r="AW39" s="247"/>
      <c r="AX39" s="247"/>
      <c r="AY39" s="247"/>
      <c r="AZ39" s="247"/>
    </row>
    <row r="40" spans="1:55" s="197" customFormat="1">
      <c r="B40" s="225" t="s">
        <v>145</v>
      </c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47">
        <f>-SUMIFS('#投资收益'!39:39,'#投资收益'!1:1,Q1,'#投资收益'!2:2,Q2,'#投资收益'!3:3,"投资收益")</f>
        <v>0</v>
      </c>
      <c r="R40" s="247">
        <f>-SUMIFS('#投资收益'!39:39,'#投资收益'!1:1,R1,'#投资收益'!2:2,R2,'#投资收益'!3:3,"投资收益")</f>
        <v>0</v>
      </c>
      <c r="S40" s="247">
        <f>-SUMIFS('#投资收益'!39:39,'#投资收益'!1:1,S1,'#投资收益'!2:2,S2,'#投资收益'!3:3,"投资收益")</f>
        <v>0</v>
      </c>
      <c r="T40" s="247">
        <f>-SUMIFS('#投资收益'!39:39,'#投资收益'!1:1,T1,'#投资收益'!2:2,T2,'#投资收益'!3:3,"投资收益")</f>
        <v>0</v>
      </c>
      <c r="U40" s="247">
        <f>-SUMIFS('#投资收益'!39:39,'#投资收益'!1:1,U1,'#投资收益'!2:2,U2,'#投资收益'!3:3,"投资收益")</f>
        <v>-35713.57</v>
      </c>
      <c r="V40" s="247">
        <f>-SUMIFS('#投资收益'!39:39,'#投资收益'!1:1,V1,'#投资收益'!2:2,V2,'#投资收益'!3:3,"投资收益")</f>
        <v>0</v>
      </c>
      <c r="W40" s="247">
        <f>-SUMIFS('#投资收益'!39:39,'#投资收益'!1:1,W1,'#投资收益'!2:2,W2,'#投资收益'!3:3,"投资收益")</f>
        <v>0</v>
      </c>
      <c r="X40" s="247">
        <f>-SUMIFS('#投资收益'!39:39,'#投资收益'!1:1,X1,'#投资收益'!2:2,X2,'#投资收益'!3:3,"投资收益")</f>
        <v>-10275.358200000001</v>
      </c>
      <c r="Y40" s="247"/>
      <c r="Z40" s="247"/>
      <c r="AA40" s="247"/>
      <c r="AB40" s="247">
        <f>-SUMIFS('#投资收益'!39:39,'#投资收益'!1:1,AB1,'#投资收益'!2:2,AB2,'#投资收益'!3:3,"投资收益")</f>
        <v>-1331.6535670000001</v>
      </c>
      <c r="AC40" s="247">
        <f>-SUMIFS('#投资收益'!39:39,'#投资收益'!1:1,AC1,'#投资收益'!2:2,AC2,'#投资收益'!3:3,"投资收益")</f>
        <v>0</v>
      </c>
      <c r="AD40" s="247">
        <f>-SUMIFS('#投资收益'!39:39,'#投资收益'!1:1,AD1,'#投资收益'!2:2,AD2,'#投资收益'!3:3,"投资收益")</f>
        <v>0</v>
      </c>
      <c r="AE40" s="247">
        <f>-SUMIFS('#投资收益'!39:39,'#投资收益'!1:1,AE1,'#投资收益'!2:2,AE2,'#投资收益'!3:3,"投资收益")</f>
        <v>0</v>
      </c>
      <c r="AF40" s="247">
        <f>-SUMIFS('#投资收益'!39:39,'#投资收益'!1:1,AF1,'#投资收益'!2:2,AF2,'#投资收益'!3:3,"投资收益")</f>
        <v>0</v>
      </c>
      <c r="AG40" s="247">
        <f>-SUMIFS('#投资收益'!39:39,'#投资收益'!1:1,AG1,'#投资收益'!2:2,AG2,'#投资收益'!3:3,"投资收益")</f>
        <v>-35713.572520000002</v>
      </c>
      <c r="AH40" s="247">
        <f>-SUMIFS('#投资收益'!39:39,'#投资收益'!1:1,AH1,'#投资收益'!2:2,AH2,'#投资收益'!3:3,"投资收益")</f>
        <v>0</v>
      </c>
      <c r="AI40" s="247">
        <f>-SUMIFS('#投资收益'!39:39,'#投资收益'!1:1,AI1,'#投资收益'!2:2,AI2,'#投资收益'!3:3,"投资收益")</f>
        <v>0</v>
      </c>
      <c r="AJ40" s="247">
        <f>-SUMIFS('#投资收益'!39:39,'#投资收益'!1:1,AJ1,'#投资收益'!2:2,AJ2,'#投资收益'!3:3,"投资收益")</f>
        <v>0</v>
      </c>
      <c r="AK40" s="247">
        <f>-SUMIFS('#投资收益'!39:39,'#投资收益'!1:1,AK1,'#投资收益'!2:2,AK2,'#投资收益'!3:3,"投资收益")</f>
        <v>0</v>
      </c>
      <c r="AL40" s="247">
        <f>-SUMIFS('#投资收益'!39:39,'#投资收益'!1:1,AL1,'#投资收益'!2:2,AL2,'#投资收益'!3:3,"投资收益")</f>
        <v>-10935.077099</v>
      </c>
      <c r="AN40" s="247">
        <f>-SUMIFS('#投资收益'!39:39,'#投资收益'!1:1,AN1,'#投资收益'!2:2,AN2,'#投资收益'!3:3,"投资收益")-3454</f>
        <v>-17906.271714800001</v>
      </c>
      <c r="AO40" s="247">
        <f>-SUMIFS('#投资收益'!39:39,'#投资收益'!1:1,AO1,'#投资收益'!2:2,AO2,'#投资收益'!3:3,"投资收益")</f>
        <v>0</v>
      </c>
      <c r="AP40" s="247">
        <f>-SUMIFS('#投资收益'!39:39,'#投资收益'!1:1,AP1,'#投资收益'!2:2,AP2,'#投资收益'!3:3,"投资收益")</f>
        <v>0</v>
      </c>
      <c r="AQ40" s="247">
        <f>-SUMIFS('#投资收益'!39:39,'#投资收益'!1:1,AQ1,'#投资收益'!2:2,AQ2,'#投资收益'!3:3,"投资收益")</f>
        <v>0</v>
      </c>
      <c r="AR40" s="247">
        <f>-SUMIFS('#投资收益'!39:39,'#投资收益'!1:1,AR1,'#投资收益'!2:2,AR2,'#投资收益'!3:3,"投资收益")</f>
        <v>0</v>
      </c>
      <c r="AS40" s="247">
        <f>-SUMIFS('#投资收益'!39:39,'#投资收益'!1:1,AS1,'#投资收益'!2:2,AS2,'#投资收益'!3:3,"投资收益")</f>
        <v>-55178.751310200001</v>
      </c>
      <c r="AT40" s="247">
        <f>-SUMIFS('#投资收益'!39:39,'#投资收益'!1:1,AT1,'#投资收益'!2:2,AT2,'#投资收益'!3:3,"投资收益")</f>
        <v>-20891.06121</v>
      </c>
      <c r="AU40" s="247">
        <f>-SUMIFS('#投资收益'!39:39,'#投资收益'!1:1,AU1,'#投资收益'!2:2,AU2,'#投资收益'!3:3,"投资收益")</f>
        <v>0</v>
      </c>
      <c r="AV40" s="247">
        <f>-SUMIFS('#投资收益'!39:39,'#投资收益'!1:1,AV1,'#投资收益'!2:2,AV2,'#投资收益'!3:3,"投资收益")</f>
        <v>0</v>
      </c>
      <c r="AW40" s="247">
        <f>-SUMIFS('#投资收益'!39:39,'#投资收益'!1:1,AW1,'#投资收益'!2:2,AW2,'#投资收益'!3:3,"投资收益")</f>
        <v>0</v>
      </c>
      <c r="AX40" s="247">
        <f>-SUMIFS('#投资收益'!39:39,'#投资收益'!1:1,AX1,'#投资收益'!2:2,AX2,'#投资收益'!3:3,"投资收益")</f>
        <v>0</v>
      </c>
      <c r="AY40" s="247">
        <f>-SUMIFS('#投资收益'!39:39,'#投资收益'!1:1,AY1,'#投资收益'!2:2,AY2,'#投资收益'!3:3,"投资收益")</f>
        <v>0</v>
      </c>
      <c r="AZ40" s="247">
        <f>-SUMIFS('#投资收益'!39:39,'#投资收益'!1:1,AZ1,'#投资收益'!2:2,AZ2,'#投资收益'!3:3,"投资收益")</f>
        <v>0</v>
      </c>
    </row>
    <row r="41" spans="1:55" s="198" customFormat="1">
      <c r="B41" s="227" t="str">
        <f>'收入（汇总）'!B41</f>
        <v>其他事项处理</v>
      </c>
      <c r="C41" s="228">
        <f>C46</f>
        <v>1440</v>
      </c>
      <c r="D41" s="228">
        <f t="shared" ref="D41:Q41" si="1">D46</f>
        <v>4608</v>
      </c>
      <c r="E41" s="228">
        <f t="shared" si="1"/>
        <v>-323</v>
      </c>
      <c r="F41" s="228">
        <f t="shared" si="1"/>
        <v>-276</v>
      </c>
      <c r="G41" s="228">
        <f t="shared" si="1"/>
        <v>-215</v>
      </c>
      <c r="H41" s="228">
        <f t="shared" si="1"/>
        <v>-198</v>
      </c>
      <c r="I41" s="228">
        <f t="shared" si="1"/>
        <v>-126</v>
      </c>
      <c r="J41" s="228">
        <f t="shared" si="1"/>
        <v>-71</v>
      </c>
      <c r="K41" s="228">
        <f t="shared" si="1"/>
        <v>-43</v>
      </c>
      <c r="L41" s="228">
        <f t="shared" si="1"/>
        <v>-31</v>
      </c>
      <c r="M41" s="228">
        <f t="shared" si="1"/>
        <v>-10</v>
      </c>
      <c r="N41" s="228">
        <f t="shared" si="1"/>
        <v>0</v>
      </c>
      <c r="O41" s="228">
        <f t="shared" si="1"/>
        <v>0</v>
      </c>
      <c r="P41" s="228">
        <f t="shared" si="1"/>
        <v>0</v>
      </c>
      <c r="Q41" s="228">
        <f t="shared" si="1"/>
        <v>0</v>
      </c>
      <c r="R41" s="248"/>
      <c r="S41" s="248"/>
      <c r="T41" s="248"/>
      <c r="U41" s="248"/>
      <c r="V41" s="248"/>
      <c r="W41" s="248"/>
      <c r="X41" s="248"/>
      <c r="Y41" s="248"/>
      <c r="Z41" s="248"/>
      <c r="AA41" s="248"/>
      <c r="AB41" s="248">
        <v>-2555.91</v>
      </c>
      <c r="AD41" s="248"/>
      <c r="AE41" s="248"/>
      <c r="AF41" s="248"/>
      <c r="AG41" s="248"/>
      <c r="AU41" s="198">
        <v>-411</v>
      </c>
    </row>
    <row r="42" spans="1:55" s="199" customFormat="1">
      <c r="B42" s="229" t="s">
        <v>187</v>
      </c>
      <c r="C42" s="230">
        <v>579660.78605035401</v>
      </c>
      <c r="D42" s="230">
        <v>75509.277966416994</v>
      </c>
      <c r="E42" s="230">
        <f t="shared" ref="E42:AZ42" si="2">SUM(E3:E41)</f>
        <v>66586.186034516621</v>
      </c>
      <c r="F42" s="230">
        <f t="shared" si="2"/>
        <v>33193.953942024666</v>
      </c>
      <c r="G42" s="230">
        <f t="shared" si="2"/>
        <v>54209.842488325528</v>
      </c>
      <c r="H42" s="230">
        <f t="shared" si="2"/>
        <v>51754.807436323477</v>
      </c>
      <c r="I42" s="230">
        <f t="shared" si="2"/>
        <v>52409.8291143651</v>
      </c>
      <c r="J42" s="230">
        <f t="shared" si="2"/>
        <v>56121.439375752008</v>
      </c>
      <c r="K42" s="230">
        <f t="shared" si="2"/>
        <v>47847.071005962353</v>
      </c>
      <c r="L42" s="230">
        <f t="shared" si="2"/>
        <v>49740.183844240535</v>
      </c>
      <c r="M42" s="230">
        <f t="shared" si="2"/>
        <v>51430.086391878147</v>
      </c>
      <c r="N42" s="230">
        <f t="shared" si="2"/>
        <v>30971.26568103004</v>
      </c>
      <c r="O42" s="230">
        <f t="shared" si="2"/>
        <v>8808.8338328875125</v>
      </c>
      <c r="P42" s="230">
        <f t="shared" si="2"/>
        <v>-19239.09358222998</v>
      </c>
      <c r="Q42" s="230">
        <f t="shared" si="2"/>
        <v>5375.3114324697672</v>
      </c>
      <c r="R42" s="230">
        <f t="shared" si="2"/>
        <v>17267.570668425215</v>
      </c>
      <c r="S42" s="230">
        <f t="shared" si="2"/>
        <v>40886.12088493161</v>
      </c>
      <c r="T42" s="230">
        <f t="shared" si="2"/>
        <v>42801.438810714841</v>
      </c>
      <c r="U42" s="230">
        <f t="shared" si="2"/>
        <v>50482.734548626533</v>
      </c>
      <c r="V42" s="230">
        <f t="shared" si="2"/>
        <v>40979.724772801084</v>
      </c>
      <c r="W42" s="230">
        <f t="shared" si="2"/>
        <v>46265.239539100512</v>
      </c>
      <c r="X42" s="230">
        <f t="shared" si="2"/>
        <v>42883.092411696729</v>
      </c>
      <c r="Y42" s="230">
        <f t="shared" si="2"/>
        <v>36143.331702308722</v>
      </c>
      <c r="Z42" s="230">
        <f t="shared" si="2"/>
        <v>32113.610776514579</v>
      </c>
      <c r="AA42" s="230">
        <f t="shared" si="2"/>
        <v>29855.587674377541</v>
      </c>
      <c r="AB42" s="230">
        <f t="shared" si="2"/>
        <v>22012.028342116602</v>
      </c>
      <c r="AC42" s="230">
        <f t="shared" si="2"/>
        <v>19803.267612025262</v>
      </c>
      <c r="AD42" s="249">
        <f>SUM(AD3:AD41)</f>
        <v>434.93464715968321</v>
      </c>
      <c r="AE42" s="249">
        <f t="shared" si="2"/>
        <v>7548.6373187457011</v>
      </c>
      <c r="AF42" s="249">
        <f t="shared" si="2"/>
        <v>-1710.8409426500093</v>
      </c>
      <c r="AG42" s="249">
        <f t="shared" si="2"/>
        <v>7033.6184271099992</v>
      </c>
      <c r="AH42" s="249">
        <f t="shared" si="2"/>
        <v>47483.127580839995</v>
      </c>
      <c r="AI42" s="249">
        <f t="shared" si="2"/>
        <v>31164.388088960004</v>
      </c>
      <c r="AJ42" s="249">
        <f t="shared" si="2"/>
        <v>42051.108776380024</v>
      </c>
      <c r="AK42" s="249">
        <f t="shared" si="2"/>
        <v>38889.936916380015</v>
      </c>
      <c r="AL42" s="249">
        <f t="shared" si="2"/>
        <v>60591.150380790001</v>
      </c>
      <c r="AM42" s="249">
        <f t="shared" si="2"/>
        <v>32034.306324410009</v>
      </c>
      <c r="AN42" s="249">
        <f t="shared" si="2"/>
        <v>23330.27693813997</v>
      </c>
      <c r="AO42" s="249">
        <f t="shared" si="2"/>
        <v>95710.431894369991</v>
      </c>
      <c r="AP42" s="249">
        <f>SUM(AP3:AP41)</f>
        <v>137112.74407594991</v>
      </c>
      <c r="AQ42" s="249">
        <f>SUM(AQ3:AQ41)</f>
        <v>185559.04680189997</v>
      </c>
      <c r="AR42" s="249">
        <f>SUM(AR3:AR41)</f>
        <v>226597.99381447994</v>
      </c>
      <c r="AS42" s="249">
        <f t="shared" si="2"/>
        <v>236040.99474458993</v>
      </c>
      <c r="AT42" s="249">
        <f>SUM(AT3:AT41)</f>
        <v>212669.73981146998</v>
      </c>
      <c r="AU42" s="249">
        <f>SUM(AU3:AU41)</f>
        <v>218166.04012541007</v>
      </c>
      <c r="AV42" s="249">
        <f t="shared" si="2"/>
        <v>213139.37042600007</v>
      </c>
      <c r="AW42" s="249">
        <f t="shared" si="2"/>
        <v>0</v>
      </c>
      <c r="AX42" s="249">
        <f t="shared" si="2"/>
        <v>0</v>
      </c>
      <c r="AY42" s="249">
        <f t="shared" si="2"/>
        <v>0</v>
      </c>
      <c r="AZ42" s="249">
        <f t="shared" si="2"/>
        <v>0</v>
      </c>
    </row>
    <row r="43" spans="1:55" s="200" customFormat="1">
      <c r="B43" s="231"/>
      <c r="C43" s="232"/>
      <c r="D43" s="232"/>
      <c r="E43" s="232"/>
      <c r="F43" s="232"/>
      <c r="G43" s="232"/>
      <c r="H43" s="232"/>
      <c r="I43" s="232"/>
      <c r="J43" s="232"/>
      <c r="K43" s="232"/>
      <c r="L43" s="232"/>
      <c r="M43" s="232"/>
      <c r="N43" s="232"/>
      <c r="O43" s="232"/>
      <c r="P43" s="232"/>
    </row>
    <row r="44" spans="1:55" s="200" customFormat="1">
      <c r="B44" s="231" t="s">
        <v>75</v>
      </c>
      <c r="C44" s="232"/>
      <c r="D44" s="232"/>
      <c r="E44" s="232">
        <v>64102.271738516603</v>
      </c>
      <c r="F44" s="232">
        <v>36684.700071024701</v>
      </c>
      <c r="G44" s="232">
        <v>48516.844373325497</v>
      </c>
      <c r="H44" s="232">
        <v>51994.835467323501</v>
      </c>
      <c r="I44" s="232">
        <v>54986.887548365099</v>
      </c>
      <c r="J44" s="232">
        <v>61941.321266751998</v>
      </c>
      <c r="K44" s="232">
        <v>44866.249681962399</v>
      </c>
      <c r="L44" s="232">
        <v>50615.107633240499</v>
      </c>
      <c r="M44" s="232">
        <v>48175.793497441096</v>
      </c>
      <c r="N44" s="232">
        <v>32769.478563030003</v>
      </c>
      <c r="O44" s="232">
        <v>35512.801147887498</v>
      </c>
      <c r="P44" s="232">
        <v>-14526.412729424999</v>
      </c>
      <c r="Q44" s="200">
        <v>9612.4870514697704</v>
      </c>
      <c r="R44" s="200">
        <v>17902.660902425199</v>
      </c>
      <c r="S44" s="200">
        <v>38463.037217931596</v>
      </c>
      <c r="T44" s="200">
        <v>48876.958123714801</v>
      </c>
      <c r="U44" s="200">
        <v>52476.3692716265</v>
      </c>
      <c r="V44" s="200">
        <v>45577.406725801098</v>
      </c>
      <c r="W44" s="200">
        <v>49396.137319100497</v>
      </c>
      <c r="X44" s="200">
        <v>45939.775753696696</v>
      </c>
      <c r="Y44" s="200">
        <v>36019.328275308697</v>
      </c>
      <c r="Z44" s="200">
        <v>37829.236768514602</v>
      </c>
      <c r="AA44" s="200">
        <v>38711.648107377499</v>
      </c>
      <c r="AB44" s="200">
        <v>26712.6625651166</v>
      </c>
      <c r="AQ44" s="305"/>
    </row>
    <row r="45" spans="1:55" s="201" customFormat="1">
      <c r="C45" s="233"/>
      <c r="D45" s="233"/>
      <c r="E45" s="233"/>
      <c r="F45" s="233"/>
      <c r="G45" s="233"/>
      <c r="H45" s="233"/>
      <c r="I45" s="233"/>
      <c r="J45" s="233"/>
      <c r="K45" s="233"/>
      <c r="L45" s="233"/>
      <c r="M45" s="233"/>
      <c r="N45" s="233"/>
      <c r="O45" s="233"/>
      <c r="P45" s="233"/>
    </row>
    <row r="46" spans="1:55" s="202" customFormat="1">
      <c r="B46" s="202" t="s">
        <v>958</v>
      </c>
      <c r="C46" s="234">
        <f t="shared" ref="C46:X46" si="3">C48+C47</f>
        <v>1440</v>
      </c>
      <c r="D46" s="234">
        <f t="shared" si="3"/>
        <v>4608</v>
      </c>
      <c r="E46" s="234">
        <f t="shared" si="3"/>
        <v>-323</v>
      </c>
      <c r="F46" s="234">
        <f t="shared" si="3"/>
        <v>-276</v>
      </c>
      <c r="G46" s="234">
        <f t="shared" si="3"/>
        <v>-215</v>
      </c>
      <c r="H46" s="234">
        <f t="shared" si="3"/>
        <v>-198</v>
      </c>
      <c r="I46" s="234">
        <f t="shared" si="3"/>
        <v>-126</v>
      </c>
      <c r="J46" s="234">
        <f t="shared" si="3"/>
        <v>-71</v>
      </c>
      <c r="K46" s="234">
        <f t="shared" si="3"/>
        <v>-43</v>
      </c>
      <c r="L46" s="234">
        <f t="shared" si="3"/>
        <v>-31</v>
      </c>
      <c r="M46" s="234">
        <f t="shared" si="3"/>
        <v>-10</v>
      </c>
      <c r="N46" s="234">
        <f t="shared" si="3"/>
        <v>0</v>
      </c>
      <c r="O46" s="234">
        <f t="shared" si="3"/>
        <v>0</v>
      </c>
      <c r="P46" s="234">
        <f t="shared" si="3"/>
        <v>0</v>
      </c>
      <c r="Q46" s="234">
        <f t="shared" si="3"/>
        <v>0</v>
      </c>
      <c r="R46" s="234">
        <f t="shared" si="3"/>
        <v>0</v>
      </c>
      <c r="S46" s="234">
        <f t="shared" si="3"/>
        <v>0</v>
      </c>
      <c r="T46" s="234">
        <f t="shared" si="3"/>
        <v>0</v>
      </c>
      <c r="U46" s="234">
        <f t="shared" si="3"/>
        <v>0</v>
      </c>
      <c r="V46" s="234">
        <f t="shared" si="3"/>
        <v>0</v>
      </c>
      <c r="W46" s="234">
        <f t="shared" si="3"/>
        <v>0</v>
      </c>
      <c r="X46" s="234">
        <f t="shared" si="3"/>
        <v>0</v>
      </c>
    </row>
    <row r="47" spans="1:55" s="203" customFormat="1">
      <c r="B47" s="235" t="s">
        <v>959</v>
      </c>
      <c r="C47" s="236">
        <v>6223</v>
      </c>
      <c r="D47" s="236">
        <v>4608</v>
      </c>
      <c r="E47" s="236">
        <v>-323</v>
      </c>
      <c r="F47" s="236">
        <v>-276</v>
      </c>
      <c r="G47" s="236">
        <v>-215</v>
      </c>
      <c r="H47" s="236">
        <v>-198</v>
      </c>
      <c r="I47" s="236">
        <v>-126</v>
      </c>
      <c r="J47" s="236">
        <v>-71</v>
      </c>
      <c r="K47" s="236">
        <v>-43</v>
      </c>
      <c r="L47" s="236">
        <v>-31</v>
      </c>
      <c r="M47" s="236">
        <v>-10</v>
      </c>
      <c r="N47" s="236"/>
      <c r="O47" s="236"/>
      <c r="P47" s="236"/>
    </row>
    <row r="48" spans="1:55" s="203" customFormat="1">
      <c r="B48" s="235" t="s">
        <v>960</v>
      </c>
      <c r="C48" s="236">
        <v>-4783</v>
      </c>
      <c r="D48" s="236"/>
      <c r="E48" s="236"/>
      <c r="F48" s="236"/>
      <c r="G48" s="236"/>
      <c r="H48" s="236"/>
      <c r="I48" s="236"/>
      <c r="J48" s="236"/>
      <c r="K48" s="236"/>
      <c r="L48" s="236"/>
      <c r="M48" s="236"/>
      <c r="N48" s="236"/>
      <c r="O48" s="236"/>
      <c r="P48" s="236"/>
    </row>
    <row r="50" spans="2:52" s="204" customFormat="1">
      <c r="B50" s="204" t="s">
        <v>54</v>
      </c>
      <c r="E50" s="204">
        <v>5845.7811752249299</v>
      </c>
      <c r="F50" s="204">
        <v>-7804.3926257675303</v>
      </c>
      <c r="G50" s="204">
        <v>-24546.526682352502</v>
      </c>
      <c r="H50" s="204">
        <v>3387.5322445399802</v>
      </c>
      <c r="I50" s="204">
        <v>17.348394550004699</v>
      </c>
      <c r="J50" s="204">
        <v>11009.7213880038</v>
      </c>
      <c r="K50" s="204">
        <v>4706.5509660799498</v>
      </c>
      <c r="L50" s="204">
        <v>2326.7037992325299</v>
      </c>
      <c r="M50" s="204">
        <v>482.223679027564</v>
      </c>
      <c r="N50" s="204">
        <v>-2122.5158895100499</v>
      </c>
      <c r="O50" s="204">
        <v>-11471.4014619475</v>
      </c>
      <c r="P50" s="204">
        <v>-26665.566753384901</v>
      </c>
    </row>
    <row r="51" spans="2:52" s="205" customFormat="1">
      <c r="B51" s="205" t="s">
        <v>1422</v>
      </c>
      <c r="D51" s="237"/>
      <c r="E51" s="237">
        <f>E42-E50</f>
        <v>60740.404859291688</v>
      </c>
      <c r="F51" s="237">
        <f t="shared" ref="F51:P51" si="4">F42-F50</f>
        <v>40998.346567792192</v>
      </c>
      <c r="G51" s="237">
        <f t="shared" si="4"/>
        <v>78756.369170678023</v>
      </c>
      <c r="H51" s="237">
        <f t="shared" si="4"/>
        <v>48367.275191783498</v>
      </c>
      <c r="I51" s="237">
        <f t="shared" si="4"/>
        <v>52392.480719815096</v>
      </c>
      <c r="J51" s="237">
        <f t="shared" si="4"/>
        <v>45111.717987748212</v>
      </c>
      <c r="K51" s="237">
        <f t="shared" si="4"/>
        <v>43140.520039882402</v>
      </c>
      <c r="L51" s="237">
        <f t="shared" si="4"/>
        <v>47413.480045008007</v>
      </c>
      <c r="M51" s="237">
        <f t="shared" si="4"/>
        <v>50947.862712850583</v>
      </c>
      <c r="N51" s="237">
        <f t="shared" si="4"/>
        <v>33093.781570540086</v>
      </c>
      <c r="O51" s="237">
        <f t="shared" si="4"/>
        <v>20280.235294835013</v>
      </c>
      <c r="P51" s="237">
        <f t="shared" si="4"/>
        <v>7426.4731711549211</v>
      </c>
      <c r="Q51" s="237">
        <v>8415.0401369097508</v>
      </c>
      <c r="R51" s="237">
        <v>16697.900000000001</v>
      </c>
      <c r="S51" s="237">
        <v>34527.126719</v>
      </c>
      <c r="T51" s="237">
        <v>40500</v>
      </c>
      <c r="U51" s="237">
        <v>42659</v>
      </c>
      <c r="V51" s="237">
        <v>45755.520024905098</v>
      </c>
      <c r="W51" s="237">
        <v>38937.228337556502</v>
      </c>
      <c r="X51" s="237">
        <v>30991.0301164468</v>
      </c>
      <c r="Y51" s="237">
        <v>19944.090379960599</v>
      </c>
      <c r="Z51" s="237">
        <v>18432.681863999998</v>
      </c>
      <c r="AA51" s="237">
        <v>25934.689651000001</v>
      </c>
      <c r="AB51" s="237">
        <v>29815.359525</v>
      </c>
      <c r="AC51" s="238">
        <v>20016.707436000001</v>
      </c>
      <c r="AD51" s="238">
        <v>3548.2237319999999</v>
      </c>
      <c r="AE51" s="238">
        <v>17202.091345999997</v>
      </c>
      <c r="AF51" s="238">
        <v>19385.347834</v>
      </c>
      <c r="AG51" s="238">
        <v>20819.655841000003</v>
      </c>
      <c r="AH51" s="238">
        <v>55840.060306000007</v>
      </c>
      <c r="AI51" s="238">
        <v>30116.425045</v>
      </c>
      <c r="AJ51" s="238">
        <v>42619.222419999998</v>
      </c>
      <c r="AK51" s="238">
        <v>38753.67265</v>
      </c>
      <c r="AL51" s="238">
        <v>42618</v>
      </c>
      <c r="AM51" s="238">
        <v>22900.2</v>
      </c>
      <c r="AN51" s="238">
        <v>79206</v>
      </c>
      <c r="AO51" s="238">
        <v>80567.052837999989</v>
      </c>
      <c r="AP51" s="238">
        <v>120205.41946128799</v>
      </c>
      <c r="AQ51" s="238">
        <v>151835.15381005101</v>
      </c>
      <c r="AR51" s="871">
        <v>182880.09510314901</v>
      </c>
      <c r="AS51" s="238">
        <v>231916.884023319</v>
      </c>
      <c r="AT51" s="2566">
        <v>241818.88058496499</v>
      </c>
      <c r="AU51" s="2182"/>
      <c r="AV51" s="2182"/>
      <c r="AW51" s="2182"/>
      <c r="AX51" s="2182"/>
      <c r="AY51" s="2182"/>
      <c r="AZ51" s="2182"/>
    </row>
    <row r="52" spans="2:52">
      <c r="B52" s="206" t="s">
        <v>1423</v>
      </c>
      <c r="AC52" s="238">
        <v>4407.1245239999998</v>
      </c>
      <c r="AD52" s="238">
        <v>1072.0532909999999</v>
      </c>
      <c r="AE52" s="238">
        <v>8275.6462850000007</v>
      </c>
      <c r="AF52" s="238">
        <v>449.64905499999998</v>
      </c>
      <c r="AG52" s="238">
        <v>8124.8331630000002</v>
      </c>
      <c r="AH52" s="238">
        <v>35090.272640000003</v>
      </c>
      <c r="AI52" s="238">
        <v>6466.2001270000001</v>
      </c>
      <c r="AJ52" s="238">
        <v>24004.710056</v>
      </c>
      <c r="AK52" s="238">
        <v>18563.077590000001</v>
      </c>
      <c r="AL52" s="238">
        <v>30431.279479000001</v>
      </c>
      <c r="AM52" s="238">
        <v>18471.227135000001</v>
      </c>
      <c r="AN52" s="238">
        <v>17218.063041000001</v>
      </c>
      <c r="AO52" s="238">
        <v>50162.4657090006</v>
      </c>
      <c r="AP52" s="238">
        <v>73036.275873000006</v>
      </c>
      <c r="AQ52" s="238">
        <v>85480.284760050898</v>
      </c>
      <c r="AR52" s="238">
        <v>80526.160772339397</v>
      </c>
      <c r="AS52" s="238">
        <v>124336.63731899799</v>
      </c>
      <c r="AT52" s="238">
        <v>117965.187737215</v>
      </c>
    </row>
    <row r="53" spans="2:52">
      <c r="B53" s="206" t="s">
        <v>1425</v>
      </c>
      <c r="AC53" s="238">
        <v>9104.2993800000004</v>
      </c>
      <c r="AD53" s="238">
        <v>-2025.0442929999999</v>
      </c>
      <c r="AE53" s="238">
        <v>397.83452699999998</v>
      </c>
      <c r="AF53" s="238">
        <v>7504.0236279999999</v>
      </c>
      <c r="AG53" s="238">
        <v>38133.202636000002</v>
      </c>
      <c r="AH53" s="238">
        <v>-8927.0156360000001</v>
      </c>
      <c r="AI53" s="238">
        <v>9429.3026829999999</v>
      </c>
      <c r="AJ53" s="238">
        <v>5485.7366670000001</v>
      </c>
      <c r="AK53" s="238">
        <v>14082.883742</v>
      </c>
      <c r="AL53" s="238">
        <v>8290.4158490000009</v>
      </c>
      <c r="AM53" s="238">
        <v>2154.911008</v>
      </c>
      <c r="AN53" s="238">
        <v>110899.5</v>
      </c>
      <c r="AO53" s="238">
        <v>13032.454714</v>
      </c>
      <c r="AP53" s="238">
        <v>16940.229005000001</v>
      </c>
      <c r="AQ53" s="238">
        <v>-9284.4174129999992</v>
      </c>
      <c r="AR53" s="238">
        <v>26820.236446999999</v>
      </c>
      <c r="AS53" s="238">
        <v>89844.753763000001</v>
      </c>
      <c r="AT53" s="238">
        <v>70100.584518999996</v>
      </c>
    </row>
    <row r="55" spans="2:52">
      <c r="E55" s="238">
        <f>E44-E42</f>
        <v>-2483.9142960000172</v>
      </c>
      <c r="F55" s="238">
        <f t="shared" ref="F55:P55" si="5">F44-F42</f>
        <v>3490.7461290000356</v>
      </c>
      <c r="G55" s="238">
        <f t="shared" si="5"/>
        <v>-5692.9981150000312</v>
      </c>
      <c r="H55" s="238">
        <f t="shared" si="5"/>
        <v>240.02803100002347</v>
      </c>
      <c r="I55" s="238">
        <f t="shared" si="5"/>
        <v>2577.0584339999987</v>
      </c>
      <c r="J55" s="238">
        <f t="shared" si="5"/>
        <v>5819.88189099999</v>
      </c>
      <c r="K55" s="238">
        <f t="shared" si="5"/>
        <v>-2980.8213239999532</v>
      </c>
      <c r="L55" s="238">
        <f t="shared" si="5"/>
        <v>874.92378899996402</v>
      </c>
      <c r="M55" s="238">
        <f t="shared" si="5"/>
        <v>-3254.2928944370506</v>
      </c>
      <c r="N55" s="238">
        <f t="shared" si="5"/>
        <v>1798.2128819999634</v>
      </c>
      <c r="O55" s="238">
        <f t="shared" si="5"/>
        <v>26703.967314999987</v>
      </c>
      <c r="P55" s="238">
        <f t="shared" si="5"/>
        <v>4712.6808528049805</v>
      </c>
    </row>
    <row r="56" spans="2:52">
      <c r="E56" s="238"/>
      <c r="F56" s="238"/>
      <c r="G56" s="238"/>
      <c r="H56" s="238"/>
      <c r="I56" s="238"/>
      <c r="J56" s="238"/>
      <c r="K56" s="238"/>
      <c r="L56" s="238"/>
      <c r="M56" s="238"/>
      <c r="N56" s="238"/>
      <c r="O56" s="238"/>
      <c r="P56" s="238"/>
    </row>
    <row r="59" spans="2:52">
      <c r="AV59" s="238">
        <f>SUM(AO7:AU7)-48303</f>
        <v>635476</v>
      </c>
    </row>
    <row r="60" spans="2:52">
      <c r="AV60" s="238">
        <v>635476.29267200001</v>
      </c>
    </row>
    <row r="61" spans="2:52">
      <c r="AV61" s="238">
        <f>AV59-AV60</f>
        <v>-0.29267200001049787</v>
      </c>
    </row>
  </sheetData>
  <customSheetViews>
    <customSheetView guid="{1683F931-F47D-47C0-A395-D48080DC7EE6}" showPageBreaks="1" hiddenColumns="1">
      <pane xSplit="2" ySplit="1" topLeftCell="AO2" activePane="bottomRight" state="frozen"/>
      <selection pane="bottomRight" activeCell="AR19" sqref="AR19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 r:id="rId1"/>
    </customSheetView>
    <customSheetView guid="{43897816-D2F0-4C3D-8F57-E0039BD2296B}">
      <pane xSplit="2" ySplit="3" topLeftCell="AO19" activePane="bottomRight" state="frozen"/>
      <selection pane="bottomRight" activeCell="AW31" sqref="AW3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849C46E5-4ED4-41B9-BDA9-A6465B9DA9C2}">
      <pane xSplit="2" ySplit="2" topLeftCell="AI27" activePane="bottomRight" state="frozen"/>
      <selection pane="bottomRight" activeCell="AR38" sqref="AR3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8C09BCDE-4B8A-4469-B3F2-7F4528A2E78D}">
      <pane xSplit="2" ySplit="2" topLeftCell="AI27" activePane="bottomRight" state="frozen"/>
      <selection pane="bottomRight" activeCell="AR38" sqref="AR3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F4EB51F4-FD23-4D5B-8072-1AF5D59D6686}">
      <pane xSplit="2" ySplit="2" topLeftCell="Y24" activePane="bottomRight" state="frozen"/>
      <selection pane="bottomRight" activeCell="A59" sqref="A59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D7BCFB76-2797-401D-A6F1-E020B5162DD4}">
      <pane xSplit="2" ySplit="3" topLeftCell="AP4" activePane="bottomRight" state="frozen"/>
      <selection pane="bottomRight" activeCell="AT8" sqref="AT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C9A88430-3808-49F4-8D86-BF8C70C55441}" topLeftCell="AK10">
      <selection activeCell="AS22" sqref="AS2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E61FFED3-723E-484A-93A0-94E1A801AF06}">
      <pane xSplit="2" ySplit="3" topLeftCell="J22" activePane="bottomRight" state="frozen"/>
      <selection pane="bottomRight" activeCell="T21" sqref="T2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6B5CCA07-2BDD-4B8E-9E3C-2111BBA97430}">
      <pane xSplit="2" ySplit="3" topLeftCell="AE4" activePane="bottomRight" state="frozen"/>
      <selection pane="bottomRight" activeCell="AO11" sqref="AO1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 r:id="rId2"/>
    </customSheetView>
    <customSheetView guid="{2F47A827-9643-4D8A-AC5D-6B09D79AACF9}">
      <pane xSplit="2" ySplit="3" topLeftCell="J4" activePane="bottomRight" state="frozen"/>
      <selection pane="bottomRight" activeCell="P18" sqref="P18:R1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B37168A1-DBAB-4BDE-9F92-6261DCDF3D92}">
      <pane xSplit="2" ySplit="2" topLeftCell="AB3" activePane="bottomRight" state="frozen"/>
      <selection pane="bottomRight" activeCell="AI15" sqref="AI15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AE0DD889-C13C-4059-8024-0F5B234827E9}" hiddenColumns="1">
      <pane xSplit="3" ySplit="2" topLeftCell="N9" activePane="bottomRight" state="frozen"/>
      <selection pane="bottomRight" activeCell="S50" sqref="S50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CCBBD9B0-4191-4D7A-9F7B-BAC044A49153}">
      <pane xSplit="2" ySplit="2" topLeftCell="U3" state="frozen"/>
      <selection activeCell="AP22" sqref="AP2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F5F9735B-EE22-4AC6-B5AB-C856ED6C133D}">
      <selection activeCell="F39" sqref="F39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45B4C0D1-53B6-4553-BFF9-393760B8E0CE}">
      <pane xSplit="2" ySplit="3" topLeftCell="J34" state="frozen"/>
      <selection activeCell="S3" sqref="S3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1BBD1596-143E-4714-99EF-E3545231CCD1}">
      <pane xSplit="2" ySplit="3" topLeftCell="J4" state="frozen"/>
      <selection activeCell="P38" sqref="P3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A8456D60-99BA-4794-8966-0CBA0A37EA6F}">
      <pane xSplit="2" ySplit="3" topLeftCell="J4" state="frozen"/>
      <selection activeCell="P38" sqref="P3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500C3980-ED13-4C97-96B1-955D50509B66}" hiddenColumns="1">
      <selection activeCell="AA23" sqref="AA23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3B943BAF-34C7-494A-A071-85DE0891E5A1}">
      <pane xSplit="2" ySplit="2" topLeftCell="D3" state="frozen"/>
      <selection activeCell="T41" sqref="T4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EEE4B3DA-ADF6-49CC-9873-068FE5927B92}">
      <pane xSplit="2" ySplit="3" topLeftCell="J7" state="frozen"/>
      <selection activeCell="P18" sqref="P18:R1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C52D0F53-4D1D-4D01-B833-260359FD02A5}">
      <pane xSplit="2" ySplit="2" topLeftCell="W4" activePane="bottomRight" state="frozen"/>
      <selection pane="bottomRight" activeCell="A27" sqref="A27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6A1E79C9-91E3-4EEA-8ABB-4446083299EC}">
      <pane xSplit="2" ySplit="3" topLeftCell="J10"/>
      <selection activeCell="V12" sqref="V12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8B80B510-C931-46B1-8591-DEA916D76593}">
      <pane xSplit="2" ySplit="2" topLeftCell="AM3" activePane="bottomRight" state="frozen"/>
      <selection pane="bottomRight" activeCell="AT3" sqref="AT3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303A9D89-611D-4504-BCAA-071C53B021F7}">
      <pane xSplit="2" ySplit="3" topLeftCell="M4" activePane="bottomRight" state="frozen"/>
      <selection pane="bottomRight" activeCell="AA4" sqref="AA4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4583A87D-5DFF-47BD-849A-FA4AAF2B9CE3}">
      <pane xSplit="2" ySplit="2" topLeftCell="D3" activePane="bottomRight" state="frozen"/>
      <selection pane="bottomRight" activeCell="T41" sqref="T41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EA856AC2-CDFF-46B6-B0C4-30449DF132F4}">
      <pane xSplit="2" ySplit="2" topLeftCell="AM3" activePane="bottomRight" state="frozen"/>
      <selection pane="bottomRight" activeCell="AV8" sqref="AV8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/>
    </customSheetView>
    <customSheetView guid="{322A45A6-8B26-49B8-A4D9-EFB3C94A758D}" hiddenColumns="1">
      <pane xSplit="2" ySplit="1" topLeftCell="AO20" activePane="bottomRight" state="frozen"/>
      <selection pane="bottomRight" activeCell="AT51" sqref="AT51:AT53"/>
      <pageMargins left="0.70763888888888904" right="0.70763888888888904" top="0.74791666666666701" bottom="0.74791666666666701" header="0.31388888888888899" footer="0.31388888888888899"/>
      <printOptions horizontalCentered="1"/>
      <pageSetup paperSize="9" scale="81" orientation="landscape" r:id="rId3"/>
    </customSheetView>
  </customSheetViews>
  <phoneticPr fontId="133" type="noConversion"/>
  <printOptions horizontalCentered="1"/>
  <pageMargins left="0.70763888888888904" right="0.70763888888888904" top="0.74791666666666701" bottom="0.74791666666666701" header="0.31388888888888899" footer="0.31388888888888899"/>
  <pageSetup paperSize="9" scale="81" orientation="landscape" r:id="rId4"/>
  <legacyDrawing r:id="rId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B5:P76"/>
  <sheetViews>
    <sheetView zoomScaleNormal="115" workbookViewId="0">
      <selection activeCell="AC29" sqref="AC29"/>
    </sheetView>
  </sheetViews>
  <sheetFormatPr defaultColWidth="9" defaultRowHeight="14.25"/>
  <cols>
    <col min="2" max="2" width="13.875" customWidth="1"/>
    <col min="3" max="3" width="10.5" style="179" customWidth="1"/>
    <col min="4" max="10" width="10.5" customWidth="1"/>
    <col min="11" max="15" width="8.875" hidden="1" customWidth="1"/>
    <col min="16" max="16" width="9.5" customWidth="1"/>
  </cols>
  <sheetData>
    <row r="5" spans="2:16">
      <c r="D5">
        <v>2020</v>
      </c>
      <c r="E5">
        <v>2020</v>
      </c>
      <c r="F5">
        <v>2020</v>
      </c>
      <c r="G5">
        <v>2020</v>
      </c>
      <c r="H5">
        <v>2020</v>
      </c>
      <c r="I5">
        <v>2020</v>
      </c>
      <c r="J5">
        <v>2020</v>
      </c>
      <c r="K5">
        <v>2020</v>
      </c>
      <c r="L5">
        <v>2020</v>
      </c>
      <c r="M5">
        <v>2020</v>
      </c>
      <c r="N5">
        <v>2020</v>
      </c>
      <c r="O5">
        <v>2020</v>
      </c>
    </row>
    <row r="6" spans="2:16">
      <c r="D6">
        <v>1</v>
      </c>
      <c r="E6">
        <v>2</v>
      </c>
      <c r="F6">
        <v>3</v>
      </c>
      <c r="G6">
        <v>4</v>
      </c>
      <c r="H6">
        <v>5</v>
      </c>
      <c r="I6">
        <v>6</v>
      </c>
      <c r="J6">
        <v>7</v>
      </c>
      <c r="K6">
        <v>8</v>
      </c>
      <c r="L6">
        <v>9</v>
      </c>
      <c r="M6">
        <v>10</v>
      </c>
      <c r="N6">
        <v>11</v>
      </c>
      <c r="O6">
        <v>12</v>
      </c>
    </row>
    <row r="7" spans="2:16" ht="28.5">
      <c r="C7" s="179" t="s">
        <v>970</v>
      </c>
      <c r="D7" t="s">
        <v>422</v>
      </c>
      <c r="E7" t="s">
        <v>423</v>
      </c>
      <c r="F7" t="s">
        <v>424</v>
      </c>
      <c r="G7" t="s">
        <v>425</v>
      </c>
      <c r="H7" t="s">
        <v>426</v>
      </c>
      <c r="I7" t="s">
        <v>427</v>
      </c>
      <c r="J7" t="s">
        <v>428</v>
      </c>
      <c r="K7" t="s">
        <v>429</v>
      </c>
      <c r="L7" t="s">
        <v>430</v>
      </c>
      <c r="M7" t="s">
        <v>431</v>
      </c>
      <c r="N7" t="s">
        <v>432</v>
      </c>
      <c r="O7" t="s">
        <v>421</v>
      </c>
      <c r="P7" s="187" t="s">
        <v>971</v>
      </c>
    </row>
    <row r="8" spans="2:16">
      <c r="B8" s="180" t="s">
        <v>972</v>
      </c>
      <c r="C8" s="181">
        <f>797.12/12</f>
        <v>66.426666666666662</v>
      </c>
      <c r="D8" s="182">
        <f>'收入（外部）'!AB42/10000</f>
        <v>52.939270264399994</v>
      </c>
      <c r="E8" s="182">
        <f>'收入（外部）'!AC42/10000</f>
        <v>55.13407661610001</v>
      </c>
      <c r="F8" s="182">
        <f>'收入（外部）'!AD42/10000</f>
        <v>67.980364975299963</v>
      </c>
      <c r="G8" s="182">
        <f>'收入（外部）'!AE42/10000</f>
        <v>71.476894150200025</v>
      </c>
      <c r="H8" s="182">
        <f>'收入（外部）'!AF42/10000</f>
        <v>62.5178120753</v>
      </c>
      <c r="I8" s="182">
        <f>'收入（外部）'!AG42/10000</f>
        <v>63.885651619400001</v>
      </c>
      <c r="J8" s="182">
        <f>'收入（外部）'!AH42/10000</f>
        <v>61.782120516000013</v>
      </c>
      <c r="K8" s="182">
        <f>'收入（外部）'!AI42/10000</f>
        <v>60.620920941699985</v>
      </c>
      <c r="L8" s="182"/>
      <c r="M8" s="182"/>
      <c r="N8" s="182"/>
      <c r="O8" s="182"/>
      <c r="P8" s="182">
        <f>AVERAGE(D8:O8)</f>
        <v>62.042138894799997</v>
      </c>
    </row>
    <row r="9" spans="2:16">
      <c r="C9" s="181"/>
      <c r="D9" s="182">
        <f>'#经营概况'!F12/12</f>
        <v>71.666666666666671</v>
      </c>
      <c r="E9" s="182">
        <f t="shared" ref="E9:O9" si="0">D9</f>
        <v>71.666666666666671</v>
      </c>
      <c r="F9" s="182">
        <f t="shared" si="0"/>
        <v>71.666666666666671</v>
      </c>
      <c r="G9" s="182">
        <f t="shared" si="0"/>
        <v>71.666666666666671</v>
      </c>
      <c r="H9" s="182">
        <f t="shared" si="0"/>
        <v>71.666666666666671</v>
      </c>
      <c r="I9" s="182">
        <f t="shared" si="0"/>
        <v>71.666666666666671</v>
      </c>
      <c r="J9" s="182">
        <f t="shared" si="0"/>
        <v>71.666666666666671</v>
      </c>
      <c r="K9" s="182">
        <f t="shared" si="0"/>
        <v>71.666666666666671</v>
      </c>
      <c r="L9" s="182">
        <f t="shared" si="0"/>
        <v>71.666666666666671</v>
      </c>
      <c r="M9" s="182">
        <f t="shared" si="0"/>
        <v>71.666666666666671</v>
      </c>
      <c r="N9" s="182">
        <f t="shared" si="0"/>
        <v>71.666666666666671</v>
      </c>
      <c r="O9" s="182">
        <f t="shared" si="0"/>
        <v>71.666666666666671</v>
      </c>
      <c r="P9" s="182">
        <f>AVERAGE(D9:O9)</f>
        <v>71.666666666666657</v>
      </c>
    </row>
    <row r="10" spans="2:16">
      <c r="C10" s="181"/>
      <c r="D10" s="182"/>
      <c r="E10" s="18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</row>
    <row r="11" spans="2:16">
      <c r="C11" s="181"/>
      <c r="D11" s="182"/>
      <c r="E11" s="182"/>
      <c r="F11" s="182"/>
      <c r="G11" s="182"/>
      <c r="H11" s="182"/>
      <c r="I11" s="182"/>
      <c r="J11" s="182"/>
      <c r="K11" s="182"/>
      <c r="L11" s="182"/>
      <c r="M11" s="182"/>
      <c r="N11" s="182"/>
      <c r="O11" s="182"/>
      <c r="P11" s="182"/>
    </row>
    <row r="12" spans="2:16">
      <c r="C12" s="181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</row>
    <row r="13" spans="2:16">
      <c r="B13" s="180" t="s">
        <v>973</v>
      </c>
      <c r="C13" s="181">
        <f>678.81/12</f>
        <v>56.567499999999995</v>
      </c>
      <c r="D13" s="182">
        <f>'收入（外部）'!AB50/10000</f>
        <v>44.497707406871257</v>
      </c>
      <c r="E13" s="182">
        <f>'收入（外部）'!AC50/10000</f>
        <v>47.023041273647394</v>
      </c>
      <c r="F13" s="182">
        <f>'收入（外部）'!AD50/10000</f>
        <v>57.380730995625456</v>
      </c>
      <c r="G13" s="182">
        <f>'收入（外部）'!AE50/10000</f>
        <v>60.411876544767537</v>
      </c>
      <c r="H13" s="182">
        <f>'收入（外部）'!AF50/10000</f>
        <v>54.908431283043676</v>
      </c>
      <c r="I13" s="182">
        <f>'收入（外部）'!AG50/10000</f>
        <v>48.948131189909013</v>
      </c>
      <c r="J13" s="182">
        <f>'收入（外部）'!AH50/10000</f>
        <v>48.157807817844613</v>
      </c>
      <c r="K13" s="182">
        <f>'收入（外部）'!AI50/10000</f>
        <v>49.249501586366769</v>
      </c>
      <c r="L13" s="182"/>
      <c r="M13" s="182"/>
      <c r="N13" s="182"/>
      <c r="O13" s="182"/>
      <c r="P13" s="182">
        <f>AVERAGE(D13:O13)</f>
        <v>51.322153512259469</v>
      </c>
    </row>
    <row r="14" spans="2:16">
      <c r="C14" s="181"/>
      <c r="D14" s="182">
        <f>'#经营概况'!F14/12</f>
        <v>57.666666666666664</v>
      </c>
      <c r="E14" s="182">
        <f t="shared" ref="E14:P14" si="1">D14</f>
        <v>57.666666666666664</v>
      </c>
      <c r="F14" s="182">
        <f t="shared" si="1"/>
        <v>57.666666666666664</v>
      </c>
      <c r="G14" s="182">
        <f t="shared" si="1"/>
        <v>57.666666666666664</v>
      </c>
      <c r="H14" s="182">
        <f t="shared" si="1"/>
        <v>57.666666666666664</v>
      </c>
      <c r="I14" s="182">
        <f t="shared" si="1"/>
        <v>57.666666666666664</v>
      </c>
      <c r="J14" s="182">
        <f t="shared" si="1"/>
        <v>57.666666666666664</v>
      </c>
      <c r="K14" s="182">
        <f t="shared" si="1"/>
        <v>57.666666666666664</v>
      </c>
      <c r="L14" s="182">
        <f t="shared" si="1"/>
        <v>57.666666666666664</v>
      </c>
      <c r="M14" s="182">
        <f t="shared" si="1"/>
        <v>57.666666666666664</v>
      </c>
      <c r="N14" s="182">
        <f t="shared" si="1"/>
        <v>57.666666666666664</v>
      </c>
      <c r="O14" s="182">
        <f t="shared" si="1"/>
        <v>57.666666666666664</v>
      </c>
      <c r="P14" s="182">
        <f t="shared" si="1"/>
        <v>57.666666666666664</v>
      </c>
    </row>
    <row r="15" spans="2:16">
      <c r="C15" s="181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</row>
    <row r="16" spans="2:16">
      <c r="C16" s="181"/>
      <c r="D16" s="182"/>
      <c r="E16" s="18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</row>
    <row r="17" spans="2:16">
      <c r="C17" s="181"/>
      <c r="D17" s="182"/>
      <c r="E17" s="182"/>
      <c r="F17" s="182"/>
      <c r="G17" s="182"/>
      <c r="H17" s="182"/>
      <c r="I17" s="182"/>
      <c r="J17" s="182"/>
      <c r="K17" s="182"/>
      <c r="L17" s="182"/>
      <c r="M17" s="182"/>
      <c r="N17" s="182"/>
      <c r="O17" s="182"/>
      <c r="P17" s="182"/>
    </row>
    <row r="18" spans="2:16">
      <c r="B18" s="180" t="s">
        <v>190</v>
      </c>
      <c r="C18" s="181">
        <f>56.12/12</f>
        <v>4.6766666666666667</v>
      </c>
      <c r="D18" s="182">
        <f>'收入（外部）'!AB51/10000</f>
        <v>3.5971691461000002</v>
      </c>
      <c r="E18" s="182">
        <f>'收入（外部）'!AC51/10000</f>
        <v>4.7229868757067965</v>
      </c>
      <c r="F18" s="182">
        <f>'收入（外部）'!AD51/10000</f>
        <v>6.0628001216760623</v>
      </c>
      <c r="G18" s="182">
        <f>'收入（外部）'!AE51/10000</f>
        <v>5.7482377661999999</v>
      </c>
      <c r="H18" s="182">
        <f>'收入（外部）'!AF51/10000</f>
        <v>3.151112146319774</v>
      </c>
      <c r="I18" s="182">
        <f>'收入（外部）'!AG51/10000</f>
        <v>6.5289499042435404</v>
      </c>
      <c r="J18" s="182">
        <f>'收入（外部）'!AH51/10000</f>
        <v>4.9086885745445628</v>
      </c>
      <c r="K18" s="182">
        <f>'收入（外部）'!AI51/10000</f>
        <v>4.0860641013980441</v>
      </c>
      <c r="L18" s="182"/>
      <c r="M18" s="182"/>
      <c r="N18" s="182"/>
      <c r="O18" s="182"/>
      <c r="P18" s="182">
        <f>AVERAGE(D18:O18)</f>
        <v>4.8507510795235982</v>
      </c>
    </row>
    <row r="19" spans="2:16">
      <c r="C19" s="181"/>
      <c r="D19" s="182">
        <v>7.6666666666666696</v>
      </c>
      <c r="E19" s="182">
        <f t="shared" ref="E19:P19" si="2">D19</f>
        <v>7.6666666666666696</v>
      </c>
      <c r="F19" s="182">
        <f t="shared" si="2"/>
        <v>7.6666666666666696</v>
      </c>
      <c r="G19" s="182">
        <f t="shared" si="2"/>
        <v>7.6666666666666696</v>
      </c>
      <c r="H19" s="182">
        <f t="shared" si="2"/>
        <v>7.6666666666666696</v>
      </c>
      <c r="I19" s="182">
        <f t="shared" si="2"/>
        <v>7.6666666666666696</v>
      </c>
      <c r="J19" s="182">
        <f t="shared" si="2"/>
        <v>7.6666666666666696</v>
      </c>
      <c r="K19" s="182">
        <f t="shared" si="2"/>
        <v>7.6666666666666696</v>
      </c>
      <c r="L19" s="182">
        <f t="shared" si="2"/>
        <v>7.6666666666666696</v>
      </c>
      <c r="M19" s="182">
        <f t="shared" si="2"/>
        <v>7.6666666666666696</v>
      </c>
      <c r="N19" s="182">
        <f t="shared" si="2"/>
        <v>7.6666666666666696</v>
      </c>
      <c r="O19" s="182">
        <f t="shared" si="2"/>
        <v>7.6666666666666696</v>
      </c>
      <c r="P19" s="182">
        <f t="shared" si="2"/>
        <v>7.6666666666666696</v>
      </c>
    </row>
    <row r="23" spans="2:16">
      <c r="B23" t="s">
        <v>974</v>
      </c>
      <c r="C23" s="183">
        <f>39.27/12</f>
        <v>3.2725000000000004</v>
      </c>
      <c r="D23" s="184">
        <f>'收入（外部）'!P52/10000</f>
        <v>3.7739037553208936</v>
      </c>
      <c r="E23" s="184">
        <f>'收入（外部）'!Q52/10000</f>
        <v>2.4991447834249372</v>
      </c>
      <c r="F23" s="184">
        <f>'收入（外部）'!R52/10000</f>
        <v>3.8082520185242124</v>
      </c>
      <c r="G23" s="184">
        <f>'收入（外部）'!S52/10000</f>
        <v>3.8054623345078946</v>
      </c>
      <c r="H23" s="184">
        <f>'收入（外部）'!T52/10000</f>
        <v>4.0656446819388661</v>
      </c>
      <c r="I23" s="184">
        <f>'收入（外部）'!U52/10000</f>
        <v>3.0592175782001263</v>
      </c>
      <c r="J23" s="184">
        <f>'收入（外部）'!V52/10000</f>
        <v>3.0582539121212031</v>
      </c>
      <c r="K23" s="184">
        <f>'收入（外部）'!W52/10000</f>
        <v>3.2919166319508544</v>
      </c>
      <c r="L23" s="184">
        <f>'收入（外部）'!X52/10000</f>
        <v>3.5089962918192135</v>
      </c>
      <c r="M23" s="184">
        <f>'收入（外部）'!Y52/10000</f>
        <v>2.9509832485074314</v>
      </c>
      <c r="N23" s="184">
        <f>'收入（外部）'!Z52/10000</f>
        <v>3.6870983464955627</v>
      </c>
      <c r="O23" s="184">
        <f>'收入（外部）'!AA52/10000</f>
        <v>5.190947355470553</v>
      </c>
      <c r="P23" s="184">
        <f>AVERAGE(D23:O23)</f>
        <v>3.5583184115234787</v>
      </c>
    </row>
    <row r="24" spans="2:16">
      <c r="C24" s="179">
        <f>42/12</f>
        <v>3.5</v>
      </c>
      <c r="D24">
        <f t="shared" ref="D24:N24" si="3">42/12</f>
        <v>3.5</v>
      </c>
      <c r="E24">
        <f t="shared" si="3"/>
        <v>3.5</v>
      </c>
      <c r="F24">
        <f t="shared" si="3"/>
        <v>3.5</v>
      </c>
      <c r="G24">
        <f t="shared" si="3"/>
        <v>3.5</v>
      </c>
      <c r="H24">
        <f t="shared" si="3"/>
        <v>3.5</v>
      </c>
      <c r="I24">
        <f t="shared" si="3"/>
        <v>3.5</v>
      </c>
      <c r="J24">
        <f t="shared" si="3"/>
        <v>3.5</v>
      </c>
      <c r="K24">
        <f t="shared" si="3"/>
        <v>3.5</v>
      </c>
      <c r="L24">
        <f t="shared" si="3"/>
        <v>3.5</v>
      </c>
      <c r="M24">
        <f t="shared" si="3"/>
        <v>3.5</v>
      </c>
      <c r="N24">
        <f t="shared" si="3"/>
        <v>3.5</v>
      </c>
      <c r="P24" s="184">
        <f>AVERAGE(D24:O24)</f>
        <v>3.5</v>
      </c>
    </row>
    <row r="27" spans="2:16">
      <c r="B27" t="s">
        <v>975</v>
      </c>
      <c r="C27" s="183">
        <f>22.052/12</f>
        <v>1.8376666666666666</v>
      </c>
      <c r="D27" s="184">
        <f>SUMIFS('#经营利润'!15:15,'#经营利润'!1:1,D5,'#经营利润'!2:2,D6,'#经营利润'!4:4,"经营利润")/10000</f>
        <v>9.9000000000000005E-2</v>
      </c>
      <c r="E27" s="184">
        <f>SUMIFS('#经营利润'!15:15,'#经营利润'!1:1,E5,'#经营利润'!2:2,E6,'#经营利润'!4:4,"经营利润")/10000</f>
        <v>-0.57799999999999996</v>
      </c>
      <c r="F27" s="184">
        <f>SUMIFS('#经营利润'!15:15,'#经营利润'!1:1,F5,'#经营利润'!2:2,F6,'#经营利润'!4:4,"经营利润")/10000</f>
        <v>-7.2900000000000006E-2</v>
      </c>
      <c r="G27" s="184">
        <f>SUMIFS('#经营利润'!15:15,'#经营利润'!1:1,G5,'#经营利润'!2:2,G6,'#经营利润'!4:4,"经营利润")/10000</f>
        <v>-0.59850000000000003</v>
      </c>
      <c r="H27" s="184">
        <f>SUMIFS('#经营利润'!15:15,'#经营利润'!1:1,H5,'#经营利润'!2:2,H6,'#经营利润'!4:4,"经营利润")/10000</f>
        <v>0.81569999999999998</v>
      </c>
      <c r="I27" s="184">
        <f>SUMIFS('#经营利润'!15:15,'#经营利润'!1:1,I5,'#经营利润'!2:2,I6,'#经营利润'!4:4,"经营利润")/10000</f>
        <v>0.63729999999999998</v>
      </c>
      <c r="J27" s="184">
        <f>SUMIFS('#经营利润'!15:15,'#经营利润'!1:1,J5,'#经营利润'!2:2,J6,'#经营利润'!4:4,"经营利润")/10000</f>
        <v>0.65310000000000001</v>
      </c>
      <c r="K27" s="186"/>
      <c r="L27" s="186"/>
      <c r="M27" s="186"/>
      <c r="N27" s="186"/>
      <c r="O27" s="186"/>
      <c r="P27" s="186">
        <f>AVERAGE(D27:O27)</f>
        <v>0.13652857142857144</v>
      </c>
    </row>
    <row r="28" spans="2:16">
      <c r="C28" s="183">
        <f>17/12</f>
        <v>1.4166666666666667</v>
      </c>
      <c r="D28" s="184">
        <f>C28</f>
        <v>1.4166666666666667</v>
      </c>
      <c r="E28" s="184">
        <f>17/12</f>
        <v>1.4166666666666667</v>
      </c>
      <c r="F28" s="184">
        <f>E28</f>
        <v>1.4166666666666667</v>
      </c>
      <c r="G28" s="184">
        <f>17/12</f>
        <v>1.4166666666666667</v>
      </c>
      <c r="H28" s="184">
        <f>G28</f>
        <v>1.4166666666666667</v>
      </c>
      <c r="I28" s="184">
        <f>17/12</f>
        <v>1.4166666666666667</v>
      </c>
      <c r="J28" s="184">
        <f>I28</f>
        <v>1.4166666666666667</v>
      </c>
      <c r="K28" s="184">
        <f>17/12</f>
        <v>1.4166666666666667</v>
      </c>
      <c r="L28" s="184">
        <f>K28</f>
        <v>1.4166666666666667</v>
      </c>
      <c r="M28" s="184">
        <f>17/12</f>
        <v>1.4166666666666667</v>
      </c>
      <c r="N28" s="184">
        <f>M28</f>
        <v>1.4166666666666667</v>
      </c>
      <c r="O28" s="184">
        <f>17/12</f>
        <v>1.4166666666666667</v>
      </c>
      <c r="P28" s="184">
        <f>O28</f>
        <v>1.4166666666666667</v>
      </c>
    </row>
    <row r="29" spans="2:16">
      <c r="C29" s="183"/>
      <c r="D29" s="184"/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184"/>
    </row>
    <row r="30" spans="2:16">
      <c r="C30" s="183"/>
      <c r="D30" s="184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184"/>
    </row>
    <row r="31" spans="2:16">
      <c r="C31" s="183"/>
      <c r="D31" s="184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184"/>
    </row>
    <row r="32" spans="2:16">
      <c r="C32" s="183"/>
      <c r="D32" s="184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184"/>
    </row>
    <row r="33" spans="2:16" ht="28.5">
      <c r="C33" s="179" t="str">
        <f t="shared" ref="C33:P33" si="4">C7</f>
        <v>上年
月均</v>
      </c>
      <c r="D33" s="179" t="str">
        <f t="shared" si="4"/>
        <v>1月</v>
      </c>
      <c r="E33" s="179" t="str">
        <f t="shared" si="4"/>
        <v>2月</v>
      </c>
      <c r="F33" s="179" t="str">
        <f>F7</f>
        <v>3月</v>
      </c>
      <c r="G33" s="179" t="str">
        <f t="shared" si="4"/>
        <v>4月</v>
      </c>
      <c r="H33" s="179" t="str">
        <f t="shared" si="4"/>
        <v>5月</v>
      </c>
      <c r="I33" s="179" t="str">
        <f t="shared" si="4"/>
        <v>6月</v>
      </c>
      <c r="J33" s="179" t="str">
        <f t="shared" si="4"/>
        <v>7月</v>
      </c>
      <c r="K33" s="179" t="str">
        <f t="shared" si="4"/>
        <v>8月</v>
      </c>
      <c r="L33" s="179" t="str">
        <f t="shared" si="4"/>
        <v>9月</v>
      </c>
      <c r="M33" s="179" t="str">
        <f t="shared" si="4"/>
        <v>10月</v>
      </c>
      <c r="N33" s="179" t="str">
        <f t="shared" si="4"/>
        <v>11月</v>
      </c>
      <c r="O33" s="179" t="str">
        <f t="shared" si="4"/>
        <v>12月</v>
      </c>
      <c r="P33" s="179" t="str">
        <f t="shared" si="4"/>
        <v>本年
月均</v>
      </c>
    </row>
    <row r="34" spans="2:16">
      <c r="B34" t="s">
        <v>976</v>
      </c>
      <c r="C34" s="185">
        <f>-17876/12</f>
        <v>-1489.6666666666667</v>
      </c>
      <c r="D34" s="186">
        <f>SUMIFS('利润（汇总）'!10:10,'利润（汇总）'!$1:$1,D$5,'利润（汇总）'!$2:$2,D$6)</f>
        <v>-2346.7800889999999</v>
      </c>
      <c r="E34" s="186">
        <f>SUMIFS('利润（汇总）'!10:10,'利润（汇总）'!1:1,E5,'利润（汇总）'!2:2,E6)</f>
        <v>-2101.2988580000001</v>
      </c>
      <c r="F34" s="186">
        <f>SUMIFS('利润（汇总）'!10:10,'利润（汇总）'!$1:$1,F$5,'利润（汇总）'!$2:$2,F$6)</f>
        <v>-2690.1583959999998</v>
      </c>
      <c r="G34" s="186">
        <f>SUMIFS('利润（汇总）'!10:10,'利润（汇总）'!$1:$1,G$5,'利润（汇总）'!$2:$2,G$6)</f>
        <v>-1188.735353</v>
      </c>
      <c r="H34" s="186">
        <f>SUMIFS('利润（汇总）'!10:10,'利润（汇总）'!$1:$1,H$5,'利润（汇总）'!$2:$2,H$6)</f>
        <v>-1442.7569229999999</v>
      </c>
      <c r="I34" s="186">
        <f>SUMIFS('利润（汇总）'!10:10,'利润（汇总）'!$1:$1,I$5,'利润（汇总）'!$2:$2,I$6)</f>
        <v>146.722205</v>
      </c>
      <c r="J34" s="186">
        <f>SUMIFS('利润（汇总）'!10:10,'利润（汇总）'!$1:$1,J$5,'利润（汇总）'!$2:$2,J$6)</f>
        <v>-1013.8467460000001</v>
      </c>
      <c r="K34" s="186"/>
      <c r="L34" s="186"/>
      <c r="M34" s="186"/>
      <c r="P34" s="186">
        <f>AVERAGE(D34:O34)</f>
        <v>-1519.5505942857144</v>
      </c>
    </row>
    <row r="35" spans="2:16">
      <c r="C35" s="185"/>
      <c r="D35" s="186">
        <v>10</v>
      </c>
      <c r="E35" s="186">
        <f t="shared" ref="E35:O35" si="5">D35</f>
        <v>10</v>
      </c>
      <c r="F35" s="186">
        <v>11</v>
      </c>
      <c r="G35" s="186">
        <f t="shared" si="5"/>
        <v>11</v>
      </c>
      <c r="H35" s="186">
        <f t="shared" si="5"/>
        <v>11</v>
      </c>
      <c r="I35" s="186">
        <f t="shared" si="5"/>
        <v>11</v>
      </c>
      <c r="J35" s="186">
        <f t="shared" si="5"/>
        <v>11</v>
      </c>
      <c r="K35" s="186">
        <f t="shared" si="5"/>
        <v>11</v>
      </c>
      <c r="L35" s="186">
        <f t="shared" si="5"/>
        <v>11</v>
      </c>
      <c r="M35" s="186">
        <f t="shared" si="5"/>
        <v>11</v>
      </c>
      <c r="N35" s="186">
        <f t="shared" si="5"/>
        <v>11</v>
      </c>
      <c r="O35" s="186">
        <f t="shared" si="5"/>
        <v>11</v>
      </c>
      <c r="P35" s="186">
        <f>AVERAGE(D35:O35)</f>
        <v>10.833333333333334</v>
      </c>
    </row>
    <row r="39" spans="2:16" ht="28.5">
      <c r="C39" s="179" t="str">
        <f>C33</f>
        <v>上年
月均</v>
      </c>
      <c r="D39" s="179" t="str">
        <f t="shared" ref="D39:P39" si="6">D33</f>
        <v>1月</v>
      </c>
      <c r="E39" s="179" t="str">
        <f t="shared" si="6"/>
        <v>2月</v>
      </c>
      <c r="F39" s="179" t="str">
        <f>F33</f>
        <v>3月</v>
      </c>
      <c r="G39" s="179" t="str">
        <f t="shared" si="6"/>
        <v>4月</v>
      </c>
      <c r="H39" s="179" t="str">
        <f t="shared" si="6"/>
        <v>5月</v>
      </c>
      <c r="I39" s="179" t="str">
        <f t="shared" si="6"/>
        <v>6月</v>
      </c>
      <c r="J39" s="179" t="str">
        <f t="shared" si="6"/>
        <v>7月</v>
      </c>
      <c r="K39" s="179" t="str">
        <f t="shared" si="6"/>
        <v>8月</v>
      </c>
      <c r="L39" s="179" t="str">
        <f t="shared" si="6"/>
        <v>9月</v>
      </c>
      <c r="M39" s="179" t="str">
        <f t="shared" si="6"/>
        <v>10月</v>
      </c>
      <c r="N39" s="179" t="str">
        <f t="shared" si="6"/>
        <v>11月</v>
      </c>
      <c r="O39" s="179" t="str">
        <f t="shared" si="6"/>
        <v>12月</v>
      </c>
      <c r="P39" s="179" t="str">
        <f t="shared" si="6"/>
        <v>本年
月均</v>
      </c>
    </row>
    <row r="40" spans="2:16">
      <c r="B40" t="s">
        <v>116</v>
      </c>
      <c r="C40" s="185">
        <f>-1261/12</f>
        <v>-105.08333333333333</v>
      </c>
      <c r="D40" s="186">
        <f>SUMIFS('利润（汇总）'!13:13,'利润（汇总）'!$1:$1,D$5,'利润（汇总）'!$2:$2,D$6)</f>
        <v>-322.66976099999999</v>
      </c>
      <c r="E40" s="186">
        <f>SUMIFS('利润（汇总）'!13:13,'利润（汇总）'!$1:$1,E$5,'利润（汇总）'!$2:$2,E$6)</f>
        <v>-848.23684900000001</v>
      </c>
      <c r="F40" s="186">
        <f>SUMIFS('利润（汇总）'!13:13,'利润（汇总）'!$1:$1,F$5,'利润（汇总）'!$2:$2,F$6)</f>
        <v>-538.53549099999998</v>
      </c>
      <c r="G40" s="186">
        <f>SUMIFS('利润（汇总）'!13:13,'利润（汇总）'!$1:$1,G$5,'利润（汇总）'!$2:$2,G$6)</f>
        <v>-629</v>
      </c>
      <c r="H40" s="186">
        <f>SUMIFS('利润（汇总）'!13:13,'利润（汇总）'!$1:$1,H$5,'利润（汇总）'!$2:$2,H$6)</f>
        <v>-383.79996499999999</v>
      </c>
      <c r="I40" s="186">
        <f>SUMIFS('利润（汇总）'!13:13,'利润（汇总）'!$1:$1,I$5,'利润（汇总）'!$2:$2,I$6)</f>
        <v>-367.14619599999997</v>
      </c>
      <c r="J40" s="186">
        <f>SUMIFS('利润（汇总）'!13:13,'利润（汇总）'!$1:$1,J$5,'利润（汇总）'!$2:$2,J$6)</f>
        <v>-543.35842100000002</v>
      </c>
      <c r="P40" s="186">
        <f>AVERAGE(D40:O40)</f>
        <v>-518.9638118571429</v>
      </c>
    </row>
    <row r="41" spans="2:16">
      <c r="D41">
        <v>125</v>
      </c>
      <c r="E41">
        <f t="shared" ref="E41:P41" si="7">D41</f>
        <v>125</v>
      </c>
      <c r="F41">
        <f t="shared" si="7"/>
        <v>125</v>
      </c>
      <c r="G41">
        <f t="shared" si="7"/>
        <v>125</v>
      </c>
      <c r="H41">
        <f t="shared" si="7"/>
        <v>125</v>
      </c>
      <c r="I41">
        <f t="shared" si="7"/>
        <v>125</v>
      </c>
      <c r="J41">
        <f t="shared" si="7"/>
        <v>125</v>
      </c>
      <c r="K41">
        <f t="shared" si="7"/>
        <v>125</v>
      </c>
      <c r="L41">
        <f t="shared" si="7"/>
        <v>125</v>
      </c>
      <c r="M41">
        <f t="shared" si="7"/>
        <v>125</v>
      </c>
      <c r="N41">
        <f t="shared" si="7"/>
        <v>125</v>
      </c>
      <c r="O41">
        <f t="shared" si="7"/>
        <v>125</v>
      </c>
      <c r="P41">
        <f t="shared" si="7"/>
        <v>125</v>
      </c>
    </row>
    <row r="46" spans="2:16" ht="28.5">
      <c r="C46" s="179" t="str">
        <f>C39</f>
        <v>上年
月均</v>
      </c>
      <c r="D46" s="179" t="str">
        <f t="shared" ref="D46:P46" si="8">D39</f>
        <v>1月</v>
      </c>
      <c r="E46" s="179" t="str">
        <f t="shared" si="8"/>
        <v>2月</v>
      </c>
      <c r="F46" s="179" t="str">
        <f>F39</f>
        <v>3月</v>
      </c>
      <c r="G46" s="179" t="str">
        <f t="shared" si="8"/>
        <v>4月</v>
      </c>
      <c r="H46" s="179" t="str">
        <f t="shared" si="8"/>
        <v>5月</v>
      </c>
      <c r="I46" s="179" t="str">
        <f t="shared" si="8"/>
        <v>6月</v>
      </c>
      <c r="J46" s="179" t="str">
        <f t="shared" si="8"/>
        <v>7月</v>
      </c>
      <c r="K46" s="179" t="str">
        <f t="shared" si="8"/>
        <v>8月</v>
      </c>
      <c r="L46" s="179" t="str">
        <f t="shared" si="8"/>
        <v>9月</v>
      </c>
      <c r="M46" s="179" t="str">
        <f t="shared" si="8"/>
        <v>10月</v>
      </c>
      <c r="N46" s="179" t="str">
        <f t="shared" si="8"/>
        <v>11月</v>
      </c>
      <c r="O46" s="179" t="str">
        <f t="shared" si="8"/>
        <v>12月</v>
      </c>
      <c r="P46" s="179" t="str">
        <f t="shared" si="8"/>
        <v>本年
月均</v>
      </c>
    </row>
    <row r="47" spans="2:16">
      <c r="B47" t="s">
        <v>119</v>
      </c>
      <c r="D47" s="186">
        <f>SUMIFS('利润（汇总）'!16:16,'利润（汇总）'!$1:$1,D$5,'利润（汇总）'!$2:$2,D$6)</f>
        <v>-248.66205500000001</v>
      </c>
      <c r="E47" s="186">
        <f>SUMIFS('利润（汇总）'!16:16,'利润（汇总）'!$1:$1,E$5,'利润（汇总）'!$2:$2,E$6)</f>
        <v>-84.564808999999997</v>
      </c>
      <c r="F47" s="186">
        <f>SUMIFS('利润（汇总）'!16:16,'利润（汇总）'!$1:$1,F$5,'利润（汇总）'!$2:$2,F$6)</f>
        <v>-44.905551000000003</v>
      </c>
      <c r="G47" s="186">
        <f>SUMIFS('利润（汇总）'!16:16,'利润（汇总）'!$1:$1,G$5,'利润（汇总）'!$2:$2,G$6)</f>
        <v>-38.425776999999997</v>
      </c>
      <c r="H47" s="186">
        <f>SUMIFS('利润（汇总）'!16:16,'利润（汇总）'!$1:$1,H$5,'利润（汇总）'!$2:$2,H$6)</f>
        <v>-34.706012999999999</v>
      </c>
      <c r="I47" s="186">
        <f>SUMIFS('利润（汇总）'!16:16,'利润（汇总）'!$1:$1,I$5,'利润（汇总）'!$2:$2,I$6)</f>
        <v>-10.648019</v>
      </c>
      <c r="J47" s="186">
        <f>SUMIFS('利润（汇总）'!16:16,'利润（汇总）'!$1:$1,J$5,'利润（汇总）'!$2:$2,J$6)</f>
        <v>1.8426210000000001</v>
      </c>
      <c r="K47" s="186">
        <f>SUMIFS('利润（汇总）'!16:16,'利润（汇总）'!$1:$1,K$5,'利润（汇总）'!$2:$2,K$6)</f>
        <v>8.1367759999999993</v>
      </c>
      <c r="P47" s="186">
        <f>AVERAGE(D47:O47)</f>
        <v>-56.49160337499999</v>
      </c>
    </row>
    <row r="48" spans="2:16">
      <c r="D48">
        <f>30/12</f>
        <v>2.5</v>
      </c>
      <c r="E48">
        <f t="shared" ref="E48:P48" si="9">D48</f>
        <v>2.5</v>
      </c>
      <c r="F48">
        <f>30/12</f>
        <v>2.5</v>
      </c>
      <c r="G48">
        <f t="shared" si="9"/>
        <v>2.5</v>
      </c>
      <c r="H48">
        <f t="shared" si="9"/>
        <v>2.5</v>
      </c>
      <c r="I48">
        <f t="shared" si="9"/>
        <v>2.5</v>
      </c>
      <c r="J48">
        <f t="shared" si="9"/>
        <v>2.5</v>
      </c>
      <c r="K48">
        <f t="shared" si="9"/>
        <v>2.5</v>
      </c>
      <c r="L48">
        <f t="shared" si="9"/>
        <v>2.5</v>
      </c>
      <c r="M48">
        <f t="shared" si="9"/>
        <v>2.5</v>
      </c>
      <c r="N48">
        <f t="shared" si="9"/>
        <v>2.5</v>
      </c>
      <c r="O48">
        <f t="shared" si="9"/>
        <v>2.5</v>
      </c>
      <c r="P48">
        <f t="shared" si="9"/>
        <v>2.5</v>
      </c>
    </row>
    <row r="52" spans="2:16" ht="28.5">
      <c r="C52" s="179" t="str">
        <f>C46</f>
        <v>上年
月均</v>
      </c>
      <c r="D52" s="179" t="str">
        <f t="shared" ref="D52:P52" si="10">D46</f>
        <v>1月</v>
      </c>
      <c r="E52" s="179" t="str">
        <f t="shared" si="10"/>
        <v>2月</v>
      </c>
      <c r="F52" s="179" t="str">
        <f>F46</f>
        <v>3月</v>
      </c>
      <c r="G52" s="179" t="str">
        <f t="shared" si="10"/>
        <v>4月</v>
      </c>
      <c r="H52" s="179" t="str">
        <f t="shared" si="10"/>
        <v>5月</v>
      </c>
      <c r="I52" s="179" t="str">
        <f t="shared" si="10"/>
        <v>6月</v>
      </c>
      <c r="J52" s="179" t="str">
        <f t="shared" si="10"/>
        <v>7月</v>
      </c>
      <c r="K52" s="179" t="str">
        <f t="shared" si="10"/>
        <v>8月</v>
      </c>
      <c r="L52" s="179" t="str">
        <f t="shared" si="10"/>
        <v>9月</v>
      </c>
      <c r="M52" s="179" t="str">
        <f t="shared" si="10"/>
        <v>10月</v>
      </c>
      <c r="N52" s="179" t="str">
        <f t="shared" si="10"/>
        <v>11月</v>
      </c>
      <c r="O52" s="179" t="str">
        <f t="shared" si="10"/>
        <v>12月</v>
      </c>
      <c r="P52" s="179" t="str">
        <f t="shared" si="10"/>
        <v>本年
月均</v>
      </c>
    </row>
    <row r="53" spans="2:16">
      <c r="B53" t="s">
        <v>977</v>
      </c>
      <c r="C53" s="185">
        <f>-2453/12</f>
        <v>-204.41666666666666</v>
      </c>
      <c r="D53" s="186">
        <f>SUMIFS('利润（汇总）'!21:21,'利润（汇总）'!$1:$1,D$5,'利润（汇总）'!$2:$2,D$6)</f>
        <v>-320.088548</v>
      </c>
      <c r="E53" s="186">
        <f>SUMIFS('利润（汇总）'!21:21,'利润（汇总）'!$1:$1,E$5,'利润（汇总）'!$2:$2,E$6)</f>
        <v>-434.05604299999999</v>
      </c>
      <c r="F53" s="186">
        <f>SUMIFS('利润（汇总）'!21:21,'利润（汇总）'!$1:$1,F$5,'利润（汇总）'!$2:$2,F$6)</f>
        <v>-322.10717</v>
      </c>
      <c r="G53" s="186">
        <f>SUMIFS('利润（汇总）'!21:21,'利润（汇总）'!$1:$1,G$5,'利润（汇总）'!$2:$2,G$6)</f>
        <v>-358.80783400000001</v>
      </c>
      <c r="H53" s="186">
        <f>SUMIFS('利润（汇总）'!21:21,'利润（汇总）'!$1:$1,H$5,'利润（汇总）'!$2:$2,H$6)</f>
        <v>-321.58685600000001</v>
      </c>
      <c r="I53" s="186">
        <f>SUMIFS('利润（汇总）'!21:21,'利润（汇总）'!$1:$1,I$5,'利润（汇总）'!$2:$2,I$6)</f>
        <v>-304.48615000000001</v>
      </c>
      <c r="J53" s="186">
        <f>SUMIFS('利润（汇总）'!21:21,'利润（汇总）'!$1:$1,J$5,'利润（汇总）'!$2:$2,J$6)</f>
        <v>-169.46757099999999</v>
      </c>
      <c r="K53" s="186">
        <f>SUMIFS('利润（汇总）'!21:21,'利润（汇总）'!$1:$1,K$5,'利润（汇总）'!$2:$2,K$6)</f>
        <v>-146.13381699999999</v>
      </c>
      <c r="P53" s="186">
        <f>AVERAGE(D53:O53)</f>
        <v>-297.09174862500004</v>
      </c>
    </row>
    <row r="54" spans="2:16">
      <c r="D54">
        <f>-1080/12</f>
        <v>-90</v>
      </c>
      <c r="E54">
        <f t="shared" ref="E54:P54" si="11">D54</f>
        <v>-90</v>
      </c>
      <c r="F54">
        <f t="shared" si="11"/>
        <v>-90</v>
      </c>
      <c r="G54">
        <f t="shared" si="11"/>
        <v>-90</v>
      </c>
      <c r="H54">
        <f t="shared" si="11"/>
        <v>-90</v>
      </c>
      <c r="I54">
        <f t="shared" si="11"/>
        <v>-90</v>
      </c>
      <c r="J54">
        <f t="shared" si="11"/>
        <v>-90</v>
      </c>
      <c r="K54">
        <f t="shared" si="11"/>
        <v>-90</v>
      </c>
      <c r="L54">
        <f t="shared" si="11"/>
        <v>-90</v>
      </c>
      <c r="M54">
        <f t="shared" si="11"/>
        <v>-90</v>
      </c>
      <c r="N54">
        <f t="shared" si="11"/>
        <v>-90</v>
      </c>
      <c r="O54">
        <f t="shared" si="11"/>
        <v>-90</v>
      </c>
      <c r="P54">
        <f t="shared" si="11"/>
        <v>-90</v>
      </c>
    </row>
    <row r="58" spans="2:16" ht="28.5">
      <c r="C58" s="179" t="str">
        <f>C52</f>
        <v>上年
月均</v>
      </c>
      <c r="D58" s="179" t="str">
        <f t="shared" ref="D58:P58" si="12">D52</f>
        <v>1月</v>
      </c>
      <c r="E58" s="179" t="str">
        <f t="shared" si="12"/>
        <v>2月</v>
      </c>
      <c r="F58" s="179" t="str">
        <f>F52</f>
        <v>3月</v>
      </c>
      <c r="G58" s="179" t="str">
        <f t="shared" si="12"/>
        <v>4月</v>
      </c>
      <c r="H58" s="179" t="str">
        <f t="shared" si="12"/>
        <v>5月</v>
      </c>
      <c r="I58" s="179" t="str">
        <f t="shared" si="12"/>
        <v>6月</v>
      </c>
      <c r="J58" s="179" t="str">
        <f t="shared" si="12"/>
        <v>7月</v>
      </c>
      <c r="K58" s="179" t="str">
        <f t="shared" si="12"/>
        <v>8月</v>
      </c>
      <c r="L58" s="179" t="str">
        <f t="shared" si="12"/>
        <v>9月</v>
      </c>
      <c r="M58" s="179" t="str">
        <f t="shared" si="12"/>
        <v>10月</v>
      </c>
      <c r="N58" s="179" t="str">
        <f t="shared" si="12"/>
        <v>11月</v>
      </c>
      <c r="O58" s="179" t="str">
        <f t="shared" si="12"/>
        <v>12月</v>
      </c>
      <c r="P58" s="179" t="str">
        <f t="shared" si="12"/>
        <v>本年
月均</v>
      </c>
    </row>
    <row r="59" spans="2:16">
      <c r="B59" t="s">
        <v>118</v>
      </c>
      <c r="C59" s="185">
        <f>1334/12</f>
        <v>111.16666666666667</v>
      </c>
      <c r="D59" s="186">
        <f>SUMIFS('利润（汇总）'!15:15,'利润（汇总）'!$1:$1,D$5,'利润（汇总）'!$2:$2,D$6)</f>
        <v>-265.46408200000002</v>
      </c>
      <c r="E59" s="186">
        <f>SUMIFS('利润（汇总）'!15:15,'利润（汇总）'!$1:$1,E$5,'利润（汇总）'!$2:$2,E$6)</f>
        <v>-141.496049</v>
      </c>
      <c r="F59" s="186">
        <f>SUMIFS('利润（汇总）'!15:15,'利润（汇总）'!$1:$1,F$5,'利润（汇总）'!$2:$2,F$6)</f>
        <v>-250.286295</v>
      </c>
      <c r="G59" s="186">
        <f>SUMIFS('利润（汇总）'!15:15,'利润（汇总）'!$1:$1,G$5,'利润（汇总）'!$2:$2,G$6)</f>
        <v>242.671448</v>
      </c>
      <c r="H59" s="186">
        <f>SUMIFS('利润（汇总）'!15:15,'利润（汇总）'!$1:$1,H$5,'利润（汇总）'!$2:$2,H$6)</f>
        <v>386.76842499999998</v>
      </c>
      <c r="I59" s="186">
        <f>SUMIFS('利润（汇总）'!15:15,'利润（汇总）'!$1:$1,I$5,'利润（汇总）'!$2:$2,I$6)</f>
        <v>650.96035700000004</v>
      </c>
      <c r="J59" s="186">
        <f>SUMIFS('利润（汇总）'!15:15,'利润（汇总）'!$1:$1,J$5,'利润（汇总）'!$2:$2,J$6)</f>
        <v>247.233439</v>
      </c>
      <c r="K59" s="186">
        <f>SUMIFS('利润（汇总）'!15:15,'利润（汇总）'!$1:$1,K$5,'利润（汇总）'!$2:$2,K$6)</f>
        <v>211.451887</v>
      </c>
      <c r="P59" s="186">
        <f>AVERAGE(D59:O59)</f>
        <v>135.22989125000001</v>
      </c>
    </row>
    <row r="60" spans="2:16">
      <c r="D60">
        <f>2100/12</f>
        <v>175</v>
      </c>
      <c r="E60">
        <f t="shared" ref="E60:P60" si="13">D60</f>
        <v>175</v>
      </c>
      <c r="F60">
        <f t="shared" si="13"/>
        <v>175</v>
      </c>
      <c r="G60">
        <f t="shared" si="13"/>
        <v>175</v>
      </c>
      <c r="H60">
        <f t="shared" si="13"/>
        <v>175</v>
      </c>
      <c r="I60">
        <f t="shared" si="13"/>
        <v>175</v>
      </c>
      <c r="J60">
        <f t="shared" si="13"/>
        <v>175</v>
      </c>
      <c r="K60">
        <f t="shared" si="13"/>
        <v>175</v>
      </c>
      <c r="L60">
        <f t="shared" si="13"/>
        <v>175</v>
      </c>
      <c r="M60">
        <f t="shared" si="13"/>
        <v>175</v>
      </c>
      <c r="N60">
        <f t="shared" si="13"/>
        <v>175</v>
      </c>
      <c r="O60">
        <f t="shared" si="13"/>
        <v>175</v>
      </c>
      <c r="P60">
        <f t="shared" si="13"/>
        <v>175</v>
      </c>
    </row>
    <row r="65" spans="2:16" ht="28.5">
      <c r="C65" s="179" t="str">
        <f>C58</f>
        <v>上年
月均</v>
      </c>
      <c r="D65" s="179" t="str">
        <f t="shared" ref="D65:P65" si="14">D58</f>
        <v>1月</v>
      </c>
      <c r="E65" s="179" t="str">
        <f t="shared" si="14"/>
        <v>2月</v>
      </c>
      <c r="F65" s="179" t="str">
        <f>F58</f>
        <v>3月</v>
      </c>
      <c r="G65" s="179" t="str">
        <f t="shared" si="14"/>
        <v>4月</v>
      </c>
      <c r="H65" s="179" t="str">
        <f t="shared" si="14"/>
        <v>5月</v>
      </c>
      <c r="I65" s="179" t="str">
        <f t="shared" si="14"/>
        <v>6月</v>
      </c>
      <c r="J65" s="179" t="str">
        <f t="shared" si="14"/>
        <v>7月</v>
      </c>
      <c r="K65" s="179" t="str">
        <f t="shared" si="14"/>
        <v>8月</v>
      </c>
      <c r="L65" s="179" t="str">
        <f t="shared" si="14"/>
        <v>9月</v>
      </c>
      <c r="M65" s="179" t="str">
        <f t="shared" si="14"/>
        <v>10月</v>
      </c>
      <c r="N65" s="179" t="str">
        <f t="shared" si="14"/>
        <v>11月</v>
      </c>
      <c r="O65" s="179" t="str">
        <f t="shared" si="14"/>
        <v>12月</v>
      </c>
      <c r="P65" s="179" t="str">
        <f t="shared" si="14"/>
        <v>本年
月均</v>
      </c>
    </row>
    <row r="66" spans="2:16">
      <c r="B66" t="s">
        <v>117</v>
      </c>
      <c r="C66" s="179">
        <f>120/12</f>
        <v>10</v>
      </c>
      <c r="D66" s="186">
        <f>SUMIFS('利润（汇总）'!14:14,'利润（汇总）'!$1:$1,D$5,'利润（汇总）'!$2:$2,D$6)</f>
        <v>-111.484337</v>
      </c>
      <c r="E66" s="186">
        <f>SUMIFS('利润（汇总）'!14:14,'利润（汇总）'!$1:$1,E$5,'利润（汇总）'!$2:$2,E$6)</f>
        <v>-43.203899999999997</v>
      </c>
      <c r="F66" s="186">
        <f>SUMIFS('利润（汇总）'!14:14,'利润（汇总）'!$1:$1,F$5,'利润（汇总）'!$2:$2,F$6)</f>
        <v>13.588082999999999</v>
      </c>
      <c r="G66" s="186">
        <f>SUMIFS('利润（汇总）'!14:14,'利润（汇总）'!$1:$1,G$5,'利润（汇总）'!$2:$2,G$6)</f>
        <v>17.928792999999999</v>
      </c>
      <c r="H66" s="186">
        <f>SUMIFS('利润（汇总）'!14:14,'利润（汇总）'!$1:$1,H$5,'利润（汇总）'!$2:$2,H$6)</f>
        <v>-37.908216000000003</v>
      </c>
      <c r="I66" s="186">
        <f>SUMIFS('利润（汇总）'!14:14,'利润（汇总）'!$1:$1,I$5,'利润（汇总）'!$2:$2,I$6)</f>
        <v>15.250419000000001</v>
      </c>
      <c r="J66" s="186">
        <f>SUMIFS('利润（汇总）'!14:14,'利润（汇总）'!$1:$1,J$5,'利润（汇总）'!$2:$2,J$6)</f>
        <v>-130.38083399999999</v>
      </c>
      <c r="K66" s="186">
        <f>SUMIFS('利润（汇总）'!14:14,'利润（汇总）'!$1:$1,K$5,'利润（汇总）'!$2:$2,K$6)</f>
        <v>32.776932000000002</v>
      </c>
      <c r="P66" s="186">
        <f>AVERAGE(D66:O66)</f>
        <v>-30.429132499999994</v>
      </c>
    </row>
    <row r="67" spans="2:16">
      <c r="D67" s="186">
        <f>680/12</f>
        <v>56.666666666666664</v>
      </c>
      <c r="E67" s="186">
        <f t="shared" ref="E67:P67" si="15">D67</f>
        <v>56.666666666666664</v>
      </c>
      <c r="F67" s="186">
        <f>680/12</f>
        <v>56.666666666666664</v>
      </c>
      <c r="G67" s="186">
        <f t="shared" si="15"/>
        <v>56.666666666666664</v>
      </c>
      <c r="H67" s="186">
        <f t="shared" si="15"/>
        <v>56.666666666666664</v>
      </c>
      <c r="I67" s="186">
        <f t="shared" si="15"/>
        <v>56.666666666666664</v>
      </c>
      <c r="J67" s="186">
        <f t="shared" si="15"/>
        <v>56.666666666666664</v>
      </c>
      <c r="K67" s="186">
        <f t="shared" si="15"/>
        <v>56.666666666666664</v>
      </c>
      <c r="L67" s="186">
        <f t="shared" si="15"/>
        <v>56.666666666666664</v>
      </c>
      <c r="M67" s="186">
        <f t="shared" si="15"/>
        <v>56.666666666666664</v>
      </c>
      <c r="N67" s="186">
        <f t="shared" si="15"/>
        <v>56.666666666666664</v>
      </c>
      <c r="O67" s="186">
        <f t="shared" si="15"/>
        <v>56.666666666666664</v>
      </c>
      <c r="P67" s="186">
        <f t="shared" si="15"/>
        <v>56.666666666666664</v>
      </c>
    </row>
    <row r="69" spans="2:16" ht="28.5">
      <c r="B69" s="188" t="s">
        <v>978</v>
      </c>
      <c r="C69" s="179" t="str">
        <f>C65</f>
        <v>上年
月均</v>
      </c>
      <c r="D69" s="179" t="str">
        <f t="shared" ref="D69:P69" si="16">D65</f>
        <v>1月</v>
      </c>
      <c r="E69" s="179" t="str">
        <f t="shared" si="16"/>
        <v>2月</v>
      </c>
      <c r="F69" s="179" t="str">
        <f t="shared" si="16"/>
        <v>3月</v>
      </c>
      <c r="G69" s="179" t="str">
        <f t="shared" si="16"/>
        <v>4月</v>
      </c>
      <c r="H69" s="179" t="str">
        <f t="shared" si="16"/>
        <v>5月</v>
      </c>
      <c r="I69" s="179" t="str">
        <f t="shared" si="16"/>
        <v>6月</v>
      </c>
      <c r="J69" s="179" t="str">
        <f t="shared" si="16"/>
        <v>7月</v>
      </c>
      <c r="K69" s="179" t="str">
        <f t="shared" si="16"/>
        <v>8月</v>
      </c>
      <c r="L69" s="179" t="str">
        <f t="shared" si="16"/>
        <v>9月</v>
      </c>
      <c r="M69" s="179" t="str">
        <f t="shared" si="16"/>
        <v>10月</v>
      </c>
      <c r="N69" s="179" t="str">
        <f t="shared" si="16"/>
        <v>11月</v>
      </c>
      <c r="O69" s="179" t="str">
        <f t="shared" si="16"/>
        <v>12月</v>
      </c>
      <c r="P69" s="179" t="str">
        <f t="shared" si="16"/>
        <v>本年
月均</v>
      </c>
    </row>
    <row r="70" spans="2:16">
      <c r="C70" s="185">
        <f>1130/12</f>
        <v>94.166666666666671</v>
      </c>
      <c r="D70" s="186">
        <f>SUMIFS('利润（汇总）'!11:11,'利润（汇总）'!$1:$1,D$5,'利润（汇总）'!$2:$2,D$6)</f>
        <v>-449.27105999999998</v>
      </c>
      <c r="E70" s="186">
        <f>SUMIFS('利润（汇总）'!11:11,'利润（汇总）'!$1:$1,E$5,'利润（汇总）'!$2:$2,E$6)</f>
        <v>419.58144600000003</v>
      </c>
      <c r="F70" s="186">
        <f>SUMIFS('利润（汇总）'!11:11,'利润（汇总）'!$1:$1,F$5,'利润（汇总）'!$2:$2,F$6)</f>
        <v>-418.779358</v>
      </c>
      <c r="G70" s="186">
        <f>SUMIFS('利润（汇总）'!11:11,'利润（汇总）'!$1:$1,G$5,'利润（汇总）'!$2:$2,G$6)</f>
        <v>-394.57532500000002</v>
      </c>
      <c r="H70" s="186">
        <f>SUMIFS('利润（汇总）'!11:11,'利润（汇总）'!$1:$1,H$5,'利润（汇总）'!$2:$2,H$6)</f>
        <v>-305.05782900000003</v>
      </c>
      <c r="I70" s="186">
        <f>SUMIFS('利润（汇总）'!11:11,'利润（汇总）'!$1:$1,I$5,'利润（汇总）'!$2:$2,I$6)</f>
        <v>1299.1330539999999</v>
      </c>
      <c r="J70" s="186">
        <f>SUMIFS('利润（汇总）'!11:11,'利润（汇总）'!$1:$1,J$5,'利润（汇总）'!$2:$2,J$6)</f>
        <v>-24.681778000000001</v>
      </c>
      <c r="K70" s="186">
        <f>SUMIFS('利润（汇总）'!11:11,'利润（汇总）'!$1:$1,K$5,'利润（汇总）'!$2:$2,K$6)</f>
        <v>-80.547166000000004</v>
      </c>
      <c r="P70" s="186">
        <f>AVERAGE(D70:O70)</f>
        <v>5.7252479999999863</v>
      </c>
    </row>
    <row r="71" spans="2:16">
      <c r="D71" s="186">
        <f>172/12</f>
        <v>14.333333333333334</v>
      </c>
      <c r="E71" s="186">
        <f t="shared" ref="E71:P71" si="17">D71</f>
        <v>14.333333333333334</v>
      </c>
      <c r="F71" s="186">
        <f t="shared" si="17"/>
        <v>14.333333333333334</v>
      </c>
      <c r="G71" s="186">
        <f t="shared" si="17"/>
        <v>14.333333333333334</v>
      </c>
      <c r="H71" s="186">
        <f t="shared" si="17"/>
        <v>14.333333333333334</v>
      </c>
      <c r="I71" s="186">
        <f t="shared" si="17"/>
        <v>14.333333333333334</v>
      </c>
      <c r="J71" s="186">
        <f t="shared" si="17"/>
        <v>14.333333333333334</v>
      </c>
      <c r="K71" s="186">
        <f t="shared" si="17"/>
        <v>14.333333333333334</v>
      </c>
      <c r="L71" s="186">
        <f t="shared" si="17"/>
        <v>14.333333333333334</v>
      </c>
      <c r="M71" s="186">
        <f t="shared" si="17"/>
        <v>14.333333333333334</v>
      </c>
      <c r="N71" s="186">
        <f t="shared" si="17"/>
        <v>14.333333333333334</v>
      </c>
      <c r="O71" s="186">
        <f t="shared" si="17"/>
        <v>14.333333333333334</v>
      </c>
      <c r="P71" s="186">
        <f t="shared" si="17"/>
        <v>14.333333333333334</v>
      </c>
    </row>
    <row r="74" spans="2:16" ht="28.5">
      <c r="B74" s="188" t="s">
        <v>979</v>
      </c>
      <c r="C74" s="179" t="str">
        <f>C69</f>
        <v>上年
月均</v>
      </c>
      <c r="D74" s="179" t="str">
        <f t="shared" ref="D74:P74" si="18">D69</f>
        <v>1月</v>
      </c>
      <c r="E74" s="179" t="str">
        <f t="shared" si="18"/>
        <v>2月</v>
      </c>
      <c r="F74" s="179" t="str">
        <f t="shared" si="18"/>
        <v>3月</v>
      </c>
      <c r="G74" s="179" t="str">
        <f t="shared" si="18"/>
        <v>4月</v>
      </c>
      <c r="H74" s="179" t="str">
        <f t="shared" si="18"/>
        <v>5月</v>
      </c>
      <c r="I74" s="179" t="str">
        <f t="shared" si="18"/>
        <v>6月</v>
      </c>
      <c r="J74" s="179" t="str">
        <f t="shared" si="18"/>
        <v>7月</v>
      </c>
      <c r="K74" s="179" t="str">
        <f t="shared" si="18"/>
        <v>8月</v>
      </c>
      <c r="L74" s="179" t="str">
        <f t="shared" si="18"/>
        <v>9月</v>
      </c>
      <c r="M74" s="179" t="str">
        <f t="shared" si="18"/>
        <v>10月</v>
      </c>
      <c r="N74" s="179" t="str">
        <f t="shared" si="18"/>
        <v>11月</v>
      </c>
      <c r="O74" s="179" t="str">
        <f t="shared" si="18"/>
        <v>12月</v>
      </c>
      <c r="P74" s="179" t="str">
        <f t="shared" si="18"/>
        <v>本年
月均</v>
      </c>
    </row>
    <row r="75" spans="2:16">
      <c r="C75" s="185">
        <f>'#分板块利润分析'!C39/12</f>
        <v>152.03825224999994</v>
      </c>
      <c r="D75" s="186">
        <f>SUMIFS('利润（汇总）'!25:25,'利润（汇总）'!$1:$1,D$5,'利润（汇总）'!$2:$2,D$6)</f>
        <v>25.613965</v>
      </c>
      <c r="E75" s="186">
        <f>SUMIFS('利润（汇总）'!25:25,'利润（汇总）'!$1:$1,E$5,'利润（汇总）'!$2:$2,E$6)</f>
        <v>-83.89</v>
      </c>
      <c r="F75" s="186">
        <f>SUMIFS('利润（汇总）'!25:25,'利润（汇总）'!$1:$1,F$5,'利润（汇总）'!$2:$2,F$6)</f>
        <v>-182.09481400000001</v>
      </c>
      <c r="G75" s="186">
        <f>SUMIFS('利润（汇总）'!25:25,'利润（汇总）'!$1:$1,G$5,'利润（汇总）'!$2:$2,G$6)</f>
        <v>-17.245183000000001</v>
      </c>
      <c r="H75" s="186">
        <f>SUMIFS('利润（汇总）'!25:25,'利润（汇总）'!$1:$1,H$5,'利润（汇总）'!$2:$2,H$6)</f>
        <v>308.76119299999999</v>
      </c>
      <c r="I75" s="186">
        <f>SUMIFS('利润（汇总）'!25:25,'利润（汇总）'!$1:$1,I$5,'利润（汇总）'!$2:$2,I$6)</f>
        <v>1997.784095</v>
      </c>
      <c r="J75" s="186">
        <f>SUMIFS('利润（汇总）'!25:25,'利润（汇总）'!$1:$1,J$5,'利润（汇总）'!$2:$2,J$6)</f>
        <v>26.059640999999999</v>
      </c>
      <c r="K75" s="186">
        <f>SUMIFS('利润（汇总）'!25:25,'利润（汇总）'!$1:$1,K$5,'利润（汇总）'!$2:$2,K$6)</f>
        <v>17.294067999999999</v>
      </c>
      <c r="L75" s="186"/>
      <c r="M75" s="186"/>
      <c r="N75" s="186"/>
      <c r="O75" s="186"/>
      <c r="P75" s="186">
        <f>AVERAGE(D75:O75)</f>
        <v>261.53537062499998</v>
      </c>
    </row>
    <row r="76" spans="2:16">
      <c r="C76" s="185"/>
      <c r="D76" s="186">
        <f>'#分板块利润分析'!D39/12</f>
        <v>172.08333333333334</v>
      </c>
      <c r="E76" s="186">
        <f t="shared" ref="E76:P76" si="19">D76</f>
        <v>172.08333333333334</v>
      </c>
      <c r="F76" s="186">
        <f t="shared" si="19"/>
        <v>172.08333333333334</v>
      </c>
      <c r="G76" s="186">
        <f t="shared" si="19"/>
        <v>172.08333333333334</v>
      </c>
      <c r="H76" s="186">
        <f t="shared" si="19"/>
        <v>172.08333333333334</v>
      </c>
      <c r="I76" s="186">
        <f t="shared" si="19"/>
        <v>172.08333333333334</v>
      </c>
      <c r="J76" s="186">
        <f t="shared" si="19"/>
        <v>172.08333333333334</v>
      </c>
      <c r="K76" s="186">
        <f t="shared" si="19"/>
        <v>172.08333333333334</v>
      </c>
      <c r="L76" s="186">
        <f t="shared" si="19"/>
        <v>172.08333333333334</v>
      </c>
      <c r="M76" s="186">
        <f t="shared" si="19"/>
        <v>172.08333333333334</v>
      </c>
      <c r="N76" s="186">
        <f t="shared" si="19"/>
        <v>172.08333333333334</v>
      </c>
      <c r="O76" s="186">
        <f t="shared" si="19"/>
        <v>172.08333333333334</v>
      </c>
      <c r="P76" s="186">
        <f t="shared" si="19"/>
        <v>172.08333333333334</v>
      </c>
    </row>
  </sheetData>
  <customSheetViews>
    <customSheetView guid="{1683F931-F47D-47C0-A395-D48080DC7EE6}" showPageBreaks="1" hiddenColumns="1">
      <selection activeCell="AC29" sqref="AC29"/>
      <pageMargins left="0.7" right="0.7" top="0.75" bottom="0.75" header="0.3" footer="0.3"/>
      <pageSetup paperSize="9" orientation="portrait" r:id="rId1"/>
    </customSheetView>
    <customSheetView guid="{43897816-D2F0-4C3D-8F57-E0039BD2296B}" hiddenColumns="1">
      <selection activeCell="I32" sqref="I32"/>
      <pageMargins left="0.7" right="0.7" top="0.75" bottom="0.75" header="0.3" footer="0.3"/>
    </customSheetView>
    <customSheetView guid="{849C46E5-4ED4-41B9-BDA9-A6465B9DA9C2}" hiddenColumns="1" state="hidden">
      <selection activeCell="F80" sqref="F80"/>
      <pageMargins left="0.7" right="0.7" top="0.75" bottom="0.75" header="0.3" footer="0.3"/>
    </customSheetView>
    <customSheetView guid="{8C09BCDE-4B8A-4469-B3F2-7F4528A2E78D}" hiddenColumns="1" state="hidden">
      <selection activeCell="F80" sqref="F80"/>
      <pageMargins left="0.7" right="0.7" top="0.75" bottom="0.75" header="0.3" footer="0.3"/>
    </customSheetView>
    <customSheetView guid="{F4EB51F4-FD23-4D5B-8072-1AF5D59D6686}" hiddenColumns="1" topLeftCell="A46">
      <selection activeCell="F80" sqref="F80"/>
      <pageMargins left="0.7" right="0.7" top="0.75" bottom="0.75" header="0.3" footer="0.3"/>
    </customSheetView>
    <customSheetView guid="{D7BCFB76-2797-401D-A6F1-E020B5162DD4}" hiddenColumns="1">
      <selection activeCell="I32" sqref="I32"/>
      <pageMargins left="0.7" right="0.7" top="0.75" bottom="0.75" header="0.3" footer="0.3"/>
      <pageSetup paperSize="9" orientation="portrait" r:id="rId2"/>
    </customSheetView>
    <customSheetView guid="{C9A88430-3808-49F4-8D86-BF8C70C55441}" hiddenColumns="1">
      <selection activeCell="AC29" sqref="AC29"/>
      <pageMargins left="0.7" right="0.7" top="0.75" bottom="0.75" header="0.3" footer="0.3"/>
    </customSheetView>
    <customSheetView guid="{E61FFED3-723E-484A-93A0-94E1A801AF06}" hiddenColumns="1">
      <selection activeCell="AC29" sqref="AC29"/>
      <pageMargins left="0.7" right="0.7" top="0.75" bottom="0.75" header="0.3" footer="0.3"/>
    </customSheetView>
    <customSheetView guid="{6B5CCA07-2BDD-4B8E-9E3C-2111BBA97430}" hiddenColumns="1" topLeftCell="A13">
      <selection activeCell="I32" sqref="I32"/>
      <pageMargins left="0.7" right="0.7" top="0.75" bottom="0.75" header="0.3" footer="0.3"/>
      <pageSetup paperSize="9" orientation="portrait" r:id="rId3"/>
    </customSheetView>
    <customSheetView guid="{2F47A827-9643-4D8A-AC5D-6B09D79AACF9}" hiddenColumns="1">
      <selection activeCell="I32" sqref="I32"/>
      <pageMargins left="0.7" right="0.7" top="0.75" bottom="0.75" header="0.3" footer="0.3"/>
    </customSheetView>
    <customSheetView guid="{B37168A1-DBAB-4BDE-9F92-6261DCDF3D92}" scale="115" hiddenColumns="1" topLeftCell="A43">
      <selection activeCell="J18" sqref="J18"/>
      <pageMargins left="0.7" right="0.7" top="0.75" bottom="0.75" header="0.3" footer="0.3"/>
      <pageSetup paperSize="9" orientation="portrait" r:id="rId4"/>
    </customSheetView>
    <customSheetView guid="{AE0DD889-C13C-4059-8024-0F5B234827E9}" hiddenColumns="1" topLeftCell="A58">
      <selection activeCell="H8" sqref="H8"/>
      <pageMargins left="0.7" right="0.7" top="0.75" bottom="0.75" header="0.3" footer="0.3"/>
    </customSheetView>
    <customSheetView guid="{CCBBD9B0-4191-4D7A-9F7B-BAC044A49153}" hiddenColumns="1">
      <selection activeCell="I32" sqref="I32"/>
      <pageMargins left="0.7" right="0.7" top="0.75" bottom="0.75" header="0.3" footer="0.3"/>
    </customSheetView>
    <customSheetView guid="{F5F9735B-EE22-4AC6-B5AB-C856ED6C133D}" hiddenColumns="1" topLeftCell="A13">
      <selection activeCell="L40" sqref="L40"/>
      <pageMargins left="0.7" right="0.7" top="0.75" bottom="0.75" header="0.3" footer="0.3"/>
    </customSheetView>
    <customSheetView guid="{500C3980-ED13-4C97-96B1-955D50509B66}" topLeftCell="A4">
      <selection activeCell="G25" sqref="G25"/>
      <pageMargins left="0.7" right="0.7" top="0.75" bottom="0.75" header="0.3" footer="0.3"/>
    </customSheetView>
    <customSheetView guid="{3B943BAF-34C7-494A-A071-85DE0891E5A1}" hiddenColumns="1">
      <selection activeCell="I32" sqref="I32"/>
      <pageMargins left="0.7" right="0.7" top="0.75" bottom="0.75" header="0.3" footer="0.3"/>
    </customSheetView>
    <customSheetView guid="{EEE4B3DA-ADF6-49CC-9873-068FE5927B92}" hiddenColumns="1">
      <selection activeCell="I32" sqref="I32"/>
      <pageMargins left="0.7" right="0.7" top="0.75" bottom="0.75" header="0.3" footer="0.3"/>
    </customSheetView>
    <customSheetView guid="{C52D0F53-4D1D-4D01-B833-260359FD02A5}" hiddenColumns="1" topLeftCell="A46">
      <selection activeCell="F80" sqref="F80"/>
      <pageMargins left="0.7" right="0.7" top="0.75" bottom="0.75" header="0.3" footer="0.3"/>
    </customSheetView>
    <customSheetView guid="{6A1E79C9-91E3-4EEA-8ABB-4446083299EC}" hiddenColumns="1">
      <selection activeCell="AC29" sqref="AC29"/>
      <pageMargins left="0.7" right="0.7" top="0.75" bottom="0.75" header="0.3" footer="0.3"/>
    </customSheetView>
    <customSheetView guid="{8B80B510-C931-46B1-8591-DEA916D76593}" hiddenColumns="1">
      <selection activeCell="I32" sqref="I32"/>
      <pageMargins left="0.7" right="0.7" top="0.75" bottom="0.75" header="0.3" footer="0.3"/>
    </customSheetView>
    <customSheetView guid="{303A9D89-611D-4504-BCAA-071C53B021F7}" hiddenColumns="1">
      <selection activeCell="AC29" sqref="AC29"/>
      <pageMargins left="0.7" right="0.7" top="0.75" bottom="0.75" header="0.3" footer="0.3"/>
    </customSheetView>
    <customSheetView guid="{4583A87D-5DFF-47BD-849A-FA4AAF2B9CE3}" hiddenColumns="1">
      <selection activeCell="I32" sqref="I32"/>
      <pageMargins left="0.7" right="0.7" top="0.75" bottom="0.75" header="0.3" footer="0.3"/>
    </customSheetView>
    <customSheetView guid="{EA856AC2-CDFF-46B6-B0C4-30449DF132F4}" hiddenColumns="1">
      <selection activeCell="I32" sqref="I32"/>
      <pageMargins left="0.7" right="0.7" top="0.75" bottom="0.75" header="0.3" footer="0.3"/>
    </customSheetView>
    <customSheetView guid="{322A45A6-8B26-49B8-A4D9-EFB3C94A758D}" hiddenColumns="1">
      <selection activeCell="AC29" sqref="AC29"/>
      <pageMargins left="0.7" right="0.7" top="0.75" bottom="0.75" header="0.3" footer="0.3"/>
      <pageSetup paperSize="9" orientation="portrait" r:id="rId5"/>
    </customSheetView>
  </customSheetViews>
  <phoneticPr fontId="133" type="noConversion"/>
  <pageMargins left="0.7" right="0.7" top="0.75" bottom="0.75" header="0.3" footer="0.3"/>
  <pageSetup paperSize="9" orientation="portrait" r:id="rId6"/>
  <drawing r:id="rId7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8"/>
  <sheetViews>
    <sheetView zoomScaleNormal="100" workbookViewId="0">
      <selection activeCell="B33" sqref="B33"/>
    </sheetView>
  </sheetViews>
  <sheetFormatPr defaultColWidth="9" defaultRowHeight="13.5"/>
  <cols>
    <col min="1" max="1" width="9" style="166" customWidth="1"/>
    <col min="2" max="2" width="22.25" style="167" customWidth="1"/>
    <col min="3" max="25" width="9" style="166"/>
    <col min="26" max="38" width="10.125" style="166" customWidth="1"/>
    <col min="39" max="39" width="11.125" style="166" customWidth="1"/>
    <col min="40" max="16384" width="9" style="166"/>
  </cols>
  <sheetData>
    <row r="1" spans="1:39" s="163" customFormat="1" ht="12">
      <c r="A1" s="163" t="s">
        <v>0</v>
      </c>
      <c r="B1" s="168"/>
      <c r="C1" s="163">
        <v>2019</v>
      </c>
      <c r="D1" s="163">
        <v>2019</v>
      </c>
      <c r="E1" s="163">
        <v>2019</v>
      </c>
      <c r="F1" s="163">
        <v>2019</v>
      </c>
      <c r="G1" s="163">
        <v>2019</v>
      </c>
      <c r="H1" s="163">
        <v>2019</v>
      </c>
      <c r="I1" s="163">
        <v>2019</v>
      </c>
      <c r="J1" s="163">
        <v>2019</v>
      </c>
      <c r="K1" s="163">
        <v>2019</v>
      </c>
      <c r="L1" s="163">
        <v>2019</v>
      </c>
      <c r="M1" s="163">
        <v>2019</v>
      </c>
      <c r="N1" s="163">
        <v>2019</v>
      </c>
      <c r="O1" s="163">
        <v>2020</v>
      </c>
      <c r="P1" s="163">
        <v>2020</v>
      </c>
      <c r="Q1" s="163">
        <v>2020</v>
      </c>
      <c r="R1" s="163">
        <v>2020</v>
      </c>
      <c r="S1" s="163">
        <v>2020</v>
      </c>
      <c r="T1" s="163">
        <v>2020</v>
      </c>
      <c r="U1" s="163">
        <v>2020</v>
      </c>
      <c r="V1" s="163">
        <v>2020</v>
      </c>
      <c r="W1" s="163">
        <v>2020</v>
      </c>
      <c r="X1" s="163">
        <v>2020</v>
      </c>
      <c r="Y1" s="163">
        <v>2020</v>
      </c>
      <c r="Z1" s="163">
        <v>2020</v>
      </c>
      <c r="AA1" s="163">
        <v>2021</v>
      </c>
      <c r="AB1" s="163">
        <v>2021</v>
      </c>
      <c r="AC1" s="163">
        <v>2021</v>
      </c>
      <c r="AD1" s="163">
        <v>2021</v>
      </c>
      <c r="AE1" s="163">
        <v>2021</v>
      </c>
      <c r="AF1" s="163">
        <v>2021</v>
      </c>
      <c r="AG1" s="163">
        <v>2021</v>
      </c>
      <c r="AH1" s="163">
        <v>2021</v>
      </c>
      <c r="AI1" s="163">
        <v>2021</v>
      </c>
      <c r="AJ1" s="163">
        <v>2021</v>
      </c>
      <c r="AK1" s="163">
        <v>2021</v>
      </c>
      <c r="AL1" s="163">
        <v>2021</v>
      </c>
    </row>
    <row r="2" spans="1:39" s="163" customFormat="1" ht="12">
      <c r="A2" s="163" t="s">
        <v>1</v>
      </c>
      <c r="B2" s="168"/>
      <c r="C2" s="163">
        <v>1</v>
      </c>
      <c r="D2" s="163">
        <v>2</v>
      </c>
      <c r="E2" s="163">
        <v>3</v>
      </c>
      <c r="F2" s="163">
        <v>4</v>
      </c>
      <c r="G2" s="163">
        <v>5</v>
      </c>
      <c r="H2" s="163">
        <v>6</v>
      </c>
      <c r="I2" s="163">
        <v>7</v>
      </c>
      <c r="J2" s="163">
        <v>8</v>
      </c>
      <c r="K2" s="163">
        <v>9</v>
      </c>
      <c r="L2" s="163">
        <v>10</v>
      </c>
      <c r="M2" s="163">
        <v>11</v>
      </c>
      <c r="N2" s="163">
        <v>12</v>
      </c>
      <c r="O2" s="163">
        <v>1</v>
      </c>
      <c r="P2" s="163">
        <v>2</v>
      </c>
      <c r="Q2" s="163">
        <v>3</v>
      </c>
      <c r="R2" s="163">
        <v>4</v>
      </c>
      <c r="S2" s="163">
        <v>5</v>
      </c>
      <c r="T2" s="163">
        <v>6</v>
      </c>
      <c r="U2" s="163">
        <v>7</v>
      </c>
      <c r="V2" s="163">
        <v>8</v>
      </c>
      <c r="W2" s="163">
        <v>9</v>
      </c>
      <c r="X2" s="163">
        <v>10</v>
      </c>
      <c r="Y2" s="163">
        <v>11</v>
      </c>
      <c r="Z2" s="163">
        <v>12</v>
      </c>
      <c r="AA2" s="163">
        <v>1</v>
      </c>
      <c r="AB2" s="163">
        <v>2</v>
      </c>
      <c r="AC2" s="163">
        <v>3</v>
      </c>
      <c r="AD2" s="163">
        <v>4</v>
      </c>
      <c r="AE2" s="163">
        <v>5</v>
      </c>
      <c r="AF2" s="163">
        <v>6</v>
      </c>
      <c r="AG2" s="163">
        <v>7</v>
      </c>
      <c r="AH2" s="163">
        <v>8</v>
      </c>
      <c r="AI2" s="163">
        <v>9</v>
      </c>
      <c r="AJ2" s="163">
        <v>10</v>
      </c>
      <c r="AK2" s="163">
        <v>11</v>
      </c>
      <c r="AL2" s="163">
        <v>12</v>
      </c>
      <c r="AM2" s="163" t="s">
        <v>1133</v>
      </c>
    </row>
    <row r="3" spans="1:39" s="164" customFormat="1">
      <c r="A3" s="169" t="s">
        <v>673</v>
      </c>
      <c r="B3" s="170" t="s">
        <v>674</v>
      </c>
      <c r="C3" s="171">
        <v>1.7084999999999999</v>
      </c>
      <c r="D3" s="171">
        <v>1.3795693600000001</v>
      </c>
      <c r="E3" s="164">
        <v>3.39193064</v>
      </c>
      <c r="F3" s="164">
        <v>2.2485711199999998</v>
      </c>
      <c r="G3" s="164">
        <v>5.5397414791999999</v>
      </c>
      <c r="H3" s="164">
        <v>2.0609169999999999</v>
      </c>
      <c r="I3" s="164">
        <v>3.0043415207999971</v>
      </c>
      <c r="J3" s="164">
        <v>3.646428880000002</v>
      </c>
      <c r="K3" s="164">
        <v>1.3599999999999994</v>
      </c>
      <c r="L3" s="164">
        <v>5.78</v>
      </c>
      <c r="M3" s="164">
        <v>7.49</v>
      </c>
      <c r="N3" s="164">
        <v>10.532007264800001</v>
      </c>
      <c r="O3" s="177">
        <f>4.3115-0.232</f>
        <v>4.0794999999999995</v>
      </c>
      <c r="P3" s="177">
        <v>0.74672200000000011</v>
      </c>
      <c r="Q3" s="164">
        <v>2.9376000000000002</v>
      </c>
      <c r="R3" s="164">
        <v>24.062111000000002</v>
      </c>
      <c r="S3" s="164">
        <v>3.0233110000000001</v>
      </c>
      <c r="T3" s="164">
        <v>4.8743869999999996</v>
      </c>
      <c r="U3" s="164">
        <v>6.3178379999999992</v>
      </c>
      <c r="V3" s="164">
        <v>23.025986769999999</v>
      </c>
      <c r="W3" s="164">
        <v>4.1833380000000009</v>
      </c>
      <c r="X3" s="164">
        <v>3.99</v>
      </c>
      <c r="Y3" s="164">
        <v>5.1377059795000006</v>
      </c>
      <c r="Z3" s="164">
        <v>16.310462020500001</v>
      </c>
      <c r="AA3" s="1944">
        <v>3.04</v>
      </c>
      <c r="AB3" s="1944">
        <v>7.1520346104999994</v>
      </c>
      <c r="AC3" s="1944">
        <v>2.4164623895000004</v>
      </c>
      <c r="AD3" s="1944">
        <v>2.5878999999999994</v>
      </c>
      <c r="AE3" s="1944">
        <v>5.4641000000000002</v>
      </c>
      <c r="AF3" s="1944">
        <v>6.8</v>
      </c>
      <c r="AG3" s="2564">
        <v>2.1665000000000001</v>
      </c>
      <c r="AH3" s="1944">
        <v>3.9960000000000004</v>
      </c>
      <c r="AI3" s="1944"/>
      <c r="AJ3" s="1944"/>
      <c r="AK3" s="1944"/>
      <c r="AL3" s="1944"/>
      <c r="AM3" s="2564">
        <v>33.491199999999999</v>
      </c>
    </row>
    <row r="4" spans="1:39" s="165" customFormat="1">
      <c r="A4" s="172">
        <v>1</v>
      </c>
      <c r="B4" s="173" t="s">
        <v>675</v>
      </c>
      <c r="C4" s="174">
        <v>1.2754000000000001</v>
      </c>
      <c r="D4" s="174">
        <v>1.1511</v>
      </c>
      <c r="E4" s="165">
        <v>2.1535000000000002</v>
      </c>
      <c r="F4" s="165">
        <v>2.2237300000000002</v>
      </c>
      <c r="G4" s="165">
        <v>2.3187000000000002</v>
      </c>
      <c r="H4" s="165">
        <v>1.9434</v>
      </c>
      <c r="I4" s="165">
        <v>2.9874999999999989</v>
      </c>
      <c r="J4" s="165">
        <v>3.566670000000002</v>
      </c>
      <c r="K4" s="165">
        <v>0.90892999999999802</v>
      </c>
      <c r="L4" s="165">
        <v>5.42</v>
      </c>
      <c r="M4" s="165" t="s">
        <v>1224</v>
      </c>
      <c r="N4" s="165">
        <v>2.0645999999999987</v>
      </c>
      <c r="O4" s="178">
        <f>1.5701-0.232</f>
        <v>1.3381000000000001</v>
      </c>
      <c r="P4" s="178">
        <v>0.51842200000000016</v>
      </c>
      <c r="Q4" s="165">
        <v>1.9883</v>
      </c>
      <c r="R4" s="165">
        <v>1.84175</v>
      </c>
      <c r="S4" s="165">
        <v>2.3052000000000001</v>
      </c>
      <c r="T4" s="165">
        <v>4.5638050000000003</v>
      </c>
      <c r="U4" s="165">
        <v>4.4865379999999995</v>
      </c>
      <c r="V4" s="165">
        <v>4.1102999999999996</v>
      </c>
      <c r="W4" s="165">
        <v>3.2543380000000006</v>
      </c>
      <c r="X4" s="165">
        <v>3.94</v>
      </c>
      <c r="Y4" s="165">
        <v>4.5668059795000007</v>
      </c>
      <c r="Z4" s="165">
        <v>5.5789620204999997</v>
      </c>
      <c r="AA4" s="1945">
        <v>1.4702029999999997</v>
      </c>
      <c r="AB4" s="1945">
        <v>1.6570799999999999</v>
      </c>
      <c r="AC4" s="1945">
        <v>2.1770170000000002</v>
      </c>
      <c r="AD4" s="1945">
        <v>2.5878999999999994</v>
      </c>
      <c r="AE4" s="1945">
        <v>5.2541000000000002</v>
      </c>
      <c r="AF4" s="1945">
        <v>4.4000000000000004</v>
      </c>
      <c r="AG4" s="2565">
        <v>2.1665000000000001</v>
      </c>
      <c r="AH4" s="1945">
        <v>3.2792000000000003</v>
      </c>
      <c r="AI4" s="1945"/>
      <c r="AJ4" s="1945"/>
      <c r="AK4" s="1945"/>
      <c r="AL4" s="1945"/>
      <c r="AM4" s="2565">
        <v>22.858799999999999</v>
      </c>
    </row>
    <row r="5" spans="1:39" s="165" customFormat="1">
      <c r="A5" s="172">
        <v>2</v>
      </c>
      <c r="B5" s="173" t="s">
        <v>676</v>
      </c>
      <c r="C5" s="174">
        <v>0.43309999999999998</v>
      </c>
      <c r="D5" s="174">
        <v>0.22846936000000001</v>
      </c>
      <c r="E5" s="165">
        <v>1.23843064</v>
      </c>
      <c r="F5" s="165">
        <v>2.48411200000003E-2</v>
      </c>
      <c r="G5" s="165">
        <v>1.7510414792</v>
      </c>
      <c r="H5" s="165">
        <v>6.7516999999999994E-2</v>
      </c>
      <c r="I5" s="165">
        <v>1.6841520800000342E-2</v>
      </c>
      <c r="J5" s="165">
        <v>7.9758879999999532E-2</v>
      </c>
      <c r="K5" s="165">
        <v>0.44653614080000015</v>
      </c>
      <c r="L5" s="165">
        <v>0.36</v>
      </c>
      <c r="M5" s="165">
        <v>5.35</v>
      </c>
      <c r="N5" s="165">
        <v>6.2919072648000007</v>
      </c>
      <c r="O5" s="178">
        <v>2.7414000000000001</v>
      </c>
      <c r="P5" s="178">
        <v>0.22829999999999995</v>
      </c>
      <c r="Q5" s="165">
        <v>0.94930000000000003</v>
      </c>
      <c r="R5" s="165">
        <v>0.1037</v>
      </c>
      <c r="S5" s="165">
        <v>3.7000000000000002E-3</v>
      </c>
      <c r="T5" s="165">
        <v>0.1726</v>
      </c>
      <c r="U5" s="165">
        <v>1.8312999999999999</v>
      </c>
      <c r="V5" s="165">
        <v>0</v>
      </c>
      <c r="W5" s="165">
        <v>0.32900000000000001</v>
      </c>
      <c r="X5" s="165">
        <v>0.06</v>
      </c>
      <c r="Y5" s="165">
        <v>0.57089999999999996</v>
      </c>
      <c r="Z5" s="165">
        <v>7.3014999999999999</v>
      </c>
      <c r="AA5" s="1945">
        <v>1.42</v>
      </c>
      <c r="AB5" s="1945">
        <v>1.0554610499999945E-2</v>
      </c>
      <c r="AC5" s="1945">
        <v>0.23944538950000005</v>
      </c>
      <c r="AD5" s="1945">
        <v>0</v>
      </c>
      <c r="AE5" s="1945">
        <v>0</v>
      </c>
      <c r="AF5" s="1945">
        <v>2.4</v>
      </c>
      <c r="AG5" s="2565">
        <v>0</v>
      </c>
      <c r="AH5" s="1945">
        <v>0.71679999999999999</v>
      </c>
      <c r="AI5" s="1945"/>
      <c r="AJ5" s="1945"/>
      <c r="AK5" s="1945"/>
      <c r="AL5" s="1945"/>
      <c r="AM5" s="2565">
        <v>4.7880000000000003</v>
      </c>
    </row>
    <row r="6" spans="1:39" s="165" customFormat="1">
      <c r="A6" s="172">
        <v>3</v>
      </c>
      <c r="B6" s="173" t="s">
        <v>677</v>
      </c>
      <c r="C6" s="174">
        <v>1.47</v>
      </c>
      <c r="D6" s="174"/>
      <c r="H6" s="165">
        <v>0.05</v>
      </c>
      <c r="I6" s="165">
        <v>0</v>
      </c>
      <c r="J6" s="165">
        <v>0</v>
      </c>
      <c r="K6" s="165">
        <v>0</v>
      </c>
      <c r="M6" s="165">
        <v>2.14</v>
      </c>
      <c r="N6" s="165">
        <v>2.1755</v>
      </c>
      <c r="O6" s="178">
        <v>0</v>
      </c>
      <c r="P6" s="178">
        <v>0</v>
      </c>
      <c r="Q6" s="165">
        <v>0</v>
      </c>
      <c r="R6" s="165">
        <v>22.116661000000001</v>
      </c>
      <c r="S6" s="165">
        <v>0.71441100000000002</v>
      </c>
      <c r="T6" s="165">
        <v>0.13798199999999999</v>
      </c>
      <c r="U6" s="165">
        <v>0</v>
      </c>
      <c r="V6" s="165">
        <v>18.915686770000001</v>
      </c>
      <c r="W6" s="165">
        <v>0.60000000000000009</v>
      </c>
      <c r="Y6" s="165">
        <v>0</v>
      </c>
      <c r="Z6" s="165">
        <v>3.43</v>
      </c>
      <c r="AA6" s="1945">
        <v>0.15</v>
      </c>
      <c r="AB6" s="1945">
        <v>5.4843999999999999</v>
      </c>
      <c r="AC6" s="1945">
        <v>0</v>
      </c>
      <c r="AD6" s="1945">
        <v>0</v>
      </c>
      <c r="AE6" s="1945">
        <v>0.21</v>
      </c>
      <c r="AF6" s="1945"/>
      <c r="AG6" s="2565">
        <v>0</v>
      </c>
      <c r="AH6" s="1945">
        <v>0</v>
      </c>
      <c r="AI6" s="1945"/>
      <c r="AJ6" s="1945"/>
      <c r="AK6" s="1945"/>
      <c r="AL6" s="1945"/>
      <c r="AM6" s="2565">
        <v>5.8444000000000003</v>
      </c>
    </row>
    <row r="7" spans="1:39" s="164" customFormat="1" ht="25.5">
      <c r="A7" s="169" t="s">
        <v>678</v>
      </c>
      <c r="B7" s="175" t="s">
        <v>679</v>
      </c>
      <c r="C7" s="171">
        <v>0.48</v>
      </c>
      <c r="D7" s="171">
        <v>0.21</v>
      </c>
      <c r="E7" s="164">
        <v>0.86</v>
      </c>
      <c r="F7" s="164">
        <v>0.85</v>
      </c>
      <c r="G7" s="164">
        <v>1.0294080000000001</v>
      </c>
      <c r="H7" s="164">
        <v>1.2505919999999999</v>
      </c>
      <c r="I7" s="164">
        <v>1.21</v>
      </c>
      <c r="J7" s="164">
        <v>1.7485410000000003</v>
      </c>
      <c r="K7" s="164">
        <v>4.0714590000000008</v>
      </c>
      <c r="L7" s="164">
        <v>3.51</v>
      </c>
      <c r="M7" s="164">
        <v>4.75</v>
      </c>
      <c r="N7" s="164">
        <v>3.8056790097425974</v>
      </c>
      <c r="O7" s="177">
        <f>0.8370563575+0.35</f>
        <v>1.1870563574999999</v>
      </c>
      <c r="P7" s="177">
        <v>0.67357099999999981</v>
      </c>
      <c r="Q7" s="164">
        <v>1.5116000000000001</v>
      </c>
      <c r="R7" s="164">
        <v>1.843858</v>
      </c>
      <c r="S7" s="164">
        <v>2.194</v>
      </c>
      <c r="T7" s="164">
        <v>4.2406874699000001</v>
      </c>
      <c r="U7" s="164">
        <v>3.7086879999999991</v>
      </c>
      <c r="V7" s="164">
        <v>3.5823830000000014</v>
      </c>
      <c r="W7" s="164">
        <v>2.9432949999999982</v>
      </c>
      <c r="X7" s="164">
        <v>3.54</v>
      </c>
      <c r="Y7" s="164">
        <v>3.6911681903999995</v>
      </c>
      <c r="Z7" s="164">
        <v>3.7813160495999969</v>
      </c>
      <c r="AA7" s="1944">
        <v>1.3123874529999999</v>
      </c>
      <c r="AB7" s="1944">
        <v>1.2712669999999999</v>
      </c>
      <c r="AC7" s="1944">
        <v>1.7521200000000001</v>
      </c>
      <c r="AD7" s="1944">
        <v>2.565747</v>
      </c>
      <c r="AE7" s="1944">
        <v>3.5950014520000004</v>
      </c>
      <c r="AF7" s="1944">
        <v>4.41</v>
      </c>
      <c r="AG7" s="2564">
        <v>1.7154999999999985</v>
      </c>
      <c r="AH7" s="1944">
        <v>3.34895466</v>
      </c>
      <c r="AI7" s="1944"/>
      <c r="AJ7" s="1944"/>
      <c r="AK7" s="1944"/>
      <c r="AL7" s="1944"/>
      <c r="AM7" s="2564">
        <v>20.384546124299998</v>
      </c>
    </row>
    <row r="8" spans="1:39" s="165" customFormat="1" ht="25.5">
      <c r="A8" s="172">
        <v>1</v>
      </c>
      <c r="B8" s="176" t="s">
        <v>680</v>
      </c>
      <c r="C8" s="174">
        <v>0.44</v>
      </c>
      <c r="D8" s="174">
        <v>0.19</v>
      </c>
      <c r="E8" s="165">
        <v>0.81</v>
      </c>
      <c r="F8" s="165">
        <v>0.73</v>
      </c>
      <c r="G8" s="165">
        <v>1.016508</v>
      </c>
      <c r="H8" s="165">
        <v>1.2487919999999999</v>
      </c>
      <c r="I8" s="165">
        <v>1.1347000000000005</v>
      </c>
      <c r="J8" s="165">
        <v>1.7158410000000002</v>
      </c>
      <c r="K8" s="165">
        <v>3.4841589999999991</v>
      </c>
      <c r="L8" s="165">
        <v>3.26</v>
      </c>
      <c r="M8" s="165">
        <v>3.12</v>
      </c>
      <c r="N8" s="165">
        <v>3.4120790097426017</v>
      </c>
      <c r="O8" s="178">
        <f>0.5919743575+0.13</f>
        <v>0.72197435750000005</v>
      </c>
      <c r="P8" s="178">
        <v>0.41653999999999997</v>
      </c>
      <c r="Q8" s="165">
        <v>1.4702</v>
      </c>
      <c r="R8" s="165">
        <v>1.7389079999999999</v>
      </c>
      <c r="S8" s="165">
        <v>1.8624000000000001</v>
      </c>
      <c r="T8" s="165">
        <v>3.4200824699000001</v>
      </c>
      <c r="U8" s="165">
        <v>3.5454500000000002</v>
      </c>
      <c r="V8" s="165">
        <v>3.2366830000000015</v>
      </c>
      <c r="W8" s="165">
        <v>2.075076999999999</v>
      </c>
      <c r="X8" s="165">
        <v>3.42</v>
      </c>
      <c r="Y8" s="165">
        <v>3.2865101904000009</v>
      </c>
      <c r="Z8" s="165">
        <v>3.3434440496000026</v>
      </c>
      <c r="AA8" s="1945">
        <v>1.2676874530000002</v>
      </c>
      <c r="AB8" s="1945">
        <v>1.2712669999999999</v>
      </c>
      <c r="AC8" s="1945">
        <v>1.6332200000000001</v>
      </c>
      <c r="AD8" s="1945">
        <v>2.2594470000000002</v>
      </c>
      <c r="AE8" s="1945">
        <v>3.5124014520000006</v>
      </c>
      <c r="AF8" s="1945">
        <v>4.01</v>
      </c>
      <c r="AG8" s="2565">
        <v>1.6002999999999985</v>
      </c>
      <c r="AH8" s="1945">
        <v>3.00785466</v>
      </c>
      <c r="AI8" s="1945"/>
      <c r="AJ8" s="1945"/>
      <c r="AK8" s="1945"/>
      <c r="AL8" s="1945"/>
      <c r="AM8" s="2565">
        <v>18.663646124300001</v>
      </c>
    </row>
  </sheetData>
  <customSheetViews>
    <customSheetView guid="{1683F931-F47D-47C0-A395-D48080DC7EE6}" showPageBreaks="1">
      <selection activeCell="B33" sqref="B33"/>
      <pageMargins left="0.7" right="0.7" top="0.75" bottom="0.75" header="0.3" footer="0.3"/>
      <pageSetup paperSize="9" orientation="portrait" r:id="rId1"/>
    </customSheetView>
    <customSheetView guid="{43897816-D2F0-4C3D-8F57-E0039BD2296B}">
      <selection activeCell="N39" sqref="N39"/>
      <pageMargins left="0.7" right="0.7" top="0.75" bottom="0.75" header="0.3" footer="0.3"/>
    </customSheetView>
    <customSheetView guid="{849C46E5-4ED4-41B9-BDA9-A6465B9DA9C2}" topLeftCell="L1">
      <selection activeCell="Q14" sqref="Q14"/>
      <pageMargins left="0.7" right="0.7" top="0.75" bottom="0.75" header="0.3" footer="0.3"/>
    </customSheetView>
    <customSheetView guid="{8C09BCDE-4B8A-4469-B3F2-7F4528A2E78D}" topLeftCell="L1">
      <selection activeCell="Q14" sqref="Q14"/>
      <pageMargins left="0.7" right="0.7" top="0.75" bottom="0.75" header="0.3" footer="0.3"/>
    </customSheetView>
    <customSheetView guid="{F4EB51F4-FD23-4D5B-8072-1AF5D59D6686}" topLeftCell="K1">
      <selection activeCell="Z25" sqref="Z25"/>
      <pageMargins left="0.7" right="0.7" top="0.75" bottom="0.75" header="0.3" footer="0.3"/>
    </customSheetView>
    <customSheetView guid="{D7BCFB76-2797-401D-A6F1-E020B5162DD4}" topLeftCell="T1">
      <selection activeCell="AM11" sqref="AM11"/>
      <pageMargins left="0.7" right="0.7" top="0.75" bottom="0.75" header="0.3" footer="0.3"/>
    </customSheetView>
    <customSheetView guid="{C9A88430-3808-49F4-8D86-BF8C70C55441}">
      <selection activeCell="R26" sqref="R26"/>
      <pageMargins left="0.7" right="0.7" top="0.75" bottom="0.75" header="0.3" footer="0.3"/>
    </customSheetView>
    <customSheetView guid="{E61FFED3-723E-484A-93A0-94E1A801AF06}">
      <selection activeCell="R26" sqref="R26"/>
      <pageMargins left="0.7" right="0.7" top="0.75" bottom="0.75" header="0.3" footer="0.3"/>
    </customSheetView>
    <customSheetView guid="{6B5CCA07-2BDD-4B8E-9E3C-2111BBA97430}" hiddenColumns="1" topLeftCell="B1">
      <pane xSplit="1" topLeftCell="X1" activePane="topRight" state="frozen"/>
      <selection pane="topRight" activeCell="AD21" sqref="AD21"/>
      <pageMargins left="0.7" right="0.7" top="0.75" bottom="0.75" header="0.3" footer="0.3"/>
      <pageSetup paperSize="9" orientation="portrait" r:id="rId2"/>
    </customSheetView>
    <customSheetView guid="{2F47A827-9643-4D8A-AC5D-6B09D79AACF9}">
      <selection activeCell="N39" sqref="N39"/>
      <pageMargins left="0.7" right="0.7" top="0.75" bottom="0.75" header="0.3" footer="0.3"/>
    </customSheetView>
    <customSheetView guid="{B37168A1-DBAB-4BDE-9F92-6261DCDF3D92}">
      <selection activeCell="G4" sqref="G4"/>
      <pageMargins left="0.7" right="0.7" top="0.75" bottom="0.75" header="0.3" footer="0.3"/>
    </customSheetView>
    <customSheetView guid="{AE0DD889-C13C-4059-8024-0F5B234827E9}">
      <selection activeCell="O8" sqref="O8:S8"/>
      <pageMargins left="0.7" right="0.7" top="0.75" bottom="0.75" header="0.3" footer="0.3"/>
    </customSheetView>
    <customSheetView guid="{CCBBD9B0-4191-4D7A-9F7B-BAC044A49153}">
      <selection activeCell="N39" sqref="N39"/>
      <pageMargins left="0.7" right="0.7" top="0.75" bottom="0.75" header="0.3" footer="0.3"/>
    </customSheetView>
    <customSheetView guid="{F5F9735B-EE22-4AC6-B5AB-C856ED6C133D}">
      <selection activeCell="R26" sqref="R26"/>
      <pageMargins left="0.7" right="0.7" top="0.75" bottom="0.75" header="0.3" footer="0.3"/>
    </customSheetView>
    <customSheetView guid="{500C3980-ED13-4C97-96B1-955D50509B66}">
      <selection activeCell="L14" sqref="L14"/>
      <pageMargins left="0.7" right="0.7" top="0.75" bottom="0.75" header="0.3" footer="0.3"/>
    </customSheetView>
    <customSheetView guid="{3B943BAF-34C7-494A-A071-85DE0891E5A1}">
      <selection activeCell="N39" sqref="N39"/>
      <pageMargins left="0.7" right="0.7" top="0.75" bottom="0.75" header="0.3" footer="0.3"/>
    </customSheetView>
    <customSheetView guid="{EEE4B3DA-ADF6-49CC-9873-068FE5927B92}">
      <selection activeCell="N39" sqref="N39"/>
      <pageMargins left="0.7" right="0.7" top="0.75" bottom="0.75" header="0.3" footer="0.3"/>
    </customSheetView>
    <customSheetView guid="{C52D0F53-4D1D-4D01-B833-260359FD02A5}">
      <selection activeCell="O3" sqref="O3:R8"/>
      <pageMargins left="0.7" right="0.7" top="0.75" bottom="0.75" header="0.3" footer="0.3"/>
    </customSheetView>
    <customSheetView guid="{6A1E79C9-91E3-4EEA-8ABB-4446083299EC}">
      <selection activeCell="R26" sqref="R26"/>
      <pageMargins left="0.7" right="0.7" top="0.75" bottom="0.75" header="0.3" footer="0.3"/>
    </customSheetView>
    <customSheetView guid="{8B80B510-C931-46B1-8591-DEA916D76593}">
      <selection activeCell="N39" sqref="N39"/>
      <pageMargins left="0.7" right="0.7" top="0.75" bottom="0.75" header="0.3" footer="0.3"/>
    </customSheetView>
    <customSheetView guid="{303A9D89-611D-4504-BCAA-071C53B021F7}">
      <selection activeCell="R26" sqref="R26"/>
      <pageMargins left="0.7" right="0.7" top="0.75" bottom="0.75" header="0.3" footer="0.3"/>
    </customSheetView>
    <customSheetView guid="{4583A87D-5DFF-47BD-849A-FA4AAF2B9CE3}">
      <selection activeCell="N39" sqref="N39"/>
      <pageMargins left="0.7" right="0.7" top="0.75" bottom="0.75" header="0.3" footer="0.3"/>
    </customSheetView>
    <customSheetView guid="{EA856AC2-CDFF-46B6-B0C4-30449DF132F4}">
      <selection activeCell="N39" sqref="N39"/>
      <pageMargins left="0.7" right="0.7" top="0.75" bottom="0.75" header="0.3" footer="0.3"/>
    </customSheetView>
    <customSheetView guid="{322A45A6-8B26-49B8-A4D9-EFB3C94A758D}" topLeftCell="M1">
      <selection activeCell="W22" sqref="W22:W23"/>
      <pageMargins left="0.7" right="0.7" top="0.75" bottom="0.75" header="0.3" footer="0.3"/>
      <pageSetup paperSize="9" orientation="portrait" r:id="rId3"/>
    </customSheetView>
  </customSheetViews>
  <phoneticPr fontId="133" type="noConversion"/>
  <pageMargins left="0.7" right="0.7" top="0.75" bottom="0.75" header="0.3" footer="0.3"/>
  <pageSetup paperSize="9" orientation="portrait" r:id="rId4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Z85"/>
  <sheetViews>
    <sheetView topLeftCell="BJ1" zoomScaleNormal="85" workbookViewId="0">
      <selection activeCell="BP8" sqref="BP8"/>
    </sheetView>
  </sheetViews>
  <sheetFormatPr defaultColWidth="9" defaultRowHeight="13.5"/>
  <cols>
    <col min="1" max="1" width="40.125" style="154" customWidth="1"/>
    <col min="2" max="2" width="9" style="154" customWidth="1"/>
    <col min="3" max="3" width="8.625" style="154" customWidth="1"/>
    <col min="4" max="5" width="8.75" style="154" customWidth="1"/>
    <col min="6" max="7" width="10.5" style="154" customWidth="1"/>
    <col min="8" max="26" width="9" style="154" customWidth="1"/>
    <col min="27" max="27" width="9.5" style="154" customWidth="1"/>
    <col min="28" max="41" width="9" style="154" customWidth="1"/>
    <col min="42" max="43" width="10.5" style="154" bestFit="1" customWidth="1"/>
    <col min="44" max="45" width="11.625" style="154" bestFit="1" customWidth="1"/>
    <col min="46" max="47" width="10.5" style="154" bestFit="1" customWidth="1"/>
    <col min="48" max="48" width="10.5" style="154" customWidth="1"/>
    <col min="49" max="49" width="9.75" style="154" customWidth="1"/>
    <col min="50" max="50" width="11.625" style="154" bestFit="1" customWidth="1"/>
    <col min="51" max="60" width="12.625" style="154" customWidth="1"/>
    <col min="61" max="61" width="13.125" style="154" customWidth="1"/>
    <col min="62" max="66" width="12.625" style="154" customWidth="1"/>
    <col min="67" max="67" width="12.375" style="154" customWidth="1"/>
    <col min="68" max="75" width="12.625" style="154" customWidth="1"/>
    <col min="76" max="16384" width="9" style="154"/>
  </cols>
  <sheetData>
    <row r="1" spans="1:78" s="147" customFormat="1">
      <c r="A1" s="147" t="s">
        <v>0</v>
      </c>
      <c r="B1" s="1760">
        <v>2018</v>
      </c>
      <c r="C1" s="1760">
        <v>2018</v>
      </c>
      <c r="D1" s="1760">
        <v>2019</v>
      </c>
      <c r="E1" s="1760">
        <v>2019</v>
      </c>
      <c r="F1" s="1760">
        <v>2019</v>
      </c>
      <c r="G1" s="1760">
        <v>2019</v>
      </c>
      <c r="H1" s="1760">
        <v>2019</v>
      </c>
      <c r="I1" s="1760">
        <v>2019</v>
      </c>
      <c r="J1" s="1760">
        <v>2019</v>
      </c>
      <c r="K1" s="1760">
        <v>2019</v>
      </c>
      <c r="L1" s="1760">
        <v>2019</v>
      </c>
      <c r="M1" s="1760">
        <v>2019</v>
      </c>
      <c r="N1" s="1760">
        <v>2019</v>
      </c>
      <c r="O1" s="1760">
        <v>2019</v>
      </c>
      <c r="P1" s="1760">
        <v>2019</v>
      </c>
      <c r="Q1" s="1760">
        <v>2019</v>
      </c>
      <c r="R1" s="1760">
        <v>2019</v>
      </c>
      <c r="S1" s="1760">
        <v>2019</v>
      </c>
      <c r="T1" s="1760">
        <v>2019</v>
      </c>
      <c r="U1" s="1760">
        <v>2019</v>
      </c>
      <c r="V1" s="1760">
        <v>2019</v>
      </c>
      <c r="W1" s="1760">
        <v>2019</v>
      </c>
      <c r="X1" s="1760">
        <v>2019</v>
      </c>
      <c r="Y1" s="1760">
        <v>2019</v>
      </c>
      <c r="Z1" s="1760">
        <v>2019</v>
      </c>
      <c r="AA1" s="1760">
        <v>2019</v>
      </c>
      <c r="AB1" s="1760">
        <v>2020</v>
      </c>
      <c r="AC1" s="1760">
        <v>2020</v>
      </c>
      <c r="AD1" s="1760">
        <v>2020</v>
      </c>
      <c r="AE1" s="1760">
        <v>2020</v>
      </c>
      <c r="AF1" s="1760">
        <v>2020</v>
      </c>
      <c r="AG1" s="1760">
        <v>2020</v>
      </c>
      <c r="AH1" s="1760">
        <v>2020</v>
      </c>
      <c r="AI1" s="1760">
        <v>2020</v>
      </c>
      <c r="AJ1" s="1760">
        <v>2020</v>
      </c>
      <c r="AK1" s="1760">
        <v>2020</v>
      </c>
      <c r="AL1" s="1760">
        <v>2020</v>
      </c>
      <c r="AM1" s="1760">
        <v>2020</v>
      </c>
      <c r="AN1" s="1760">
        <v>2020</v>
      </c>
      <c r="AO1" s="1760">
        <v>2020</v>
      </c>
      <c r="AP1" s="1760">
        <v>2020</v>
      </c>
      <c r="AQ1" s="1760">
        <v>2020</v>
      </c>
      <c r="AR1" s="1760">
        <v>2020</v>
      </c>
      <c r="AS1" s="1760">
        <v>2020</v>
      </c>
      <c r="AT1" s="1760">
        <v>2020</v>
      </c>
      <c r="AU1" s="1760">
        <v>2020</v>
      </c>
      <c r="AV1" s="1760">
        <v>2020</v>
      </c>
      <c r="AW1" s="1760">
        <v>2020</v>
      </c>
      <c r="AX1" s="1760">
        <v>2020</v>
      </c>
      <c r="AY1" s="1760">
        <v>2020</v>
      </c>
      <c r="AZ1" s="1760">
        <v>2021</v>
      </c>
      <c r="BA1" s="1760">
        <v>2021</v>
      </c>
      <c r="BB1" s="1760">
        <v>2021</v>
      </c>
      <c r="BC1" s="1760">
        <v>2021</v>
      </c>
      <c r="BD1" s="1760">
        <v>2021</v>
      </c>
      <c r="BE1" s="1760">
        <v>2021</v>
      </c>
      <c r="BF1" s="1760">
        <v>2021</v>
      </c>
      <c r="BG1" s="1760">
        <v>2021</v>
      </c>
      <c r="BH1" s="1760">
        <v>2021</v>
      </c>
      <c r="BI1" s="1760">
        <v>2021</v>
      </c>
      <c r="BJ1" s="1760">
        <v>2021</v>
      </c>
      <c r="BK1" s="1760">
        <v>2021</v>
      </c>
      <c r="BL1" s="1760">
        <v>2021</v>
      </c>
      <c r="BM1" s="1760">
        <v>2021</v>
      </c>
      <c r="BN1" s="1760">
        <v>2021</v>
      </c>
      <c r="BO1" s="1760">
        <v>2021</v>
      </c>
      <c r="BP1" s="1760">
        <v>2021</v>
      </c>
      <c r="BQ1" s="1760">
        <v>2021</v>
      </c>
      <c r="BR1" s="1760">
        <v>2021</v>
      </c>
      <c r="BS1" s="1760">
        <v>2021</v>
      </c>
      <c r="BT1" s="1760">
        <v>2021</v>
      </c>
      <c r="BU1" s="1760">
        <v>2021</v>
      </c>
      <c r="BV1" s="1760">
        <v>2021</v>
      </c>
      <c r="BW1" s="1760">
        <v>2021</v>
      </c>
    </row>
    <row r="2" spans="1:78" s="147" customFormat="1">
      <c r="A2" s="147" t="s">
        <v>1</v>
      </c>
      <c r="B2" s="1760">
        <v>12</v>
      </c>
      <c r="C2" s="1760">
        <v>12</v>
      </c>
      <c r="D2" s="1760">
        <v>1</v>
      </c>
      <c r="E2" s="1760">
        <v>1</v>
      </c>
      <c r="F2" s="1760">
        <v>2</v>
      </c>
      <c r="G2" s="1760">
        <v>2</v>
      </c>
      <c r="H2" s="1760">
        <v>3</v>
      </c>
      <c r="I2" s="1760">
        <v>3</v>
      </c>
      <c r="J2" s="1760">
        <v>4</v>
      </c>
      <c r="K2" s="1760">
        <v>4</v>
      </c>
      <c r="L2" s="1760">
        <v>5</v>
      </c>
      <c r="M2" s="1760">
        <v>5</v>
      </c>
      <c r="N2" s="1760">
        <v>6</v>
      </c>
      <c r="O2" s="1760">
        <v>6</v>
      </c>
      <c r="P2" s="1760">
        <v>7</v>
      </c>
      <c r="Q2" s="1760">
        <v>7</v>
      </c>
      <c r="R2" s="1760">
        <v>8</v>
      </c>
      <c r="S2" s="1760">
        <v>8</v>
      </c>
      <c r="T2" s="1760">
        <v>9</v>
      </c>
      <c r="U2" s="1760">
        <v>9</v>
      </c>
      <c r="V2" s="1760">
        <v>10</v>
      </c>
      <c r="W2" s="1760">
        <v>10</v>
      </c>
      <c r="X2" s="1760">
        <v>11</v>
      </c>
      <c r="Y2" s="1760">
        <v>11</v>
      </c>
      <c r="Z2" s="1760">
        <v>12</v>
      </c>
      <c r="AA2" s="1760">
        <v>12</v>
      </c>
      <c r="AB2" s="1760">
        <v>1</v>
      </c>
      <c r="AC2" s="1760">
        <v>1</v>
      </c>
      <c r="AD2" s="1760">
        <v>2</v>
      </c>
      <c r="AE2" s="1760">
        <v>2</v>
      </c>
      <c r="AF2" s="1760">
        <v>3</v>
      </c>
      <c r="AG2" s="1760">
        <v>3</v>
      </c>
      <c r="AH2" s="1760">
        <v>4</v>
      </c>
      <c r="AI2" s="1760">
        <v>4</v>
      </c>
      <c r="AJ2" s="1760">
        <v>5</v>
      </c>
      <c r="AK2" s="1760">
        <v>5</v>
      </c>
      <c r="AL2" s="1760">
        <v>6</v>
      </c>
      <c r="AM2" s="1760">
        <v>6</v>
      </c>
      <c r="AN2" s="1760">
        <v>7</v>
      </c>
      <c r="AO2" s="1760">
        <v>7</v>
      </c>
      <c r="AP2" s="1760">
        <v>8</v>
      </c>
      <c r="AQ2" s="1760">
        <v>8</v>
      </c>
      <c r="AR2" s="1760">
        <v>9</v>
      </c>
      <c r="AS2" s="1760">
        <v>9</v>
      </c>
      <c r="AT2" s="1760">
        <v>10</v>
      </c>
      <c r="AU2" s="1760">
        <v>10</v>
      </c>
      <c r="AV2" s="1760">
        <v>11</v>
      </c>
      <c r="AW2" s="1760">
        <v>11</v>
      </c>
      <c r="AX2" s="1760">
        <v>12</v>
      </c>
      <c r="AY2" s="1760">
        <v>12</v>
      </c>
      <c r="AZ2" s="1760">
        <v>1</v>
      </c>
      <c r="BA2" s="1760">
        <v>1</v>
      </c>
      <c r="BB2" s="1760">
        <v>2</v>
      </c>
      <c r="BC2" s="1760">
        <v>2</v>
      </c>
      <c r="BD2" s="1760">
        <v>3</v>
      </c>
      <c r="BE2" s="1760">
        <v>3</v>
      </c>
      <c r="BF2" s="1760">
        <v>4</v>
      </c>
      <c r="BG2" s="1760">
        <v>4</v>
      </c>
      <c r="BH2" s="1760">
        <v>5</v>
      </c>
      <c r="BI2" s="1760">
        <v>5</v>
      </c>
      <c r="BJ2" s="1760">
        <v>6</v>
      </c>
      <c r="BK2" s="1760">
        <v>6</v>
      </c>
      <c r="BL2" s="1760">
        <v>7</v>
      </c>
      <c r="BM2" s="1760">
        <v>7</v>
      </c>
      <c r="BN2" s="1760">
        <v>8</v>
      </c>
      <c r="BO2" s="1760">
        <v>8</v>
      </c>
      <c r="BP2" s="1760">
        <v>9</v>
      </c>
      <c r="BQ2" s="1760">
        <v>9</v>
      </c>
      <c r="BR2" s="1760">
        <v>10</v>
      </c>
      <c r="BS2" s="1760">
        <v>10</v>
      </c>
      <c r="BT2" s="1760">
        <v>11</v>
      </c>
      <c r="BU2" s="1760">
        <v>11</v>
      </c>
      <c r="BV2" s="1760">
        <v>12</v>
      </c>
      <c r="BW2" s="1760">
        <v>12</v>
      </c>
    </row>
    <row r="3" spans="1:78" s="147" customFormat="1">
      <c r="B3" s="147" t="s">
        <v>194</v>
      </c>
      <c r="C3" s="147" t="s">
        <v>185</v>
      </c>
      <c r="D3" s="147" t="s">
        <v>194</v>
      </c>
      <c r="E3" s="147" t="s">
        <v>185</v>
      </c>
      <c r="F3" s="147" t="s">
        <v>194</v>
      </c>
      <c r="G3" s="147" t="s">
        <v>185</v>
      </c>
      <c r="H3" s="147" t="s">
        <v>194</v>
      </c>
      <c r="I3" s="147" t="s">
        <v>185</v>
      </c>
      <c r="J3" s="147" t="s">
        <v>194</v>
      </c>
      <c r="K3" s="147" t="s">
        <v>185</v>
      </c>
      <c r="L3" s="147" t="s">
        <v>194</v>
      </c>
      <c r="M3" s="147" t="s">
        <v>185</v>
      </c>
      <c r="N3" s="147" t="s">
        <v>194</v>
      </c>
      <c r="O3" s="147" t="s">
        <v>185</v>
      </c>
      <c r="P3" s="147" t="s">
        <v>194</v>
      </c>
      <c r="Q3" s="147" t="s">
        <v>185</v>
      </c>
      <c r="R3" s="147" t="s">
        <v>194</v>
      </c>
      <c r="S3" s="147" t="s">
        <v>185</v>
      </c>
      <c r="T3" s="147" t="s">
        <v>194</v>
      </c>
      <c r="U3" s="147" t="s">
        <v>185</v>
      </c>
      <c r="V3" s="147" t="s">
        <v>194</v>
      </c>
      <c r="W3" s="147" t="s">
        <v>185</v>
      </c>
      <c r="X3" s="147" t="s">
        <v>194</v>
      </c>
      <c r="Y3" s="147" t="s">
        <v>185</v>
      </c>
      <c r="Z3" s="147" t="s">
        <v>194</v>
      </c>
      <c r="AA3" s="147" t="s">
        <v>185</v>
      </c>
      <c r="AB3" s="147" t="s">
        <v>194</v>
      </c>
      <c r="AC3" s="147" t="s">
        <v>185</v>
      </c>
      <c r="AD3" s="147" t="s">
        <v>194</v>
      </c>
      <c r="AE3" s="147" t="s">
        <v>185</v>
      </c>
      <c r="AF3" s="147" t="s">
        <v>194</v>
      </c>
      <c r="AG3" s="147" t="s">
        <v>185</v>
      </c>
      <c r="AH3" s="147" t="s">
        <v>194</v>
      </c>
      <c r="AI3" s="147" t="s">
        <v>185</v>
      </c>
      <c r="AJ3" s="147" t="s">
        <v>194</v>
      </c>
      <c r="AK3" s="147" t="s">
        <v>185</v>
      </c>
      <c r="AL3" s="147" t="s">
        <v>194</v>
      </c>
      <c r="AM3" s="147" t="s">
        <v>185</v>
      </c>
      <c r="AN3" s="147" t="s">
        <v>194</v>
      </c>
      <c r="AO3" s="147" t="s">
        <v>185</v>
      </c>
      <c r="AP3" s="147" t="s">
        <v>194</v>
      </c>
      <c r="AQ3" s="147" t="s">
        <v>185</v>
      </c>
      <c r="AR3" s="147" t="s">
        <v>194</v>
      </c>
      <c r="AS3" s="147" t="s">
        <v>185</v>
      </c>
      <c r="AT3" s="147" t="s">
        <v>194</v>
      </c>
      <c r="AU3" s="147" t="s">
        <v>185</v>
      </c>
      <c r="AV3" s="147" t="s">
        <v>194</v>
      </c>
      <c r="AW3" s="147" t="s">
        <v>185</v>
      </c>
      <c r="AX3" s="147" t="s">
        <v>194</v>
      </c>
      <c r="AY3" s="147" t="s">
        <v>185</v>
      </c>
      <c r="AZ3" s="1760" t="s">
        <v>194</v>
      </c>
      <c r="BA3" s="1760" t="s">
        <v>185</v>
      </c>
      <c r="BB3" s="1760" t="s">
        <v>194</v>
      </c>
      <c r="BC3" s="1760" t="s">
        <v>185</v>
      </c>
      <c r="BD3" s="1760" t="s">
        <v>194</v>
      </c>
      <c r="BE3" s="1760" t="s">
        <v>185</v>
      </c>
      <c r="BF3" s="1760" t="s">
        <v>194</v>
      </c>
      <c r="BG3" s="1760" t="s">
        <v>185</v>
      </c>
      <c r="BH3" s="1760" t="s">
        <v>194</v>
      </c>
      <c r="BI3" s="1760" t="s">
        <v>185</v>
      </c>
      <c r="BJ3" s="1760" t="s">
        <v>194</v>
      </c>
      <c r="BK3" s="1760" t="s">
        <v>185</v>
      </c>
      <c r="BL3" s="1760" t="s">
        <v>194</v>
      </c>
      <c r="BM3" s="1760" t="s">
        <v>185</v>
      </c>
      <c r="BN3" s="1760" t="s">
        <v>194</v>
      </c>
      <c r="BO3" s="1760" t="s">
        <v>185</v>
      </c>
      <c r="BP3" s="1760" t="s">
        <v>194</v>
      </c>
      <c r="BQ3" s="1760" t="s">
        <v>185</v>
      </c>
      <c r="BR3" s="1760" t="s">
        <v>194</v>
      </c>
      <c r="BS3" s="1760" t="s">
        <v>185</v>
      </c>
      <c r="BT3" s="1760" t="s">
        <v>194</v>
      </c>
      <c r="BU3" s="1760" t="s">
        <v>185</v>
      </c>
      <c r="BV3" s="1760" t="s">
        <v>194</v>
      </c>
      <c r="BW3" s="1760" t="s">
        <v>185</v>
      </c>
    </row>
    <row r="4" spans="1:78" s="148" customFormat="1">
      <c r="A4" s="148" t="s">
        <v>980</v>
      </c>
      <c r="B4" s="155">
        <f>SUM(B5:B12)</f>
        <v>-8204.8892339999893</v>
      </c>
      <c r="C4" s="155">
        <f>SUM(C5:C12)</f>
        <v>-3286.76389023</v>
      </c>
      <c r="D4" s="155">
        <f>SUM(D5:D12)</f>
        <v>-4132.5684459999966</v>
      </c>
      <c r="E4" s="155">
        <f t="shared" ref="E4:AA4" si="0">SUM(E5:E10)</f>
        <v>-1688.2622391699988</v>
      </c>
      <c r="F4" s="155">
        <f t="shared" si="0"/>
        <v>-2508.5011590000022</v>
      </c>
      <c r="G4" s="155">
        <f t="shared" si="0"/>
        <v>-1034.9746537500005</v>
      </c>
      <c r="H4" s="155">
        <f t="shared" si="0"/>
        <v>-2649.6434250000011</v>
      </c>
      <c r="I4" s="155">
        <f t="shared" si="0"/>
        <v>-1106.7297786899999</v>
      </c>
      <c r="J4" s="155">
        <f t="shared" si="0"/>
        <v>1865.4349189999998</v>
      </c>
      <c r="K4" s="155">
        <f t="shared" si="0"/>
        <v>728.83140284000012</v>
      </c>
      <c r="L4" s="155">
        <f t="shared" si="0"/>
        <v>770.82098900000301</v>
      </c>
      <c r="M4" s="155">
        <f t="shared" si="0"/>
        <v>277.20156287000106</v>
      </c>
      <c r="N4" s="155">
        <f t="shared" si="0"/>
        <v>133.9989505648</v>
      </c>
      <c r="O4" s="155">
        <f t="shared" si="0"/>
        <v>44.191807595919897</v>
      </c>
      <c r="P4" s="155">
        <f t="shared" si="0"/>
        <v>-241.20618256480091</v>
      </c>
      <c r="Q4" s="155">
        <f t="shared" si="0"/>
        <v>-117.53760762591999</v>
      </c>
      <c r="R4" s="155">
        <f t="shared" si="0"/>
        <v>471.10186799999997</v>
      </c>
      <c r="S4" s="155">
        <f t="shared" si="0"/>
        <v>160.1678484</v>
      </c>
      <c r="T4" s="155">
        <f t="shared" si="0"/>
        <v>1717.7782578703859</v>
      </c>
      <c r="U4" s="155">
        <f t="shared" si="0"/>
        <v>679.97527334815493</v>
      </c>
      <c r="V4" s="155">
        <f t="shared" si="0"/>
        <v>4453.260726129608</v>
      </c>
      <c r="W4" s="155">
        <f t="shared" si="0"/>
        <v>1745.8550508518431</v>
      </c>
      <c r="X4" s="155">
        <f t="shared" si="0"/>
        <v>16575.200341</v>
      </c>
      <c r="Y4" s="155">
        <f t="shared" si="0"/>
        <v>6615.1857502900011</v>
      </c>
      <c r="Z4" s="155">
        <f t="shared" si="0"/>
        <v>8613.7675589999963</v>
      </c>
      <c r="AA4" s="155">
        <f t="shared" si="0"/>
        <v>3433.9611903599989</v>
      </c>
      <c r="AB4" s="155">
        <f>SUM(AB5:AB11)</f>
        <v>-928.46481599999993</v>
      </c>
      <c r="AC4" s="155">
        <f>SUM(AC5:AC11)</f>
        <v>-409.72365434999995</v>
      </c>
      <c r="AD4" s="155">
        <f>SUM(AD5:AD11)</f>
        <v>7427.5524960000012</v>
      </c>
      <c r="AE4" s="155">
        <f>SUM(AE5:AE11)</f>
        <v>2947.9764128100005</v>
      </c>
      <c r="AF4" s="155">
        <f t="shared" ref="AF4:AL4" si="1">SUM(AF5:AF10)</f>
        <v>4349.1910420000022</v>
      </c>
      <c r="AG4" s="155">
        <f t="shared" si="1"/>
        <v>1722.6092657200008</v>
      </c>
      <c r="AH4" s="155">
        <f t="shared" si="1"/>
        <v>5570.2096470000079</v>
      </c>
      <c r="AI4" s="155">
        <f t="shared" si="1"/>
        <v>2245.2836701499987</v>
      </c>
      <c r="AJ4" s="155">
        <f t="shared" si="1"/>
        <v>2862.6865389999912</v>
      </c>
      <c r="AK4" s="155">
        <f t="shared" si="1"/>
        <v>1134.113656719996</v>
      </c>
      <c r="AL4" s="155">
        <f t="shared" si="1"/>
        <v>1871.2461650000009</v>
      </c>
      <c r="AM4" s="155">
        <f t="shared" ref="AM4:AW4" si="2">SUM(AM5:AM11)</f>
        <v>911.67325627000059</v>
      </c>
      <c r="AN4" s="155">
        <f t="shared" si="2"/>
        <v>484.66809500000011</v>
      </c>
      <c r="AO4" s="155">
        <f t="shared" si="2"/>
        <v>169.74567661</v>
      </c>
      <c r="AP4" s="155">
        <f t="shared" si="2"/>
        <v>-5388.8105050000004</v>
      </c>
      <c r="AQ4" s="155">
        <f t="shared" si="2"/>
        <v>-2205.1707443599998</v>
      </c>
      <c r="AR4" s="155">
        <f t="shared" si="2"/>
        <v>-1006.7786970000002</v>
      </c>
      <c r="AS4" s="155">
        <f t="shared" si="2"/>
        <v>-292.94563105999993</v>
      </c>
      <c r="AT4" s="155">
        <f t="shared" si="2"/>
        <v>4685.1132609999913</v>
      </c>
      <c r="AU4" s="155">
        <f t="shared" si="2"/>
        <v>1868.7353684699972</v>
      </c>
      <c r="AV4" s="155">
        <f t="shared" si="2"/>
        <v>5242.0960089999971</v>
      </c>
      <c r="AW4" s="155">
        <f t="shared" si="2"/>
        <v>2113.4839605199991</v>
      </c>
      <c r="AX4" s="155">
        <f t="shared" ref="AX4:BI4" si="3">SUM(AX5:AX12)</f>
        <v>-4032.0131690000003</v>
      </c>
      <c r="AY4" s="155">
        <f t="shared" si="3"/>
        <v>90979.472531620006</v>
      </c>
      <c r="AZ4" s="155">
        <f t="shared" si="3"/>
        <v>-2154.7731829999952</v>
      </c>
      <c r="BA4" s="155">
        <f t="shared" si="3"/>
        <v>-886.98133080999798</v>
      </c>
      <c r="BB4" s="155">
        <f t="shared" si="3"/>
        <v>-671.99677999999892</v>
      </c>
      <c r="BC4" s="155">
        <f t="shared" si="3"/>
        <v>-204.60600910999963</v>
      </c>
      <c r="BD4" s="155">
        <f t="shared" si="3"/>
        <v>5390.4910430000009</v>
      </c>
      <c r="BE4" s="155">
        <f t="shared" si="3"/>
        <v>2148.1818679000012</v>
      </c>
      <c r="BF4" s="155">
        <f t="shared" si="3"/>
        <v>14267.621164999999</v>
      </c>
      <c r="BG4" s="155">
        <f t="shared" si="3"/>
        <v>1217.2689786699993</v>
      </c>
      <c r="BH4" s="155">
        <f>SUM(BH5:BH12)</f>
        <v>-1886.4556490000004</v>
      </c>
      <c r="BI4" s="155">
        <f t="shared" si="3"/>
        <v>-805.17167941000002</v>
      </c>
      <c r="BJ4" s="155">
        <f>SUM(BJ5:BJ13)</f>
        <v>11529.790843999999</v>
      </c>
      <c r="BK4" s="155">
        <f>SUM(BK5:BK13)</f>
        <v>4651.7079697199997</v>
      </c>
      <c r="BL4" s="155">
        <f t="shared" ref="BL4:BW4" si="4">SUM(BL5:BL13)</f>
        <v>4192.2429651000002</v>
      </c>
      <c r="BM4" s="155">
        <f t="shared" si="4"/>
        <v>1656.7221304100003</v>
      </c>
      <c r="BN4" s="155">
        <f t="shared" si="4"/>
        <v>37005.17</v>
      </c>
      <c r="BO4" s="155">
        <f t="shared" si="4"/>
        <v>6221.58</v>
      </c>
      <c r="BP4" s="155">
        <f t="shared" si="4"/>
        <v>0</v>
      </c>
      <c r="BQ4" s="155">
        <f t="shared" si="4"/>
        <v>0</v>
      </c>
      <c r="BR4" s="155">
        <f t="shared" si="4"/>
        <v>0</v>
      </c>
      <c r="BS4" s="155">
        <f t="shared" si="4"/>
        <v>0</v>
      </c>
      <c r="BT4" s="155">
        <f t="shared" si="4"/>
        <v>0</v>
      </c>
      <c r="BU4" s="155">
        <f t="shared" si="4"/>
        <v>0</v>
      </c>
      <c r="BV4" s="155">
        <f t="shared" si="4"/>
        <v>0</v>
      </c>
      <c r="BW4" s="155">
        <f t="shared" si="4"/>
        <v>0</v>
      </c>
    </row>
    <row r="5" spans="1:78">
      <c r="A5" s="154" t="s">
        <v>981</v>
      </c>
      <c r="B5" s="156">
        <v>320.36469699999998</v>
      </c>
      <c r="C5" s="156">
        <v>128.14587879999999</v>
      </c>
      <c r="D5" s="157">
        <v>295.14182799999998</v>
      </c>
      <c r="E5" s="157">
        <v>118.0567312</v>
      </c>
      <c r="F5" s="158">
        <v>361.74714299999999</v>
      </c>
      <c r="G5" s="158">
        <v>144.69885719999999</v>
      </c>
      <c r="H5" s="154">
        <v>234.38199599999999</v>
      </c>
      <c r="I5" s="154">
        <v>93.752798400000003</v>
      </c>
      <c r="J5" s="154">
        <v>158.78011100000001</v>
      </c>
      <c r="K5" s="154">
        <v>63.512044400000001</v>
      </c>
      <c r="L5" s="154">
        <v>167.986279</v>
      </c>
      <c r="M5" s="154">
        <v>67.194511599999998</v>
      </c>
      <c r="N5" s="154">
        <v>367.07458800000001</v>
      </c>
      <c r="O5" s="154">
        <v>146.82983519999999</v>
      </c>
      <c r="P5" s="154">
        <v>314.91545500000001</v>
      </c>
      <c r="Q5" s="154">
        <v>125.966182</v>
      </c>
      <c r="R5" s="154">
        <v>363.71050000000002</v>
      </c>
      <c r="S5" s="154">
        <v>145.48419999999999</v>
      </c>
      <c r="T5" s="154">
        <v>390.76088199999998</v>
      </c>
      <c r="U5" s="154">
        <v>156.3043528</v>
      </c>
      <c r="V5" s="154">
        <v>192.99251699999999</v>
      </c>
      <c r="W5" s="154">
        <v>77.197006799999997</v>
      </c>
      <c r="X5" s="154">
        <v>131.08882299999999</v>
      </c>
      <c r="Y5" s="154">
        <v>52.435529199999998</v>
      </c>
      <c r="Z5" s="154">
        <v>101.655941</v>
      </c>
      <c r="AA5" s="154">
        <v>40.662376399999999</v>
      </c>
      <c r="AB5" s="154">
        <v>345.12734899999998</v>
      </c>
      <c r="AC5" s="154">
        <v>138.05093959999999</v>
      </c>
      <c r="AD5" s="154">
        <v>273.57336400000003</v>
      </c>
      <c r="AE5" s="154">
        <v>109.4293456</v>
      </c>
      <c r="AF5" s="154">
        <v>206.442689</v>
      </c>
      <c r="AG5" s="154">
        <v>82.577075600000001</v>
      </c>
      <c r="AH5" s="154">
        <v>180.67591899999999</v>
      </c>
      <c r="AI5" s="154">
        <v>72.2703676</v>
      </c>
      <c r="AJ5" s="154">
        <v>182.46365599999999</v>
      </c>
      <c r="AK5" s="154">
        <v>72.985462400000003</v>
      </c>
      <c r="AL5" s="154">
        <v>124.37694399999999</v>
      </c>
      <c r="AM5" s="154">
        <v>49.750777599999999</v>
      </c>
      <c r="AN5" s="154">
        <v>72.883096999999992</v>
      </c>
      <c r="AO5" s="154">
        <v>29.153238799999997</v>
      </c>
      <c r="AP5" s="158">
        <v>151.310069</v>
      </c>
      <c r="AQ5" s="158">
        <v>60.524027600000004</v>
      </c>
      <c r="AR5" s="157">
        <v>66.160068999999993</v>
      </c>
      <c r="AS5" s="157">
        <v>26.464027599999998</v>
      </c>
      <c r="AT5" s="157">
        <v>69.835106999999994</v>
      </c>
      <c r="AU5" s="157">
        <v>27.9340428</v>
      </c>
      <c r="AV5" s="157">
        <v>10.796463000000001</v>
      </c>
      <c r="AW5" s="157">
        <v>4.3185852000000002</v>
      </c>
      <c r="AX5" s="158">
        <v>14.326429000000001</v>
      </c>
      <c r="AY5" s="156">
        <v>5.7305716000000011</v>
      </c>
      <c r="AZ5" s="156">
        <v>141.265005</v>
      </c>
      <c r="BA5" s="156">
        <v>56.506002000000002</v>
      </c>
      <c r="BB5" s="156">
        <v>191.561958</v>
      </c>
      <c r="BC5" s="495">
        <v>76.62478320000001</v>
      </c>
      <c r="BD5" s="156">
        <v>82.500035999999994</v>
      </c>
      <c r="BE5" s="156">
        <v>33.000014399999998</v>
      </c>
      <c r="BF5" s="156">
        <v>54.452661999999997</v>
      </c>
      <c r="BG5" s="156">
        <v>21.781064799999999</v>
      </c>
      <c r="BH5" s="156">
        <v>203.99081000000001</v>
      </c>
      <c r="BI5" s="156">
        <v>81.59632400000001</v>
      </c>
      <c r="BJ5" s="495">
        <v>98.772933999999992</v>
      </c>
      <c r="BK5" s="495">
        <v>39.509173599999997</v>
      </c>
      <c r="BL5" s="156">
        <v>6.1065841000000001</v>
      </c>
      <c r="BM5" s="156">
        <v>2.4426336400000004</v>
      </c>
      <c r="BN5" s="156">
        <v>92.08</v>
      </c>
      <c r="BO5" s="156">
        <v>36.83</v>
      </c>
      <c r="BP5" s="156"/>
      <c r="BQ5" s="156"/>
      <c r="BR5" s="156"/>
      <c r="BS5" s="156"/>
      <c r="BT5" s="156"/>
      <c r="BU5" s="156"/>
      <c r="BV5" s="156"/>
      <c r="BW5" s="156"/>
      <c r="BX5" s="158">
        <f>AY4-AY12</f>
        <v>-2181.7329733799997</v>
      </c>
      <c r="BY5" s="154">
        <v>6</v>
      </c>
      <c r="BZ5" s="158">
        <f t="shared" ref="BZ5:BZ11" si="5">AY5-BY5</f>
        <v>-0.2694283999999989</v>
      </c>
    </row>
    <row r="6" spans="1:78">
      <c r="A6" s="154" t="s">
        <v>982</v>
      </c>
      <c r="B6" s="156">
        <v>27</v>
      </c>
      <c r="C6" s="156">
        <v>13.23</v>
      </c>
      <c r="D6" s="157">
        <v>-433.94859100000002</v>
      </c>
      <c r="E6" s="157">
        <v>-212.63480959</v>
      </c>
      <c r="F6" s="158">
        <v>-473.21021200000001</v>
      </c>
      <c r="G6" s="158">
        <v>-231.87300388</v>
      </c>
      <c r="H6" s="154">
        <v>-430.11069199999997</v>
      </c>
      <c r="I6" s="154">
        <v>-210.75423907999999</v>
      </c>
      <c r="J6" s="154">
        <v>-280.97203200000001</v>
      </c>
      <c r="K6" s="154">
        <v>-137.67629568000001</v>
      </c>
      <c r="L6" s="154">
        <v>-357.65979099999998</v>
      </c>
      <c r="M6" s="154">
        <v>-175.25329758999999</v>
      </c>
      <c r="N6" s="154">
        <v>-52.003428</v>
      </c>
      <c r="O6" s="154">
        <v>-25.481679719999999</v>
      </c>
      <c r="P6" s="154">
        <v>-286.29926999999998</v>
      </c>
      <c r="Q6" s="154">
        <v>-140.28664230000001</v>
      </c>
      <c r="R6" s="154">
        <v>-326.19790999999998</v>
      </c>
      <c r="S6" s="154">
        <v>-159.8369759</v>
      </c>
      <c r="T6" s="154">
        <v>-68.367107000000004</v>
      </c>
      <c r="U6" s="154">
        <v>-33.49988243</v>
      </c>
      <c r="V6" s="154">
        <v>-395.457424</v>
      </c>
      <c r="W6" s="154">
        <v>-193.77413776</v>
      </c>
      <c r="X6" s="154">
        <v>-165.493179</v>
      </c>
      <c r="Y6" s="154">
        <v>-81.091657710000007</v>
      </c>
      <c r="Z6" s="154">
        <v>-311.38834400000002</v>
      </c>
      <c r="AA6" s="154">
        <v>-152.58028856000001</v>
      </c>
      <c r="AB6" s="154">
        <v>-360</v>
      </c>
      <c r="AC6" s="154">
        <v>-176.4</v>
      </c>
      <c r="AD6" s="154">
        <v>-313.85445800000002</v>
      </c>
      <c r="AE6" s="154">
        <v>-153.78868442000001</v>
      </c>
      <c r="AF6" s="154">
        <v>-246.856256</v>
      </c>
      <c r="AG6" s="154">
        <v>-120.95956544000001</v>
      </c>
      <c r="AH6" s="154">
        <v>121.00737100000001</v>
      </c>
      <c r="AI6" s="154">
        <v>59.29361179</v>
      </c>
      <c r="AJ6" s="154">
        <v>-189.13431299999999</v>
      </c>
      <c r="AK6" s="154">
        <v>-92.67581337</v>
      </c>
      <c r="AL6" s="154">
        <v>420</v>
      </c>
      <c r="AM6" s="154">
        <v>205.8</v>
      </c>
      <c r="AN6" s="154">
        <v>54.267079000000003</v>
      </c>
      <c r="AO6" s="154">
        <v>26.590868710000002</v>
      </c>
      <c r="AP6" s="158">
        <v>-355.68928799999998</v>
      </c>
      <c r="AQ6" s="158">
        <v>-174.28775112</v>
      </c>
      <c r="AR6" s="157">
        <v>1279.0380630000002</v>
      </c>
      <c r="AS6" s="157">
        <v>626.72865087000014</v>
      </c>
      <c r="AT6" s="157">
        <v>160.753435</v>
      </c>
      <c r="AU6" s="157">
        <v>78.769183150000003</v>
      </c>
      <c r="AV6" s="157">
        <v>486.52891799999998</v>
      </c>
      <c r="AW6" s="157">
        <v>238.39916982</v>
      </c>
      <c r="AX6" s="158">
        <v>-5730.399617</v>
      </c>
      <c r="AY6" s="156">
        <v>-2807.8958123299999</v>
      </c>
      <c r="AZ6" s="156">
        <v>-313.55765099999996</v>
      </c>
      <c r="BA6" s="156">
        <v>-153.64324898999999</v>
      </c>
      <c r="BB6" s="156">
        <v>587.1185089999999</v>
      </c>
      <c r="BC6" s="156">
        <v>287.68806940999997</v>
      </c>
      <c r="BD6" s="156">
        <v>270.86620499999998</v>
      </c>
      <c r="BE6" s="156">
        <v>132.72444044999997</v>
      </c>
      <c r="BF6" s="156">
        <v>-1731.0802800000001</v>
      </c>
      <c r="BG6" s="156">
        <v>-848.22933720000003</v>
      </c>
      <c r="BH6" s="156">
        <v>-235.532465</v>
      </c>
      <c r="BI6" s="156">
        <v>-115.41090785</v>
      </c>
      <c r="BJ6" s="495">
        <v>-211.52139100000002</v>
      </c>
      <c r="BK6" s="495">
        <v>-103.64548159</v>
      </c>
      <c r="BL6" s="156">
        <v>-268.27428100000003</v>
      </c>
      <c r="BM6" s="156">
        <v>-131.45439769000001</v>
      </c>
      <c r="BN6" s="156">
        <v>214.4</v>
      </c>
      <c r="BO6" s="156">
        <v>105.06</v>
      </c>
      <c r="BP6" s="156"/>
      <c r="BQ6" s="156"/>
      <c r="BR6" s="156"/>
      <c r="BS6" s="156"/>
      <c r="BT6" s="156"/>
      <c r="BU6" s="156"/>
      <c r="BV6" s="156"/>
      <c r="BW6" s="156"/>
      <c r="BX6" s="158">
        <f>BX5-AW4</f>
        <v>-4295.2169338999993</v>
      </c>
      <c r="BY6" s="154">
        <v>343</v>
      </c>
      <c r="BZ6" s="158">
        <f t="shared" si="5"/>
        <v>-3150.8958123299999</v>
      </c>
    </row>
    <row r="7" spans="1:78">
      <c r="A7" s="154" t="s">
        <v>983</v>
      </c>
      <c r="B7" s="156">
        <v>-9059.9379759999902</v>
      </c>
      <c r="C7" s="156">
        <v>-3623.9751904</v>
      </c>
      <c r="D7" s="157">
        <v>-4786.8539460000002</v>
      </c>
      <c r="E7" s="157">
        <v>-1914.7415784</v>
      </c>
      <c r="F7" s="158">
        <v>-2769.9122900000002</v>
      </c>
      <c r="G7" s="158">
        <v>-1107.9649159999999</v>
      </c>
      <c r="H7" s="154">
        <v>-3522.681846</v>
      </c>
      <c r="I7" s="154">
        <v>-1409.0727383999999</v>
      </c>
      <c r="J7" s="154">
        <v>1118.5902000000001</v>
      </c>
      <c r="K7" s="154">
        <v>447.43608</v>
      </c>
      <c r="L7" s="154">
        <v>73.618059000000002</v>
      </c>
      <c r="M7" s="154">
        <v>29.447223600000001</v>
      </c>
      <c r="N7" s="154">
        <v>-2075.1693864352001</v>
      </c>
      <c r="O7" s="154">
        <v>-830.06775457408003</v>
      </c>
      <c r="P7" s="154">
        <v>-1298.6047975648</v>
      </c>
      <c r="Q7" s="154">
        <v>-519.44191902592001</v>
      </c>
      <c r="R7" s="154">
        <v>-725.90811900000006</v>
      </c>
      <c r="S7" s="154">
        <v>-290.36324760000002</v>
      </c>
      <c r="T7" s="154">
        <v>468.77384887038698</v>
      </c>
      <c r="U7" s="154">
        <v>187.509539548155</v>
      </c>
      <c r="V7" s="154">
        <v>3710.6680551295999</v>
      </c>
      <c r="W7" s="154">
        <v>1484.26722205184</v>
      </c>
      <c r="X7" s="154">
        <v>15790.233098000001</v>
      </c>
      <c r="Y7" s="154">
        <v>6316.0932392000004</v>
      </c>
      <c r="Z7" s="154">
        <v>7268.3245660000002</v>
      </c>
      <c r="AA7" s="154">
        <v>2907.3298264</v>
      </c>
      <c r="AB7" s="154">
        <v>-1307.6208770000001</v>
      </c>
      <c r="AC7" s="154">
        <v>-523.04835079999998</v>
      </c>
      <c r="AD7" s="154">
        <v>7190.4371590000001</v>
      </c>
      <c r="AE7" s="154">
        <v>2876.1748636000002</v>
      </c>
      <c r="AF7" s="154">
        <v>3640.2852090000001</v>
      </c>
      <c r="AG7" s="154">
        <v>1456.1140836</v>
      </c>
      <c r="AH7" s="154">
        <v>4508.12405700001</v>
      </c>
      <c r="AI7" s="154">
        <v>1803.2496228</v>
      </c>
      <c r="AJ7" s="154">
        <v>1649.48931899999</v>
      </c>
      <c r="AK7" s="154">
        <v>659.79572759999598</v>
      </c>
      <c r="AL7" s="154">
        <v>199.41113199999899</v>
      </c>
      <c r="AM7" s="154">
        <v>79.764452799999603</v>
      </c>
      <c r="AN7" s="154">
        <v>-1077.5399519999999</v>
      </c>
      <c r="AO7" s="154">
        <v>-431.01598079999997</v>
      </c>
      <c r="AP7" s="158">
        <v>-6569.4173099999998</v>
      </c>
      <c r="AQ7" s="158">
        <v>-2627.766924</v>
      </c>
      <c r="AR7" s="157">
        <v>-3809.351271</v>
      </c>
      <c r="AS7" s="157">
        <v>-1523.7405084000002</v>
      </c>
      <c r="AT7" s="157">
        <v>3043.5107720000005</v>
      </c>
      <c r="AU7" s="157">
        <v>1217.4043088000003</v>
      </c>
      <c r="AV7" s="157">
        <v>3690.0429239999994</v>
      </c>
      <c r="AW7" s="157">
        <v>1476.0171695999998</v>
      </c>
      <c r="AX7" s="158">
        <v>549.3625990000005</v>
      </c>
      <c r="AY7" s="156">
        <v>219.74503960000021</v>
      </c>
      <c r="AZ7" s="156">
        <v>-2473.411337</v>
      </c>
      <c r="BA7" s="156">
        <v>-989.3645348</v>
      </c>
      <c r="BB7" s="156">
        <v>-2375.1213899999998</v>
      </c>
      <c r="BC7" s="156">
        <v>-950.04855599999996</v>
      </c>
      <c r="BD7" s="156">
        <v>3475.4737269999996</v>
      </c>
      <c r="BE7" s="156">
        <v>1390.1894907999999</v>
      </c>
      <c r="BF7" s="156">
        <v>720.11270200000001</v>
      </c>
      <c r="BG7" s="156">
        <v>288.04508079999999</v>
      </c>
      <c r="BH7" s="156">
        <v>-4161.4844910000002</v>
      </c>
      <c r="BI7" s="156">
        <v>-1664.5937964000002</v>
      </c>
      <c r="BJ7" s="495">
        <v>8993.5275189999993</v>
      </c>
      <c r="BK7" s="495">
        <v>3597.4110075999997</v>
      </c>
      <c r="BL7" s="156">
        <v>2847.910374</v>
      </c>
      <c r="BM7" s="156">
        <v>1139.1641496</v>
      </c>
      <c r="BN7" s="156">
        <v>5000.32</v>
      </c>
      <c r="BO7" s="156">
        <v>2000.13</v>
      </c>
      <c r="BP7" s="156"/>
      <c r="BQ7" s="156"/>
      <c r="BR7" s="156"/>
      <c r="BS7" s="156"/>
      <c r="BT7" s="156"/>
      <c r="BU7" s="156"/>
      <c r="BV7" s="156"/>
      <c r="BW7" s="156"/>
      <c r="BY7" s="154">
        <v>202.13</v>
      </c>
      <c r="BZ7" s="158">
        <f t="shared" si="5"/>
        <v>17.615039600000216</v>
      </c>
    </row>
    <row r="8" spans="1:78">
      <c r="A8" s="154" t="s">
        <v>984</v>
      </c>
      <c r="B8" s="156">
        <v>482.26232700000003</v>
      </c>
      <c r="C8" s="156">
        <v>192.90493079999999</v>
      </c>
      <c r="D8" s="157">
        <v>467.56401000000301</v>
      </c>
      <c r="E8" s="157">
        <v>187.02560400000101</v>
      </c>
      <c r="F8" s="158">
        <v>-114.54227000000201</v>
      </c>
      <c r="G8" s="158">
        <v>-45.816908000000801</v>
      </c>
      <c r="H8" s="154">
        <v>590.173848999999</v>
      </c>
      <c r="I8" s="154">
        <v>236.06953960000001</v>
      </c>
      <c r="J8" s="154">
        <v>243.87476899999999</v>
      </c>
      <c r="K8" s="154">
        <v>97.549907599999997</v>
      </c>
      <c r="L8" s="154">
        <v>344.11358300000302</v>
      </c>
      <c r="M8" s="154">
        <v>137.64543320000101</v>
      </c>
      <c r="N8" s="154">
        <v>1381.386508</v>
      </c>
      <c r="O8" s="154">
        <v>552.55460319999997</v>
      </c>
      <c r="P8" s="154">
        <v>305.609793999999</v>
      </c>
      <c r="Q8" s="154">
        <v>122.2439176</v>
      </c>
      <c r="R8" s="154">
        <v>425.378806</v>
      </c>
      <c r="S8" s="154">
        <v>170.1515224</v>
      </c>
      <c r="T8" s="154">
        <v>308.959014999999</v>
      </c>
      <c r="U8" s="154">
        <v>123.583606</v>
      </c>
      <c r="V8" s="154">
        <v>379.71349000000799</v>
      </c>
      <c r="W8" s="154">
        <v>151.885396000003</v>
      </c>
      <c r="X8" s="154">
        <v>315.638815999999</v>
      </c>
      <c r="Y8" s="154">
        <v>126.25552639999999</v>
      </c>
      <c r="Z8" s="154">
        <v>850.96398799999702</v>
      </c>
      <c r="AA8" s="154">
        <v>340.38559519999899</v>
      </c>
      <c r="AB8" s="154">
        <v>74.777457999999996</v>
      </c>
      <c r="AC8" s="154">
        <v>29.9109832</v>
      </c>
      <c r="AD8" s="154">
        <v>-138.538859999999</v>
      </c>
      <c r="AE8" s="154">
        <v>-55.415543999999599</v>
      </c>
      <c r="AF8" s="154">
        <v>359.24901500000198</v>
      </c>
      <c r="AG8" s="154">
        <v>143.69960600000101</v>
      </c>
      <c r="AH8" s="154">
        <v>398.01200799999799</v>
      </c>
      <c r="AI8" s="154">
        <v>159.20480319999899</v>
      </c>
      <c r="AJ8" s="154">
        <v>638.51933900000097</v>
      </c>
      <c r="AK8" s="154">
        <v>255.4077356</v>
      </c>
      <c r="AL8" s="154">
        <v>709.226875000002</v>
      </c>
      <c r="AM8" s="154">
        <v>283.690750000001</v>
      </c>
      <c r="AN8" s="154">
        <v>624.96770599999991</v>
      </c>
      <c r="AO8" s="154">
        <v>249.98708239999996</v>
      </c>
      <c r="AP8" s="158">
        <v>672.6984480000001</v>
      </c>
      <c r="AQ8" s="158">
        <v>269.07937920000006</v>
      </c>
      <c r="AR8" s="157">
        <v>700</v>
      </c>
      <c r="AS8" s="157">
        <v>293.72638520000004</v>
      </c>
      <c r="AT8" s="157">
        <v>714.17829599999197</v>
      </c>
      <c r="AU8" s="157">
        <v>285.67131839999678</v>
      </c>
      <c r="AV8" s="157">
        <v>428.34367999999802</v>
      </c>
      <c r="AW8" s="157">
        <v>171.33747199999922</v>
      </c>
      <c r="AX8" s="158">
        <v>300</v>
      </c>
      <c r="AY8" s="156">
        <v>120</v>
      </c>
      <c r="AZ8" s="156">
        <v>283.506348000005</v>
      </c>
      <c r="BA8" s="156">
        <v>113.40253920000201</v>
      </c>
      <c r="BB8" s="156">
        <v>359.25380600000096</v>
      </c>
      <c r="BC8" s="156">
        <v>143.70152240000039</v>
      </c>
      <c r="BD8" s="156">
        <v>705.20211200000199</v>
      </c>
      <c r="BE8" s="156">
        <v>282.08084480000082</v>
      </c>
      <c r="BF8" s="156">
        <v>719.96429799999908</v>
      </c>
      <c r="BG8" s="156">
        <v>287.98571919999966</v>
      </c>
      <c r="BH8" s="156">
        <v>1465.318235</v>
      </c>
      <c r="BI8" s="156">
        <v>586.12729400000001</v>
      </c>
      <c r="BJ8" s="495">
        <v>918.30149800000095</v>
      </c>
      <c r="BK8" s="495">
        <v>367.3205992000004</v>
      </c>
      <c r="BL8" s="156">
        <v>804.18092900000011</v>
      </c>
      <c r="BM8" s="156">
        <v>321.67237160000008</v>
      </c>
      <c r="BN8" s="156">
        <v>974.11</v>
      </c>
      <c r="BO8" s="156">
        <v>389.64</v>
      </c>
      <c r="BP8" s="156"/>
      <c r="BQ8" s="156"/>
      <c r="BR8" s="156"/>
      <c r="BS8" s="156"/>
      <c r="BT8" s="156"/>
      <c r="BU8" s="156"/>
      <c r="BV8" s="156"/>
      <c r="BW8" s="156"/>
      <c r="BY8" s="154">
        <v>120</v>
      </c>
      <c r="BZ8" s="158">
        <f t="shared" si="5"/>
        <v>0</v>
      </c>
    </row>
    <row r="9" spans="1:78">
      <c r="A9" s="154" t="s">
        <v>985</v>
      </c>
      <c r="B9" s="156">
        <v>105.846125</v>
      </c>
      <c r="C9" s="156">
        <v>42.338450000000002</v>
      </c>
      <c r="D9" s="157">
        <v>283.07811500000003</v>
      </c>
      <c r="E9" s="157">
        <v>113.231246</v>
      </c>
      <c r="F9" s="158">
        <v>365.03059300000001</v>
      </c>
      <c r="G9" s="158">
        <v>146.01223719999999</v>
      </c>
      <c r="H9" s="154">
        <v>569.28711699999997</v>
      </c>
      <c r="I9" s="154">
        <v>227.7148468</v>
      </c>
      <c r="J9" s="154">
        <v>536.88500299999998</v>
      </c>
      <c r="K9" s="154">
        <v>214.7540012</v>
      </c>
      <c r="L9" s="154">
        <v>530.95676500000002</v>
      </c>
      <c r="M9" s="154">
        <v>212.38270600000001</v>
      </c>
      <c r="N9" s="154">
        <v>565.23804800000005</v>
      </c>
      <c r="O9" s="154">
        <v>226.0952192</v>
      </c>
      <c r="P9" s="154">
        <v>670.81930599999998</v>
      </c>
      <c r="Q9" s="154">
        <v>268.32772240000003</v>
      </c>
      <c r="R9" s="154">
        <v>722.06400099999996</v>
      </c>
      <c r="S9" s="154">
        <v>288.82560039999998</v>
      </c>
      <c r="T9" s="154">
        <v>628.57373199999995</v>
      </c>
      <c r="U9" s="154">
        <v>251.42949279999999</v>
      </c>
      <c r="V9" s="154">
        <v>563.76710400000002</v>
      </c>
      <c r="W9" s="154">
        <v>225.5068416</v>
      </c>
      <c r="X9" s="154">
        <v>489.202562</v>
      </c>
      <c r="Y9" s="154">
        <v>195.68102479999999</v>
      </c>
      <c r="Z9" s="154">
        <v>521.11009999999999</v>
      </c>
      <c r="AA9" s="154">
        <v>208.44404</v>
      </c>
      <c r="AB9" s="154">
        <v>385.22600899999998</v>
      </c>
      <c r="AC9" s="154">
        <v>154.0904036</v>
      </c>
      <c r="AD9" s="154">
        <v>358.13178399999998</v>
      </c>
      <c r="AE9" s="154">
        <v>143.25271359999999</v>
      </c>
      <c r="AF9" s="154">
        <v>332.84914099999997</v>
      </c>
      <c r="AG9" s="154">
        <v>133.13965640000001</v>
      </c>
      <c r="AH9" s="154">
        <v>292.28864800000002</v>
      </c>
      <c r="AI9" s="154">
        <v>116.9154592</v>
      </c>
      <c r="AJ9" s="154">
        <v>514.002657</v>
      </c>
      <c r="AK9" s="154">
        <v>205.60106279999999</v>
      </c>
      <c r="AL9" s="154">
        <v>440.12021099999998</v>
      </c>
      <c r="AM9" s="154">
        <v>176.04808439999999</v>
      </c>
      <c r="AN9" s="154">
        <v>484.46201500000006</v>
      </c>
      <c r="AO9" s="154">
        <v>193.78480600000003</v>
      </c>
      <c r="AP9" s="158">
        <v>551.24503200000004</v>
      </c>
      <c r="AQ9" s="158">
        <v>220.49801280000003</v>
      </c>
      <c r="AR9" s="157">
        <v>516.15359899999999</v>
      </c>
      <c r="AS9" s="157">
        <v>206.46143960000001</v>
      </c>
      <c r="AT9" s="157">
        <v>475.49506300000002</v>
      </c>
      <c r="AU9" s="157">
        <v>190.19802520000002</v>
      </c>
      <c r="AV9" s="157">
        <v>375.01187400000003</v>
      </c>
      <c r="AW9" s="157">
        <v>150.00474960000003</v>
      </c>
      <c r="AX9" s="158">
        <v>309.28288500000002</v>
      </c>
      <c r="AY9" s="156">
        <v>123.71315400000002</v>
      </c>
      <c r="AZ9" s="156">
        <v>204.56495000000001</v>
      </c>
      <c r="BA9" s="156">
        <v>81.825980000000015</v>
      </c>
      <c r="BB9" s="156">
        <v>450.67946500000005</v>
      </c>
      <c r="BC9" s="156">
        <v>180.27178600000002</v>
      </c>
      <c r="BD9" s="156">
        <v>550.59217799999999</v>
      </c>
      <c r="BE9" s="156">
        <v>220.2368712</v>
      </c>
      <c r="BF9" s="156">
        <v>571.25647300000003</v>
      </c>
      <c r="BG9" s="156">
        <v>228.50258920000002</v>
      </c>
      <c r="BH9" s="156">
        <v>562.91152599999998</v>
      </c>
      <c r="BI9" s="156">
        <v>225.16461040000002</v>
      </c>
      <c r="BJ9" s="495">
        <v>635.84929899999997</v>
      </c>
      <c r="BK9" s="495">
        <v>254.3397196</v>
      </c>
      <c r="BL9" s="156">
        <v>535.97922400000004</v>
      </c>
      <c r="BM9" s="156">
        <v>214.39168960000003</v>
      </c>
      <c r="BN9" s="156">
        <v>763.36</v>
      </c>
      <c r="BO9" s="156">
        <v>305.35000000000002</v>
      </c>
      <c r="BP9" s="156"/>
      <c r="BQ9" s="156"/>
      <c r="BR9" s="156"/>
      <c r="BS9" s="156"/>
      <c r="BT9" s="156"/>
      <c r="BU9" s="156"/>
      <c r="BV9" s="156"/>
      <c r="BW9" s="156"/>
      <c r="BY9" s="154">
        <v>112</v>
      </c>
      <c r="BZ9" s="158">
        <f t="shared" si="5"/>
        <v>11.713154000000017</v>
      </c>
    </row>
    <row r="10" spans="1:78">
      <c r="A10" s="154" t="s">
        <v>641</v>
      </c>
      <c r="B10" s="156">
        <v>-80.424407000000002</v>
      </c>
      <c r="C10" s="156">
        <v>-39.407959429999998</v>
      </c>
      <c r="D10" s="157">
        <v>42.450138000000003</v>
      </c>
      <c r="E10" s="157">
        <v>20.800567619999999</v>
      </c>
      <c r="F10" s="158">
        <v>122.38587699999999</v>
      </c>
      <c r="G10" s="158">
        <v>59.969079729999997</v>
      </c>
      <c r="H10" s="154">
        <v>-90.693849</v>
      </c>
      <c r="I10" s="154">
        <v>-44.439986009999998</v>
      </c>
      <c r="J10" s="154">
        <v>88.276867999999993</v>
      </c>
      <c r="K10" s="154">
        <v>43.255665319999999</v>
      </c>
      <c r="L10" s="154">
        <v>11.806094</v>
      </c>
      <c r="M10" s="154">
        <v>5.7849860599999996</v>
      </c>
      <c r="N10" s="154">
        <v>-52.527379000000003</v>
      </c>
      <c r="O10" s="154">
        <v>-25.738415710000002</v>
      </c>
      <c r="P10" s="154">
        <v>52.35333</v>
      </c>
      <c r="Q10" s="154">
        <v>25.653131699999999</v>
      </c>
      <c r="R10" s="154">
        <v>12.054589999999999</v>
      </c>
      <c r="S10" s="154">
        <v>5.9067490999999999</v>
      </c>
      <c r="T10" s="154">
        <v>-10.922113</v>
      </c>
      <c r="U10" s="154">
        <v>-5.3518353699999999</v>
      </c>
      <c r="V10" s="154">
        <v>1.5769839999999999</v>
      </c>
      <c r="W10" s="154">
        <v>0.77272216000000005</v>
      </c>
      <c r="X10" s="154">
        <v>14.530220999999999</v>
      </c>
      <c r="Y10" s="154">
        <v>5.8120884000000004</v>
      </c>
      <c r="Z10" s="154">
        <v>183.10130799999999</v>
      </c>
      <c r="AA10" s="154">
        <v>89.719640920000003</v>
      </c>
      <c r="AB10" s="154">
        <v>-65.974755000000002</v>
      </c>
      <c r="AC10" s="154">
        <v>-32.327629950000002</v>
      </c>
      <c r="AD10" s="154">
        <v>57.803507000000003</v>
      </c>
      <c r="AE10" s="154">
        <v>28.32371843</v>
      </c>
      <c r="AF10" s="154">
        <v>57.221243999999999</v>
      </c>
      <c r="AG10" s="154">
        <v>28.038409560000002</v>
      </c>
      <c r="AH10" s="154">
        <v>70.101643999999993</v>
      </c>
      <c r="AI10" s="154">
        <v>34.34980556</v>
      </c>
      <c r="AJ10" s="154">
        <v>67.345881000000006</v>
      </c>
      <c r="AK10" s="154">
        <v>32.999481690000003</v>
      </c>
      <c r="AL10" s="154">
        <v>-21.888997</v>
      </c>
      <c r="AM10" s="154">
        <v>-10.725608530000001</v>
      </c>
      <c r="AN10" s="154">
        <v>34.067489999999999</v>
      </c>
      <c r="AO10" s="154">
        <v>16.6930701</v>
      </c>
      <c r="AP10" s="158">
        <v>0.40086700000000003</v>
      </c>
      <c r="AQ10" s="158">
        <v>0.19642483000000002</v>
      </c>
      <c r="AR10" s="157">
        <v>37.301648</v>
      </c>
      <c r="AS10" s="157">
        <v>18.27780752</v>
      </c>
      <c r="AT10" s="157">
        <v>22.848598000000003</v>
      </c>
      <c r="AU10" s="157">
        <v>11.195813020000001</v>
      </c>
      <c r="AV10" s="157">
        <v>2.544454</v>
      </c>
      <c r="AW10" s="157">
        <v>1.2467824599999999</v>
      </c>
      <c r="AX10" s="158">
        <v>23.019292999999998</v>
      </c>
      <c r="AY10" s="156">
        <v>11.279453569999999</v>
      </c>
      <c r="AZ10" s="156">
        <v>17.313381</v>
      </c>
      <c r="BA10" s="156">
        <v>8.4835566900000003</v>
      </c>
      <c r="BB10" s="156">
        <v>119.741165</v>
      </c>
      <c r="BC10" s="156">
        <v>58.673170849999998</v>
      </c>
      <c r="BD10" s="156">
        <v>6.2586930000000001</v>
      </c>
      <c r="BE10" s="156">
        <v>3.0667595699999999</v>
      </c>
      <c r="BF10" s="156">
        <v>24.117115999999999</v>
      </c>
      <c r="BG10" s="156">
        <v>11.817386839999999</v>
      </c>
      <c r="BH10" s="156">
        <v>6.1299150000000004</v>
      </c>
      <c r="BI10" s="156">
        <v>3.0036583500000003</v>
      </c>
      <c r="BJ10" s="495">
        <v>7.0977610000000002</v>
      </c>
      <c r="BK10" s="495">
        <v>3.4779028900000002</v>
      </c>
      <c r="BL10" s="156">
        <v>-35.174572999999995</v>
      </c>
      <c r="BM10" s="156">
        <v>-17.235540769999997</v>
      </c>
      <c r="BN10" s="156">
        <v>146.59</v>
      </c>
      <c r="BO10" s="156">
        <v>71.83</v>
      </c>
      <c r="BP10" s="156"/>
      <c r="BQ10" s="156"/>
      <c r="BR10" s="156"/>
      <c r="BS10" s="156"/>
      <c r="BT10" s="156"/>
      <c r="BU10" s="156"/>
      <c r="BV10" s="156"/>
      <c r="BW10" s="156"/>
      <c r="BY10" s="154">
        <v>4.9000000000000004</v>
      </c>
      <c r="BZ10" s="158">
        <f t="shared" si="5"/>
        <v>6.379453569999999</v>
      </c>
    </row>
    <row r="11" spans="1:78">
      <c r="A11" s="154" t="s">
        <v>642</v>
      </c>
      <c r="B11" s="156"/>
      <c r="C11" s="156"/>
      <c r="D11" s="157"/>
      <c r="E11" s="157"/>
      <c r="F11" s="158"/>
      <c r="G11" s="158"/>
      <c r="AG11" s="154">
        <v>0</v>
      </c>
      <c r="AL11" s="154">
        <v>439.12</v>
      </c>
      <c r="AM11" s="154">
        <v>127.34480000000001</v>
      </c>
      <c r="AN11" s="154">
        <v>291.56065999999998</v>
      </c>
      <c r="AO11" s="154">
        <v>84.552591399999983</v>
      </c>
      <c r="AP11" s="158">
        <v>160.64167700000002</v>
      </c>
      <c r="AQ11" s="158">
        <v>46.586086330000001</v>
      </c>
      <c r="AR11" s="157">
        <v>203.919195</v>
      </c>
      <c r="AS11" s="157">
        <v>59.136566549999998</v>
      </c>
      <c r="AT11" s="157">
        <v>198.49198999999999</v>
      </c>
      <c r="AU11" s="157">
        <v>57.562677099999995</v>
      </c>
      <c r="AV11" s="157">
        <v>248.827696</v>
      </c>
      <c r="AW11" s="157">
        <v>72.160031840000002</v>
      </c>
      <c r="AX11" s="158">
        <v>502.395242</v>
      </c>
      <c r="AY11" s="156">
        <v>145.69462017999999</v>
      </c>
      <c r="AZ11" s="156">
        <v>-14.453879000000001</v>
      </c>
      <c r="BA11" s="156">
        <v>-4.1916249099999998</v>
      </c>
      <c r="BB11" s="156">
        <v>-5.2302929999999996</v>
      </c>
      <c r="BC11" s="156">
        <v>-1.5167849699999998</v>
      </c>
      <c r="BD11" s="156">
        <v>299.59809200000001</v>
      </c>
      <c r="BE11" s="156">
        <v>86.883446679999992</v>
      </c>
      <c r="BF11" s="156">
        <v>410.58049399999999</v>
      </c>
      <c r="BG11" s="156">
        <v>228.55590432</v>
      </c>
      <c r="BH11" s="156">
        <v>272.21082100000001</v>
      </c>
      <c r="BI11" s="156">
        <v>78.941138089999995</v>
      </c>
      <c r="BJ11" s="495">
        <v>240.888398</v>
      </c>
      <c r="BK11" s="495">
        <v>69.857635419999994</v>
      </c>
      <c r="BL11" s="156">
        <v>109.60061699999999</v>
      </c>
      <c r="BM11" s="156">
        <v>31.784178929999992</v>
      </c>
      <c r="BN11" s="156">
        <v>463.26</v>
      </c>
      <c r="BO11" s="156">
        <v>134.34</v>
      </c>
      <c r="BP11" s="156"/>
      <c r="BQ11" s="156"/>
      <c r="BR11" s="156"/>
      <c r="BS11" s="156"/>
      <c r="BT11" s="156"/>
      <c r="BU11" s="156"/>
      <c r="BV11" s="156"/>
      <c r="BW11" s="156"/>
      <c r="BY11" s="154">
        <v>86.68</v>
      </c>
      <c r="BZ11" s="158">
        <f t="shared" si="5"/>
        <v>59.01462017999998</v>
      </c>
    </row>
    <row r="12" spans="1:78">
      <c r="A12" s="154" t="s">
        <v>1206</v>
      </c>
      <c r="B12" s="156"/>
      <c r="C12" s="156"/>
      <c r="D12" s="157"/>
      <c r="E12" s="157"/>
      <c r="F12" s="158"/>
      <c r="G12" s="158"/>
      <c r="M12" s="154">
        <v>1413.03</v>
      </c>
      <c r="AK12" s="154">
        <v>2826.0563499999998</v>
      </c>
      <c r="AP12" s="158"/>
      <c r="AQ12" s="158"/>
      <c r="AR12" s="157">
        <v>0</v>
      </c>
      <c r="AS12" s="157">
        <v>11.475300000000001</v>
      </c>
      <c r="AT12" s="157"/>
      <c r="AU12" s="157"/>
      <c r="AV12" s="157"/>
      <c r="AW12" s="157"/>
      <c r="AY12" s="156">
        <v>93161.205505000005</v>
      </c>
      <c r="AZ12" s="156"/>
      <c r="BA12" s="156"/>
      <c r="BB12" s="156"/>
      <c r="BC12" s="156"/>
      <c r="BD12" s="156"/>
      <c r="BE12" s="156"/>
      <c r="BF12" s="156">
        <v>13498.217699999999</v>
      </c>
      <c r="BG12" s="156">
        <v>998.81057070999987</v>
      </c>
      <c r="BH12" s="156"/>
      <c r="BI12" s="156"/>
      <c r="BJ12" s="495">
        <v>0</v>
      </c>
      <c r="BK12" s="495">
        <v>0</v>
      </c>
      <c r="BL12" s="156">
        <v>0</v>
      </c>
      <c r="BM12" s="156">
        <v>0</v>
      </c>
      <c r="BN12" s="156">
        <v>28909.05</v>
      </c>
      <c r="BO12" s="156">
        <v>2957.4</v>
      </c>
      <c r="BP12" s="156"/>
      <c r="BQ12" s="156"/>
      <c r="BR12" s="156"/>
      <c r="BS12" s="156"/>
      <c r="BT12" s="156"/>
      <c r="BU12" s="156"/>
      <c r="BV12" s="156"/>
      <c r="BW12" s="156"/>
    </row>
    <row r="13" spans="1:78">
      <c r="A13" s="154" t="s">
        <v>1720</v>
      </c>
      <c r="B13" s="156"/>
      <c r="C13" s="156"/>
      <c r="D13" s="157"/>
      <c r="E13" s="157"/>
      <c r="F13" s="158"/>
      <c r="G13" s="158"/>
      <c r="AP13" s="158"/>
      <c r="AQ13" s="158"/>
      <c r="AR13" s="157"/>
      <c r="AS13" s="157"/>
      <c r="AT13" s="157"/>
      <c r="AU13" s="157"/>
      <c r="AV13" s="157"/>
      <c r="AW13" s="157"/>
      <c r="AX13" s="158"/>
      <c r="AY13" s="156"/>
      <c r="AZ13" s="156"/>
      <c r="BA13" s="156"/>
      <c r="BB13" s="156"/>
      <c r="BC13" s="156"/>
      <c r="BD13" s="156"/>
      <c r="BE13" s="156"/>
      <c r="BF13" s="156"/>
      <c r="BG13" s="156"/>
      <c r="BH13" s="156"/>
      <c r="BI13" s="156"/>
      <c r="BJ13" s="156">
        <v>846.87482599999998</v>
      </c>
      <c r="BK13" s="156">
        <v>423.43741299999999</v>
      </c>
      <c r="BL13" s="156">
        <v>191.91409099999998</v>
      </c>
      <c r="BM13" s="156">
        <v>95.957045499999992</v>
      </c>
      <c r="BN13" s="156">
        <v>442</v>
      </c>
      <c r="BO13" s="156">
        <v>221</v>
      </c>
      <c r="BP13" s="156"/>
      <c r="BQ13" s="156"/>
      <c r="BR13" s="156"/>
      <c r="BS13" s="156"/>
      <c r="BT13" s="156"/>
      <c r="BU13" s="156"/>
      <c r="BV13" s="156"/>
      <c r="BW13" s="156"/>
      <c r="BZ13" s="158"/>
    </row>
    <row r="14" spans="1:78" s="148" customFormat="1">
      <c r="A14" s="148" t="s">
        <v>986</v>
      </c>
      <c r="B14" s="148">
        <f>SUM(B15:B21)</f>
        <v>0</v>
      </c>
      <c r="C14" s="148">
        <f t="shared" ref="C14:L14" si="6">SUM(C15:C21)</f>
        <v>0</v>
      </c>
      <c r="D14" s="148">
        <f t="shared" si="6"/>
        <v>0</v>
      </c>
      <c r="E14" s="148">
        <f t="shared" si="6"/>
        <v>0</v>
      </c>
      <c r="F14" s="148">
        <f t="shared" si="6"/>
        <v>0</v>
      </c>
      <c r="G14" s="148">
        <f t="shared" si="6"/>
        <v>0</v>
      </c>
      <c r="H14" s="148">
        <f t="shared" si="6"/>
        <v>0</v>
      </c>
      <c r="I14" s="148">
        <f t="shared" si="6"/>
        <v>0</v>
      </c>
      <c r="J14" s="148">
        <f t="shared" si="6"/>
        <v>0</v>
      </c>
      <c r="K14" s="148">
        <f t="shared" si="6"/>
        <v>0</v>
      </c>
      <c r="L14" s="148">
        <f t="shared" si="6"/>
        <v>0</v>
      </c>
      <c r="M14" s="148">
        <f t="shared" ref="M14:AA14" si="7">SUM(M15:M21)</f>
        <v>3297</v>
      </c>
      <c r="N14" s="148">
        <f t="shared" si="7"/>
        <v>0</v>
      </c>
      <c r="O14" s="148">
        <f t="shared" si="7"/>
        <v>184.691934</v>
      </c>
      <c r="P14" s="148">
        <f t="shared" si="7"/>
        <v>0</v>
      </c>
      <c r="Q14" s="148">
        <f t="shared" si="7"/>
        <v>0</v>
      </c>
      <c r="R14" s="148">
        <f t="shared" si="7"/>
        <v>0</v>
      </c>
      <c r="S14" s="148">
        <f t="shared" si="7"/>
        <v>0</v>
      </c>
      <c r="T14" s="148">
        <f t="shared" si="7"/>
        <v>0</v>
      </c>
      <c r="U14" s="148">
        <f t="shared" si="7"/>
        <v>0</v>
      </c>
      <c r="V14" s="148">
        <f t="shared" si="7"/>
        <v>0</v>
      </c>
      <c r="W14" s="148">
        <f t="shared" si="7"/>
        <v>69.63</v>
      </c>
      <c r="X14" s="148">
        <f t="shared" si="7"/>
        <v>0</v>
      </c>
      <c r="Y14" s="148">
        <f t="shared" si="7"/>
        <v>0</v>
      </c>
      <c r="Z14" s="148">
        <f t="shared" si="7"/>
        <v>0</v>
      </c>
      <c r="AA14" s="148">
        <f t="shared" si="7"/>
        <v>0</v>
      </c>
      <c r="AB14" s="148">
        <f t="shared" ref="AB14:AR14" si="8">SUM(AB15:AB21)</f>
        <v>0</v>
      </c>
      <c r="AC14" s="148">
        <f t="shared" si="8"/>
        <v>0</v>
      </c>
      <c r="AD14" s="148">
        <f t="shared" si="8"/>
        <v>0</v>
      </c>
      <c r="AE14" s="148">
        <f t="shared" si="8"/>
        <v>0</v>
      </c>
      <c r="AF14" s="148">
        <f t="shared" si="8"/>
        <v>0</v>
      </c>
      <c r="AG14" s="148">
        <f t="shared" si="8"/>
        <v>0</v>
      </c>
      <c r="AH14" s="148">
        <f t="shared" si="8"/>
        <v>0</v>
      </c>
      <c r="AI14" s="148">
        <f t="shared" si="8"/>
        <v>0</v>
      </c>
      <c r="AJ14" s="148">
        <f t="shared" si="8"/>
        <v>0</v>
      </c>
      <c r="AK14" s="148">
        <f t="shared" si="8"/>
        <v>522.24455999999998</v>
      </c>
      <c r="AL14" s="148">
        <f t="shared" si="8"/>
        <v>0</v>
      </c>
      <c r="AM14" s="148">
        <f t="shared" si="8"/>
        <v>4164.1582135999997</v>
      </c>
      <c r="AN14" s="148">
        <f t="shared" si="8"/>
        <v>0</v>
      </c>
      <c r="AO14" s="148">
        <f t="shared" si="8"/>
        <v>0</v>
      </c>
      <c r="AP14" s="148">
        <f t="shared" si="8"/>
        <v>0</v>
      </c>
      <c r="AQ14" s="148">
        <f t="shared" si="8"/>
        <v>0</v>
      </c>
      <c r="AR14" s="148">
        <f t="shared" si="8"/>
        <v>0</v>
      </c>
      <c r="AS14" s="148">
        <f t="shared" ref="AS14:BH14" si="9">SUM(AS15:AS23)</f>
        <v>0</v>
      </c>
      <c r="AT14" s="148">
        <f t="shared" si="9"/>
        <v>0</v>
      </c>
      <c r="AU14" s="148">
        <f t="shared" si="9"/>
        <v>0</v>
      </c>
      <c r="AV14" s="148">
        <f t="shared" si="9"/>
        <v>0</v>
      </c>
      <c r="AW14" s="148">
        <f t="shared" si="9"/>
        <v>0</v>
      </c>
      <c r="AX14" s="148">
        <f t="shared" si="9"/>
        <v>0</v>
      </c>
      <c r="AY14" s="148">
        <f>SUM(AY15:AY22)</f>
        <v>40</v>
      </c>
      <c r="AZ14" s="148">
        <f t="shared" si="9"/>
        <v>0</v>
      </c>
      <c r="BA14" s="148">
        <f t="shared" ref="BA14" si="10">SUM(BA15:BA22)</f>
        <v>0</v>
      </c>
      <c r="BB14" s="148">
        <f t="shared" si="9"/>
        <v>0</v>
      </c>
      <c r="BC14" s="148">
        <f t="shared" ref="BC14" si="11">SUM(BC15:BC22)</f>
        <v>0</v>
      </c>
      <c r="BD14" s="148">
        <f t="shared" si="9"/>
        <v>0</v>
      </c>
      <c r="BE14" s="148">
        <f t="shared" ref="BE14" si="12">SUM(BE15:BE22)</f>
        <v>0</v>
      </c>
      <c r="BF14" s="148">
        <f t="shared" si="9"/>
        <v>0</v>
      </c>
      <c r="BG14" s="148">
        <f t="shared" ref="BG14" si="13">SUM(BG15:BG22)</f>
        <v>0</v>
      </c>
      <c r="BH14" s="148">
        <f t="shared" si="9"/>
        <v>0</v>
      </c>
      <c r="BI14" s="2518">
        <f t="shared" ref="BI14:BW14" si="14">SUM(BI15:BI22)</f>
        <v>757.95796599999994</v>
      </c>
      <c r="BJ14" s="2518">
        <f t="shared" si="14"/>
        <v>0</v>
      </c>
      <c r="BK14" s="2518">
        <f t="shared" si="14"/>
        <v>3464.6751140000001</v>
      </c>
      <c r="BL14" s="2518">
        <f t="shared" si="14"/>
        <v>0</v>
      </c>
      <c r="BM14" s="2518">
        <f t="shared" si="14"/>
        <v>0</v>
      </c>
      <c r="BN14" s="2518">
        <f t="shared" si="14"/>
        <v>0</v>
      </c>
      <c r="BO14" s="2518">
        <f t="shared" si="14"/>
        <v>0</v>
      </c>
      <c r="BP14" s="2518">
        <f t="shared" si="14"/>
        <v>0</v>
      </c>
      <c r="BQ14" s="2518">
        <f t="shared" si="14"/>
        <v>0</v>
      </c>
      <c r="BR14" s="2518">
        <f t="shared" si="14"/>
        <v>0</v>
      </c>
      <c r="BS14" s="2518">
        <f t="shared" si="14"/>
        <v>0</v>
      </c>
      <c r="BT14" s="2518">
        <f t="shared" si="14"/>
        <v>0</v>
      </c>
      <c r="BU14" s="2518">
        <f t="shared" si="14"/>
        <v>0</v>
      </c>
      <c r="BV14" s="2518">
        <f t="shared" si="14"/>
        <v>0</v>
      </c>
      <c r="BW14" s="2518">
        <f t="shared" si="14"/>
        <v>0</v>
      </c>
    </row>
    <row r="15" spans="1:78">
      <c r="A15" s="154" t="s">
        <v>658</v>
      </c>
      <c r="M15" s="154">
        <v>2000</v>
      </c>
      <c r="AM15" s="154">
        <v>2200</v>
      </c>
      <c r="BK15" s="154">
        <v>2000</v>
      </c>
    </row>
    <row r="16" spans="1:78">
      <c r="A16" s="154" t="s">
        <v>659</v>
      </c>
      <c r="AY16" s="162"/>
      <c r="AZ16" s="162"/>
      <c r="BA16" s="162"/>
      <c r="BB16" s="162"/>
      <c r="BC16" s="162"/>
      <c r="BD16" s="162"/>
      <c r="BE16" s="162"/>
      <c r="BF16" s="162"/>
      <c r="BG16" s="162"/>
      <c r="BH16" s="162"/>
      <c r="BI16" s="162"/>
      <c r="BJ16" s="162"/>
      <c r="BK16" s="162"/>
      <c r="BL16" s="162"/>
      <c r="BM16" s="162"/>
      <c r="BN16" s="162"/>
      <c r="BO16" s="162"/>
      <c r="BP16" s="162"/>
      <c r="BQ16" s="162"/>
      <c r="BR16" s="162"/>
      <c r="BS16" s="162"/>
      <c r="BT16" s="162"/>
      <c r="BU16" s="162"/>
      <c r="BV16" s="162"/>
      <c r="BW16" s="162"/>
    </row>
    <row r="17" spans="1:75">
      <c r="A17" s="154" t="s">
        <v>660</v>
      </c>
      <c r="M17" s="154">
        <v>174.08</v>
      </c>
      <c r="W17" s="154">
        <v>69.63</v>
      </c>
      <c r="AK17" s="154">
        <v>522.24455999999998</v>
      </c>
      <c r="BI17" s="156">
        <v>435.2038</v>
      </c>
    </row>
    <row r="18" spans="1:75">
      <c r="A18" s="154" t="s">
        <v>661</v>
      </c>
      <c r="M18" s="154">
        <v>1122.92</v>
      </c>
      <c r="AM18" s="154">
        <v>1492.5736876000001</v>
      </c>
      <c r="BI18" s="156"/>
      <c r="BK18" s="162">
        <v>1464.6751140000001</v>
      </c>
    </row>
    <row r="19" spans="1:75">
      <c r="A19" s="154" t="s">
        <v>662</v>
      </c>
      <c r="O19" s="154">
        <v>184.691934</v>
      </c>
      <c r="AM19" s="154">
        <v>184.691934</v>
      </c>
      <c r="BI19" s="156"/>
    </row>
    <row r="20" spans="1:75">
      <c r="A20" s="154" t="s">
        <v>663</v>
      </c>
      <c r="AM20" s="154">
        <v>286.89259199999998</v>
      </c>
      <c r="BI20" s="156">
        <v>322.754166</v>
      </c>
    </row>
    <row r="21" spans="1:75">
      <c r="A21" s="154" t="s">
        <v>664</v>
      </c>
    </row>
    <row r="22" spans="1:75">
      <c r="A22" s="154" t="s">
        <v>1207</v>
      </c>
      <c r="AY22" s="154">
        <v>40</v>
      </c>
    </row>
    <row r="23" spans="1:75" s="148" customFormat="1">
      <c r="A23" s="148" t="s">
        <v>987</v>
      </c>
      <c r="B23" s="148">
        <f>SUM(B24:B29)</f>
        <v>0</v>
      </c>
      <c r="C23" s="148">
        <f t="shared" ref="C23:N23" si="15">SUM(C24:C29)</f>
        <v>0</v>
      </c>
      <c r="D23" s="148">
        <f t="shared" si="15"/>
        <v>0</v>
      </c>
      <c r="E23" s="148">
        <f t="shared" si="15"/>
        <v>0</v>
      </c>
      <c r="F23" s="148">
        <f t="shared" si="15"/>
        <v>0</v>
      </c>
      <c r="G23" s="148">
        <f t="shared" si="15"/>
        <v>0</v>
      </c>
      <c r="H23" s="148">
        <f t="shared" si="15"/>
        <v>0</v>
      </c>
      <c r="I23" s="148">
        <f t="shared" si="15"/>
        <v>0</v>
      </c>
      <c r="J23" s="148">
        <f t="shared" si="15"/>
        <v>0</v>
      </c>
      <c r="K23" s="148">
        <f t="shared" si="15"/>
        <v>0</v>
      </c>
      <c r="L23" s="148">
        <f t="shared" si="15"/>
        <v>0</v>
      </c>
      <c r="M23" s="148">
        <f t="shared" si="15"/>
        <v>0</v>
      </c>
      <c r="N23" s="148">
        <f t="shared" si="15"/>
        <v>0</v>
      </c>
      <c r="AE23" s="148">
        <f>SUM(AE24:AE29)</f>
        <v>0</v>
      </c>
      <c r="AF23" s="148">
        <f t="shared" ref="AF23:BW23" si="16">SUM(AF24:AF29)</f>
        <v>0</v>
      </c>
      <c r="AG23" s="148">
        <f t="shared" si="16"/>
        <v>0</v>
      </c>
      <c r="AH23" s="148">
        <f t="shared" si="16"/>
        <v>0</v>
      </c>
      <c r="AI23" s="148">
        <f t="shared" si="16"/>
        <v>0</v>
      </c>
      <c r="AJ23" s="148">
        <f t="shared" si="16"/>
        <v>0</v>
      </c>
      <c r="AK23" s="148">
        <f t="shared" si="16"/>
        <v>0</v>
      </c>
      <c r="AL23" s="148">
        <f t="shared" si="16"/>
        <v>0</v>
      </c>
      <c r="AM23" s="148">
        <f t="shared" si="16"/>
        <v>0</v>
      </c>
      <c r="AN23" s="148">
        <f t="shared" si="16"/>
        <v>0</v>
      </c>
      <c r="AO23" s="148">
        <f t="shared" si="16"/>
        <v>0</v>
      </c>
      <c r="AP23" s="148">
        <f t="shared" si="16"/>
        <v>0</v>
      </c>
      <c r="AQ23" s="148">
        <f t="shared" si="16"/>
        <v>0</v>
      </c>
      <c r="AR23" s="148">
        <f t="shared" si="16"/>
        <v>0</v>
      </c>
      <c r="AS23" s="148">
        <f t="shared" si="16"/>
        <v>0</v>
      </c>
      <c r="AT23" s="148">
        <f t="shared" si="16"/>
        <v>0</v>
      </c>
      <c r="AU23" s="148">
        <f t="shared" si="16"/>
        <v>0</v>
      </c>
      <c r="AV23" s="148">
        <f t="shared" si="16"/>
        <v>0</v>
      </c>
      <c r="AW23" s="148">
        <f t="shared" si="16"/>
        <v>0</v>
      </c>
      <c r="AX23" s="148">
        <f t="shared" si="16"/>
        <v>0</v>
      </c>
      <c r="AY23" s="148">
        <f t="shared" si="16"/>
        <v>0</v>
      </c>
      <c r="AZ23" s="148">
        <f t="shared" si="16"/>
        <v>0</v>
      </c>
      <c r="BA23" s="148">
        <f t="shared" si="16"/>
        <v>0</v>
      </c>
      <c r="BB23" s="148">
        <f t="shared" si="16"/>
        <v>0</v>
      </c>
      <c r="BC23" s="148">
        <f t="shared" si="16"/>
        <v>0</v>
      </c>
      <c r="BD23" s="148">
        <f t="shared" si="16"/>
        <v>0</v>
      </c>
      <c r="BE23" s="148">
        <f t="shared" si="16"/>
        <v>0</v>
      </c>
      <c r="BF23" s="148">
        <f t="shared" si="16"/>
        <v>0</v>
      </c>
      <c r="BG23" s="148">
        <f t="shared" si="16"/>
        <v>0</v>
      </c>
      <c r="BH23" s="148">
        <f t="shared" si="16"/>
        <v>0</v>
      </c>
      <c r="BI23" s="148">
        <f t="shared" si="16"/>
        <v>0</v>
      </c>
      <c r="BJ23" s="148">
        <f t="shared" si="16"/>
        <v>0</v>
      </c>
      <c r="BK23" s="148">
        <f t="shared" si="16"/>
        <v>0</v>
      </c>
      <c r="BL23" s="148">
        <f t="shared" si="16"/>
        <v>0</v>
      </c>
      <c r="BM23" s="148">
        <f t="shared" si="16"/>
        <v>0</v>
      </c>
      <c r="BN23" s="148">
        <f t="shared" si="16"/>
        <v>0</v>
      </c>
      <c r="BO23" s="148">
        <f t="shared" si="16"/>
        <v>0</v>
      </c>
      <c r="BP23" s="148">
        <f t="shared" si="16"/>
        <v>0</v>
      </c>
      <c r="BQ23" s="148">
        <f t="shared" si="16"/>
        <v>0</v>
      </c>
      <c r="BR23" s="148">
        <f t="shared" si="16"/>
        <v>0</v>
      </c>
      <c r="BS23" s="148">
        <f t="shared" si="16"/>
        <v>0</v>
      </c>
      <c r="BT23" s="148">
        <f t="shared" si="16"/>
        <v>0</v>
      </c>
      <c r="BU23" s="148">
        <f t="shared" si="16"/>
        <v>0</v>
      </c>
      <c r="BV23" s="148">
        <f t="shared" si="16"/>
        <v>0</v>
      </c>
      <c r="BW23" s="148">
        <f t="shared" si="16"/>
        <v>0</v>
      </c>
    </row>
    <row r="24" spans="1:75">
      <c r="A24" s="154" t="s">
        <v>658</v>
      </c>
    </row>
    <row r="25" spans="1:75">
      <c r="A25" s="154" t="s">
        <v>659</v>
      </c>
    </row>
    <row r="26" spans="1:75">
      <c r="A26" s="154" t="s">
        <v>660</v>
      </c>
    </row>
    <row r="27" spans="1:75">
      <c r="A27" s="154" t="s">
        <v>661</v>
      </c>
    </row>
    <row r="28" spans="1:75">
      <c r="A28" s="154" t="s">
        <v>662</v>
      </c>
    </row>
    <row r="29" spans="1:75">
      <c r="A29" s="154" t="s">
        <v>663</v>
      </c>
    </row>
    <row r="30" spans="1:75" s="149" customFormat="1">
      <c r="A30" s="149" t="s">
        <v>988</v>
      </c>
      <c r="AE30" s="148">
        <f>SUM(AE31:AE33)</f>
        <v>-488.35184199999998</v>
      </c>
      <c r="BO30" s="148">
        <f>SUM(BO31:BO34)</f>
        <v>-283.89</v>
      </c>
    </row>
    <row r="31" spans="1:75">
      <c r="A31" s="154" t="s">
        <v>989</v>
      </c>
    </row>
    <row r="32" spans="1:75">
      <c r="A32" s="154" t="s">
        <v>46</v>
      </c>
    </row>
    <row r="33" spans="1:75">
      <c r="A33" s="154" t="s">
        <v>990</v>
      </c>
      <c r="AE33" s="154">
        <v>-488.35184199999998</v>
      </c>
    </row>
    <row r="34" spans="1:75">
      <c r="A34" s="154" t="s">
        <v>1753</v>
      </c>
      <c r="BO34" s="154">
        <v>-283.89</v>
      </c>
    </row>
    <row r="35" spans="1:75" s="148" customFormat="1">
      <c r="A35" s="148" t="s">
        <v>991</v>
      </c>
      <c r="C35" s="159">
        <f>C36+C37+C38</f>
        <v>717.29773899999998</v>
      </c>
      <c r="D35" s="159">
        <f t="shared" ref="D35:AB35" si="17">D36+D37+D38</f>
        <v>0</v>
      </c>
      <c r="E35" s="159">
        <f t="shared" si="17"/>
        <v>11798.67808</v>
      </c>
      <c r="F35" s="159">
        <f t="shared" si="17"/>
        <v>0</v>
      </c>
      <c r="G35" s="159">
        <f t="shared" si="17"/>
        <v>23.799007</v>
      </c>
      <c r="H35" s="159">
        <f t="shared" si="17"/>
        <v>0</v>
      </c>
      <c r="I35" s="159">
        <f t="shared" si="17"/>
        <v>1193.589041</v>
      </c>
      <c r="J35" s="159">
        <f t="shared" si="17"/>
        <v>0</v>
      </c>
      <c r="K35" s="159">
        <f t="shared" si="17"/>
        <v>144.27670000000001</v>
      </c>
      <c r="L35" s="159">
        <f t="shared" si="17"/>
        <v>0</v>
      </c>
      <c r="M35" s="159">
        <f t="shared" si="17"/>
        <v>0</v>
      </c>
      <c r="N35" s="159">
        <f t="shared" si="17"/>
        <v>0</v>
      </c>
      <c r="O35" s="159">
        <f t="shared" si="17"/>
        <v>1039.5493139999999</v>
      </c>
      <c r="P35" s="159">
        <f t="shared" si="17"/>
        <v>0</v>
      </c>
      <c r="Q35" s="159">
        <f t="shared" si="17"/>
        <v>1268.3233749999999</v>
      </c>
      <c r="R35" s="159">
        <f t="shared" si="17"/>
        <v>0</v>
      </c>
      <c r="S35" s="159">
        <f t="shared" si="17"/>
        <v>388.35616499999998</v>
      </c>
      <c r="T35" s="159">
        <f t="shared" si="17"/>
        <v>0</v>
      </c>
      <c r="U35" s="159">
        <f t="shared" si="17"/>
        <v>1025.3800000000001</v>
      </c>
      <c r="V35" s="159">
        <f t="shared" si="17"/>
        <v>0</v>
      </c>
      <c r="W35" s="159">
        <f t="shared" si="17"/>
        <v>647.69000000000005</v>
      </c>
      <c r="X35" s="159">
        <f t="shared" si="17"/>
        <v>0</v>
      </c>
      <c r="Y35" s="159">
        <f t="shared" si="17"/>
        <v>1451.5644500000001</v>
      </c>
      <c r="Z35" s="159">
        <f t="shared" si="17"/>
        <v>0</v>
      </c>
      <c r="AA35" s="159">
        <f t="shared" si="17"/>
        <v>2976.5898999999999</v>
      </c>
      <c r="AB35" s="159">
        <f t="shared" si="17"/>
        <v>0</v>
      </c>
      <c r="AC35" s="159">
        <f t="shared" ref="AC35:BW35" si="18">AC36+AC37+AC38</f>
        <v>116.0958</v>
      </c>
      <c r="AD35" s="159">
        <f t="shared" si="18"/>
        <v>0</v>
      </c>
      <c r="AE35" s="159">
        <f t="shared" si="18"/>
        <v>1844.3150450000001</v>
      </c>
      <c r="AF35" s="159">
        <f t="shared" si="18"/>
        <v>0</v>
      </c>
      <c r="AG35" s="159">
        <f t="shared" si="18"/>
        <v>1629.6789000000001</v>
      </c>
      <c r="AH35" s="159">
        <f t="shared" si="18"/>
        <v>0</v>
      </c>
      <c r="AI35" s="159">
        <f t="shared" si="18"/>
        <v>136.00945300000001</v>
      </c>
      <c r="AJ35" s="159">
        <f t="shared" si="18"/>
        <v>0</v>
      </c>
      <c r="AK35" s="159">
        <f t="shared" si="18"/>
        <v>1399.5692100000001</v>
      </c>
      <c r="AL35" s="159">
        <f t="shared" si="18"/>
        <v>0</v>
      </c>
      <c r="AM35" s="159">
        <f t="shared" si="18"/>
        <v>2940.2574049999998</v>
      </c>
      <c r="AN35" s="159">
        <f t="shared" si="18"/>
        <v>0</v>
      </c>
      <c r="AO35" s="159">
        <f t="shared" si="18"/>
        <v>156.541854</v>
      </c>
      <c r="AP35" s="159">
        <f t="shared" si="18"/>
        <v>0</v>
      </c>
      <c r="AQ35" s="159">
        <f t="shared" si="18"/>
        <v>1267.474406</v>
      </c>
      <c r="AR35" s="159">
        <f t="shared" si="18"/>
        <v>0</v>
      </c>
      <c r="AS35" s="159">
        <f t="shared" si="18"/>
        <v>1851.1001980000001</v>
      </c>
      <c r="AT35" s="159">
        <f t="shared" si="18"/>
        <v>0</v>
      </c>
      <c r="AU35" s="159">
        <f t="shared" si="18"/>
        <v>1141.9194130000001</v>
      </c>
      <c r="AV35" s="159">
        <f t="shared" si="18"/>
        <v>0</v>
      </c>
      <c r="AW35" s="159">
        <f t="shared" si="18"/>
        <v>1758.9806289999999</v>
      </c>
      <c r="AX35" s="159">
        <f t="shared" si="18"/>
        <v>0</v>
      </c>
      <c r="AY35" s="159">
        <f t="shared" si="18"/>
        <v>1893.1276330000001</v>
      </c>
      <c r="AZ35" s="159">
        <f t="shared" si="18"/>
        <v>0</v>
      </c>
      <c r="BA35" s="159">
        <f t="shared" si="18"/>
        <v>2284.1862799999999</v>
      </c>
      <c r="BB35" s="159">
        <f>BB36+BB37+BB38</f>
        <v>0</v>
      </c>
      <c r="BC35" s="159">
        <f>BC36+BC37+BC38</f>
        <v>496.17207000000002</v>
      </c>
      <c r="BD35" s="159">
        <f t="shared" si="18"/>
        <v>0</v>
      </c>
      <c r="BE35" s="159">
        <f t="shared" si="18"/>
        <v>793.29866900000002</v>
      </c>
      <c r="BF35" s="159">
        <f t="shared" si="18"/>
        <v>0</v>
      </c>
      <c r="BG35" s="159">
        <f t="shared" si="18"/>
        <v>423.13248899999996</v>
      </c>
      <c r="BH35" s="159">
        <f t="shared" si="18"/>
        <v>0</v>
      </c>
      <c r="BI35" s="159">
        <f t="shared" si="18"/>
        <v>438.102937</v>
      </c>
      <c r="BJ35" s="159">
        <f t="shared" si="18"/>
        <v>0</v>
      </c>
      <c r="BK35" s="159">
        <f t="shared" si="18"/>
        <v>1003.5577519999999</v>
      </c>
      <c r="BL35" s="159">
        <f t="shared" si="18"/>
        <v>0</v>
      </c>
      <c r="BM35" s="159">
        <f t="shared" si="18"/>
        <v>613.32315100000005</v>
      </c>
      <c r="BN35" s="159">
        <f t="shared" si="18"/>
        <v>0</v>
      </c>
      <c r="BO35" s="159">
        <f t="shared" si="18"/>
        <v>696.60058100000003</v>
      </c>
      <c r="BP35" s="159">
        <f t="shared" si="18"/>
        <v>0</v>
      </c>
      <c r="BQ35" s="159">
        <f t="shared" si="18"/>
        <v>0</v>
      </c>
      <c r="BR35" s="159">
        <f t="shared" si="18"/>
        <v>0</v>
      </c>
      <c r="BS35" s="159">
        <f t="shared" si="18"/>
        <v>0</v>
      </c>
      <c r="BT35" s="159">
        <f t="shared" si="18"/>
        <v>0</v>
      </c>
      <c r="BU35" s="159">
        <f t="shared" si="18"/>
        <v>0</v>
      </c>
      <c r="BV35" s="159">
        <f t="shared" si="18"/>
        <v>0</v>
      </c>
      <c r="BW35" s="159">
        <f t="shared" si="18"/>
        <v>0</v>
      </c>
    </row>
    <row r="36" spans="1:75">
      <c r="A36" s="154" t="s">
        <v>992</v>
      </c>
      <c r="E36" s="154">
        <v>8007.5</v>
      </c>
      <c r="O36" s="154">
        <v>181.5</v>
      </c>
      <c r="BO36" s="162"/>
    </row>
    <row r="37" spans="1:75">
      <c r="A37" s="154" t="s">
        <v>993</v>
      </c>
      <c r="C37" s="158">
        <v>717.29773899999998</v>
      </c>
      <c r="E37" s="160">
        <v>3791.1780800000001</v>
      </c>
      <c r="G37" s="154">
        <v>23.799007</v>
      </c>
      <c r="I37" s="154">
        <v>1193.589041</v>
      </c>
      <c r="K37" s="154">
        <v>144.27670000000001</v>
      </c>
      <c r="O37" s="154">
        <v>858.04931399999998</v>
      </c>
      <c r="Q37" s="154">
        <v>1268.3233749999999</v>
      </c>
      <c r="S37" s="154">
        <v>388.35616499999998</v>
      </c>
      <c r="U37" s="154">
        <v>1025.3800000000001</v>
      </c>
      <c r="W37" s="154">
        <v>647.69000000000005</v>
      </c>
      <c r="Y37" s="154">
        <v>1451.5644500000001</v>
      </c>
      <c r="AA37" s="162">
        <f>1289.3699</f>
        <v>1289.3698999999999</v>
      </c>
      <c r="AC37" s="154">
        <v>116.0958</v>
      </c>
      <c r="AE37" s="154">
        <v>1844.3150450000001</v>
      </c>
      <c r="AG37" s="154">
        <v>1629.6789000000001</v>
      </c>
      <c r="AI37" s="154">
        <v>136.00945300000001</v>
      </c>
      <c r="AK37" s="154">
        <v>1399.5692100000001</v>
      </c>
      <c r="AM37" s="154">
        <v>2940.2574049999998</v>
      </c>
      <c r="AO37" s="158">
        <v>156.541854</v>
      </c>
      <c r="AQ37" s="154">
        <v>1267.474406</v>
      </c>
      <c r="AR37" s="154">
        <v>0</v>
      </c>
      <c r="AS37" s="154">
        <v>1851.1001980000001</v>
      </c>
      <c r="AU37" s="154">
        <v>1141.9194130000001</v>
      </c>
      <c r="AW37" s="154">
        <v>1758.9806289999999</v>
      </c>
      <c r="AY37" s="162">
        <v>434.66914199999997</v>
      </c>
      <c r="AZ37" s="162"/>
      <c r="BA37" s="162">
        <v>2284.1862799999999</v>
      </c>
      <c r="BB37" s="162"/>
      <c r="BC37" s="2148">
        <v>496.17207000000002</v>
      </c>
      <c r="BD37" s="162"/>
      <c r="BE37" s="162">
        <v>793.29866900000002</v>
      </c>
      <c r="BF37" s="162"/>
      <c r="BG37" s="162">
        <v>423.13248899999996</v>
      </c>
      <c r="BH37" s="162"/>
      <c r="BI37" s="162">
        <v>438.102937</v>
      </c>
      <c r="BJ37" s="162"/>
      <c r="BK37" s="162">
        <v>1003.5577519999999</v>
      </c>
      <c r="BL37" s="162"/>
      <c r="BM37" s="162">
        <v>613.32315100000005</v>
      </c>
      <c r="BN37" s="162"/>
      <c r="BO37" s="162">
        <v>696.60058100000003</v>
      </c>
      <c r="BP37" s="162"/>
      <c r="BQ37" s="162"/>
      <c r="BR37" s="162"/>
      <c r="BS37" s="162"/>
      <c r="BT37" s="162"/>
      <c r="BU37" s="162"/>
      <c r="BV37" s="162"/>
      <c r="BW37" s="162"/>
    </row>
    <row r="38" spans="1:75">
      <c r="A38" s="154" t="s">
        <v>994</v>
      </c>
      <c r="AA38" s="154">
        <v>1687.22</v>
      </c>
      <c r="AY38" s="162">
        <v>1458.4584910000001</v>
      </c>
      <c r="AZ38" s="162"/>
      <c r="BA38" s="162"/>
      <c r="BB38" s="162"/>
      <c r="BC38" s="162"/>
      <c r="BD38" s="162"/>
      <c r="BE38" s="162"/>
      <c r="BF38" s="162"/>
      <c r="BG38" s="162"/>
      <c r="BH38" s="162"/>
      <c r="BI38" s="162"/>
      <c r="BJ38" s="162"/>
      <c r="BK38" s="162"/>
      <c r="BL38" s="162"/>
      <c r="BM38" s="162"/>
      <c r="BN38" s="162"/>
      <c r="BO38" s="162"/>
      <c r="BP38" s="162"/>
      <c r="BQ38" s="162"/>
      <c r="BR38" s="162"/>
      <c r="BS38" s="162"/>
      <c r="BT38" s="162"/>
      <c r="BU38" s="162"/>
      <c r="BV38" s="162"/>
      <c r="BW38" s="162"/>
    </row>
    <row r="39" spans="1:75" s="148" customFormat="1">
      <c r="A39" s="148" t="s">
        <v>995</v>
      </c>
      <c r="C39" s="148">
        <f>SUM(C40:C51)</f>
        <v>0</v>
      </c>
      <c r="D39" s="148">
        <f t="shared" ref="D39:BO39" si="19">SUM(D40:D51)</f>
        <v>0</v>
      </c>
      <c r="E39" s="148">
        <f t="shared" si="19"/>
        <v>0</v>
      </c>
      <c r="F39" s="148">
        <f t="shared" si="19"/>
        <v>0</v>
      </c>
      <c r="G39" s="148">
        <f t="shared" si="19"/>
        <v>0</v>
      </c>
      <c r="H39" s="148">
        <f t="shared" si="19"/>
        <v>0</v>
      </c>
      <c r="I39" s="148">
        <f t="shared" si="19"/>
        <v>0</v>
      </c>
      <c r="J39" s="148">
        <f t="shared" si="19"/>
        <v>0</v>
      </c>
      <c r="K39" s="148">
        <f t="shared" si="19"/>
        <v>0</v>
      </c>
      <c r="L39" s="148">
        <f t="shared" si="19"/>
        <v>0</v>
      </c>
      <c r="M39" s="148">
        <f t="shared" si="19"/>
        <v>35713.57</v>
      </c>
      <c r="N39" s="148">
        <f t="shared" si="19"/>
        <v>0</v>
      </c>
      <c r="O39" s="148">
        <f t="shared" si="19"/>
        <v>0</v>
      </c>
      <c r="P39" s="148">
        <f t="shared" si="19"/>
        <v>0</v>
      </c>
      <c r="Q39" s="148">
        <f t="shared" si="19"/>
        <v>0</v>
      </c>
      <c r="R39" s="148">
        <f t="shared" si="19"/>
        <v>0</v>
      </c>
      <c r="S39" s="148">
        <f t="shared" si="19"/>
        <v>10275.358200000001</v>
      </c>
      <c r="T39" s="148">
        <f t="shared" si="19"/>
        <v>0</v>
      </c>
      <c r="U39" s="148">
        <f t="shared" si="19"/>
        <v>0</v>
      </c>
      <c r="V39" s="148">
        <f t="shared" si="19"/>
        <v>0</v>
      </c>
      <c r="W39" s="148">
        <f t="shared" si="19"/>
        <v>0</v>
      </c>
      <c r="X39" s="148">
        <f t="shared" si="19"/>
        <v>0</v>
      </c>
      <c r="Y39" s="148">
        <f t="shared" si="19"/>
        <v>0</v>
      </c>
      <c r="Z39" s="148">
        <f t="shared" si="19"/>
        <v>0</v>
      </c>
      <c r="AA39" s="148">
        <f t="shared" si="19"/>
        <v>1331.6535670000001</v>
      </c>
      <c r="AB39" s="148">
        <f t="shared" si="19"/>
        <v>0</v>
      </c>
      <c r="AC39" s="148">
        <f t="shared" si="19"/>
        <v>0</v>
      </c>
      <c r="AD39" s="148">
        <f t="shared" si="19"/>
        <v>0</v>
      </c>
      <c r="AE39" s="148">
        <f t="shared" si="19"/>
        <v>0</v>
      </c>
      <c r="AF39" s="148">
        <f t="shared" si="19"/>
        <v>0</v>
      </c>
      <c r="AG39" s="148">
        <f t="shared" si="19"/>
        <v>0</v>
      </c>
      <c r="AH39" s="148">
        <f t="shared" si="19"/>
        <v>0</v>
      </c>
      <c r="AI39" s="148">
        <f t="shared" si="19"/>
        <v>0</v>
      </c>
      <c r="AJ39" s="148">
        <f t="shared" si="19"/>
        <v>0</v>
      </c>
      <c r="AK39" s="148">
        <f t="shared" si="19"/>
        <v>35713.572520000002</v>
      </c>
      <c r="AL39" s="148">
        <f t="shared" si="19"/>
        <v>0</v>
      </c>
      <c r="AM39" s="148">
        <f t="shared" si="19"/>
        <v>0</v>
      </c>
      <c r="AN39" s="148">
        <f t="shared" si="19"/>
        <v>0</v>
      </c>
      <c r="AO39" s="148">
        <f t="shared" si="19"/>
        <v>0</v>
      </c>
      <c r="AP39" s="148">
        <f t="shared" si="19"/>
        <v>0</v>
      </c>
      <c r="AQ39" s="148">
        <f t="shared" si="19"/>
        <v>0</v>
      </c>
      <c r="AR39" s="148">
        <f t="shared" si="19"/>
        <v>0</v>
      </c>
      <c r="AS39" s="148">
        <f t="shared" si="19"/>
        <v>0</v>
      </c>
      <c r="AT39" s="148">
        <f t="shared" si="19"/>
        <v>0</v>
      </c>
      <c r="AU39" s="148">
        <f t="shared" si="19"/>
        <v>10935.077099</v>
      </c>
      <c r="AV39" s="148">
        <f t="shared" si="19"/>
        <v>0</v>
      </c>
      <c r="AW39" s="148">
        <f t="shared" si="19"/>
        <v>0</v>
      </c>
      <c r="AX39" s="148">
        <f t="shared" si="19"/>
        <v>0</v>
      </c>
      <c r="AY39" s="148">
        <f t="shared" si="19"/>
        <v>14452.271714799999</v>
      </c>
      <c r="AZ39" s="148">
        <f t="shared" si="19"/>
        <v>0</v>
      </c>
      <c r="BA39" s="148">
        <f t="shared" si="19"/>
        <v>0</v>
      </c>
      <c r="BB39" s="148">
        <f t="shared" si="19"/>
        <v>0</v>
      </c>
      <c r="BC39" s="148">
        <f t="shared" si="19"/>
        <v>0</v>
      </c>
      <c r="BD39" s="148">
        <f t="shared" si="19"/>
        <v>0</v>
      </c>
      <c r="BE39" s="148">
        <f t="shared" si="19"/>
        <v>0</v>
      </c>
      <c r="BF39" s="148">
        <f t="shared" si="19"/>
        <v>0</v>
      </c>
      <c r="BG39" s="148">
        <f t="shared" si="19"/>
        <v>0</v>
      </c>
      <c r="BH39" s="148">
        <f t="shared" si="19"/>
        <v>0</v>
      </c>
      <c r="BI39" s="148">
        <f t="shared" si="19"/>
        <v>55178.751310200001</v>
      </c>
      <c r="BJ39" s="148">
        <f t="shared" si="19"/>
        <v>0</v>
      </c>
      <c r="BK39" s="148">
        <f t="shared" si="19"/>
        <v>20891.06121</v>
      </c>
      <c r="BL39" s="148">
        <f t="shared" si="19"/>
        <v>0</v>
      </c>
      <c r="BM39" s="148">
        <f t="shared" si="19"/>
        <v>0</v>
      </c>
      <c r="BN39" s="148">
        <f t="shared" si="19"/>
        <v>0</v>
      </c>
      <c r="BO39" s="148">
        <f t="shared" si="19"/>
        <v>0</v>
      </c>
      <c r="BP39" s="148">
        <f t="shared" ref="BP39:BW39" si="20">SUM(BP40:BP51)</f>
        <v>0</v>
      </c>
      <c r="BQ39" s="148">
        <f t="shared" si="20"/>
        <v>0</v>
      </c>
      <c r="BR39" s="148">
        <f t="shared" si="20"/>
        <v>0</v>
      </c>
      <c r="BS39" s="148">
        <f t="shared" si="20"/>
        <v>0</v>
      </c>
      <c r="BT39" s="148">
        <f t="shared" si="20"/>
        <v>0</v>
      </c>
      <c r="BU39" s="148">
        <f t="shared" si="20"/>
        <v>0</v>
      </c>
      <c r="BV39" s="148">
        <f t="shared" si="20"/>
        <v>0</v>
      </c>
      <c r="BW39" s="148">
        <f t="shared" si="20"/>
        <v>0</v>
      </c>
    </row>
    <row r="40" spans="1:75">
      <c r="A40" s="154" t="s">
        <v>126</v>
      </c>
    </row>
    <row r="41" spans="1:75">
      <c r="A41" s="154" t="s">
        <v>117</v>
      </c>
      <c r="AA41" s="154">
        <v>77.332650999999998</v>
      </c>
      <c r="AY41" s="154">
        <v>133.66766000000001</v>
      </c>
    </row>
    <row r="42" spans="1:75">
      <c r="A42" s="154" t="s">
        <v>996</v>
      </c>
      <c r="AA42" s="154">
        <v>179.494485</v>
      </c>
      <c r="AY42" s="154">
        <v>173.98272880000002</v>
      </c>
    </row>
    <row r="43" spans="1:75">
      <c r="A43" s="154" t="s">
        <v>875</v>
      </c>
      <c r="AY43" s="154">
        <v>957.26023599999996</v>
      </c>
    </row>
    <row r="44" spans="1:75">
      <c r="A44" s="154" t="s">
        <v>112</v>
      </c>
      <c r="AY44" s="154">
        <v>11969</v>
      </c>
      <c r="BK44" s="158">
        <f>19855722/10000</f>
        <v>1985.5722000000001</v>
      </c>
    </row>
    <row r="45" spans="1:75">
      <c r="A45" s="154" t="s">
        <v>997</v>
      </c>
      <c r="S45" s="154">
        <v>10275.358200000001</v>
      </c>
      <c r="AU45" s="154">
        <v>10935.077099</v>
      </c>
      <c r="BK45" s="158">
        <f>112017952.9/10000</f>
        <v>11201.79529</v>
      </c>
    </row>
    <row r="46" spans="1:75">
      <c r="A46" s="154" t="s">
        <v>46</v>
      </c>
      <c r="M46" s="158">
        <v>35713.57</v>
      </c>
      <c r="AK46" s="154">
        <v>35713.572520000002</v>
      </c>
      <c r="BI46" s="154">
        <v>55178.751310200001</v>
      </c>
      <c r="BK46" s="158"/>
    </row>
    <row r="47" spans="1:75">
      <c r="A47" s="154" t="s">
        <v>134</v>
      </c>
      <c r="M47" s="158"/>
      <c r="AA47" s="154">
        <v>124.559558</v>
      </c>
      <c r="AY47" s="154">
        <v>205.066845</v>
      </c>
      <c r="BK47" s="158"/>
    </row>
    <row r="48" spans="1:75">
      <c r="A48" s="154" t="s">
        <v>497</v>
      </c>
      <c r="BK48" s="158"/>
    </row>
    <row r="49" spans="1:75">
      <c r="A49" s="154" t="s">
        <v>118</v>
      </c>
      <c r="AA49" s="154">
        <v>950.26687300000003</v>
      </c>
      <c r="AY49" s="154">
        <v>1013.2942449999999</v>
      </c>
      <c r="BK49" s="158"/>
    </row>
    <row r="50" spans="1:75">
      <c r="A50" s="154" t="s">
        <v>1721</v>
      </c>
      <c r="BK50" s="158">
        <f>77036937.2/10000</f>
        <v>7703.6937200000002</v>
      </c>
    </row>
    <row r="51" spans="1:75">
      <c r="A51" s="154" t="s">
        <v>1722</v>
      </c>
      <c r="BK51" s="158"/>
    </row>
    <row r="52" spans="1:75" s="150" customFormat="1">
      <c r="A52" s="148" t="s">
        <v>998</v>
      </c>
      <c r="C52" s="159">
        <f t="shared" ref="C52:AH52" si="21">C4+C14+C23+C30+C35+C39</f>
        <v>-2569.4661512299999</v>
      </c>
      <c r="D52" s="159">
        <f t="shared" si="21"/>
        <v>-4132.5684459999966</v>
      </c>
      <c r="E52" s="159">
        <f t="shared" si="21"/>
        <v>10110.415840830001</v>
      </c>
      <c r="F52" s="159">
        <f t="shared" si="21"/>
        <v>-2508.5011590000022</v>
      </c>
      <c r="G52" s="159">
        <f t="shared" si="21"/>
        <v>-1011.1756467500005</v>
      </c>
      <c r="H52" s="159">
        <f t="shared" si="21"/>
        <v>-2649.6434250000011</v>
      </c>
      <c r="I52" s="159">
        <f t="shared" si="21"/>
        <v>86.859262310000076</v>
      </c>
      <c r="J52" s="159">
        <f t="shared" si="21"/>
        <v>1865.4349189999998</v>
      </c>
      <c r="K52" s="159">
        <f t="shared" si="21"/>
        <v>873.10810284000013</v>
      </c>
      <c r="L52" s="159">
        <f t="shared" si="21"/>
        <v>770.82098900000301</v>
      </c>
      <c r="M52" s="159">
        <f t="shared" si="21"/>
        <v>39287.771562870003</v>
      </c>
      <c r="N52" s="159">
        <f t="shared" si="21"/>
        <v>133.9989505648</v>
      </c>
      <c r="O52" s="159">
        <f t="shared" si="21"/>
        <v>1268.4330555959198</v>
      </c>
      <c r="P52" s="159">
        <f t="shared" si="21"/>
        <v>-241.20618256480091</v>
      </c>
      <c r="Q52" s="159">
        <f t="shared" si="21"/>
        <v>1150.78576737408</v>
      </c>
      <c r="R52" s="159">
        <f t="shared" si="21"/>
        <v>471.10186799999997</v>
      </c>
      <c r="S52" s="159">
        <f t="shared" si="21"/>
        <v>10823.8822134</v>
      </c>
      <c r="T52" s="159">
        <f t="shared" si="21"/>
        <v>1717.7782578703859</v>
      </c>
      <c r="U52" s="159">
        <f t="shared" si="21"/>
        <v>1705.3552733481552</v>
      </c>
      <c r="V52" s="159">
        <f t="shared" si="21"/>
        <v>4453.260726129608</v>
      </c>
      <c r="W52" s="159">
        <f t="shared" si="21"/>
        <v>2463.175050851843</v>
      </c>
      <c r="X52" s="159">
        <f t="shared" si="21"/>
        <v>16575.200341</v>
      </c>
      <c r="Y52" s="159">
        <f t="shared" si="21"/>
        <v>8066.750200290001</v>
      </c>
      <c r="Z52" s="159">
        <f t="shared" si="21"/>
        <v>8613.7675589999963</v>
      </c>
      <c r="AA52" s="159">
        <f t="shared" si="21"/>
        <v>7742.2046573599991</v>
      </c>
      <c r="AB52" s="159">
        <f t="shared" si="21"/>
        <v>-928.46481599999993</v>
      </c>
      <c r="AC52" s="159">
        <f t="shared" si="21"/>
        <v>-293.62785434999995</v>
      </c>
      <c r="AD52" s="159">
        <f t="shared" si="21"/>
        <v>7427.5524960000012</v>
      </c>
      <c r="AE52" s="159">
        <f t="shared" si="21"/>
        <v>4303.9396158100008</v>
      </c>
      <c r="AF52" s="159">
        <f t="shared" si="21"/>
        <v>4349.1910420000022</v>
      </c>
      <c r="AG52" s="159">
        <f t="shared" si="21"/>
        <v>3352.288165720001</v>
      </c>
      <c r="AH52" s="159">
        <f t="shared" si="21"/>
        <v>5570.2096470000079</v>
      </c>
      <c r="AI52" s="159">
        <f t="shared" ref="AI52:BJ52" si="22">AI4+AI14+AI23+AI30+AI35+AI39</f>
        <v>2381.2931231499988</v>
      </c>
      <c r="AJ52" s="159">
        <f t="shared" si="22"/>
        <v>2862.6865389999912</v>
      </c>
      <c r="AK52" s="159">
        <f t="shared" si="22"/>
        <v>38769.499946719996</v>
      </c>
      <c r="AL52" s="159">
        <f t="shared" si="22"/>
        <v>1871.2461650000009</v>
      </c>
      <c r="AM52" s="159">
        <f t="shared" si="22"/>
        <v>8016.0888748699999</v>
      </c>
      <c r="AN52" s="159">
        <f t="shared" si="22"/>
        <v>484.66809500000011</v>
      </c>
      <c r="AO52" s="159">
        <f t="shared" si="22"/>
        <v>326.28753060999998</v>
      </c>
      <c r="AP52" s="159">
        <f t="shared" si="22"/>
        <v>-5388.8105050000004</v>
      </c>
      <c r="AQ52" s="159">
        <f t="shared" si="22"/>
        <v>-937.6963383599998</v>
      </c>
      <c r="AR52" s="159">
        <f t="shared" si="22"/>
        <v>-1006.7786970000002</v>
      </c>
      <c r="AS52" s="159">
        <f t="shared" si="22"/>
        <v>1558.1545669400002</v>
      </c>
      <c r="AT52" s="159">
        <f t="shared" si="22"/>
        <v>4685.1132609999913</v>
      </c>
      <c r="AU52" s="159">
        <f t="shared" si="22"/>
        <v>13945.731880469997</v>
      </c>
      <c r="AV52" s="159">
        <f t="shared" si="22"/>
        <v>5242.0960089999971</v>
      </c>
      <c r="AW52" s="159">
        <f t="shared" si="22"/>
        <v>3872.4645895199992</v>
      </c>
      <c r="AX52" s="159">
        <f t="shared" si="22"/>
        <v>-4032.0131690000003</v>
      </c>
      <c r="AY52" s="159">
        <f t="shared" si="22"/>
        <v>107364.87187942</v>
      </c>
      <c r="AZ52" s="159">
        <f t="shared" si="22"/>
        <v>-2154.7731829999952</v>
      </c>
      <c r="BA52" s="159">
        <f t="shared" si="22"/>
        <v>1397.204949190002</v>
      </c>
      <c r="BB52" s="159">
        <f t="shared" si="22"/>
        <v>-671.99677999999892</v>
      </c>
      <c r="BC52" s="159">
        <f t="shared" si="22"/>
        <v>291.56606089000036</v>
      </c>
      <c r="BD52" s="159">
        <f t="shared" si="22"/>
        <v>5390.4910430000009</v>
      </c>
      <c r="BE52" s="159">
        <f t="shared" si="22"/>
        <v>2941.4805369000014</v>
      </c>
      <c r="BF52" s="159">
        <f t="shared" si="22"/>
        <v>14267.621164999999</v>
      </c>
      <c r="BG52" s="159">
        <f t="shared" si="22"/>
        <v>1640.4014676699994</v>
      </c>
      <c r="BH52" s="159">
        <f t="shared" si="22"/>
        <v>-1886.4556490000004</v>
      </c>
      <c r="BI52" s="159">
        <f t="shared" si="22"/>
        <v>55569.64053379</v>
      </c>
      <c r="BJ52" s="159">
        <f t="shared" si="22"/>
        <v>11529.790843999999</v>
      </c>
      <c r="BK52" s="159">
        <f>BK4+BK14+BK23+BK30+BK35+BK39</f>
        <v>30011.002045720001</v>
      </c>
      <c r="BL52" s="159">
        <f t="shared" ref="BL52" si="23">BL4+BL14+BL23+BL30+BL35+BL39</f>
        <v>4192.2429651000002</v>
      </c>
      <c r="BM52" s="159">
        <f>BM4+BM14+BM23+BM30+BM35+BM39</f>
        <v>2270.0452814100004</v>
      </c>
      <c r="BN52" s="159">
        <f t="shared" ref="BN52:BW52" si="24">BN4+BN14+BN23+BN30+BN35+BN39</f>
        <v>37005.17</v>
      </c>
      <c r="BO52" s="159">
        <f t="shared" si="24"/>
        <v>6634.2905809999993</v>
      </c>
      <c r="BP52" s="159">
        <f t="shared" si="24"/>
        <v>0</v>
      </c>
      <c r="BQ52" s="159">
        <f t="shared" si="24"/>
        <v>0</v>
      </c>
      <c r="BR52" s="159">
        <f t="shared" si="24"/>
        <v>0</v>
      </c>
      <c r="BS52" s="159">
        <f t="shared" si="24"/>
        <v>0</v>
      </c>
      <c r="BT52" s="159">
        <f t="shared" si="24"/>
        <v>0</v>
      </c>
      <c r="BU52" s="159">
        <f t="shared" si="24"/>
        <v>0</v>
      </c>
      <c r="BV52" s="159">
        <f t="shared" si="24"/>
        <v>0</v>
      </c>
      <c r="BW52" s="159">
        <f t="shared" si="24"/>
        <v>0</v>
      </c>
    </row>
    <row r="53" spans="1:75" s="151" customFormat="1">
      <c r="A53" s="151" t="s">
        <v>999</v>
      </c>
      <c r="B53" s="151">
        <f>B52-B39</f>
        <v>0</v>
      </c>
      <c r="C53" s="151">
        <f>C52-C36</f>
        <v>-2569.4661512299999</v>
      </c>
      <c r="D53" s="151">
        <f t="shared" ref="D53:P53" si="25">D52-D36</f>
        <v>-4132.5684459999966</v>
      </c>
      <c r="E53" s="151">
        <f t="shared" si="25"/>
        <v>2102.9158408300009</v>
      </c>
      <c r="F53" s="151">
        <f t="shared" si="25"/>
        <v>-2508.5011590000022</v>
      </c>
      <c r="G53" s="151">
        <f t="shared" si="25"/>
        <v>-1011.1756467500005</v>
      </c>
      <c r="H53" s="151">
        <f t="shared" si="25"/>
        <v>-2649.6434250000011</v>
      </c>
      <c r="I53" s="151">
        <f t="shared" si="25"/>
        <v>86.859262310000076</v>
      </c>
      <c r="J53" s="151">
        <f t="shared" si="25"/>
        <v>1865.4349189999998</v>
      </c>
      <c r="K53" s="151">
        <f t="shared" si="25"/>
        <v>873.10810284000013</v>
      </c>
      <c r="L53" s="151">
        <f t="shared" si="25"/>
        <v>770.82098900000301</v>
      </c>
      <c r="M53" s="151">
        <f t="shared" si="25"/>
        <v>39287.771562870003</v>
      </c>
      <c r="N53" s="151">
        <f t="shared" si="25"/>
        <v>133.9989505648</v>
      </c>
      <c r="O53" s="151">
        <f t="shared" si="25"/>
        <v>1086.9330555959198</v>
      </c>
      <c r="P53" s="151">
        <f t="shared" si="25"/>
        <v>-241.20618256480091</v>
      </c>
      <c r="Q53" s="151">
        <f>Q52-Q36</f>
        <v>1150.78576737408</v>
      </c>
      <c r="R53" s="151">
        <f t="shared" ref="R53:AB53" si="26">R52-R36</f>
        <v>471.10186799999997</v>
      </c>
      <c r="S53" s="151">
        <f t="shared" si="26"/>
        <v>10823.8822134</v>
      </c>
      <c r="T53" s="151">
        <f t="shared" si="26"/>
        <v>1717.7782578703859</v>
      </c>
      <c r="U53" s="151">
        <f t="shared" si="26"/>
        <v>1705.3552733481552</v>
      </c>
      <c r="V53" s="151">
        <f t="shared" si="26"/>
        <v>4453.260726129608</v>
      </c>
      <c r="W53" s="151">
        <f t="shared" si="26"/>
        <v>2463.175050851843</v>
      </c>
      <c r="X53" s="151">
        <f t="shared" si="26"/>
        <v>16575.200341</v>
      </c>
      <c r="Y53" s="151">
        <f t="shared" si="26"/>
        <v>8066.750200290001</v>
      </c>
      <c r="Z53" s="151">
        <f t="shared" si="26"/>
        <v>8613.7675589999963</v>
      </c>
      <c r="AA53" s="151">
        <f t="shared" si="26"/>
        <v>7742.2046573599991</v>
      </c>
      <c r="AB53" s="151">
        <f t="shared" si="26"/>
        <v>-928.46481599999993</v>
      </c>
      <c r="AC53" s="151">
        <f t="shared" ref="AC53:AY53" si="27">AC52-AC36</f>
        <v>-293.62785434999995</v>
      </c>
      <c r="AD53" s="151">
        <f t="shared" si="27"/>
        <v>7427.5524960000012</v>
      </c>
      <c r="AE53" s="151">
        <f t="shared" si="27"/>
        <v>4303.9396158100008</v>
      </c>
      <c r="AF53" s="151">
        <f t="shared" si="27"/>
        <v>4349.1910420000022</v>
      </c>
      <c r="AG53" s="151">
        <f t="shared" si="27"/>
        <v>3352.288165720001</v>
      </c>
      <c r="AH53" s="151">
        <f t="shared" si="27"/>
        <v>5570.2096470000079</v>
      </c>
      <c r="AI53" s="151">
        <f t="shared" si="27"/>
        <v>2381.2931231499988</v>
      </c>
      <c r="AJ53" s="151">
        <f t="shared" si="27"/>
        <v>2862.6865389999912</v>
      </c>
      <c r="AK53" s="151">
        <f t="shared" si="27"/>
        <v>38769.499946719996</v>
      </c>
      <c r="AL53" s="151">
        <f t="shared" si="27"/>
        <v>1871.2461650000009</v>
      </c>
      <c r="AM53" s="151">
        <f t="shared" si="27"/>
        <v>8016.0888748699999</v>
      </c>
      <c r="AN53" s="151">
        <f t="shared" si="27"/>
        <v>484.66809500000011</v>
      </c>
      <c r="AO53" s="151">
        <f t="shared" si="27"/>
        <v>326.28753060999998</v>
      </c>
      <c r="AP53" s="151">
        <f t="shared" si="27"/>
        <v>-5388.8105050000004</v>
      </c>
      <c r="AQ53" s="151">
        <f t="shared" si="27"/>
        <v>-937.6963383599998</v>
      </c>
      <c r="AR53" s="151">
        <f t="shared" si="27"/>
        <v>-1006.7786970000002</v>
      </c>
      <c r="AS53" s="151">
        <f t="shared" si="27"/>
        <v>1558.1545669400002</v>
      </c>
      <c r="AT53" s="151">
        <f t="shared" si="27"/>
        <v>4685.1132609999913</v>
      </c>
      <c r="AU53" s="151">
        <f t="shared" si="27"/>
        <v>13945.731880469997</v>
      </c>
      <c r="AV53" s="151">
        <f t="shared" si="27"/>
        <v>5242.0960089999971</v>
      </c>
      <c r="AW53" s="151">
        <f t="shared" si="27"/>
        <v>3872.4645895199992</v>
      </c>
      <c r="AX53" s="151">
        <f t="shared" si="27"/>
        <v>-4032.0131690000003</v>
      </c>
      <c r="AY53" s="151">
        <f t="shared" si="27"/>
        <v>107364.87187942</v>
      </c>
      <c r="AZ53" s="1974">
        <f t="shared" ref="AZ53:BD53" si="28">AZ52-AZ36</f>
        <v>-2154.7731829999952</v>
      </c>
      <c r="BA53" s="1974">
        <f t="shared" si="28"/>
        <v>1397.204949190002</v>
      </c>
      <c r="BB53" s="151">
        <f t="shared" si="28"/>
        <v>-671.99677999999892</v>
      </c>
      <c r="BC53" s="2154">
        <f t="shared" si="28"/>
        <v>291.56606089000036</v>
      </c>
      <c r="BD53" s="151">
        <f t="shared" si="28"/>
        <v>5390.4910430000009</v>
      </c>
      <c r="BE53" s="151">
        <f t="shared" ref="BE53:BK53" si="29">BE52-BE36</f>
        <v>2941.4805369000014</v>
      </c>
      <c r="BF53" s="2443">
        <f t="shared" si="29"/>
        <v>14267.621164999999</v>
      </c>
      <c r="BG53" s="2443">
        <f t="shared" si="29"/>
        <v>1640.4014676699994</v>
      </c>
      <c r="BH53" s="2443">
        <f t="shared" si="29"/>
        <v>-1886.4556490000004</v>
      </c>
      <c r="BI53" s="2443">
        <f t="shared" si="29"/>
        <v>55569.64053379</v>
      </c>
      <c r="BJ53" s="2443">
        <f t="shared" si="29"/>
        <v>11529.790843999999</v>
      </c>
      <c r="BK53" s="2443">
        <f t="shared" si="29"/>
        <v>30011.002045720001</v>
      </c>
      <c r="BL53" s="2443">
        <f t="shared" ref="BL53:BM53" si="30">BL52-BL36</f>
        <v>4192.2429651000002</v>
      </c>
      <c r="BM53" s="2443">
        <f t="shared" si="30"/>
        <v>2270.0452814100004</v>
      </c>
      <c r="BN53" s="2443">
        <f t="shared" ref="BN53:BW53" si="31">BN52-BN36</f>
        <v>37005.17</v>
      </c>
      <c r="BO53" s="2443">
        <f t="shared" si="31"/>
        <v>6634.2905809999993</v>
      </c>
      <c r="BP53" s="2443">
        <f t="shared" si="31"/>
        <v>0</v>
      </c>
      <c r="BQ53" s="2443">
        <f t="shared" si="31"/>
        <v>0</v>
      </c>
      <c r="BR53" s="2443">
        <f t="shared" si="31"/>
        <v>0</v>
      </c>
      <c r="BS53" s="2443">
        <f t="shared" si="31"/>
        <v>0</v>
      </c>
      <c r="BT53" s="2443">
        <f t="shared" si="31"/>
        <v>0</v>
      </c>
      <c r="BU53" s="2443">
        <f t="shared" si="31"/>
        <v>0</v>
      </c>
      <c r="BV53" s="2443">
        <f t="shared" si="31"/>
        <v>0</v>
      </c>
      <c r="BW53" s="2443">
        <f t="shared" si="31"/>
        <v>0</v>
      </c>
    </row>
    <row r="54" spans="1:75" s="152" customFormat="1"/>
    <row r="55" spans="1:75" s="153" customFormat="1">
      <c r="A55" s="153" t="s">
        <v>1000</v>
      </c>
      <c r="C55" s="161">
        <f t="shared" ref="C55:O55" si="32">C4+C14+C23</f>
        <v>-3286.76389023</v>
      </c>
      <c r="D55" s="161">
        <f t="shared" si="32"/>
        <v>-4132.5684459999966</v>
      </c>
      <c r="E55" s="161">
        <f t="shared" si="32"/>
        <v>-1688.2622391699988</v>
      </c>
      <c r="F55" s="161">
        <f t="shared" si="32"/>
        <v>-2508.5011590000022</v>
      </c>
      <c r="G55" s="161">
        <f t="shared" si="32"/>
        <v>-1034.9746537500005</v>
      </c>
      <c r="H55" s="161">
        <f t="shared" si="32"/>
        <v>-2649.6434250000011</v>
      </c>
      <c r="I55" s="161">
        <f t="shared" si="32"/>
        <v>-1106.7297786899999</v>
      </c>
      <c r="J55" s="161">
        <f t="shared" si="32"/>
        <v>1865.4349189999998</v>
      </c>
      <c r="K55" s="161">
        <f t="shared" si="32"/>
        <v>728.83140284000012</v>
      </c>
      <c r="L55" s="161">
        <f t="shared" si="32"/>
        <v>770.82098900000301</v>
      </c>
      <c r="M55" s="161">
        <f t="shared" si="32"/>
        <v>3574.201562870001</v>
      </c>
      <c r="N55" s="161">
        <f t="shared" si="32"/>
        <v>133.9989505648</v>
      </c>
      <c r="O55" s="161">
        <f t="shared" si="32"/>
        <v>228.8837415959199</v>
      </c>
      <c r="P55" s="161"/>
      <c r="Q55" s="161"/>
    </row>
    <row r="56" spans="1:75">
      <c r="AY56" s="1784">
        <f>AY52-AY16-AY12</f>
        <v>14203.66637441999</v>
      </c>
      <c r="AZ56" s="1784"/>
      <c r="BA56" s="1784"/>
      <c r="BB56" s="1784"/>
      <c r="BC56" s="1784"/>
      <c r="BD56" s="1784"/>
      <c r="BE56" s="1784">
        <f>BE52-BE16-BE12</f>
        <v>2941.4805369000014</v>
      </c>
      <c r="BF56" s="1784"/>
      <c r="BG56" s="1784"/>
      <c r="BH56" s="1784"/>
      <c r="BI56" s="1784"/>
      <c r="BJ56" s="1784"/>
      <c r="BK56" s="1784"/>
      <c r="BL56" s="1784"/>
      <c r="BM56" s="1784"/>
      <c r="BN56" s="1784"/>
      <c r="BO56" s="1784"/>
      <c r="BP56" s="1784"/>
      <c r="BQ56" s="1784"/>
      <c r="BR56" s="1784"/>
      <c r="BS56" s="1784"/>
      <c r="BT56" s="1784"/>
      <c r="BU56" s="1784"/>
      <c r="BV56" s="1784"/>
      <c r="BW56" s="1784"/>
    </row>
    <row r="85" spans="5:5">
      <c r="E85" s="154">
        <f>SUMIFS('#投资收益'!39:39,'#投资收益'!1:1,1)</f>
        <v>0</v>
      </c>
    </row>
  </sheetData>
  <customSheetViews>
    <customSheetView guid="{1683F931-F47D-47C0-A395-D48080DC7EE6}" showPageBreaks="1" topLeftCell="L1">
      <selection activeCell="AK23" sqref="AK23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>
      <pane xSplit="1" topLeftCell="AE1" activePane="topRight" state="frozen"/>
      <selection pane="topRight" activeCell="AT17" sqref="AT17"/>
      <pageMargins left="0.69930555555555596" right="0.69930555555555596" top="0.75" bottom="0.75" header="0.3" footer="0.3"/>
    </customSheetView>
    <customSheetView guid="{849C46E5-4ED4-41B9-BDA9-A6465B9DA9C2}">
      <selection activeCell="A11" sqref="A11:XFD11"/>
      <pageMargins left="0.69930555555555596" right="0.69930555555555596" top="0.75" bottom="0.75" header="0.3" footer="0.3"/>
    </customSheetView>
    <customSheetView guid="{8C09BCDE-4B8A-4469-B3F2-7F4528A2E78D}">
      <selection activeCell="A11" sqref="A11:XFD11"/>
      <pageMargins left="0.69930555555555596" right="0.69930555555555596" top="0.75" bottom="0.75" header="0.3" footer="0.3"/>
    </customSheetView>
    <customSheetView guid="{F4EB51F4-FD23-4D5B-8072-1AF5D59D6686}" topLeftCell="AS1">
      <selection activeCell="BC11" sqref="BC11"/>
      <pageMargins left="0.69930555555555596" right="0.69930555555555596" top="0.75" bottom="0.75" header="0.3" footer="0.3"/>
    </customSheetView>
    <customSheetView guid="{D7BCFB76-2797-401D-A6F1-E020B5162DD4}" hiddenColumns="1" topLeftCell="BD43">
      <selection activeCell="BK4" sqref="BK4"/>
      <pageMargins left="0.69930555555555596" right="0.69930555555555596" top="0.75" bottom="0.75" header="0.3" footer="0.3"/>
    </customSheetView>
    <customSheetView guid="{C9A88430-3808-49F4-8D86-BF8C70C55441}" topLeftCell="W1">
      <selection activeCell="AF19" sqref="AF19"/>
      <pageMargins left="0.69930555555555596" right="0.69930555555555596" top="0.75" bottom="0.75" header="0.3" footer="0.3"/>
    </customSheetView>
    <customSheetView guid="{E61FFED3-723E-484A-93A0-94E1A801AF06}" topLeftCell="AT1">
      <selection activeCell="I31" sqref="I31"/>
      <pageMargins left="0.69930555555555596" right="0.69930555555555596" top="0.75" bottom="0.75" header="0.3" footer="0.3"/>
    </customSheetView>
    <customSheetView guid="{6B5CCA07-2BDD-4B8E-9E3C-2111BBA97430}" scale="85">
      <pane xSplit="1" topLeftCell="AL1" activePane="topRight" state="frozen"/>
      <selection pane="topRight" activeCell="AU38" sqref="AU38"/>
      <pageMargins left="0.69930555555555596" right="0.69930555555555596" top="0.75" bottom="0.75" header="0.3" footer="0.3"/>
      <pageSetup paperSize="9" orientation="portrait" r:id="rId2"/>
    </customSheetView>
    <customSheetView guid="{2F47A827-9643-4D8A-AC5D-6B09D79AACF9}">
      <selection activeCell="H24" sqref="H24"/>
      <pageMargins left="0.69930555555555596" right="0.69930555555555596" top="0.75" bottom="0.75" header="0.3" footer="0.3"/>
    </customSheetView>
    <customSheetView guid="{B37168A1-DBAB-4BDE-9F92-6261DCDF3D92}">
      <pane xSplit="1" topLeftCell="Y1" activePane="topRight" state="frozen"/>
      <selection pane="topRight" activeCell="AA7" sqref="AA7"/>
      <pageMargins left="0.69930555555555596" right="0.69930555555555596" top="0.75" bottom="0.75" header="0.3" footer="0.3"/>
    </customSheetView>
    <customSheetView guid="{AE0DD889-C13C-4059-8024-0F5B234827E9}" topLeftCell="L1">
      <selection activeCell="AK23" sqref="AK23"/>
      <pageMargins left="0.69930555555555596" right="0.69930555555555596" top="0.75" bottom="0.75" header="0.3" footer="0.3"/>
    </customSheetView>
    <customSheetView guid="{CCBBD9B0-4191-4D7A-9F7B-BAC044A49153}" topLeftCell="O1">
      <selection activeCell="Z24" sqref="Z24"/>
      <pageMargins left="0.69930555555555596" right="0.69930555555555596" top="0.75" bottom="0.75" header="0.3" footer="0.3"/>
    </customSheetView>
    <customSheetView guid="{F5F9735B-EE22-4AC6-B5AB-C856ED6C133D}" topLeftCell="C1">
      <selection activeCell="W4" sqref="W4"/>
      <pageMargins left="0.69930555555555596" right="0.69930555555555596" top="0.75" bottom="0.75" header="0.3" footer="0.3"/>
    </customSheetView>
    <customSheetView guid="{45B4C0D1-53B6-4553-BFF9-393760B8E0CE}">
      <selection activeCell="K4" sqref="K4"/>
      <pageMargins left="0.69930555555555596" right="0.69930555555555596" top="0.75" bottom="0.75" header="0.3" footer="0.3"/>
    </customSheetView>
    <customSheetView guid="{1BBD1596-143E-4714-99EF-E3545231CCD1}" topLeftCell="A16">
      <selection activeCell="A4" sqref="A4:XFD4"/>
      <pageMargins left="0.69930555555555596" right="0.69930555555555596" top="0.75" bottom="0.75" header="0.3" footer="0.3"/>
    </customSheetView>
    <customSheetView guid="{A8456D60-99BA-4794-8966-0CBA0A37EA6F}" topLeftCell="A16">
      <selection activeCell="A4" sqref="A4:XFD4"/>
      <pageMargins left="0.69930555555555596" right="0.69930555555555596" top="0.75" bottom="0.75" header="0.3" footer="0.3"/>
    </customSheetView>
    <customSheetView guid="{500C3980-ED13-4C97-96B1-955D50509B66}" topLeftCell="A10">
      <selection activeCell="A27" sqref="A27"/>
      <pageMargins left="0.69930555555555596" right="0.69930555555555596" top="0.75" bottom="0.75" header="0.3" footer="0.3"/>
    </customSheetView>
    <customSheetView guid="{3B943BAF-34C7-494A-A071-85DE0891E5A1}" topLeftCell="O1">
      <selection activeCell="AG4" sqref="AG4"/>
      <pageMargins left="0.69930555555555596" right="0.69930555555555596" top="0.75" bottom="0.75" header="0.3" footer="0.3"/>
    </customSheetView>
    <customSheetView guid="{EEE4B3DA-ADF6-49CC-9873-068FE5927B92}">
      <selection activeCell="H24" sqref="H24"/>
      <pageMargins left="0.69930555555555596" right="0.69930555555555596" top="0.75" bottom="0.75" header="0.3" footer="0.3"/>
    </customSheetView>
    <customSheetView guid="{C52D0F53-4D1D-4D01-B833-260359FD02A5}" topLeftCell="Q13">
      <selection activeCell="AH5" sqref="AH5:AI10"/>
      <pageMargins left="0.69930555555555596" right="0.69930555555555596" top="0.75" bottom="0.75" header="0.3" footer="0.3"/>
    </customSheetView>
    <customSheetView guid="{6A1E79C9-91E3-4EEA-8ABB-4446083299EC}" topLeftCell="AS43">
      <selection activeCell="BG49" sqref="BG49"/>
      <pageMargins left="0.69930555555555596" right="0.69930555555555596" top="0.75" bottom="0.75" header="0.3" footer="0.3"/>
    </customSheetView>
    <customSheetView guid="{8B80B510-C931-46B1-8591-DEA916D76593}" topLeftCell="BD28">
      <selection activeCell="BK44" sqref="BK44:BK50"/>
      <pageMargins left="0.69930555555555596" right="0.69930555555555596" top="0.75" bottom="0.75" header="0.3" footer="0.3"/>
    </customSheetView>
    <customSheetView guid="{303A9D89-611D-4504-BCAA-071C53B021F7}" topLeftCell="A16">
      <selection activeCell="A4" sqref="A4:XFD4"/>
      <pageMargins left="0.69930555555555596" right="0.69930555555555596" top="0.75" bottom="0.75" header="0.3" footer="0.3"/>
    </customSheetView>
    <customSheetView guid="{4583A87D-5DFF-47BD-849A-FA4AAF2B9CE3}" topLeftCell="O1">
      <selection activeCell="AG4" sqref="AG4"/>
      <pageMargins left="0.69930555555555596" right="0.69930555555555596" top="0.75" bottom="0.75" header="0.3" footer="0.3"/>
    </customSheetView>
    <customSheetView guid="{EA856AC2-CDFF-46B6-B0C4-30449DF132F4}" topLeftCell="BB22">
      <selection activeCell="A34" sqref="A34:XFD34"/>
      <pageMargins left="0.69930555555555596" right="0.69930555555555596" top="0.75" bottom="0.75" header="0.3" footer="0.3"/>
    </customSheetView>
    <customSheetView guid="{322A45A6-8B26-49B8-A4D9-EFB3C94A758D}" topLeftCell="A10">
      <selection activeCell="BT42" sqref="BT42"/>
      <pageMargins left="0.69930555555555596" right="0.69930555555555596" top="0.75" bottom="0.75" header="0.3" footer="0.3"/>
      <pageSetup paperSize="9" orientation="portrait" r:id="rId3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Y176"/>
  <sheetViews>
    <sheetView workbookViewId="0">
      <selection activeCell="T25" sqref="T25"/>
    </sheetView>
  </sheetViews>
  <sheetFormatPr defaultColWidth="9" defaultRowHeight="14.25"/>
  <cols>
    <col min="1" max="1" width="11" style="136" customWidth="1"/>
    <col min="2" max="18" width="9" style="136"/>
    <col min="19" max="19" width="11.625" style="136" customWidth="1"/>
    <col min="20" max="26" width="9" style="136"/>
    <col min="27" max="27" width="10.375" style="136"/>
    <col min="28" max="28" width="10.5" style="136" customWidth="1"/>
    <col min="29" max="29" width="13.875" style="136" customWidth="1"/>
    <col min="30" max="30" width="10.5" style="136" customWidth="1"/>
    <col min="31" max="31" width="10.625" style="136" bestFit="1" customWidth="1"/>
    <col min="32" max="32" width="9.875" style="136" bestFit="1" customWidth="1"/>
    <col min="33" max="35" width="10.625" style="136" bestFit="1" customWidth="1"/>
    <col min="36" max="36" width="11.75" style="136" customWidth="1"/>
    <col min="37" max="37" width="10.625" style="136" customWidth="1"/>
    <col min="38" max="38" width="13.125" style="136" customWidth="1"/>
    <col min="39" max="39" width="9.875" style="136" bestFit="1" customWidth="1"/>
    <col min="40" max="40" width="12.5" style="136" customWidth="1"/>
    <col min="41" max="41" width="15.25" style="136" customWidth="1"/>
    <col min="42" max="42" width="11.875" style="136" customWidth="1"/>
    <col min="43" max="43" width="11.625" style="136" bestFit="1" customWidth="1"/>
    <col min="44" max="44" width="16.5" style="136" customWidth="1"/>
    <col min="45" max="45" width="13.75" style="136" customWidth="1"/>
    <col min="46" max="46" width="12.5" style="136" customWidth="1"/>
    <col min="47" max="47" width="12.875" style="136" customWidth="1"/>
    <col min="48" max="16384" width="9" style="136"/>
  </cols>
  <sheetData>
    <row r="1" spans="1:51" s="133" customFormat="1">
      <c r="C1" s="133" t="s">
        <v>0</v>
      </c>
      <c r="D1" s="133">
        <v>2018</v>
      </c>
      <c r="E1" s="133">
        <v>2018</v>
      </c>
      <c r="F1" s="133">
        <v>2018</v>
      </c>
      <c r="G1" s="133">
        <v>2018</v>
      </c>
      <c r="H1" s="133">
        <v>2018</v>
      </c>
      <c r="I1" s="133">
        <v>2018</v>
      </c>
      <c r="J1" s="133">
        <v>2018</v>
      </c>
      <c r="K1" s="133">
        <v>2018</v>
      </c>
      <c r="L1" s="133">
        <v>2018</v>
      </c>
      <c r="M1" s="133">
        <v>2018</v>
      </c>
      <c r="N1" s="133">
        <v>2018</v>
      </c>
      <c r="O1" s="133">
        <v>2018</v>
      </c>
      <c r="P1" s="133">
        <v>2019</v>
      </c>
      <c r="Q1" s="133">
        <v>2019</v>
      </c>
      <c r="R1" s="133">
        <v>2019</v>
      </c>
      <c r="S1" s="133">
        <v>2019</v>
      </c>
      <c r="T1" s="133">
        <v>2019</v>
      </c>
      <c r="U1" s="133">
        <v>2019</v>
      </c>
      <c r="V1" s="133">
        <v>2019</v>
      </c>
      <c r="W1" s="133">
        <v>2019</v>
      </c>
      <c r="X1" s="133">
        <v>2019</v>
      </c>
      <c r="Y1" s="133">
        <v>2019</v>
      </c>
      <c r="Z1" s="133">
        <v>2019</v>
      </c>
      <c r="AA1" s="133">
        <v>2019</v>
      </c>
      <c r="AB1" s="133">
        <v>2020</v>
      </c>
      <c r="AC1" s="133">
        <v>2020</v>
      </c>
      <c r="AD1" s="133">
        <v>2020</v>
      </c>
      <c r="AE1" s="133">
        <v>2020</v>
      </c>
      <c r="AF1" s="133">
        <v>2020</v>
      </c>
      <c r="AG1" s="133">
        <v>2020</v>
      </c>
      <c r="AH1" s="133">
        <v>2020</v>
      </c>
      <c r="AI1" s="133">
        <v>2020</v>
      </c>
      <c r="AJ1" s="133">
        <v>2020</v>
      </c>
      <c r="AK1" s="133">
        <v>2020</v>
      </c>
      <c r="AL1" s="133">
        <v>2020</v>
      </c>
      <c r="AM1" s="133">
        <v>2020</v>
      </c>
      <c r="AN1" s="133">
        <v>2021</v>
      </c>
      <c r="AO1" s="133">
        <v>2021</v>
      </c>
      <c r="AP1" s="133">
        <v>2021</v>
      </c>
      <c r="AQ1" s="133">
        <v>2021</v>
      </c>
      <c r="AR1" s="133">
        <v>2021</v>
      </c>
      <c r="AS1" s="133">
        <v>2021</v>
      </c>
      <c r="AT1" s="133">
        <v>2021</v>
      </c>
      <c r="AU1" s="133">
        <v>2021</v>
      </c>
      <c r="AV1" s="133">
        <v>2021</v>
      </c>
      <c r="AW1" s="133">
        <v>2021</v>
      </c>
      <c r="AX1" s="133">
        <v>2021</v>
      </c>
      <c r="AY1" s="133">
        <v>2021</v>
      </c>
    </row>
    <row r="2" spans="1:51" s="134" customFormat="1">
      <c r="C2" s="134" t="s">
        <v>1</v>
      </c>
      <c r="D2" s="134">
        <v>1</v>
      </c>
      <c r="E2" s="134">
        <v>2</v>
      </c>
      <c r="F2" s="134">
        <v>3</v>
      </c>
      <c r="G2" s="134">
        <v>4</v>
      </c>
      <c r="H2" s="134">
        <v>5</v>
      </c>
      <c r="I2" s="134">
        <v>6</v>
      </c>
      <c r="J2" s="134">
        <v>7</v>
      </c>
      <c r="K2" s="134">
        <v>8</v>
      </c>
      <c r="L2" s="134">
        <v>9</v>
      </c>
      <c r="M2" s="134">
        <v>10</v>
      </c>
      <c r="N2" s="134">
        <v>11</v>
      </c>
      <c r="O2" s="134">
        <v>12</v>
      </c>
      <c r="P2" s="134">
        <v>1</v>
      </c>
      <c r="Q2" s="134">
        <v>2</v>
      </c>
      <c r="R2" s="134">
        <v>3</v>
      </c>
      <c r="S2" s="134">
        <v>4</v>
      </c>
      <c r="T2" s="134">
        <v>5</v>
      </c>
      <c r="U2" s="134">
        <v>6</v>
      </c>
      <c r="V2" s="134">
        <v>7</v>
      </c>
      <c r="W2" s="134">
        <v>8</v>
      </c>
      <c r="X2" s="134">
        <v>9</v>
      </c>
      <c r="Y2" s="134">
        <v>10</v>
      </c>
      <c r="Z2" s="134">
        <v>11</v>
      </c>
      <c r="AA2" s="134">
        <v>12</v>
      </c>
      <c r="AB2" s="134">
        <v>1</v>
      </c>
      <c r="AC2" s="134">
        <v>2</v>
      </c>
      <c r="AD2" s="134">
        <v>3</v>
      </c>
      <c r="AE2" s="134">
        <v>4</v>
      </c>
      <c r="AF2" s="134">
        <v>5</v>
      </c>
      <c r="AG2" s="134">
        <v>6</v>
      </c>
      <c r="AH2" s="134">
        <v>7</v>
      </c>
      <c r="AI2" s="134">
        <v>8</v>
      </c>
      <c r="AJ2" s="134">
        <v>9</v>
      </c>
      <c r="AK2" s="134">
        <v>10</v>
      </c>
      <c r="AL2" s="134">
        <v>11</v>
      </c>
      <c r="AM2" s="134">
        <v>12</v>
      </c>
      <c r="AN2" s="134">
        <v>1</v>
      </c>
      <c r="AO2" s="134">
        <v>2</v>
      </c>
      <c r="AP2" s="134">
        <v>3</v>
      </c>
      <c r="AQ2" s="134">
        <v>4</v>
      </c>
      <c r="AR2" s="134">
        <v>5</v>
      </c>
      <c r="AS2" s="134">
        <v>6</v>
      </c>
      <c r="AT2" s="134">
        <v>7</v>
      </c>
      <c r="AU2" s="134">
        <v>8</v>
      </c>
      <c r="AV2" s="134">
        <v>9</v>
      </c>
      <c r="AW2" s="134">
        <v>10</v>
      </c>
      <c r="AX2" s="134">
        <v>11</v>
      </c>
      <c r="AY2" s="134">
        <v>12</v>
      </c>
    </row>
    <row r="3" spans="1:51">
      <c r="A3" s="136" t="s">
        <v>13</v>
      </c>
      <c r="B3" s="137" t="s">
        <v>69</v>
      </c>
      <c r="C3" s="137" t="s">
        <v>1001</v>
      </c>
      <c r="D3" s="138">
        <v>95852.95</v>
      </c>
      <c r="E3" s="138">
        <v>91810.52</v>
      </c>
      <c r="F3" s="138">
        <v>70309.83</v>
      </c>
      <c r="G3" s="138">
        <v>50022.83</v>
      </c>
      <c r="H3" s="138">
        <v>113359.91</v>
      </c>
      <c r="I3" s="138">
        <v>123649.95</v>
      </c>
      <c r="J3" s="138">
        <v>121456.56</v>
      </c>
      <c r="K3" s="138">
        <v>214273.32</v>
      </c>
      <c r="L3" s="138">
        <v>159701.79999999999</v>
      </c>
      <c r="M3" s="138">
        <v>166277.96</v>
      </c>
      <c r="N3" s="138">
        <v>131671.97</v>
      </c>
      <c r="O3" s="138">
        <v>132902.01</v>
      </c>
      <c r="P3" s="136">
        <v>82542.91</v>
      </c>
      <c r="Q3" s="138">
        <v>122433.8</v>
      </c>
      <c r="R3" s="138">
        <v>149043.37</v>
      </c>
      <c r="S3" s="138">
        <v>210977.18</v>
      </c>
      <c r="T3" s="138">
        <v>262926.49</v>
      </c>
      <c r="U3" s="136">
        <v>256585</v>
      </c>
      <c r="V3" s="136">
        <v>250947.14</v>
      </c>
      <c r="W3" s="136">
        <f>131544+22139.42</f>
        <v>153683.41999999998</v>
      </c>
      <c r="X3" s="136">
        <f>175016.555+10000</f>
        <v>185016.55499999999</v>
      </c>
      <c r="Y3" s="136">
        <v>167365.31</v>
      </c>
      <c r="Z3" s="136">
        <v>128646.89</v>
      </c>
      <c r="AA3" s="136">
        <v>170213.56</v>
      </c>
      <c r="AB3" s="136">
        <v>148131.67000000001</v>
      </c>
      <c r="AC3" s="136">
        <v>188248.68</v>
      </c>
      <c r="AD3" s="136">
        <v>196469.76000000001</v>
      </c>
      <c r="AE3" s="136">
        <v>159006</v>
      </c>
      <c r="AF3" s="136">
        <v>78438</v>
      </c>
      <c r="AG3" s="136">
        <v>382352.69</v>
      </c>
      <c r="AH3" s="136">
        <v>320295.49000000005</v>
      </c>
      <c r="AI3" s="2507">
        <v>347579.23</v>
      </c>
      <c r="AJ3" s="2507">
        <v>342203.08</v>
      </c>
      <c r="AK3" s="2507">
        <v>290425.3</v>
      </c>
      <c r="AL3" s="2507">
        <v>290719.06</v>
      </c>
      <c r="AM3" s="2507">
        <v>86284</v>
      </c>
      <c r="AN3" s="2507">
        <v>124537</v>
      </c>
      <c r="AO3" s="2507">
        <v>304918</v>
      </c>
      <c r="AP3" s="2507">
        <v>285224.62</v>
      </c>
      <c r="AQ3" s="2507">
        <v>403634.01400000002</v>
      </c>
      <c r="AR3" s="2507">
        <v>313970.76400000002</v>
      </c>
      <c r="AS3" s="1629">
        <v>240959.61</v>
      </c>
      <c r="AT3" s="1629">
        <v>253583.58499999999</v>
      </c>
      <c r="AU3" s="2507">
        <v>312844.14</v>
      </c>
      <c r="AV3" s="1629"/>
      <c r="AW3" s="1629"/>
      <c r="AX3" s="1629"/>
      <c r="AY3" s="1629"/>
    </row>
    <row r="4" spans="1:51">
      <c r="A4" s="136" t="s">
        <v>13</v>
      </c>
      <c r="B4" s="137" t="s">
        <v>1002</v>
      </c>
      <c r="C4" s="137" t="s">
        <v>1001</v>
      </c>
      <c r="D4" s="138">
        <f>D5/D3*10000</f>
        <v>656.80999906627801</v>
      </c>
      <c r="E4" s="138">
        <f>E5/E3*10000</f>
        <v>654.08819163642693</v>
      </c>
      <c r="F4" s="138">
        <f>F5/F3*10000</f>
        <v>659.50948821807697</v>
      </c>
      <c r="G4" s="138">
        <f t="shared" ref="G4:P4" si="0">G5/G3*10000</f>
        <v>589.73072894916174</v>
      </c>
      <c r="H4" s="138">
        <f t="shared" si="0"/>
        <v>600.74147906433586</v>
      </c>
      <c r="I4" s="138">
        <f t="shared" si="0"/>
        <v>592.0746429739761</v>
      </c>
      <c r="J4" s="138">
        <f t="shared" si="0"/>
        <v>584.73581007069527</v>
      </c>
      <c r="K4" s="138">
        <f t="shared" si="0"/>
        <v>605.53502414579657</v>
      </c>
      <c r="L4" s="138">
        <f t="shared" si="0"/>
        <v>609.69882618730662</v>
      </c>
      <c r="M4" s="138">
        <f t="shared" si="0"/>
        <v>626.18040298305323</v>
      </c>
      <c r="N4" s="138">
        <f t="shared" si="0"/>
        <v>664.45424945035757</v>
      </c>
      <c r="O4" s="138">
        <f t="shared" si="0"/>
        <v>613.38425205156784</v>
      </c>
      <c r="P4" s="138">
        <f t="shared" si="0"/>
        <v>639.93568957043067</v>
      </c>
      <c r="Q4" s="138">
        <f>Q5/Q3*10000</f>
        <v>640.84148609289264</v>
      </c>
      <c r="R4" s="138">
        <f>R5/R3*10000</f>
        <v>644</v>
      </c>
      <c r="S4" s="138">
        <f>S5/S3*10000</f>
        <v>688.41</v>
      </c>
      <c r="T4" s="138">
        <f>T5/T3*10000</f>
        <v>723</v>
      </c>
      <c r="U4" s="138">
        <f>U5/U3*10000</f>
        <v>784.99929633454803</v>
      </c>
      <c r="V4" s="1630">
        <f>U4</f>
        <v>784.99929633454803</v>
      </c>
      <c r="W4" s="1631">
        <f>X4</f>
        <v>748.42</v>
      </c>
      <c r="X4" s="136">
        <v>748.42</v>
      </c>
      <c r="Y4" s="136">
        <v>772</v>
      </c>
      <c r="Z4" s="136">
        <v>732</v>
      </c>
      <c r="AA4" s="136">
        <v>770.81</v>
      </c>
      <c r="AB4" s="136">
        <v>780</v>
      </c>
      <c r="AC4" s="144">
        <v>758.776976238918</v>
      </c>
      <c r="AD4" s="136">
        <v>770</v>
      </c>
      <c r="AE4" s="136">
        <v>754.42</v>
      </c>
      <c r="AF4" s="136">
        <v>768.07</v>
      </c>
      <c r="AG4" s="136">
        <v>848.57</v>
      </c>
      <c r="AH4" s="136">
        <v>871.85</v>
      </c>
      <c r="AI4" s="136">
        <v>935.64</v>
      </c>
      <c r="AJ4" s="1646">
        <v>955.67910052611012</v>
      </c>
      <c r="AK4" s="136">
        <v>920.35</v>
      </c>
      <c r="AL4" s="136">
        <v>941.88</v>
      </c>
      <c r="AM4" s="136">
        <v>1005</v>
      </c>
      <c r="AN4" s="136">
        <v>1060</v>
      </c>
      <c r="AO4" s="136">
        <v>1112</v>
      </c>
      <c r="AP4" s="144">
        <v>1185.8699999999999</v>
      </c>
      <c r="AQ4" s="136">
        <v>1233.55</v>
      </c>
      <c r="AR4" s="136">
        <v>1416.01</v>
      </c>
      <c r="AS4" s="136">
        <v>1472.16</v>
      </c>
      <c r="AT4" s="136">
        <v>1584.77</v>
      </c>
      <c r="AU4" s="144">
        <v>1415.48</v>
      </c>
    </row>
    <row r="5" spans="1:51" s="135" customFormat="1">
      <c r="A5" s="135" t="s">
        <v>13</v>
      </c>
      <c r="B5" s="139" t="s">
        <v>39</v>
      </c>
      <c r="C5" s="139" t="s">
        <v>174</v>
      </c>
      <c r="D5" s="140">
        <v>6295.7175999999999</v>
      </c>
      <c r="E5" s="140">
        <v>6005.2177000000001</v>
      </c>
      <c r="F5" s="140">
        <v>4637</v>
      </c>
      <c r="G5" s="140">
        <v>2950</v>
      </c>
      <c r="H5" s="140">
        <v>6810</v>
      </c>
      <c r="I5" s="140">
        <v>7321</v>
      </c>
      <c r="J5" s="140">
        <v>7102</v>
      </c>
      <c r="K5" s="140">
        <v>12975</v>
      </c>
      <c r="L5" s="140">
        <v>9737</v>
      </c>
      <c r="M5" s="140">
        <v>10412</v>
      </c>
      <c r="N5" s="140">
        <v>8749</v>
      </c>
      <c r="O5" s="140">
        <v>8152</v>
      </c>
      <c r="P5" s="135">
        <v>5282.2154030000002</v>
      </c>
      <c r="Q5" s="140">
        <v>7846.065834</v>
      </c>
      <c r="R5" s="140">
        <v>9598.3930280000004</v>
      </c>
      <c r="S5" s="140">
        <v>14523.880048380001</v>
      </c>
      <c r="T5" s="140">
        <v>19009.585227</v>
      </c>
      <c r="U5" s="140">
        <v>20141.904445</v>
      </c>
      <c r="V5" s="140">
        <f>'#需填写'!I42/10000</f>
        <v>2.813E-3</v>
      </c>
      <c r="W5" s="140">
        <f>'#需填写'!J42/10000</f>
        <v>2.3640000000000002E-3</v>
      </c>
      <c r="AB5" s="146">
        <f>AB3*AB4</f>
        <v>115542702.60000001</v>
      </c>
      <c r="AC5" s="146">
        <f t="shared" ref="AC5:AY5" si="1">AC3*AC4</f>
        <v>142838764.19136769</v>
      </c>
      <c r="AD5" s="146">
        <f t="shared" si="1"/>
        <v>151281715.20000002</v>
      </c>
      <c r="AE5" s="146">
        <f t="shared" si="1"/>
        <v>119957306.52</v>
      </c>
      <c r="AF5" s="146">
        <f t="shared" si="1"/>
        <v>60245874.660000004</v>
      </c>
      <c r="AG5" s="146">
        <f t="shared" si="1"/>
        <v>324453022.15330005</v>
      </c>
      <c r="AH5" s="146">
        <f t="shared" si="1"/>
        <v>279249622.95650005</v>
      </c>
      <c r="AI5" s="146">
        <f t="shared" si="1"/>
        <v>325209030.7572</v>
      </c>
      <c r="AJ5" s="146">
        <f t="shared" si="1"/>
        <v>327036331.69166452</v>
      </c>
      <c r="AK5" s="146">
        <f t="shared" si="1"/>
        <v>267292924.85499999</v>
      </c>
      <c r="AL5" s="146">
        <f t="shared" si="1"/>
        <v>273822468.23280001</v>
      </c>
      <c r="AM5" s="146">
        <f t="shared" si="1"/>
        <v>86715420</v>
      </c>
      <c r="AN5" s="146">
        <f t="shared" si="1"/>
        <v>132009220</v>
      </c>
      <c r="AO5" s="146">
        <f t="shared" si="1"/>
        <v>339068816</v>
      </c>
      <c r="AP5" s="146">
        <f t="shared" si="1"/>
        <v>338239320.11939996</v>
      </c>
      <c r="AQ5" s="146">
        <f t="shared" si="1"/>
        <v>497902737.96970004</v>
      </c>
      <c r="AR5" s="146">
        <f t="shared" si="1"/>
        <v>444585741.53164005</v>
      </c>
      <c r="AS5" s="146">
        <f t="shared" si="1"/>
        <v>354731099.4576</v>
      </c>
      <c r="AT5" s="146">
        <f t="shared" si="1"/>
        <v>401871658.00044996</v>
      </c>
      <c r="AU5" s="146">
        <f t="shared" si="1"/>
        <v>442824623.28720003</v>
      </c>
      <c r="AV5" s="146">
        <f t="shared" si="1"/>
        <v>0</v>
      </c>
      <c r="AW5" s="146">
        <f t="shared" si="1"/>
        <v>0</v>
      </c>
      <c r="AX5" s="146">
        <f t="shared" si="1"/>
        <v>0</v>
      </c>
      <c r="AY5" s="146">
        <f t="shared" si="1"/>
        <v>0</v>
      </c>
    </row>
    <row r="6" spans="1:51">
      <c r="A6" s="136" t="s">
        <v>17</v>
      </c>
      <c r="B6" s="137" t="s">
        <v>69</v>
      </c>
      <c r="C6" s="137" t="s">
        <v>1001</v>
      </c>
      <c r="D6" s="138">
        <v>12402.83</v>
      </c>
      <c r="E6" s="138">
        <v>21181.49</v>
      </c>
      <c r="F6" s="138">
        <v>2821.72</v>
      </c>
      <c r="G6" s="138">
        <v>0</v>
      </c>
      <c r="H6" s="138">
        <v>23008.67</v>
      </c>
      <c r="I6" s="138">
        <v>18595.5</v>
      </c>
      <c r="J6" s="138">
        <v>11188.81</v>
      </c>
      <c r="K6" s="138">
        <v>4537.1400000000003</v>
      </c>
      <c r="L6" s="138">
        <v>491.76</v>
      </c>
      <c r="M6" s="138">
        <v>18415.57</v>
      </c>
      <c r="N6" s="138">
        <v>22063.48</v>
      </c>
      <c r="O6" s="138">
        <v>3972.14</v>
      </c>
      <c r="P6" s="136">
        <v>9130.2000000000007</v>
      </c>
      <c r="Q6" s="138">
        <v>12522.87</v>
      </c>
      <c r="R6" s="138">
        <v>0</v>
      </c>
      <c r="S6" s="138">
        <v>8327.15</v>
      </c>
      <c r="T6" s="138"/>
      <c r="AA6" s="136">
        <f>SUMPRODUCT(P3:AA3,P4:AA4)/SUM(P3:AA3)</f>
        <v>733.08490510147567</v>
      </c>
    </row>
    <row r="7" spans="1:51">
      <c r="A7" s="136" t="s">
        <v>17</v>
      </c>
      <c r="B7" s="137" t="s">
        <v>1002</v>
      </c>
      <c r="C7" s="137" t="s">
        <v>1001</v>
      </c>
      <c r="D7" s="138">
        <f>D8/D6*10000</f>
        <v>898.98837603998447</v>
      </c>
      <c r="E7" s="138">
        <f>E8/E6*10000</f>
        <v>901.65118742826871</v>
      </c>
      <c r="F7" s="138">
        <f>F8/F6*10000</f>
        <v>914.33593694625972</v>
      </c>
      <c r="G7" s="138" t="str">
        <f>IFERROR(G8/G6*10000,"-")</f>
        <v>-</v>
      </c>
      <c r="H7" s="138">
        <f t="shared" ref="H7:P7" si="2">H8/H6*10000</f>
        <v>781.87917858789763</v>
      </c>
      <c r="I7" s="138">
        <f t="shared" si="2"/>
        <v>768.46548896238335</v>
      </c>
      <c r="J7" s="138">
        <f t="shared" si="2"/>
        <v>764.15633119161021</v>
      </c>
      <c r="K7" s="138">
        <f t="shared" si="2"/>
        <v>767.00300189105906</v>
      </c>
      <c r="L7" s="138">
        <f t="shared" si="2"/>
        <v>813.40491296567438</v>
      </c>
      <c r="M7" s="138">
        <f t="shared" si="2"/>
        <v>869.91605472977494</v>
      </c>
      <c r="N7" s="138">
        <f t="shared" si="2"/>
        <v>892.42494837623076</v>
      </c>
      <c r="O7" s="138">
        <f t="shared" si="2"/>
        <v>803.09354655173286</v>
      </c>
      <c r="P7" s="138">
        <f t="shared" si="2"/>
        <v>836.11539506253973</v>
      </c>
      <c r="Q7" s="138">
        <f>Q8/Q6*10000</f>
        <v>801</v>
      </c>
      <c r="R7" s="138"/>
      <c r="S7" s="137">
        <v>844</v>
      </c>
      <c r="AB7" s="144">
        <f>'#采购&amp;股份关联'!AC61</f>
        <v>733.11034159924452</v>
      </c>
      <c r="AC7" s="144">
        <f>'#采购&amp;股份关联'!AD61</f>
        <v>669.67760266353605</v>
      </c>
      <c r="AD7" s="144">
        <f>'#采购&amp;股份关联'!AE61</f>
        <v>655.80840102335776</v>
      </c>
      <c r="AE7" s="144">
        <f>'#采购&amp;股份关联'!AF61</f>
        <v>645.18802706553686</v>
      </c>
      <c r="AF7" s="144">
        <f>'#采购&amp;股份关联'!AG61</f>
        <v>637.9243219078802</v>
      </c>
      <c r="AG7" s="144">
        <f>'#采购&amp;股份关联'!AH61</f>
        <v>644.02422900160298</v>
      </c>
      <c r="AH7" s="144">
        <f>'#采购&amp;股份关联'!AI61</f>
        <v>658.25734555362271</v>
      </c>
      <c r="AI7" s="144">
        <f>'#采购&amp;股份关联'!AJ61</f>
        <v>675.92165984586143</v>
      </c>
      <c r="AJ7" s="144">
        <f>'#采购&amp;股份关联'!AK61</f>
        <v>711.63153262369644</v>
      </c>
      <c r="AK7" s="144">
        <f>'#采购&amp;股份关联'!AL61</f>
        <v>705.49773715723109</v>
      </c>
      <c r="AL7" s="144">
        <f>'#采购&amp;股份关联'!AM61</f>
        <v>732.77787721526863</v>
      </c>
      <c r="AM7" s="144">
        <f>'#采购&amp;股份关联'!AN61</f>
        <v>753.77172412949767</v>
      </c>
      <c r="AN7" s="144">
        <f>'#采购&amp;股份关联'!AO61</f>
        <v>782.94961306113805</v>
      </c>
      <c r="AO7" s="144">
        <f>'#采购&amp;股份关联'!AP61</f>
        <v>819.95571609638932</v>
      </c>
    </row>
    <row r="8" spans="1:51" s="135" customFormat="1">
      <c r="A8" s="135" t="s">
        <v>17</v>
      </c>
      <c r="B8" s="139" t="s">
        <v>39</v>
      </c>
      <c r="C8" s="139" t="s">
        <v>174</v>
      </c>
      <c r="D8" s="140">
        <v>1115</v>
      </c>
      <c r="E8" s="140">
        <v>1909.831561</v>
      </c>
      <c r="F8" s="140">
        <v>258</v>
      </c>
      <c r="G8" s="140">
        <v>0</v>
      </c>
      <c r="H8" s="140">
        <v>1799</v>
      </c>
      <c r="I8" s="140">
        <v>1429</v>
      </c>
      <c r="J8" s="140">
        <v>855</v>
      </c>
      <c r="K8" s="140">
        <v>348</v>
      </c>
      <c r="L8" s="140">
        <v>40</v>
      </c>
      <c r="M8" s="140">
        <v>1602</v>
      </c>
      <c r="N8" s="140">
        <v>1969</v>
      </c>
      <c r="O8" s="140">
        <v>319</v>
      </c>
      <c r="P8" s="135">
        <v>763.39007800000002</v>
      </c>
      <c r="Q8" s="140">
        <v>1003.0818870000001</v>
      </c>
      <c r="R8" s="140">
        <v>0</v>
      </c>
      <c r="S8" s="145">
        <v>702.81146000000001</v>
      </c>
      <c r="AB8" s="146">
        <f>AB4-AB7</f>
        <v>46.889658400755479</v>
      </c>
      <c r="AC8" s="146">
        <f t="shared" ref="AC8:AO8" si="3">AC4-AC7</f>
        <v>89.099373575381946</v>
      </c>
      <c r="AD8" s="146">
        <f t="shared" si="3"/>
        <v>114.19159897664224</v>
      </c>
      <c r="AE8" s="146">
        <f t="shared" si="3"/>
        <v>109.2319729344631</v>
      </c>
      <c r="AF8" s="146">
        <f t="shared" si="3"/>
        <v>130.14567809211985</v>
      </c>
      <c r="AG8" s="146">
        <f t="shared" si="3"/>
        <v>204.54577099839707</v>
      </c>
      <c r="AH8" s="146">
        <f t="shared" si="3"/>
        <v>213.59265444637731</v>
      </c>
      <c r="AI8" s="146">
        <f t="shared" si="3"/>
        <v>259.71834015413856</v>
      </c>
      <c r="AJ8" s="146">
        <f t="shared" si="3"/>
        <v>244.04756790241368</v>
      </c>
      <c r="AK8" s="146">
        <f t="shared" si="3"/>
        <v>214.85226284276894</v>
      </c>
      <c r="AL8" s="146">
        <f t="shared" si="3"/>
        <v>209.10212278473136</v>
      </c>
      <c r="AM8" s="146">
        <f t="shared" si="3"/>
        <v>251.22827587050233</v>
      </c>
      <c r="AN8" s="146">
        <f t="shared" si="3"/>
        <v>277.05038693886195</v>
      </c>
      <c r="AO8" s="146">
        <f t="shared" si="3"/>
        <v>292.04428390361068</v>
      </c>
    </row>
    <row r="9" spans="1:51">
      <c r="A9" s="136" t="s">
        <v>187</v>
      </c>
      <c r="B9" s="137" t="s">
        <v>69</v>
      </c>
      <c r="C9" s="137" t="s">
        <v>1001</v>
      </c>
      <c r="D9" s="138">
        <f t="shared" ref="D9:O9" si="4">D6+D3</f>
        <v>108255.78</v>
      </c>
      <c r="E9" s="138">
        <f t="shared" si="4"/>
        <v>112992.01000000001</v>
      </c>
      <c r="F9" s="138">
        <f t="shared" si="4"/>
        <v>73131.55</v>
      </c>
      <c r="G9" s="138">
        <f t="shared" si="4"/>
        <v>50022.83</v>
      </c>
      <c r="H9" s="138">
        <f t="shared" si="4"/>
        <v>136368.58000000002</v>
      </c>
      <c r="I9" s="138">
        <f t="shared" si="4"/>
        <v>142245.45000000001</v>
      </c>
      <c r="J9" s="138">
        <f t="shared" si="4"/>
        <v>132645.37</v>
      </c>
      <c r="K9" s="138">
        <f t="shared" si="4"/>
        <v>218810.46000000002</v>
      </c>
      <c r="L9" s="138">
        <f t="shared" si="4"/>
        <v>160193.56</v>
      </c>
      <c r="M9" s="138">
        <f t="shared" si="4"/>
        <v>184693.53</v>
      </c>
      <c r="N9" s="138">
        <f t="shared" si="4"/>
        <v>153735.45000000001</v>
      </c>
      <c r="O9" s="138">
        <f t="shared" si="4"/>
        <v>136874.15000000002</v>
      </c>
      <c r="P9" s="138">
        <f>P6+P3</f>
        <v>91673.11</v>
      </c>
      <c r="Q9" s="138">
        <f>Q6+Q3</f>
        <v>134956.67000000001</v>
      </c>
      <c r="R9" s="138">
        <f t="shared" ref="R9:AY9" si="5">R6+R3</f>
        <v>149043.37</v>
      </c>
      <c r="S9" s="138">
        <f t="shared" si="5"/>
        <v>219304.33</v>
      </c>
      <c r="T9" s="138">
        <f t="shared" si="5"/>
        <v>262926.49</v>
      </c>
      <c r="U9" s="138">
        <f t="shared" si="5"/>
        <v>256585</v>
      </c>
      <c r="V9" s="138">
        <f t="shared" si="5"/>
        <v>250947.14</v>
      </c>
      <c r="W9" s="138">
        <f t="shared" si="5"/>
        <v>153683.41999999998</v>
      </c>
      <c r="X9" s="138">
        <f t="shared" si="5"/>
        <v>185016.55499999999</v>
      </c>
      <c r="Y9" s="138">
        <f t="shared" si="5"/>
        <v>167365.31</v>
      </c>
      <c r="Z9" s="138">
        <f t="shared" si="5"/>
        <v>128646.89</v>
      </c>
      <c r="AA9" s="138">
        <f t="shared" si="5"/>
        <v>170946.64490510148</v>
      </c>
      <c r="AB9" s="138">
        <f t="shared" si="5"/>
        <v>148131.67000000001</v>
      </c>
      <c r="AC9" s="138">
        <f t="shared" si="5"/>
        <v>188248.68</v>
      </c>
      <c r="AD9" s="138">
        <f t="shared" si="5"/>
        <v>196469.76000000001</v>
      </c>
      <c r="AE9" s="138">
        <f t="shared" si="5"/>
        <v>159006</v>
      </c>
      <c r="AF9" s="138">
        <f t="shared" si="5"/>
        <v>78438</v>
      </c>
      <c r="AG9" s="138">
        <f>AG6+AG3</f>
        <v>382352.69</v>
      </c>
      <c r="AH9" s="138">
        <f t="shared" si="5"/>
        <v>320295.49000000005</v>
      </c>
      <c r="AI9" s="138">
        <f t="shared" si="5"/>
        <v>347579.23</v>
      </c>
      <c r="AJ9" s="138">
        <f t="shared" si="5"/>
        <v>342203.08</v>
      </c>
      <c r="AK9" s="138">
        <f t="shared" si="5"/>
        <v>290425.3</v>
      </c>
      <c r="AL9" s="138">
        <f t="shared" si="5"/>
        <v>290719.06</v>
      </c>
      <c r="AM9" s="138">
        <f t="shared" si="5"/>
        <v>86284</v>
      </c>
      <c r="AN9" s="138">
        <f t="shared" si="5"/>
        <v>124537</v>
      </c>
      <c r="AO9" s="138">
        <f t="shared" si="5"/>
        <v>304918</v>
      </c>
      <c r="AP9" s="138">
        <f t="shared" si="5"/>
        <v>285224.62</v>
      </c>
      <c r="AQ9" s="138">
        <f t="shared" si="5"/>
        <v>403634.01400000002</v>
      </c>
      <c r="AR9" s="138">
        <f t="shared" si="5"/>
        <v>313970.76400000002</v>
      </c>
      <c r="AS9" s="138">
        <f t="shared" si="5"/>
        <v>240959.61</v>
      </c>
      <c r="AT9" s="138">
        <f t="shared" si="5"/>
        <v>253583.58499999999</v>
      </c>
      <c r="AU9" s="138">
        <f t="shared" si="5"/>
        <v>312844.14</v>
      </c>
      <c r="AV9" s="138">
        <f t="shared" si="5"/>
        <v>0</v>
      </c>
      <c r="AW9" s="138">
        <f t="shared" si="5"/>
        <v>0</v>
      </c>
      <c r="AX9" s="138">
        <f t="shared" si="5"/>
        <v>0</v>
      </c>
      <c r="AY9" s="138">
        <f t="shared" si="5"/>
        <v>0</v>
      </c>
    </row>
    <row r="10" spans="1:51">
      <c r="A10" s="136" t="s">
        <v>187</v>
      </c>
      <c r="B10" s="137" t="s">
        <v>1002</v>
      </c>
      <c r="C10" s="137" t="s">
        <v>1001</v>
      </c>
      <c r="D10" s="138">
        <f>D11/D9*10000</f>
        <v>684.55629805632555</v>
      </c>
      <c r="E10" s="138">
        <f>E11/E9*10000</f>
        <v>700.49636792902436</v>
      </c>
      <c r="F10" s="138">
        <f t="shared" ref="F10:O10" si="6">F11/F9*10000</f>
        <v>669.34175468727233</v>
      </c>
      <c r="G10" s="138">
        <f t="shared" si="6"/>
        <v>589.73072894916174</v>
      </c>
      <c r="H10" s="138">
        <f t="shared" si="6"/>
        <v>631.30377980030289</v>
      </c>
      <c r="I10" s="138">
        <f t="shared" si="6"/>
        <v>615.13391113740363</v>
      </c>
      <c r="J10" s="138">
        <f t="shared" si="6"/>
        <v>599.87016508755642</v>
      </c>
      <c r="K10" s="138">
        <f t="shared" si="6"/>
        <v>608.88314023013334</v>
      </c>
      <c r="L10" s="138">
        <f t="shared" si="6"/>
        <v>610.32416034702021</v>
      </c>
      <c r="M10" s="138">
        <f t="shared" si="6"/>
        <v>650.48299201385123</v>
      </c>
      <c r="N10" s="138">
        <f t="shared" si="6"/>
        <v>697.17166730249915</v>
      </c>
      <c r="O10" s="138">
        <f t="shared" si="6"/>
        <v>618.88968808208119</v>
      </c>
      <c r="P10" s="138">
        <f t="shared" ref="P10:U10" si="7">P11/P9*10000</f>
        <v>659.47424288321838</v>
      </c>
      <c r="Q10" s="138">
        <f t="shared" si="7"/>
        <v>655.70288011700336</v>
      </c>
      <c r="R10" s="138">
        <f t="shared" si="7"/>
        <v>644</v>
      </c>
      <c r="S10" s="138">
        <f t="shared" si="7"/>
        <v>694.31786907171431</v>
      </c>
      <c r="T10" s="138">
        <f t="shared" si="7"/>
        <v>723</v>
      </c>
      <c r="U10" s="138">
        <f t="shared" si="7"/>
        <v>784.99929633454803</v>
      </c>
    </row>
    <row r="11" spans="1:51">
      <c r="A11" s="136" t="s">
        <v>187</v>
      </c>
      <c r="B11" s="137" t="s">
        <v>39</v>
      </c>
      <c r="C11" s="137" t="s">
        <v>174</v>
      </c>
      <c r="D11" s="138">
        <f t="shared" ref="D11:O11" si="8">D5+D8</f>
        <v>7410.7175999999999</v>
      </c>
      <c r="E11" s="138">
        <f t="shared" si="8"/>
        <v>7915.0492610000001</v>
      </c>
      <c r="F11" s="138">
        <f t="shared" si="8"/>
        <v>4895</v>
      </c>
      <c r="G11" s="138">
        <f t="shared" si="8"/>
        <v>2950</v>
      </c>
      <c r="H11" s="138">
        <f t="shared" si="8"/>
        <v>8609</v>
      </c>
      <c r="I11" s="138">
        <f t="shared" si="8"/>
        <v>8750</v>
      </c>
      <c r="J11" s="138">
        <f t="shared" si="8"/>
        <v>7957</v>
      </c>
      <c r="K11" s="138">
        <f t="shared" si="8"/>
        <v>13323</v>
      </c>
      <c r="L11" s="138">
        <f t="shared" si="8"/>
        <v>9777</v>
      </c>
      <c r="M11" s="138">
        <f t="shared" si="8"/>
        <v>12014</v>
      </c>
      <c r="N11" s="138">
        <f t="shared" si="8"/>
        <v>10718</v>
      </c>
      <c r="O11" s="138">
        <f t="shared" si="8"/>
        <v>8471</v>
      </c>
      <c r="P11" s="138">
        <f t="shared" ref="P11:V11" si="9">P5+P8</f>
        <v>6045.6054810000005</v>
      </c>
      <c r="Q11" s="138">
        <f t="shared" si="9"/>
        <v>8849.1477209999994</v>
      </c>
      <c r="R11" s="138">
        <f t="shared" si="9"/>
        <v>9598.3930280000004</v>
      </c>
      <c r="S11" s="138">
        <f t="shared" si="9"/>
        <v>15226.691508380001</v>
      </c>
      <c r="T11" s="138">
        <f t="shared" si="9"/>
        <v>19009.585227</v>
      </c>
      <c r="U11" s="138">
        <f t="shared" si="9"/>
        <v>20141.904445</v>
      </c>
      <c r="V11" s="138">
        <f t="shared" si="9"/>
        <v>2.813E-3</v>
      </c>
      <c r="AB11" s="138">
        <f>'#采购&amp;股份关联'!AC79</f>
        <v>85.27000000000001</v>
      </c>
      <c r="AC11" s="138">
        <f>'#采购&amp;股份关联'!AD79</f>
        <v>104.4</v>
      </c>
      <c r="AD11" s="138">
        <f>'#采购&amp;股份关联'!AE79</f>
        <v>92.16</v>
      </c>
      <c r="AE11" s="138">
        <f>'#采购&amp;股份关联'!AF79</f>
        <v>101.15</v>
      </c>
      <c r="AF11" s="138">
        <f>'#采购&amp;股份关联'!AG79</f>
        <v>100.51</v>
      </c>
      <c r="AG11" s="138">
        <f>'#采购&amp;股份关联'!AH79</f>
        <v>83.66</v>
      </c>
      <c r="AH11" s="138">
        <f>'#采购&amp;股份关联'!AI79</f>
        <v>55.28</v>
      </c>
      <c r="AI11" s="138">
        <f>'#采购&amp;股份关联'!AJ79</f>
        <v>73.27</v>
      </c>
      <c r="AJ11" s="138">
        <f>'#采购&amp;股份关联'!AK79</f>
        <v>58.31</v>
      </c>
      <c r="AK11" s="138">
        <f>'#采购&amp;股份关联'!AL79</f>
        <v>78.400000000000006</v>
      </c>
      <c r="AL11" s="138">
        <f>'#采购&amp;股份关联'!AM79</f>
        <v>93.08</v>
      </c>
      <c r="AM11" s="138">
        <f>'#采购&amp;股份关联'!AN79</f>
        <v>91.47999999999999</v>
      </c>
      <c r="AN11" s="138">
        <f>'#采购&amp;股份关联'!AO79</f>
        <v>99.17</v>
      </c>
      <c r="AO11" s="138">
        <f>'#采购&amp;股份关联'!AP79</f>
        <v>97.780000000000015</v>
      </c>
    </row>
    <row r="12" spans="1:51">
      <c r="AB12" s="144">
        <f>AB8*AB11</f>
        <v>3998.2811718324201</v>
      </c>
      <c r="AC12" s="144">
        <f t="shared" ref="AC12:AM12" si="10">AC8*AC11</f>
        <v>9301.9746012698761</v>
      </c>
      <c r="AD12" s="144">
        <f t="shared" si="10"/>
        <v>10523.897761687349</v>
      </c>
      <c r="AE12" s="144">
        <f t="shared" si="10"/>
        <v>11048.814062320944</v>
      </c>
      <c r="AF12" s="144">
        <f t="shared" si="10"/>
        <v>13080.942105038966</v>
      </c>
      <c r="AG12" s="144">
        <f t="shared" si="10"/>
        <v>17112.299201725898</v>
      </c>
      <c r="AH12" s="144">
        <f t="shared" si="10"/>
        <v>11807.401937795737</v>
      </c>
      <c r="AI12" s="144">
        <f t="shared" si="10"/>
        <v>19029.56278309373</v>
      </c>
      <c r="AJ12" s="144">
        <f t="shared" si="10"/>
        <v>14230.413684389741</v>
      </c>
      <c r="AK12" s="144">
        <f t="shared" si="10"/>
        <v>16844.417406873086</v>
      </c>
      <c r="AL12" s="144">
        <f t="shared" si="10"/>
        <v>19463.225588802794</v>
      </c>
      <c r="AM12" s="144">
        <f t="shared" si="10"/>
        <v>22982.362676633551</v>
      </c>
    </row>
    <row r="13" spans="1:51">
      <c r="A13" s="136" t="s">
        <v>1003</v>
      </c>
      <c r="B13" s="137" t="s">
        <v>69</v>
      </c>
      <c r="L13" s="141">
        <v>279500</v>
      </c>
      <c r="M13" s="141">
        <v>343400</v>
      </c>
      <c r="N13" s="141">
        <v>323220</v>
      </c>
      <c r="O13" s="136">
        <v>239191</v>
      </c>
      <c r="P13" s="136">
        <f>'#需填写'!C38</f>
        <v>27.54</v>
      </c>
      <c r="Q13" s="136">
        <f>'#需填写'!D38</f>
        <v>26.21</v>
      </c>
      <c r="R13" s="136">
        <f>'#需填写'!E38</f>
        <v>24.44</v>
      </c>
      <c r="S13" s="136">
        <f>'#需填写'!F38</f>
        <v>28.65</v>
      </c>
    </row>
    <row r="14" spans="1:51">
      <c r="B14" s="137" t="s">
        <v>1002</v>
      </c>
      <c r="L14" s="141"/>
      <c r="M14" s="141"/>
      <c r="N14" s="141"/>
      <c r="O14" s="136">
        <v>567</v>
      </c>
      <c r="P14" s="136">
        <f>'#需填写'!C39</f>
        <v>0</v>
      </c>
      <c r="Q14" s="136">
        <f>'#需填写'!D39</f>
        <v>0</v>
      </c>
      <c r="R14" s="136">
        <f>'#需填写'!E39</f>
        <v>0</v>
      </c>
      <c r="S14" s="136">
        <f>'#需填写'!F39</f>
        <v>0</v>
      </c>
      <c r="AB14" s="144">
        <f>AB5+AC5+AD5</f>
        <v>409663181.9913677</v>
      </c>
      <c r="AC14" s="136">
        <f>AB3+AC3+AD3</f>
        <v>532850.11</v>
      </c>
      <c r="AI14" s="136" t="s">
        <v>1103</v>
      </c>
      <c r="AN14" s="144">
        <f>AN5+AO5+AP5</f>
        <v>809317356.11940002</v>
      </c>
      <c r="AO14" s="136">
        <f>AN3+AO3+AP3</f>
        <v>714679.62</v>
      </c>
    </row>
    <row r="15" spans="1:51">
      <c r="A15" s="136" t="s">
        <v>1004</v>
      </c>
      <c r="B15" s="137" t="s">
        <v>1005</v>
      </c>
      <c r="O15" s="142" t="e">
        <f>'#需填写'!#REF!</f>
        <v>#REF!</v>
      </c>
      <c r="P15" s="142" t="e">
        <f>'#需填写'!#REF!</f>
        <v>#REF!</v>
      </c>
      <c r="Q15" s="142" t="e">
        <f>'#需填写'!#REF!</f>
        <v>#REF!</v>
      </c>
      <c r="R15" s="142" t="e">
        <f>'#需填写'!#REF!</f>
        <v>#REF!</v>
      </c>
      <c r="S15" s="142" t="e">
        <f>'#需填写'!#REF!</f>
        <v>#REF!</v>
      </c>
      <c r="AC15" s="136">
        <f>AB14/AC14</f>
        <v>768.81504630142183</v>
      </c>
      <c r="AO15" s="136">
        <f>AN14/AO14</f>
        <v>1132.4198052819809</v>
      </c>
    </row>
    <row r="16" spans="1:51">
      <c r="A16" s="136" t="s">
        <v>1004</v>
      </c>
      <c r="B16" s="137" t="s">
        <v>591</v>
      </c>
      <c r="O16" s="136" t="e">
        <f>'#需填写'!#REF!</f>
        <v>#REF!</v>
      </c>
      <c r="P16" s="136" t="e">
        <f>'#需填写'!#REF!</f>
        <v>#REF!</v>
      </c>
      <c r="Q16" s="136" t="e">
        <f>'#需填写'!#REF!</f>
        <v>#REF!</v>
      </c>
      <c r="R16" s="136" t="e">
        <f>'#需填写'!#REF!</f>
        <v>#REF!</v>
      </c>
      <c r="S16" s="136" t="e">
        <f>'#需填写'!#REF!</f>
        <v>#REF!</v>
      </c>
    </row>
    <row r="17" spans="1:33">
      <c r="A17" s="136" t="s">
        <v>1006</v>
      </c>
      <c r="B17" s="137" t="s">
        <v>1005</v>
      </c>
      <c r="L17" s="136">
        <v>91693</v>
      </c>
      <c r="M17" s="136">
        <v>99648</v>
      </c>
      <c r="N17" s="136">
        <v>44310</v>
      </c>
      <c r="O17" s="136">
        <v>1249</v>
      </c>
      <c r="P17" s="136" t="e">
        <f>'#需填写'!#REF!</f>
        <v>#REF!</v>
      </c>
      <c r="Q17" s="136" t="e">
        <f>'#需填写'!#REF!</f>
        <v>#REF!</v>
      </c>
      <c r="R17" s="136" t="e">
        <f>'#需填写'!#REF!</f>
        <v>#REF!</v>
      </c>
      <c r="S17" s="136" t="e">
        <f>'#需填写'!#REF!</f>
        <v>#REF!</v>
      </c>
    </row>
    <row r="18" spans="1:33">
      <c r="B18" s="137" t="s">
        <v>591</v>
      </c>
      <c r="L18" s="136">
        <v>494.58461538461501</v>
      </c>
      <c r="M18" s="136">
        <v>540.18461538461497</v>
      </c>
      <c r="N18" s="136">
        <v>646</v>
      </c>
      <c r="O18" s="136">
        <v>647</v>
      </c>
      <c r="P18" s="136" t="e">
        <f>'#需填写'!#REF!</f>
        <v>#REF!</v>
      </c>
      <c r="Q18" s="136" t="e">
        <f>'#需填写'!#REF!</f>
        <v>#REF!</v>
      </c>
      <c r="R18" s="136" t="e">
        <f>'#需填写'!#REF!</f>
        <v>#REF!</v>
      </c>
      <c r="S18" s="136" t="e">
        <f>'#需填写'!#REF!</f>
        <v>#REF!</v>
      </c>
    </row>
    <row r="21" spans="1:33" ht="15.75">
      <c r="P21" s="143">
        <v>641.75</v>
      </c>
      <c r="Q21" s="143">
        <v>668</v>
      </c>
      <c r="R21" s="143">
        <v>667.25</v>
      </c>
      <c r="S21" s="143">
        <v>707.4</v>
      </c>
      <c r="T21" s="143">
        <v>744.75</v>
      </c>
      <c r="U21" s="143">
        <v>803</v>
      </c>
      <c r="V21" s="143">
        <v>898.8</v>
      </c>
      <c r="W21" s="143">
        <v>787.5</v>
      </c>
      <c r="X21" s="143">
        <f>760.25</f>
        <v>760.25</v>
      </c>
      <c r="Y21" s="143">
        <f>756.6+15</f>
        <v>771.6</v>
      </c>
      <c r="Z21" s="143">
        <f>708.5+23</f>
        <v>731.5</v>
      </c>
      <c r="AA21" s="143">
        <f>759.25+12</f>
        <v>771.25</v>
      </c>
      <c r="AB21" s="143">
        <v>780</v>
      </c>
      <c r="AC21" s="143">
        <v>759</v>
      </c>
      <c r="AD21" s="143">
        <v>770</v>
      </c>
      <c r="AE21" s="143">
        <v>757</v>
      </c>
      <c r="AF21" s="143">
        <v>770</v>
      </c>
      <c r="AG21" s="143">
        <v>848</v>
      </c>
    </row>
    <row r="22" spans="1:33">
      <c r="P22" s="136">
        <v>493</v>
      </c>
      <c r="Q22" s="136">
        <v>493</v>
      </c>
      <c r="R22" s="136">
        <v>493</v>
      </c>
      <c r="S22" s="136">
        <v>493</v>
      </c>
      <c r="T22" s="136">
        <v>493</v>
      </c>
      <c r="U22" s="136">
        <v>493</v>
      </c>
      <c r="V22" s="136">
        <v>493</v>
      </c>
      <c r="W22" s="136">
        <v>493</v>
      </c>
      <c r="X22" s="136">
        <v>493</v>
      </c>
      <c r="Y22" s="136">
        <v>493</v>
      </c>
      <c r="Z22" s="136">
        <v>493</v>
      </c>
      <c r="AA22" s="136">
        <v>493</v>
      </c>
      <c r="AB22" s="136">
        <v>493</v>
      </c>
      <c r="AC22" s="136">
        <v>493</v>
      </c>
      <c r="AD22" s="136">
        <v>493</v>
      </c>
      <c r="AE22" s="136">
        <v>493</v>
      </c>
      <c r="AF22" s="136">
        <v>493</v>
      </c>
      <c r="AG22" s="136">
        <v>493</v>
      </c>
    </row>
    <row r="23" spans="1:33">
      <c r="P23" s="144">
        <f>(P21-P22)*P3/10000</f>
        <v>1227.82578625</v>
      </c>
      <c r="Q23" s="144">
        <f t="shared" ref="Q23:AG23" si="11">(Q21-Q22)*Q3/10000</f>
        <v>2142.5915</v>
      </c>
      <c r="R23" s="144">
        <f t="shared" si="11"/>
        <v>2597.0807222500002</v>
      </c>
      <c r="S23" s="144">
        <f t="shared" si="11"/>
        <v>4523.3507392000001</v>
      </c>
      <c r="T23" s="144">
        <f t="shared" si="11"/>
        <v>6619.1743857499996</v>
      </c>
      <c r="U23" s="144">
        <f t="shared" si="11"/>
        <v>7954.1350000000002</v>
      </c>
      <c r="V23" s="144">
        <f t="shared" si="11"/>
        <v>10183.434941199999</v>
      </c>
      <c r="W23" s="144">
        <f t="shared" si="11"/>
        <v>4525.9767189999993</v>
      </c>
      <c r="X23" s="144">
        <f t="shared" si="11"/>
        <v>4944.567432375</v>
      </c>
      <c r="Y23" s="144">
        <f t="shared" si="11"/>
        <v>4662.7975366000001</v>
      </c>
      <c r="Z23" s="144">
        <f t="shared" si="11"/>
        <v>3068.2283265000001</v>
      </c>
      <c r="AA23" s="144">
        <f t="shared" si="11"/>
        <v>4736.1923070000003</v>
      </c>
      <c r="AB23" s="144">
        <f t="shared" si="11"/>
        <v>4251.3789290000004</v>
      </c>
      <c r="AC23" s="144">
        <f t="shared" si="11"/>
        <v>5007.4148879999993</v>
      </c>
      <c r="AD23" s="144">
        <f t="shared" si="11"/>
        <v>5442.2123520000005</v>
      </c>
      <c r="AE23" s="144">
        <f t="shared" si="11"/>
        <v>4197.7583999999997</v>
      </c>
      <c r="AF23" s="144">
        <f t="shared" si="11"/>
        <v>2172.7325999999998</v>
      </c>
      <c r="AG23" s="144">
        <f t="shared" si="11"/>
        <v>13573.520494999999</v>
      </c>
    </row>
    <row r="24" spans="1:33">
      <c r="P24" s="144">
        <f>SUM(P23:U23)</f>
        <v>25064.158133450001</v>
      </c>
      <c r="AB24" s="144">
        <f>SUM(AB23:AG23)</f>
        <v>34645.017663999999</v>
      </c>
    </row>
    <row r="26" spans="1:33">
      <c r="AB26" s="144">
        <f>AB24-P24</f>
        <v>9580.8595305499985</v>
      </c>
    </row>
    <row r="27" spans="1:33">
      <c r="P27" s="136">
        <f>SUMPRODUCT(P3:U3,P21:U21)/SUM(P3:U3)</f>
        <v>724.1107045789164</v>
      </c>
      <c r="AB27" s="136" t="s">
        <v>1103</v>
      </c>
    </row>
    <row r="29" spans="1:33">
      <c r="P29" s="136">
        <f>SUMPRODUCT(P4:X4,P3:X3)/SUM(P3:X3)</f>
        <v>725.44237298984547</v>
      </c>
      <c r="AB29" s="136">
        <f>SUMPRODUCT(AB4:AJ4,AB3:AJ3)/SUM(AB3:AJ3)</f>
        <v>853.46713619017055</v>
      </c>
    </row>
    <row r="30" spans="1:33">
      <c r="Q30" s="136">
        <f>P29-P22</f>
        <v>232.44237298984547</v>
      </c>
    </row>
    <row r="31" spans="1:33">
      <c r="P31" s="136">
        <f>SUMPRODUCT(P4:AA4,P3:AA3)/SUM(P3:AA3)</f>
        <v>733.08490510147567</v>
      </c>
    </row>
    <row r="121" spans="4:4">
      <c r="D121" s="136">
        <f>SUMIFS(矿产品购销!3:3,矿产品购销!1:1,1)</f>
        <v>0</v>
      </c>
    </row>
    <row r="176" spans="7:7">
      <c r="G176" s="136">
        <f>SUMIFS(矿产品购销!3:3,矿产品购销!1:1,1)</f>
        <v>0</v>
      </c>
    </row>
  </sheetData>
  <customSheetViews>
    <customSheetView guid="{1683F931-F47D-47C0-A395-D48080DC7EE6}" showPageBreaks="1">
      <selection activeCell="T25" sqref="T25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>
      <pane xSplit="3" ySplit="2" topLeftCell="D3" activePane="bottomRight" state="frozen"/>
      <selection pane="bottomRight" activeCell="F23" sqref="F23 AB3"/>
      <pageMargins left="0.69930555555555596" right="0.69930555555555596" top="0.75" bottom="0.75" header="0.3" footer="0.3"/>
    </customSheetView>
    <customSheetView guid="{849C46E5-4ED4-41B9-BDA9-A6465B9DA9C2}" topLeftCell="AF1">
      <selection activeCell="AQ5" sqref="AQ5"/>
      <pageMargins left="0.69930555555555596" right="0.69930555555555596" top="0.75" bottom="0.75" header="0.3" footer="0.3"/>
    </customSheetView>
    <customSheetView guid="{8C09BCDE-4B8A-4469-B3F2-7F4528A2E78D}" topLeftCell="AF1">
      <selection activeCell="AQ5" sqref="AQ5"/>
      <pageMargins left="0.69930555555555596" right="0.69930555555555596" top="0.75" bottom="0.75" header="0.3" footer="0.3"/>
    </customSheetView>
    <customSheetView guid="{F4EB51F4-FD23-4D5B-8072-1AF5D59D6686}" topLeftCell="X1">
      <selection activeCell="AB3" activeCellId="1" sqref="AC3 AB3"/>
      <pageMargins left="0.69930555555555596" right="0.69930555555555596" top="0.75" bottom="0.75" header="0.3" footer="0.3"/>
    </customSheetView>
    <customSheetView guid="{D7BCFB76-2797-401D-A6F1-E020B5162DD4}">
      <pane xSplit="3" ySplit="2" topLeftCell="X24" activePane="bottomRight" state="frozen"/>
      <selection pane="bottomRight" activeCell="AI25" sqref="AI25 AB3"/>
      <pageMargins left="0.69930555555555596" right="0.69930555555555596" top="0.75" bottom="0.75" header="0.3" footer="0.3"/>
    </customSheetView>
    <customSheetView guid="{C9A88430-3808-49F4-8D86-BF8C70C55441}" topLeftCell="AH1">
      <selection activeCell="AP15" sqref="AP15"/>
      <pageMargins left="0.69930555555555596" right="0.69930555555555596" top="0.75" bottom="0.75" header="0.3" footer="0.3"/>
    </customSheetView>
    <customSheetView guid="{E61FFED3-723E-484A-93A0-94E1A801AF06}">
      <pane xSplit="3" ySplit="2" topLeftCell="I3" activePane="bottomRight" state="frozen"/>
      <selection pane="bottomRight" activeCell="R5" sqref="R5 AB3"/>
      <pageMargins left="0.69930555555555596" right="0.69930555555555596" top="0.75" bottom="0.75" header="0.3" footer="0.3"/>
    </customSheetView>
    <customSheetView guid="{6B5CCA07-2BDD-4B8E-9E3C-2111BBA97430}">
      <pane xSplit="3" ySplit="2" topLeftCell="AK3" activePane="bottomRight" state="frozen"/>
      <selection pane="bottomRight" activeCell="AU14" sqref="AU14 AB3"/>
      <pageMargins left="0.69930555555555596" right="0.69930555555555596" top="0.75" bottom="0.75" header="0.3" footer="0.3"/>
      <pageSetup paperSize="9" orientation="portrait" r:id="rId2"/>
    </customSheetView>
    <customSheetView guid="{2F47A827-9643-4D8A-AC5D-6B09D79AACF9}">
      <pane xSplit="3" ySplit="2" topLeftCell="D3" activePane="bottomRight" state="frozen"/>
      <selection pane="bottomRight" activeCell="F23" sqref="F23 AB3"/>
      <pageMargins left="0.69930555555555596" right="0.69930555555555596" top="0.75" bottom="0.75" header="0.3" footer="0.3"/>
    </customSheetView>
    <customSheetView guid="{B37168A1-DBAB-4BDE-9F92-6261DCDF3D92}">
      <selection activeCell="U4" sqref="U4:V4 AB3"/>
      <pageMargins left="0.69930555555555596" right="0.69930555555555596" top="0.75" bottom="0.75" header="0.3" footer="0.3"/>
    </customSheetView>
    <customSheetView guid="{AE0DD889-C13C-4059-8024-0F5B234827E9}">
      <selection activeCell="AB9" sqref="AB9:AF9 AB3"/>
      <pageMargins left="0.69930555555555596" right="0.69930555555555596" top="0.75" bottom="0.75" header="0.3" footer="0.3"/>
    </customSheetView>
    <customSheetView guid="{CCBBD9B0-4191-4D7A-9F7B-BAC044A49153}">
      <selection activeCell="M36" sqref="M36 AB3"/>
      <pageMargins left="0.69930555555555596" right="0.69930555555555596" top="0.75" bottom="0.75" header="0.3" footer="0.3"/>
    </customSheetView>
    <customSheetView guid="{F5F9735B-EE22-4AC6-B5AB-C856ED6C133D}">
      <selection activeCell="J16" sqref="J16 AB3"/>
      <pageMargins left="0.69930555555555596" right="0.69930555555555596" top="0.75" bottom="0.75" header="0.3" footer="0.3"/>
    </customSheetView>
    <customSheetView guid="{45B4C0D1-53B6-4553-BFF9-393760B8E0CE}">
      <pane xSplit="3" ySplit="2" topLeftCell="D3" state="frozen"/>
      <selection activeCell="G12" sqref="G12 AB3"/>
      <pageMargins left="0.69930555555555596" right="0.69930555555555596" top="0.75" bottom="0.75" header="0.3" footer="0.3"/>
    </customSheetView>
    <customSheetView guid="{1BBD1596-143E-4714-99EF-E3545231CCD1}">
      <pane xSplit="3" ySplit="2" topLeftCell="J3" state="frozen"/>
      <selection activeCell="N21" sqref="N21 AB3"/>
      <pageMargins left="0.69930555555555596" right="0.69930555555555596" top="0.75" bottom="0.75" header="0.3" footer="0.3"/>
    </customSheetView>
    <customSheetView guid="{A8456D60-99BA-4794-8966-0CBA0A37EA6F}">
      <pane xSplit="3" ySplit="2" topLeftCell="D3" state="frozen"/>
      <selection activeCell="P9" sqref="P9 AB3"/>
      <pageMargins left="0.69930555555555596" right="0.69930555555555596" top="0.75" bottom="0.75" header="0.3" footer="0.3"/>
    </customSheetView>
    <customSheetView guid="{500C3980-ED13-4C97-96B1-955D50509B66}" topLeftCell="K1">
      <selection activeCell="R45" sqref="R45 AB3"/>
      <pageMargins left="0.69930555555555596" right="0.69930555555555596" top="0.75" bottom="0.75" header="0.3" footer="0.3"/>
    </customSheetView>
    <customSheetView guid="{3B943BAF-34C7-494A-A071-85DE0891E5A1}">
      <selection activeCell="P40" sqref="P40 AB3"/>
      <pageMargins left="0.69930555555555596" right="0.69930555555555596" top="0.75" bottom="0.75" header="0.3" footer="0.3"/>
    </customSheetView>
    <customSheetView guid="{EEE4B3DA-ADF6-49CC-9873-068FE5927B92}">
      <pane xSplit="3" ySplit="2" topLeftCell="D3" state="frozen"/>
      <selection activeCell="F23" sqref="F23 AB3"/>
      <pageMargins left="0.69930555555555596" right="0.69930555555555596" top="0.75" bottom="0.75" header="0.3" footer="0.3"/>
    </customSheetView>
    <customSheetView guid="{C52D0F53-4D1D-4D01-B833-260359FD02A5}">
      <selection activeCell="I44" sqref="I44 AB3"/>
      <pageMargins left="0.69930555555555596" right="0.69930555555555596" top="0.75" bottom="0.75" header="0.3" footer="0.3"/>
    </customSheetView>
    <customSheetView guid="{6A1E79C9-91E3-4EEA-8ABB-4446083299EC}">
      <selection activeCell="N24" sqref="N24"/>
      <pageMargins left="0.69930555555555596" right="0.69930555555555596" top="0.75" bottom="0.75" header="0.3" footer="0.3"/>
    </customSheetView>
    <customSheetView guid="{8B80B510-C931-46B1-8591-DEA916D76593}" topLeftCell="AG1">
      <selection activeCell="AS4" sqref="AS4"/>
      <pageMargins left="0.69930555555555596" right="0.69930555555555596" top="0.75" bottom="0.75" header="0.3" footer="0.3"/>
    </customSheetView>
    <customSheetView guid="{303A9D89-611D-4504-BCAA-071C53B021F7}">
      <pane xSplit="3" ySplit="2" topLeftCell="V3" activePane="bottomRight" state="frozen"/>
      <selection pane="bottomRight" activeCell="AO18" sqref="AO18 AB3"/>
      <pageMargins left="0.69930555555555596" right="0.69930555555555596" top="0.75" bottom="0.75" header="0.3" footer="0.3"/>
    </customSheetView>
    <customSheetView guid="{4583A87D-5DFF-47BD-849A-FA4AAF2B9CE3}">
      <selection activeCell="P40" sqref="P40 AB3"/>
      <pageMargins left="0.69930555555555596" right="0.69930555555555596" top="0.75" bottom="0.75" header="0.3" footer="0.3"/>
    </customSheetView>
    <customSheetView guid="{EA856AC2-CDFF-46B6-B0C4-30449DF132F4}" topLeftCell="AG1">
      <selection activeCell="AS3" sqref="AS3"/>
      <pageMargins left="0.69930555555555596" right="0.69930555555555596" top="0.75" bottom="0.75" header="0.3" footer="0.3"/>
    </customSheetView>
    <customSheetView guid="{322A45A6-8B26-49B8-A4D9-EFB3C94A758D}" topLeftCell="AI1">
      <selection activeCell="AT21" sqref="AT21"/>
      <pageMargins left="0.69930555555555596" right="0.69930555555555596" top="0.75" bottom="0.75" header="0.3" footer="0.3"/>
      <pageSetup paperSize="9" orientation="portrait" r:id="rId3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V25"/>
  <sheetViews>
    <sheetView topLeftCell="A4" workbookViewId="0">
      <selection activeCell="H13" sqref="H13"/>
    </sheetView>
  </sheetViews>
  <sheetFormatPr defaultColWidth="9" defaultRowHeight="14.25"/>
  <cols>
    <col min="1" max="1" width="9" style="116"/>
    <col min="2" max="2" width="13.125" style="116" customWidth="1"/>
    <col min="3" max="3" width="14.5" style="116" customWidth="1"/>
    <col min="4" max="4" width="8.5" style="116" customWidth="1"/>
    <col min="5" max="5" width="9" style="117" customWidth="1"/>
    <col min="6" max="6" width="10.5" style="117" customWidth="1"/>
    <col min="7" max="7" width="8.5" style="117" customWidth="1"/>
    <col min="8" max="13" width="9" style="117" customWidth="1"/>
    <col min="14" max="16" width="9" style="116" customWidth="1"/>
    <col min="17" max="17" width="12.125" style="116" customWidth="1"/>
    <col min="18" max="18" width="9" style="116"/>
    <col min="19" max="19" width="9.5" style="116" customWidth="1"/>
    <col min="20" max="16384" width="9" style="116"/>
  </cols>
  <sheetData>
    <row r="1" spans="1:22" ht="14.25" customHeight="1"/>
    <row r="2" spans="1:22" ht="19.5" customHeight="1">
      <c r="A2" s="118"/>
      <c r="B2" s="119" t="s">
        <v>1007</v>
      </c>
      <c r="C2" s="119" t="s">
        <v>181</v>
      </c>
      <c r="D2" s="119" t="s">
        <v>421</v>
      </c>
      <c r="E2" s="119" t="s">
        <v>422</v>
      </c>
      <c r="F2" s="119" t="s">
        <v>423</v>
      </c>
      <c r="G2" s="119" t="s">
        <v>424</v>
      </c>
      <c r="H2" s="119" t="s">
        <v>425</v>
      </c>
      <c r="I2" s="119" t="s">
        <v>426</v>
      </c>
      <c r="J2" s="119" t="s">
        <v>427</v>
      </c>
      <c r="K2" s="119" t="s">
        <v>428</v>
      </c>
      <c r="L2" s="119" t="s">
        <v>429</v>
      </c>
      <c r="M2" s="119" t="s">
        <v>430</v>
      </c>
      <c r="N2" s="119" t="s">
        <v>431</v>
      </c>
      <c r="O2" s="119" t="s">
        <v>432</v>
      </c>
      <c r="P2" s="119" t="s">
        <v>421</v>
      </c>
      <c r="Q2" s="119" t="s">
        <v>7</v>
      </c>
      <c r="R2" s="119" t="s">
        <v>9</v>
      </c>
      <c r="S2" s="119" t="s">
        <v>168</v>
      </c>
      <c r="T2" s="119" t="s">
        <v>5</v>
      </c>
      <c r="U2" s="119" t="s">
        <v>168</v>
      </c>
      <c r="V2" s="119" t="s">
        <v>9</v>
      </c>
    </row>
    <row r="3" spans="1:22" ht="19.5" customHeight="1">
      <c r="A3" s="118" t="s">
        <v>52</v>
      </c>
      <c r="B3" s="120">
        <v>0.19500000000000001</v>
      </c>
      <c r="C3" s="119">
        <v>0.152</v>
      </c>
      <c r="D3" s="119">
        <v>0.170839443939722</v>
      </c>
      <c r="E3" s="121">
        <v>0.15609940416482401</v>
      </c>
      <c r="F3" s="121">
        <v>0.17302516964999601</v>
      </c>
      <c r="G3" s="121">
        <v>0.160744781728383</v>
      </c>
      <c r="H3" s="121">
        <v>0.14004574680976201</v>
      </c>
      <c r="I3" s="121">
        <v>0.13650922572916799</v>
      </c>
      <c r="J3" s="121">
        <v>0.166517538064889</v>
      </c>
      <c r="K3" s="121">
        <v>0.17699999999999999</v>
      </c>
      <c r="L3" s="121">
        <v>0.17578450466291101</v>
      </c>
      <c r="M3" s="121">
        <v>0.14471424341293371</v>
      </c>
      <c r="N3" s="121">
        <v>0.17067139708649143</v>
      </c>
      <c r="O3" s="127">
        <v>0.16379432891945209</v>
      </c>
      <c r="P3" s="127">
        <v>0.16333834987082074</v>
      </c>
      <c r="Q3" s="129">
        <f>K3-J3</f>
        <v>1.0482461935110987E-2</v>
      </c>
      <c r="R3" s="120">
        <f>K3-C3</f>
        <v>2.4999999999999994E-2</v>
      </c>
      <c r="S3" s="130">
        <f>K3-B3</f>
        <v>-1.8000000000000016E-2</v>
      </c>
      <c r="T3" s="131">
        <v>0.15937200658108455</v>
      </c>
      <c r="U3" s="120">
        <f>T3-B3</f>
        <v>-3.5627993418915455E-2</v>
      </c>
      <c r="V3" s="120">
        <f>T3-C3</f>
        <v>7.3720065810845559E-3</v>
      </c>
    </row>
    <row r="4" spans="1:22" ht="19.5" customHeight="1">
      <c r="A4" s="118" t="s">
        <v>51</v>
      </c>
      <c r="B4" s="120">
        <v>0.56799999999999995</v>
      </c>
      <c r="C4" s="119">
        <v>0.34200000000000003</v>
      </c>
      <c r="D4" s="119">
        <v>0.80843906335383997</v>
      </c>
      <c r="E4" s="121">
        <v>0.578641252580538</v>
      </c>
      <c r="F4" s="121">
        <v>0.44726366560540998</v>
      </c>
      <c r="G4" s="121">
        <v>0.54494834304072004</v>
      </c>
      <c r="H4" s="121">
        <v>0.55090174758176902</v>
      </c>
      <c r="I4" s="121">
        <v>0.30265343358945201</v>
      </c>
      <c r="J4" s="121">
        <v>0.45580243542013199</v>
      </c>
      <c r="K4" s="121">
        <v>0.65814335755391928</v>
      </c>
      <c r="L4" s="121">
        <v>0.61980971887986624</v>
      </c>
      <c r="M4" s="121">
        <v>0.4790191913315629</v>
      </c>
      <c r="N4" s="121">
        <v>0.36026893071180971</v>
      </c>
      <c r="O4" s="127">
        <v>0.39226228117828194</v>
      </c>
      <c r="P4" s="127">
        <v>0.45687535749470004</v>
      </c>
      <c r="Q4" s="129">
        <f>K4-J4</f>
        <v>0.20234092213378729</v>
      </c>
      <c r="R4" s="120">
        <f>K4-C4</f>
        <v>0.31614335755391926</v>
      </c>
      <c r="S4" s="130">
        <f>K4-B4</f>
        <v>9.0143357553919334E-2</v>
      </c>
      <c r="T4" s="131">
        <v>0.48151466375694862</v>
      </c>
      <c r="U4" s="131">
        <f>T4-B4</f>
        <v>-8.6485336243051325E-2</v>
      </c>
      <c r="V4" s="120">
        <f>T4-C4</f>
        <v>0.1395146637569486</v>
      </c>
    </row>
    <row r="6" spans="1:22">
      <c r="A6" s="116" t="s">
        <v>52</v>
      </c>
      <c r="B6" s="116" t="s">
        <v>7</v>
      </c>
      <c r="E6" s="122">
        <f t="shared" ref="E6:P6" si="0">E3-D3</f>
        <v>-1.4740039774897989E-2</v>
      </c>
      <c r="F6" s="122">
        <f t="shared" si="0"/>
        <v>1.6925765485171995E-2</v>
      </c>
      <c r="G6" s="122">
        <f t="shared" si="0"/>
        <v>-1.2280387921613012E-2</v>
      </c>
      <c r="H6" s="122">
        <f t="shared" si="0"/>
        <v>-2.069903491862099E-2</v>
      </c>
      <c r="I6" s="122">
        <f t="shared" si="0"/>
        <v>-3.5365210805940184E-3</v>
      </c>
      <c r="J6" s="122">
        <f t="shared" si="0"/>
        <v>3.0008312335721016E-2</v>
      </c>
      <c r="K6" s="122">
        <f t="shared" si="0"/>
        <v>1.0482461935110987E-2</v>
      </c>
      <c r="L6" s="122">
        <f t="shared" si="0"/>
        <v>-1.2154953370889787E-3</v>
      </c>
      <c r="M6" s="122">
        <f t="shared" si="0"/>
        <v>-3.1070261249977305E-2</v>
      </c>
      <c r="N6" s="122">
        <f t="shared" si="0"/>
        <v>2.595715367355772E-2</v>
      </c>
      <c r="O6" s="122">
        <f t="shared" si="0"/>
        <v>-6.8770681670393408E-3</v>
      </c>
      <c r="P6" s="122">
        <f t="shared" si="0"/>
        <v>-4.559790486313442E-4</v>
      </c>
    </row>
    <row r="7" spans="1:22">
      <c r="B7" s="116" t="s">
        <v>168</v>
      </c>
      <c r="E7" s="122">
        <f>E3-$B$3</f>
        <v>-3.8900595835175994E-2</v>
      </c>
      <c r="F7" s="122">
        <f t="shared" ref="F7:P7" si="1">F3-$B$3</f>
        <v>-2.1974830350003999E-2</v>
      </c>
      <c r="G7" s="122">
        <f t="shared" si="1"/>
        <v>-3.4255218271617011E-2</v>
      </c>
      <c r="H7" s="122">
        <f t="shared" si="1"/>
        <v>-5.4954253190238E-2</v>
      </c>
      <c r="I7" s="122">
        <f t="shared" si="1"/>
        <v>-5.8490774270832019E-2</v>
      </c>
      <c r="J7" s="122">
        <f t="shared" si="1"/>
        <v>-2.8482461935111003E-2</v>
      </c>
      <c r="K7" s="122">
        <f t="shared" si="1"/>
        <v>-1.8000000000000016E-2</v>
      </c>
      <c r="L7" s="122">
        <f t="shared" si="1"/>
        <v>-1.9215495337088995E-2</v>
      </c>
      <c r="M7" s="122">
        <f t="shared" si="1"/>
        <v>-5.0285756587066299E-2</v>
      </c>
      <c r="N7" s="122">
        <f t="shared" si="1"/>
        <v>-2.4328602913508579E-2</v>
      </c>
      <c r="O7" s="122">
        <f t="shared" si="1"/>
        <v>-3.120567108054792E-2</v>
      </c>
      <c r="P7" s="122">
        <f t="shared" si="1"/>
        <v>-3.1661650129179264E-2</v>
      </c>
    </row>
    <row r="8" spans="1:22">
      <c r="B8" s="116" t="s">
        <v>9</v>
      </c>
      <c r="E8" s="122">
        <f>E3-$C$3</f>
        <v>4.0994041648240165E-3</v>
      </c>
      <c r="F8" s="122">
        <f t="shared" ref="F8:P8" si="2">F3-$C$3</f>
        <v>2.1025169649996012E-2</v>
      </c>
      <c r="G8" s="122">
        <f t="shared" si="2"/>
        <v>8.7447817283829998E-3</v>
      </c>
      <c r="H8" s="122">
        <f t="shared" si="2"/>
        <v>-1.195425319023799E-2</v>
      </c>
      <c r="I8" s="122">
        <f t="shared" si="2"/>
        <v>-1.5490774270832008E-2</v>
      </c>
      <c r="J8" s="128">
        <f t="shared" si="2"/>
        <v>1.4517538064889007E-2</v>
      </c>
      <c r="K8" s="128">
        <f t="shared" si="2"/>
        <v>2.4999999999999994E-2</v>
      </c>
      <c r="L8" s="128">
        <f t="shared" si="2"/>
        <v>2.3784504662911016E-2</v>
      </c>
      <c r="M8" s="128">
        <f t="shared" si="2"/>
        <v>-7.2857565870662888E-3</v>
      </c>
      <c r="N8" s="128">
        <f t="shared" si="2"/>
        <v>1.8671397086491431E-2</v>
      </c>
      <c r="O8" s="128">
        <f t="shared" si="2"/>
        <v>1.1794328919452091E-2</v>
      </c>
      <c r="P8" s="128">
        <f t="shared" si="2"/>
        <v>1.1338349870820746E-2</v>
      </c>
    </row>
    <row r="9" spans="1:22">
      <c r="A9" s="116" t="s">
        <v>51</v>
      </c>
      <c r="B9" s="116" t="s">
        <v>7</v>
      </c>
      <c r="E9" s="122">
        <f t="shared" ref="E9:P9" si="3">E4-D4</f>
        <v>-0.22979781077330197</v>
      </c>
      <c r="F9" s="122">
        <f t="shared" si="3"/>
        <v>-0.13137758697512802</v>
      </c>
      <c r="G9" s="122">
        <f t="shared" si="3"/>
        <v>9.7684677435310063E-2</v>
      </c>
      <c r="H9" s="122">
        <f t="shared" si="3"/>
        <v>5.9534045410489789E-3</v>
      </c>
      <c r="I9" s="122">
        <f t="shared" si="3"/>
        <v>-0.248248313992317</v>
      </c>
      <c r="J9" s="122">
        <f t="shared" si="3"/>
        <v>0.15314900183067998</v>
      </c>
      <c r="K9" s="122">
        <f t="shared" si="3"/>
        <v>0.20234092213378729</v>
      </c>
      <c r="L9" s="122">
        <f t="shared" si="3"/>
        <v>-3.8333638674053039E-2</v>
      </c>
      <c r="M9" s="122">
        <f t="shared" si="3"/>
        <v>-0.14079052754830335</v>
      </c>
      <c r="N9" s="122">
        <f t="shared" si="3"/>
        <v>-0.11875026061975319</v>
      </c>
      <c r="O9" s="122">
        <f t="shared" si="3"/>
        <v>3.1993350466472226E-2</v>
      </c>
      <c r="P9" s="122">
        <f t="shared" si="3"/>
        <v>6.4613076316418105E-2</v>
      </c>
    </row>
    <row r="10" spans="1:22">
      <c r="B10" s="116" t="s">
        <v>168</v>
      </c>
      <c r="E10" s="122">
        <f>E4-$B$4</f>
        <v>1.0641252580538052E-2</v>
      </c>
      <c r="F10" s="122">
        <f t="shared" ref="F10:P10" si="4">F4-$B$4</f>
        <v>-0.12073633439458997</v>
      </c>
      <c r="G10" s="122">
        <f t="shared" si="4"/>
        <v>-2.3051656959279909E-2</v>
      </c>
      <c r="H10" s="122">
        <f t="shared" si="4"/>
        <v>-1.709825241823093E-2</v>
      </c>
      <c r="I10" s="122">
        <f t="shared" si="4"/>
        <v>-0.26534656641054793</v>
      </c>
      <c r="J10" s="122">
        <f t="shared" si="4"/>
        <v>-0.11219756457986796</v>
      </c>
      <c r="K10" s="122">
        <f t="shared" si="4"/>
        <v>9.0143357553919334E-2</v>
      </c>
      <c r="L10" s="122">
        <f t="shared" si="4"/>
        <v>5.1809718879866296E-2</v>
      </c>
      <c r="M10" s="122">
        <f t="shared" si="4"/>
        <v>-8.898080866843705E-2</v>
      </c>
      <c r="N10" s="122">
        <f t="shared" si="4"/>
        <v>-0.20773106928819024</v>
      </c>
      <c r="O10" s="122">
        <f t="shared" si="4"/>
        <v>-0.17573771882171801</v>
      </c>
      <c r="P10" s="122">
        <f t="shared" si="4"/>
        <v>-0.11112464250529991</v>
      </c>
    </row>
    <row r="11" spans="1:22">
      <c r="B11" s="116" t="s">
        <v>9</v>
      </c>
      <c r="E11" s="122">
        <f>E4-$C$4</f>
        <v>0.23664125258053798</v>
      </c>
      <c r="F11" s="122">
        <f t="shared" ref="F11:P11" si="5">F4-$C$4</f>
        <v>0.10526366560540995</v>
      </c>
      <c r="G11" s="122">
        <f t="shared" si="5"/>
        <v>0.20294834304072001</v>
      </c>
      <c r="H11" s="122">
        <f t="shared" si="5"/>
        <v>0.20890174758176899</v>
      </c>
      <c r="I11" s="122">
        <f t="shared" si="5"/>
        <v>-3.9346566410548012E-2</v>
      </c>
      <c r="J11" s="122">
        <f t="shared" si="5"/>
        <v>0.11380243542013196</v>
      </c>
      <c r="K11" s="122">
        <f t="shared" si="5"/>
        <v>0.31614335755391926</v>
      </c>
      <c r="L11" s="122">
        <f t="shared" si="5"/>
        <v>0.27780971887986622</v>
      </c>
      <c r="M11" s="122">
        <f t="shared" si="5"/>
        <v>0.13701919133156287</v>
      </c>
      <c r="N11" s="122">
        <f t="shared" si="5"/>
        <v>1.8268930711809683E-2</v>
      </c>
      <c r="O11" s="122">
        <f t="shared" si="5"/>
        <v>5.0262281178281909E-2</v>
      </c>
      <c r="P11" s="122">
        <f t="shared" si="5"/>
        <v>0.11487535749470001</v>
      </c>
    </row>
    <row r="12" spans="1:22">
      <c r="F12" s="122"/>
    </row>
    <row r="13" spans="1:22" ht="126">
      <c r="E13" s="123" t="str">
        <f t="shared" ref="E13:P13" si="6">"当月碳钢轧后废品率比上月"&amp;IF(E6&gt;0,"退步","进步")&amp;"，"&amp;IF(E8&gt;0,"未完成","完成")&amp;"预算；不锈钢轧后废品率比上月"&amp;IF(E9&gt;0,"退步","进步")&amp;"，"&amp;IF(E11&gt;0,"未完成","完成")&amp;"预算。其中："</f>
        <v>当月碳钢轧后废品率比上月进步，未完成预算；不锈钢轧后废品率比上月进步，未完成预算。其中：</v>
      </c>
      <c r="F13" s="123" t="str">
        <f t="shared" si="6"/>
        <v>当月碳钢轧后废品率比上月退步，未完成预算；不锈钢轧后废品率比上月进步，未完成预算。其中：</v>
      </c>
      <c r="G13" s="123" t="str">
        <f t="shared" si="6"/>
        <v>当月碳钢轧后废品率比上月进步，未完成预算；不锈钢轧后废品率比上月退步，未完成预算。其中：</v>
      </c>
      <c r="H13" s="123" t="str">
        <f t="shared" si="6"/>
        <v>当月碳钢轧后废品率比上月进步，完成预算；不锈钢轧后废品率比上月退步，未完成预算。其中：</v>
      </c>
      <c r="I13" s="123" t="str">
        <f t="shared" si="6"/>
        <v>当月碳钢轧后废品率比上月进步，完成预算；不锈钢轧后废品率比上月进步，完成预算。其中：</v>
      </c>
      <c r="J13" s="123" t="str">
        <f t="shared" si="6"/>
        <v>当月碳钢轧后废品率比上月退步，未完成预算；不锈钢轧后废品率比上月退步，未完成预算。其中：</v>
      </c>
      <c r="K13" s="123" t="str">
        <f t="shared" si="6"/>
        <v>当月碳钢轧后废品率比上月退步，未完成预算；不锈钢轧后废品率比上月退步，未完成预算。其中：</v>
      </c>
      <c r="L13" s="123" t="str">
        <f t="shared" si="6"/>
        <v>当月碳钢轧后废品率比上月进步，未完成预算；不锈钢轧后废品率比上月进步，未完成预算。其中：</v>
      </c>
      <c r="M13" s="123" t="str">
        <f t="shared" si="6"/>
        <v>当月碳钢轧后废品率比上月进步，完成预算；不锈钢轧后废品率比上月进步，未完成预算。其中：</v>
      </c>
      <c r="N13" s="123" t="str">
        <f t="shared" si="6"/>
        <v>当月碳钢轧后废品率比上月退步，未完成预算；不锈钢轧后废品率比上月进步，未完成预算。其中：</v>
      </c>
      <c r="O13" s="123" t="str">
        <f t="shared" si="6"/>
        <v>当月碳钢轧后废品率比上月进步，未完成预算；不锈钢轧后废品率比上月退步，未完成预算。其中：</v>
      </c>
      <c r="P13" s="123" t="str">
        <f t="shared" si="6"/>
        <v>当月碳钢轧后废品率比上月进步，未完成预算；不锈钢轧后废品率比上月退步，未完成预算。其中：</v>
      </c>
    </row>
    <row r="14" spans="1:22" ht="178.5">
      <c r="E14" s="124" t="str">
        <f t="shared" ref="E14:P14" si="7">"碳  钢轧后废品率当月"&amp;ABS(ROUND(E3,3))&amp;"%，比上月"&amp;IF(E6&gt;=0,"↑","↓")&amp;ABS(ROUND(E6,3))&amp;"个百分点，比上年"&amp;IF(E7&gt;=0,"↑","↓")&amp;ABS(ROUND(E7,3))&amp;"个百分点，比预算"&amp;IF(E8&gt;=0,"↑","↓")&amp;ABS(ROUND(E8,3))&amp;"个百分点;累计"&amp;ABS(ROUND($T$3,3))&amp;"%，比上年"&amp;IF($U$3&gt;=0,"↑","↓")&amp;ABS(ROUND($U$3,3))&amp;"个百分点，比预算"&amp;IF($V$3&gt;=0,"↑","↓")&amp;ABS(ROUND($V$3,3))&amp;"个百分点。"</f>
        <v>碳  钢轧后废品率当月0.156%，比上月↓0.015个百分点，比上年↓0.039个百分点，比预算↑0.004个百分点;累计0.159%，比上年↓0.036个百分点，比预算↑0.007个百分点。</v>
      </c>
      <c r="F14" s="124" t="str">
        <f t="shared" si="7"/>
        <v>碳  钢轧后废品率当月0.173%，比上月↑0.017个百分点，比上年↓0.022个百分点，比预算↑0.021个百分点;累计0.159%，比上年↓0.036个百分点，比预算↑0.007个百分点。</v>
      </c>
      <c r="G14" s="124" t="str">
        <f t="shared" si="7"/>
        <v>碳  钢轧后废品率当月0.161%，比上月↓0.012个百分点，比上年↓0.034个百分点，比预算↑0.009个百分点;累计0.159%，比上年↓0.036个百分点，比预算↑0.007个百分点。</v>
      </c>
      <c r="H14" s="124" t="str">
        <f t="shared" si="7"/>
        <v>碳  钢轧后废品率当月0.14%，比上月↓0.021个百分点，比上年↓0.055个百分点，比预算↓0.012个百分点;累计0.159%，比上年↓0.036个百分点，比预算↑0.007个百分点。</v>
      </c>
      <c r="I14" s="124" t="str">
        <f t="shared" si="7"/>
        <v>碳  钢轧后废品率当月0.137%，比上月↓0.004个百分点，比上年↓0.058个百分点，比预算↓0.015个百分点;累计0.159%，比上年↓0.036个百分点，比预算↑0.007个百分点。</v>
      </c>
      <c r="J14" s="124" t="str">
        <f t="shared" si="7"/>
        <v>碳  钢轧后废品率当月0.167%，比上月↑0.03个百分点，比上年↓0.028个百分点，比预算↑0.015个百分点;累计0.159%，比上年↓0.036个百分点，比预算↑0.007个百分点。</v>
      </c>
      <c r="K14" s="124" t="str">
        <f>"碳钢轧后废品率当月"&amp;ABS(ROUND(K3,3))&amp;"%，比上月"&amp;IF(K6&gt;=0,"↑","↓")&amp;ABS(ROUND(K6,3))&amp;"个百分点，比上年"&amp;IF(K7&gt;=0,"↑","↓")&amp;ABS(ROUND(K7,3))&amp;"个百分点，比预算"&amp;IF(K8&gt;=0,"↑","↓")&amp;ABS(ROUND(K8,3))&amp;"个百分点;累计"&amp;ABS(ROUND($T$3,3))&amp;"%，比上年"&amp;IF($U$3&gt;=0,"↑","↓")&amp;ABS(ROUND($U$3,3))&amp;"个百分点，比预算"&amp;IF($V$3&gt;=0,"↑","↓")&amp;ABS(ROUND($V$3,3))&amp;"个百分点。"</f>
        <v>碳钢轧后废品率当月0.177%，比上月↑0.01个百分点，比上年↓0.018个百分点，比预算↑0.025个百分点;累计0.159%，比上年↓0.036个百分点，比预算↑0.007个百分点。</v>
      </c>
      <c r="L14" s="124" t="str">
        <f t="shared" si="7"/>
        <v>碳  钢轧后废品率当月0.176%，比上月↓0.001个百分点，比上年↓0.019个百分点，比预算↑0.024个百分点;累计0.159%，比上年↓0.036个百分点，比预算↑0.007个百分点。</v>
      </c>
      <c r="M14" s="124" t="str">
        <f t="shared" si="7"/>
        <v>碳  钢轧后废品率当月0.145%，比上月↓0.031个百分点，比上年↓0.05个百分点，比预算↓0.007个百分点;累计0.159%，比上年↓0.036个百分点，比预算↑0.007个百分点。</v>
      </c>
      <c r="N14" s="124" t="str">
        <f t="shared" si="7"/>
        <v>碳  钢轧后废品率当月0.171%，比上月↑0.026个百分点，比上年↓0.024个百分点，比预算↑0.019个百分点;累计0.159%，比上年↓0.036个百分点，比预算↑0.007个百分点。</v>
      </c>
      <c r="O14" s="124" t="str">
        <f t="shared" si="7"/>
        <v>碳  钢轧后废品率当月0.164%，比上月↓0.007个百分点，比上年↓0.031个百分点，比预算↑0.012个百分点;累计0.159%，比上年↓0.036个百分点，比预算↑0.007个百分点。</v>
      </c>
      <c r="P14" s="124" t="str">
        <f t="shared" si="7"/>
        <v>碳  钢轧后废品率当月0.163%，比上月↓0个百分点，比上年↓0.032个百分点，比预算↑0.011个百分点;累计0.159%，比上年↓0.036个百分点，比预算↑0.007个百分点。</v>
      </c>
    </row>
    <row r="15" spans="1:22" ht="178.5">
      <c r="E15" s="124" t="str">
        <f t="shared" ref="E15:P15" si="8">"不锈钢轧后废品率当月"&amp;ABS(ROUND(E4,3))&amp;"%，比上月"&amp;IF(E9&gt;=0,"↑","↓")&amp;ABS(ROUND(E9,3))&amp;"个百分点，比上年"&amp;IF(E10&gt;=0,"↑","↓")&amp;ABS(ROUND(E10,3))&amp;"个百分点，比预算"&amp;IF(E11&gt;=0,"↑","↓")&amp;ABS(ROUND(E11,3))&amp;"个百分点;累计"&amp;ABS(ROUND($T$4,3))&amp;"%，比上年"&amp;IF($U$4&gt;=0,"↑","↓")&amp;ABS(ROUND($U$4,3))&amp;"个百分点，比预算"&amp;IF($V$4&gt;=0,"↑","↓")&amp;ABS(ROUND($V$4,3))&amp;"个百分点。"</f>
        <v>不锈钢轧后废品率当月0.579%，比上月↓0.23个百分点，比上年↑0.011个百分点，比预算↑0.237个百分点;累计0.482%，比上年↓0.086个百分点，比预算↑0.14个百分点。</v>
      </c>
      <c r="F15" s="124" t="str">
        <f t="shared" si="8"/>
        <v>不锈钢轧后废品率当月0.447%，比上月↓0.131个百分点，比上年↓0.121个百分点，比预算↑0.105个百分点;累计0.482%，比上年↓0.086个百分点，比预算↑0.14个百分点。</v>
      </c>
      <c r="G15" s="124" t="str">
        <f t="shared" si="8"/>
        <v>不锈钢轧后废品率当月0.545%，比上月↑0.098个百分点，比上年↓0.023个百分点，比预算↑0.203个百分点;累计0.482%，比上年↓0.086个百分点，比预算↑0.14个百分点。</v>
      </c>
      <c r="H15" s="124" t="str">
        <f t="shared" si="8"/>
        <v>不锈钢轧后废品率当月0.551%，比上月↑0.006个百分点，比上年↓0.017个百分点，比预算↑0.209个百分点;累计0.482%，比上年↓0.086个百分点，比预算↑0.14个百分点。</v>
      </c>
      <c r="I15" s="124" t="str">
        <f t="shared" si="8"/>
        <v>不锈钢轧后废品率当月0.303%，比上月↓0.248个百分点，比上年↓0.265个百分点，比预算↓0.039个百分点;累计0.482%，比上年↓0.086个百分点，比预算↑0.14个百分点。</v>
      </c>
      <c r="J15" s="124" t="str">
        <f t="shared" si="8"/>
        <v>不锈钢轧后废品率当月0.456%，比上月↑0.153个百分点，比上年↓0.112个百分点，比预算↑0.114个百分点;累计0.482%，比上年↓0.086个百分点，比预算↑0.14个百分点。</v>
      </c>
      <c r="K15" s="124" t="str">
        <f t="shared" si="8"/>
        <v>不锈钢轧后废品率当月0.658%，比上月↑0.202个百分点，比上年↑0.09个百分点，比预算↑0.316个百分点;累计0.482%，比上年↓0.086个百分点，比预算↑0.14个百分点。</v>
      </c>
      <c r="L15" s="124" t="str">
        <f t="shared" si="8"/>
        <v>不锈钢轧后废品率当月0.62%，比上月↓0.038个百分点，比上年↑0.052个百分点，比预算↑0.278个百分点;累计0.482%，比上年↓0.086个百分点，比预算↑0.14个百分点。</v>
      </c>
      <c r="M15" s="124" t="str">
        <f t="shared" si="8"/>
        <v>不锈钢轧后废品率当月0.479%，比上月↓0.141个百分点，比上年↓0.089个百分点，比预算↑0.137个百分点;累计0.482%，比上年↓0.086个百分点，比预算↑0.14个百分点。</v>
      </c>
      <c r="N15" s="124" t="str">
        <f t="shared" si="8"/>
        <v>不锈钢轧后废品率当月0.36%，比上月↓0.119个百分点，比上年↓0.208个百分点，比预算↑0.018个百分点;累计0.482%，比上年↓0.086个百分点，比预算↑0.14个百分点。</v>
      </c>
      <c r="O15" s="124" t="str">
        <f t="shared" si="8"/>
        <v>不锈钢轧后废品率当月0.392%，比上月↑0.032个百分点，比上年↓0.176个百分点，比预算↑0.05个百分点;累计0.482%，比上年↓0.086个百分点，比预算↑0.14个百分点。</v>
      </c>
      <c r="P15" s="124" t="str">
        <f t="shared" si="8"/>
        <v>不锈钢轧后废品率当月0.457%，比上月↑0.065个百分点，比上年↓0.111个百分点，比预算↑0.115个百分点;累计0.482%，比上年↓0.086个百分点，比预算↑0.14个百分点。</v>
      </c>
    </row>
    <row r="18" spans="3:17">
      <c r="D18" s="116" t="s">
        <v>482</v>
      </c>
      <c r="E18" s="117" t="s">
        <v>422</v>
      </c>
      <c r="F18" s="117" t="s">
        <v>423</v>
      </c>
      <c r="G18" s="117" t="s">
        <v>424</v>
      </c>
      <c r="H18" s="117" t="s">
        <v>425</v>
      </c>
      <c r="I18" s="117" t="s">
        <v>426</v>
      </c>
      <c r="J18" s="117" t="s">
        <v>427</v>
      </c>
      <c r="K18" s="117" t="s">
        <v>428</v>
      </c>
      <c r="L18" s="117" t="s">
        <v>429</v>
      </c>
      <c r="M18" s="117" t="s">
        <v>430</v>
      </c>
      <c r="N18" s="117" t="s">
        <v>431</v>
      </c>
      <c r="O18" s="117" t="s">
        <v>432</v>
      </c>
      <c r="P18" s="117" t="s">
        <v>421</v>
      </c>
      <c r="Q18" s="116" t="s">
        <v>1008</v>
      </c>
    </row>
    <row r="19" spans="3:17">
      <c r="C19" s="116" t="s">
        <v>52</v>
      </c>
      <c r="D19" s="125">
        <v>0.18359495392730901</v>
      </c>
      <c r="E19" s="126">
        <f>E3</f>
        <v>0.15609940416482401</v>
      </c>
      <c r="F19" s="126">
        <f t="shared" ref="F19:P19" si="9">F3</f>
        <v>0.17302516964999601</v>
      </c>
      <c r="G19" s="126">
        <f t="shared" si="9"/>
        <v>0.160744781728383</v>
      </c>
      <c r="H19" s="126">
        <f t="shared" si="9"/>
        <v>0.14004574680976201</v>
      </c>
      <c r="I19" s="126">
        <f t="shared" si="9"/>
        <v>0.13650922572916799</v>
      </c>
      <c r="J19" s="126">
        <f t="shared" si="9"/>
        <v>0.166517538064889</v>
      </c>
      <c r="K19" s="126">
        <f t="shared" si="9"/>
        <v>0.17699999999999999</v>
      </c>
      <c r="L19" s="126">
        <f t="shared" si="9"/>
        <v>0.17578450466291101</v>
      </c>
      <c r="M19" s="126">
        <f t="shared" si="9"/>
        <v>0.14471424341293371</v>
      </c>
      <c r="N19" s="126">
        <f t="shared" si="9"/>
        <v>0.17067139708649143</v>
      </c>
      <c r="O19" s="126">
        <f t="shared" si="9"/>
        <v>0.16379432891945209</v>
      </c>
      <c r="P19" s="126">
        <f t="shared" si="9"/>
        <v>0.16333834987082074</v>
      </c>
      <c r="Q19" s="132">
        <f>AVERAGE(E19:P19)</f>
        <v>0.16068705750830259</v>
      </c>
    </row>
    <row r="20" spans="3:17">
      <c r="D20" s="116">
        <v>0.152</v>
      </c>
      <c r="E20" s="116">
        <v>0.152</v>
      </c>
      <c r="F20" s="116">
        <v>0.152</v>
      </c>
      <c r="G20" s="116">
        <v>0.152</v>
      </c>
      <c r="H20" s="116">
        <v>0.152</v>
      </c>
      <c r="I20" s="116">
        <v>0.152</v>
      </c>
      <c r="J20" s="116">
        <v>0.152</v>
      </c>
      <c r="K20" s="116">
        <v>0.152</v>
      </c>
      <c r="L20" s="116">
        <v>0.152</v>
      </c>
      <c r="M20" s="116">
        <v>0.152</v>
      </c>
      <c r="N20" s="116">
        <v>0.152</v>
      </c>
      <c r="O20" s="116">
        <v>0.152</v>
      </c>
      <c r="P20" s="116">
        <v>0.152</v>
      </c>
      <c r="Q20" s="132">
        <f>AVERAGE(E20:P20)</f>
        <v>0.15199999999999997</v>
      </c>
    </row>
    <row r="23" spans="3:17">
      <c r="C23" s="116" t="s">
        <v>51</v>
      </c>
      <c r="D23" s="116" t="s">
        <v>482</v>
      </c>
      <c r="E23" s="117" t="s">
        <v>422</v>
      </c>
      <c r="F23" s="117" t="s">
        <v>423</v>
      </c>
      <c r="G23" s="117" t="s">
        <v>424</v>
      </c>
      <c r="H23" s="117" t="s">
        <v>425</v>
      </c>
      <c r="I23" s="117" t="s">
        <v>426</v>
      </c>
      <c r="J23" s="117" t="s">
        <v>427</v>
      </c>
      <c r="K23" s="117" t="s">
        <v>428</v>
      </c>
      <c r="L23" s="117" t="s">
        <v>429</v>
      </c>
      <c r="M23" s="117" t="s">
        <v>430</v>
      </c>
      <c r="N23" s="117" t="s">
        <v>431</v>
      </c>
      <c r="O23" s="117" t="s">
        <v>432</v>
      </c>
      <c r="P23" s="117" t="s">
        <v>421</v>
      </c>
      <c r="Q23" s="116" t="s">
        <v>1008</v>
      </c>
    </row>
    <row r="24" spans="3:17">
      <c r="D24" s="125">
        <v>0.47543060923687103</v>
      </c>
      <c r="E24" s="126">
        <f>E4</f>
        <v>0.578641252580538</v>
      </c>
      <c r="F24" s="126">
        <f t="shared" ref="F24:P24" si="10">F4</f>
        <v>0.44726366560540998</v>
      </c>
      <c r="G24" s="126">
        <f t="shared" si="10"/>
        <v>0.54494834304072004</v>
      </c>
      <c r="H24" s="126">
        <f t="shared" si="10"/>
        <v>0.55090174758176902</v>
      </c>
      <c r="I24" s="126">
        <f t="shared" si="10"/>
        <v>0.30265343358945201</v>
      </c>
      <c r="J24" s="126">
        <f t="shared" si="10"/>
        <v>0.45580243542013199</v>
      </c>
      <c r="K24" s="126">
        <f t="shared" si="10"/>
        <v>0.65814335755391928</v>
      </c>
      <c r="L24" s="126">
        <f t="shared" si="10"/>
        <v>0.61980971887986624</v>
      </c>
      <c r="M24" s="126">
        <f t="shared" si="10"/>
        <v>0.4790191913315629</v>
      </c>
      <c r="N24" s="126">
        <f t="shared" si="10"/>
        <v>0.36026893071180971</v>
      </c>
      <c r="O24" s="126">
        <f t="shared" si="10"/>
        <v>0.39226228117828194</v>
      </c>
      <c r="P24" s="126">
        <f t="shared" si="10"/>
        <v>0.45687535749470004</v>
      </c>
      <c r="Q24" s="132">
        <f>AVERAGE(E24:P24)</f>
        <v>0.48721580958068006</v>
      </c>
    </row>
    <row r="25" spans="3:17">
      <c r="D25" s="116">
        <v>0.35</v>
      </c>
      <c r="E25" s="116">
        <v>0.35</v>
      </c>
      <c r="F25" s="116">
        <v>0.35</v>
      </c>
      <c r="G25" s="116">
        <v>0.35</v>
      </c>
      <c r="H25" s="116">
        <v>0.35</v>
      </c>
      <c r="I25" s="116">
        <v>0.35</v>
      </c>
      <c r="J25" s="116">
        <v>0.35</v>
      </c>
      <c r="K25" s="116">
        <v>0.35</v>
      </c>
      <c r="L25" s="116">
        <v>0.35</v>
      </c>
      <c r="M25" s="116">
        <v>0.35</v>
      </c>
      <c r="N25" s="116">
        <v>0.35</v>
      </c>
      <c r="O25" s="116">
        <v>0.35</v>
      </c>
      <c r="P25" s="116">
        <v>0.35</v>
      </c>
      <c r="Q25" s="132">
        <f>AVERAGE(E25:P25)</f>
        <v>0.35000000000000003</v>
      </c>
    </row>
  </sheetData>
  <customSheetViews>
    <customSheetView guid="{1683F931-F47D-47C0-A395-D48080DC7EE6}" showPageBreaks="1" topLeftCell="A4">
      <selection activeCell="H13" sqref="H13"/>
      <pageMargins left="0.69930555555555596" right="0.69930555555555596" top="0.75" bottom="0.75" header="0.3" footer="0.3"/>
      <pageSetup paperSize="9" orientation="portrait" r:id="rId1"/>
    </customSheetView>
    <customSheetView guid="{43897816-D2F0-4C3D-8F57-E0039BD2296B}">
      <selection activeCell="I13" sqref="I13"/>
      <pageMargins left="0.69930555555555596" right="0.69930555555555596" top="0.75" bottom="0.75" header="0.3" footer="0.3"/>
      <pageSetup paperSize="9" orientation="portrait"/>
    </customSheetView>
    <customSheetView guid="{849C46E5-4ED4-41B9-BDA9-A6465B9DA9C2}" topLeftCell="A19">
      <selection activeCell="K14" sqref="K14"/>
      <pageMargins left="0.69930555555555596" right="0.69930555555555596" top="0.75" bottom="0.75" header="0.3" footer="0.3"/>
      <pageSetup paperSize="9" orientation="portrait"/>
    </customSheetView>
    <customSheetView guid="{8C09BCDE-4B8A-4469-B3F2-7F4528A2E78D}" topLeftCell="A19">
      <selection activeCell="K14" sqref="K14"/>
      <pageMargins left="0.69930555555555596" right="0.69930555555555596" top="0.75" bottom="0.75" header="0.3" footer="0.3"/>
      <pageSetup paperSize="9" orientation="portrait"/>
    </customSheetView>
    <customSheetView guid="{F4EB51F4-FD23-4D5B-8072-1AF5D59D6686}">
      <selection activeCell="M13" sqref="M13"/>
      <pageMargins left="0.69930555555555596" right="0.69930555555555596" top="0.75" bottom="0.75" header="0.3" footer="0.3"/>
      <pageSetup paperSize="9" orientation="portrait"/>
    </customSheetView>
    <customSheetView guid="{D7BCFB76-2797-401D-A6F1-E020B5162DD4}" topLeftCell="A13">
      <selection activeCell="H14" sqref="H14"/>
      <pageMargins left="0.69930555555555596" right="0.69930555555555596" top="0.75" bottom="0.75" header="0.3" footer="0.3"/>
      <pageSetup paperSize="9" orientation="portrait"/>
    </customSheetView>
    <customSheetView guid="{C9A88430-3808-49F4-8D86-BF8C70C55441}" topLeftCell="A4">
      <selection activeCell="H13" sqref="H13"/>
      <pageMargins left="0.69930555555555596" right="0.69930555555555596" top="0.75" bottom="0.75" header="0.3" footer="0.3"/>
      <pageSetup paperSize="9" orientation="portrait"/>
    </customSheetView>
    <customSheetView guid="{E61FFED3-723E-484A-93A0-94E1A801AF06}" topLeftCell="A4">
      <selection activeCell="I14" sqref="I14"/>
      <pageMargins left="0.69930555555555596" right="0.69930555555555596" top="0.75" bottom="0.75" header="0.3" footer="0.3"/>
      <pageSetup paperSize="9" orientation="portrait"/>
    </customSheetView>
    <customSheetView guid="{6B5CCA07-2BDD-4B8E-9E3C-2111BBA97430}" topLeftCell="A16">
      <selection activeCell="Q4" sqref="Q4"/>
      <pageMargins left="0.69930555555555596" right="0.69930555555555596" top="0.75" bottom="0.75" header="0.3" footer="0.3"/>
      <pageSetup paperSize="9" orientation="portrait" r:id="rId2"/>
    </customSheetView>
    <customSheetView guid="{2F47A827-9643-4D8A-AC5D-6B09D79AACF9}">
      <selection activeCell="I13" sqref="I13"/>
      <pageMargins left="0.69930555555555596" right="0.69930555555555596" top="0.75" bottom="0.75" header="0.3" footer="0.3"/>
      <pageSetup paperSize="9" orientation="portrait"/>
    </customSheetView>
    <customSheetView guid="{B37168A1-DBAB-4BDE-9F92-6261DCDF3D92}">
      <selection activeCell="T6" sqref="T6"/>
      <pageMargins left="0.69930555555555596" right="0.69930555555555596" top="0.75" bottom="0.75" header="0.3" footer="0.3"/>
      <pageSetup paperSize="9" orientation="portrait"/>
    </customSheetView>
    <customSheetView guid="{AE0DD889-C13C-4059-8024-0F5B234827E9}">
      <selection activeCell="M15" sqref="M15"/>
      <pageMargins left="0.69930555555555596" right="0.69930555555555596" top="0.75" bottom="0.75" header="0.3" footer="0.3"/>
      <pageSetup paperSize="9" orientation="portrait"/>
    </customSheetView>
    <customSheetView guid="{CCBBD9B0-4191-4D7A-9F7B-BAC044A49153}">
      <selection activeCell="P14" sqref="P14"/>
      <pageMargins left="0.69930555555555596" right="0.69930555555555596" top="0.75" bottom="0.75" header="0.3" footer="0.3"/>
      <pageSetup paperSize="9" orientation="portrait"/>
    </customSheetView>
    <customSheetView guid="{F5F9735B-EE22-4AC6-B5AB-C856ED6C133D}" topLeftCell="A4">
      <selection activeCell="R14" sqref="R14"/>
      <pageMargins left="0.69930555555555596" right="0.69930555555555596" top="0.75" bottom="0.75" header="0.3" footer="0.3"/>
      <pageSetup paperSize="9" orientation="portrait"/>
    </customSheetView>
    <customSheetView guid="{45B4C0D1-53B6-4553-BFF9-393760B8E0CE}" topLeftCell="A4">
      <selection activeCell="H13" sqref="H13"/>
      <pageMargins left="0.69930555555555596" right="0.69930555555555596" top="0.75" bottom="0.75" header="0.3" footer="0.3"/>
      <pageSetup paperSize="9" orientation="portrait"/>
    </customSheetView>
    <customSheetView guid="{1BBD1596-143E-4714-99EF-E3545231CCD1}" topLeftCell="A4">
      <selection activeCell="I14" sqref="I14"/>
      <pageMargins left="0.69930555555555596" right="0.69930555555555596" top="0.75" bottom="0.75" header="0.3" footer="0.3"/>
      <pageSetup paperSize="9" orientation="portrait"/>
    </customSheetView>
    <customSheetView guid="{A8456D60-99BA-4794-8966-0CBA0A37EA6F}" topLeftCell="A4">
      <selection activeCell="I14" sqref="I14"/>
      <pageMargins left="0.69930555555555596" right="0.69930555555555596" top="0.75" bottom="0.75" header="0.3" footer="0.3"/>
      <pageSetup paperSize="9" orientation="portrait"/>
    </customSheetView>
    <customSheetView guid="{500C3980-ED13-4C97-96B1-955D50509B66}">
      <selection activeCell="E14" sqref="E14:E15"/>
      <pageMargins left="0.69930555555555596" right="0.69930555555555596" top="0.75" bottom="0.75" header="0.3" footer="0.3"/>
      <pageSetup paperSize="9" orientation="portrait"/>
    </customSheetView>
    <customSheetView guid="{3B943BAF-34C7-494A-A071-85DE0891E5A1}">
      <selection activeCell="P14" sqref="P14"/>
      <pageMargins left="0.69930555555555596" right="0.69930555555555596" top="0.75" bottom="0.75" header="0.3" footer="0.3"/>
      <pageSetup paperSize="9" orientation="portrait"/>
    </customSheetView>
    <customSheetView guid="{EEE4B3DA-ADF6-49CC-9873-068FE5927B92}">
      <selection activeCell="I13" sqref="I13"/>
      <pageMargins left="0.69930555555555596" right="0.69930555555555596" top="0.75" bottom="0.75" header="0.3" footer="0.3"/>
      <pageSetup paperSize="9" orientation="portrait"/>
    </customSheetView>
    <customSheetView guid="{C52D0F53-4D1D-4D01-B833-260359FD02A5}">
      <selection activeCell="P14" sqref="P14"/>
      <pageMargins left="0.69930555555555596" right="0.69930555555555596" top="0.75" bottom="0.75" header="0.3" footer="0.3"/>
      <pageSetup paperSize="9" orientation="portrait"/>
    </customSheetView>
    <customSheetView guid="{6A1E79C9-91E3-4EEA-8ABB-4446083299EC}" topLeftCell="A4">
      <selection activeCell="H13" sqref="H13"/>
      <pageMargins left="0.69930555555555596" right="0.69930555555555596" top="0.75" bottom="0.75" header="0.3" footer="0.3"/>
      <pageSetup paperSize="9" orientation="portrait"/>
    </customSheetView>
    <customSheetView guid="{8B80B510-C931-46B1-8591-DEA916D76593}">
      <selection activeCell="P14" sqref="P14"/>
      <pageMargins left="0.69930555555555596" right="0.69930555555555596" top="0.75" bottom="0.75" header="0.3" footer="0.3"/>
      <pageSetup paperSize="9" orientation="portrait"/>
    </customSheetView>
    <customSheetView guid="{303A9D89-611D-4504-BCAA-071C53B021F7}" topLeftCell="A4">
      <selection activeCell="I14" sqref="I14"/>
      <pageMargins left="0.69930555555555596" right="0.69930555555555596" top="0.75" bottom="0.75" header="0.3" footer="0.3"/>
      <pageSetup paperSize="9" orientation="portrait"/>
    </customSheetView>
    <customSheetView guid="{4583A87D-5DFF-47BD-849A-FA4AAF2B9CE3}">
      <selection activeCell="P14" sqref="P14"/>
      <pageMargins left="0.69930555555555596" right="0.69930555555555596" top="0.75" bottom="0.75" header="0.3" footer="0.3"/>
      <pageSetup paperSize="9" orientation="portrait"/>
    </customSheetView>
    <customSheetView guid="{EA856AC2-CDFF-46B6-B0C4-30449DF132F4}">
      <selection activeCell="P14" sqref="P14"/>
      <pageMargins left="0.69930555555555596" right="0.69930555555555596" top="0.75" bottom="0.75" header="0.3" footer="0.3"/>
      <pageSetup paperSize="9" orientation="portrait"/>
    </customSheetView>
    <customSheetView guid="{322A45A6-8B26-49B8-A4D9-EFB3C94A758D}" topLeftCell="A4">
      <selection activeCell="H13" sqref="H13"/>
      <pageMargins left="0.69930555555555596" right="0.69930555555555596" top="0.75" bottom="0.75" header="0.3" footer="0.3"/>
      <pageSetup paperSize="9" orientation="portrait" r:id="rId3"/>
    </customSheetView>
  </customSheetViews>
  <phoneticPr fontId="133" type="noConversion"/>
  <pageMargins left="0.69930555555555596" right="0.69930555555555596" top="0.75" bottom="0.75" header="0.3" footer="0.3"/>
  <pageSetup paperSize="9" orientation="portrait" r:id="rId4"/>
  <drawing r:id="rId5"/>
  <legacyDrawing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762565996276744"/>
    <pageSetUpPr fitToPage="1"/>
  </sheetPr>
  <dimension ref="A1:V147"/>
  <sheetViews>
    <sheetView view="pageBreakPreview" topLeftCell="A13" zoomScale="85" zoomScaleNormal="70" zoomScaleSheetLayoutView="87" workbookViewId="0">
      <selection activeCell="T30" sqref="T30"/>
    </sheetView>
  </sheetViews>
  <sheetFormatPr defaultColWidth="9" defaultRowHeight="15.75"/>
  <cols>
    <col min="1" max="1" width="23.25" style="13" customWidth="1"/>
    <col min="2" max="2" width="6.875" style="13" customWidth="1"/>
    <col min="3" max="3" width="12.5" style="13" customWidth="1"/>
    <col min="4" max="4" width="11.125" style="13" customWidth="1"/>
    <col min="5" max="5" width="12.125" style="13" customWidth="1"/>
    <col min="6" max="6" width="12.75" style="13" customWidth="1"/>
    <col min="7" max="7" width="10.75" style="13" customWidth="1"/>
    <col min="8" max="8" width="13.625" style="13" customWidth="1"/>
    <col min="9" max="9" width="11.125" style="13" customWidth="1"/>
    <col min="10" max="10" width="12.5" style="13" customWidth="1"/>
    <col min="11" max="17" width="11.125" style="13" customWidth="1"/>
    <col min="18" max="20" width="9.625" style="13" customWidth="1"/>
    <col min="21" max="21" width="9.75" style="13" customWidth="1"/>
    <col min="22" max="16384" width="9" style="13"/>
  </cols>
  <sheetData>
    <row r="1" spans="1:22">
      <c r="A1" s="76" t="s">
        <v>0</v>
      </c>
      <c r="B1" s="76">
        <v>2021</v>
      </c>
      <c r="C1" s="77" t="s">
        <v>1019</v>
      </c>
      <c r="D1" s="78">
        <f>DATE(B1,B2,1)</f>
        <v>44409</v>
      </c>
    </row>
    <row r="2" spans="1:22">
      <c r="A2" s="76" t="s">
        <v>1</v>
      </c>
      <c r="B2" s="76">
        <v>8</v>
      </c>
      <c r="C2" s="77">
        <f>DAY(EOMONTH(D1,0))</f>
        <v>31</v>
      </c>
    </row>
    <row r="4" spans="1:22" ht="45" customHeight="1">
      <c r="A4" s="2763" t="s">
        <v>1020</v>
      </c>
      <c r="B4" s="2763"/>
      <c r="C4" s="2763"/>
      <c r="D4" s="2763"/>
      <c r="E4" s="2763"/>
      <c r="F4" s="2763"/>
      <c r="G4" s="2763"/>
      <c r="H4" s="2763"/>
      <c r="I4" s="2763"/>
      <c r="J4" s="2763"/>
      <c r="K4" s="2763"/>
      <c r="L4" s="2763"/>
      <c r="M4" s="2763"/>
      <c r="N4" s="2763"/>
      <c r="O4" s="2763"/>
      <c r="P4" s="2763"/>
      <c r="Q4" s="2763"/>
      <c r="R4" s="2763"/>
      <c r="S4" s="2763"/>
      <c r="T4" s="2763"/>
      <c r="U4" s="2763"/>
      <c r="V4" s="2763"/>
    </row>
    <row r="5" spans="1:22" ht="16.5" thickBot="1">
      <c r="A5" s="15" t="s">
        <v>1021</v>
      </c>
      <c r="B5" s="16"/>
      <c r="C5" s="16"/>
      <c r="D5" s="15"/>
      <c r="F5" s="16"/>
      <c r="G5" s="16"/>
      <c r="H5" s="16"/>
      <c r="I5" s="2767" t="str">
        <f>$B$1&amp;"年"&amp;$B$2&amp;"月"</f>
        <v>2021年8月</v>
      </c>
      <c r="J5" s="2767"/>
      <c r="K5" s="2767"/>
      <c r="L5" s="2767"/>
      <c r="M5" s="85"/>
      <c r="N5" s="44"/>
      <c r="O5" s="44"/>
      <c r="P5" s="44"/>
      <c r="Q5" s="44"/>
    </row>
    <row r="6" spans="1:22" ht="30" customHeight="1">
      <c r="A6" s="2768" t="s">
        <v>1022</v>
      </c>
      <c r="B6" s="2770" t="s">
        <v>1023</v>
      </c>
      <c r="C6" s="2765" t="s">
        <v>1314</v>
      </c>
      <c r="D6" s="2765"/>
      <c r="E6" s="2765"/>
      <c r="F6" s="2765"/>
      <c r="G6" s="2765"/>
      <c r="H6" s="2765" t="s">
        <v>1339</v>
      </c>
      <c r="I6" s="2765"/>
      <c r="J6" s="2765"/>
      <c r="K6" s="2765"/>
      <c r="L6" s="2765"/>
      <c r="M6" s="2765" t="s">
        <v>1233</v>
      </c>
      <c r="N6" s="2765"/>
      <c r="O6" s="2765"/>
      <c r="P6" s="2765"/>
      <c r="Q6" s="2765"/>
      <c r="R6" s="2764" t="s">
        <v>1234</v>
      </c>
      <c r="S6" s="2765"/>
      <c r="T6" s="2765"/>
      <c r="U6" s="2765"/>
      <c r="V6" s="2766"/>
    </row>
    <row r="7" spans="1:22" ht="30" customHeight="1">
      <c r="A7" s="2769"/>
      <c r="B7" s="2690"/>
      <c r="C7" s="2102" t="s">
        <v>1024</v>
      </c>
      <c r="D7" s="2101" t="s">
        <v>1025</v>
      </c>
      <c r="E7" s="2101" t="s">
        <v>1026</v>
      </c>
      <c r="F7" s="2101" t="s">
        <v>1027</v>
      </c>
      <c r="G7" s="2102" t="s">
        <v>1028</v>
      </c>
      <c r="H7" s="2102" t="s">
        <v>1024</v>
      </c>
      <c r="I7" s="2101" t="s">
        <v>1025</v>
      </c>
      <c r="J7" s="2101" t="s">
        <v>1026</v>
      </c>
      <c r="K7" s="2101" t="s">
        <v>1027</v>
      </c>
      <c r="L7" s="2102" t="s">
        <v>1028</v>
      </c>
      <c r="M7" s="2102" t="s">
        <v>1024</v>
      </c>
      <c r="N7" s="2101" t="s">
        <v>1025</v>
      </c>
      <c r="O7" s="2101" t="s">
        <v>1026</v>
      </c>
      <c r="P7" s="2101" t="s">
        <v>1027</v>
      </c>
      <c r="Q7" s="2102" t="s">
        <v>1028</v>
      </c>
      <c r="R7" s="2104" t="s">
        <v>1024</v>
      </c>
      <c r="S7" s="2101" t="s">
        <v>1025</v>
      </c>
      <c r="T7" s="2101" t="s">
        <v>1026</v>
      </c>
      <c r="U7" s="2101" t="s">
        <v>1027</v>
      </c>
      <c r="V7" s="2103" t="s">
        <v>1028</v>
      </c>
    </row>
    <row r="8" spans="1:22" s="14" customFormat="1" ht="33.75" customHeight="1">
      <c r="A8" s="79" t="s">
        <v>365</v>
      </c>
      <c r="B8" s="48"/>
      <c r="C8" s="80"/>
      <c r="D8" s="29"/>
      <c r="E8" s="29"/>
      <c r="F8" s="29"/>
      <c r="G8" s="80"/>
      <c r="H8" s="80"/>
      <c r="I8" s="29"/>
      <c r="J8" s="29"/>
      <c r="K8" s="29"/>
      <c r="L8" s="80"/>
      <c r="M8" s="80"/>
      <c r="N8" s="68"/>
      <c r="O8" s="68"/>
      <c r="P8" s="68"/>
      <c r="Q8" s="2108"/>
      <c r="R8" s="2105"/>
      <c r="S8" s="68"/>
      <c r="T8" s="68"/>
      <c r="U8" s="68"/>
      <c r="V8" s="87"/>
    </row>
    <row r="9" spans="1:22" ht="33.75" customHeight="1">
      <c r="A9" s="79" t="s">
        <v>342</v>
      </c>
      <c r="B9" s="48" t="s">
        <v>1001</v>
      </c>
      <c r="C9" s="29"/>
      <c r="D9" s="30">
        <f>SUMIFS('#产量数据'!138:138,'#产量数据'!$1:$1,$B$1,'#产量数据'!$2:$2,$B$2)</f>
        <v>13870438.32</v>
      </c>
      <c r="E9" s="30">
        <f>SUMIFS('#产量数据'!138:138,'#产量数据'!$1:$1,$B$1,'#产量数据'!$2:$2,"&lt;="&amp;$B$2)</f>
        <v>114180305.40775999</v>
      </c>
      <c r="F9" s="30">
        <f>SUMIFS('#产量数据'!138:138,'#产量数据'!$1:$1,$B$1-1,'#产量数据'!$2:$2,"&lt;="&amp;$B$2)</f>
        <v>95607353.82407999</v>
      </c>
      <c r="G9" s="26">
        <f t="shared" ref="G9:G30" si="0">IFERROR((E9-F9)/F9*100,"")</f>
        <v>19.426279298404928</v>
      </c>
      <c r="H9" s="48"/>
      <c r="I9" s="30">
        <f>D9</f>
        <v>13870438.32</v>
      </c>
      <c r="J9" s="30">
        <f t="shared" ref="J9:K9" si="1">E9</f>
        <v>114180305.40775999</v>
      </c>
      <c r="K9" s="30">
        <f t="shared" si="1"/>
        <v>95607353.82407999</v>
      </c>
      <c r="L9" s="26">
        <f t="shared" ref="L9:L30" si="2">IFERROR((J9-K9)/K9*100,"")</f>
        <v>19.426279298404928</v>
      </c>
      <c r="M9" s="48"/>
      <c r="N9" s="30"/>
      <c r="O9" s="30"/>
      <c r="P9" s="30"/>
      <c r="Q9" s="26"/>
      <c r="R9" s="2106"/>
      <c r="S9" s="30"/>
      <c r="T9" s="30"/>
      <c r="U9" s="30"/>
      <c r="V9" s="89" t="str">
        <f>IFERROR((T9-U9)/U9*100,"")</f>
        <v/>
      </c>
    </row>
    <row r="10" spans="1:22" ht="33.75" customHeight="1">
      <c r="A10" s="79" t="s">
        <v>346</v>
      </c>
      <c r="B10" s="48" t="s">
        <v>1001</v>
      </c>
      <c r="C10" s="29"/>
      <c r="D10" s="30">
        <f>SUMIFS('#产量数据'!139:139,'#产量数据'!$1:$1,$B$1,'#产量数据'!$2:$2,$B$2)</f>
        <v>3393685</v>
      </c>
      <c r="E10" s="30">
        <f>SUMIFS('#产量数据'!139:139,'#产量数据'!$1:$1,$B$1,'#产量数据'!$2:$2,"&lt;="&amp;$B$2)</f>
        <v>27418459</v>
      </c>
      <c r="F10" s="30">
        <f>SUMIFS('#产量数据'!139:139,'#产量数据'!$1:$1,$B$1-1,'#产量数据'!$2:$2,"&lt;="&amp;$B$2)</f>
        <v>26369957</v>
      </c>
      <c r="G10" s="26">
        <f t="shared" si="0"/>
        <v>3.9761232830224182</v>
      </c>
      <c r="H10" s="26"/>
      <c r="I10" s="30">
        <f t="shared" ref="I10:I11" si="3">D10</f>
        <v>3393685</v>
      </c>
      <c r="J10" s="30">
        <f t="shared" ref="J10:J11" si="4">E10</f>
        <v>27418459</v>
      </c>
      <c r="K10" s="30">
        <f t="shared" ref="K10:K11" si="5">F10</f>
        <v>26369957</v>
      </c>
      <c r="L10" s="26">
        <f t="shared" si="2"/>
        <v>3.9761232830224182</v>
      </c>
      <c r="M10" s="26"/>
      <c r="N10" s="30"/>
      <c r="O10" s="30"/>
      <c r="P10" s="30"/>
      <c r="Q10" s="26"/>
      <c r="R10" s="2107"/>
      <c r="S10" s="30"/>
      <c r="T10" s="30"/>
      <c r="U10" s="30"/>
      <c r="V10" s="89" t="str">
        <f>IFERROR((T10-U10)/U10*100,"")</f>
        <v/>
      </c>
    </row>
    <row r="11" spans="1:22" ht="33.75" customHeight="1">
      <c r="A11" s="79" t="s">
        <v>13</v>
      </c>
      <c r="B11" s="48" t="s">
        <v>1001</v>
      </c>
      <c r="C11" s="48">
        <v>13950000</v>
      </c>
      <c r="D11" s="30">
        <f>SUMIFS('#产量数据'!140:140,'#产量数据'!$1:$1,$B$1,'#产量数据'!$2:$2,$B$2)</f>
        <v>1126791.83</v>
      </c>
      <c r="E11" s="30">
        <f>SUMIFS('#产量数据'!140:140,'#产量数据'!$1:$1,$B$1,'#产量数据'!$2:$2,"&lt;="&amp;$B$2)</f>
        <v>9436060.9927236978</v>
      </c>
      <c r="F11" s="30">
        <f>SUMIFS('#产量数据'!140:140,'#产量数据'!$1:$1,$B$1-1,'#产量数据'!$2:$2,"&lt;="&amp;$B$2)</f>
        <v>8633939.4432127997</v>
      </c>
      <c r="G11" s="26">
        <f t="shared" si="0"/>
        <v>9.2903309640589544</v>
      </c>
      <c r="H11" s="48">
        <v>13950000</v>
      </c>
      <c r="I11" s="30">
        <f t="shared" si="3"/>
        <v>1126791.83</v>
      </c>
      <c r="J11" s="30">
        <f t="shared" si="4"/>
        <v>9436060.9927236978</v>
      </c>
      <c r="K11" s="30">
        <f t="shared" si="5"/>
        <v>8633939.4432127997</v>
      </c>
      <c r="L11" s="26">
        <f t="shared" si="2"/>
        <v>9.2903309640589544</v>
      </c>
      <c r="M11" s="48"/>
      <c r="N11" s="30"/>
      <c r="O11" s="30"/>
      <c r="P11" s="30"/>
      <c r="Q11" s="26"/>
      <c r="R11" s="2106"/>
      <c r="S11" s="30"/>
      <c r="T11" s="30"/>
      <c r="U11" s="30"/>
      <c r="V11" s="89" t="str">
        <f>IFERROR((T11-U11)/U11*100,"")</f>
        <v/>
      </c>
    </row>
    <row r="12" spans="1:22" ht="33.75" customHeight="1">
      <c r="A12" s="79" t="s">
        <v>353</v>
      </c>
      <c r="B12" s="48" t="s">
        <v>1001</v>
      </c>
      <c r="C12" s="29">
        <v>4700000</v>
      </c>
      <c r="D12" s="30">
        <f>SUMIFS('#产量数据'!141:141,'#产量数据'!$1:$1,$B$1,'#产量数据'!$2:$2,$B$2)</f>
        <v>418852</v>
      </c>
      <c r="E12" s="30">
        <f>SUMIFS('#产量数据'!141:141,'#产量数据'!$1:$1,$B$1,'#产量数据'!$2:$2,"&lt;="&amp;$B$2)</f>
        <v>3063730</v>
      </c>
      <c r="F12" s="30">
        <f>SUMIFS('#产量数据'!141:141,'#产量数据'!$1:$1,$B$1-1,'#产量数据'!$2:$2,"&lt;="&amp;$B$2)</f>
        <v>3187726.08</v>
      </c>
      <c r="G12" s="26">
        <f t="shared" si="0"/>
        <v>-3.8897972061639647</v>
      </c>
      <c r="H12" s="48">
        <v>4700000</v>
      </c>
      <c r="I12" s="30">
        <f t="shared" ref="I12" si="6">D12</f>
        <v>418852</v>
      </c>
      <c r="J12" s="30">
        <f t="shared" ref="J12" si="7">E12</f>
        <v>3063730</v>
      </c>
      <c r="K12" s="30">
        <f t="shared" ref="K12" si="8">F12</f>
        <v>3187726.08</v>
      </c>
      <c r="L12" s="26">
        <f t="shared" ref="L12" si="9">IFERROR((J12-K12)/K12*100,"")</f>
        <v>-3.8897972061639647</v>
      </c>
      <c r="M12" s="48"/>
      <c r="N12" s="30"/>
      <c r="O12" s="86"/>
      <c r="P12" s="30"/>
      <c r="Q12" s="26"/>
      <c r="R12" s="2106"/>
      <c r="S12" s="30"/>
      <c r="T12" s="86"/>
      <c r="U12" s="30"/>
      <c r="V12" s="89" t="str">
        <f>IFERROR((T12-U12)/U12*100,"")</f>
        <v/>
      </c>
    </row>
    <row r="13" spans="1:22" s="14" customFormat="1" ht="33.75" customHeight="1">
      <c r="A13" s="79" t="s">
        <v>370</v>
      </c>
      <c r="B13" s="48" t="s">
        <v>1001</v>
      </c>
      <c r="C13" s="29">
        <v>3220000</v>
      </c>
      <c r="D13" s="81">
        <f>SUMIFS('#产量数据'!142:142,'#产量数据'!$1:$1,$B$1,'#产量数据'!$2:$2,$B$2)</f>
        <v>277150</v>
      </c>
      <c r="E13" s="30">
        <f>SUMIFS('#产量数据'!142:142,'#产量数据'!$1:$1,$B$1,'#产量数据'!$2:$2,"&lt;="&amp;$B$2)-1</f>
        <v>2129691</v>
      </c>
      <c r="F13" s="30">
        <f>K13</f>
        <v>2031892</v>
      </c>
      <c r="G13" s="26">
        <f t="shared" si="0"/>
        <v>4.8131987330035253</v>
      </c>
      <c r="H13" s="29">
        <f>C13</f>
        <v>3220000</v>
      </c>
      <c r="I13" s="81">
        <f t="shared" ref="I13" si="10">D13</f>
        <v>277150</v>
      </c>
      <c r="J13" s="30">
        <f t="shared" ref="J13" si="11">E13</f>
        <v>2129691</v>
      </c>
      <c r="K13" s="30">
        <f>'@产量打印#钢'!J7</f>
        <v>2031892</v>
      </c>
      <c r="L13" s="26">
        <f t="shared" si="2"/>
        <v>4.8131987330035253</v>
      </c>
      <c r="M13" s="26"/>
      <c r="N13" s="68"/>
      <c r="O13" s="68"/>
      <c r="P13" s="69"/>
      <c r="Q13" s="58"/>
      <c r="R13" s="2107"/>
      <c r="S13" s="68"/>
      <c r="T13" s="68"/>
      <c r="U13" s="69"/>
      <c r="V13" s="88"/>
    </row>
    <row r="14" spans="1:22" s="14" customFormat="1" ht="33.75" customHeight="1">
      <c r="A14" s="79" t="s">
        <v>371</v>
      </c>
      <c r="B14" s="48" t="s">
        <v>1001</v>
      </c>
      <c r="C14" s="81">
        <f>H14+M14</f>
        <v>15889000</v>
      </c>
      <c r="D14" s="81">
        <f>I14+N14</f>
        <v>1356529</v>
      </c>
      <c r="E14" s="81">
        <f>J14+O14</f>
        <v>10315030</v>
      </c>
      <c r="F14" s="81">
        <f>K14+P14</f>
        <v>6369230</v>
      </c>
      <c r="G14" s="26">
        <f t="shared" si="0"/>
        <v>61.950973665576527</v>
      </c>
      <c r="H14" s="29">
        <v>11000000</v>
      </c>
      <c r="I14" s="81">
        <f>SUMIFS('#产量数据'!143:143,'#产量数据'!$1:$1,$B$1,'#产量数据'!$2:$2,$B$2)</f>
        <v>1031862</v>
      </c>
      <c r="J14" s="30">
        <f>SUMIFS('#产量数据'!143:143,'#产量数据'!$1:$1,$B$1,'#产量数据'!$2:$2,"&lt;="&amp;$B$2)</f>
        <v>7855804</v>
      </c>
      <c r="K14" s="30">
        <f>'@产量打印#钢'!J8</f>
        <v>6369230</v>
      </c>
      <c r="L14" s="26">
        <f t="shared" si="2"/>
        <v>23.33993277052328</v>
      </c>
      <c r="M14" s="48">
        <v>4889000</v>
      </c>
      <c r="N14" s="29">
        <f>SUMIFS('#产量数据'!191:191,'#产量数据'!$1:$1,$B$1,'#产量数据'!$2:$2,$B$2)</f>
        <v>324667</v>
      </c>
      <c r="O14" s="30">
        <f>SUMIFS('#产量数据'!191:191,'#产量数据'!$1:$1,$B$1,'#产量数据'!$2:$2,"&lt;="&amp;$B$2)</f>
        <v>2459226</v>
      </c>
      <c r="P14" s="69"/>
      <c r="Q14" s="26" t="str">
        <f t="shared" ref="Q14:Q30" si="12">IFERROR((O14-P14)/P14*100,"")</f>
        <v/>
      </c>
      <c r="R14" s="2107"/>
      <c r="S14" s="68"/>
      <c r="T14" s="69"/>
      <c r="U14" s="69"/>
      <c r="V14" s="89" t="str">
        <f t="shared" ref="V14:V30" si="13">IFERROR((T14-U14)/U14*100,"")</f>
        <v/>
      </c>
    </row>
    <row r="15" spans="1:22" s="14" customFormat="1" ht="33.75" customHeight="1">
      <c r="A15" s="79" t="s">
        <v>372</v>
      </c>
      <c r="B15" s="48" t="s">
        <v>1001</v>
      </c>
      <c r="C15" s="81">
        <f t="shared" ref="C15:C23" si="14">H15+M15</f>
        <v>11492500</v>
      </c>
      <c r="D15" s="30">
        <f t="shared" ref="D15" si="15">SUM(D16:D18)</f>
        <v>910113</v>
      </c>
      <c r="E15" s="30">
        <f t="shared" ref="E15" si="16">SUM(E16:E18)</f>
        <v>7258920</v>
      </c>
      <c r="F15" s="30">
        <f t="shared" ref="F15" si="17">SUM(F16:F18)</f>
        <v>5942551</v>
      </c>
      <c r="G15" s="26">
        <f t="shared" si="0"/>
        <v>22.151581029763143</v>
      </c>
      <c r="H15" s="29">
        <v>9000000</v>
      </c>
      <c r="I15" s="30">
        <f t="shared" ref="I15:J15" si="18">SUM(I16:I18)</f>
        <v>784915</v>
      </c>
      <c r="J15" s="30">
        <f t="shared" si="18"/>
        <v>6268095</v>
      </c>
      <c r="K15" s="30">
        <f>SUM(K16:K18)</f>
        <v>5061751</v>
      </c>
      <c r="L15" s="26">
        <f t="shared" si="2"/>
        <v>23.832543323446767</v>
      </c>
      <c r="M15" s="48">
        <v>2492500</v>
      </c>
      <c r="N15" s="29">
        <f>SUMIFS('#产量数据'!192:192,'#产量数据'!$1:$1,$B$1,'#产量数据'!$2:$2,$B$2)</f>
        <v>125198</v>
      </c>
      <c r="O15" s="30">
        <f>SUMIFS('#产量数据'!192:192,'#产量数据'!$1:$1,$B$1,'#产量数据'!$2:$2,"&lt;="&amp;$B$2)-1</f>
        <v>990825</v>
      </c>
      <c r="P15" s="30">
        <f>SUMIFS('#产量数据'!192:192,'#产量数据'!$1:$1,$B$1-1,'#产量数据'!$2:$2,"&lt;="&amp;$B$2)</f>
        <v>880800</v>
      </c>
      <c r="Q15" s="26">
        <f t="shared" si="12"/>
        <v>12.491485013623977</v>
      </c>
      <c r="R15" s="2107"/>
      <c r="S15" s="68"/>
      <c r="T15" s="69"/>
      <c r="U15" s="69"/>
      <c r="V15" s="89" t="str">
        <f t="shared" si="13"/>
        <v/>
      </c>
    </row>
    <row r="16" spans="1:22" ht="33.75" customHeight="1">
      <c r="A16" s="79" t="s">
        <v>373</v>
      </c>
      <c r="B16" s="48" t="s">
        <v>1001</v>
      </c>
      <c r="C16" s="81">
        <f t="shared" si="14"/>
        <v>11492500</v>
      </c>
      <c r="D16" s="81">
        <f>I16+N16</f>
        <v>907655</v>
      </c>
      <c r="E16" s="81">
        <f>J16+O16</f>
        <v>7224874</v>
      </c>
      <c r="F16" s="81">
        <f>K16+P16</f>
        <v>5919277</v>
      </c>
      <c r="G16" s="26">
        <f t="shared" si="0"/>
        <v>22.056697127030887</v>
      </c>
      <c r="H16" s="29">
        <v>9000000</v>
      </c>
      <c r="I16" s="82">
        <f>SUMIFS('#产量数据'!145:145,'#产量数据'!$1:$1,$B$1,'#产量数据'!$2:$2,$B$2)</f>
        <v>782457</v>
      </c>
      <c r="J16" s="30">
        <f>SUMIFS('#产量数据'!145:145,'#产量数据'!$1:$1,$B$1,'#产量数据'!$2:$2,"&lt;="&amp;$B$2)</f>
        <v>6234049</v>
      </c>
      <c r="K16" s="30">
        <f>SUMIFS('#产量数据'!145:145,'#产量数据'!$1:$1,$B$1-1,'#产量数据'!$2:$2,"&lt;="&amp;$B$2)-2</f>
        <v>5038477</v>
      </c>
      <c r="L16" s="26">
        <f t="shared" si="2"/>
        <v>23.728837106927351</v>
      </c>
      <c r="M16" s="48">
        <f>M15</f>
        <v>2492500</v>
      </c>
      <c r="N16" s="29">
        <f>N15</f>
        <v>125198</v>
      </c>
      <c r="O16" s="29">
        <f>O15</f>
        <v>990825</v>
      </c>
      <c r="P16" s="30">
        <f>P15</f>
        <v>880800</v>
      </c>
      <c r="Q16" s="26">
        <f t="shared" si="12"/>
        <v>12.491485013623977</v>
      </c>
      <c r="R16" s="2107"/>
      <c r="S16" s="29"/>
      <c r="T16" s="30"/>
      <c r="U16" s="30"/>
      <c r="V16" s="89" t="str">
        <f t="shared" si="13"/>
        <v/>
      </c>
    </row>
    <row r="17" spans="1:22" ht="33.75" customHeight="1">
      <c r="A17" s="79" t="s">
        <v>374</v>
      </c>
      <c r="B17" s="48" t="s">
        <v>1001</v>
      </c>
      <c r="C17" s="81">
        <f t="shared" si="14"/>
        <v>0</v>
      </c>
      <c r="D17" s="81">
        <f t="shared" ref="D17:D18" si="19">I17+N17</f>
        <v>2458</v>
      </c>
      <c r="E17" s="81">
        <f t="shared" ref="E17:E18" si="20">J17+O17</f>
        <v>34046</v>
      </c>
      <c r="F17" s="81">
        <f t="shared" ref="F17:F18" si="21">K17+P17</f>
        <v>23274</v>
      </c>
      <c r="G17" s="26">
        <f t="shared" si="0"/>
        <v>46.283406376213797</v>
      </c>
      <c r="H17" s="29">
        <v>0</v>
      </c>
      <c r="I17" s="82">
        <f>SUMIFS('#产量数据'!146:146,'#产量数据'!$1:$1,$B$1,'#产量数据'!$2:$2,$B$2)</f>
        <v>2458</v>
      </c>
      <c r="J17" s="30">
        <f>SUMIFS('#产量数据'!146:146,'#产量数据'!$1:$1,$B$1,'#产量数据'!$2:$2,"&lt;="&amp;$B$2)</f>
        <v>34046</v>
      </c>
      <c r="K17" s="30">
        <f>SUMIFS('#产量数据'!146:146,'#产量数据'!$1:$1,$B$1-1,'#产量数据'!$2:$2,"&lt;="&amp;$B$2)</f>
        <v>23274</v>
      </c>
      <c r="L17" s="26">
        <f t="shared" si="2"/>
        <v>46.283406376213797</v>
      </c>
      <c r="M17" s="48"/>
      <c r="N17" s="29"/>
      <c r="O17" s="30"/>
      <c r="P17" s="30"/>
      <c r="Q17" s="26" t="str">
        <f t="shared" si="12"/>
        <v/>
      </c>
      <c r="R17" s="2107"/>
      <c r="S17" s="29"/>
      <c r="T17" s="30"/>
      <c r="U17" s="30"/>
      <c r="V17" s="89" t="str">
        <f t="shared" si="13"/>
        <v/>
      </c>
    </row>
    <row r="18" spans="1:22" ht="33.75" customHeight="1">
      <c r="A18" s="79" t="s">
        <v>375</v>
      </c>
      <c r="B18" s="48" t="s">
        <v>1001</v>
      </c>
      <c r="C18" s="81">
        <f t="shared" si="14"/>
        <v>0</v>
      </c>
      <c r="D18" s="81">
        <f t="shared" si="19"/>
        <v>0</v>
      </c>
      <c r="E18" s="81">
        <f t="shared" si="20"/>
        <v>0</v>
      </c>
      <c r="F18" s="81">
        <f t="shared" si="21"/>
        <v>0</v>
      </c>
      <c r="G18" s="26" t="str">
        <f t="shared" si="0"/>
        <v/>
      </c>
      <c r="H18" s="29">
        <v>0</v>
      </c>
      <c r="I18" s="82">
        <f>SUMIFS('#产量数据'!147:147,'#产量数据'!$1:$1,$B$1,'#产量数据'!$2:$2,$B$2)</f>
        <v>0</v>
      </c>
      <c r="J18" s="30">
        <f>SUMIFS('#产量数据'!147:147,'#产量数据'!$1:$1,$B$1,'#产量数据'!$2:$2,"&lt;="&amp;$B$2)</f>
        <v>0</v>
      </c>
      <c r="K18" s="30">
        <f>SUMIFS('#产量数据'!147:147,'#产量数据'!$1:$1,$B$1-1,'#产量数据'!$2:$2,"&lt;="&amp;$B$2)</f>
        <v>0</v>
      </c>
      <c r="L18" s="26" t="str">
        <f t="shared" si="2"/>
        <v/>
      </c>
      <c r="M18" s="48"/>
      <c r="N18" s="29"/>
      <c r="O18" s="30"/>
      <c r="P18" s="30"/>
      <c r="Q18" s="26" t="str">
        <f t="shared" si="12"/>
        <v/>
      </c>
      <c r="R18" s="2107"/>
      <c r="S18" s="29"/>
      <c r="T18" s="30"/>
      <c r="U18" s="30"/>
      <c r="V18" s="89" t="str">
        <f t="shared" si="13"/>
        <v/>
      </c>
    </row>
    <row r="19" spans="1:22" s="14" customFormat="1" ht="33.75" customHeight="1">
      <c r="A19" s="79" t="s">
        <v>376</v>
      </c>
      <c r="B19" s="48" t="s">
        <v>1001</v>
      </c>
      <c r="C19" s="81">
        <f t="shared" si="14"/>
        <v>15248600</v>
      </c>
      <c r="D19" s="81">
        <f t="shared" ref="D19:D28" si="22">I19+N19</f>
        <v>1242490</v>
      </c>
      <c r="E19" s="81">
        <f t="shared" ref="E19:E28" si="23">J19+O19</f>
        <v>9709082.9069999978</v>
      </c>
      <c r="F19" s="81">
        <f t="shared" ref="F19:F23" si="24">K19+P19</f>
        <v>8185969.4539999999</v>
      </c>
      <c r="G19" s="26">
        <f t="shared" si="0"/>
        <v>18.60639062433518</v>
      </c>
      <c r="H19" s="29">
        <v>12000000</v>
      </c>
      <c r="I19" s="83">
        <f>SUMIFS('#产量数据'!148:148,'#产量数据'!$1:$1,$B$1,'#产量数据'!$2:$2,$B$2)</f>
        <v>1089890</v>
      </c>
      <c r="J19" s="30">
        <f>SUMIFS('#产量数据'!148:148,'#产量数据'!$1:$1,$B$1,'#产量数据'!$2:$2,"&lt;="&amp;$B$2)</f>
        <v>8429772.9069999978</v>
      </c>
      <c r="K19" s="30">
        <f>SUMIFS('#产量数据'!148:148,'#产量数据'!$1:$1,$B$1-1,'#产量数据'!$2:$2,"&lt;="&amp;$B$2)</f>
        <v>7020569.4539999999</v>
      </c>
      <c r="L19" s="26">
        <f t="shared" si="2"/>
        <v>20.072495005331771</v>
      </c>
      <c r="M19" s="48">
        <v>3248600</v>
      </c>
      <c r="N19" s="29">
        <f>SUMIFS('#产量数据'!193:193,'#产量数据'!$1:$1,$B$1,'#产量数据'!$2:$2,$B$2)</f>
        <v>152600</v>
      </c>
      <c r="O19" s="30">
        <f>SUMIFS('#产量数据'!193:193,'#产量数据'!$1:$1,$B$1,'#产量数据'!$2:$2,"&lt;="&amp;$B$2)</f>
        <v>1279310</v>
      </c>
      <c r="P19" s="30">
        <f>P20</f>
        <v>1165400</v>
      </c>
      <c r="Q19" s="26">
        <f t="shared" si="12"/>
        <v>9.7743264115325204</v>
      </c>
      <c r="R19" s="2107"/>
      <c r="S19" s="68"/>
      <c r="T19" s="69"/>
      <c r="U19" s="69"/>
      <c r="V19" s="89" t="str">
        <f t="shared" si="13"/>
        <v/>
      </c>
    </row>
    <row r="20" spans="1:22" ht="33.75" customHeight="1">
      <c r="A20" s="79" t="s">
        <v>377</v>
      </c>
      <c r="B20" s="48" t="s">
        <v>1001</v>
      </c>
      <c r="C20" s="81">
        <f t="shared" si="14"/>
        <v>15099600</v>
      </c>
      <c r="D20" s="81">
        <f t="shared" si="22"/>
        <v>1224771.108</v>
      </c>
      <c r="E20" s="81">
        <f t="shared" si="23"/>
        <v>9582730.9440000001</v>
      </c>
      <c r="F20" s="81">
        <f t="shared" si="24"/>
        <v>8077329.2859999994</v>
      </c>
      <c r="G20" s="26">
        <f t="shared" si="0"/>
        <v>18.637368921052065</v>
      </c>
      <c r="H20" s="29">
        <v>11851000</v>
      </c>
      <c r="I20" s="83">
        <f>SUMIFS('#产量数据'!149:149,'#产量数据'!$1:$1,$B$1,'#产量数据'!$2:$2,$B$2)</f>
        <v>1072171.108</v>
      </c>
      <c r="J20" s="30">
        <f>SUMIFS('#产量数据'!149:149,'#产量数据'!$1:$1,$B$1,'#产量数据'!$2:$2,"&lt;="&amp;$B$2)</f>
        <v>8303420.9440000001</v>
      </c>
      <c r="K20" s="30">
        <f>SUMIFS('#产量数据'!149:149,'#产量数据'!$1:$1,$B$1-1,'#产量数据'!$2:$2,"&lt;="&amp;$B$2)</f>
        <v>6911929.2859999994</v>
      </c>
      <c r="L20" s="26">
        <f t="shared" si="2"/>
        <v>20.131740363988452</v>
      </c>
      <c r="M20" s="48">
        <f>M19</f>
        <v>3248600</v>
      </c>
      <c r="N20" s="29">
        <f>N19</f>
        <v>152600</v>
      </c>
      <c r="O20" s="29">
        <f>O19</f>
        <v>1279310</v>
      </c>
      <c r="P20" s="30">
        <f>SUMIFS('#产量数据'!193:193,'#产量数据'!$1:$1,$B$1-1,'#产量数据'!$2:$2,"&lt;="&amp;$B$2)</f>
        <v>1165400</v>
      </c>
      <c r="Q20" s="26">
        <f t="shared" si="12"/>
        <v>9.7743264115325204</v>
      </c>
      <c r="R20" s="2107"/>
      <c r="S20" s="29"/>
      <c r="T20" s="30"/>
      <c r="U20" s="30"/>
      <c r="V20" s="89" t="str">
        <f t="shared" si="13"/>
        <v/>
      </c>
    </row>
    <row r="21" spans="1:22" ht="33.75" customHeight="1">
      <c r="A21" s="79" t="s">
        <v>378</v>
      </c>
      <c r="B21" s="48" t="s">
        <v>1001</v>
      </c>
      <c r="C21" s="81">
        <f t="shared" si="14"/>
        <v>149000</v>
      </c>
      <c r="D21" s="81">
        <f t="shared" si="22"/>
        <v>17718.891999999993</v>
      </c>
      <c r="E21" s="81">
        <f t="shared" si="23"/>
        <v>126351.96299999976</v>
      </c>
      <c r="F21" s="81">
        <f t="shared" si="24"/>
        <v>108640.16800000041</v>
      </c>
      <c r="G21" s="26">
        <f t="shared" si="0"/>
        <v>16.303173426608911</v>
      </c>
      <c r="H21" s="29">
        <v>149000</v>
      </c>
      <c r="I21" s="83">
        <f>SUMIFS('#产量数据'!150:150,'#产量数据'!$1:$1,$B$1,'#产量数据'!$2:$2,$B$2)</f>
        <v>17718.891999999993</v>
      </c>
      <c r="J21" s="30">
        <f>SUMIFS('#产量数据'!150:150,'#产量数据'!$1:$1,$B$1,'#产量数据'!$2:$2,"&lt;="&amp;$B$2)</f>
        <v>126351.96299999976</v>
      </c>
      <c r="K21" s="30">
        <f>SUMIFS('#产量数据'!150:150,'#产量数据'!$1:$1,$B$1-1,'#产量数据'!$2:$2,"&lt;="&amp;$B$2)</f>
        <v>108640.16800000041</v>
      </c>
      <c r="L21" s="26">
        <f t="shared" si="2"/>
        <v>16.303173426608911</v>
      </c>
      <c r="M21" s="48"/>
      <c r="N21" s="29"/>
      <c r="O21" s="30"/>
      <c r="P21" s="30"/>
      <c r="Q21" s="26" t="str">
        <f t="shared" si="12"/>
        <v/>
      </c>
      <c r="R21" s="2107"/>
      <c r="S21" s="29"/>
      <c r="T21" s="30"/>
      <c r="U21" s="30"/>
      <c r="V21" s="89" t="str">
        <f t="shared" si="13"/>
        <v/>
      </c>
    </row>
    <row r="22" spans="1:22" ht="33.75" customHeight="1">
      <c r="A22" s="79" t="s">
        <v>51</v>
      </c>
      <c r="B22" s="48" t="s">
        <v>1001</v>
      </c>
      <c r="C22" s="81">
        <f t="shared" si="14"/>
        <v>6500000</v>
      </c>
      <c r="D22" s="81">
        <f t="shared" si="22"/>
        <v>530580</v>
      </c>
      <c r="E22" s="81">
        <f t="shared" si="23"/>
        <v>4007570.4170000004</v>
      </c>
      <c r="F22" s="81">
        <f t="shared" si="24"/>
        <v>3875206.7650000001</v>
      </c>
      <c r="G22" s="26">
        <f t="shared" si="0"/>
        <v>3.415653925758984</v>
      </c>
      <c r="H22" s="29">
        <v>4300000</v>
      </c>
      <c r="I22" s="83">
        <f>SUMIFS('#产量数据'!151:151,'#产量数据'!$1:$1,$B$1,'#产量数据'!$2:$2,$B$2)</f>
        <v>377980</v>
      </c>
      <c r="J22" s="30">
        <f>SUMIFS('#产量数据'!151:151,'#产量数据'!$1:$1,$B$1,'#产量数据'!$2:$2,"&lt;="&amp;$B$2)</f>
        <v>2947689.4170000004</v>
      </c>
      <c r="K22" s="30">
        <f>'@产量打印#不锈钢'!J7</f>
        <v>2709806.7650000001</v>
      </c>
      <c r="L22" s="26">
        <f t="shared" si="2"/>
        <v>8.778583590258334</v>
      </c>
      <c r="M22" s="48">
        <v>2200000</v>
      </c>
      <c r="N22" s="29">
        <f>SUMIFS('#产量数据'!194:194,'#产量数据'!$1:$1,$B$1,'#产量数据'!$2:$2,$B$2)</f>
        <v>152600</v>
      </c>
      <c r="O22" s="30">
        <f>SUMIFS('#产量数据'!194:194,'#产量数据'!$1:$1,$B$1,'#产量数据'!$2:$2,"&lt;="&amp;$B$2)</f>
        <v>1059881</v>
      </c>
      <c r="P22" s="30">
        <f>SUMIFS('#产量数据'!194:194,'#产量数据'!$1:$1,$B$1-1,'#产量数据'!$2:$2,"&lt;="&amp;$B$2)</f>
        <v>1165400</v>
      </c>
      <c r="Q22" s="26">
        <f t="shared" si="12"/>
        <v>-9.0543161146387519</v>
      </c>
      <c r="R22" s="2107"/>
      <c r="S22" s="29"/>
      <c r="T22" s="30"/>
      <c r="U22" s="30"/>
      <c r="V22" s="89" t="str">
        <f t="shared" si="13"/>
        <v/>
      </c>
    </row>
    <row r="23" spans="1:22" ht="33.75" customHeight="1">
      <c r="A23" s="79" t="s">
        <v>379</v>
      </c>
      <c r="B23" s="48" t="s">
        <v>1001</v>
      </c>
      <c r="C23" s="81">
        <f t="shared" si="14"/>
        <v>1935000</v>
      </c>
      <c r="D23" s="81">
        <f t="shared" si="22"/>
        <v>172101</v>
      </c>
      <c r="E23" s="81">
        <f t="shared" si="23"/>
        <v>1295339.236</v>
      </c>
      <c r="F23" s="81">
        <f t="shared" si="24"/>
        <v>1134489.3810000001</v>
      </c>
      <c r="G23" s="26">
        <f t="shared" si="0"/>
        <v>14.178171933016973</v>
      </c>
      <c r="H23" s="29">
        <v>1935000</v>
      </c>
      <c r="I23" s="83">
        <f>SUMIFS('#产量数据'!152:152,'#产量数据'!$1:$1,$B$1,'#产量数据'!$2:$2,$B$2)</f>
        <v>172101</v>
      </c>
      <c r="J23" s="30">
        <f>SUMIFS('#产量数据'!152:152,'#产量数据'!$1:$1,$B$1,'#产量数据'!$2:$2,"&lt;="&amp;$B$2)</f>
        <v>1295339.236</v>
      </c>
      <c r="K23" s="30">
        <f>'@产量打印#不锈钢'!J8</f>
        <v>1134489.3810000001</v>
      </c>
      <c r="L23" s="26">
        <f t="shared" si="2"/>
        <v>14.178171933016973</v>
      </c>
      <c r="M23" s="48"/>
      <c r="N23" s="29"/>
      <c r="O23" s="30"/>
      <c r="P23" s="30"/>
      <c r="Q23" s="26" t="str">
        <f t="shared" si="12"/>
        <v/>
      </c>
      <c r="R23" s="2107"/>
      <c r="S23" s="29"/>
      <c r="T23" s="30"/>
      <c r="U23" s="30"/>
      <c r="V23" s="89" t="str">
        <f t="shared" si="13"/>
        <v/>
      </c>
    </row>
    <row r="24" spans="1:22" s="14" customFormat="1" ht="33.75" customHeight="1">
      <c r="A24" s="79" t="s">
        <v>380</v>
      </c>
      <c r="B24" s="48" t="s">
        <v>1001</v>
      </c>
      <c r="C24" s="81">
        <f>H24+M24+R24</f>
        <v>15150000</v>
      </c>
      <c r="D24" s="81">
        <f>D27+D29</f>
        <v>1232235.378</v>
      </c>
      <c r="E24" s="81">
        <f>E27+E29</f>
        <v>9596908.0360000003</v>
      </c>
      <c r="F24" s="81">
        <f t="shared" ref="F24:F30" si="25">K24+P24+U24</f>
        <v>7934793.3876999998</v>
      </c>
      <c r="G24" s="26">
        <f t="shared" si="0"/>
        <v>20.947169851662455</v>
      </c>
      <c r="H24" s="29">
        <v>11300000</v>
      </c>
      <c r="I24" s="81">
        <f>SUMIFS('#产量数据'!153:153,'#产量数据'!$1:$1,$B$1,'#产量数据'!$2:$2,$B$2)</f>
        <v>1043941.0379999999</v>
      </c>
      <c r="J24" s="81">
        <f>SUMIFS('#产量数据'!153:153,'#产量数据'!$1:$1,$B$1,'#产量数据'!$2:$2,"&lt;="&amp;$B$2)</f>
        <v>8010382.1249999991</v>
      </c>
      <c r="K24" s="30">
        <f>K27+K29</f>
        <v>6422424.1237000003</v>
      </c>
      <c r="L24" s="26">
        <f t="shared" si="2"/>
        <v>24.725212329720229</v>
      </c>
      <c r="M24" s="48">
        <v>3150000</v>
      </c>
      <c r="N24" s="30">
        <f t="shared" ref="N24:P25" si="26">N29</f>
        <v>149666</v>
      </c>
      <c r="O24" s="30">
        <f t="shared" si="26"/>
        <v>1269329.064</v>
      </c>
      <c r="P24" s="29">
        <f t="shared" si="26"/>
        <v>1080500</v>
      </c>
      <c r="Q24" s="26">
        <f t="shared" si="12"/>
        <v>17.476081813975014</v>
      </c>
      <c r="R24" s="29">
        <f>R29</f>
        <v>700000</v>
      </c>
      <c r="S24" s="30">
        <f>S29</f>
        <v>59368</v>
      </c>
      <c r="T24" s="30">
        <f>T29</f>
        <v>468806.50400000002</v>
      </c>
      <c r="U24" s="30">
        <f>U29</f>
        <v>431869.2639999995</v>
      </c>
      <c r="V24" s="89">
        <f t="shared" si="13"/>
        <v>8.552875390548877</v>
      </c>
    </row>
    <row r="25" spans="1:22" ht="33.75" customHeight="1">
      <c r="A25" s="79" t="s">
        <v>381</v>
      </c>
      <c r="B25" s="48" t="s">
        <v>1001</v>
      </c>
      <c r="C25" s="81">
        <f t="shared" ref="C25:C29" si="27">H25+M25+R25</f>
        <v>6710000</v>
      </c>
      <c r="D25" s="81">
        <f>D28+D30</f>
        <v>530759.81699999992</v>
      </c>
      <c r="E25" s="81">
        <f>E28+E30</f>
        <v>4118944.9089999991</v>
      </c>
      <c r="F25" s="81">
        <f t="shared" si="25"/>
        <v>3901416.7136999993</v>
      </c>
      <c r="G25" s="26">
        <f t="shared" si="0"/>
        <v>5.575620633810785</v>
      </c>
      <c r="H25" s="29">
        <v>3890000</v>
      </c>
      <c r="I25" s="81">
        <f>SUMIFS('#产量数据'!154:154,'#产量数据'!$1:$1,$B$1,'#产量数据'!$2:$2,$B$2)</f>
        <v>344126.47700000001</v>
      </c>
      <c r="J25" s="81">
        <f>SUMIFS('#产量数据'!154:154,'#产量数据'!$1:$1,$B$1,'#产量数据'!$2:$2,"&lt;="&amp;$B$2)</f>
        <v>2746300.9980000001</v>
      </c>
      <c r="K25" s="48">
        <f>K28+K30</f>
        <v>2389047.4496999998</v>
      </c>
      <c r="L25" s="26">
        <f t="shared" si="2"/>
        <v>14.953807147901637</v>
      </c>
      <c r="M25" s="48">
        <v>2120000</v>
      </c>
      <c r="N25" s="39">
        <f t="shared" si="26"/>
        <v>148005</v>
      </c>
      <c r="O25" s="39">
        <f t="shared" si="26"/>
        <v>1055447.064</v>
      </c>
      <c r="P25" s="39">
        <f t="shared" si="26"/>
        <v>1080500</v>
      </c>
      <c r="Q25" s="26">
        <f t="shared" si="12"/>
        <v>-2.3186428505321599</v>
      </c>
      <c r="R25" s="29">
        <v>700000</v>
      </c>
      <c r="S25" s="30">
        <f>S30</f>
        <v>59368</v>
      </c>
      <c r="T25" s="30">
        <f>T30</f>
        <v>468806.50400000002</v>
      </c>
      <c r="U25" s="30">
        <f>U30</f>
        <v>431869.2639999995</v>
      </c>
      <c r="V25" s="89">
        <f t="shared" si="13"/>
        <v>8.552875390548877</v>
      </c>
    </row>
    <row r="26" spans="1:22" ht="33.75" customHeight="1">
      <c r="A26" s="79" t="s">
        <v>382</v>
      </c>
      <c r="B26" s="48" t="s">
        <v>1001</v>
      </c>
      <c r="C26" s="81">
        <f t="shared" si="27"/>
        <v>1750500</v>
      </c>
      <c r="D26" s="81">
        <f t="shared" si="22"/>
        <v>151439.0674</v>
      </c>
      <c r="E26" s="81">
        <f t="shared" si="23"/>
        <v>1204402.8146000002</v>
      </c>
      <c r="F26" s="81">
        <f t="shared" si="25"/>
        <v>1046025.2888</v>
      </c>
      <c r="G26" s="26">
        <f t="shared" si="0"/>
        <v>15.140888800278516</v>
      </c>
      <c r="H26" s="29">
        <v>1750500</v>
      </c>
      <c r="I26" s="81">
        <f>SUMIFS('#产量数据'!155:155,'#产量数据'!$1:$1,$B$1,'#产量数据'!$2:$2,$B$2)</f>
        <v>151439.0674</v>
      </c>
      <c r="J26" s="81">
        <f>SUMIFS('#产量数据'!155:155,'#产量数据'!$1:$1,$B$1,'#产量数据'!$2:$2,"&lt;="&amp;$B$2)</f>
        <v>1204402.8146000002</v>
      </c>
      <c r="K26" s="30">
        <f>'@产量打印#不锈钢'!J15</f>
        <v>1046025.2888</v>
      </c>
      <c r="L26" s="26">
        <f t="shared" si="2"/>
        <v>15.140888800278516</v>
      </c>
      <c r="M26" s="26"/>
      <c r="N26" s="39"/>
      <c r="O26" s="39"/>
      <c r="P26" s="30"/>
      <c r="Q26" s="26" t="str">
        <f t="shared" si="12"/>
        <v/>
      </c>
      <c r="R26" s="2107"/>
      <c r="S26" s="30"/>
      <c r="T26" s="39"/>
      <c r="U26" s="30"/>
      <c r="V26" s="89" t="str">
        <f t="shared" si="13"/>
        <v/>
      </c>
    </row>
    <row r="27" spans="1:22" ht="33.75" customHeight="1">
      <c r="A27" s="79" t="s">
        <v>383</v>
      </c>
      <c r="B27" s="48" t="s">
        <v>1001</v>
      </c>
      <c r="C27" s="81">
        <f t="shared" si="27"/>
        <v>2385000</v>
      </c>
      <c r="D27" s="81">
        <f>I27+N27</f>
        <v>251572.34899999999</v>
      </c>
      <c r="E27" s="81">
        <f t="shared" si="23"/>
        <v>2009114.1259999999</v>
      </c>
      <c r="F27" s="81">
        <f t="shared" si="25"/>
        <v>968618.00899999985</v>
      </c>
      <c r="G27" s="26">
        <f t="shared" si="0"/>
        <v>107.42068672398597</v>
      </c>
      <c r="H27" s="29">
        <v>2385000</v>
      </c>
      <c r="I27" s="30">
        <f>SUMIFS('#产量数据'!156:156,'#产量数据'!$1:$1,$B$1,'#产量数据'!$2:$2,$B$2)</f>
        <v>251572.34899999999</v>
      </c>
      <c r="J27" s="81">
        <f>SUMIFS('#产量数据'!156:156,'#产量数据'!$1:$1,$B$1,'#产量数据'!$2:$2,"&lt;="&amp;$B$2)</f>
        <v>2009114.1259999999</v>
      </c>
      <c r="K27" s="30">
        <f>'@产量打印#材'!J8</f>
        <v>968618.00899999985</v>
      </c>
      <c r="L27" s="26">
        <f t="shared" si="2"/>
        <v>107.42068672398597</v>
      </c>
      <c r="M27" s="26"/>
      <c r="N27" s="29"/>
      <c r="O27" s="29"/>
      <c r="P27" s="30"/>
      <c r="Q27" s="26" t="str">
        <f t="shared" si="12"/>
        <v/>
      </c>
      <c r="R27" s="2107"/>
      <c r="S27" s="30"/>
      <c r="T27" s="29"/>
      <c r="U27" s="30"/>
      <c r="V27" s="89" t="str">
        <f t="shared" si="13"/>
        <v/>
      </c>
    </row>
    <row r="28" spans="1:22" ht="33.75" customHeight="1">
      <c r="A28" s="79" t="s">
        <v>384</v>
      </c>
      <c r="B28" s="48" t="s">
        <v>1001</v>
      </c>
      <c r="C28" s="81">
        <f t="shared" si="27"/>
        <v>0</v>
      </c>
      <c r="D28" s="81">
        <f t="shared" si="22"/>
        <v>170.7</v>
      </c>
      <c r="E28" s="81">
        <f t="shared" si="23"/>
        <v>2086.8490000000002</v>
      </c>
      <c r="F28" s="81">
        <f t="shared" si="25"/>
        <v>1170.6130000000001</v>
      </c>
      <c r="G28" s="26">
        <f t="shared" si="0"/>
        <v>78.269761227664475</v>
      </c>
      <c r="H28" s="29">
        <v>0</v>
      </c>
      <c r="I28" s="30">
        <f>SUMIFS('#产量数据'!157:157,'#产量数据'!$1:$1,$B$1,'#产量数据'!$2:$2,$B$2)</f>
        <v>170.7</v>
      </c>
      <c r="J28" s="81">
        <f>SUMIFS('#产量数据'!157:157,'#产量数据'!$1:$1,$B$1,'#产量数据'!$2:$2,"&lt;="&amp;$B$2)</f>
        <v>2086.8490000000002</v>
      </c>
      <c r="K28" s="30">
        <f>'@产量打印#不锈钢'!J17</f>
        <v>1170.6130000000001</v>
      </c>
      <c r="L28" s="26">
        <f t="shared" si="2"/>
        <v>78.269761227664475</v>
      </c>
      <c r="M28" s="26"/>
      <c r="N28" s="29"/>
      <c r="O28" s="29"/>
      <c r="P28" s="30"/>
      <c r="Q28" s="26" t="str">
        <f t="shared" si="12"/>
        <v/>
      </c>
      <c r="R28" s="2107"/>
      <c r="S28" s="30"/>
      <c r="T28" s="29"/>
      <c r="U28" s="30"/>
      <c r="V28" s="89" t="str">
        <f t="shared" si="13"/>
        <v/>
      </c>
    </row>
    <row r="29" spans="1:22" ht="33.75" customHeight="1">
      <c r="A29" s="79" t="s">
        <v>385</v>
      </c>
      <c r="B29" s="48" t="s">
        <v>1001</v>
      </c>
      <c r="C29" s="81">
        <f t="shared" si="27"/>
        <v>12765000</v>
      </c>
      <c r="D29" s="81">
        <f>I29+N29+S29+SUMIFS('#产量数据'!199:199,'#产量数据'!$1:$1,$B$1,'#产量数据'!$2:$2,$B$2)</f>
        <v>980663.02899999998</v>
      </c>
      <c r="E29" s="81">
        <f>J29+O29+T29+SUMIFS('#产量数据'!199:199,'#产量数据'!$1:$1,$B$1,'#产量数据'!$2:$2,"&lt;="&amp;$B$2)</f>
        <v>7587793.9100000001</v>
      </c>
      <c r="F29" s="81">
        <f t="shared" si="25"/>
        <v>6966175.3787000002</v>
      </c>
      <c r="G29" s="26">
        <f t="shared" si="0"/>
        <v>8.9233833130397571</v>
      </c>
      <c r="H29" s="29">
        <v>8915000</v>
      </c>
      <c r="I29" s="30">
        <f>SUMIFS('#产量数据'!158:158,'#产量数据'!$1:$1,$B$1,'#产量数据'!$2:$2,$B$2)</f>
        <v>792368.68900000001</v>
      </c>
      <c r="J29" s="81">
        <f>SUMIFS('#产量数据'!158:158,'#产量数据'!$1:$1,$B$1,'#产量数据'!$2:$2,"&lt;="&amp;$B$2)</f>
        <v>6001267.9989999998</v>
      </c>
      <c r="K29" s="30">
        <f>'@产量打印#材'!J11</f>
        <v>5453806.1147000007</v>
      </c>
      <c r="L29" s="26">
        <f t="shared" si="2"/>
        <v>10.038161841221111</v>
      </c>
      <c r="M29" s="48">
        <f>M24</f>
        <v>3150000</v>
      </c>
      <c r="N29" s="30">
        <f>SUMIFS('#产量数据'!195:195,'#产量数据'!$1:$1,$B$1,'#产量数据'!$2:$2,$B$2)</f>
        <v>149666</v>
      </c>
      <c r="O29" s="30">
        <f>SUMIFS('#产量数据'!195:195,'#产量数据'!$1:$1,$B$1,'#产量数据'!$2:$2,"&lt;="&amp;$B$2)</f>
        <v>1269329.064</v>
      </c>
      <c r="P29" s="30">
        <f>SUMIFS('#产量数据'!195:195,'#产量数据'!$1:$1,$B$1-1,'#产量数据'!$2:$2,"&lt;="&amp;$B$2)</f>
        <v>1080500</v>
      </c>
      <c r="Q29" s="26">
        <f t="shared" si="12"/>
        <v>17.476081813975014</v>
      </c>
      <c r="R29" s="2106">
        <v>700000</v>
      </c>
      <c r="S29" s="30">
        <f>SUMIFS('#产量数据'!197:197,'#产量数据'!$1:$1,$B$1,'#产量数据'!$2:$2,$B$2)</f>
        <v>59368</v>
      </c>
      <c r="T29" s="30">
        <f>SUMIFS('#产量数据'!197:197,'#产量数据'!$1:$1,$B$1,'#产量数据'!$2:$2,"&lt;="&amp;$B$2)</f>
        <v>468806.50400000002</v>
      </c>
      <c r="U29" s="30">
        <f>U30</f>
        <v>431869.2639999995</v>
      </c>
      <c r="V29" s="89">
        <f t="shared" si="13"/>
        <v>8.552875390548877</v>
      </c>
    </row>
    <row r="30" spans="1:22" ht="33.75" customHeight="1" thickBot="1">
      <c r="A30" s="84" t="s">
        <v>386</v>
      </c>
      <c r="B30" s="43" t="s">
        <v>1001</v>
      </c>
      <c r="C30" s="43">
        <f>H30+M30+R30</f>
        <v>6710000</v>
      </c>
      <c r="D30" s="2109">
        <f>I30+N30+S30+SUMIFS('#产量数据'!199:199,'#产量数据'!$1:$1,$B$1,'#产量数据'!$2:$2,$B$2)</f>
        <v>530589.11699999997</v>
      </c>
      <c r="E30" s="2109">
        <f>J30+O30+T30+SUMIFS('#产量数据'!199:199,'#产量数据'!$1:$1,$B$1,'#产量数据'!$2:$2,"&lt;="&amp;$B$2)</f>
        <v>4116858.0599999991</v>
      </c>
      <c r="F30" s="2115">
        <f t="shared" si="25"/>
        <v>3900246.1006999994</v>
      </c>
      <c r="G30" s="74">
        <f t="shared" si="0"/>
        <v>5.553802342398936</v>
      </c>
      <c r="H30" s="49">
        <v>3890000</v>
      </c>
      <c r="I30" s="50">
        <f>SUMIFS('#产量数据'!159:159,'#产量数据'!$1:$1,$B$1,'#产量数据'!$2:$2,$B$2)</f>
        <v>343955.777</v>
      </c>
      <c r="J30" s="2109">
        <f>SUMIFS('#产量数据'!159:159,'#产量数据'!$1:$1,$B$1,'#产量数据'!$2:$2,"&lt;="&amp;$B$2)</f>
        <v>2744214.1489999993</v>
      </c>
      <c r="K30" s="50">
        <f>'@产量打印#不锈钢'!J21</f>
        <v>2387876.8366999999</v>
      </c>
      <c r="L30" s="74">
        <f t="shared" si="2"/>
        <v>14.922767658002446</v>
      </c>
      <c r="M30" s="43">
        <f>M25</f>
        <v>2120000</v>
      </c>
      <c r="N30" s="36">
        <f>SUMIFS('#产量数据'!196:196,'#产量数据'!$1:$1,$B$1,'#产量数据'!$2:$2,$B$2)</f>
        <v>148005</v>
      </c>
      <c r="O30" s="42">
        <f>SUMIFS('#产量数据'!196:196,'#产量数据'!$1:$1,$B$1,'#产量数据'!$2:$2,"&lt;="&amp;$B$2)</f>
        <v>1055447.064</v>
      </c>
      <c r="P30" s="30">
        <f>SUMIFS('#产量数据'!196:196,'#产量数据'!$1:$1,$B$1-1,'#产量数据'!$2:$2,"&lt;="&amp;$B$2)</f>
        <v>1080500</v>
      </c>
      <c r="Q30" s="74">
        <f t="shared" si="12"/>
        <v>-2.3186428505321599</v>
      </c>
      <c r="R30" s="2110">
        <v>700000</v>
      </c>
      <c r="S30" s="36">
        <f>SUMIFS('#产量数据'!197:197,'#产量数据'!$1:$1,$B$1,'#产量数据'!$2:$2,$B$2)</f>
        <v>59368</v>
      </c>
      <c r="T30" s="42">
        <f>SUMIFS('#产量数据'!197:197,'#产量数据'!$1:$1,$B$1,'#产量数据'!$2:$2,"&lt;="&amp;$B$2)</f>
        <v>468806.50400000002</v>
      </c>
      <c r="U30" s="50">
        <f>SUMIFS('#产量数据'!197:197,'#产量数据'!$1:$1,$B$1-1,'#产量数据'!$2:$2,"&lt;="&amp;$B$2)</f>
        <v>431869.2639999995</v>
      </c>
      <c r="V30" s="90">
        <f t="shared" si="13"/>
        <v>8.552875390548877</v>
      </c>
    </row>
    <row r="71" ht="26.25" customHeight="1"/>
    <row r="72" ht="26.25" customHeight="1"/>
    <row r="113" ht="26.25" customHeight="1"/>
    <row r="147" ht="26.25" customHeight="1"/>
  </sheetData>
  <customSheetViews>
    <customSheetView guid="{1683F931-F47D-47C0-A395-D48080DC7EE6}" scale="85" showPageBreaks="1" fitToPage="1" printArea="1" view="pageBreakPreview">
      <selection activeCell="D8" sqref="D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1" orientation="landscape" r:id="rId1"/>
    </customSheetView>
    <customSheetView guid="{43897816-D2F0-4C3D-8F57-E0039BD2296B}" scale="85" showPageBreaks="1" fitToPage="1" printArea="1" view="pageBreakPreview">
      <selection activeCell="D8" sqref="D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1" orientation="landscape" r:id="rId2"/>
    </customSheetView>
    <customSheetView guid="{849C46E5-4ED4-41B9-BDA9-A6465B9DA9C2}" scale="70" showPageBreaks="1" fitToPage="1" printArea="1" view="pageBreakPreview">
      <selection activeCell="K18" sqref="K1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0" orientation="landscape" r:id="rId3"/>
    </customSheetView>
    <customSheetView guid="{8C09BCDE-4B8A-4469-B3F2-7F4528A2E78D}" scale="70" showPageBreaks="1" fitToPage="1" printArea="1" view="pageBreakPreview">
      <selection activeCell="K18" sqref="K1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0" orientation="landscape" r:id="rId4"/>
    </customSheetView>
    <customSheetView guid="{F4EB51F4-FD23-4D5B-8072-1AF5D59D6686}" scale="70" showPageBreaks="1" fitToPage="1" printArea="1" view="pageBreakPreview" topLeftCell="A12">
      <selection activeCell="I14" sqref="I14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0" orientation="landscape" r:id="rId5"/>
    </customSheetView>
    <customSheetView guid="{D7BCFB76-2797-401D-A6F1-E020B5162DD4}" scale="70" showPageBreaks="1" fitToPage="1" printArea="1" view="pageBreakPreview" topLeftCell="A10">
      <selection activeCell="G19" sqref="G19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0" orientation="landscape" r:id="rId6"/>
    </customSheetView>
    <customSheetView guid="{C9A88430-3808-49F4-8D86-BF8C70C55441}" scale="85" showPageBreaks="1" fitToPage="1" printArea="1" view="pageBreakPreview">
      <selection activeCell="D8" sqref="D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1" orientation="landscape" r:id="rId7"/>
    </customSheetView>
    <customSheetView guid="{E61FFED3-723E-484A-93A0-94E1A801AF06}" scale="85" showPageBreaks="1" fitToPage="1" printArea="1" view="pageBreakPreview" topLeftCell="A7">
      <selection activeCell="H15" sqref="H15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1" orientation="landscape" r:id="rId8"/>
    </customSheetView>
    <customSheetView guid="{6B5CCA07-2BDD-4B8E-9E3C-2111BBA97430}" scale="85" showPageBreaks="1" fitToPage="1" printArea="1" view="pageBreakPreview" topLeftCell="A4">
      <selection activeCell="M1" sqref="M1:M1048576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1" orientation="landscape" r:id="rId9"/>
    </customSheetView>
    <customSheetView guid="{2F47A827-9643-4D8A-AC5D-6B09D79AACF9}" scale="85" showPageBreaks="1" fitToPage="1" printArea="1" view="pageBreakPreview">
      <selection activeCell="D8" sqref="D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1" orientation="landscape" r:id="rId10"/>
    </customSheetView>
    <customSheetView guid="{B37168A1-DBAB-4BDE-9F92-6261DCDF3D92}" scale="85" showPageBreaks="1" fitToPage="1" printArea="1" view="pageBreakPreview">
      <selection activeCell="P14" sqref="P14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0" orientation="landscape" r:id="rId11"/>
    </customSheetView>
    <customSheetView guid="{AE0DD889-C13C-4059-8024-0F5B234827E9}" scale="85" showPageBreaks="1" fitToPage="1" printArea="1" view="pageBreakPreview">
      <selection activeCell="D8" sqref="D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7" orientation="landscape" r:id="rId12"/>
    </customSheetView>
    <customSheetView guid="{CCBBD9B0-4191-4D7A-9F7B-BAC044A49153}" scale="85" showPageBreaks="1" fitToPage="1" printArea="1" view="pageBreakPreview">
      <selection activeCell="E13" sqref="E13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4" orientation="landscape"/>
    </customSheetView>
    <customSheetView guid="{F5F9735B-EE22-4AC6-B5AB-C856ED6C133D}" scale="85" showPageBreaks="1" fitToPage="1" printArea="1" view="pageBreakPreview">
      <selection activeCell="D8" sqref="D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4" orientation="landscape"/>
    </customSheetView>
    <customSheetView guid="{45B4C0D1-53B6-4553-BFF9-393760B8E0CE}" scale="85" showPageBreaks="1" fitToPage="1" printArea="1" view="pageBreakPreview" topLeftCell="A19">
      <selection activeCell="J26" sqref="J26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7" orientation="landscape"/>
    </customSheetView>
    <customSheetView guid="{1BBD1596-143E-4714-99EF-E3545231CCD1}" scale="85" showPageBreaks="1" fitToPage="1" printArea="1" view="pageBreakPreview">
      <selection activeCell="D8" sqref="D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7" orientation="landscape"/>
    </customSheetView>
    <customSheetView guid="{A8456D60-99BA-4794-8966-0CBA0A37EA6F}" scale="85" showPageBreaks="1" fitToPage="1" printArea="1" view="pageBreakPreview">
      <selection activeCell="D8" sqref="D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1" orientation="landscape"/>
    </customSheetView>
    <customSheetView guid="{500C3980-ED13-4C97-96B1-955D50509B66}" scale="85" showPageBreaks="1" fitToPage="1" printArea="1" view="pageBreakPreview" topLeftCell="A25">
      <selection activeCell="C14" sqref="C14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1" orientation="landscape"/>
    </customSheetView>
    <customSheetView guid="{3B943BAF-34C7-494A-A071-85DE0891E5A1}" scale="85" showPageBreaks="1" fitToPage="1" printArea="1" view="pageBreakPreview">
      <selection activeCell="F21" sqref="F21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4" orientation="landscape"/>
    </customSheetView>
    <customSheetView guid="{EEE4B3DA-ADF6-49CC-9873-068FE5927B92}" scale="85" showPageBreaks="1" fitToPage="1" printArea="1" view="pageBreakPreview">
      <selection activeCell="D8" sqref="D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7" orientation="landscape"/>
    </customSheetView>
    <customSheetView guid="{C52D0F53-4D1D-4D01-B833-260359FD02A5}" scale="85" showPageBreaks="1" fitToPage="1" printArea="1" view="pageBreakPreview">
      <selection activeCell="H26" sqref="H26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0" orientation="landscape" r:id="rId13"/>
    </customSheetView>
    <customSheetView guid="{6A1E79C9-91E3-4EEA-8ABB-4446083299EC}" scale="85" showPageBreaks="1" fitToPage="1" printArea="1" view="pageBreakPreview">
      <selection activeCell="D8" sqref="D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1" orientation="landscape" r:id="rId14"/>
    </customSheetView>
    <customSheetView guid="{8B80B510-C931-46B1-8591-DEA916D76593}" scale="70" showPageBreaks="1" fitToPage="1" printArea="1" view="pageBreakPreview">
      <selection activeCell="I5" sqref="I5:L5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0" orientation="landscape" r:id="rId15"/>
    </customSheetView>
    <customSheetView guid="{303A9D89-611D-4504-BCAA-071C53B021F7}" scale="85" showPageBreaks="1" fitToPage="1" printArea="1" view="pageBreakPreview">
      <selection activeCell="D8" sqref="D8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2" orientation="landscape" r:id="rId16"/>
    </customSheetView>
    <customSheetView guid="{4583A87D-5DFF-47BD-849A-FA4AAF2B9CE3}" scale="70" showPageBreaks="1" fitToPage="1" printArea="1" view="pageBreakPreview" topLeftCell="A10">
      <selection activeCell="C8" sqref="C8:V30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0" orientation="landscape" r:id="rId17"/>
    </customSheetView>
    <customSheetView guid="{EA856AC2-CDFF-46B6-B0C4-30449DF132F4}" scale="70" showPageBreaks="1" fitToPage="1" printArea="1" view="pageBreakPreview">
      <selection activeCell="I5" sqref="I5:L5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50" orientation="landscape" r:id="rId18"/>
    </customSheetView>
    <customSheetView guid="{322A45A6-8B26-49B8-A4D9-EFB3C94A758D}" scale="85" showPageBreaks="1" fitToPage="1" printArea="1" view="pageBreakPreview">
      <selection activeCell="B3" sqref="B3"/>
      <rowBreaks count="1" manualBreakCount="1">
        <brk id="30" max="16383" man="1"/>
      </rowBreaks>
      <pageMargins left="0.70763888888888904" right="0.70763888888888904" top="0.74791666666666701" bottom="0.74791666666666701" header="0.31388888888888899" footer="0.31388888888888899"/>
      <printOptions horizontalCentered="1"/>
      <pageSetup paperSize="9" scale="62" orientation="landscape" r:id="rId19"/>
    </customSheetView>
  </customSheetViews>
  <mergeCells count="8">
    <mergeCell ref="A4:V4"/>
    <mergeCell ref="R6:V6"/>
    <mergeCell ref="I5:L5"/>
    <mergeCell ref="C6:G6"/>
    <mergeCell ref="H6:L6"/>
    <mergeCell ref="M6:Q6"/>
    <mergeCell ref="A6:A7"/>
    <mergeCell ref="B6:B7"/>
  </mergeCells>
  <phoneticPr fontId="133" type="noConversion"/>
  <printOptions horizontalCentered="1"/>
  <pageMargins left="0.70763888888888904" right="0.70763888888888904" top="0.74791666666666701" bottom="0.74791666666666701" header="0.31388888888888899" footer="0.31388888888888899"/>
  <pageSetup paperSize="9" scale="61" orientation="landscape" r:id="rId20"/>
  <rowBreaks count="1" manualBreakCount="1">
    <brk id="30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39762565996276744"/>
    <pageSetUpPr fitToPage="1"/>
  </sheetPr>
  <dimension ref="A1:K46"/>
  <sheetViews>
    <sheetView view="pageBreakPreview" zoomScale="85" zoomScaleNormal="85" zoomScaleSheetLayoutView="85" workbookViewId="0">
      <selection activeCell="H4" sqref="H4"/>
    </sheetView>
  </sheetViews>
  <sheetFormatPr defaultColWidth="9" defaultRowHeight="14.25"/>
  <cols>
    <col min="1" max="1" width="23.75" customWidth="1"/>
    <col min="2" max="2" width="14.125" customWidth="1"/>
    <col min="3" max="11" width="14.75" customWidth="1"/>
  </cols>
  <sheetData>
    <row r="1" spans="1:11">
      <c r="A1" t="str">
        <f>'@产量打印#概况'!A1</f>
        <v>年度</v>
      </c>
      <c r="B1">
        <f>'@产量打印#概况'!B1</f>
        <v>2021</v>
      </c>
      <c r="C1" t="str">
        <f>'@产量打印#概况'!C1</f>
        <v>天数</v>
      </c>
      <c r="D1" s="71"/>
    </row>
    <row r="2" spans="1:11">
      <c r="A2" t="str">
        <f>'@产量打印#概况'!A2</f>
        <v>月份</v>
      </c>
      <c r="B2">
        <f>'@产量打印#概况'!B2</f>
        <v>8</v>
      </c>
      <c r="C2">
        <f>'@产量打印#概况'!C2</f>
        <v>31</v>
      </c>
    </row>
    <row r="3" spans="1:11" s="13" customFormat="1" ht="25.5">
      <c r="A3" s="2763" t="s">
        <v>1029</v>
      </c>
      <c r="B3" s="2763"/>
      <c r="C3" s="2763"/>
      <c r="D3" s="2763"/>
      <c r="E3" s="2763"/>
      <c r="F3" s="2763"/>
      <c r="G3" s="2763"/>
      <c r="H3" s="2763"/>
      <c r="I3" s="2763"/>
      <c r="J3" s="2763"/>
      <c r="K3" s="2763"/>
    </row>
    <row r="4" spans="1:11" s="13" customFormat="1" ht="26.25" customHeight="1">
      <c r="A4" s="15" t="s">
        <v>1021</v>
      </c>
      <c r="B4" s="16"/>
      <c r="C4" s="16"/>
      <c r="E4" s="2771" t="str">
        <f>'@产量打印#概况'!$B$1&amp;"年"&amp;'@产量打印#概况'!$B$2&amp;"月"</f>
        <v>2021年8月</v>
      </c>
      <c r="F4" s="2771"/>
      <c r="G4" s="16"/>
      <c r="H4" s="16"/>
      <c r="I4" s="16"/>
      <c r="J4" s="16"/>
      <c r="K4" s="16"/>
    </row>
    <row r="5" spans="1:11" s="13" customFormat="1" ht="19.5" customHeight="1">
      <c r="A5" s="2774" t="s">
        <v>1022</v>
      </c>
      <c r="B5" s="2776" t="s">
        <v>1023</v>
      </c>
      <c r="C5" s="2772" t="str">
        <f>'@产量打印#概况'!$B$2&amp;" 月 份"</f>
        <v>8 月 份</v>
      </c>
      <c r="D5" s="2773"/>
      <c r="E5" s="2764"/>
      <c r="F5" s="2772" t="s">
        <v>1030</v>
      </c>
      <c r="G5" s="2773"/>
      <c r="H5" s="2764"/>
      <c r="I5" s="2776" t="s">
        <v>1031</v>
      </c>
      <c r="J5" s="2778" t="s">
        <v>1027</v>
      </c>
      <c r="K5" s="2779" t="s">
        <v>1032</v>
      </c>
    </row>
    <row r="6" spans="1:11" s="13" customFormat="1" ht="19.5" customHeight="1">
      <c r="A6" s="2775"/>
      <c r="B6" s="2777"/>
      <c r="C6" s="21" t="s">
        <v>1033</v>
      </c>
      <c r="D6" s="21" t="s">
        <v>1034</v>
      </c>
      <c r="E6" s="21" t="s">
        <v>1035</v>
      </c>
      <c r="F6" s="21" t="s">
        <v>1024</v>
      </c>
      <c r="G6" s="21" t="s">
        <v>1034</v>
      </c>
      <c r="H6" s="21" t="s">
        <v>1035</v>
      </c>
      <c r="I6" s="2777"/>
      <c r="J6" s="2686"/>
      <c r="K6" s="2780"/>
    </row>
    <row r="7" spans="1:11" s="14" customFormat="1" ht="19.5" customHeight="1">
      <c r="A7" s="72" t="s">
        <v>342</v>
      </c>
      <c r="B7" s="21" t="s">
        <v>1001</v>
      </c>
      <c r="C7" s="29">
        <f>SUM(C8:C10)</f>
        <v>13260000</v>
      </c>
      <c r="D7" s="69">
        <f>SUMIFS('#产量数据'!97:97,'#产量数据'!$1:$1,'@产量打印#概况'!$B$1,'#产量数据'!$2:$2,'@产量打印#概况'!$B$2)</f>
        <v>13870438.32</v>
      </c>
      <c r="E7" s="58">
        <f t="shared" ref="E7:E46" si="0">IFERROR(D7/C7*100,"")</f>
        <v>104.60360723981901</v>
      </c>
      <c r="F7" s="68">
        <f>SUM(F8:F10)</f>
        <v>146200000</v>
      </c>
      <c r="G7" s="69">
        <f>SUMIFS('#产量数据'!97:97,'#产量数据'!$1:$1,'@产量打印#概况'!$B$1,'#产量数据'!$2:$2,"&lt;="&amp;'@产量打印#概况'!$B$2)</f>
        <v>114180305.40775999</v>
      </c>
      <c r="H7" s="58">
        <f t="shared" ref="H7:H46" si="1">IFERROR(G7/F7*100,"")</f>
        <v>78.098704109274962</v>
      </c>
      <c r="I7" s="59">
        <f>D7/'@产量打印#概况'!$C$2</f>
        <v>447433.49419354839</v>
      </c>
      <c r="J7" s="69">
        <f>SUMIFS('#产量数据'!97:97,'#产量数据'!$1:$1,'@产量打印#概况'!$B$1-1,'#产量数据'!$2:$2,"&lt;="&amp;'@产量打印#概况'!$B$2)</f>
        <v>95607353.82407999</v>
      </c>
      <c r="K7" s="26">
        <f t="shared" ref="K7:K46" si="2">IFERROR((G7-J7)/J7*100,"")</f>
        <v>19.426279298404928</v>
      </c>
    </row>
    <row r="8" spans="1:11" s="13" customFormat="1" ht="19.5" customHeight="1">
      <c r="A8" s="32" t="s">
        <v>343</v>
      </c>
      <c r="B8" s="23" t="s">
        <v>1001</v>
      </c>
      <c r="C8" s="29">
        <v>10500000</v>
      </c>
      <c r="D8" s="30">
        <f>SUMIFS('#产量数据'!98:98,'#产量数据'!$1:$1,'@产量打印#概况'!$B$1,'#产量数据'!$2:$2,'@产量打印#概况'!$B$2)</f>
        <v>11184392.32</v>
      </c>
      <c r="E8" s="26">
        <f t="shared" si="0"/>
        <v>106.51802209523811</v>
      </c>
      <c r="F8" s="29">
        <v>115500000</v>
      </c>
      <c r="G8" s="30">
        <f>SUMIFS('#产量数据'!98:98,'#产量数据'!$1:$1,'@产量打印#概况'!$B$1,'#产量数据'!$2:$2,"&lt;="&amp;'@产量打印#概况'!$B$2)</f>
        <v>92647633.80776</v>
      </c>
      <c r="H8" s="64">
        <f t="shared" si="1"/>
        <v>80.214401565160173</v>
      </c>
      <c r="I8" s="48">
        <f>D8/'@产量打印#概况'!$C$2</f>
        <v>360786.84903225809</v>
      </c>
      <c r="J8" s="30">
        <f>SUMIFS('#产量数据'!98:98,'#产量数据'!$1:$1,'@产量打印#概况'!$B$1-1,'#产量数据'!$2:$2,"&lt;="&amp;'@产量打印#概况'!$B$2)</f>
        <v>72986316.82407999</v>
      </c>
      <c r="K8" s="26">
        <f t="shared" si="2"/>
        <v>26.93836028343501</v>
      </c>
    </row>
    <row r="9" spans="1:11" s="13" customFormat="1" ht="19.5" customHeight="1">
      <c r="A9" s="32" t="s">
        <v>344</v>
      </c>
      <c r="B9" s="23" t="s">
        <v>1001</v>
      </c>
      <c r="C9" s="29">
        <v>2210000</v>
      </c>
      <c r="D9" s="30">
        <f>SUMIFS('#产量数据'!99:99,'#产量数据'!$1:$1,'@产量打印#概况'!$B$1,'#产量数据'!$2:$2,'@产量打印#概况'!$B$2)</f>
        <v>2131797</v>
      </c>
      <c r="E9" s="26">
        <f t="shared" si="0"/>
        <v>96.461402714932134</v>
      </c>
      <c r="F9" s="29">
        <v>27600000</v>
      </c>
      <c r="G9" s="30">
        <f>SUMIFS('#产量数据'!99:99,'#产量数据'!$1:$1,'@产量打印#概况'!$B$1,'#产量数据'!$2:$2,"&lt;="&amp;'@产量打印#概况'!$B$2)</f>
        <v>18957309.600000001</v>
      </c>
      <c r="H9" s="64">
        <f t="shared" si="1"/>
        <v>68.685904347826082</v>
      </c>
      <c r="I9" s="48">
        <f>D9/'@产量打印#概况'!$C$2</f>
        <v>68767.645161290318</v>
      </c>
      <c r="J9" s="30">
        <f>SUMIFS('#产量数据'!99:99,'#产量数据'!$1:$1,'@产量打印#概况'!$B$1-1,'#产量数据'!$2:$2,"&lt;="&amp;'@产量打印#概况'!$B$2)</f>
        <v>19668557</v>
      </c>
      <c r="K9" s="26">
        <f t="shared" si="2"/>
        <v>-3.6161646225495772</v>
      </c>
    </row>
    <row r="10" spans="1:11" s="13" customFormat="1" ht="19.5" customHeight="1">
      <c r="A10" s="32" t="s">
        <v>345</v>
      </c>
      <c r="B10" s="23" t="s">
        <v>1001</v>
      </c>
      <c r="C10" s="29">
        <v>550000</v>
      </c>
      <c r="D10" s="30">
        <f>SUMIFS('#产量数据'!100:100,'#产量数据'!$1:$1,'@产量打印#概况'!$B$1,'#产量数据'!$2:$2,'@产量打印#概况'!$B$2)</f>
        <v>554249</v>
      </c>
      <c r="E10" s="26">
        <f t="shared" si="0"/>
        <v>100.77254545454547</v>
      </c>
      <c r="F10" s="29">
        <v>3100000</v>
      </c>
      <c r="G10" s="30">
        <f>SUMIFS('#产量数据'!100:100,'#产量数据'!$1:$1,'@产量打印#概况'!$B$1,'#产量数据'!$2:$2,"&lt;="&amp;'@产量打印#概况'!$B$2)</f>
        <v>2575362</v>
      </c>
      <c r="H10" s="64">
        <f t="shared" si="1"/>
        <v>83.076193548387096</v>
      </c>
      <c r="I10" s="48">
        <f>D10/'@产量打印#概况'!$C$2</f>
        <v>17879</v>
      </c>
      <c r="J10" s="30">
        <f>SUMIFS('#产量数据'!100:100,'#产量数据'!$1:$1,'@产量打印#概况'!$B$1-1,'#产量数据'!$2:$2,"&lt;="&amp;'@产量打印#概况'!$B$2)</f>
        <v>2952480</v>
      </c>
      <c r="K10" s="26">
        <f t="shared" si="2"/>
        <v>-12.772923101934644</v>
      </c>
    </row>
    <row r="11" spans="1:11" s="14" customFormat="1" ht="19.5" customHeight="1">
      <c r="A11" s="72" t="s">
        <v>346</v>
      </c>
      <c r="B11" s="21" t="s">
        <v>1001</v>
      </c>
      <c r="C11" s="29"/>
      <c r="D11" s="69">
        <f>SUMIFS('#产量数据'!101:101,'#产量数据'!$1:$1,'@产量打印#概况'!$B$1,'#产量数据'!$2:$2,'@产量打印#概况'!$B$2)</f>
        <v>3393685</v>
      </c>
      <c r="E11" s="58" t="str">
        <f t="shared" si="0"/>
        <v/>
      </c>
      <c r="F11" s="68"/>
      <c r="G11" s="68">
        <f>SUMIFS('#产量数据'!101:101,'#产量数据'!$1:$1,'@产量打印#概况'!$B$1,'#产量数据'!$2:$2,"&lt;="&amp;'@产量打印#概况'!$B$2)</f>
        <v>27418459</v>
      </c>
      <c r="H11" s="73" t="str">
        <f t="shared" si="1"/>
        <v/>
      </c>
      <c r="I11" s="59">
        <f>D11/'@产量打印#概况'!$C$2</f>
        <v>109473.70967741935</v>
      </c>
      <c r="J11" s="69">
        <f>SUMIFS('#产量数据'!101:101,'#产量数据'!$1:$1,'@产量打印#概况'!$B$1-1,'#产量数据'!$2:$2,"&lt;="&amp;'@产量打印#概况'!$B$2)</f>
        <v>26369957</v>
      </c>
      <c r="K11" s="26">
        <f t="shared" si="2"/>
        <v>3.9761232830224182</v>
      </c>
    </row>
    <row r="12" spans="1:11" s="13" customFormat="1" ht="19.5" customHeight="1">
      <c r="A12" s="32" t="s">
        <v>343</v>
      </c>
      <c r="B12" s="23" t="s">
        <v>1001</v>
      </c>
      <c r="C12" s="29"/>
      <c r="D12" s="30">
        <f>SUMIFS('#产量数据'!102:102,'#产量数据'!$1:$1,'@产量打印#概况'!$B$1,'#产量数据'!$2:$2,'@产量打印#概况'!$B$2)</f>
        <v>2058547</v>
      </c>
      <c r="E12" s="26" t="str">
        <f t="shared" si="0"/>
        <v/>
      </c>
      <c r="F12" s="29"/>
      <c r="G12" s="30">
        <f>SUMIFS('#产量数据'!102:102,'#产量数据'!$1:$1,'@产量打印#概况'!$B$1,'#产量数据'!$2:$2,"&lt;="&amp;'@产量打印#概况'!$B$2)</f>
        <v>15943131</v>
      </c>
      <c r="H12" s="64" t="str">
        <f t="shared" si="1"/>
        <v/>
      </c>
      <c r="I12" s="48">
        <f>D12/'@产量打印#概况'!$C$2</f>
        <v>66404.741935483864</v>
      </c>
      <c r="J12" s="30">
        <f>SUMIFS('#产量数据'!102:102,'#产量数据'!$1:$1,'@产量打印#概况'!$B$1-1,'#产量数据'!$2:$2,"&lt;="&amp;'@产量打印#概况'!$B$2)</f>
        <v>15221326</v>
      </c>
      <c r="K12" s="26">
        <f t="shared" si="2"/>
        <v>4.7420638648695919</v>
      </c>
    </row>
    <row r="13" spans="1:11" s="13" customFormat="1" ht="19.5" customHeight="1">
      <c r="A13" s="32" t="s">
        <v>344</v>
      </c>
      <c r="B13" s="23" t="s">
        <v>1001</v>
      </c>
      <c r="C13" s="29"/>
      <c r="D13" s="30">
        <f>SUMIFS('#产量数据'!103:103,'#产量数据'!$1:$1,'@产量打印#概况'!$B$1,'#产量数据'!$2:$2,'@产量打印#概况'!$B$2)</f>
        <v>929852</v>
      </c>
      <c r="E13" s="26" t="str">
        <f t="shared" si="0"/>
        <v/>
      </c>
      <c r="F13" s="29"/>
      <c r="G13" s="30">
        <f>SUMIFS('#产量数据'!103:103,'#产量数据'!$1:$1,'@产量打印#概况'!$B$1,'#产量数据'!$2:$2,"&lt;="&amp;'@产量打印#概况'!$B$2)</f>
        <v>7383306</v>
      </c>
      <c r="H13" s="64" t="str">
        <f t="shared" si="1"/>
        <v/>
      </c>
      <c r="I13" s="48">
        <f>D13/'@产量打印#概况'!$C$2</f>
        <v>29995.225806451614</v>
      </c>
      <c r="J13" s="30">
        <f>SUMIFS('#产量数据'!103:103,'#产量数据'!$1:$1,'@产量打印#概况'!$B$1-1,'#产量数据'!$2:$2,"&lt;="&amp;'@产量打印#概况'!$B$2)</f>
        <v>6561031</v>
      </c>
      <c r="K13" s="26">
        <f t="shared" si="2"/>
        <v>12.532710179238599</v>
      </c>
    </row>
    <row r="14" spans="1:11" s="13" customFormat="1" ht="19.5" customHeight="1">
      <c r="A14" s="32" t="s">
        <v>347</v>
      </c>
      <c r="B14" s="23" t="s">
        <v>1001</v>
      </c>
      <c r="C14" s="29"/>
      <c r="D14" s="30">
        <f>SUMIFS('#产量数据'!104:104,'#产量数据'!$1:$1,'@产量打印#概况'!$B$1,'#产量数据'!$2:$2,'@产量打印#概况'!$B$2)</f>
        <v>405286</v>
      </c>
      <c r="E14" s="26" t="str">
        <f t="shared" si="0"/>
        <v/>
      </c>
      <c r="F14" s="29"/>
      <c r="G14" s="30">
        <f>SUMIFS('#产量数据'!104:104,'#产量数据'!$1:$1,'@产量打印#概况'!$B$1,'#产量数据'!$2:$2,"&lt;="&amp;'@产量打印#概况'!$B$2)</f>
        <v>4092022</v>
      </c>
      <c r="H14" s="64" t="str">
        <f t="shared" si="1"/>
        <v/>
      </c>
      <c r="I14" s="48">
        <f>D14/'@产量打印#概况'!$C$2</f>
        <v>13073.741935483871</v>
      </c>
      <c r="J14" s="30">
        <f>SUMIFS('#产量数据'!104:104,'#产量数据'!$1:$1,'@产量打印#概况'!$B$1-1,'#产量数据'!$2:$2,"&lt;="&amp;'@产量打印#概况'!$B$2)</f>
        <v>4587600</v>
      </c>
      <c r="K14" s="26">
        <f t="shared" si="2"/>
        <v>-10.80255471270381</v>
      </c>
    </row>
    <row r="15" spans="1:11" s="14" customFormat="1" ht="19.5" customHeight="1">
      <c r="A15" s="72" t="s">
        <v>348</v>
      </c>
      <c r="B15" s="21" t="s">
        <v>1001</v>
      </c>
      <c r="C15" s="29"/>
      <c r="D15" s="69">
        <f>SUMIFS('#产量数据'!105:105,'#产量数据'!$1:$1,'@产量打印#概况'!$B$1,'#产量数据'!$2:$2,'@产量打印#概况'!$B$2)</f>
        <v>3171967</v>
      </c>
      <c r="E15" s="58" t="str">
        <f t="shared" si="0"/>
        <v/>
      </c>
      <c r="F15" s="68"/>
      <c r="G15" s="69">
        <f>SUMIFS('#产量数据'!105:105,'#产量数据'!$1:$1,'@产量打印#概况'!$B$1,'#产量数据'!$2:$2,"&lt;="&amp;'@产量打印#概况'!$B$2)</f>
        <v>25567455</v>
      </c>
      <c r="H15" s="73" t="str">
        <f t="shared" si="1"/>
        <v/>
      </c>
      <c r="I15" s="59">
        <f>D15/'@产量打印#概况'!$C$2</f>
        <v>102321.51612903226</v>
      </c>
      <c r="J15" s="69">
        <f>SUMIFS('#产量数据'!105:105,'#产量数据'!$1:$1,'@产量打印#概况'!$B$1-1,'#产量数据'!$2:$2,"&lt;="&amp;'@产量打印#概况'!$B$2)</f>
        <v>24654826</v>
      </c>
      <c r="K15" s="26">
        <f t="shared" si="2"/>
        <v>3.7016241769461278</v>
      </c>
    </row>
    <row r="16" spans="1:11" s="13" customFormat="1" ht="19.5" customHeight="1">
      <c r="A16" s="32" t="s">
        <v>343</v>
      </c>
      <c r="B16" s="23" t="s">
        <v>1001</v>
      </c>
      <c r="C16" s="29"/>
      <c r="D16" s="30">
        <f>SUMIFS('#产量数据'!106:106,'#产量数据'!$1:$1,'@产量打印#概况'!$B$1,'#产量数据'!$2:$2,'@产量打印#概况'!$B$2)</f>
        <v>2058372</v>
      </c>
      <c r="E16" s="26" t="str">
        <f t="shared" si="0"/>
        <v/>
      </c>
      <c r="F16" s="29"/>
      <c r="G16" s="30">
        <f>SUMIFS('#产量数据'!106:106,'#产量数据'!$1:$1,'@产量打印#概况'!$B$1,'#产量数据'!$2:$2,"&lt;="&amp;'@产量打印#概况'!$B$2)</f>
        <v>15962608</v>
      </c>
      <c r="H16" s="64" t="str">
        <f t="shared" si="1"/>
        <v/>
      </c>
      <c r="I16" s="48">
        <f>D16/'@产量打印#概况'!$C$2</f>
        <v>66399.096774193546</v>
      </c>
      <c r="J16" s="30">
        <f>SUMIFS('#产量数据'!106:106,'#产量数据'!$1:$1,'@产量打印#概况'!$B$1-1,'#产量数据'!$2:$2,"&lt;="&amp;'@产量打印#概况'!$B$2)</f>
        <v>15227842</v>
      </c>
      <c r="K16" s="26">
        <f t="shared" si="2"/>
        <v>4.8251485666846294</v>
      </c>
    </row>
    <row r="17" spans="1:11" s="13" customFormat="1" ht="19.5" customHeight="1">
      <c r="A17" s="32" t="s">
        <v>344</v>
      </c>
      <c r="B17" s="23" t="s">
        <v>1001</v>
      </c>
      <c r="C17" s="29"/>
      <c r="D17" s="30">
        <f>SUMIFS('#产量数据'!107:107,'#产量数据'!$1:$1,'@产量打印#概况'!$B$1,'#产量数据'!$2:$2,'@产量打印#概况'!$B$2)</f>
        <v>786587</v>
      </c>
      <c r="E17" s="26" t="str">
        <f t="shared" si="0"/>
        <v/>
      </c>
      <c r="F17" s="29"/>
      <c r="G17" s="30">
        <f>SUMIFS('#产量数据'!107:107,'#产量数据'!$1:$1,'@产量打印#概况'!$B$1,'#产量数据'!$2:$2,"&lt;="&amp;'@产量打印#概况'!$B$2)</f>
        <v>6268585</v>
      </c>
      <c r="H17" s="64" t="str">
        <f t="shared" si="1"/>
        <v/>
      </c>
      <c r="I17" s="48">
        <f>D17/'@产量打印#概况'!$C$2</f>
        <v>25373.774193548386</v>
      </c>
      <c r="J17" s="30">
        <f>SUMIFS('#产量数据'!107:107,'#产量数据'!$1:$1,'@产量打印#概况'!$B$1-1,'#产量数据'!$2:$2,"&lt;="&amp;'@产量打印#概况'!$B$2)</f>
        <v>5620969</v>
      </c>
      <c r="K17" s="26">
        <f t="shared" si="2"/>
        <v>11.521429845992746</v>
      </c>
    </row>
    <row r="18" spans="1:11" s="13" customFormat="1" ht="19.5" customHeight="1">
      <c r="A18" s="32" t="s">
        <v>347</v>
      </c>
      <c r="B18" s="23" t="s">
        <v>1001</v>
      </c>
      <c r="C18" s="29"/>
      <c r="D18" s="30">
        <f>SUMIFS('#产量数据'!108:108,'#产量数据'!$1:$1,'@产量打印#概况'!$B$1,'#产量数据'!$2:$2,'@产量打印#概况'!$B$2)</f>
        <v>327008</v>
      </c>
      <c r="E18" s="26" t="str">
        <f t="shared" si="0"/>
        <v/>
      </c>
      <c r="F18" s="29"/>
      <c r="G18" s="30">
        <f>SUMIFS('#产量数据'!108:108,'#产量数据'!$1:$1,'@产量打印#概况'!$B$1,'#产量数据'!$2:$2,"&lt;="&amp;'@产量打印#概况'!$B$2)</f>
        <v>3336262</v>
      </c>
      <c r="H18" s="64" t="str">
        <f t="shared" si="1"/>
        <v/>
      </c>
      <c r="I18" s="48">
        <f>D18/'@产量打印#概况'!$C$2</f>
        <v>10548.645161290322</v>
      </c>
      <c r="J18" s="30">
        <f>SUMIFS('#产量数据'!108:108,'#产量数据'!$1:$1,'@产量打印#概况'!$B$1-1,'#产量数据'!$2:$2,"&lt;="&amp;'@产量打印#概况'!$B$2)</f>
        <v>3806015</v>
      </c>
      <c r="K18" s="26">
        <f t="shared" si="2"/>
        <v>-12.342384357392181</v>
      </c>
    </row>
    <row r="19" spans="1:11" s="14" customFormat="1" ht="19.5" customHeight="1">
      <c r="A19" s="72" t="s">
        <v>13</v>
      </c>
      <c r="B19" s="21" t="s">
        <v>1001</v>
      </c>
      <c r="C19" s="30">
        <f>C20+C24+C27</f>
        <v>1166000</v>
      </c>
      <c r="D19" s="69">
        <f>SUMIFS('#产量数据'!109:109,'#产量数据'!$1:$1,'@产量打印#概况'!$B$1,'#产量数据'!$2:$2,'@产量打印#概况'!$B$2)</f>
        <v>1126791.83</v>
      </c>
      <c r="E19" s="58">
        <f t="shared" si="0"/>
        <v>96.637378216123508</v>
      </c>
      <c r="F19" s="69">
        <f>F20+F24+F27</f>
        <v>13950000</v>
      </c>
      <c r="G19" s="69">
        <f>SUMIFS('#产量数据'!109:109,'#产量数据'!$1:$1,'@产量打印#概况'!$B$1,'#产量数据'!$2:$2,"&lt;="&amp;'@产量打印#概况'!$B$2)</f>
        <v>9436060.9927236978</v>
      </c>
      <c r="H19" s="73">
        <f t="shared" si="1"/>
        <v>67.642014284757693</v>
      </c>
      <c r="I19" s="59">
        <f>D19/'@产量打印#概况'!$C$2</f>
        <v>36348.123548387099</v>
      </c>
      <c r="J19" s="69">
        <f>SUMIFS('#产量数据'!109:109,'#产量数据'!$1:$1,'@产量打印#概况'!$B$1-1,'#产量数据'!$2:$2,"&lt;="&amp;'@产量打印#概况'!$B$2)</f>
        <v>8633939.4432127997</v>
      </c>
      <c r="K19" s="26">
        <f t="shared" si="2"/>
        <v>9.2903309640589544</v>
      </c>
    </row>
    <row r="20" spans="1:11" s="13" customFormat="1" ht="19.5" customHeight="1">
      <c r="A20" s="32" t="s">
        <v>343</v>
      </c>
      <c r="B20" s="23" t="s">
        <v>1001</v>
      </c>
      <c r="C20" s="29">
        <f>C21+C22+C23</f>
        <v>760000</v>
      </c>
      <c r="D20" s="30">
        <f>SUMIFS('#产量数据'!110:110,'#产量数据'!$1:$1,'@产量打印#概况'!$B$1,'#产量数据'!$2:$2,'@产量打印#概况'!$B$2)</f>
        <v>735933</v>
      </c>
      <c r="E20" s="26">
        <f t="shared" si="0"/>
        <v>96.833289473684218</v>
      </c>
      <c r="F20" s="29">
        <f>F21+F22+F23</f>
        <v>9000000</v>
      </c>
      <c r="G20" s="30">
        <f>SUMIFS('#产量数据'!110:110,'#产量数据'!$1:$1,'@产量打印#概况'!$B$1,'#产量数据'!$2:$2,"&lt;="&amp;'@产量打印#概况'!$B$2)</f>
        <v>6120054</v>
      </c>
      <c r="H20" s="64">
        <f t="shared" si="1"/>
        <v>68.000600000000006</v>
      </c>
      <c r="I20" s="48">
        <f>D20/'@产量打印#概况'!$C$2</f>
        <v>23739.774193548386</v>
      </c>
      <c r="J20" s="30">
        <f>SUMIFS('#产量数据'!110:110,'#产量数据'!$1:$1,'@产量打印#概况'!$B$1-1,'#产量数据'!$2:$2,"&lt;="&amp;'@产量打印#概况'!$B$2)</f>
        <v>5521790.1002128003</v>
      </c>
      <c r="K20" s="26">
        <f t="shared" si="2"/>
        <v>10.834600535868679</v>
      </c>
    </row>
    <row r="21" spans="1:11" s="13" customFormat="1" ht="19.5" customHeight="1">
      <c r="A21" s="32" t="s">
        <v>349</v>
      </c>
      <c r="B21" s="23" t="s">
        <v>1001</v>
      </c>
      <c r="C21" s="29">
        <v>501800</v>
      </c>
      <c r="D21" s="30">
        <f>SUMIFS('#产量数据'!111:111,'#产量数据'!$1:$1,'@产量打印#概况'!$B$1,'#产量数据'!$2:$2,'@产量打印#概况'!$B$2)</f>
        <v>495138</v>
      </c>
      <c r="E21" s="26">
        <f t="shared" si="0"/>
        <v>98.672379434037467</v>
      </c>
      <c r="F21" s="29">
        <v>6750000</v>
      </c>
      <c r="G21" s="30">
        <f>SUMIFS('#产量数据'!111:111,'#产量数据'!$1:$1,'@产量打印#概况'!$B$1,'#产量数据'!$2:$2,"&lt;="&amp;'@产量打印#概况'!$B$2)</f>
        <v>5121646</v>
      </c>
      <c r="H21" s="64">
        <f t="shared" si="1"/>
        <v>75.876237037037043</v>
      </c>
      <c r="I21" s="48">
        <f>D21/'@产量打印#概况'!$C$2</f>
        <v>15972.193548387097</v>
      </c>
      <c r="J21" s="30">
        <f>SUMIFS('#产量数据'!111:111,'#产量数据'!$1:$1,'@产量打印#概况'!$B$1-1,'#产量数据'!$2:$2,"&lt;="&amp;'@产量打印#概况'!$B$2)</f>
        <v>5216215.0802127998</v>
      </c>
      <c r="K21" s="26">
        <f t="shared" si="2"/>
        <v>-1.812982761610777</v>
      </c>
    </row>
    <row r="22" spans="1:11" s="13" customFormat="1" ht="19.5" customHeight="1">
      <c r="A22" s="32" t="s">
        <v>350</v>
      </c>
      <c r="B22" s="23" t="s">
        <v>1001</v>
      </c>
      <c r="C22" s="29">
        <v>178200</v>
      </c>
      <c r="D22" s="30">
        <f>SUMIFS('#产量数据'!112:112,'#产量数据'!$1:$1,'@产量打印#概况'!$B$1,'#产量数据'!$2:$2,'@产量打印#概况'!$B$2)</f>
        <v>197831</v>
      </c>
      <c r="E22" s="26">
        <f t="shared" si="0"/>
        <v>111.01627384960717</v>
      </c>
      <c r="F22" s="29">
        <v>1200000</v>
      </c>
      <c r="G22" s="30">
        <f>SUMIFS('#产量数据'!112:112,'#产量数据'!$1:$1,'@产量打印#概况'!$B$1,'#产量数据'!$2:$2,"&lt;="&amp;'@产量打印#概况'!$B$2)</f>
        <v>361507</v>
      </c>
      <c r="H22" s="64">
        <f t="shared" si="1"/>
        <v>30.125583333333335</v>
      </c>
      <c r="I22" s="48">
        <f>D22/'@产量打印#概况'!$C$2</f>
        <v>6381.6451612903229</v>
      </c>
      <c r="J22" s="30">
        <f>SUMIFS('#产量数据'!112:112,'#产量数据'!$1:$1,'@产量打印#概况'!$B$1-1,'#产量数据'!$2:$2,"&lt;="&amp;'@产量打印#概况'!$B$2)</f>
        <v>14734</v>
      </c>
      <c r="K22" s="26">
        <f t="shared" si="2"/>
        <v>2353.5564001628886</v>
      </c>
    </row>
    <row r="23" spans="1:11" s="13" customFormat="1" ht="19.5" customHeight="1">
      <c r="A23" s="32" t="s">
        <v>351</v>
      </c>
      <c r="B23" s="23" t="s">
        <v>1001</v>
      </c>
      <c r="C23" s="29">
        <v>80000</v>
      </c>
      <c r="D23" s="30">
        <f>SUMIFS('#产量数据'!113:113,'#产量数据'!$1:$1,'@产量打印#概况'!$B$1,'#产量数据'!$2:$2,'@产量打印#概况'!$B$2)</f>
        <v>42964</v>
      </c>
      <c r="E23" s="26">
        <f t="shared" si="0"/>
        <v>53.705000000000005</v>
      </c>
      <c r="F23" s="29">
        <v>1050000</v>
      </c>
      <c r="G23" s="30">
        <f>SUMIFS('#产量数据'!113:113,'#产量数据'!$1:$1,'@产量打印#概况'!$B$1,'#产量数据'!$2:$2,"&lt;="&amp;'@产量打印#概况'!$B$2)</f>
        <v>636901</v>
      </c>
      <c r="H23" s="64">
        <f t="shared" si="1"/>
        <v>60.6572380952381</v>
      </c>
      <c r="I23" s="48">
        <f>D23/'@产量打印#概况'!$C$2</f>
        <v>1385.9354838709678</v>
      </c>
      <c r="J23" s="30">
        <f>SUMIFS('#产量数据'!113:113,'#产量数据'!$1:$1,'@产量打印#概况'!$B$1-1,'#产量数据'!$2:$2,"&lt;="&amp;'@产量打印#概况'!$B$2)</f>
        <v>290841.02</v>
      </c>
      <c r="K23" s="26">
        <f t="shared" si="2"/>
        <v>118.9859600960002</v>
      </c>
    </row>
    <row r="24" spans="1:11" s="13" customFormat="1" ht="19.5" customHeight="1">
      <c r="A24" s="32" t="s">
        <v>344</v>
      </c>
      <c r="B24" s="23" t="s">
        <v>1001</v>
      </c>
      <c r="C24" s="29">
        <f>C25+C26</f>
        <v>286000</v>
      </c>
      <c r="D24" s="30">
        <f>SUMIFS('#产量数据'!114:114,'#产量数据'!$1:$1,'@产量打印#概况'!$B$1,'#产量数据'!$2:$2,'@产量打印#概况'!$B$2)</f>
        <v>308374.82999999996</v>
      </c>
      <c r="E24" s="26">
        <f t="shared" si="0"/>
        <v>107.82336713286711</v>
      </c>
      <c r="F24" s="29">
        <f>F25+F26</f>
        <v>3450000</v>
      </c>
      <c r="G24" s="30">
        <f>SUMIFS('#产量数据'!114:114,'#产量数据'!$1:$1,'@产量打印#概况'!$B$1,'#产量数据'!$2:$2,"&lt;="&amp;'@产量打印#概况'!$B$2)</f>
        <v>2391615.8027236983</v>
      </c>
      <c r="H24" s="64">
        <f t="shared" si="1"/>
        <v>69.322197180397055</v>
      </c>
      <c r="I24" s="48">
        <f>D24/'@产量打印#概况'!$C$2</f>
        <v>9947.5751612903205</v>
      </c>
      <c r="J24" s="30">
        <f>SUMIFS('#产量数据'!114:114,'#产量数据'!$1:$1,'@产量打印#概况'!$B$1-1,'#产量数据'!$2:$2,"&lt;="&amp;'@产量打印#概况'!$B$2)</f>
        <v>2073877.8229999999</v>
      </c>
      <c r="K24" s="26">
        <f t="shared" si="2"/>
        <v>15.320959422000554</v>
      </c>
    </row>
    <row r="25" spans="1:11" s="13" customFormat="1" ht="19.5" customHeight="1">
      <c r="A25" s="32" t="s">
        <v>352</v>
      </c>
      <c r="B25" s="23" t="s">
        <v>1001</v>
      </c>
      <c r="C25" s="61">
        <v>275000</v>
      </c>
      <c r="D25" s="30">
        <f>SUMIFS('#产量数据'!115:115,'#产量数据'!$1:$1,'@产量打印#概况'!$B$1,'#产量数据'!$2:$2,'@产量打印#概况'!$B$2)</f>
        <v>293612.23</v>
      </c>
      <c r="E25" s="26">
        <f t="shared" si="0"/>
        <v>106.76808363636363</v>
      </c>
      <c r="F25" s="29">
        <v>3350000</v>
      </c>
      <c r="G25" s="30">
        <f>SUMIFS('#产量数据'!115:115,'#产量数据'!$1:$1,'@产量打印#概况'!$B$1,'#产量数据'!$2:$2,"&lt;="&amp;'@产量打印#概况'!$B$2)</f>
        <v>2322963.1427236982</v>
      </c>
      <c r="H25" s="64">
        <f t="shared" si="1"/>
        <v>69.342183364886509</v>
      </c>
      <c r="I25" s="48">
        <f>D25/'@产量打印#概况'!$C$2</f>
        <v>9471.3622580645151</v>
      </c>
      <c r="J25" s="30">
        <f>SUMIFS('#产量数据'!115:115,'#产量数据'!$1:$1,'@产量打印#概况'!$B$1-1,'#产量数据'!$2:$2,"&lt;="&amp;'@产量打印#概况'!$B$2)</f>
        <v>2073877.8229999999</v>
      </c>
      <c r="K25" s="26">
        <f t="shared" si="2"/>
        <v>12.010607228702611</v>
      </c>
    </row>
    <row r="26" spans="1:11" s="13" customFormat="1" ht="19.5" customHeight="1">
      <c r="A26" s="32" t="s">
        <v>351</v>
      </c>
      <c r="B26" s="23" t="s">
        <v>1001</v>
      </c>
      <c r="C26" s="29">
        <v>11000</v>
      </c>
      <c r="D26" s="30">
        <f>SUMIFS('#产量数据'!116:116,'#产量数据'!$1:$1,'@产量打印#概况'!$B$1,'#产量数据'!$2:$2,'@产量打印#概况'!$B$2)</f>
        <v>14762.6</v>
      </c>
      <c r="E26" s="26">
        <f t="shared" si="0"/>
        <v>134.20545454545453</v>
      </c>
      <c r="F26" s="29">
        <v>100000</v>
      </c>
      <c r="G26" s="30">
        <f>SUMIFS('#产量数据'!116:116,'#产量数据'!$1:$1,'@产量打印#概况'!$B$1,'#产量数据'!$2:$2,"&lt;="&amp;'@产量打印#概况'!$B$2)</f>
        <v>68652.66</v>
      </c>
      <c r="H26" s="64">
        <f t="shared" si="1"/>
        <v>68.652659999999997</v>
      </c>
      <c r="I26" s="48">
        <f>D26/'@产量打印#概况'!$C$2</f>
        <v>476.21290322580649</v>
      </c>
      <c r="J26" s="30">
        <f>SUMIFS('#产量数据'!116:116,'#产量数据'!$1:$1,'@产量打印#概况'!$B$1-1,'#产量数据'!$2:$2,"&lt;="&amp;'@产量打印#概况'!$B$2)</f>
        <v>0</v>
      </c>
      <c r="K26" s="26" t="str">
        <f t="shared" si="2"/>
        <v/>
      </c>
    </row>
    <row r="27" spans="1:11" s="13" customFormat="1" ht="19.5" customHeight="1">
      <c r="A27" s="32" t="s">
        <v>1270</v>
      </c>
      <c r="B27" s="23" t="s">
        <v>1001</v>
      </c>
      <c r="C27" s="29">
        <f>C28+C29</f>
        <v>120000</v>
      </c>
      <c r="D27" s="30">
        <f>SUMIFS('#产量数据'!117:117,'#产量数据'!$1:$1,'@产量打印#概况'!$B$1,'#产量数据'!$2:$2,'@产量打印#概况'!$B$2)</f>
        <v>82484</v>
      </c>
      <c r="E27" s="26">
        <f t="shared" si="0"/>
        <v>68.736666666666665</v>
      </c>
      <c r="F27" s="29">
        <f>F28+F29</f>
        <v>1500000</v>
      </c>
      <c r="G27" s="30">
        <f>SUMIFS('#产量数据'!117:117,'#产量数据'!$1:$1,'@产量打印#概况'!$B$1,'#产量数据'!$2:$2,"&lt;="&amp;'@产量打印#概况'!$B$2)</f>
        <v>924391.19</v>
      </c>
      <c r="H27" s="64">
        <f t="shared" si="1"/>
        <v>61.62607933333333</v>
      </c>
      <c r="I27" s="48">
        <f>D27/'@产量打印#概况'!$C$2</f>
        <v>2660.7741935483873</v>
      </c>
      <c r="J27" s="30">
        <f>SUMIFS('#产量数据'!117:117,'#产量数据'!$1:$1,'@产量打印#概况'!$B$1-1,'#产量数据'!$2:$2,"&lt;="&amp;'@产量打印#概况'!$B$2)</f>
        <v>1038271.52</v>
      </c>
      <c r="K27" s="26">
        <f t="shared" si="2"/>
        <v>-10.96826098051886</v>
      </c>
    </row>
    <row r="28" spans="1:11" s="13" customFormat="1" ht="19.5" customHeight="1">
      <c r="A28" s="32" t="s">
        <v>352</v>
      </c>
      <c r="B28" s="23" t="s">
        <v>1001</v>
      </c>
      <c r="C28" s="29">
        <v>115000</v>
      </c>
      <c r="D28" s="30">
        <f>SUMIFS('#产量数据'!118:118,'#产量数据'!$1:$1,'@产量打印#概况'!$B$1,'#产量数据'!$2:$2,'@产量打印#概况'!$B$2)</f>
        <v>82484</v>
      </c>
      <c r="E28" s="26">
        <f t="shared" si="0"/>
        <v>71.725217391304355</v>
      </c>
      <c r="F28" s="29">
        <v>1450000</v>
      </c>
      <c r="G28" s="30">
        <f>SUMIFS('#产量数据'!118:118,'#产量数据'!$1:$1,'@产量打印#概况'!$B$1,'#产量数据'!$2:$2,"&lt;="&amp;'@产量打印#概况'!$B$2)</f>
        <v>894368</v>
      </c>
      <c r="H28" s="64">
        <f t="shared" si="1"/>
        <v>61.680551724137935</v>
      </c>
      <c r="I28" s="48">
        <f>D28/'@产量打印#概况'!$C$2</f>
        <v>2660.7741935483873</v>
      </c>
      <c r="J28" s="30">
        <f>SUMIFS('#产量数据'!118:118,'#产量数据'!$1:$1,'@产量打印#概况'!$B$1-1,'#产量数据'!$2:$2,"&lt;="&amp;'@产量打印#概况'!$B$2)</f>
        <v>1023313</v>
      </c>
      <c r="K28" s="26">
        <f t="shared" si="2"/>
        <v>-12.600738972337888</v>
      </c>
    </row>
    <row r="29" spans="1:11" s="13" customFormat="1" ht="19.5" customHeight="1">
      <c r="A29" s="32" t="s">
        <v>351</v>
      </c>
      <c r="B29" s="23" t="s">
        <v>1001</v>
      </c>
      <c r="C29" s="29">
        <v>5000</v>
      </c>
      <c r="D29" s="30">
        <f>SUMIFS('#产量数据'!119:119,'#产量数据'!$1:$1,'@产量打印#概况'!$B$1,'#产量数据'!$2:$2,'@产量打印#概况'!$B$2)</f>
        <v>0</v>
      </c>
      <c r="E29" s="58">
        <f t="shared" si="0"/>
        <v>0</v>
      </c>
      <c r="F29" s="29">
        <v>50000</v>
      </c>
      <c r="G29" s="30">
        <f>SUMIFS('#产量数据'!119:119,'#产量数据'!$1:$1,'@产量打印#概况'!$B$1,'#产量数据'!$2:$2,"&lt;="&amp;'@产量打印#概况'!$B$2)</f>
        <v>30023.190000000002</v>
      </c>
      <c r="H29" s="64">
        <f t="shared" si="1"/>
        <v>60.046379999999999</v>
      </c>
      <c r="I29" s="48">
        <f>D29/'@产量打印#概况'!$C$2</f>
        <v>0</v>
      </c>
      <c r="J29" s="30">
        <f>SUMIFS('#产量数据'!119:119,'#产量数据'!$1:$1,'@产量打印#概况'!$B$1-1,'#产量数据'!$2:$2,"&lt;="&amp;'@产量打印#概况'!$B$2)</f>
        <v>14958.52</v>
      </c>
      <c r="K29" s="26">
        <f t="shared" si="2"/>
        <v>100.70962902747065</v>
      </c>
    </row>
    <row r="30" spans="1:11" s="14" customFormat="1" ht="19.5" customHeight="1">
      <c r="A30" s="72" t="s">
        <v>353</v>
      </c>
      <c r="B30" s="21" t="s">
        <v>1001</v>
      </c>
      <c r="C30" s="48">
        <f>C31+C34</f>
        <v>414000</v>
      </c>
      <c r="D30" s="69">
        <f>SUMIFS('#产量数据'!120:120,'#产量数据'!$1:$1,'@产量打印#概况'!$B$1,'#产量数据'!$2:$2,'@产量打印#概况'!$B$2)</f>
        <v>418852</v>
      </c>
      <c r="E30" s="58">
        <f t="shared" si="0"/>
        <v>101.17198067632852</v>
      </c>
      <c r="F30" s="59">
        <f>F31+F34</f>
        <v>4700000</v>
      </c>
      <c r="G30" s="59">
        <f>SUMIFS('#产量数据'!120:120,'#产量数据'!$1:$1,'@产量打印#概况'!$B$1,'#产量数据'!$2:$2,"&lt;="&amp;'@产量打印#概况'!$B$2)</f>
        <v>3063730</v>
      </c>
      <c r="H30" s="73">
        <f t="shared" si="1"/>
        <v>65.185744680851059</v>
      </c>
      <c r="I30" s="59">
        <f>D30/'@产量打印#概况'!$C$2</f>
        <v>13511.354838709678</v>
      </c>
      <c r="J30" s="69">
        <f>SUMIFS('#产量数据'!120:120,'#产量数据'!$1:$1,'@产量打印#概况'!$B$1-1,'#产量数据'!$2:$2,"&lt;="&amp;'@产量打印#概况'!$B$2)</f>
        <v>3187726.08</v>
      </c>
      <c r="K30" s="26">
        <f t="shared" si="2"/>
        <v>-3.8897972061639647</v>
      </c>
    </row>
    <row r="31" spans="1:11" s="13" customFormat="1" ht="19.5" customHeight="1">
      <c r="A31" s="32" t="s">
        <v>354</v>
      </c>
      <c r="B31" s="23" t="s">
        <v>1001</v>
      </c>
      <c r="C31" s="29">
        <f>C32+C33</f>
        <v>224000</v>
      </c>
      <c r="D31" s="30">
        <f>D32+D33</f>
        <v>228564</v>
      </c>
      <c r="E31" s="26">
        <f t="shared" si="0"/>
        <v>102.03750000000001</v>
      </c>
      <c r="F31" s="29">
        <v>2600000</v>
      </c>
      <c r="G31" s="30">
        <f>G32+G33</f>
        <v>1766650</v>
      </c>
      <c r="H31" s="64">
        <f t="shared" si="1"/>
        <v>67.948076923076925</v>
      </c>
      <c r="I31" s="48">
        <f>D31/'@产量打印#概况'!$C$2</f>
        <v>7373.0322580645161</v>
      </c>
      <c r="J31" s="30">
        <f>SUMIFS('#产量数据'!121:121,'#产量数据'!$1:$1,'@产量打印#概况'!$B$1-1,'#产量数据'!$2:$2,"&lt;="&amp;'@产量打印#概况'!$B$2)</f>
        <v>1775333.08</v>
      </c>
      <c r="K31" s="26">
        <f t="shared" si="2"/>
        <v>-0.48909582645753857</v>
      </c>
    </row>
    <row r="32" spans="1:11" s="13" customFormat="1" ht="19.5" customHeight="1">
      <c r="A32" s="32" t="s">
        <v>1106</v>
      </c>
      <c r="B32" s="23" t="s">
        <v>1001</v>
      </c>
      <c r="C32" s="29">
        <v>224000</v>
      </c>
      <c r="D32" s="30">
        <f>SUMIFS('#产量数据'!122:122,'#产量数据'!$1:$1,'@产量打印#概况'!$B$1,'#产量数据'!$2:$2,'@产量打印#概况'!$B$2)</f>
        <v>228564</v>
      </c>
      <c r="E32" s="26"/>
      <c r="F32" s="29">
        <v>2600000</v>
      </c>
      <c r="G32" s="30">
        <f>SUMIFS('#产量数据'!122:122,'#产量数据'!$1:$1,'@产量打印#概况'!$B$1,'#产量数据'!$2:$2,"&lt;="&amp;'@产量打印#概况'!$B$2)</f>
        <v>1766650</v>
      </c>
      <c r="H32" s="64">
        <f>IFERROR(G32/F32*100,"")</f>
        <v>67.948076923076925</v>
      </c>
      <c r="I32" s="48">
        <f>D32/'@产量打印#概况'!$C$2</f>
        <v>7373.0322580645161</v>
      </c>
      <c r="J32" s="30">
        <f>SUMIFS('#产量数据'!122:122,'#产量数据'!$1:$1,'@产量打印#概况'!$B$1-1,'#产量数据'!$2:$2,"&lt;="&amp;'@产量打印#概况'!$B$2)</f>
        <v>1608551.08</v>
      </c>
      <c r="K32" s="26">
        <f>IFERROR((G32-J32)/J32*100,"")</f>
        <v>9.8286539958681285</v>
      </c>
    </row>
    <row r="33" spans="1:11" s="13" customFormat="1" ht="19.5" customHeight="1">
      <c r="A33" s="32" t="s">
        <v>1107</v>
      </c>
      <c r="B33" s="23" t="s">
        <v>1001</v>
      </c>
      <c r="C33" s="29"/>
      <c r="D33" s="30">
        <f>SUMIFS('#产量数据'!123:123,'#产量数据'!$1:$1,'@产量打印#概况'!$B$1,'#产量数据'!$2:$2,'@产量打印#概况'!$B$2)</f>
        <v>0</v>
      </c>
      <c r="E33" s="26"/>
      <c r="F33" s="29"/>
      <c r="G33" s="30">
        <f>SUMIFS('#产量数据'!123:123,'#产量数据'!$1:$1,'@产量打印#概况'!$B$1,'#产量数据'!$2:$2,"&lt;="&amp;'@产量打印#概况'!$B$2)</f>
        <v>0</v>
      </c>
      <c r="H33" s="64"/>
      <c r="I33" s="48">
        <f>D33/'@产量打印#概况'!$C$2</f>
        <v>0</v>
      </c>
      <c r="J33" s="30"/>
      <c r="K33" s="26"/>
    </row>
    <row r="34" spans="1:11" s="13" customFormat="1" ht="19.5" customHeight="1">
      <c r="A34" s="32" t="s">
        <v>1271</v>
      </c>
      <c r="B34" s="23" t="s">
        <v>1001</v>
      </c>
      <c r="C34" s="29">
        <v>190000</v>
      </c>
      <c r="D34" s="30">
        <f>SUMIFS('#产量数据'!124:124,'#产量数据'!$1:$1,'@产量打印#概况'!$B$1,'#产量数据'!$2:$2,'@产量打印#概况'!$B$2)</f>
        <v>190288</v>
      </c>
      <c r="E34" s="26">
        <f t="shared" si="0"/>
        <v>100.15157894736842</v>
      </c>
      <c r="F34" s="29">
        <v>2100000</v>
      </c>
      <c r="G34" s="30">
        <f>SUMIFS('#产量数据'!124:124,'#产量数据'!$1:$1,'@产量打印#概况'!$B$1,'#产量数据'!$2:$2,"&lt;="&amp;'@产量打印#概况'!$B$2)</f>
        <v>1297080</v>
      </c>
      <c r="H34" s="64">
        <f t="shared" si="1"/>
        <v>61.765714285714289</v>
      </c>
      <c r="I34" s="48">
        <f>D34/'@产量打印#概况'!$C$2</f>
        <v>6138.322580645161</v>
      </c>
      <c r="J34" s="30">
        <f>SUMIFS('#产量数据'!124:124,'#产量数据'!$1:$1,'@产量打印#概况'!$B$1-1,'#产量数据'!$2:$2,"&lt;="&amp;'@产量打印#概况'!$B$2)</f>
        <v>1412393</v>
      </c>
      <c r="K34" s="26">
        <f t="shared" si="2"/>
        <v>-8.1643706815312722</v>
      </c>
    </row>
    <row r="35" spans="1:11" s="14" customFormat="1" ht="19.5" customHeight="1">
      <c r="A35" s="72" t="s">
        <v>356</v>
      </c>
      <c r="B35" s="21" t="s">
        <v>1001</v>
      </c>
      <c r="C35" s="29">
        <v>150000</v>
      </c>
      <c r="D35" s="69">
        <f>SUMIFS('#产量数据'!125:125,'#产量数据'!$1:$1,'@产量打印#概况'!$B$1,'#产量数据'!$2:$2,'@产量打印#概况'!$B$2)</f>
        <v>265364</v>
      </c>
      <c r="E35" s="58">
        <f t="shared" si="0"/>
        <v>176.90933333333334</v>
      </c>
      <c r="F35" s="68">
        <v>1610000</v>
      </c>
      <c r="G35" s="69">
        <f>SUMIFS('#产量数据'!125:125,'#产量数据'!$1:$1,'@产量打印#概况'!$B$1,'#产量数据'!$2:$2,"&lt;="&amp;'@产量打印#概况'!$B$2)</f>
        <v>1169292.1200000001</v>
      </c>
      <c r="H35" s="73">
        <f t="shared" si="1"/>
        <v>72.626839751552808</v>
      </c>
      <c r="I35" s="59">
        <f>D35/'@产量打印#概况'!$C$2</f>
        <v>8560.1290322580644</v>
      </c>
      <c r="J35" s="69">
        <f>SUMIFS('#产量数据'!125:125,'#产量数据'!$1:$1,'@产量打印#概况'!$B$1-1,'#产量数据'!$2:$2,"&lt;="&amp;'@产量打印#概况'!$B$2)</f>
        <v>1137117</v>
      </c>
      <c r="K35" s="26">
        <f t="shared" si="2"/>
        <v>2.8295346916808133</v>
      </c>
    </row>
    <row r="36" spans="1:11" s="14" customFormat="1" ht="19.5" customHeight="1">
      <c r="A36" s="72" t="s">
        <v>357</v>
      </c>
      <c r="B36" s="21" t="s">
        <v>1001</v>
      </c>
      <c r="C36" s="29">
        <v>90000</v>
      </c>
      <c r="D36" s="69">
        <f>SUMIFS('#产量数据'!126:126,'#产量数据'!$1:$1,'@产量打印#概况'!$B$1,'#产量数据'!$2:$2,'@产量打印#概况'!$B$2)</f>
        <v>117692</v>
      </c>
      <c r="E36" s="58">
        <f t="shared" si="0"/>
        <v>130.76888888888888</v>
      </c>
      <c r="F36" s="68">
        <v>1060000</v>
      </c>
      <c r="G36" s="69">
        <f>SUMIFS('#产量数据'!126:126,'#产量数据'!$1:$1,'@产量打印#概况'!$B$1,'#产量数据'!$2:$2,"&lt;="&amp;'@产量打印#概况'!$B$2)</f>
        <v>718366</v>
      </c>
      <c r="H36" s="73">
        <f t="shared" si="1"/>
        <v>67.770377358490563</v>
      </c>
      <c r="I36" s="59">
        <f>D36/'@产量打印#概况'!$C$2</f>
        <v>3796.516129032258</v>
      </c>
      <c r="J36" s="69">
        <f>SUMIFS('#产量数据'!126:126,'#产量数据'!$1:$1,'@产量打印#概况'!$B$1-1,'#产量数据'!$2:$2,"&lt;="&amp;'@产量打印#概况'!$B$2)</f>
        <v>587153.5</v>
      </c>
      <c r="K36" s="26">
        <f t="shared" si="2"/>
        <v>22.347222659832568</v>
      </c>
    </row>
    <row r="37" spans="1:11" s="14" customFormat="1" ht="19.5" customHeight="1">
      <c r="A37" s="72" t="s">
        <v>358</v>
      </c>
      <c r="B37" s="21" t="s">
        <v>1001</v>
      </c>
      <c r="C37" s="29">
        <v>17500</v>
      </c>
      <c r="D37" s="69">
        <f>SUMIFS('#产量数据'!127:127,'#产量数据'!$1:$1,'@产量打印#概况'!$B$1,'#产量数据'!$2:$2,'@产量打印#概况'!$B$2)</f>
        <v>21553.68</v>
      </c>
      <c r="E37" s="58">
        <f t="shared" si="0"/>
        <v>123.16388571428571</v>
      </c>
      <c r="F37" s="68">
        <v>210000</v>
      </c>
      <c r="G37" s="69">
        <f>SUMIFS('#产量数据'!127:127,'#产量数据'!$1:$1,'@产量打印#概况'!$B$1,'#产量数据'!$2:$2,"&lt;="&amp;'@产量打印#概况'!$B$2)</f>
        <v>146209.49</v>
      </c>
      <c r="H37" s="73">
        <f t="shared" si="1"/>
        <v>69.623566666666662</v>
      </c>
      <c r="I37" s="59">
        <f>D37/'@产量打印#概况'!$C$2</f>
        <v>695.28</v>
      </c>
      <c r="J37" s="69">
        <f>SUMIFS('#产量数据'!127:127,'#产量数据'!$1:$1,'@产量打印#概况'!$B$1-1,'#产量数据'!$2:$2,"&lt;="&amp;'@产量打印#概况'!$B$2)</f>
        <v>105119.85699999999</v>
      </c>
      <c r="K37" s="26">
        <f t="shared" si="2"/>
        <v>39.088364627436668</v>
      </c>
    </row>
    <row r="38" spans="1:11" s="14" customFormat="1" ht="19.5" customHeight="1">
      <c r="A38" s="72" t="s">
        <v>359</v>
      </c>
      <c r="B38" s="21" t="s">
        <v>1001</v>
      </c>
      <c r="C38" s="29">
        <f>C39+C40</f>
        <v>935700</v>
      </c>
      <c r="D38" s="69">
        <f>SUMIFS('#产量数据'!128:128,'#产量数据'!$1:$1,'@产量打印#概况'!$B$1,'#产量数据'!$2:$2,'@产量打印#概况'!$B$2)</f>
        <v>1009123</v>
      </c>
      <c r="E38" s="58">
        <f t="shared" si="0"/>
        <v>107.84685262370417</v>
      </c>
      <c r="F38" s="59">
        <f>F39+F40</f>
        <v>10841000</v>
      </c>
      <c r="G38" s="69">
        <f>SUMIFS('#产量数据'!128:128,'#产量数据'!$1:$1,'@产量打印#概况'!$B$1,'#产量数据'!$2:$2,"&lt;="&amp;'@产量打印#概况'!$B$2)</f>
        <v>7307857</v>
      </c>
      <c r="H38" s="73">
        <f t="shared" si="1"/>
        <v>67.409436398856187</v>
      </c>
      <c r="I38" s="59">
        <f>D38/'@产量打印#概况'!$C$2</f>
        <v>32552.354838709678</v>
      </c>
      <c r="J38" s="69">
        <f>SUMIFS('#产量数据'!128:128,'#产量数据'!$1:$1,'@产量打印#概况'!$B$1-1,'#产量数据'!$2:$2,"&lt;="&amp;'@产量打印#概况'!$B$2)</f>
        <v>8318217</v>
      </c>
      <c r="K38" s="26">
        <f t="shared" si="2"/>
        <v>-12.146352998485133</v>
      </c>
    </row>
    <row r="39" spans="1:11" s="13" customFormat="1" ht="19.5" customHeight="1">
      <c r="A39" s="32" t="s">
        <v>360</v>
      </c>
      <c r="B39" s="23" t="s">
        <v>1001</v>
      </c>
      <c r="C39" s="29">
        <v>650000</v>
      </c>
      <c r="D39" s="30">
        <f>SUMIFS('#产量数据'!129:129,'#产量数据'!$1:$1,'@产量打印#概况'!$B$1,'#产量数据'!$2:$2,'@产量打印#概况'!$B$2)</f>
        <v>684363</v>
      </c>
      <c r="E39" s="26">
        <f t="shared" si="0"/>
        <v>105.28661538461539</v>
      </c>
      <c r="F39" s="29">
        <v>6010000</v>
      </c>
      <c r="G39" s="30">
        <f>SUMIFS('#产量数据'!129:129,'#产量数据'!$1:$1,'@产量打印#概况'!$B$1,'#产量数据'!$2:$2,"&lt;="&amp;'@产量打印#概况'!$B$2)</f>
        <v>4430528</v>
      </c>
      <c r="H39" s="64">
        <f t="shared" si="1"/>
        <v>73.719267886855249</v>
      </c>
      <c r="I39" s="48">
        <f>D39/'@产量打印#概况'!$C$2</f>
        <v>22076.225806451614</v>
      </c>
      <c r="J39" s="30">
        <f>SUMIFS('#产量数据'!129:129,'#产量数据'!$1:$1,'@产量打印#概况'!$B$1-1,'#产量数据'!$2:$2,"&lt;="&amp;'@产量打印#概况'!$B$2)</f>
        <v>4958326</v>
      </c>
      <c r="K39" s="26">
        <f t="shared" si="2"/>
        <v>-10.644681289612663</v>
      </c>
    </row>
    <row r="40" spans="1:11" s="13" customFormat="1" ht="19.5" customHeight="1">
      <c r="A40" s="32" t="s">
        <v>361</v>
      </c>
      <c r="B40" s="23" t="s">
        <v>1001</v>
      </c>
      <c r="C40" s="29">
        <v>285700</v>
      </c>
      <c r="D40" s="30">
        <f>SUMIFS('#产量数据'!130:130,'#产量数据'!$1:$1,'@产量打印#概况'!$B$1,'#产量数据'!$2:$2,'@产量打印#概况'!$B$2)</f>
        <v>324760</v>
      </c>
      <c r="E40" s="26">
        <f t="shared" si="0"/>
        <v>113.67168358417921</v>
      </c>
      <c r="F40" s="29">
        <v>4831000</v>
      </c>
      <c r="G40" s="30">
        <f>SUMIFS('#产量数据'!130:130,'#产量数据'!$1:$1,'@产量打印#概况'!$B$1,'#产量数据'!$2:$2,"&lt;="&amp;'@产量打印#概况'!$B$2)</f>
        <v>2877329</v>
      </c>
      <c r="H40" s="64">
        <f t="shared" si="1"/>
        <v>59.559697785137658</v>
      </c>
      <c r="I40" s="48">
        <f>D40/'@产量打印#概况'!$C$2</f>
        <v>10476.129032258064</v>
      </c>
      <c r="J40" s="30">
        <f>SUMIFS('#产量数据'!130:130,'#产量数据'!$1:$1,'@产量打印#概况'!$B$1-1,'#产量数据'!$2:$2,"&lt;="&amp;'@产量打印#概况'!$B$2)</f>
        <v>3359891</v>
      </c>
      <c r="K40" s="26">
        <f t="shared" si="2"/>
        <v>-14.362430209789546</v>
      </c>
    </row>
    <row r="41" spans="1:11" s="14" customFormat="1" ht="19.5" customHeight="1">
      <c r="A41" s="72" t="s">
        <v>362</v>
      </c>
      <c r="B41" s="21" t="s">
        <v>1001</v>
      </c>
      <c r="C41" s="29">
        <f>C42+C43</f>
        <v>152000</v>
      </c>
      <c r="D41" s="69">
        <f>SUMIFS('#产量数据'!131:131,'#产量数据'!$1:$1,'@产量打印#概况'!$B$1,'#产量数据'!$2:$2,'@产量打印#概况'!$B$2)</f>
        <v>207176</v>
      </c>
      <c r="E41" s="58">
        <f t="shared" si="0"/>
        <v>136.30000000000001</v>
      </c>
      <c r="F41" s="59">
        <f>F42+F43</f>
        <v>2794100</v>
      </c>
      <c r="G41" s="69">
        <f>SUMIFS('#产量数据'!131:131,'#产量数据'!$1:$1,'@产量打印#概况'!$B$1,'#产量数据'!$2:$2,"&lt;="&amp;'@产量打印#概况'!$B$2)</f>
        <v>1714987</v>
      </c>
      <c r="H41" s="73">
        <f t="shared" si="1"/>
        <v>61.378869761282708</v>
      </c>
      <c r="I41" s="59">
        <f>D41/'@产量打印#概况'!$C$2</f>
        <v>6683.0967741935483</v>
      </c>
      <c r="J41" s="69">
        <f>SUMIFS('#产量数据'!131:131,'#产量数据'!$1:$1,'@产量打印#概况'!$B$1-1,'#产量数据'!$2:$2,"&lt;="&amp;'@产量打印#概况'!$B$2)</f>
        <v>1592371.02</v>
      </c>
      <c r="K41" s="26">
        <f t="shared" si="2"/>
        <v>7.7002142377597398</v>
      </c>
    </row>
    <row r="42" spans="1:11" s="13" customFormat="1" ht="19.5" customHeight="1">
      <c r="A42" s="32" t="s">
        <v>360</v>
      </c>
      <c r="B42" s="23" t="s">
        <v>1001</v>
      </c>
      <c r="C42" s="29">
        <v>74000</v>
      </c>
      <c r="D42" s="30">
        <f>SUMIFS('#产量数据'!132:132,'#产量数据'!$1:$1,'@产量打印#概况'!$B$1,'#产量数据'!$2:$2,'@产量打印#概况'!$B$2)</f>
        <v>117932</v>
      </c>
      <c r="E42" s="26">
        <f t="shared" si="0"/>
        <v>159.36756756756756</v>
      </c>
      <c r="F42" s="29">
        <v>1294100</v>
      </c>
      <c r="G42" s="30">
        <f>SUMIFS('#产量数据'!132:132,'#产量数据'!$1:$1,'@产量打印#概况'!$B$1,'#产量数据'!$2:$2,"&lt;="&amp;'@产量打印#概况'!$B$2)</f>
        <v>851420</v>
      </c>
      <c r="H42" s="64">
        <f t="shared" si="1"/>
        <v>65.7924426242176</v>
      </c>
      <c r="I42" s="48">
        <f>D42/'@产量打印#概况'!$C$2</f>
        <v>3804.2580645161293</v>
      </c>
      <c r="J42" s="30">
        <f>SUMIFS('#产量数据'!132:132,'#产量数据'!$1:$1,'@产量打印#概况'!$B$1-1,'#产量数据'!$2:$2,"&lt;="&amp;'@产量打印#概况'!$B$2)</f>
        <v>751730.02</v>
      </c>
      <c r="K42" s="26">
        <f t="shared" si="2"/>
        <v>13.261407333446652</v>
      </c>
    </row>
    <row r="43" spans="1:11" s="13" customFormat="1" ht="19.5" customHeight="1">
      <c r="A43" s="32" t="s">
        <v>361</v>
      </c>
      <c r="B43" s="23" t="s">
        <v>1001</v>
      </c>
      <c r="C43" s="29">
        <v>78000</v>
      </c>
      <c r="D43" s="30">
        <f>SUMIFS('#产量数据'!133:133,'#产量数据'!$1:$1,'@产量打印#概况'!$B$1,'#产量数据'!$2:$2,'@产量打印#概况'!$B$2)</f>
        <v>89244</v>
      </c>
      <c r="E43" s="26">
        <f t="shared" si="0"/>
        <v>114.41538461538461</v>
      </c>
      <c r="F43" s="29">
        <v>1500000</v>
      </c>
      <c r="G43" s="30">
        <f>SUMIFS('#产量数据'!133:133,'#产量数据'!$1:$1,'@产量打印#概况'!$B$1,'#产量数据'!$2:$2,"&lt;="&amp;'@产量打印#概况'!$B$2)</f>
        <v>863567</v>
      </c>
      <c r="H43" s="64">
        <f t="shared" si="1"/>
        <v>57.571133333333336</v>
      </c>
      <c r="I43" s="48">
        <f>D43/'@产量打印#概况'!$C$2</f>
        <v>2878.8387096774195</v>
      </c>
      <c r="J43" s="30">
        <f>SUMIFS('#产量数据'!133:133,'#产量数据'!$1:$1,'@产量打印#概况'!$B$1-1,'#产量数据'!$2:$2,"&lt;="&amp;'@产量打印#概况'!$B$2)</f>
        <v>840641</v>
      </c>
      <c r="K43" s="26">
        <f t="shared" si="2"/>
        <v>2.7272045974440933</v>
      </c>
    </row>
    <row r="44" spans="1:11" s="14" customFormat="1" ht="19.5" customHeight="1">
      <c r="A44" s="72" t="s">
        <v>363</v>
      </c>
      <c r="B44" s="21" t="s">
        <v>1001</v>
      </c>
      <c r="C44" s="29">
        <f>C45+C46</f>
        <v>114400</v>
      </c>
      <c r="D44" s="69">
        <f>SUMIFS('#产量数据'!134:134,'#产量数据'!$1:$1,'@产量打印#概况'!$B$1,'#产量数据'!$2:$2,'@产量打印#概况'!$B$2)</f>
        <v>135359.64000000001</v>
      </c>
      <c r="E44" s="58">
        <f t="shared" si="0"/>
        <v>118.32136363636366</v>
      </c>
      <c r="F44" s="59">
        <f>F45+F46</f>
        <v>1835000</v>
      </c>
      <c r="G44" s="69">
        <f>SUMIFS('#产量数据'!134:134,'#产量数据'!$1:$1,'@产量打印#概况'!$B$1,'#产量数据'!$2:$2,"&lt;="&amp;'@产量打印#概况'!$B$2)</f>
        <v>1195096.611</v>
      </c>
      <c r="H44" s="73">
        <f t="shared" si="1"/>
        <v>65.127880708446867</v>
      </c>
      <c r="I44" s="59">
        <f>D44/'@产量打印#概况'!$C$2</f>
        <v>4366.4400000000005</v>
      </c>
      <c r="J44" s="69">
        <f>SUMIFS('#产量数据'!134:134,'#产量数据'!$1:$1,'@产量打印#概况'!$B$1-1,'#产量数据'!$2:$2,"&lt;="&amp;'@产量打印#概况'!$B$2)</f>
        <v>1098129.128</v>
      </c>
      <c r="K44" s="26">
        <f t="shared" si="2"/>
        <v>8.8302441422899758</v>
      </c>
    </row>
    <row r="45" spans="1:11" s="13" customFormat="1" ht="19.5" customHeight="1">
      <c r="A45" s="32" t="s">
        <v>360</v>
      </c>
      <c r="B45" s="23" t="s">
        <v>1001</v>
      </c>
      <c r="C45" s="29">
        <v>74400</v>
      </c>
      <c r="D45" s="30">
        <f>SUMIFS('#产量数据'!135:135,'#产量数据'!$1:$1,'@产量打印#概况'!$B$1,'#产量数据'!$2:$2,'@产量打印#概况'!$B$2)</f>
        <v>92973.35</v>
      </c>
      <c r="E45" s="26">
        <f t="shared" si="0"/>
        <v>124.96418010752689</v>
      </c>
      <c r="F45" s="29">
        <v>1085000</v>
      </c>
      <c r="G45" s="30">
        <f>SUMIFS('#产量数据'!135:135,'#产量数据'!$1:$1,'@产量打印#概况'!$B$1,'#产量数据'!$2:$2,"&lt;="&amp;'@产量打印#概况'!$B$2)</f>
        <v>755226.12099999993</v>
      </c>
      <c r="H45" s="64">
        <f t="shared" si="1"/>
        <v>69.606094101382482</v>
      </c>
      <c r="I45" s="48">
        <f>D45/'@产量打印#概况'!$C$2</f>
        <v>2999.1403225806453</v>
      </c>
      <c r="J45" s="30">
        <f>SUMIFS('#产量数据'!135:135,'#产量数据'!$1:$1,'@产量打印#概况'!$B$1-1,'#产量数据'!$2:$2,"&lt;="&amp;'@产量打印#概况'!$B$2)</f>
        <v>677273.07799999998</v>
      </c>
      <c r="K45" s="26">
        <f t="shared" si="2"/>
        <v>11.509839314770453</v>
      </c>
    </row>
    <row r="46" spans="1:11" s="13" customFormat="1" ht="19.5" customHeight="1">
      <c r="A46" s="33" t="s">
        <v>361</v>
      </c>
      <c r="B46" s="34" t="s">
        <v>1001</v>
      </c>
      <c r="C46" s="49">
        <v>40000</v>
      </c>
      <c r="D46" s="50">
        <f>SUMIFS('#产量数据'!136:136,'#产量数据'!$1:$1,'@产量打印#概况'!$B$1,'#产量数据'!$2:$2,'@产量打印#概况'!$B$2)</f>
        <v>42386.29</v>
      </c>
      <c r="E46" s="74">
        <f t="shared" si="0"/>
        <v>105.96572500000001</v>
      </c>
      <c r="F46" s="49">
        <v>750000</v>
      </c>
      <c r="G46" s="50">
        <f>SUMIFS('#产量数据'!136:136,'#产量数据'!$1:$1,'@产量打印#概况'!$B$1,'#产量数据'!$2:$2,"&lt;="&amp;'@产量打印#概况'!$B$2)</f>
        <v>439870.49</v>
      </c>
      <c r="H46" s="75">
        <f t="shared" si="1"/>
        <v>58.649398666666663</v>
      </c>
      <c r="I46" s="43">
        <f>D46/'@产量打印#概况'!$C$2</f>
        <v>1367.2996774193548</v>
      </c>
      <c r="J46" s="50">
        <f>SUMIFS('#产量数据'!136:136,'#产量数据'!$1:$1,'@产量打印#概况'!$B$1-1,'#产量数据'!$2:$2,"&lt;="&amp;'@产量打印#概况'!$B$2)</f>
        <v>420856.05</v>
      </c>
      <c r="K46" s="26">
        <f t="shared" si="2"/>
        <v>4.5180388876434119</v>
      </c>
    </row>
  </sheetData>
  <customSheetViews>
    <customSheetView guid="{1683F931-F47D-47C0-A395-D48080DC7EE6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63" orientation="landscape" r:id="rId1"/>
    </customSheetView>
    <customSheetView guid="{43897816-D2F0-4C3D-8F57-E0039BD2296B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63" orientation="landscape" r:id="rId2"/>
    </customSheetView>
    <customSheetView guid="{849C46E5-4ED4-41B9-BDA9-A6465B9DA9C2}" scale="85" showPageBreaks="1" fitToPage="1" printArea="1" view="pageBreakPreview" topLeftCell="A22">
      <selection activeCell="H4" sqref="H4"/>
      <pageMargins left="0.70763888888888904" right="0.70763888888888904" top="0.74791666666666701" bottom="0.74791666666666701" header="0.31388888888888899" footer="0.31388888888888899"/>
      <pageSetup paperSize="9" scale="63" orientation="landscape" r:id="rId3"/>
    </customSheetView>
    <customSheetView guid="{8C09BCDE-4B8A-4469-B3F2-7F4528A2E78D}" scale="85" showPageBreaks="1" fitToPage="1" printArea="1" view="pageBreakPreview" topLeftCell="A22">
      <selection activeCell="H4" sqref="H4"/>
      <pageMargins left="0.70763888888888904" right="0.70763888888888904" top="0.74791666666666701" bottom="0.74791666666666701" header="0.31388888888888899" footer="0.31388888888888899"/>
      <pageSetup paperSize="9" scale="63" orientation="landscape" r:id="rId4"/>
    </customSheetView>
    <customSheetView guid="{F4EB51F4-FD23-4D5B-8072-1AF5D59D6686}" scale="85" showPageBreaks="1" fitToPage="1" printArea="1" view="pageBreakPreview" topLeftCell="A22">
      <selection activeCell="H4" sqref="H4"/>
      <pageMargins left="0.70763888888888904" right="0.70763888888888904" top="0.74791666666666701" bottom="0.74791666666666701" header="0.31388888888888899" footer="0.31388888888888899"/>
      <pageSetup paperSize="9" scale="63" orientation="landscape" r:id="rId5"/>
    </customSheetView>
    <customSheetView guid="{D7BCFB76-2797-401D-A6F1-E020B5162DD4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61" orientation="landscape" r:id="rId6"/>
    </customSheetView>
    <customSheetView guid="{C9A88430-3808-49F4-8D86-BF8C70C55441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63" orientation="landscape" r:id="rId7"/>
    </customSheetView>
    <customSheetView guid="{E61FFED3-723E-484A-93A0-94E1A801AF06}" scale="85" showPageBreaks="1" fitToPage="1" printArea="1" view="pageBreakPreview">
      <selection activeCell="C10" sqref="C10"/>
      <pageMargins left="0.70763888888888904" right="0.70763888888888904" top="0.74791666666666701" bottom="0.74791666666666701" header="0.31388888888888899" footer="0.31388888888888899"/>
      <pageSetup paperSize="9" scale="63" orientation="landscape" r:id="rId8"/>
    </customSheetView>
    <customSheetView guid="{6B5CCA07-2BDD-4B8E-9E3C-2111BBA97430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64" orientation="landscape" r:id="rId9"/>
    </customSheetView>
    <customSheetView guid="{2F47A827-9643-4D8A-AC5D-6B09D79AACF9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63" orientation="landscape" r:id="rId10"/>
    </customSheetView>
    <customSheetView guid="{B37168A1-DBAB-4BDE-9F92-6261DCDF3D92}" scale="85" showPageBreaks="1" fitToPage="1" printArea="1" view="pageBreakPreview">
      <selection activeCell="D12" sqref="D12"/>
      <pageMargins left="0.70763888888888904" right="0.70763888888888904" top="0.74791666666666701" bottom="0.74791666666666701" header="0.31388888888888899" footer="0.31388888888888899"/>
      <pageSetup paperSize="9" scale="61" orientation="landscape" r:id="rId11"/>
    </customSheetView>
    <customSheetView guid="{AE0DD889-C13C-4059-8024-0F5B234827E9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59" orientation="landscape" r:id="rId12"/>
    </customSheetView>
    <customSheetView guid="{CCBBD9B0-4191-4D7A-9F7B-BAC044A49153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52" orientation="portrait"/>
    </customSheetView>
    <customSheetView guid="{F5F9735B-EE22-4AC6-B5AB-C856ED6C133D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59" orientation="landscape"/>
    </customSheetView>
    <customSheetView guid="{45B4C0D1-53B6-4553-BFF9-393760B8E0CE}" scale="85" showPageBreaks="1" fitToPage="1" printArea="1" view="pageBreakPreview" topLeftCell="A4">
      <selection activeCell="C44" sqref="C44"/>
      <pageMargins left="0.70763888888888904" right="0.70763888888888904" top="0.74791666666666701" bottom="0.74791666666666701" header="0.31388888888888899" footer="0.31388888888888899"/>
      <pageSetup paperSize="9" scale="63" orientation="landscape"/>
    </customSheetView>
    <customSheetView guid="{1BBD1596-143E-4714-99EF-E3545231CCD1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63" orientation="landscape"/>
    </customSheetView>
    <customSheetView guid="{A8456D60-99BA-4794-8966-0CBA0A37EA6F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68" orientation="landscape"/>
    </customSheetView>
    <customSheetView guid="{500C3980-ED13-4C97-96B1-955D50509B66}" scale="85" showPageBreaks="1" fitToPage="1" printArea="1" view="pageBreakPreview">
      <selection activeCell="I25" sqref="I25"/>
      <pageMargins left="0.70763888888888904" right="0.70763888888888904" top="0.74791666666666701" bottom="0.74791666666666701" header="0.31388888888888899" footer="0.31388888888888899"/>
      <pageSetup paperSize="9" scale="68" orientation="landscape"/>
    </customSheetView>
    <customSheetView guid="{3B943BAF-34C7-494A-A071-85DE0891E5A1}" scale="85" showPageBreaks="1" fitToPage="1" printArea="1" view="pageBreakPreview" topLeftCell="A15">
      <selection activeCell="F42" sqref="F42"/>
      <pageMargins left="0.70763888888888904" right="0.70763888888888904" top="0.74791666666666701" bottom="0.74791666666666701" header="0.31388888888888899" footer="0.31388888888888899"/>
      <pageSetup paperSize="9" scale="59" orientation="landscape"/>
    </customSheetView>
    <customSheetView guid="{EEE4B3DA-ADF6-49CC-9873-068FE5927B92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63" orientation="landscape"/>
    </customSheetView>
    <customSheetView guid="{C52D0F53-4D1D-4D01-B833-260359FD02A5}" scale="85" showPageBreaks="1" fitToPage="1" printArea="1" view="pageBreakPreview">
      <selection activeCell="G21" sqref="G21"/>
      <pageMargins left="0.70763888888888904" right="0.70763888888888904" top="0.74791666666666701" bottom="0.74791666666666701" header="0.31388888888888899" footer="0.31388888888888899"/>
      <pageSetup paperSize="9" scale="63" orientation="landscape" r:id="rId13"/>
    </customSheetView>
    <customSheetView guid="{6A1E79C9-91E3-4EEA-8ABB-4446083299EC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63" orientation="landscape" r:id="rId14"/>
    </customSheetView>
    <customSheetView guid="{8B80B510-C931-46B1-8591-DEA916D76593}" scale="85" showPageBreaks="1" fitToPage="1" printArea="1" view="pageBreakPreview" topLeftCell="A26">
      <selection activeCell="E35" sqref="E35"/>
      <pageMargins left="0.70763888888888904" right="0.70763888888888904" top="0.74791666666666701" bottom="0.74791666666666701" header="0.31388888888888899" footer="0.31388888888888899"/>
      <pageSetup paperSize="9" scale="63" orientation="landscape" r:id="rId15"/>
    </customSheetView>
    <customSheetView guid="{303A9D89-611D-4504-BCAA-071C53B021F7}" scale="85" showPageBreaks="1" fitToPage="1" printArea="1" view="pageBreakPreview">
      <selection activeCell="H4" sqref="H4"/>
      <pageMargins left="0.70763888888888904" right="0.70763888888888904" top="0.74791666666666701" bottom="0.74791666666666701" header="0.31388888888888899" footer="0.31388888888888899"/>
      <pageSetup paperSize="9" scale="63" orientation="landscape" r:id="rId16"/>
    </customSheetView>
    <customSheetView guid="{4583A87D-5DFF-47BD-849A-FA4AAF2B9CE3}" scale="85" showPageBreaks="1" fitToPage="1" printArea="1" view="pageBreakPreview">
      <selection activeCell="G15" sqref="G15"/>
      <pageMargins left="0.70763888888888904" right="0.70763888888888904" top="0.74791666666666701" bottom="0.74791666666666701" header="0.31388888888888899" footer="0.31388888888888899"/>
      <pageSetup paperSize="9" scale="63" orientation="landscape" r:id="rId17"/>
    </customSheetView>
    <customSheetView guid="{EA856AC2-CDFF-46B6-B0C4-30449DF132F4}" scale="85" showPageBreaks="1" fitToPage="1" printArea="1" view="pageBreakPreview" topLeftCell="A26">
      <selection activeCell="E35" sqref="E35"/>
      <pageMargins left="0.70763888888888904" right="0.70763888888888904" top="0.74791666666666701" bottom="0.74791666666666701" header="0.31388888888888899" footer="0.31388888888888899"/>
      <pageSetup paperSize="9" scale="63" orientation="landscape" r:id="rId18"/>
    </customSheetView>
    <customSheetView guid="{322A45A6-8B26-49B8-A4D9-EFB3C94A758D}" scale="85" showPageBreaks="1" fitToPage="1" printArea="1" view="pageBreakPreview">
      <selection activeCell="C47" sqref="C47"/>
      <pageMargins left="0.70763888888888904" right="0.70763888888888904" top="0.74791666666666701" bottom="0.74791666666666701" header="0.31388888888888899" footer="0.31388888888888899"/>
      <pageSetup paperSize="9" scale="63" orientation="landscape" r:id="rId19"/>
    </customSheetView>
  </customSheetViews>
  <mergeCells count="9">
    <mergeCell ref="A3:K3"/>
    <mergeCell ref="E4:F4"/>
    <mergeCell ref="C5:E5"/>
    <mergeCell ref="F5:H5"/>
    <mergeCell ref="A5:A6"/>
    <mergeCell ref="B5:B6"/>
    <mergeCell ref="I5:I6"/>
    <mergeCell ref="J5:J6"/>
    <mergeCell ref="K5:K6"/>
  </mergeCells>
  <phoneticPr fontId="133" type="noConversion"/>
  <pageMargins left="0.70763888888888904" right="0.70763888888888904" top="0.74791666666666701" bottom="0.74791666666666701" header="0.31388888888888899" footer="0.31388888888888899"/>
  <pageSetup paperSize="9" scale="63" orientation="landscape" r:id="rId2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7" tint="0.39762565996276744"/>
    <pageSetUpPr fitToPage="1"/>
  </sheetPr>
  <dimension ref="A1:K42"/>
  <sheetViews>
    <sheetView view="pageBreakPreview" zoomScale="85" zoomScaleNormal="100" zoomScaleSheetLayoutView="85" workbookViewId="0">
      <selection activeCell="G16" sqref="G16"/>
    </sheetView>
  </sheetViews>
  <sheetFormatPr defaultColWidth="9" defaultRowHeight="14.25"/>
  <cols>
    <col min="1" max="1" width="28.75" customWidth="1"/>
    <col min="2" max="2" width="12" customWidth="1"/>
    <col min="3" max="11" width="15.5" customWidth="1"/>
  </cols>
  <sheetData>
    <row r="1" spans="1:11">
      <c r="A1" t="str">
        <f>'@产量打印#矿产品'!A1</f>
        <v>年度</v>
      </c>
      <c r="B1">
        <f>'@产量打印#矿产品'!B1</f>
        <v>2021</v>
      </c>
      <c r="C1" t="str">
        <f>'@产量打印#矿产品'!C1</f>
        <v>天数</v>
      </c>
    </row>
    <row r="2" spans="1:11">
      <c r="A2" t="str">
        <f>'@产量打印#矿产品'!A2</f>
        <v>月份</v>
      </c>
      <c r="B2">
        <f>'@产量打印#矿产品'!B2</f>
        <v>8</v>
      </c>
      <c r="C2">
        <f>'@产量打印#矿产品'!C2</f>
        <v>31</v>
      </c>
    </row>
    <row r="3" spans="1:11" s="13" customFormat="1" ht="45" customHeight="1">
      <c r="A3" s="2763" t="s">
        <v>1036</v>
      </c>
      <c r="B3" s="2763"/>
      <c r="C3" s="2763"/>
      <c r="D3" s="2763"/>
      <c r="E3" s="2763"/>
      <c r="F3" s="2763"/>
      <c r="G3" s="2763"/>
      <c r="H3" s="2763"/>
      <c r="I3" s="2763"/>
      <c r="J3" s="2763"/>
      <c r="K3" s="2763"/>
    </row>
    <row r="4" spans="1:11" s="13" customFormat="1" ht="15.75">
      <c r="A4" s="15" t="s">
        <v>1021</v>
      </c>
      <c r="B4" s="53"/>
      <c r="C4" s="53"/>
      <c r="D4" s="54"/>
      <c r="E4" s="2781" t="str">
        <f>'@产量打印#概况'!$B$1&amp;"年"&amp;'@产量打印#概况'!$B$2&amp;"月"</f>
        <v>2021年8月</v>
      </c>
      <c r="F4" s="2781"/>
      <c r="G4" s="53"/>
      <c r="H4" s="53"/>
      <c r="I4" s="53"/>
      <c r="J4" s="53"/>
      <c r="K4" s="53"/>
    </row>
    <row r="5" spans="1:11" s="13" customFormat="1" ht="19.5" customHeight="1">
      <c r="A5" s="2768" t="s">
        <v>1022</v>
      </c>
      <c r="B5" s="2770" t="s">
        <v>1023</v>
      </c>
      <c r="C5" s="2765" t="str">
        <f>'@产量打印#概况'!$B$2&amp;" 月 份"</f>
        <v>8 月 份</v>
      </c>
      <c r="D5" s="2765"/>
      <c r="E5" s="2765"/>
      <c r="F5" s="2765" t="s">
        <v>1030</v>
      </c>
      <c r="G5" s="2765"/>
      <c r="H5" s="2765"/>
      <c r="I5" s="2770" t="s">
        <v>1031</v>
      </c>
      <c r="J5" s="2765" t="s">
        <v>1027</v>
      </c>
      <c r="K5" s="2782" t="s">
        <v>1032</v>
      </c>
    </row>
    <row r="6" spans="1:11" s="13" customFormat="1" ht="19.5" customHeight="1">
      <c r="A6" s="2769"/>
      <c r="B6" s="2690"/>
      <c r="C6" s="21" t="s">
        <v>1033</v>
      </c>
      <c r="D6" s="21" t="s">
        <v>1034</v>
      </c>
      <c r="E6" s="21" t="s">
        <v>1035</v>
      </c>
      <c r="F6" s="21" t="s">
        <v>1024</v>
      </c>
      <c r="G6" s="21" t="s">
        <v>1034</v>
      </c>
      <c r="H6" s="21" t="s">
        <v>1035</v>
      </c>
      <c r="I6" s="2690"/>
      <c r="J6" s="2675"/>
      <c r="K6" s="2783"/>
    </row>
    <row r="7" spans="1:11" s="14" customFormat="1" ht="19.5" customHeight="1">
      <c r="A7" s="55" t="s">
        <v>294</v>
      </c>
      <c r="B7" s="21" t="s">
        <v>1001</v>
      </c>
      <c r="C7" s="56">
        <v>385000</v>
      </c>
      <c r="D7" s="57">
        <f>SUMIFS('#产量数据'!32:32,'#产量数据'!$1:$1,'@产量打印#概况'!$B$1,'#产量数据'!$2:$2,'@产量打印#概况'!$B$2)</f>
        <v>377980</v>
      </c>
      <c r="E7" s="58">
        <f t="shared" ref="E7:E42" si="0">IFERROR(D7/C7*100,"")</f>
        <v>98.176623376623368</v>
      </c>
      <c r="F7" s="59">
        <v>4300000</v>
      </c>
      <c r="G7" s="60">
        <f>SUMIFS('#产量数据'!32:32,'#产量数据'!$1:$1,'@产量打印#概况'!$B$1,'#产量数据'!$2:$2,"&lt;="&amp;'@产量打印#概况'!$B$2)</f>
        <v>2947689.4170000004</v>
      </c>
      <c r="H7" s="58">
        <f t="shared" ref="H7:H42" si="1">IFERROR(G7/F7*100,"")</f>
        <v>68.550916674418616</v>
      </c>
      <c r="I7" s="59">
        <f>D7/'@产量打印#概况'!$C$2</f>
        <v>12192.903225806451</v>
      </c>
      <c r="J7" s="60">
        <f>SUMIFS('#产量数据'!32:32,'#产量数据'!$1:$1,'@产量打印#概况'!$B$1-1,'#产量数据'!$2:$2,"&lt;="&amp;'@产量打印#概况'!$B$2)</f>
        <v>2709806.7650000001</v>
      </c>
      <c r="K7" s="26">
        <f t="shared" ref="K7:K42" si="2">IFERROR((G7-J7)/J7*100,"")</f>
        <v>8.778583590258334</v>
      </c>
    </row>
    <row r="8" spans="1:11" s="13" customFormat="1" ht="19.5" customHeight="1">
      <c r="A8" s="22" t="s">
        <v>295</v>
      </c>
      <c r="B8" s="23" t="s">
        <v>1001</v>
      </c>
      <c r="C8" s="61">
        <v>157850</v>
      </c>
      <c r="D8" s="46">
        <f>SUMIFS('#产量数据'!33:33,'#产量数据'!$1:$1,'@产量打印#概况'!$B$1,'#产量数据'!$2:$2,'@产量打印#概况'!$B$2)</f>
        <v>172101</v>
      </c>
      <c r="E8" s="26">
        <f t="shared" si="0"/>
        <v>109.02819132087424</v>
      </c>
      <c r="F8" s="23">
        <v>1935000</v>
      </c>
      <c r="G8" s="41">
        <f>SUMIFS('#产量数据'!33:33,'#产量数据'!$1:$1,'@产量打印#概况'!$B$1,'#产量数据'!$2:$2,"&lt;="&amp;'@产量打印#概况'!$B$2)</f>
        <v>1295339.236</v>
      </c>
      <c r="H8" s="58">
        <f t="shared" si="1"/>
        <v>66.942596175710605</v>
      </c>
      <c r="I8" s="48">
        <f>D8/'@产量打印#概况'!$C$2</f>
        <v>5551.6451612903229</v>
      </c>
      <c r="J8" s="48">
        <f>SUMIFS('#产量数据'!33:33,'#产量数据'!$1:$1,'@产量打印#概况'!$B$1-1,'#产量数据'!$2:$2,"&lt;="&amp;'@产量打印#概况'!$B$2)</f>
        <v>1134489.3810000001</v>
      </c>
      <c r="K8" s="26">
        <f t="shared" si="2"/>
        <v>14.178171933016973</v>
      </c>
    </row>
    <row r="9" spans="1:11" s="13" customFormat="1" ht="19.5" customHeight="1">
      <c r="A9" s="22" t="s">
        <v>296</v>
      </c>
      <c r="B9" s="23" t="s">
        <v>1037</v>
      </c>
      <c r="C9" s="26">
        <f>IFERROR(C8/C7*100,"")</f>
        <v>41</v>
      </c>
      <c r="D9" s="26">
        <f>IFERROR(D8/D7*100,"")</f>
        <v>45.531774167945393</v>
      </c>
      <c r="E9" s="26">
        <f t="shared" si="0"/>
        <v>111.05310772669608</v>
      </c>
      <c r="F9" s="26">
        <f>IFERROR(F8/F7*100,"")</f>
        <v>45</v>
      </c>
      <c r="G9" s="26">
        <f>IFERROR(G8/G7*100,"")</f>
        <v>43.94422385647151</v>
      </c>
      <c r="H9" s="58">
        <f t="shared" si="1"/>
        <v>97.653830792158914</v>
      </c>
      <c r="I9" s="26">
        <f>IFERROR(I8/I7*100,"")</f>
        <v>45.5317741679454</v>
      </c>
      <c r="J9" s="26">
        <f>IFERROR(J8/J7*100,"")</f>
        <v>41.866062025275077</v>
      </c>
      <c r="K9" s="26">
        <f t="shared" si="2"/>
        <v>4.96383402370593</v>
      </c>
    </row>
    <row r="10" spans="1:11" s="14" customFormat="1" ht="19.5" customHeight="1">
      <c r="A10" s="55" t="s">
        <v>284</v>
      </c>
      <c r="B10" s="21" t="s">
        <v>1001</v>
      </c>
      <c r="C10" s="62">
        <f>'@产量打印#钢'!C18</f>
        <v>45000</v>
      </c>
      <c r="D10" s="57">
        <f>SUMIFS('#产量数据'!35:35,'#产量数据'!$1:$1,'@产量打印#概况'!$B$1,'#产量数据'!$2:$2,'@产量打印#概况'!$B$2)</f>
        <v>44586</v>
      </c>
      <c r="E10" s="26">
        <f t="shared" si="0"/>
        <v>99.08</v>
      </c>
      <c r="F10" s="57">
        <v>490000</v>
      </c>
      <c r="G10" s="60">
        <f>SUMIFS('#产量数据'!35:35,'#产量数据'!$1:$1,'@产量打印#概况'!$B$1,'#产量数据'!$2:$2,"&lt;="&amp;'@产量打印#概况'!$B$2)</f>
        <v>329131.27999999997</v>
      </c>
      <c r="H10" s="58">
        <f t="shared" si="1"/>
        <v>67.169648979591841</v>
      </c>
      <c r="I10" s="59">
        <f>D10/'@产量打印#概况'!$C$2</f>
        <v>1438.258064516129</v>
      </c>
      <c r="J10" s="60">
        <f>SUMIFS('#产量数据'!35:35,'#产量数据'!$1:$1,'@产量打印#概况'!$B$1-1,'#产量数据'!$2:$2,"&lt;="&amp;'@产量打印#概况'!$B$2)</f>
        <v>298154.57700000005</v>
      </c>
      <c r="K10" s="26">
        <f t="shared" si="2"/>
        <v>10.389477603089055</v>
      </c>
    </row>
    <row r="11" spans="1:11" s="14" customFormat="1" ht="19.5" customHeight="1">
      <c r="A11" s="55" t="s">
        <v>289</v>
      </c>
      <c r="B11" s="21" t="s">
        <v>1001</v>
      </c>
      <c r="C11" s="48">
        <f>C12+C13</f>
        <v>340000</v>
      </c>
      <c r="D11" s="57">
        <f>SUMIFS('#产量数据'!36:36,'#产量数据'!$1:$1,'@产量打印#概况'!$B$1,'#产量数据'!$2:$2,'@产量打印#概况'!$B$2)</f>
        <v>333394</v>
      </c>
      <c r="E11" s="26">
        <f t="shared" si="0"/>
        <v>98.057058823529403</v>
      </c>
      <c r="F11" s="57">
        <f>F12+F13</f>
        <v>3810000</v>
      </c>
      <c r="G11" s="60">
        <f>SUMIFS('#产量数据'!36:36,'#产量数据'!$1:$1,'@产量打印#概况'!$B$1,'#产量数据'!$2:$2,"&lt;="&amp;'@产量打印#概况'!$B$2)</f>
        <v>2618558.1369999996</v>
      </c>
      <c r="H11" s="58">
        <f t="shared" si="1"/>
        <v>68.728560026246711</v>
      </c>
      <c r="I11" s="59">
        <f>D11/'@产量打印#概况'!$C$2</f>
        <v>10754.645161290322</v>
      </c>
      <c r="J11" s="60">
        <f>SUMIFS('#产量数据'!36:36,'#产量数据'!$1:$1,'@产量打印#概况'!$B$1-1,'#产量数据'!$2:$2,"&lt;="&amp;'@产量打印#概况'!$B$2)</f>
        <v>2411652.1880000001</v>
      </c>
      <c r="K11" s="26">
        <f t="shared" si="2"/>
        <v>8.5794274161726491</v>
      </c>
    </row>
    <row r="12" spans="1:11" s="13" customFormat="1" ht="19.5" customHeight="1">
      <c r="A12" s="22" t="s">
        <v>297</v>
      </c>
      <c r="B12" s="23" t="s">
        <v>1001</v>
      </c>
      <c r="C12" s="62">
        <f>'@产量打印#钢'!C24</f>
        <v>57000</v>
      </c>
      <c r="D12" s="46">
        <f>SUMIFS('#产量数据'!37:37,'#产量数据'!$1:$1,'@产量打印#概况'!$B$1,'#产量数据'!$2:$2,'@产量打印#概况'!$B$2)</f>
        <v>56180</v>
      </c>
      <c r="E12" s="26">
        <f t="shared" si="0"/>
        <v>98.561403508771932</v>
      </c>
      <c r="F12" s="46">
        <v>650000</v>
      </c>
      <c r="G12" s="48">
        <f>SUMIFS('#产量数据'!37:37,'#产量数据'!$1:$1,'@产量打印#概况'!$B$1,'#产量数据'!$2:$2,"&lt;="&amp;'@产量打印#概况'!$B$2)</f>
        <v>452805.36</v>
      </c>
      <c r="H12" s="58">
        <f t="shared" si="1"/>
        <v>69.662363076923072</v>
      </c>
      <c r="I12" s="48">
        <f>D12/'@产量打印#概况'!$C$2</f>
        <v>1812.258064516129</v>
      </c>
      <c r="J12" s="41">
        <f>SUMIFS('#产量数据'!37:37,'#产量数据'!$1:$1,'@产量打印#概况'!$B$1-1,'#产量数据'!$2:$2,"&lt;="&amp;'@产量打印#概况'!$B$2)</f>
        <v>400970.576</v>
      </c>
      <c r="K12" s="26">
        <f t="shared" si="2"/>
        <v>12.927328612760849</v>
      </c>
    </row>
    <row r="13" spans="1:11" s="13" customFormat="1" ht="19.5" customHeight="1">
      <c r="A13" s="22" t="s">
        <v>298</v>
      </c>
      <c r="B13" s="23" t="s">
        <v>1001</v>
      </c>
      <c r="C13" s="62">
        <f>'@产量打印#钢'!C29</f>
        <v>283000</v>
      </c>
      <c r="D13" s="46">
        <f>SUMIFS('#产量数据'!38:38,'#产量数据'!$1:$1,'@产量打印#概况'!$B$1,'#产量数据'!$2:$2,'@产量打印#概况'!$B$2)</f>
        <v>277214</v>
      </c>
      <c r="E13" s="26">
        <f t="shared" si="0"/>
        <v>97.955477031802118</v>
      </c>
      <c r="F13" s="46">
        <v>3160000</v>
      </c>
      <c r="G13" s="48">
        <f>SUMIFS('#产量数据'!38:38,'#产量数据'!$1:$1,'@产量打印#概况'!$B$1,'#产量数据'!$2:$2,"&lt;="&amp;'@产量打印#概况'!$B$2)</f>
        <v>2165752.7770000002</v>
      </c>
      <c r="H13" s="58">
        <f t="shared" si="1"/>
        <v>68.536480284810125</v>
      </c>
      <c r="I13" s="48">
        <f>D13/'@产量打印#概况'!$C$2</f>
        <v>8942.3870967741932</v>
      </c>
      <c r="J13" s="41">
        <f>SUMIFS('#产量数据'!38:38,'#产量数据'!$1:$1,'@产量打印#概况'!$B$1-1,'#产量数据'!$2:$2,"&lt;="&amp;'@产量打印#概况'!$B$2)</f>
        <v>2010681.612</v>
      </c>
      <c r="K13" s="26">
        <f t="shared" si="2"/>
        <v>7.7123679887713754</v>
      </c>
    </row>
    <row r="14" spans="1:11" s="14" customFormat="1" ht="19.5" customHeight="1">
      <c r="A14" s="55" t="s">
        <v>326</v>
      </c>
      <c r="B14" s="21" t="s">
        <v>1001</v>
      </c>
      <c r="C14" s="47">
        <f>C17+C21</f>
        <v>355000</v>
      </c>
      <c r="D14" s="57">
        <f>SUMIFS('#产量数据'!68:68,'#产量数据'!$1:$1,'@产量打印#概况'!$B$1,'#产量数据'!$2:$2,'@产量打印#概况'!$B$2)</f>
        <v>344126.47700000001</v>
      </c>
      <c r="E14" s="26">
        <f t="shared" si="0"/>
        <v>96.937035774647896</v>
      </c>
      <c r="F14" s="57">
        <f>F17+F21</f>
        <v>3890000</v>
      </c>
      <c r="G14" s="60">
        <f>SUMIFS('#产量数据'!68:68,'#产量数据'!$1:$1,'@产量打印#概况'!$B$1,'#产量数据'!$2:$2,"&lt;="&amp;'@产量打印#概况'!$B$2)</f>
        <v>2746300.9980000001</v>
      </c>
      <c r="H14" s="58">
        <f t="shared" si="1"/>
        <v>70.598997377892033</v>
      </c>
      <c r="I14" s="59">
        <f>D14/'@产量打印#概况'!$C$2</f>
        <v>11100.854096774194</v>
      </c>
      <c r="J14" s="60">
        <f>SUMIFS('#产量数据'!68:68,'#产量数据'!$1:$1,'@产量打印#概况'!$B$1-1,'#产量数据'!$2:$2,"&lt;="&amp;'@产量打印#概况'!$B$2)</f>
        <v>2389047.4496999998</v>
      </c>
      <c r="K14" s="26">
        <f t="shared" si="2"/>
        <v>14.953807147901637</v>
      </c>
    </row>
    <row r="15" spans="1:11" s="13" customFormat="1" ht="19.5" customHeight="1">
      <c r="A15" s="63" t="s">
        <v>327</v>
      </c>
      <c r="B15" s="23" t="s">
        <v>1001</v>
      </c>
      <c r="C15" s="29">
        <v>145550</v>
      </c>
      <c r="D15" s="46">
        <f>SUMIFS('#产量数据'!69:69,'#产量数据'!$1:$1,'@产量打印#概况'!$B$1,'#产量数据'!$2:$2,'@产量打印#概况'!$B$2)</f>
        <v>151439.0674</v>
      </c>
      <c r="E15" s="26">
        <f t="shared" si="0"/>
        <v>104.04607859841978</v>
      </c>
      <c r="F15" s="23">
        <v>1750500</v>
      </c>
      <c r="G15" s="41">
        <f>SUMIFS('#产量数据'!69:69,'#产量数据'!$1:$1,'@产量打印#概况'!$B$1,'#产量数据'!$2:$2,"&lt;="&amp;'@产量打印#概况'!$B$2)</f>
        <v>1204402.8146000002</v>
      </c>
      <c r="H15" s="58">
        <f t="shared" si="1"/>
        <v>68.803359874321629</v>
      </c>
      <c r="I15" s="48">
        <f>D15/'@产量打印#概况'!$C$2</f>
        <v>4885.1312064516133</v>
      </c>
      <c r="J15" s="41">
        <f>SUMIFS('#产量数据'!69:69,'#产量数据'!$1:$1,'@产量打印#概况'!$B$1-1,'#产量数据'!$2:$2,"&lt;="&amp;'@产量打印#概况'!$B$2)</f>
        <v>1046025.2888</v>
      </c>
      <c r="K15" s="26">
        <f t="shared" si="2"/>
        <v>15.140888800278516</v>
      </c>
    </row>
    <row r="16" spans="1:11" s="13" customFormat="1" ht="19.5" customHeight="1">
      <c r="A16" s="63" t="s">
        <v>328</v>
      </c>
      <c r="B16" s="23" t="s">
        <v>1037</v>
      </c>
      <c r="C16" s="26">
        <f>C15/C14*100</f>
        <v>41</v>
      </c>
      <c r="D16" s="64">
        <f>SUMIFS('#产量数据'!70:70,'#产量数据'!$1:$1,'@产量打印#概况'!$B$1,'#产量数据'!$2:$2,'@产量打印#概况'!$B$2)</f>
        <v>44.00680491667022</v>
      </c>
      <c r="E16" s="26">
        <f t="shared" si="0"/>
        <v>107.33367052846394</v>
      </c>
      <c r="F16" s="26">
        <f>IFERROR(F15/F14*100,"")</f>
        <v>45</v>
      </c>
      <c r="G16" s="26">
        <f>IFERROR(G15/G14*100,"")</f>
        <v>43.855455591980238</v>
      </c>
      <c r="H16" s="58">
        <f t="shared" si="1"/>
        <v>97.456567982178314</v>
      </c>
      <c r="I16" s="26">
        <f>IFERROR(I15/I14*100,"")</f>
        <v>44.00680491667022</v>
      </c>
      <c r="J16" s="26">
        <f>IFERROR(J15/J14*100,"")</f>
        <v>43.784198967306097</v>
      </c>
      <c r="K16" s="26">
        <f t="shared" si="2"/>
        <v>0.16274506866586608</v>
      </c>
    </row>
    <row r="17" spans="1:11" s="14" customFormat="1" ht="19.5" customHeight="1">
      <c r="A17" s="55" t="s">
        <v>329</v>
      </c>
      <c r="B17" s="21" t="s">
        <v>1001</v>
      </c>
      <c r="C17" s="41">
        <v>0</v>
      </c>
      <c r="D17" s="57">
        <f>SUMIFS('#产量数据'!71:71,'#产量数据'!$1:$1,'@产量打印#概况'!$B$1,'#产量数据'!$2:$2,'@产量打印#概况'!$B$2)</f>
        <v>170.7</v>
      </c>
      <c r="E17" s="26" t="str">
        <f t="shared" si="0"/>
        <v/>
      </c>
      <c r="F17" s="65">
        <f>SUM(F18:F20)</f>
        <v>0</v>
      </c>
      <c r="G17" s="60">
        <f>SUMIFS('#产量数据'!71:71,'#产量数据'!$1:$1,'@产量打印#概况'!$B$1,'#产量数据'!$2:$2,"&lt;="&amp;'@产量打印#概况'!$B$2)</f>
        <v>2086.8490000000002</v>
      </c>
      <c r="H17" s="58" t="str">
        <f t="shared" si="1"/>
        <v/>
      </c>
      <c r="I17" s="59">
        <f>D17/'@产量打印#概况'!$C$2</f>
        <v>5.5064516129032253</v>
      </c>
      <c r="J17" s="59">
        <f>SUMIFS('#产量数据'!71:71,'#产量数据'!$1:$1,'@产量打印#概况'!$B$1-1,'#产量数据'!$2:$2,"&lt;="&amp;'@产量打印#概况'!$B$2)</f>
        <v>1170.6130000000001</v>
      </c>
      <c r="K17" s="26">
        <f t="shared" si="2"/>
        <v>78.269761227664475</v>
      </c>
    </row>
    <row r="18" spans="1:11" s="13" customFormat="1" ht="19.5" customHeight="1">
      <c r="A18" s="63" t="s">
        <v>330</v>
      </c>
      <c r="B18" s="23" t="s">
        <v>1001</v>
      </c>
      <c r="C18" s="29"/>
      <c r="D18" s="46">
        <f>SUMIFS('#产量数据'!72:72,'#产量数据'!$1:$1,'@产量打印#概况'!$B$1,'#产量数据'!$2:$2,'@产量打印#概况'!$B$2)</f>
        <v>0</v>
      </c>
      <c r="E18" s="26" t="str">
        <f t="shared" si="0"/>
        <v/>
      </c>
      <c r="F18" s="64"/>
      <c r="G18" s="41">
        <f>SUMIFS('#产量数据'!72:72,'#产量数据'!$1:$1,'@产量打印#概况'!$B$1,'#产量数据'!$2:$2,"&lt;="&amp;'@产量打印#概况'!$B$2)</f>
        <v>0</v>
      </c>
      <c r="H18" s="58" t="str">
        <f t="shared" si="1"/>
        <v/>
      </c>
      <c r="I18" s="48">
        <f>D18/'@产量打印#概况'!$C$2</f>
        <v>0</v>
      </c>
      <c r="J18" s="48">
        <f>SUMIFS('#产量数据'!72:72,'#产量数据'!$1:$1,'@产量打印#概况'!$B$1-1,'#产量数据'!$2:$2,"&lt;="&amp;'@产量打印#概况'!$B$2)</f>
        <v>0</v>
      </c>
      <c r="K18" s="26" t="str">
        <f t="shared" si="2"/>
        <v/>
      </c>
    </row>
    <row r="19" spans="1:11" s="13" customFormat="1" ht="19.5" customHeight="1">
      <c r="A19" s="63" t="s">
        <v>331</v>
      </c>
      <c r="B19" s="23" t="s">
        <v>1001</v>
      </c>
      <c r="C19" s="29"/>
      <c r="D19" s="48">
        <f>SUMIFS('#产量数据'!73:73,'#产量数据'!$1:$1,'@产量打印#概况'!$B$1,'#产量数据'!$2:$2,'@产量打印#概况'!$B$2)</f>
        <v>0</v>
      </c>
      <c r="E19" s="26" t="str">
        <f t="shared" si="0"/>
        <v/>
      </c>
      <c r="F19" s="29"/>
      <c r="G19" s="41">
        <f>SUMIFS('#产量数据'!73:73,'#产量数据'!$1:$1,'@产量打印#概况'!$B$1,'#产量数据'!$2:$2,"&lt;="&amp;'@产量打印#概况'!$B$2)</f>
        <v>0</v>
      </c>
      <c r="H19" s="58" t="str">
        <f t="shared" si="1"/>
        <v/>
      </c>
      <c r="I19" s="48">
        <f>D19/'@产量打印#概况'!$C$2</f>
        <v>0</v>
      </c>
      <c r="J19" s="41">
        <f>SUMIFS('#产量数据'!73:73,'#产量数据'!$1:$1,'@产量打印#概况'!$B$1-1,'#产量数据'!$2:$2,"&lt;="&amp;'@产量打印#概况'!$B$2)</f>
        <v>0</v>
      </c>
      <c r="K19" s="26" t="str">
        <f t="shared" si="2"/>
        <v/>
      </c>
    </row>
    <row r="20" spans="1:11" s="13" customFormat="1" ht="19.5" customHeight="1">
      <c r="A20" s="63" t="s">
        <v>332</v>
      </c>
      <c r="B20" s="23" t="s">
        <v>1001</v>
      </c>
      <c r="C20" s="29"/>
      <c r="D20" s="48">
        <f>SUMIFS('#产量数据'!74:74,'#产量数据'!$1:$1,'@产量打印#概况'!$B$1,'#产量数据'!$2:$2,'@产量打印#概况'!$B$2)</f>
        <v>170.7</v>
      </c>
      <c r="E20" s="26" t="str">
        <f t="shared" si="0"/>
        <v/>
      </c>
      <c r="F20" s="29"/>
      <c r="G20" s="41">
        <f>SUMIFS('#产量数据'!74:74,'#产量数据'!$1:$1,'@产量打印#概况'!$B$1,'#产量数据'!$2:$2,"&lt;="&amp;'@产量打印#概况'!$B$2)</f>
        <v>2086.8490000000002</v>
      </c>
      <c r="H20" s="58" t="str">
        <f t="shared" si="1"/>
        <v/>
      </c>
      <c r="I20" s="48">
        <f>D20/'@产量打印#概况'!$C$2</f>
        <v>5.5064516129032253</v>
      </c>
      <c r="J20" s="41">
        <f>SUMIFS('#产量数据'!74:74,'#产量数据'!$1:$1,'@产量打印#概况'!$B$1-1,'#产量数据'!$2:$2,"&lt;="&amp;'@产量打印#概况'!$B$2)</f>
        <v>1170.6130000000001</v>
      </c>
      <c r="K20" s="26">
        <f t="shared" si="2"/>
        <v>78.269761227664475</v>
      </c>
    </row>
    <row r="21" spans="1:11" s="14" customFormat="1" ht="19.5" customHeight="1">
      <c r="A21" s="55" t="s">
        <v>333</v>
      </c>
      <c r="B21" s="21" t="s">
        <v>1001</v>
      </c>
      <c r="C21" s="66">
        <f>C22+C25+C26+C28+C31+C34+C35+C38+C39+C40+C41-C42</f>
        <v>355000</v>
      </c>
      <c r="D21" s="59">
        <f>SUMIFS('#产量数据'!75:75,'#产量数据'!$1:$1,'@产量打印#概况'!$B$1,'#产量数据'!$2:$2,'@产量打印#概况'!$B$2)</f>
        <v>343955.777</v>
      </c>
      <c r="E21" s="26">
        <f t="shared" si="0"/>
        <v>96.888951267605634</v>
      </c>
      <c r="F21" s="60">
        <f>F22+F25+F26+F28+F31+F34+F35+F38+F39+F40+F41-F42-3000</f>
        <v>3890000</v>
      </c>
      <c r="G21" s="60">
        <f>SUMIFS('#产量数据'!75:75,'#产量数据'!$1:$1,'@产量打印#概况'!$B$1,'#产量数据'!$2:$2,"&lt;="&amp;'@产量打印#概况'!$B$2)</f>
        <v>2744214.1489999993</v>
      </c>
      <c r="H21" s="58">
        <f t="shared" si="1"/>
        <v>70.545350874035975</v>
      </c>
      <c r="I21" s="59">
        <f>D21/'@产量打印#概况'!$C$2</f>
        <v>11095.34764516129</v>
      </c>
      <c r="J21" s="60">
        <f>SUMIFS('#产量数据'!75:75,'#产量数据'!$1:$1,'@产量打印#概况'!$B$1-1,'#产量数据'!$2:$2,"&lt;="&amp;'@产量打印#概况'!$B$2)</f>
        <v>2387876.8366999999</v>
      </c>
      <c r="K21" s="26">
        <f t="shared" si="2"/>
        <v>14.922767658002446</v>
      </c>
    </row>
    <row r="22" spans="1:11" s="14" customFormat="1" ht="19.5" customHeight="1">
      <c r="A22" s="67" t="s">
        <v>302</v>
      </c>
      <c r="B22" s="21" t="s">
        <v>1001</v>
      </c>
      <c r="C22" s="27">
        <f>C23+C24</f>
        <v>2000</v>
      </c>
      <c r="D22" s="59">
        <f>SUMIFS('#产量数据'!76:76,'#产量数据'!$1:$1,'@产量打印#概况'!$B$1,'#产量数据'!$2:$2,'@产量打印#概况'!$B$2)</f>
        <v>1578.4519999999998</v>
      </c>
      <c r="E22" s="26">
        <f t="shared" si="0"/>
        <v>78.922599999999989</v>
      </c>
      <c r="F22" s="68">
        <f>F23+F24</f>
        <v>29000</v>
      </c>
      <c r="G22" s="60">
        <f>SUMIFS('#产量数据'!76:76,'#产量数据'!$1:$1,'@产量打印#概况'!$B$1,'#产量数据'!$2:$2,"&lt;="&amp;'@产量打印#概况'!$B$2)</f>
        <v>10949.710000000001</v>
      </c>
      <c r="H22" s="58">
        <f t="shared" si="1"/>
        <v>37.757620689655177</v>
      </c>
      <c r="I22" s="59">
        <f>D22/'@产量打印#概况'!$C$2</f>
        <v>50.917806451612897</v>
      </c>
      <c r="J22" s="60">
        <f>SUMIFS('#产量数据'!76:76,'#产量数据'!$1:$1,'@产量打印#概况'!$B$1-1,'#产量数据'!$2:$2,"&lt;="&amp;'@产量打印#概况'!$B$2)</f>
        <v>14482.263999999999</v>
      </c>
      <c r="K22" s="26">
        <f t="shared" si="2"/>
        <v>-24.392277340062289</v>
      </c>
    </row>
    <row r="23" spans="1:11" s="13" customFormat="1" ht="19.5" customHeight="1">
      <c r="A23" s="63" t="s">
        <v>304</v>
      </c>
      <c r="B23" s="23" t="s">
        <v>1001</v>
      </c>
      <c r="C23" s="29">
        <v>600</v>
      </c>
      <c r="D23" s="48">
        <f>SUMIFS('#产量数据'!77:77,'#产量数据'!$1:$1,'@产量打印#概况'!$B$1,'#产量数据'!$2:$2,'@产量打印#概况'!$B$2)</f>
        <v>205.547</v>
      </c>
      <c r="E23" s="26">
        <f t="shared" si="0"/>
        <v>34.25783333333333</v>
      </c>
      <c r="F23" s="29">
        <v>9000</v>
      </c>
      <c r="G23" s="41">
        <f>SUMIFS('#产量数据'!77:77,'#产量数据'!$1:$1,'@产量打印#概况'!$B$1,'#产量数据'!$2:$2,"&lt;="&amp;'@产量打印#概况'!$B$2)</f>
        <v>2044.88</v>
      </c>
      <c r="H23" s="58">
        <f t="shared" si="1"/>
        <v>22.72088888888889</v>
      </c>
      <c r="I23" s="48">
        <f>D23/'@产量打印#概况'!$C$2</f>
        <v>6.6305483870967743</v>
      </c>
      <c r="J23" s="41">
        <f>SUMIFS('#产量数据'!77:77,'#产量数据'!$1:$1,'@产量打印#概况'!$B$1-1,'#产量数据'!$2:$2,"&lt;="&amp;'@产量打印#概况'!$B$2)</f>
        <v>4225.4580000000005</v>
      </c>
      <c r="K23" s="26">
        <f t="shared" si="2"/>
        <v>-51.605719427337824</v>
      </c>
    </row>
    <row r="24" spans="1:11" s="13" customFormat="1" ht="19.5" customHeight="1">
      <c r="A24" s="63" t="s">
        <v>305</v>
      </c>
      <c r="B24" s="23" t="s">
        <v>1001</v>
      </c>
      <c r="C24" s="29">
        <v>1400</v>
      </c>
      <c r="D24" s="48">
        <f>SUMIFS('#产量数据'!78:78,'#产量数据'!$1:$1,'@产量打印#概况'!$B$1,'#产量数据'!$2:$2,'@产量打印#概况'!$B$2)</f>
        <v>1372.9049999999997</v>
      </c>
      <c r="E24" s="26">
        <f t="shared" si="0"/>
        <v>98.064642857142843</v>
      </c>
      <c r="F24" s="29">
        <v>20000</v>
      </c>
      <c r="G24" s="41">
        <f>SUMIFS('#产量数据'!78:78,'#产量数据'!$1:$1,'@产量打印#概况'!$B$1,'#产量数据'!$2:$2,"&lt;="&amp;'@产量打印#概况'!$B$2)</f>
        <v>8904.83</v>
      </c>
      <c r="H24" s="58">
        <f t="shared" si="1"/>
        <v>44.524149999999999</v>
      </c>
      <c r="I24" s="48">
        <f>D24/'@产量打印#概况'!$C$2</f>
        <v>44.287258064516124</v>
      </c>
      <c r="J24" s="41">
        <f>SUMIFS('#产量数据'!78:78,'#产量数据'!$1:$1,'@产量打印#概况'!$B$1-1,'#产量数据'!$2:$2,"&lt;="&amp;'@产量打印#概况'!$B$2)</f>
        <v>10256.806</v>
      </c>
      <c r="K24" s="26">
        <f t="shared" si="2"/>
        <v>-13.18125740118318</v>
      </c>
    </row>
    <row r="25" spans="1:11" s="14" customFormat="1" ht="19.5" customHeight="1">
      <c r="A25" s="67" t="s">
        <v>307</v>
      </c>
      <c r="B25" s="21" t="s">
        <v>1001</v>
      </c>
      <c r="C25" s="29">
        <v>7800</v>
      </c>
      <c r="D25" s="59">
        <f>SUMIFS('#产量数据'!79:79,'#产量数据'!$1:$1,'@产量打印#概况'!$B$1,'#产量数据'!$2:$2,'@产量打印#概况'!$B$2)</f>
        <v>6190.415</v>
      </c>
      <c r="E25" s="26">
        <f t="shared" si="0"/>
        <v>79.364294871794868</v>
      </c>
      <c r="F25" s="68">
        <v>113000</v>
      </c>
      <c r="G25" s="60">
        <f>SUMIFS('#产量数据'!79:79,'#产量数据'!$1:$1,'@产量打印#概况'!$B$1,'#产量数据'!$2:$2,"&lt;="&amp;'@产量打印#概况'!$B$2)</f>
        <v>47006.799999999996</v>
      </c>
      <c r="H25" s="58">
        <f t="shared" si="1"/>
        <v>41.598938053097342</v>
      </c>
      <c r="I25" s="59">
        <f>D25/'@产量打印#概况'!$C$2</f>
        <v>199.6908064516129</v>
      </c>
      <c r="J25" s="60">
        <f>SUMIFS('#产量数据'!79:79,'#产量数据'!$1:$1,'@产量打印#概况'!$B$1-1,'#产量数据'!$2:$2,"&lt;="&amp;'@产量打印#概况'!$B$2)</f>
        <v>47469.139000000003</v>
      </c>
      <c r="K25" s="26">
        <f t="shared" si="2"/>
        <v>-0.97397806183088176</v>
      </c>
    </row>
    <row r="26" spans="1:11" s="13" customFormat="1" ht="19.5" customHeight="1">
      <c r="A26" s="63" t="s">
        <v>334</v>
      </c>
      <c r="B26" s="23" t="s">
        <v>1001</v>
      </c>
      <c r="C26" s="29">
        <v>10000</v>
      </c>
      <c r="D26" s="1972">
        <f>SUMIFS('#产量数据'!80:80,'#产量数据'!$1:$1,'@产量打印#概况'!$B$1,'#产量数据'!$2:$2,'@产量打印#概况'!$B$2)</f>
        <v>10520.130999999999</v>
      </c>
      <c r="E26" s="26">
        <f t="shared" si="0"/>
        <v>105.20130999999999</v>
      </c>
      <c r="F26" s="29">
        <v>125000</v>
      </c>
      <c r="G26" s="41">
        <f>SUMIFS('#产量数据'!80:80,'#产量数据'!$1:$1,'@产量打印#概况'!$B$1,'#产量数据'!$2:$2,"&lt;="&amp;'@产量打印#概况'!$B$2)</f>
        <v>83162.872000000003</v>
      </c>
      <c r="H26" s="58">
        <f t="shared" si="1"/>
        <v>66.530297599999997</v>
      </c>
      <c r="I26" s="48">
        <f>D26/'@产量打印#概况'!$C$2</f>
        <v>339.35906451612902</v>
      </c>
      <c r="J26" s="41">
        <f>SUMIFS('#产量数据'!80:80,'#产量数据'!$1:$1,'@产量打印#概况'!$B$1-1,'#产量数据'!$2:$2,"&lt;="&amp;'@产量打印#概况'!$B$2)</f>
        <v>78865.247000000003</v>
      </c>
      <c r="K26" s="26">
        <f t="shared" si="2"/>
        <v>5.449326748447259</v>
      </c>
    </row>
    <row r="27" spans="1:11" s="13" customFormat="1" ht="19.5" customHeight="1">
      <c r="A27" s="63" t="s">
        <v>335</v>
      </c>
      <c r="B27" s="23" t="s">
        <v>1001</v>
      </c>
      <c r="C27" s="29"/>
      <c r="D27" s="1972">
        <f>SUMIFS('#产量数据'!81:81,'#产量数据'!$1:$1,'@产量打印#概况'!$B$1,'#产量数据'!$2:$2,'@产量打印#概况'!$B$2)</f>
        <v>26.09</v>
      </c>
      <c r="E27" s="26" t="str">
        <f t="shared" si="0"/>
        <v/>
      </c>
      <c r="F27" s="29"/>
      <c r="G27" s="41">
        <f>SUMIFS('#产量数据'!81:81,'#产量数据'!$1:$1,'@产量打印#概况'!$B$1,'#产量数据'!$2:$2,"&lt;="&amp;'@产量打印#概况'!$B$2)</f>
        <v>76.984999999999999</v>
      </c>
      <c r="H27" s="58" t="str">
        <f t="shared" si="1"/>
        <v/>
      </c>
      <c r="I27" s="48">
        <f>D27/'@产量打印#概况'!$C$2</f>
        <v>0.8416129032258064</v>
      </c>
      <c r="J27" s="41">
        <f>SUMIFS('#产量数据'!81:81,'#产量数据'!$1:$1,'@产量打印#概况'!$B$1-1,'#产量数据'!$2:$2,"&lt;="&amp;'@产量打印#概况'!$B$2)</f>
        <v>31.655000000000001</v>
      </c>
      <c r="K27" s="26">
        <f t="shared" si="2"/>
        <v>143.20012636234401</v>
      </c>
    </row>
    <row r="28" spans="1:11" s="14" customFormat="1" ht="19.5" customHeight="1">
      <c r="A28" s="67" t="s">
        <v>312</v>
      </c>
      <c r="B28" s="21" t="s">
        <v>1001</v>
      </c>
      <c r="C28" s="27">
        <f>C29+C30</f>
        <v>20000</v>
      </c>
      <c r="D28" s="59">
        <f>SUMIFS('#产量数据'!82:82,'#产量数据'!$1:$1,'@产量打印#概况'!$B$1,'#产量数据'!$2:$2,'@产量打印#概况'!$B$2)</f>
        <v>17535.27</v>
      </c>
      <c r="E28" s="26">
        <f t="shared" si="0"/>
        <v>87.676349999999999</v>
      </c>
      <c r="F28" s="68">
        <f>F29+F30</f>
        <v>170000</v>
      </c>
      <c r="G28" s="60">
        <f>SUMIFS('#产量数据'!82:82,'#产量数据'!$1:$1,'@产量打印#概况'!$B$1,'#产量数据'!$2:$2,"&lt;="&amp;'@产量打印#概况'!$B$2)</f>
        <v>160175.59399999995</v>
      </c>
      <c r="H28" s="58">
        <f t="shared" si="1"/>
        <v>94.220937647058804</v>
      </c>
      <c r="I28" s="59">
        <f>D28/'@产量打印#概况'!$C$2</f>
        <v>565.65387096774191</v>
      </c>
      <c r="J28" s="60">
        <f>SUMIFS('#产量数据'!82:82,'#产量数据'!$1:$1,'@产量打印#概况'!$B$1-1,'#产量数据'!$2:$2,"&lt;="&amp;'@产量打印#概况'!$B$2)</f>
        <v>106381.54999999999</v>
      </c>
      <c r="K28" s="26">
        <f t="shared" si="2"/>
        <v>50.567080475890769</v>
      </c>
    </row>
    <row r="29" spans="1:11" s="13" customFormat="1" ht="19.5" customHeight="1">
      <c r="A29" s="63" t="s">
        <v>313</v>
      </c>
      <c r="B29" s="23" t="s">
        <v>1001</v>
      </c>
      <c r="C29" s="29">
        <v>10000</v>
      </c>
      <c r="D29" s="48">
        <f>SUMIFS('#产量数据'!83:83,'#产量数据'!$1:$1,'@产量打印#概况'!$B$1,'#产量数据'!$2:$2,'@产量打印#概况'!$B$2)</f>
        <v>17535.27</v>
      </c>
      <c r="E29" s="26">
        <f t="shared" si="0"/>
        <v>175.3527</v>
      </c>
      <c r="F29" s="29"/>
      <c r="G29" s="41">
        <f>SUMIFS('#产量数据'!83:83,'#产量数据'!$1:$1,'@产量打印#概况'!$B$1,'#产量数据'!$2:$2,"&lt;="&amp;'@产量打印#概况'!$B$2)</f>
        <v>125576.61099999999</v>
      </c>
      <c r="H29" s="58" t="str">
        <f t="shared" si="1"/>
        <v/>
      </c>
      <c r="I29" s="48">
        <f>D29/'@产量打印#概况'!$C$2</f>
        <v>565.65387096774191</v>
      </c>
      <c r="J29" s="41">
        <f>SUMIFS('#产量数据'!83:83,'#产量数据'!$1:$1,'@产量打印#概况'!$B$1-1,'#产量数据'!$2:$2,"&lt;="&amp;'@产量打印#概况'!$B$2)</f>
        <v>17845.53</v>
      </c>
      <c r="K29" s="26">
        <f t="shared" si="2"/>
        <v>603.68664309773931</v>
      </c>
    </row>
    <row r="30" spans="1:11" s="13" customFormat="1" ht="19.5" customHeight="1">
      <c r="A30" s="63" t="s">
        <v>314</v>
      </c>
      <c r="B30" s="23" t="s">
        <v>1001</v>
      </c>
      <c r="C30" s="29">
        <v>10000</v>
      </c>
      <c r="D30" s="1972">
        <f>SUMIFS('#产量数据'!84:84,'#产量数据'!$1:$1,'@产量打印#概况'!$B$1,'#产量数据'!$2:$2,'@产量打印#概况'!$B$2)</f>
        <v>0</v>
      </c>
      <c r="E30" s="26">
        <f t="shared" si="0"/>
        <v>0</v>
      </c>
      <c r="F30" s="29">
        <v>170000</v>
      </c>
      <c r="G30" s="41">
        <f>SUMIFS('#产量数据'!84:84,'#产量数据'!$1:$1,'@产量打印#概况'!$B$1,'#产量数据'!$2:$2,"&lt;="&amp;'@产量打印#概况'!$B$2)</f>
        <v>34598.982999999993</v>
      </c>
      <c r="H30" s="58">
        <f t="shared" si="1"/>
        <v>20.352342941176467</v>
      </c>
      <c r="I30" s="48">
        <f>D30/'@产量打印#概况'!$C$2</f>
        <v>0</v>
      </c>
      <c r="J30" s="41">
        <f>SUMIFS('#产量数据'!84:84,'#产量数据'!$1:$1,'@产量打印#概况'!$B$1-1,'#产量数据'!$2:$2,"&lt;="&amp;'@产量打印#概况'!$B$2)</f>
        <v>88536.02</v>
      </c>
      <c r="K30" s="26">
        <f t="shared" si="2"/>
        <v>-60.921009324792344</v>
      </c>
    </row>
    <row r="31" spans="1:11" s="14" customFormat="1" ht="19.5" customHeight="1">
      <c r="A31" s="67" t="s">
        <v>315</v>
      </c>
      <c r="B31" s="21" t="s">
        <v>1001</v>
      </c>
      <c r="C31" s="27">
        <f>C32+C33</f>
        <v>261200</v>
      </c>
      <c r="D31" s="59">
        <f>SUMIFS('#产量数据'!85:85,'#产量数据'!$1:$1,'@产量打印#概况'!$B$1,'#产量数据'!$2:$2,'@产量打印#概况'!$B$2)</f>
        <v>251074.43900000001</v>
      </c>
      <c r="E31" s="26">
        <f t="shared" si="0"/>
        <v>96.123445252679943</v>
      </c>
      <c r="F31" s="68">
        <f>F32+F33</f>
        <v>2824000</v>
      </c>
      <c r="G31" s="60">
        <f>SUMIFS('#产量数据'!85:85,'#产量数据'!$1:$1,'@产量打印#概况'!$B$1,'#产量数据'!$2:$2,"&lt;="&amp;'@产量打印#概况'!$B$2)</f>
        <v>1992411.341</v>
      </c>
      <c r="H31" s="58">
        <f t="shared" si="1"/>
        <v>70.552809525495746</v>
      </c>
      <c r="I31" s="59">
        <f>D31/'@产量打印#概况'!$C$2</f>
        <v>8099.175451612904</v>
      </c>
      <c r="J31" s="60">
        <f>SUMIFS('#产量数据'!85:85,'#产量数据'!$1:$1,'@产量打印#概况'!$B$1-1,'#产量数据'!$2:$2,"&lt;="&amp;'@产量打印#概况'!$B$2)</f>
        <v>1722896.031</v>
      </c>
      <c r="K31" s="26">
        <f t="shared" si="2"/>
        <v>15.643155776705139</v>
      </c>
    </row>
    <row r="32" spans="1:11" s="13" customFormat="1" ht="19.5" customHeight="1">
      <c r="A32" s="63" t="s">
        <v>310</v>
      </c>
      <c r="B32" s="23" t="s">
        <v>1001</v>
      </c>
      <c r="C32" s="29">
        <v>147120</v>
      </c>
      <c r="D32" s="48">
        <f>SUMIFS('#产量数据'!86:86,'#产量数据'!$1:$1,'@产量打印#概况'!$B$1,'#产量数据'!$2:$2,'@产量打印#概况'!$B$2)</f>
        <v>146321.72099999999</v>
      </c>
      <c r="E32" s="26">
        <f t="shared" si="0"/>
        <v>99.45739600326263</v>
      </c>
      <c r="F32" s="29">
        <v>1575000</v>
      </c>
      <c r="G32" s="41">
        <f>SUMIFS('#产量数据'!86:86,'#产量数据'!$1:$1,'@产量打印#概况'!$B$1,'#产量数据'!$2:$2,"&lt;="&amp;'@产量打印#概况'!$B$2)</f>
        <v>1114023.5739999998</v>
      </c>
      <c r="H32" s="58">
        <f t="shared" si="1"/>
        <v>70.731655492063481</v>
      </c>
      <c r="I32" s="48">
        <f>D32/'@产量打印#概况'!$C$2</f>
        <v>4720.0555161290322</v>
      </c>
      <c r="J32" s="41">
        <f>SUMIFS('#产量数据'!86:86,'#产量数据'!$1:$1,'@产量打印#概况'!$B$1-1,'#产量数据'!$2:$2,"&lt;="&amp;'@产量打印#概况'!$B$2)</f>
        <v>932365.40899999987</v>
      </c>
      <c r="K32" s="26">
        <f t="shared" si="2"/>
        <v>19.483580498212149</v>
      </c>
    </row>
    <row r="33" spans="1:11" s="13" customFormat="1" ht="19.5" customHeight="1">
      <c r="A33" s="63" t="s">
        <v>316</v>
      </c>
      <c r="B33" s="23" t="s">
        <v>1001</v>
      </c>
      <c r="C33" s="29">
        <v>114080</v>
      </c>
      <c r="D33" s="48">
        <f>SUMIFS('#产量数据'!87:87,'#产量数据'!$1:$1,'@产量打印#概况'!$B$1,'#产量数据'!$2:$2,'@产量打印#概况'!$B$2)</f>
        <v>104752.71800000001</v>
      </c>
      <c r="E33" s="26">
        <f t="shared" si="0"/>
        <v>91.823911290322584</v>
      </c>
      <c r="F33" s="29">
        <v>1249000</v>
      </c>
      <c r="G33" s="41">
        <f>SUMIFS('#产量数据'!87:87,'#产量数据'!$1:$1,'@产量打印#概况'!$B$1,'#产量数据'!$2:$2,"&lt;="&amp;'@产量打印#概况'!$B$2)</f>
        <v>878387.76700000011</v>
      </c>
      <c r="H33" s="58">
        <f t="shared" si="1"/>
        <v>70.327283186549252</v>
      </c>
      <c r="I33" s="48">
        <f>D33/'@产量打印#概况'!$C$2</f>
        <v>3379.1199354838714</v>
      </c>
      <c r="J33" s="41">
        <f>SUMIFS('#产量数据'!87:87,'#产量数据'!$1:$1,'@产量打印#概况'!$B$1-1,'#产量数据'!$2:$2,"&lt;="&amp;'@产量打印#概况'!$B$2)</f>
        <v>790530.62199999997</v>
      </c>
      <c r="K33" s="26">
        <f t="shared" si="2"/>
        <v>11.113692822894865</v>
      </c>
    </row>
    <row r="34" spans="1:11" s="14" customFormat="1" ht="19.5" customHeight="1">
      <c r="A34" s="67" t="s">
        <v>336</v>
      </c>
      <c r="B34" s="21" t="s">
        <v>1001</v>
      </c>
      <c r="C34" s="29">
        <v>1500</v>
      </c>
      <c r="D34" s="59">
        <f>SUMIFS('#产量数据'!88:88,'#产量数据'!$1:$1,'@产量打印#概况'!$B$1,'#产量数据'!$2:$2,'@产量打印#概况'!$B$2)</f>
        <v>2278.75</v>
      </c>
      <c r="E34" s="26">
        <f t="shared" si="0"/>
        <v>151.91666666666669</v>
      </c>
      <c r="F34" s="68">
        <v>21000</v>
      </c>
      <c r="G34" s="60">
        <f>SUMIFS('#产量数据'!88:88,'#产量数据'!$1:$1,'@产量打印#概况'!$B$1,'#产量数据'!$2:$2,"&lt;="&amp;'@产量打印#概况'!$B$2)</f>
        <v>14402.916999999999</v>
      </c>
      <c r="H34" s="58">
        <f t="shared" si="1"/>
        <v>68.585319047619038</v>
      </c>
      <c r="I34" s="59">
        <f>D34/'@产量打印#概况'!$C$2</f>
        <v>73.508064516129039</v>
      </c>
      <c r="J34" s="69">
        <f>SUMIFS('#产量数据'!88:88,'#产量数据'!$1:$1,'@产量打印#概况'!$B$1-1,'#产量数据'!$2:$2,"&lt;="&amp;'@产量打印#概况'!$B$2)</f>
        <v>10886.802</v>
      </c>
      <c r="K34" s="26">
        <f t="shared" si="2"/>
        <v>32.297041867758772</v>
      </c>
    </row>
    <row r="35" spans="1:11" s="13" customFormat="1" ht="19.5" customHeight="1">
      <c r="A35" s="63" t="s">
        <v>337</v>
      </c>
      <c r="B35" s="23" t="s">
        <v>1001</v>
      </c>
      <c r="C35" s="27">
        <f>C36+C37</f>
        <v>2300</v>
      </c>
      <c r="D35" s="48">
        <f>SUMIFS('#产量数据'!89:89,'#产量数据'!$1:$1,'@产量打印#概况'!$B$1,'#产量数据'!$2:$2,'@产量打印#概况'!$B$2)</f>
        <v>2563.0149999999999</v>
      </c>
      <c r="E35" s="26">
        <f t="shared" si="0"/>
        <v>111.4354347826087</v>
      </c>
      <c r="F35" s="68">
        <f>F36+F37</f>
        <v>28000</v>
      </c>
      <c r="G35" s="41">
        <f>SUMIFS('#产量数据'!89:89,'#产量数据'!$1:$1,'@产量打印#概况'!$B$1,'#产量数据'!$2:$2,"&lt;="&amp;'@产量打印#概况'!$B$2)</f>
        <v>17180.432000000001</v>
      </c>
      <c r="H35" s="58">
        <f t="shared" si="1"/>
        <v>61.35868571428572</v>
      </c>
      <c r="I35" s="48">
        <f>D35/'@产量打印#概况'!$C$2</f>
        <v>82.677903225806446</v>
      </c>
      <c r="J35" s="30">
        <f>SUMIFS('#产量数据'!89:89,'#产量数据'!$1:$1,'@产量打印#概况'!$B$1-1,'#产量数据'!$2:$2,"&lt;="&amp;'@产量打印#概况'!$B$2)</f>
        <v>13554.91</v>
      </c>
      <c r="K35" s="26">
        <f t="shared" si="2"/>
        <v>26.746927865990997</v>
      </c>
    </row>
    <row r="36" spans="1:11" s="13" customFormat="1" ht="19.5" customHeight="1">
      <c r="A36" s="63" t="s">
        <v>338</v>
      </c>
      <c r="B36" s="23" t="s">
        <v>1001</v>
      </c>
      <c r="C36" s="29">
        <v>1500</v>
      </c>
      <c r="D36" s="48">
        <f>SUMIFS('#产量数据'!90:90,'#产量数据'!$1:$1,'@产量打印#概况'!$B$1,'#产量数据'!$2:$2,'@产量打印#概况'!$B$2)</f>
        <v>1671.0809999999999</v>
      </c>
      <c r="E36" s="26">
        <f t="shared" si="0"/>
        <v>111.40539999999999</v>
      </c>
      <c r="F36" s="29">
        <v>20000</v>
      </c>
      <c r="G36" s="41">
        <f>SUMIFS('#产量数据'!90:90,'#产量数据'!$1:$1,'@产量打印#概况'!$B$1,'#产量数据'!$2:$2,"&lt;="&amp;'@产量打印#概况'!$B$2)</f>
        <v>12850.736999999999</v>
      </c>
      <c r="H36" s="58">
        <f t="shared" si="1"/>
        <v>64.25368499999999</v>
      </c>
      <c r="I36" s="48">
        <f>D36/'@产量打印#概况'!$C$2</f>
        <v>53.905838709677418</v>
      </c>
      <c r="J36" s="30">
        <f>SUMIFS('#产量数据'!90:90,'#产量数据'!$1:$1,'@产量打印#概况'!$B$1-1,'#产量数据'!$2:$2,"&lt;="&amp;'@产量打印#概况'!$B$2)</f>
        <v>11051.594999999999</v>
      </c>
      <c r="K36" s="26">
        <f t="shared" si="2"/>
        <v>16.279478211063651</v>
      </c>
    </row>
    <row r="37" spans="1:11" s="13" customFormat="1" ht="19.5" customHeight="1">
      <c r="A37" s="63" t="s">
        <v>339</v>
      </c>
      <c r="B37" s="23" t="s">
        <v>1001</v>
      </c>
      <c r="C37" s="29">
        <v>800</v>
      </c>
      <c r="D37" s="48">
        <f>SUMIFS('#产量数据'!91:91,'#产量数据'!$1:$1,'@产量打印#概况'!$B$1,'#产量数据'!$2:$2,'@产量打印#概况'!$B$2)</f>
        <v>891.93400000000008</v>
      </c>
      <c r="E37" s="26">
        <f t="shared" si="0"/>
        <v>111.49175</v>
      </c>
      <c r="F37" s="29">
        <v>8000</v>
      </c>
      <c r="G37" s="41">
        <f>SUMIFS('#产量数据'!91:91,'#产量数据'!$1:$1,'@产量打印#概况'!$B$1,'#产量数据'!$2:$2,"&lt;="&amp;'@产量打印#概况'!$B$2)</f>
        <v>4329.6949999999997</v>
      </c>
      <c r="H37" s="58">
        <f t="shared" si="1"/>
        <v>54.121187499999998</v>
      </c>
      <c r="I37" s="48">
        <f>D37/'@产量打印#概况'!$C$2</f>
        <v>28.772064516129035</v>
      </c>
      <c r="J37" s="30">
        <f>SUMIFS('#产量数据'!91:91,'#产量数据'!$1:$1,'@产量打印#概况'!$B$1-1,'#产量数据'!$2:$2,"&lt;="&amp;'@产量打印#概况'!$B$2)</f>
        <v>2503.3150000000001</v>
      </c>
      <c r="K37" s="26">
        <f t="shared" si="2"/>
        <v>72.958457085904072</v>
      </c>
    </row>
    <row r="38" spans="1:11" s="14" customFormat="1" ht="19.5" customHeight="1">
      <c r="A38" s="67" t="s">
        <v>321</v>
      </c>
      <c r="B38" s="21" t="s">
        <v>1001</v>
      </c>
      <c r="C38" s="29">
        <v>2500</v>
      </c>
      <c r="D38" s="59">
        <f>SUMIFS('#产量数据'!92:92,'#产量数据'!$1:$1,'@产量打印#概况'!$B$1,'#产量数据'!$2:$2,'@产量打印#概况'!$B$2)</f>
        <v>2153.143</v>
      </c>
      <c r="E38" s="26">
        <f t="shared" si="0"/>
        <v>86.125720000000001</v>
      </c>
      <c r="F38" s="68">
        <v>24000</v>
      </c>
      <c r="G38" s="60">
        <f>SUMIFS('#产量数据'!92:92,'#产量数据'!$1:$1,'@产量打印#概况'!$B$1,'#产量数据'!$2:$2,"&lt;="&amp;'@产量打印#概况'!$B$2)</f>
        <v>19171.089999999997</v>
      </c>
      <c r="H38" s="58">
        <f t="shared" si="1"/>
        <v>79.879541666666654</v>
      </c>
      <c r="I38" s="59">
        <f>D38/'@产量打印#概况'!$C$2</f>
        <v>69.456225806451613</v>
      </c>
      <c r="J38" s="69">
        <f>SUMIFS('#产量数据'!92:92,'#产量数据'!$1:$1,'@产量打印#概况'!$B$1-1,'#产量数据'!$2:$2,"&lt;="&amp;'@产量打印#概况'!$B$2)</f>
        <v>15614.6337</v>
      </c>
      <c r="K38" s="26">
        <f t="shared" si="2"/>
        <v>22.776431188392181</v>
      </c>
    </row>
    <row r="39" spans="1:11" s="14" customFormat="1" ht="19.5" customHeight="1">
      <c r="A39" s="67" t="s">
        <v>322</v>
      </c>
      <c r="B39" s="21" t="s">
        <v>1001</v>
      </c>
      <c r="C39" s="29">
        <v>36200</v>
      </c>
      <c r="D39" s="59">
        <f>SUMIFS('#产量数据'!93:93,'#产量数据'!$1:$1,'@产量打印#概况'!$B$1,'#产量数据'!$2:$2,'@产量打印#概况'!$B$2)</f>
        <v>39418.876000000004</v>
      </c>
      <c r="E39" s="26">
        <f t="shared" si="0"/>
        <v>108.8919226519337</v>
      </c>
      <c r="F39" s="68">
        <v>430000</v>
      </c>
      <c r="G39" s="60">
        <f>SUMIFS('#产量数据'!93:93,'#产量数据'!$1:$1,'@产量打印#概况'!$B$1,'#产量数据'!$2:$2,"&lt;="&amp;'@产量打印#概况'!$B$2)</f>
        <v>313648.946</v>
      </c>
      <c r="H39" s="58">
        <f t="shared" si="1"/>
        <v>72.941615348837203</v>
      </c>
      <c r="I39" s="59">
        <f>D39/'@产量打印#概况'!$C$2</f>
        <v>1271.5766451612903</v>
      </c>
      <c r="J39" s="69">
        <f>SUMIFS('#产量数据'!93:93,'#产量数据'!$1:$1,'@产量打印#概况'!$B$1-1,'#产量数据'!$2:$2,"&lt;="&amp;'@产量打印#概况'!$B$2)</f>
        <v>289574.49900000001</v>
      </c>
      <c r="K39" s="26">
        <f t="shared" si="2"/>
        <v>8.313731728151927</v>
      </c>
    </row>
    <row r="40" spans="1:11" s="14" customFormat="1" ht="19.5" customHeight="1">
      <c r="A40" s="67" t="s">
        <v>323</v>
      </c>
      <c r="B40" s="21" t="s">
        <v>1001</v>
      </c>
      <c r="C40" s="29">
        <v>0</v>
      </c>
      <c r="D40" s="59">
        <f>SUMIFS('#产量数据'!94:94,'#产量数据'!$1:$1,'@产量打印#概况'!$B$1,'#产量数据'!$2:$2,'@产量打印#概况'!$B$2)</f>
        <v>0</v>
      </c>
      <c r="E40" s="26" t="str">
        <f t="shared" si="0"/>
        <v/>
      </c>
      <c r="F40" s="68">
        <v>0</v>
      </c>
      <c r="G40" s="60">
        <f>SUMIFS('#产量数据'!94:94,'#产量数据'!$1:$1,'@产量打印#概况'!$B$1,'#产量数据'!$2:$2,"&lt;="&amp;'@产量打印#概况'!$B$2)</f>
        <v>-42.075000000000003</v>
      </c>
      <c r="H40" s="58" t="str">
        <f t="shared" si="1"/>
        <v/>
      </c>
      <c r="I40" s="59">
        <f>D40/'@产量打印#概况'!$C$2</f>
        <v>0</v>
      </c>
      <c r="J40" s="69">
        <f>SUMIFS('#产量数据'!94:94,'#产量数据'!$1:$1,'@产量打印#概况'!$B$1-1,'#产量数据'!$2:$2,"&lt;="&amp;'@产量打印#概况'!$B$2)</f>
        <v>11343.090999999999</v>
      </c>
      <c r="K40" s="26">
        <f t="shared" si="2"/>
        <v>-100.37093063962901</v>
      </c>
    </row>
    <row r="41" spans="1:11" s="14" customFormat="1" ht="19.5" customHeight="1">
      <c r="A41" s="67" t="s">
        <v>324</v>
      </c>
      <c r="B41" s="21" t="s">
        <v>1001</v>
      </c>
      <c r="C41" s="29">
        <v>13000</v>
      </c>
      <c r="D41" s="59">
        <f>SUMIFS('#产量数据'!95:95,'#产量数据'!$1:$1,'@产量打印#概况'!$B$1,'#产量数据'!$2:$2,'@产量打印#概况'!$B$2)</f>
        <v>13510.623</v>
      </c>
      <c r="E41" s="26">
        <f t="shared" si="0"/>
        <v>103.92786923076922</v>
      </c>
      <c r="F41" s="68">
        <v>150000</v>
      </c>
      <c r="G41" s="60">
        <f>SUMIFS('#产量数据'!95:95,'#产量数据'!$1:$1,'@产量打印#概况'!$B$1,'#产量数据'!$2:$2,"&lt;="&amp;'@产量打印#概况'!$B$2)</f>
        <v>102041.28999999998</v>
      </c>
      <c r="H41" s="58">
        <f t="shared" si="1"/>
        <v>68.027526666666645</v>
      </c>
      <c r="I41" s="57">
        <f>D41/'@产量打印#概况'!$C$2</f>
        <v>435.82654838709675</v>
      </c>
      <c r="J41" s="70">
        <f>SUMIFS('#产量数据'!95:95,'#产量数据'!$1:$1,'@产量打印#概况'!$B$1-1,'#产量数据'!$2:$2,"&lt;="&amp;'@产量打印#概况'!$B$2)</f>
        <v>88489.758999999991</v>
      </c>
      <c r="K41" s="26">
        <f t="shared" si="2"/>
        <v>15.314236532161862</v>
      </c>
    </row>
    <row r="42" spans="1:11" s="13" customFormat="1" ht="19.5" customHeight="1">
      <c r="A42" s="1890" t="s">
        <v>340</v>
      </c>
      <c r="B42" s="1887" t="s">
        <v>1001</v>
      </c>
      <c r="C42" s="1891">
        <f>C34</f>
        <v>1500</v>
      </c>
      <c r="D42" s="1892">
        <f>SUMIFS('#产量数据'!96:96,'#产量数据'!$1:$1,'@产量打印#概况'!$B$1,'#产量数据'!$2:$2,'@产量打印#概况'!$B$2)</f>
        <v>2893.4270000000001</v>
      </c>
      <c r="E42" s="1893">
        <f t="shared" si="0"/>
        <v>192.89513333333335</v>
      </c>
      <c r="F42" s="1894">
        <f>F34</f>
        <v>21000</v>
      </c>
      <c r="G42" s="1895">
        <f>SUMIFS('#产量数据'!96:96,'#产量数据'!$1:$1,'@产量打印#概况'!$B$1,'#产量数据'!$2:$2,"&lt;="&amp;'@产量打印#概况'!$B$2)</f>
        <v>15971.753000000001</v>
      </c>
      <c r="H42" s="1896">
        <f t="shared" si="1"/>
        <v>76.055966666666677</v>
      </c>
      <c r="I42" s="1897">
        <f>D42/'@产量打印#概况'!$C$2</f>
        <v>93.336354838709681</v>
      </c>
      <c r="J42" s="1898">
        <f>SUMIFS('#产量数据'!96:96,'#产量数据'!$1:$1,'@产量打印#概况'!$B$1-1,'#产量数据'!$2:$2,"&lt;="&amp;'@产量打印#概况'!$B$2)</f>
        <v>11712.743999999999</v>
      </c>
      <c r="K42" s="1893">
        <f t="shared" si="2"/>
        <v>36.362179520016845</v>
      </c>
    </row>
  </sheetData>
  <customSheetViews>
    <customSheetView guid="{1683F931-F47D-47C0-A395-D48080DC7EE6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1"/>
    </customSheetView>
    <customSheetView guid="{43897816-D2F0-4C3D-8F57-E0039BD2296B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2"/>
    </customSheetView>
    <customSheetView guid="{849C46E5-4ED4-41B9-BDA9-A6465B9DA9C2}" scale="85" showPageBreaks="1" fitToPage="1" printArea="1" view="pageBreakPreview" topLeftCell="A43">
      <selection activeCell="J15" sqref="J15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3"/>
    </customSheetView>
    <customSheetView guid="{8C09BCDE-4B8A-4469-B3F2-7F4528A2E78D}" scale="85" showPageBreaks="1" fitToPage="1" printArea="1" view="pageBreakPreview" topLeftCell="A43">
      <selection activeCell="J15" sqref="J15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4"/>
    </customSheetView>
    <customSheetView guid="{F4EB51F4-FD23-4D5B-8072-1AF5D59D6686}" scale="85" showPageBreaks="1" fitToPage="1" printArea="1" view="pageBreakPreview">
      <selection activeCell="J15" sqref="J15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5"/>
    </customSheetView>
    <customSheetView guid="{D7BCFB76-2797-401D-A6F1-E020B5162DD4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7" orientation="landscape" r:id="rId6"/>
    </customSheetView>
    <customSheetView guid="{C9A88430-3808-49F4-8D86-BF8C70C55441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7"/>
    </customSheetView>
    <customSheetView guid="{E61FFED3-723E-484A-93A0-94E1A801AF06}" scale="85" showPageBreaks="1" fitToPage="1" printArea="1" view="pageBreakPreview" topLeftCell="A17">
      <selection activeCell="D40" sqref="D40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8"/>
    </customSheetView>
    <customSheetView guid="{6B5CCA07-2BDD-4B8E-9E3C-2111BBA97430}" scale="85" showPageBreaks="1" fitToPage="1" printArea="1" view="pageBreakPreview" topLeftCell="A25">
      <selection activeCell="A14" sqref="A14:XFD14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9"/>
    </customSheetView>
    <customSheetView guid="{2F47A827-9643-4D8A-AC5D-6B09D79AACF9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10"/>
    </customSheetView>
    <customSheetView guid="{B37168A1-DBAB-4BDE-9F92-6261DCDF3D92}" scale="85" showPageBreaks="1" fitToPage="1" printArea="1" view="pageBreakPreview" topLeftCell="A49">
      <selection activeCell="F61" sqref="F61"/>
      <pageMargins left="0.70763888888888904" right="0.70763888888888904" top="0.74791666666666701" bottom="0.74791666666666701" header="0.31388888888888899" footer="0.31388888888888899"/>
      <printOptions horizontalCentered="1"/>
      <pageSetup paperSize="9" scale="67" orientation="landscape" r:id="rId11"/>
    </customSheetView>
    <customSheetView guid="{AE0DD889-C13C-4059-8024-0F5B234827E9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4" orientation="landscape" r:id="rId12"/>
    </customSheetView>
    <customSheetView guid="{CCBBD9B0-4191-4D7A-9F7B-BAC044A49153}" scale="85" showPageBreaks="1" fitToPage="1" printArea="1" view="pageBreakPreview">
      <selection activeCell="D16" sqref="D16"/>
      <pageMargins left="0.70763888888888904" right="0.70763888888888904" top="0.74791666666666701" bottom="0.74791666666666701" header="0.31388888888888899" footer="0.31388888888888899"/>
      <printOptions horizontalCentered="1"/>
      <pageSetup paperSize="9" scale="49" orientation="portrait"/>
    </customSheetView>
    <customSheetView guid="{F5F9735B-EE22-4AC6-B5AB-C856ED6C133D}" scale="85" showPageBreaks="1" fitToPage="1" printArea="1" view="pageBreakPreview">
      <selection activeCell="D16" sqref="D16"/>
      <pageMargins left="0.70763888888888904" right="0.70763888888888904" top="0.74791666666666701" bottom="0.74791666666666701" header="0.31388888888888899" footer="0.31388888888888899"/>
      <printOptions horizontalCentered="1"/>
      <pageSetup paperSize="9" scale="60" orientation="landscape"/>
    </customSheetView>
    <customSheetView guid="{45B4C0D1-53B6-4553-BFF9-393760B8E0CE}" scale="85" showPageBreaks="1" fitToPage="1" printArea="1" view="pageBreakPreview" topLeftCell="A7">
      <selection activeCell="C25" sqref="C25"/>
      <pageMargins left="0.70763888888888904" right="0.70763888888888904" top="0.74791666666666701" bottom="0.74791666666666701" header="0.31388888888888899" footer="0.31388888888888899"/>
      <printOptions horizontalCentered="1"/>
      <pageSetup paperSize="9" scale="64" orientation="landscape"/>
    </customSheetView>
    <customSheetView guid="{1BBD1596-143E-4714-99EF-E3545231CCD1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4" orientation="landscape"/>
    </customSheetView>
    <customSheetView guid="{A8456D60-99BA-4794-8966-0CBA0A37EA6F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/>
    </customSheetView>
    <customSheetView guid="{500C3980-ED13-4C97-96B1-955D50509B66}" scale="85" showPageBreaks="1" fitToPage="1" printArea="1" view="pageBreakPreview">
      <selection activeCell="D9" sqref="D9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/>
    </customSheetView>
    <customSheetView guid="{3B943BAF-34C7-494A-A071-85DE0891E5A1}" scale="85" showPageBreaks="1" fitToPage="1" printArea="1" view="pageBreakPreview" topLeftCell="A19">
      <selection activeCell="C35" sqref="C35"/>
      <pageMargins left="0.70763888888888904" right="0.70763888888888904" top="0.74791666666666701" bottom="0.74791666666666701" header="0.31388888888888899" footer="0.31388888888888899"/>
      <printOptions horizontalCentered="1"/>
      <pageSetup paperSize="9" scale="60" orientation="landscape"/>
    </customSheetView>
    <customSheetView guid="{EEE4B3DA-ADF6-49CC-9873-068FE5927B92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4" orientation="landscape"/>
    </customSheetView>
    <customSheetView guid="{C52D0F53-4D1D-4D01-B833-260359FD02A5}" scale="85" showPageBreaks="1" fitToPage="1" printArea="1" view="pageBreakPreview" topLeftCell="A11">
      <selection activeCell="D35" sqref="D35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13"/>
    </customSheetView>
    <customSheetView guid="{6A1E79C9-91E3-4EEA-8ABB-4446083299EC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14"/>
    </customSheetView>
    <customSheetView guid="{8B80B510-C931-46B1-8591-DEA916D76593}" scale="85" showPageBreaks="1" fitToPage="1" printArea="1" view="pageBreakPreview" topLeftCell="A14">
      <selection activeCell="C7" sqref="C7:K42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15"/>
    </customSheetView>
    <customSheetView guid="{303A9D89-611D-4504-BCAA-071C53B021F7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16"/>
    </customSheetView>
    <customSheetView guid="{4583A87D-5DFF-47BD-849A-FA4AAF2B9CE3}" scale="85" showPageBreaks="1" fitToPage="1" printArea="1" view="pageBreakPreview" topLeftCell="A11">
      <selection activeCell="C42" sqref="C42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17"/>
    </customSheetView>
    <customSheetView guid="{EA856AC2-CDFF-46B6-B0C4-30449DF132F4}" scale="85" showPageBreaks="1" fitToPage="1" printArea="1" view="pageBreakPreview" topLeftCell="A14">
      <selection activeCell="C7" sqref="C7:K42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18"/>
    </customSheetView>
    <customSheetView guid="{322A45A6-8B26-49B8-A4D9-EFB3C94A758D}" scale="85" showPageBreaks="1" fitToPage="1" printArea="1" view="pageBreakPreview">
      <selection activeCell="G16" sqref="G16"/>
      <pageMargins left="0.70763888888888904" right="0.70763888888888904" top="0.74791666666666701" bottom="0.74791666666666701" header="0.31388888888888899" footer="0.31388888888888899"/>
      <printOptions horizontalCentered="1"/>
      <pageSetup paperSize="9" scale="69" orientation="landscape" r:id="rId19"/>
    </customSheetView>
  </customSheetViews>
  <mergeCells count="9">
    <mergeCell ref="A3:K3"/>
    <mergeCell ref="E4:F4"/>
    <mergeCell ref="C5:E5"/>
    <mergeCell ref="F5:H5"/>
    <mergeCell ref="A5:A6"/>
    <mergeCell ref="B5:B6"/>
    <mergeCell ref="I5:I6"/>
    <mergeCell ref="J5:J6"/>
    <mergeCell ref="K5:K6"/>
  </mergeCells>
  <phoneticPr fontId="133" type="noConversion"/>
  <printOptions horizontalCentered="1"/>
  <pageMargins left="0.70763888888888904" right="0.70763888888888904" top="0.74791666666666701" bottom="0.74791666666666701" header="0.31388888888888899" footer="0.31388888888888899"/>
  <pageSetup paperSize="9" scale="69" orientation="landscape" r:id="rId2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7" tint="0.39762565996276744"/>
    <pageSetUpPr fitToPage="1"/>
  </sheetPr>
  <dimension ref="A1:K35"/>
  <sheetViews>
    <sheetView view="pageBreakPreview" topLeftCell="A3" zoomScale="86" zoomScaleNormal="100" zoomScaleSheetLayoutView="100" workbookViewId="0">
      <selection activeCell="F26" sqref="F26"/>
    </sheetView>
  </sheetViews>
  <sheetFormatPr defaultColWidth="9" defaultRowHeight="14.25"/>
  <cols>
    <col min="1" max="1" width="25.5" customWidth="1"/>
    <col min="2" max="2" width="10.25" customWidth="1"/>
    <col min="3" max="11" width="16.375" customWidth="1"/>
  </cols>
  <sheetData>
    <row r="1" spans="1:11">
      <c r="A1" t="str">
        <f>'@产量打印#不锈钢'!A1</f>
        <v>年度</v>
      </c>
      <c r="B1">
        <f>'@产量打印#不锈钢'!B1</f>
        <v>2021</v>
      </c>
      <c r="C1" t="str">
        <f>'@产量打印#不锈钢'!C1</f>
        <v>天数</v>
      </c>
    </row>
    <row r="2" spans="1:11">
      <c r="A2" t="str">
        <f>'@产量打印#不锈钢'!A2</f>
        <v>月份</v>
      </c>
      <c r="B2">
        <f>'@产量打印#不锈钢'!B2</f>
        <v>8</v>
      </c>
      <c r="C2">
        <f>'@产量打印#不锈钢'!C2</f>
        <v>31</v>
      </c>
    </row>
    <row r="3" spans="1:11" s="13" customFormat="1" ht="45" customHeight="1">
      <c r="A3" s="2763" t="s">
        <v>1038</v>
      </c>
      <c r="B3" s="2763"/>
      <c r="C3" s="2763"/>
      <c r="D3" s="2763"/>
      <c r="E3" s="2763"/>
      <c r="F3" s="2763"/>
      <c r="G3" s="2763"/>
      <c r="H3" s="2763"/>
      <c r="I3" s="2763"/>
      <c r="J3" s="2763"/>
      <c r="K3" s="2763"/>
    </row>
    <row r="4" spans="1:11" s="13" customFormat="1" ht="15.75">
      <c r="A4" s="15" t="s">
        <v>1021</v>
      </c>
      <c r="B4" s="44"/>
      <c r="C4" s="44"/>
      <c r="D4" s="45"/>
      <c r="E4" s="2781" t="str">
        <f>'@产量打印#概况'!$B$1&amp;"年"&amp;'@产量打印#概况'!$B$2&amp;"月"</f>
        <v>2021年8月</v>
      </c>
      <c r="F4" s="2781"/>
      <c r="G4" s="44"/>
      <c r="H4" s="44"/>
      <c r="I4" s="44"/>
      <c r="J4" s="44"/>
      <c r="K4" s="44"/>
    </row>
    <row r="5" spans="1:11" s="13" customFormat="1" ht="19.149999999999999" customHeight="1">
      <c r="A5" s="2768" t="s">
        <v>1022</v>
      </c>
      <c r="B5" s="2770" t="s">
        <v>1023</v>
      </c>
      <c r="C5" s="2765" t="str">
        <f>'@产量打印#概况'!$B$2&amp;" 月 份"</f>
        <v>8 月 份</v>
      </c>
      <c r="D5" s="2765"/>
      <c r="E5" s="2765"/>
      <c r="F5" s="2765" t="s">
        <v>1030</v>
      </c>
      <c r="G5" s="2765"/>
      <c r="H5" s="2765"/>
      <c r="I5" s="2770" t="s">
        <v>1031</v>
      </c>
      <c r="J5" s="2765" t="s">
        <v>1027</v>
      </c>
      <c r="K5" s="2782" t="s">
        <v>1032</v>
      </c>
    </row>
    <row r="6" spans="1:11" s="13" customFormat="1" ht="19.149999999999999" customHeight="1">
      <c r="A6" s="2769"/>
      <c r="B6" s="2690"/>
      <c r="C6" s="21" t="s">
        <v>1033</v>
      </c>
      <c r="D6" s="21" t="s">
        <v>1034</v>
      </c>
      <c r="E6" s="21" t="s">
        <v>1035</v>
      </c>
      <c r="F6" s="21" t="s">
        <v>1024</v>
      </c>
      <c r="G6" s="21" t="s">
        <v>1034</v>
      </c>
      <c r="H6" s="21" t="s">
        <v>1035</v>
      </c>
      <c r="I6" s="2690"/>
      <c r="J6" s="2675"/>
      <c r="K6" s="2783"/>
    </row>
    <row r="7" spans="1:11" s="14" customFormat="1" ht="24.75" customHeight="1">
      <c r="A7" s="32" t="s">
        <v>274</v>
      </c>
      <c r="B7" s="23" t="s">
        <v>1001</v>
      </c>
      <c r="C7" s="23">
        <v>278100</v>
      </c>
      <c r="D7" s="23">
        <f>SUMIFS('#产量数据'!3:3,'#产量数据'!$1:$1,'@产量打印#概况'!$B$1,'#产量数据'!$2:$2,'@产量打印#概况'!$B$2)</f>
        <v>277150</v>
      </c>
      <c r="E7" s="26">
        <f t="shared" ref="E7:E35" si="0">IFERROR(D7/C7*100,"")</f>
        <v>99.658396260338009</v>
      </c>
      <c r="F7" s="23">
        <v>3220000</v>
      </c>
      <c r="G7" s="46">
        <f>SUMIFS('#产量数据'!3:3,'#产量数据'!$1:$1,'@产量打印#概况'!$B$1,'#产量数据'!$2:$2,"&lt;="&amp;'@产量打印#概况'!$B$2)-1</f>
        <v>2129691</v>
      </c>
      <c r="H7" s="26">
        <f t="shared" ref="H7:H35" si="1">IFERROR(G7/F7*100,"")</f>
        <v>66.139472049689445</v>
      </c>
      <c r="I7" s="46">
        <f>D7/'@产量打印#概况'!$C$2</f>
        <v>8940.322580645161</v>
      </c>
      <c r="J7" s="30">
        <f>SUMIFS('#产量数据'!3:3,'#产量数据'!$1:$1,'@产量打印#概况'!$B$1-1,'#产量数据'!$2:$2,"&lt;="&amp;'@产量打印#概况'!$B$2)</f>
        <v>2031892</v>
      </c>
      <c r="K7" s="26">
        <f t="shared" ref="K7:K35" si="2">IFERROR((G7-J7)/J7*100,"")</f>
        <v>4.8131987330035253</v>
      </c>
    </row>
    <row r="8" spans="1:11" s="14" customFormat="1" ht="24.75" customHeight="1">
      <c r="A8" s="32" t="s">
        <v>275</v>
      </c>
      <c r="B8" s="23" t="s">
        <v>1001</v>
      </c>
      <c r="C8" s="47">
        <f>C9+C10</f>
        <v>1060000</v>
      </c>
      <c r="D8" s="46">
        <f>SUMIFS('#产量数据'!4:4,'#产量数据'!$1:$1,'@产量打印#概况'!$B$1,'#产量数据'!$2:$2,'@产量打印#概况'!$B$2)</f>
        <v>1031862</v>
      </c>
      <c r="E8" s="26">
        <f t="shared" si="0"/>
        <v>97.345471698113201</v>
      </c>
      <c r="F8" s="46">
        <f>F9+F10</f>
        <v>11000000</v>
      </c>
      <c r="G8" s="46">
        <f>SUMIFS('#产量数据'!4:4,'#产量数据'!$1:$1,'@产量打印#概况'!$B$1,'#产量数据'!$2:$2,"&lt;="&amp;'@产量打印#概况'!$B$2)</f>
        <v>7855804</v>
      </c>
      <c r="H8" s="26">
        <f t="shared" si="1"/>
        <v>71.416399999999996</v>
      </c>
      <c r="I8" s="51">
        <f>D8/'@产量打印#概况'!$C$2</f>
        <v>33285.870967741932</v>
      </c>
      <c r="J8" s="48">
        <f>SUMIFS('#产量数据'!4:4,'#产量数据'!$1:$1,'@产量打印#概况'!$B$1-1,'#产量数据'!$2:$2,"&lt;="&amp;'@产量打印#概况'!$B$2)</f>
        <v>6369230</v>
      </c>
      <c r="K8" s="26">
        <f t="shared" si="2"/>
        <v>23.33993277052328</v>
      </c>
    </row>
    <row r="9" spans="1:11" s="13" customFormat="1" ht="24.75" customHeight="1">
      <c r="A9" s="22" t="s">
        <v>1039</v>
      </c>
      <c r="B9" s="23" t="s">
        <v>1001</v>
      </c>
      <c r="C9" s="23">
        <v>440000</v>
      </c>
      <c r="D9" s="46">
        <f>SUMIFS('#产量数据'!5:5,'#产量数据'!$1:$1,'@产量打印#概况'!$B$1,'#产量数据'!$2:$2,'@产量打印#概况'!$B$2)</f>
        <v>431654</v>
      </c>
      <c r="E9" s="26">
        <f t="shared" si="0"/>
        <v>98.103181818181824</v>
      </c>
      <c r="F9" s="23">
        <v>4800000</v>
      </c>
      <c r="G9" s="46">
        <f>SUMIFS('#产量数据'!5:5,'#产量数据'!$1:$1,'@产量打印#概况'!$B$1,'#产量数据'!$2:$2,"&lt;="&amp;'@产量打印#概况'!$B$2)</f>
        <v>3214710</v>
      </c>
      <c r="H9" s="26">
        <f t="shared" si="1"/>
        <v>66.973124999999996</v>
      </c>
      <c r="I9" s="51">
        <f>D9/'@产量打印#概况'!$C$2</f>
        <v>13924.322580645161</v>
      </c>
      <c r="J9" s="48">
        <f>SUMIFS('#产量数据'!5:5,'#产量数据'!$1:$1,'@产量打印#概况'!$B$1-1,'#产量数据'!$2:$2,"&lt;="&amp;'@产量打印#概况'!$B$2)</f>
        <v>2500292</v>
      </c>
      <c r="K9" s="26">
        <f t="shared" si="2"/>
        <v>28.573382628908945</v>
      </c>
    </row>
    <row r="10" spans="1:11" s="13" customFormat="1" ht="24.75" customHeight="1">
      <c r="A10" s="22" t="s">
        <v>1040</v>
      </c>
      <c r="B10" s="23" t="s">
        <v>1001</v>
      </c>
      <c r="C10" s="23">
        <v>620000</v>
      </c>
      <c r="D10" s="46">
        <f>SUMIFS('#产量数据'!6:6,'#产量数据'!$1:$1,'@产量打印#概况'!$B$1,'#产量数据'!$2:$2,'@产量打印#概况'!$B$2)</f>
        <v>600208</v>
      </c>
      <c r="E10" s="26">
        <f t="shared" si="0"/>
        <v>96.807741935483875</v>
      </c>
      <c r="F10" s="23">
        <v>6200000</v>
      </c>
      <c r="G10" s="46">
        <f>SUMIFS('#产量数据'!6:6,'#产量数据'!$1:$1,'@产量打印#概况'!$B$1,'#产量数据'!$2:$2,"&lt;="&amp;'@产量打印#概况'!$B$2)</f>
        <v>4641094</v>
      </c>
      <c r="H10" s="26">
        <f t="shared" si="1"/>
        <v>74.856354838709677</v>
      </c>
      <c r="I10" s="51">
        <f>D10/'@产量打印#概况'!$C$2</f>
        <v>19361.548387096773</v>
      </c>
      <c r="J10" s="48">
        <f>SUMIFS('#产量数据'!6:6,'#产量数据'!$1:$1,'@产量打印#概况'!$B$1-1,'#产量数据'!$2:$2,"&lt;="&amp;'@产量打印#概况'!$B$2)</f>
        <v>3868938</v>
      </c>
      <c r="K10" s="26">
        <f t="shared" si="2"/>
        <v>19.957828220560785</v>
      </c>
    </row>
    <row r="11" spans="1:11" s="14" customFormat="1" ht="24.75" customHeight="1">
      <c r="A11" s="22" t="s">
        <v>278</v>
      </c>
      <c r="B11" s="23" t="s">
        <v>1001</v>
      </c>
      <c r="C11" s="23">
        <f>SUM(C12:C14)</f>
        <v>837000</v>
      </c>
      <c r="D11" s="46">
        <f>SUMIFS('#产量数据'!7:7,'#产量数据'!$1:$1,'@产量打印#概况'!$B$1,'#产量数据'!$2:$2,'@产量打印#概况'!$B$2)</f>
        <v>784915</v>
      </c>
      <c r="E11" s="26">
        <f t="shared" si="0"/>
        <v>93.777180406212665</v>
      </c>
      <c r="F11" s="23">
        <f>SUM(F12:F14)</f>
        <v>9000000</v>
      </c>
      <c r="G11" s="46">
        <f>SUMIFS('#产量数据'!7:7,'#产量数据'!$1:$1,'@产量打印#概况'!$B$1,'#产量数据'!$2:$2,"&lt;="&amp;'@产量打印#概况'!$B$2)</f>
        <v>6268095</v>
      </c>
      <c r="H11" s="26">
        <f t="shared" si="1"/>
        <v>69.645499999999998</v>
      </c>
      <c r="I11" s="51">
        <f>D11/'@产量打印#概况'!$C$2</f>
        <v>25319.83870967742</v>
      </c>
      <c r="J11" s="48">
        <f>SUMIFS('#产量数据'!7:7,'#产量数据'!$1:$1,'@产量打印#概况'!$B$1-1,'#产量数据'!$2:$2,"&lt;="&amp;'@产量打印#概况'!$B$2)</f>
        <v>5061752.8</v>
      </c>
      <c r="K11" s="26">
        <f t="shared" si="2"/>
        <v>23.832499287598559</v>
      </c>
    </row>
    <row r="12" spans="1:11" s="13" customFormat="1" ht="24.75" customHeight="1">
      <c r="A12" s="22" t="s">
        <v>1041</v>
      </c>
      <c r="B12" s="23" t="s">
        <v>1001</v>
      </c>
      <c r="C12" s="23">
        <v>148800</v>
      </c>
      <c r="D12" s="46">
        <f>SUMIFS('#产量数据'!8:8,'#产量数据'!$1:$1,'@产量打印#概况'!$B$1,'#产量数据'!$2:$2,'@产量打印#概况'!$B$2)</f>
        <v>149884</v>
      </c>
      <c r="E12" s="26">
        <f t="shared" si="0"/>
        <v>100.72849462365592</v>
      </c>
      <c r="F12" s="23">
        <v>1700000</v>
      </c>
      <c r="G12" s="46">
        <f>SUMIFS('#产量数据'!8:8,'#产量数据'!$1:$1,'@产量打印#概况'!$B$1,'#产量数据'!$2:$2,"&lt;="&amp;'@产量打印#概况'!$B$2)</f>
        <v>1149026</v>
      </c>
      <c r="H12" s="26">
        <f t="shared" si="1"/>
        <v>67.589764705882345</v>
      </c>
      <c r="I12" s="51">
        <f>D12/'@产量打印#概况'!$C$2</f>
        <v>4834.9677419354839</v>
      </c>
      <c r="J12" s="48">
        <f>SUMIFS('#产量数据'!8:8,'#产量数据'!$1:$1,'@产量打印#概况'!$B$1-1,'#产量数据'!$2:$2,"&lt;="&amp;'@产量打印#概况'!$B$2)</f>
        <v>1103070</v>
      </c>
      <c r="K12" s="26">
        <f t="shared" si="2"/>
        <v>4.1661907222569736</v>
      </c>
    </row>
    <row r="13" spans="1:11" s="13" customFormat="1" ht="24.75" customHeight="1">
      <c r="A13" s="22" t="s">
        <v>1042</v>
      </c>
      <c r="B13" s="23" t="s">
        <v>1001</v>
      </c>
      <c r="C13" s="23">
        <v>347200</v>
      </c>
      <c r="D13" s="46">
        <f>SUMIFS('#产量数据'!9:9,'#产量数据'!$1:$1,'@产量打印#概况'!$B$1,'#产量数据'!$2:$2,'@产量打印#概况'!$B$2)</f>
        <v>307599</v>
      </c>
      <c r="E13" s="26">
        <f t="shared" si="0"/>
        <v>88.594182027649765</v>
      </c>
      <c r="F13" s="23">
        <v>3750000</v>
      </c>
      <c r="G13" s="46">
        <f>SUMIFS('#产量数据'!9:9,'#产量数据'!$1:$1,'@产量打印#概况'!$B$1,'#产量数据'!$2:$2,"&lt;="&amp;'@产量打印#概况'!$B$2)</f>
        <v>2604750</v>
      </c>
      <c r="H13" s="26">
        <f t="shared" si="1"/>
        <v>69.459999999999994</v>
      </c>
      <c r="I13" s="51">
        <f>D13/'@产量打印#概况'!$C$2</f>
        <v>9922.5483870967746</v>
      </c>
      <c r="J13" s="48">
        <f>SUMIFS('#产量数据'!9:9,'#产量数据'!$1:$1,'@产量打印#概况'!$B$1-1,'#产量数据'!$2:$2,"&lt;="&amp;'@产量打印#概况'!$B$2)+1</f>
        <v>1514221.4</v>
      </c>
      <c r="K13" s="26">
        <f t="shared" si="2"/>
        <v>72.019098396046985</v>
      </c>
    </row>
    <row r="14" spans="1:11" s="13" customFormat="1" ht="24.75" customHeight="1">
      <c r="A14" s="22" t="s">
        <v>1043</v>
      </c>
      <c r="B14" s="23" t="s">
        <v>1001</v>
      </c>
      <c r="C14" s="23">
        <v>341000</v>
      </c>
      <c r="D14" s="46">
        <f>SUMIFS('#产量数据'!10:10,'#产量数据'!$1:$1,'@产量打印#概况'!$B$1,'#产量数据'!$2:$2,'@产量打印#概况'!$B$2)</f>
        <v>327432</v>
      </c>
      <c r="E14" s="26">
        <f t="shared" si="0"/>
        <v>96.021114369501475</v>
      </c>
      <c r="F14" s="23">
        <v>3550000</v>
      </c>
      <c r="G14" s="46">
        <f>SUMIFS('#产量数据'!10:10,'#产量数据'!$1:$1,'@产量打印#概况'!$B$1,'#产量数据'!$2:$2,"&lt;="&amp;'@产量打印#概况'!$B$2)</f>
        <v>2514319</v>
      </c>
      <c r="H14" s="26">
        <f t="shared" si="1"/>
        <v>70.825887323943661</v>
      </c>
      <c r="I14" s="51">
        <f>D14/'@产量打印#概况'!$C$2</f>
        <v>10562.322580645161</v>
      </c>
      <c r="J14" s="48">
        <f>SUMIFS('#产量数据'!10:10,'#产量数据'!$1:$1,'@产量打印#概况'!$B$1-1,'#产量数据'!$2:$2,"&lt;="&amp;'@产量打印#概况'!$B$2)</f>
        <v>2444462.4</v>
      </c>
      <c r="K14" s="26">
        <f t="shared" si="2"/>
        <v>2.8577490085345594</v>
      </c>
    </row>
    <row r="15" spans="1:11" s="14" customFormat="1" ht="24.75" customHeight="1">
      <c r="A15" s="22" t="s">
        <v>282</v>
      </c>
      <c r="B15" s="23" t="s">
        <v>1001</v>
      </c>
      <c r="C15" s="27">
        <f>C17+C22</f>
        <v>1100000</v>
      </c>
      <c r="D15" s="46">
        <f>SUMIFS('#产量数据'!11:11,'#产量数据'!$1:$1,'@产量打印#概况'!$B$1,'#产量数据'!$2:$2,'@产量打印#概况'!$B$2)</f>
        <v>1089890</v>
      </c>
      <c r="E15" s="26">
        <f t="shared" si="0"/>
        <v>99.080909090909088</v>
      </c>
      <c r="F15" s="23">
        <f>F17+F22</f>
        <v>12000000</v>
      </c>
      <c r="G15" s="46">
        <f>SUMIFS('#产量数据'!11:11,'#产量数据'!$1:$1,'@产量打印#概况'!$B$1,'#产量数据'!$2:$2,"&lt;="&amp;'@产量打印#概况'!$B$2)</f>
        <v>8429772.9069999978</v>
      </c>
      <c r="H15" s="26">
        <f t="shared" si="1"/>
        <v>70.248107558333317</v>
      </c>
      <c r="I15" s="51">
        <f>D15/'@产量打印#概况'!$C$2</f>
        <v>35157.741935483871</v>
      </c>
      <c r="J15" s="48">
        <f>SUMIFS('#产量数据'!11:11,'#产量数据'!$1:$1,'@产量打印#概况'!$B$1-1,'#产量数据'!$2:$2,"&lt;="&amp;'@产量打印#概况'!$B$2)</f>
        <v>7020569.4539999999</v>
      </c>
      <c r="K15" s="26">
        <f t="shared" si="2"/>
        <v>20.072495005331771</v>
      </c>
    </row>
    <row r="16" spans="1:11" s="13" customFormat="1" ht="24.75" customHeight="1">
      <c r="A16" s="22" t="s">
        <v>283</v>
      </c>
      <c r="B16" s="23" t="s">
        <v>1001</v>
      </c>
      <c r="C16" s="47">
        <f>C19+C21+C27+C30+C25+C32</f>
        <v>1086000</v>
      </c>
      <c r="D16" s="46">
        <f>SUMIFS('#产量数据'!12:12,'#产量数据'!$1:$1,'@产量打印#概况'!$B$1,'#产量数据'!$2:$2,'@产量打印#概况'!$B$2)</f>
        <v>1072171.108</v>
      </c>
      <c r="E16" s="26">
        <f t="shared" si="0"/>
        <v>98.726621362799264</v>
      </c>
      <c r="F16" s="46">
        <f>F19+F21+F27+F30+F25+F32</f>
        <v>11851000</v>
      </c>
      <c r="G16" s="46">
        <f>SUMIFS('#产量数据'!12:12,'#产量数据'!$1:$1,'@产量打印#概况'!$B$1,'#产量数据'!$2:$2,"&lt;="&amp;'@产量打印#概况'!$B$2)</f>
        <v>8303420.9440000001</v>
      </c>
      <c r="H16" s="26">
        <f t="shared" si="1"/>
        <v>70.06515014766687</v>
      </c>
      <c r="I16" s="51">
        <f>D16/'@产量打印#概况'!$C$2</f>
        <v>34586.164774193552</v>
      </c>
      <c r="J16" s="48">
        <f>SUMIFS('#产量数据'!12:12,'#产量数据'!$1:$1,'@产量打印#概况'!$B$1-1,'#产量数据'!$2:$2,"&lt;="&amp;'@产量打印#概况'!$B$2)</f>
        <v>6911929.2859999994</v>
      </c>
      <c r="K16" s="26">
        <f t="shared" si="2"/>
        <v>20.131740363988452</v>
      </c>
    </row>
    <row r="17" spans="1:11" s="14" customFormat="1" ht="24.75" customHeight="1">
      <c r="A17" s="22" t="s">
        <v>1044</v>
      </c>
      <c r="B17" s="23" t="s">
        <v>1001</v>
      </c>
      <c r="C17" s="27">
        <f>C18+C20</f>
        <v>100000</v>
      </c>
      <c r="D17" s="46">
        <f>SUMIFS('#产量数据'!13:13,'#产量数据'!$1:$1,'@产量打印#概况'!$B$1,'#产量数据'!$2:$2,'@产量打印#概况'!$B$2)</f>
        <v>108075</v>
      </c>
      <c r="E17" s="26">
        <f t="shared" si="0"/>
        <v>108.07500000000002</v>
      </c>
      <c r="F17" s="23">
        <f>F18+F20</f>
        <v>1110000</v>
      </c>
      <c r="G17" s="46">
        <f>SUMIFS('#产量数据'!13:13,'#产量数据'!$1:$1,'@产量打印#概况'!$B$1,'#产量数据'!$2:$2,"&lt;="&amp;'@产量打印#概况'!$B$2)</f>
        <v>807915.31799999997</v>
      </c>
      <c r="H17" s="26">
        <f t="shared" si="1"/>
        <v>72.785163783783773</v>
      </c>
      <c r="I17" s="51">
        <f>D17/'@产量打印#概况'!$C$2</f>
        <v>3486.2903225806454</v>
      </c>
      <c r="J17" s="48">
        <f>SUMIFS('#产量数据'!13:13,'#产量数据'!$1:$1,'@产量打印#概况'!$B$1-1,'#产量数据'!$2:$2,"&lt;="&amp;'@产量打印#概况'!$B$2)</f>
        <v>703675.13500000001</v>
      </c>
      <c r="K17" s="26">
        <f t="shared" si="2"/>
        <v>14.813680037166577</v>
      </c>
    </row>
    <row r="18" spans="1:11" s="13" customFormat="1" ht="24.75" customHeight="1">
      <c r="A18" s="22" t="s">
        <v>285</v>
      </c>
      <c r="B18" s="23" t="s">
        <v>1001</v>
      </c>
      <c r="C18" s="29">
        <v>45000</v>
      </c>
      <c r="D18" s="30">
        <f>SUMIFS('#产量数据'!14:14,'#产量数据'!$1:$1,'@产量打印#概况'!$B$1,'#产量数据'!$2:$2,'@产量打印#概况'!$B$2)</f>
        <v>44586</v>
      </c>
      <c r="E18" s="26">
        <f t="shared" si="0"/>
        <v>99.08</v>
      </c>
      <c r="F18" s="29">
        <v>490000</v>
      </c>
      <c r="G18" s="48">
        <f>SUMIFS('#产量数据'!14:14,'#产量数据'!$1:$1,'@产量打印#概况'!$B$1,'#产量数据'!$2:$2,"&lt;="&amp;'@产量打印#概况'!$B$2)</f>
        <v>329131.27999999997</v>
      </c>
      <c r="H18" s="26">
        <f t="shared" si="1"/>
        <v>67.169648979591841</v>
      </c>
      <c r="I18" s="52">
        <f>D18/'@产量打印#概况'!$C$2</f>
        <v>1438.258064516129</v>
      </c>
      <c r="J18" s="48">
        <f>SUMIFS('#产量数据'!14:14,'#产量数据'!$1:$1,'@产量打印#概况'!$B$1-1,'#产量数据'!$2:$2,"&lt;="&amp;'@产量打印#概况'!$B$2)</f>
        <v>298154.57700000005</v>
      </c>
      <c r="K18" s="26">
        <f t="shared" si="2"/>
        <v>10.389477603089055</v>
      </c>
    </row>
    <row r="19" spans="1:11" s="13" customFormat="1" ht="24.75" customHeight="1">
      <c r="A19" s="22" t="s">
        <v>286</v>
      </c>
      <c r="B19" s="23" t="s">
        <v>1001</v>
      </c>
      <c r="C19" s="29">
        <v>43000</v>
      </c>
      <c r="D19" s="48">
        <f>SUMIFS('#产量数据'!15:15,'#产量数据'!$1:$1,'@产量打印#概况'!$B$1,'#产量数据'!$2:$2,'@产量打印#概况'!$B$2)</f>
        <v>41136.339</v>
      </c>
      <c r="E19" s="26">
        <f t="shared" si="0"/>
        <v>95.665904651162791</v>
      </c>
      <c r="F19" s="29">
        <v>466000</v>
      </c>
      <c r="G19" s="48">
        <f>SUMIFS('#产量数据'!15:15,'#产量数据'!$1:$1,'@产量打印#概况'!$B$1,'#产量数据'!$2:$2,"&lt;="&amp;'@产量打印#概况'!$B$2)</f>
        <v>308910.81699999998</v>
      </c>
      <c r="H19" s="26">
        <f t="shared" si="1"/>
        <v>66.289874892703864</v>
      </c>
      <c r="I19" s="52">
        <f>D19/'@产量打印#概况'!$C$2</f>
        <v>1326.9786774193549</v>
      </c>
      <c r="J19" s="48">
        <f>SUMIFS('#产量数据'!15:15,'#产量数据'!$1:$1,'@产量打印#概况'!$B$1-1,'#产量数据'!$2:$2,"&lt;="&amp;'@产量打印#概况'!$B$2)</f>
        <v>282321.201</v>
      </c>
      <c r="K19" s="26">
        <f t="shared" si="2"/>
        <v>9.4182143975790105</v>
      </c>
    </row>
    <row r="20" spans="1:11" s="13" customFormat="1" ht="24.75" customHeight="1">
      <c r="A20" s="22" t="s">
        <v>287</v>
      </c>
      <c r="B20" s="23" t="s">
        <v>1001</v>
      </c>
      <c r="C20" s="29">
        <v>55000</v>
      </c>
      <c r="D20" s="48">
        <f>SUMIFS('#产量数据'!16:16,'#产量数据'!$1:$1,'@产量打印#概况'!$B$1,'#产量数据'!$2:$2,'@产量打印#概况'!$B$2)</f>
        <v>63489</v>
      </c>
      <c r="E20" s="26">
        <f t="shared" si="0"/>
        <v>115.43454545454546</v>
      </c>
      <c r="F20" s="29">
        <v>620000</v>
      </c>
      <c r="G20" s="48">
        <f>SUMIFS('#产量数据'!16:16,'#产量数据'!$1:$1,'@产量打印#概况'!$B$1,'#产量数据'!$2:$2,"&lt;="&amp;'@产量打印#概况'!$B$2)</f>
        <v>478784.038</v>
      </c>
      <c r="H20" s="26">
        <f t="shared" si="1"/>
        <v>77.223231935483867</v>
      </c>
      <c r="I20" s="52">
        <f>D20/'@产量打印#概况'!$C$2</f>
        <v>2048.0322580645161</v>
      </c>
      <c r="J20" s="48">
        <f>SUMIFS('#产量数据'!16:16,'#产量数据'!$1:$1,'@产量打印#概况'!$B$1-1,'#产量数据'!$2:$2,"&lt;="&amp;'@产量打印#概况'!$B$2)</f>
        <v>405520.55799999996</v>
      </c>
      <c r="K20" s="26">
        <f t="shared" si="2"/>
        <v>18.066526728344076</v>
      </c>
    </row>
    <row r="21" spans="1:11" s="13" customFormat="1" ht="24.75" customHeight="1">
      <c r="A21" s="22" t="s">
        <v>288</v>
      </c>
      <c r="B21" s="23" t="s">
        <v>1001</v>
      </c>
      <c r="C21" s="29">
        <v>45000</v>
      </c>
      <c r="D21" s="48">
        <f>SUMIFS('#产量数据'!17:17,'#产量数据'!$1:$1,'@产量打印#概况'!$B$1,'#产量数据'!$2:$2,'@产量打印#概况'!$B$2)</f>
        <v>50630.424999999996</v>
      </c>
      <c r="E21" s="26">
        <f t="shared" si="0"/>
        <v>112.51205555555555</v>
      </c>
      <c r="F21" s="29">
        <v>520000</v>
      </c>
      <c r="G21" s="48">
        <f>SUMIFS('#产量数据'!17:17,'#产量数据'!$1:$1,'@产量打印#概况'!$B$1,'#产量数据'!$2:$2,"&lt;="&amp;'@产量打印#概况'!$B$2)</f>
        <v>389915.50099999999</v>
      </c>
      <c r="H21" s="26">
        <f t="shared" si="1"/>
        <v>74.983750192307681</v>
      </c>
      <c r="I21" s="52">
        <f>D21/'@产量打印#概况'!$C$2</f>
        <v>1633.2395161290322</v>
      </c>
      <c r="J21" s="48">
        <f>SUMIFS('#产量数据'!17:17,'#产量数据'!$1:$1,'@产量打印#概况'!$B$1-1,'#产量数据'!$2:$2,"&lt;="&amp;'@产量打印#概况'!$B$2)</f>
        <v>336445.91399999999</v>
      </c>
      <c r="K21" s="26">
        <f t="shared" si="2"/>
        <v>15.892476256971278</v>
      </c>
    </row>
    <row r="22" spans="1:11" s="14" customFormat="1" ht="24.75" customHeight="1">
      <c r="A22" s="22" t="s">
        <v>1045</v>
      </c>
      <c r="B22" s="23" t="s">
        <v>1001</v>
      </c>
      <c r="C22" s="47">
        <f>C23+C28</f>
        <v>1000000</v>
      </c>
      <c r="D22" s="48">
        <f>SUMIFS('#产量数据'!18:18,'#产量数据'!$1:$1,'@产量打印#概况'!$B$1,'#产量数据'!$2:$2,'@产量打印#概况'!$B$2)</f>
        <v>981815</v>
      </c>
      <c r="E22" s="26">
        <f t="shared" si="0"/>
        <v>98.1815</v>
      </c>
      <c r="F22" s="48">
        <f>F23+F28</f>
        <v>10890000</v>
      </c>
      <c r="G22" s="48">
        <f>SUMIFS('#产量数据'!18:18,'#产量数据'!$1:$1,'@产量打印#概况'!$B$1,'#产量数据'!$2:$2,"&lt;="&amp;'@产量打印#概况'!$B$2)</f>
        <v>7621857.5889999997</v>
      </c>
      <c r="H22" s="26">
        <f t="shared" si="1"/>
        <v>69.989509540863168</v>
      </c>
      <c r="I22" s="52">
        <f>D22/'@产量打印#概况'!$C$2</f>
        <v>31671.451612903227</v>
      </c>
      <c r="J22" s="48">
        <f>SUMIFS('#产量数据'!18:18,'#产量数据'!$1:$1,'@产量打印#概况'!$B$1-1,'#产量数据'!$2:$2,"&lt;="&amp;'@产量打印#概况'!$B$2)</f>
        <v>6316894.3190000001</v>
      </c>
      <c r="K22" s="26">
        <f t="shared" si="2"/>
        <v>20.658304605079771</v>
      </c>
    </row>
    <row r="23" spans="1:11" s="14" customFormat="1" ht="24.75" customHeight="1">
      <c r="A23" s="32" t="s">
        <v>290</v>
      </c>
      <c r="B23" s="23" t="s">
        <v>1001</v>
      </c>
      <c r="C23" s="47">
        <f>C24+C26</f>
        <v>257000</v>
      </c>
      <c r="D23" s="48">
        <f>SUMIFS('#产量数据'!19:19,'#产量数据'!$1:$1,'@产量打印#概况'!$B$1,'#产量数据'!$2:$2,'@产量打印#概况'!$B$2)</f>
        <v>266342</v>
      </c>
      <c r="E23" s="26">
        <f t="shared" si="0"/>
        <v>103.6350194552529</v>
      </c>
      <c r="F23" s="48">
        <f>F24+F26</f>
        <v>2950000</v>
      </c>
      <c r="G23" s="48">
        <f>SUMIFS('#产量数据'!19:19,'#产量数据'!$1:$1,'@产量打印#概况'!$B$1,'#产量数据'!$2:$2,"&lt;="&amp;'@产量打印#概况'!$B$2)</f>
        <v>2106249.7259999998</v>
      </c>
      <c r="H23" s="26">
        <f t="shared" si="1"/>
        <v>71.398295796610171</v>
      </c>
      <c r="I23" s="52">
        <f>D23/'@产量打印#概况'!$C$2</f>
        <v>8591.677419354839</v>
      </c>
      <c r="J23" s="48">
        <f>SUMIFS('#产量数据'!19:19,'#产量数据'!$1:$1,'@产量打印#概况'!$B$1-1,'#产量数据'!$2:$2,"&lt;="&amp;'@产量打印#概况'!$B$2)</f>
        <v>1785492.1089999999</v>
      </c>
      <c r="K23" s="26">
        <f t="shared" si="2"/>
        <v>17.964661696525024</v>
      </c>
    </row>
    <row r="24" spans="1:11" s="13" customFormat="1" ht="24.75" customHeight="1">
      <c r="A24" s="22" t="s">
        <v>285</v>
      </c>
      <c r="B24" s="23" t="s">
        <v>1001</v>
      </c>
      <c r="C24" s="29">
        <v>57000</v>
      </c>
      <c r="D24" s="48">
        <f>SUMIFS('#产量数据'!20:20,'#产量数据'!$1:$1,'@产量打印#概况'!$B$1,'#产量数据'!$2:$2,'@产量打印#概况'!$B$2)</f>
        <v>56180</v>
      </c>
      <c r="E24" s="26">
        <f t="shared" si="0"/>
        <v>98.561403508771932</v>
      </c>
      <c r="F24" s="29">
        <v>650000</v>
      </c>
      <c r="G24" s="48">
        <f>SUMIFS('#产量数据'!20:20,'#产量数据'!$1:$1,'@产量打印#概况'!$B$1,'#产量数据'!$2:$2,"&lt;="&amp;'@产量打印#概况'!$B$2)</f>
        <v>452805.36</v>
      </c>
      <c r="H24" s="26">
        <f t="shared" si="1"/>
        <v>69.662363076923072</v>
      </c>
      <c r="I24" s="52">
        <f>D24/'@产量打印#概况'!$C$2</f>
        <v>1812.258064516129</v>
      </c>
      <c r="J24" s="48">
        <f>SUMIFS('#产量数据'!20:20,'#产量数据'!$1:$1,'@产量打印#概况'!$B$1-1,'#产量数据'!$2:$2,"&lt;="&amp;'@产量打印#概况'!$B$2)</f>
        <v>400970.576</v>
      </c>
      <c r="K24" s="26">
        <f t="shared" si="2"/>
        <v>12.927328612760849</v>
      </c>
    </row>
    <row r="25" spans="1:11" s="13" customFormat="1" ht="24.75" customHeight="1">
      <c r="A25" s="22" t="s">
        <v>286</v>
      </c>
      <c r="B25" s="23" t="s">
        <v>1001</v>
      </c>
      <c r="C25" s="29">
        <v>55000</v>
      </c>
      <c r="D25" s="48">
        <f>SUMIFS('#产量数据'!21:21,'#产量数据'!$1:$1,'@产量打印#概况'!$B$1,'#产量数据'!$2:$2,'@产量打印#概况'!$B$2)</f>
        <v>54769.343999999997</v>
      </c>
      <c r="E25" s="26">
        <f t="shared" si="0"/>
        <v>99.580625454545441</v>
      </c>
      <c r="F25" s="29">
        <v>625000</v>
      </c>
      <c r="G25" s="48">
        <f>SUMIFS('#产量数据'!21:21,'#产量数据'!$1:$1,'@产量打印#概况'!$B$1,'#产量数据'!$2:$2,"&lt;="&amp;'@产量打印#概况'!$B$2)</f>
        <v>436582.14899999998</v>
      </c>
      <c r="H25" s="26">
        <f t="shared" si="1"/>
        <v>69.853143840000001</v>
      </c>
      <c r="I25" s="52">
        <f>D25/'@产量打印#概况'!$C$2</f>
        <v>1766.7530322580644</v>
      </c>
      <c r="J25" s="48">
        <f>SUMIFS('#产量数据'!21:21,'#产量数据'!$1:$1,'@产量打印#概况'!$B$1-1,'#产量数据'!$2:$2,"&lt;="&amp;'@产量打印#概况'!$B$2)</f>
        <v>378770.95400000003</v>
      </c>
      <c r="K25" s="26">
        <f t="shared" si="2"/>
        <v>15.262837445555538</v>
      </c>
    </row>
    <row r="26" spans="1:11" s="13" customFormat="1" ht="24.75" customHeight="1">
      <c r="A26" s="22" t="s">
        <v>287</v>
      </c>
      <c r="B26" s="23" t="s">
        <v>1001</v>
      </c>
      <c r="C26" s="29">
        <v>200000</v>
      </c>
      <c r="D26" s="48">
        <f>SUMIFS('#产量数据'!22:22,'#产量数据'!$1:$1,'@产量打印#概况'!$B$1,'#产量数据'!$2:$2,'@产量打印#概况'!$B$2)</f>
        <v>210162</v>
      </c>
      <c r="E26" s="26">
        <f t="shared" si="0"/>
        <v>105.081</v>
      </c>
      <c r="F26" s="29">
        <v>2300000</v>
      </c>
      <c r="G26" s="48">
        <f>SUMIFS('#产量数据'!22:22,'#产量数据'!$1:$1,'@产量打印#概况'!$B$1,'#产量数据'!$2:$2,"&lt;="&amp;'@产量打印#概况'!$B$2)</f>
        <v>1653444.3659999999</v>
      </c>
      <c r="H26" s="26">
        <f t="shared" si="1"/>
        <v>71.88888547826086</v>
      </c>
      <c r="I26" s="52">
        <f>D26/'@产量打印#概况'!$C$2</f>
        <v>6779.4193548387093</v>
      </c>
      <c r="J26" s="48">
        <f>SUMIFS('#产量数据'!22:22,'#产量数据'!$1:$1,'@产量打印#概况'!$B$1-1,'#产量数据'!$2:$2,"&lt;="&amp;'@产量打印#概况'!$B$2)</f>
        <v>1384521.5330000001</v>
      </c>
      <c r="K26" s="26">
        <f t="shared" si="2"/>
        <v>19.423521165271747</v>
      </c>
    </row>
    <row r="27" spans="1:11" s="13" customFormat="1" ht="24.75" customHeight="1">
      <c r="A27" s="22" t="s">
        <v>288</v>
      </c>
      <c r="B27" s="23" t="s">
        <v>1001</v>
      </c>
      <c r="C27" s="27">
        <f>C26</f>
        <v>200000</v>
      </c>
      <c r="D27" s="48">
        <f>SUMIFS('#产量数据'!23:23,'#产量数据'!$1:$1,'@产量打印#概况'!$B$1,'#产量数据'!$2:$2,'@产量打印#概况'!$B$2)</f>
        <v>210162</v>
      </c>
      <c r="E27" s="26">
        <f t="shared" si="0"/>
        <v>105.081</v>
      </c>
      <c r="F27" s="29">
        <f>F26</f>
        <v>2300000</v>
      </c>
      <c r="G27" s="48">
        <f>SUMIFS('#产量数据'!23:23,'#产量数据'!$1:$1,'@产量打印#概况'!$B$1,'#产量数据'!$2:$2,"&lt;="&amp;'@产量打印#概况'!$B$2)</f>
        <v>1652404.6139999998</v>
      </c>
      <c r="H27" s="26">
        <f t="shared" si="1"/>
        <v>71.84367886956521</v>
      </c>
      <c r="I27" s="52">
        <f>D27/'@产量打印#概况'!$C$2</f>
        <v>6779.4193548387093</v>
      </c>
      <c r="J27" s="48">
        <f>SUMIFS('#产量数据'!23:23,'#产量数据'!$1:$1,'@产量打印#概况'!$B$1-1,'#产量数据'!$2:$2,"&lt;="&amp;'@产量打印#概况'!$B$2)</f>
        <v>1382989.007</v>
      </c>
      <c r="K27" s="26">
        <f t="shared" si="2"/>
        <v>19.480675958836443</v>
      </c>
    </row>
    <row r="28" spans="1:11" s="14" customFormat="1" ht="24.75" customHeight="1">
      <c r="A28" s="32" t="s">
        <v>291</v>
      </c>
      <c r="B28" s="23" t="s">
        <v>1001</v>
      </c>
      <c r="C28" s="47">
        <f>C29+C31</f>
        <v>743000</v>
      </c>
      <c r="D28" s="48">
        <f>SUMIFS('#产量数据'!24:24,'#产量数据'!$1:$1,'@产量打印#概况'!$B$1,'#产量数据'!$2:$2,'@产量打印#概况'!$B$2)</f>
        <v>715473</v>
      </c>
      <c r="E28" s="26">
        <f t="shared" si="0"/>
        <v>96.295154777927323</v>
      </c>
      <c r="F28" s="48">
        <f>F29+F31</f>
        <v>7940000</v>
      </c>
      <c r="G28" s="48">
        <f>SUMIFS('#产量数据'!24:24,'#产量数据'!$1:$1,'@产量打印#概况'!$B$1,'#产量数据'!$2:$2,"&lt;="&amp;'@产量打印#概况'!$B$2)</f>
        <v>5515607.8629999999</v>
      </c>
      <c r="H28" s="26">
        <f t="shared" si="1"/>
        <v>69.466093992443319</v>
      </c>
      <c r="I28" s="52">
        <f>D28/'@产量打印#概况'!$C$2</f>
        <v>23079.774193548386</v>
      </c>
      <c r="J28" s="48">
        <f>SUMIFS('#产量数据'!24:24,'#产量数据'!$1:$1,'@产量打印#概况'!$B$1-1,'#产量数据'!$2:$2,"&lt;="&amp;'@产量打印#概况'!$B$2)</f>
        <v>4531402.21</v>
      </c>
      <c r="K28" s="26">
        <f t="shared" si="2"/>
        <v>21.719671028716736</v>
      </c>
    </row>
    <row r="29" spans="1:11" s="13" customFormat="1" ht="24.75" customHeight="1">
      <c r="A29" s="22" t="s">
        <v>285</v>
      </c>
      <c r="B29" s="23" t="s">
        <v>1001</v>
      </c>
      <c r="C29" s="29">
        <v>283000</v>
      </c>
      <c r="D29" s="48">
        <f>SUMIFS('#产量数据'!25:25,'#产量数据'!$1:$1,'@产量打印#概况'!$B$1,'#产量数据'!$2:$2,'@产量打印#概况'!$B$2)</f>
        <v>277214</v>
      </c>
      <c r="E29" s="26">
        <f t="shared" si="0"/>
        <v>97.955477031802118</v>
      </c>
      <c r="F29" s="29">
        <v>3160000</v>
      </c>
      <c r="G29" s="48">
        <f>SUMIFS('#产量数据'!25:25,'#产量数据'!$1:$1,'@产量打印#概况'!$B$1,'#产量数据'!$2:$2,"&lt;="&amp;'@产量打印#概况'!$B$2)</f>
        <v>2165752.7770000002</v>
      </c>
      <c r="H29" s="26">
        <f t="shared" si="1"/>
        <v>68.536480284810125</v>
      </c>
      <c r="I29" s="52">
        <f>D29/'@产量打印#概况'!$C$2</f>
        <v>8942.3870967741932</v>
      </c>
      <c r="J29" s="48">
        <f>SUMIFS('#产量数据'!25:25,'#产量数据'!$1:$1,'@产量打印#概况'!$B$1-1,'#产量数据'!$2:$2,"&lt;="&amp;'@产量打印#概况'!$B$2)</f>
        <v>2010681.612</v>
      </c>
      <c r="K29" s="26">
        <f t="shared" si="2"/>
        <v>7.7123679887713754</v>
      </c>
    </row>
    <row r="30" spans="1:11" s="13" customFormat="1" ht="24.75" customHeight="1">
      <c r="A30" s="22" t="s">
        <v>286</v>
      </c>
      <c r="B30" s="23" t="s">
        <v>1001</v>
      </c>
      <c r="C30" s="27">
        <f>C29</f>
        <v>283000</v>
      </c>
      <c r="D30" s="48">
        <f>SUMIFS('#产量数据'!26:26,'#产量数据'!$1:$1,'@产量打印#概况'!$B$1,'#产量数据'!$2:$2,'@产量打印#概况'!$B$2)</f>
        <v>277214</v>
      </c>
      <c r="E30" s="26">
        <f t="shared" si="0"/>
        <v>97.955477031802118</v>
      </c>
      <c r="F30" s="29">
        <f>F29</f>
        <v>3160000</v>
      </c>
      <c r="G30" s="48">
        <f>SUMIFS('#产量数据'!26:26,'#产量数据'!$1:$1,'@产量打印#概况'!$B$1,'#产量数据'!$2:$2,"&lt;="&amp;'@产量打印#概况'!$B$2)</f>
        <v>2165752.7770000002</v>
      </c>
      <c r="H30" s="26">
        <f t="shared" si="1"/>
        <v>68.536480284810125</v>
      </c>
      <c r="I30" s="52">
        <f>D30/'@产量打印#概况'!$C$2</f>
        <v>8942.3870967741932</v>
      </c>
      <c r="J30" s="48">
        <f>SUMIFS('#产量数据'!26:26,'#产量数据'!$1:$1,'@产量打印#概况'!$B$1-1,'#产量数据'!$2:$2,"&lt;="&amp;'@产量打印#概况'!$B$2)</f>
        <v>2010681.612</v>
      </c>
      <c r="K30" s="26">
        <f t="shared" si="2"/>
        <v>7.7123679887713754</v>
      </c>
    </row>
    <row r="31" spans="1:11" s="13" customFormat="1" ht="24.75" customHeight="1">
      <c r="A31" s="22" t="s">
        <v>287</v>
      </c>
      <c r="B31" s="23" t="s">
        <v>1001</v>
      </c>
      <c r="C31" s="29">
        <v>460000</v>
      </c>
      <c r="D31" s="48">
        <f>SUMIFS('#产量数据'!27:27,'#产量数据'!$1:$1,'@产量打印#概况'!$B$1,'#产量数据'!$2:$2,'@产量打印#概况'!$B$2)</f>
        <v>438259</v>
      </c>
      <c r="E31" s="26">
        <f t="shared" si="0"/>
        <v>95.273695652173913</v>
      </c>
      <c r="F31" s="29">
        <v>4780000</v>
      </c>
      <c r="G31" s="48">
        <f>SUMIFS('#产量数据'!27:27,'#产量数据'!$1:$1,'@产量打印#概况'!$B$1,'#产量数据'!$2:$2,"&lt;="&amp;'@产量打印#概况'!$B$2)</f>
        <v>3349855.0860000001</v>
      </c>
      <c r="H31" s="26">
        <f t="shared" si="1"/>
        <v>70.080650334728034</v>
      </c>
      <c r="I31" s="52">
        <f>D31/'@产量打印#概况'!$C$2</f>
        <v>14137.387096774193</v>
      </c>
      <c r="J31" s="48">
        <f>SUMIFS('#产量数据'!27:27,'#产量数据'!$1:$1,'@产量打印#概况'!$B$1-1,'#产量数据'!$2:$2,"&lt;="&amp;'@产量打印#概况'!$B$2)</f>
        <v>2520720.5979999998</v>
      </c>
      <c r="K31" s="26">
        <f t="shared" si="2"/>
        <v>32.89275648629426</v>
      </c>
    </row>
    <row r="32" spans="1:11" s="13" customFormat="1" ht="24.75" customHeight="1">
      <c r="A32" s="22" t="s">
        <v>288</v>
      </c>
      <c r="B32" s="23" t="s">
        <v>1001</v>
      </c>
      <c r="C32" s="27">
        <f>C31</f>
        <v>460000</v>
      </c>
      <c r="D32" s="48">
        <f>SUMIFS('#产量数据'!28:28,'#产量数据'!$1:$1,'@产量打印#概况'!$B$1,'#产量数据'!$2:$2,'@产量打印#概况'!$B$2)</f>
        <v>438259</v>
      </c>
      <c r="E32" s="26">
        <f t="shared" si="0"/>
        <v>95.273695652173913</v>
      </c>
      <c r="F32" s="29">
        <f>F31</f>
        <v>4780000</v>
      </c>
      <c r="G32" s="48">
        <f>SUMIFS('#产量数据'!28:28,'#产量数据'!$1:$1,'@产量打印#概况'!$B$1,'#产量数据'!$2:$2,"&lt;="&amp;'@产量打印#概况'!$B$2)</f>
        <v>3349855.0860000001</v>
      </c>
      <c r="H32" s="26">
        <f t="shared" si="1"/>
        <v>70.080650334728034</v>
      </c>
      <c r="I32" s="52">
        <f>D32/'@产量打印#概况'!$C$2</f>
        <v>14137.387096774193</v>
      </c>
      <c r="J32" s="48">
        <f>SUMIFS('#产量数据'!28:28,'#产量数据'!$1:$1,'@产量打印#概况'!$B$1-1,'#产量数据'!$2:$2,"&lt;="&amp;'@产量打印#概况'!$B$2)</f>
        <v>2520720.5979999998</v>
      </c>
      <c r="K32" s="26">
        <f t="shared" si="2"/>
        <v>32.89275648629426</v>
      </c>
    </row>
    <row r="33" spans="1:11" s="14" customFormat="1" ht="24.75" customHeight="1">
      <c r="A33" s="32" t="s">
        <v>292</v>
      </c>
      <c r="B33" s="23" t="s">
        <v>1001</v>
      </c>
      <c r="C33" s="30">
        <f>F33/12</f>
        <v>5000.0000000000009</v>
      </c>
      <c r="D33" s="48">
        <f>SUMIFS('#产量数据'!29:29,'#产量数据'!$1:$1,'@产量打印#概况'!$B$1,'#产量数据'!$2:$2,'@产量打印#概况'!$B$2)</f>
        <v>5642.7030000000004</v>
      </c>
      <c r="E33" s="26">
        <f t="shared" si="0"/>
        <v>112.85405999999998</v>
      </c>
      <c r="F33" s="30">
        <f>F34/0.35</f>
        <v>60000.000000000007</v>
      </c>
      <c r="G33" s="30">
        <f>SUMIFS('#产量数据'!29:29,'#产量数据'!$1:$1,'@产量打印#概况'!$B$1,'#产量数据'!$2:$2,"&lt;="&amp;'@产量打印#概况'!$B$2)</f>
        <v>30733.269</v>
      </c>
      <c r="H33" s="26">
        <f t="shared" si="1"/>
        <v>51.222114999999988</v>
      </c>
      <c r="I33" s="48">
        <f>D33/'@产量打印#概况'!$C$2</f>
        <v>182.02267741935486</v>
      </c>
      <c r="J33" s="48">
        <f>SUMIFS('#产量数据'!29:29,'#产量数据'!$1:$1,'@产量打印#概况'!$B$1-1,'#产量数据'!$2:$2,"&lt;="&amp;'@产量打印#概况'!$B$2)</f>
        <v>46917.945000000007</v>
      </c>
      <c r="K33" s="26">
        <f t="shared" si="2"/>
        <v>-34.495705214710497</v>
      </c>
    </row>
    <row r="34" spans="1:11" s="14" customFormat="1" ht="24.75" customHeight="1">
      <c r="A34" s="32" t="s">
        <v>293</v>
      </c>
      <c r="B34" s="23" t="s">
        <v>1001</v>
      </c>
      <c r="C34" s="30">
        <f>F34/12</f>
        <v>1750</v>
      </c>
      <c r="D34" s="48">
        <f>SUMIFS('#产量数据'!30:30,'#产量数据'!$1:$1,'@产量打印#概况'!$B$1,'#产量数据'!$2:$2,'@产量打印#概况'!$B$2)</f>
        <v>1936.146</v>
      </c>
      <c r="E34" s="26">
        <f t="shared" si="0"/>
        <v>110.6369142857143</v>
      </c>
      <c r="F34" s="29">
        <v>21000</v>
      </c>
      <c r="G34" s="30">
        <f>SUMIFS('#产量数据'!30:30,'#产量数据'!$1:$1,'@产量打印#概况'!$B$1,'#产量数据'!$2:$2,"&lt;="&amp;'@产量打印#概况'!$B$2)</f>
        <v>10608.312000000002</v>
      </c>
      <c r="H34" s="26">
        <f t="shared" si="1"/>
        <v>50.515771428571433</v>
      </c>
      <c r="I34" s="48">
        <f>D34/'@产量打印#概况'!$C$2</f>
        <v>62.456322580645157</v>
      </c>
      <c r="J34" s="48">
        <f>SUMIFS('#产量数据'!30:30,'#产量数据'!$1:$1,'@产量打印#概况'!$B$1-1,'#产量数据'!$2:$2,"&lt;="&amp;'@产量打印#概况'!$B$2)</f>
        <v>15807.380000000001</v>
      </c>
      <c r="K34" s="26">
        <f t="shared" si="2"/>
        <v>-32.890131065363128</v>
      </c>
    </row>
    <row r="35" spans="1:11" s="14" customFormat="1" ht="24.75" customHeight="1">
      <c r="A35" s="33" t="s">
        <v>23</v>
      </c>
      <c r="B35" s="34" t="s">
        <v>1001</v>
      </c>
      <c r="C35" s="30">
        <f>F35/12</f>
        <v>26666.666666666668</v>
      </c>
      <c r="D35" s="43">
        <f>SUMIFS('#产量数据'!31:31,'#产量数据'!$1:$1,'@产量打印#概况'!$B$1,'#产量数据'!$2:$2,'@产量打印#概况'!$B$2)</f>
        <v>24240.1</v>
      </c>
      <c r="E35" s="26">
        <f t="shared" si="0"/>
        <v>90.900374999999983</v>
      </c>
      <c r="F35" s="49">
        <v>320000</v>
      </c>
      <c r="G35" s="50">
        <f>SUMIFS('#产量数据'!31:31,'#产量数据'!$1:$1,'@产量打印#概况'!$B$1,'#产量数据'!$2:$2,"&lt;="&amp;'@产量打印#概况'!$B$2)</f>
        <v>191328.46000000002</v>
      </c>
      <c r="H35" s="26">
        <f t="shared" si="1"/>
        <v>59.790143749999999</v>
      </c>
      <c r="I35" s="43">
        <f>D35/'@产量打印#概况'!$C$2</f>
        <v>781.9387096774193</v>
      </c>
      <c r="J35" s="43">
        <f>SUMIFS('#产量数据'!31:31,'#产量数据'!$1:$1,'@产量打印#概况'!$B$1-1,'#产量数据'!$2:$2,"&lt;="&amp;'@产量打印#概况'!$B$2)</f>
        <v>173328.14</v>
      </c>
      <c r="K35" s="26">
        <f t="shared" si="2"/>
        <v>10.385111153907269</v>
      </c>
    </row>
  </sheetData>
  <customSheetViews>
    <customSheetView guid="{1683F931-F47D-47C0-A395-D48080DC7EE6}" scale="86" showPageBreaks="1" fitToPage="1" printArea="1" view="pageBreakPreview" topLeftCell="A3">
      <selection activeCell="F26" sqref="F26"/>
      <pageMargins left="0.69930555555555596" right="0.69930555555555596" top="0.75" bottom="0.75" header="0.3" footer="0.3"/>
      <pageSetup paperSize="9" scale="68" orientation="landscape" r:id="rId1"/>
    </customSheetView>
    <customSheetView guid="{43897816-D2F0-4C3D-8F57-E0039BD2296B}" scale="60" showPageBreaks="1" fitToPage="1" printArea="1" view="pageBreakPreview">
      <selection activeCell="J29" sqref="J29"/>
      <pageMargins left="0.69930555555555596" right="0.69930555555555596" top="0.75" bottom="0.75" header="0.3" footer="0.3"/>
      <pageSetup paperSize="9" scale="68" orientation="landscape" r:id="rId2"/>
    </customSheetView>
    <customSheetView guid="{849C46E5-4ED4-41B9-BDA9-A6465B9DA9C2}" scale="86" showPageBreaks="1" fitToPage="1" printArea="1" view="pageBreakPreview" topLeftCell="A37">
      <selection activeCell="D31" sqref="D31"/>
      <pageMargins left="0.69930555555555596" right="0.69930555555555596" top="0.75" bottom="0.75" header="0.3" footer="0.3"/>
      <pageSetup paperSize="9" scale="68" orientation="landscape" r:id="rId3"/>
    </customSheetView>
    <customSheetView guid="{8C09BCDE-4B8A-4469-B3F2-7F4528A2E78D}" scale="86" showPageBreaks="1" fitToPage="1" printArea="1" view="pageBreakPreview" topLeftCell="A37">
      <selection activeCell="D31" sqref="D31"/>
      <pageMargins left="0.69930555555555596" right="0.69930555555555596" top="0.75" bottom="0.75" header="0.3" footer="0.3"/>
      <pageSetup paperSize="9" scale="68" orientation="landscape" r:id="rId4"/>
    </customSheetView>
    <customSheetView guid="{F4EB51F4-FD23-4D5B-8072-1AF5D59D6686}" scale="86" showPageBreaks="1" fitToPage="1" printArea="1" view="pageBreakPreview">
      <selection activeCell="D31" sqref="D31"/>
      <pageMargins left="0.69930555555555596" right="0.69930555555555596" top="0.75" bottom="0.75" header="0.3" footer="0.3"/>
      <pageSetup paperSize="9" scale="68" orientation="landscape" r:id="rId5"/>
    </customSheetView>
    <customSheetView guid="{D7BCFB76-2797-401D-A6F1-E020B5162DD4}" showPageBreaks="1" fitToPage="1" printArea="1" view="pageBreakPreview" topLeftCell="A21">
      <selection activeCell="C7" sqref="C7"/>
      <pageMargins left="0.69930555555555596" right="0.69930555555555596" top="0.75" bottom="0.75" header="0.3" footer="0.3"/>
      <pageSetup paperSize="9" scale="65" orientation="landscape" r:id="rId6"/>
    </customSheetView>
    <customSheetView guid="{C9A88430-3808-49F4-8D86-BF8C70C55441}" scale="86" showPageBreaks="1" fitToPage="1" printArea="1" view="pageBreakPreview" topLeftCell="A3">
      <selection activeCell="F26" sqref="F26"/>
      <pageMargins left="0.69930555555555596" right="0.69930555555555596" top="0.75" bottom="0.75" header="0.3" footer="0.3"/>
      <pageSetup paperSize="9" scale="68" orientation="landscape" r:id="rId7"/>
    </customSheetView>
    <customSheetView guid="{E61FFED3-723E-484A-93A0-94E1A801AF06}" scale="82" showPageBreaks="1" fitToPage="1" printArea="1" view="pageBreakPreview" topLeftCell="A15">
      <selection activeCell="C19" sqref="C19"/>
      <pageMargins left="0.69930555555555596" right="0.69930555555555596" top="0.75" bottom="0.75" header="0.3" footer="0.3"/>
      <pageSetup paperSize="9" scale="68" orientation="landscape" r:id="rId8"/>
    </customSheetView>
    <customSheetView guid="{6B5CCA07-2BDD-4B8E-9E3C-2111BBA97430}" showPageBreaks="1" fitToPage="1" printArea="1" view="pageBreakPreview" topLeftCell="A28">
      <selection activeCell="A15" sqref="A15:XFD15"/>
      <pageMargins left="0.69930555555555596" right="0.69930555555555596" top="0.75" bottom="0.75" header="0.3" footer="0.3"/>
      <pageSetup paperSize="9" scale="67" orientation="landscape" r:id="rId9"/>
    </customSheetView>
    <customSheetView guid="{2F47A827-9643-4D8A-AC5D-6B09D79AACF9}" scale="60" showPageBreaks="1" fitToPage="1" printArea="1" view="pageBreakPreview">
      <selection activeCell="J29" sqref="J29"/>
      <pageMargins left="0.69930555555555596" right="0.69930555555555596" top="0.75" bottom="0.75" header="0.3" footer="0.3"/>
      <pageSetup paperSize="9" scale="68" orientation="landscape" r:id="rId10"/>
    </customSheetView>
    <customSheetView guid="{B37168A1-DBAB-4BDE-9F92-6261DCDF3D92}" scale="86" showPageBreaks="1" fitToPage="1" printArea="1" view="pageBreakPreview">
      <selection activeCell="F22" sqref="F22"/>
      <pageMargins left="0.69930555555555596" right="0.69930555555555596" top="0.75" bottom="0.75" header="0.3" footer="0.3"/>
      <pageSetup paperSize="9" scale="65" orientation="landscape" r:id="rId11"/>
    </customSheetView>
    <customSheetView guid="{AE0DD889-C13C-4059-8024-0F5B234827E9}" scale="86" showPageBreaks="1" fitToPage="1" printArea="1" view="pageBreakPreview" topLeftCell="A3">
      <selection activeCell="F26" sqref="F26"/>
      <pageMargins left="0.69930555555555596" right="0.69930555555555596" top="0.75" bottom="0.75" header="0.3" footer="0.3"/>
      <pageSetup paperSize="9" scale="63" orientation="landscape" r:id="rId12"/>
    </customSheetView>
    <customSheetView guid="{CCBBD9B0-4191-4D7A-9F7B-BAC044A49153}" scale="86" showPageBreaks="1" fitToPage="1" printArea="1" view="pageBreakPreview">
      <selection activeCell="F26" sqref="F26"/>
      <pageMargins left="0.69930555555555596" right="0.69930555555555596" top="0.75" bottom="0.75" header="0.3" footer="0.3"/>
      <pageSetup paperSize="9" scale="48" orientation="portrait"/>
    </customSheetView>
    <customSheetView guid="{F5F9735B-EE22-4AC6-B5AB-C856ED6C133D}" scale="82" showPageBreaks="1" fitToPage="1" printArea="1" view="pageBreakPreview" topLeftCell="A9">
      <selection activeCell="G22" sqref="G22"/>
      <pageMargins left="0.69930555555555596" right="0.69930555555555596" top="0.75" bottom="0.75" header="0.3" footer="0.3"/>
      <pageSetup paperSize="9" scale="59" orientation="landscape"/>
    </customSheetView>
    <customSheetView guid="{45B4C0D1-53B6-4553-BFF9-393760B8E0CE}" scale="86" showPageBreaks="1" fitToPage="1" printArea="1" view="pageBreakPreview" topLeftCell="A16">
      <selection activeCell="C16" sqref="C16"/>
      <pageMargins left="0.69930555555555596" right="0.69930555555555596" top="0.75" bottom="0.75" header="0.3" footer="0.3"/>
      <pageSetup paperSize="9" scale="63" orientation="landscape"/>
    </customSheetView>
    <customSheetView guid="{1BBD1596-143E-4714-99EF-E3545231CCD1}" scale="60" showPageBreaks="1" fitToPage="1" printArea="1" view="pageBreakPreview">
      <selection activeCell="J29" sqref="J29"/>
      <pageMargins left="0.69930555555555596" right="0.69930555555555596" top="0.75" bottom="0.75" header="0.3" footer="0.3"/>
      <pageSetup paperSize="9" scale="63" orientation="landscape"/>
    </customSheetView>
    <customSheetView guid="{A8456D60-99BA-4794-8966-0CBA0A37EA6F}" scale="60" showPageBreaks="1" fitToPage="1" printArea="1" view="pageBreakPreview">
      <selection activeCell="J29" sqref="J29"/>
      <pageMargins left="0.69930555555555596" right="0.69930555555555596" top="0.75" bottom="0.75" header="0.3" footer="0.3"/>
      <pageSetup paperSize="9" scale="68" orientation="landscape"/>
    </customSheetView>
    <customSheetView guid="{500C3980-ED13-4C97-96B1-955D50509B66}" scale="86" showPageBreaks="1" fitToPage="1" printArea="1" view="pageBreakPreview">
      <selection activeCell="G21" sqref="G21"/>
      <pageMargins left="0.69930555555555596" right="0.69930555555555596" top="0.75" bottom="0.75" header="0.3" footer="0.3"/>
      <pageSetup paperSize="9" scale="68" orientation="landscape"/>
    </customSheetView>
    <customSheetView guid="{3B943BAF-34C7-494A-A071-85DE0891E5A1}" scale="86" showPageBreaks="1" fitToPage="1" printArea="1" view="pageBreakPreview" topLeftCell="A16">
      <selection activeCell="J11" sqref="J11"/>
      <pageMargins left="0.69930555555555596" right="0.69930555555555596" top="0.75" bottom="0.75" header="0.3" footer="0.3"/>
      <pageSetup paperSize="9" scale="59" orientation="landscape"/>
    </customSheetView>
    <customSheetView guid="{EEE4B3DA-ADF6-49CC-9873-068FE5927B92}" scale="60" showPageBreaks="1" fitToPage="1" printArea="1" view="pageBreakPreview">
      <selection activeCell="J29" sqref="J29"/>
      <pageMargins left="0.69930555555555596" right="0.69930555555555596" top="0.75" bottom="0.75" header="0.3" footer="0.3"/>
      <pageSetup paperSize="9" scale="63" orientation="landscape"/>
    </customSheetView>
    <customSheetView guid="{C52D0F53-4D1D-4D01-B833-260359FD02A5}" scale="86" showPageBreaks="1" fitToPage="1" printArea="1" view="pageBreakPreview" topLeftCell="A13">
      <selection activeCell="C15" sqref="C15"/>
      <pageMargins left="0.69930555555555596" right="0.69930555555555596" top="0.75" bottom="0.75" header="0.3" footer="0.3"/>
      <pageSetup paperSize="9" scale="68" orientation="landscape" r:id="rId13"/>
    </customSheetView>
    <customSheetView guid="{6A1E79C9-91E3-4EEA-8ABB-4446083299EC}" scale="86" showPageBreaks="1" fitToPage="1" printArea="1" view="pageBreakPreview" topLeftCell="A3">
      <selection activeCell="F26" sqref="F26"/>
      <pageMargins left="0.69930555555555596" right="0.69930555555555596" top="0.75" bottom="0.75" header="0.3" footer="0.3"/>
      <pageSetup paperSize="9" scale="68" orientation="landscape" r:id="rId14"/>
    </customSheetView>
    <customSheetView guid="{8B80B510-C931-46B1-8591-DEA916D76593}" scale="86" showPageBreaks="1" fitToPage="1" printArea="1" view="pageBreakPreview">
      <selection activeCell="F14" sqref="F14"/>
      <pageMargins left="0.69930555555555596" right="0.69930555555555596" top="0.75" bottom="0.75" header="0.3" footer="0.3"/>
      <pageSetup paperSize="9" scale="68" orientation="landscape" r:id="rId15"/>
    </customSheetView>
    <customSheetView guid="{303A9D89-611D-4504-BCAA-071C53B021F7}" scale="60" showPageBreaks="1" fitToPage="1" printArea="1" view="pageBreakPreview">
      <selection activeCell="J29" sqref="J29"/>
      <pageMargins left="0.69930555555555596" right="0.69930555555555596" top="0.75" bottom="0.75" header="0.3" footer="0.3"/>
      <pageSetup paperSize="9" scale="68" orientation="landscape" r:id="rId16"/>
    </customSheetView>
    <customSheetView guid="{4583A87D-5DFF-47BD-849A-FA4AAF2B9CE3}" scale="86" showPageBreaks="1" fitToPage="1" printArea="1" view="pageBreakPreview" topLeftCell="A11">
      <selection activeCell="C35" sqref="C35"/>
      <pageMargins left="0.69930555555555596" right="0.69930555555555596" top="0.75" bottom="0.75" header="0.3" footer="0.3"/>
      <pageSetup paperSize="9" scale="68" orientation="landscape" r:id="rId17"/>
    </customSheetView>
    <customSheetView guid="{EA856AC2-CDFF-46B6-B0C4-30449DF132F4}" scale="86" showPageBreaks="1" fitToPage="1" printArea="1" view="pageBreakPreview">
      <selection activeCell="F14" sqref="F14"/>
      <pageMargins left="0.69930555555555596" right="0.69930555555555596" top="0.75" bottom="0.75" header="0.3" footer="0.3"/>
      <pageSetup paperSize="9" scale="68" orientation="landscape" r:id="rId18"/>
    </customSheetView>
    <customSheetView guid="{322A45A6-8B26-49B8-A4D9-EFB3C94A758D}" scale="86" showPageBreaks="1" fitToPage="1" printArea="1" view="pageBreakPreview" topLeftCell="A3">
      <selection activeCell="F26" sqref="F26"/>
      <pageMargins left="0.69930555555555596" right="0.69930555555555596" top="0.75" bottom="0.75" header="0.3" footer="0.3"/>
      <pageSetup paperSize="9" scale="68" orientation="landscape" r:id="rId19"/>
    </customSheetView>
  </customSheetViews>
  <mergeCells count="9">
    <mergeCell ref="A3:K3"/>
    <mergeCell ref="E4:F4"/>
    <mergeCell ref="C5:E5"/>
    <mergeCell ref="F5:H5"/>
    <mergeCell ref="A5:A6"/>
    <mergeCell ref="B5:B6"/>
    <mergeCell ref="I5:I6"/>
    <mergeCell ref="J5:J6"/>
    <mergeCell ref="K5:K6"/>
  </mergeCells>
  <phoneticPr fontId="133" type="noConversion"/>
  <pageMargins left="0.69930555555555596" right="0.69930555555555596" top="0.75" bottom="0.75" header="0.3" footer="0.3"/>
  <pageSetup paperSize="9" scale="68" orientation="landscape" r:id="rId2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7" tint="0.39762565996276744"/>
    <pageSetUpPr fitToPage="1"/>
  </sheetPr>
  <dimension ref="A1:K35"/>
  <sheetViews>
    <sheetView view="pageBreakPreview" zoomScale="60" zoomScaleNormal="100" zoomScaleSheetLayoutView="100" workbookViewId="0">
      <selection activeCell="F21" sqref="F21"/>
    </sheetView>
  </sheetViews>
  <sheetFormatPr defaultColWidth="9" defaultRowHeight="14.25"/>
  <cols>
    <col min="1" max="1" width="26.5" customWidth="1"/>
    <col min="2" max="2" width="11.5" customWidth="1"/>
    <col min="3" max="11" width="18.75" customWidth="1"/>
  </cols>
  <sheetData>
    <row r="1" spans="1:11">
      <c r="A1" t="str">
        <f>'@产量打印#钢'!A1</f>
        <v>年度</v>
      </c>
      <c r="B1">
        <f>'@产量打印#钢'!B1</f>
        <v>2021</v>
      </c>
      <c r="C1" t="str">
        <f>'@产量打印#钢'!C1</f>
        <v>天数</v>
      </c>
    </row>
    <row r="2" spans="1:11">
      <c r="A2" t="str">
        <f>'@产量打印#钢'!A2</f>
        <v>月份</v>
      </c>
      <c r="B2">
        <f>'@产量打印#钢'!B2</f>
        <v>8</v>
      </c>
      <c r="C2">
        <f>'@产量打印#钢'!C2</f>
        <v>31</v>
      </c>
    </row>
    <row r="3" spans="1:11" s="13" customFormat="1" ht="36.75" customHeight="1">
      <c r="A3" s="2763" t="s">
        <v>1046</v>
      </c>
      <c r="B3" s="2763"/>
      <c r="C3" s="2763"/>
      <c r="D3" s="2763"/>
      <c r="E3" s="2763"/>
      <c r="F3" s="2763"/>
      <c r="G3" s="2763"/>
      <c r="H3" s="2763"/>
      <c r="I3" s="2763"/>
      <c r="J3" s="2763"/>
      <c r="K3" s="2763"/>
    </row>
    <row r="4" spans="1:11" s="13" customFormat="1" ht="15.75">
      <c r="A4" s="15" t="s">
        <v>1021</v>
      </c>
      <c r="B4" s="16"/>
      <c r="C4" s="16"/>
      <c r="D4" s="17"/>
      <c r="E4" s="2784" t="str">
        <f>'@产量打印#概况'!$B$1&amp;"年"&amp;'@产量打印#概况'!$B$2&amp;"月"</f>
        <v>2021年8月</v>
      </c>
      <c r="F4" s="2784"/>
      <c r="G4" s="16"/>
      <c r="H4" s="16"/>
      <c r="I4" s="16"/>
      <c r="J4" s="16"/>
      <c r="K4" s="16"/>
    </row>
    <row r="5" spans="1:11" s="13" customFormat="1" ht="26.25" customHeight="1">
      <c r="A5" s="2768" t="s">
        <v>1022</v>
      </c>
      <c r="B5" s="2770" t="s">
        <v>1023</v>
      </c>
      <c r="C5" s="2765" t="str">
        <f>'@产量打印#概况'!$B$2&amp;" 月 份"</f>
        <v>8 月 份</v>
      </c>
      <c r="D5" s="2765"/>
      <c r="E5" s="2765"/>
      <c r="F5" s="2765" t="s">
        <v>1030</v>
      </c>
      <c r="G5" s="2765"/>
      <c r="H5" s="2765"/>
      <c r="I5" s="2770" t="s">
        <v>1031</v>
      </c>
      <c r="J5" s="2765" t="s">
        <v>1027</v>
      </c>
      <c r="K5" s="2782" t="s">
        <v>1032</v>
      </c>
    </row>
    <row r="6" spans="1:11" s="13" customFormat="1" ht="26.25" customHeight="1">
      <c r="A6" s="2769"/>
      <c r="B6" s="2690"/>
      <c r="C6" s="21" t="s">
        <v>1033</v>
      </c>
      <c r="D6" s="21" t="s">
        <v>1034</v>
      </c>
      <c r="E6" s="21" t="s">
        <v>1035</v>
      </c>
      <c r="F6" s="21" t="s">
        <v>1024</v>
      </c>
      <c r="G6" s="21" t="s">
        <v>1034</v>
      </c>
      <c r="H6" s="21" t="s">
        <v>1035</v>
      </c>
      <c r="I6" s="2690"/>
      <c r="J6" s="2675"/>
      <c r="K6" s="2783"/>
    </row>
    <row r="7" spans="1:11" s="14" customFormat="1" ht="26.25" customHeight="1">
      <c r="A7" s="22" t="s">
        <v>300</v>
      </c>
      <c r="B7" s="23" t="s">
        <v>1001</v>
      </c>
      <c r="C7" s="24">
        <f>C8+C11</f>
        <v>1044000</v>
      </c>
      <c r="D7" s="25">
        <f>SUMIFS('#产量数据'!39:39,'#产量数据'!$1:$1,'@产量打印#概况'!$B$1,'#产量数据'!$2:$2,'@产量打印#概况'!$B$2)</f>
        <v>1043941.0379999999</v>
      </c>
      <c r="E7" s="26">
        <f t="shared" ref="E7:E35" si="0">IFERROR(D7/C7*100,"")</f>
        <v>99.994352298850558</v>
      </c>
      <c r="F7" s="25">
        <f>F8+F11</f>
        <v>11300000</v>
      </c>
      <c r="G7" s="25">
        <f>SUMIFS('#产量数据'!39:39,'#产量数据'!$1:$1,'@产量打印#概况'!$B$1,'#产量数据'!$2:$2,"&lt;="&amp;'@产量打印#概况'!$B$2)</f>
        <v>8010382.1249999991</v>
      </c>
      <c r="H7" s="26">
        <f t="shared" ref="H7:H35" si="1">IFERROR(G7/F7*100,"")</f>
        <v>70.888337389380524</v>
      </c>
      <c r="I7" s="37">
        <f>D7/'@产量打印#概况'!$C$2</f>
        <v>33675.51735483871</v>
      </c>
      <c r="J7" s="25">
        <f>SUMIFS('#产量数据'!39:39,'#产量数据'!$1:$1,'@产量打印#概况'!$B$1-1,'#产量数据'!$2:$2,"&lt;="&amp;'@产量打印#概况'!$B$2)</f>
        <v>6422424.1237000003</v>
      </c>
      <c r="K7" s="26">
        <f t="shared" ref="K7:K35" si="2">IFERROR((G7-J7)/J7*100,"")</f>
        <v>24.725212329720229</v>
      </c>
    </row>
    <row r="8" spans="1:11" s="14" customFormat="1" ht="26.25" customHeight="1">
      <c r="A8" s="22" t="s">
        <v>1047</v>
      </c>
      <c r="B8" s="23" t="s">
        <v>1001</v>
      </c>
      <c r="C8" s="27">
        <f>C9+C10</f>
        <v>270000</v>
      </c>
      <c r="D8" s="25">
        <f>SUMIFS('#产量数据'!40:40,'#产量数据'!$1:$1,'@产量打印#概况'!$B$1,'#产量数据'!$2:$2,'@产量打印#概况'!$B$2)</f>
        <v>251572.34899999999</v>
      </c>
      <c r="E8" s="26">
        <f t="shared" si="0"/>
        <v>93.174944074074077</v>
      </c>
      <c r="F8" s="23">
        <f>F9+F10</f>
        <v>2385000</v>
      </c>
      <c r="G8" s="25">
        <f>SUMIFS('#产量数据'!40:40,'#产量数据'!$1:$1,'@产量打印#概况'!$B$1,'#产量数据'!$2:$2,"&lt;="&amp;'@产量打印#概况'!$B$2)</f>
        <v>2009114.1259999999</v>
      </c>
      <c r="H8" s="26">
        <f t="shared" si="1"/>
        <v>84.239585995807118</v>
      </c>
      <c r="I8" s="37">
        <f>D8/'@产量打印#概况'!$C$2</f>
        <v>8115.2370645161291</v>
      </c>
      <c r="J8" s="38">
        <f>SUMIFS('#产量数据'!40:40,'#产量数据'!$1:$1,'@产量打印#概况'!$B$1-1,'#产量数据'!$2:$2,"&lt;="&amp;'@产量打印#概况'!$B$2)</f>
        <v>968618.00899999985</v>
      </c>
      <c r="K8" s="26">
        <f t="shared" si="2"/>
        <v>107.42068672398597</v>
      </c>
    </row>
    <row r="9" spans="1:11" s="13" customFormat="1" ht="26.25" customHeight="1">
      <c r="A9" s="22" t="s">
        <v>1048</v>
      </c>
      <c r="B9" s="23" t="s">
        <v>1001</v>
      </c>
      <c r="C9" s="23"/>
      <c r="D9" s="25">
        <f>SUMIFS('#产量数据'!41:41,'#产量数据'!$1:$1,'@产量打印#概况'!$B$1,'#产量数据'!$2:$2,'@产量打印#概况'!$B$2)</f>
        <v>0</v>
      </c>
      <c r="E9" s="26" t="str">
        <f t="shared" si="0"/>
        <v/>
      </c>
      <c r="F9" s="23"/>
      <c r="G9" s="25">
        <f>SUMIFS('#产量数据'!41:41,'#产量数据'!$1:$1,'@产量打印#概况'!$B$1,'#产量数据'!$2:$2,"&lt;="&amp;'@产量打印#概况'!$B$2)</f>
        <v>0</v>
      </c>
      <c r="H9" s="26" t="str">
        <f t="shared" si="1"/>
        <v/>
      </c>
      <c r="I9" s="37">
        <f>D9/'@产量打印#概况'!$C$2</f>
        <v>0</v>
      </c>
      <c r="J9" s="38">
        <f>SUMIFS('#产量数据'!41:41,'#产量数据'!$1:$1,'@产量打印#概况'!$B$1-1,'#产量数据'!$2:$2,"&lt;="&amp;'@产量打印#概况'!$B$2)</f>
        <v>0</v>
      </c>
      <c r="K9" s="26" t="str">
        <f t="shared" si="2"/>
        <v/>
      </c>
    </row>
    <row r="10" spans="1:11" s="13" customFormat="1" ht="26.25" customHeight="1">
      <c r="A10" s="22" t="s">
        <v>1049</v>
      </c>
      <c r="B10" s="23" t="s">
        <v>1001</v>
      </c>
      <c r="C10" s="23">
        <v>270000</v>
      </c>
      <c r="D10" s="25">
        <f>SUMIFS('#产量数据'!42:42,'#产量数据'!$1:$1,'@产量打印#概况'!$B$1,'#产量数据'!$2:$2,'@产量打印#概况'!$B$2)</f>
        <v>251572.34899999999</v>
      </c>
      <c r="E10" s="26">
        <f t="shared" si="0"/>
        <v>93.174944074074077</v>
      </c>
      <c r="F10" s="23">
        <v>2385000</v>
      </c>
      <c r="G10" s="25">
        <f>SUMIFS('#产量数据'!42:42,'#产量数据'!$1:$1,'@产量打印#概况'!$B$1,'#产量数据'!$2:$2,"&lt;="&amp;'@产量打印#概况'!$B$2)</f>
        <v>2009114.1259999999</v>
      </c>
      <c r="H10" s="26">
        <f t="shared" si="1"/>
        <v>84.239585995807118</v>
      </c>
      <c r="I10" s="37">
        <f>D10/'@产量打印#概况'!$C$2</f>
        <v>8115.2370645161291</v>
      </c>
      <c r="J10" s="38">
        <f>SUMIFS('#产量数据'!42:42,'#产量数据'!$1:$1,'@产量打印#概况'!$B$1-1,'#产量数据'!$2:$2,"&lt;="&amp;'@产量打印#概况'!$B$2)</f>
        <v>968618.00899999985</v>
      </c>
      <c r="K10" s="26">
        <f t="shared" si="2"/>
        <v>107.42068672398597</v>
      </c>
    </row>
    <row r="11" spans="1:11" s="14" customFormat="1" ht="26.25" customHeight="1">
      <c r="A11" s="22" t="s">
        <v>1050</v>
      </c>
      <c r="B11" s="23" t="s">
        <v>1001</v>
      </c>
      <c r="C11" s="24">
        <f>SUM(C12,C16:C18,C21,C24,C27:C28,C31:C34)-C35</f>
        <v>774000</v>
      </c>
      <c r="D11" s="25">
        <f>SUMIFS('#产量数据'!43:43,'#产量数据'!$1:$1,'@产量打印#概况'!$B$1,'#产量数据'!$2:$2,'@产量打印#概况'!$B$2)</f>
        <v>792368.68900000001</v>
      </c>
      <c r="E11" s="26">
        <f t="shared" si="0"/>
        <v>102.37321563307493</v>
      </c>
      <c r="F11" s="25">
        <f>SUM(F12,F16:F18,F21,F24,F27:F28,F31:F34)-F35-3000</f>
        <v>8915000</v>
      </c>
      <c r="G11" s="25">
        <f>SUMIFS('#产量数据'!43:43,'#产量数据'!$1:$1,'@产量打印#概况'!$B$1,'#产量数据'!$2:$2,"&lt;="&amp;'@产量打印#概况'!$B$2)</f>
        <v>6001267.9989999998</v>
      </c>
      <c r="H11" s="26">
        <f t="shared" si="1"/>
        <v>67.316522703309019</v>
      </c>
      <c r="I11" s="37">
        <f>D11/'@产量打印#概况'!$C$2</f>
        <v>25560.280290322582</v>
      </c>
      <c r="J11" s="38">
        <f>SUMIFS('#产量数据'!43:43,'#产量数据'!$1:$1,'@产量打印#概况'!$B$1-1,'#产量数据'!$2:$2,"&lt;="&amp;'@产量打印#概况'!$B$2)</f>
        <v>5453806.1147000007</v>
      </c>
      <c r="K11" s="26">
        <f t="shared" si="2"/>
        <v>10.038161841221111</v>
      </c>
    </row>
    <row r="12" spans="1:11" s="14" customFormat="1" ht="26.25" customHeight="1">
      <c r="A12" s="22" t="s">
        <v>1049</v>
      </c>
      <c r="B12" s="23" t="s">
        <v>1001</v>
      </c>
      <c r="C12" s="27">
        <f>C13+C14</f>
        <v>23500</v>
      </c>
      <c r="D12" s="28">
        <f>SUMIFS('#产量数据'!44:44,'#产量数据'!$1:$1,'@产量打印#概况'!$B$1,'#产量数据'!$2:$2,'@产量打印#概况'!$B$2)</f>
        <v>24006.680999999997</v>
      </c>
      <c r="E12" s="26">
        <f t="shared" si="0"/>
        <v>102.1560893617021</v>
      </c>
      <c r="F12" s="29">
        <f>F13+F14</f>
        <v>281000</v>
      </c>
      <c r="G12" s="30">
        <f>SUMIFS('#产量数据'!44:44,'#产量数据'!$1:$1,'@产量打印#概况'!$B$1,'#产量数据'!$2:$2,"&lt;="&amp;'@产量打印#概况'!$B$2)</f>
        <v>175970.73099999997</v>
      </c>
      <c r="H12" s="26">
        <f t="shared" si="1"/>
        <v>62.623035943060486</v>
      </c>
      <c r="I12" s="39">
        <f>D12/'@产量打印#概况'!$C$2</f>
        <v>774.40906451612898</v>
      </c>
      <c r="J12" s="30">
        <f>SUMIFS('#产量数据'!44:44,'#产量数据'!$1:$1,'@产量打印#概况'!$B$1-1,'#产量数据'!$2:$2,"&lt;="&amp;'@产量打印#概况'!$B$2)</f>
        <v>169986.639</v>
      </c>
      <c r="K12" s="26">
        <f t="shared" si="2"/>
        <v>3.520330794939698</v>
      </c>
    </row>
    <row r="13" spans="1:11" s="13" customFormat="1" ht="26.25" customHeight="1">
      <c r="A13" s="22" t="s">
        <v>1051</v>
      </c>
      <c r="B13" s="23" t="s">
        <v>1001</v>
      </c>
      <c r="C13" s="29">
        <v>18000</v>
      </c>
      <c r="D13" s="28">
        <f>SUMIFS('#产量数据'!45:45,'#产量数据'!$1:$1,'@产量打印#概况'!$B$1,'#产量数据'!$2:$2,'@产量打印#概况'!$B$2)</f>
        <v>19912.684999999998</v>
      </c>
      <c r="E13" s="26">
        <f t="shared" si="0"/>
        <v>110.62602777777776</v>
      </c>
      <c r="F13" s="29">
        <v>217000</v>
      </c>
      <c r="G13" s="28">
        <f>SUMIFS('#产量数据'!45:45,'#产量数据'!$1:$1,'@产量打印#概况'!$B$1,'#产量数据'!$2:$2,"&lt;="&amp;'@产量打印#概况'!$B$2)</f>
        <v>137457.48599999998</v>
      </c>
      <c r="H13" s="26">
        <f t="shared" si="1"/>
        <v>63.344463594470035</v>
      </c>
      <c r="I13" s="39">
        <f>D13/'@产量打印#概况'!$C$2</f>
        <v>642.34467741935475</v>
      </c>
      <c r="J13" s="30">
        <f>SUMIFS('#产量数据'!45:45,'#产量数据'!$1:$1,'@产量打印#概况'!$B$1-1,'#产量数据'!$2:$2,"&lt;="&amp;'@产量打印#概况'!$B$2)</f>
        <v>131105.777</v>
      </c>
      <c r="K13" s="26">
        <f t="shared" si="2"/>
        <v>4.8447209156923519</v>
      </c>
    </row>
    <row r="14" spans="1:11" s="13" customFormat="1" ht="26.25" customHeight="1">
      <c r="A14" s="22" t="s">
        <v>1052</v>
      </c>
      <c r="B14" s="23" t="s">
        <v>1001</v>
      </c>
      <c r="C14" s="29">
        <v>5500</v>
      </c>
      <c r="D14" s="28">
        <f>SUMIFS('#产量数据'!46:46,'#产量数据'!$1:$1,'@产量打印#概况'!$B$1,'#产量数据'!$2:$2,'@产量打印#概况'!$B$2)</f>
        <v>4093.9960000000001</v>
      </c>
      <c r="E14" s="26">
        <f t="shared" si="0"/>
        <v>74.436290909090914</v>
      </c>
      <c r="F14" s="29">
        <v>64000</v>
      </c>
      <c r="G14" s="28">
        <f>SUMIFS('#产量数据'!46:46,'#产量数据'!$1:$1,'@产量打印#概况'!$B$1,'#产量数据'!$2:$2,"&lt;="&amp;'@产量打印#概况'!$B$2)</f>
        <v>38513.244999999995</v>
      </c>
      <c r="H14" s="26">
        <f t="shared" si="1"/>
        <v>60.176945312499996</v>
      </c>
      <c r="I14" s="39">
        <f>D14/'@产量打印#概况'!$C$2</f>
        <v>132.0643870967742</v>
      </c>
      <c r="J14" s="30">
        <f>SUMIFS('#产量数据'!46:46,'#产量数据'!$1:$1,'@产量打印#概况'!$B$1-1,'#产量数据'!$2:$2,"&lt;="&amp;'@产量打印#概况'!$B$2)</f>
        <v>38880.861999999994</v>
      </c>
      <c r="K14" s="26">
        <f t="shared" si="2"/>
        <v>-0.94549601292275476</v>
      </c>
    </row>
    <row r="15" spans="1:11" s="13" customFormat="1" ht="26.25" customHeight="1">
      <c r="A15" s="22" t="s">
        <v>1053</v>
      </c>
      <c r="B15" s="23" t="s">
        <v>1001</v>
      </c>
      <c r="C15" s="29">
        <v>3400</v>
      </c>
      <c r="D15" s="28">
        <f>SUMIFS('#产量数据'!47:47,'#产量数据'!$1:$1,'@产量打印#概况'!$B$1,'#产量数据'!$2:$2,'@产量打印#概况'!$B$2)</f>
        <v>2503</v>
      </c>
      <c r="E15" s="26">
        <f t="shared" si="0"/>
        <v>73.617647058823536</v>
      </c>
      <c r="F15" s="29">
        <v>40000</v>
      </c>
      <c r="G15" s="28">
        <f>SUMIFS('#产量数据'!47:47,'#产量数据'!$1:$1,'@产量打印#概况'!$B$1,'#产量数据'!$2:$2,"&lt;="&amp;'@产量打印#概况'!$B$2)</f>
        <v>20024</v>
      </c>
      <c r="H15" s="26">
        <f t="shared" si="1"/>
        <v>50.06</v>
      </c>
      <c r="I15" s="39">
        <f>D15/'@产量打印#概况'!$C$2</f>
        <v>80.741935483870961</v>
      </c>
      <c r="J15" s="30">
        <f>SUMIFS('#产量数据'!47:47,'#产量数据'!$1:$1,'@产量打印#概况'!$B$1-1,'#产量数据'!$2:$2,"&lt;="&amp;'@产量打印#概况'!$B$2)</f>
        <v>20024</v>
      </c>
      <c r="K15" s="26">
        <f t="shared" si="2"/>
        <v>0</v>
      </c>
    </row>
    <row r="16" spans="1:11" s="14" customFormat="1" ht="26.25" customHeight="1">
      <c r="A16" s="22" t="s">
        <v>1054</v>
      </c>
      <c r="B16" s="23" t="s">
        <v>1001</v>
      </c>
      <c r="C16" s="29">
        <v>15800</v>
      </c>
      <c r="D16" s="28">
        <f>SUMIFS('#产量数据'!48:48,'#产量数据'!$1:$1,'@产量打印#概况'!$B$1,'#产量数据'!$2:$2,'@产量打印#概况'!$B$2)</f>
        <v>16503.731000000003</v>
      </c>
      <c r="E16" s="26">
        <f t="shared" si="0"/>
        <v>104.45399367088611</v>
      </c>
      <c r="F16" s="29">
        <v>168000</v>
      </c>
      <c r="G16" s="28">
        <f>SUMIFS('#产量数据'!48:48,'#产量数据'!$1:$1,'@产量打印#概况'!$B$1,'#产量数据'!$2:$2,"&lt;="&amp;'@产量打印#概况'!$B$2)</f>
        <v>98486.607000000004</v>
      </c>
      <c r="H16" s="26">
        <f t="shared" si="1"/>
        <v>58.622980357142865</v>
      </c>
      <c r="I16" s="39">
        <f>D16/'@产量打印#概况'!$C$2</f>
        <v>532.3784193548388</v>
      </c>
      <c r="J16" s="30">
        <f>SUMIFS('#产量数据'!48:48,'#产量数据'!$1:$1,'@产量打印#概况'!$B$1-1,'#产量数据'!$2:$2,"&lt;="&amp;'@产量打印#概况'!$B$2)</f>
        <v>70692.053</v>
      </c>
      <c r="K16" s="26">
        <f t="shared" si="2"/>
        <v>39.317791492064892</v>
      </c>
    </row>
    <row r="17" spans="1:11" s="14" customFormat="1" ht="26.25" customHeight="1">
      <c r="A17" s="22" t="s">
        <v>1055</v>
      </c>
      <c r="B17" s="23" t="s">
        <v>1001</v>
      </c>
      <c r="C17" s="29">
        <v>32000</v>
      </c>
      <c r="D17" s="28">
        <f>SUMIFS('#产量数据'!49:49,'#产量数据'!$1:$1,'@产量打印#概况'!$B$1,'#产量数据'!$2:$2,'@产量打印#概况'!$B$2)</f>
        <v>34019.214999999997</v>
      </c>
      <c r="E17" s="26">
        <f t="shared" si="0"/>
        <v>106.31004687499998</v>
      </c>
      <c r="F17" s="29">
        <v>380000</v>
      </c>
      <c r="G17" s="28">
        <f>SUMIFS('#产量数据'!49:49,'#产量数据'!$1:$1,'@产量打印#概况'!$B$1,'#产量数据'!$2:$2,"&lt;="&amp;'@产量打印#概况'!$B$2)</f>
        <v>260315.976</v>
      </c>
      <c r="H17" s="26">
        <f t="shared" si="1"/>
        <v>68.504204210526311</v>
      </c>
      <c r="I17" s="39">
        <f>D17/'@产量打印#概况'!$C$2</f>
        <v>1097.3940322580645</v>
      </c>
      <c r="J17" s="30">
        <f>SUMIFS('#产量数据'!49:49,'#产量数据'!$1:$1,'@产量打印#概况'!$B$1-1,'#产量数据'!$2:$2,"&lt;="&amp;'@产量打印#概况'!$B$2)</f>
        <v>250185.31099999999</v>
      </c>
      <c r="K17" s="26">
        <f t="shared" si="2"/>
        <v>4.0492645069797915</v>
      </c>
    </row>
    <row r="18" spans="1:11" s="14" customFormat="1" ht="26.25" customHeight="1">
      <c r="A18" s="22" t="s">
        <v>1056</v>
      </c>
      <c r="B18" s="23" t="s">
        <v>1001</v>
      </c>
      <c r="C18" s="27">
        <f>C19+C20</f>
        <v>97500</v>
      </c>
      <c r="D18" s="28">
        <f>SUMIFS('#产量数据'!50:50,'#产量数据'!$1:$1,'@产量打印#概况'!$B$1,'#产量数据'!$2:$2,'@产量打印#概况'!$B$2)</f>
        <v>98156.89</v>
      </c>
      <c r="E18" s="26">
        <f t="shared" si="0"/>
        <v>100.67373333333333</v>
      </c>
      <c r="F18" s="29">
        <f>F19+F20</f>
        <v>1028000</v>
      </c>
      <c r="G18" s="28">
        <f>SUMIFS('#产量数据'!50:50,'#产量数据'!$1:$1,'@产量打印#概况'!$B$1,'#产量数据'!$2:$2,"&lt;="&amp;'@产量打印#概况'!$B$2)</f>
        <v>710209.15700000001</v>
      </c>
      <c r="H18" s="26">
        <f t="shared" si="1"/>
        <v>69.086493871595337</v>
      </c>
      <c r="I18" s="39">
        <f>D18/'@产量打印#概况'!$C$2</f>
        <v>3166.3512903225806</v>
      </c>
      <c r="J18" s="30">
        <f>SUMIFS('#产量数据'!50:50,'#产量数据'!$1:$1,'@产量打印#概况'!$B$1-1,'#产量数据'!$2:$2,"&lt;="&amp;'@产量打印#概况'!$B$2)</f>
        <v>598982.88800000004</v>
      </c>
      <c r="K18" s="26">
        <f t="shared" si="2"/>
        <v>18.5691897428629</v>
      </c>
    </row>
    <row r="19" spans="1:11" s="13" customFormat="1" ht="26.25" customHeight="1">
      <c r="A19" s="31" t="s">
        <v>1057</v>
      </c>
      <c r="B19" s="23" t="s">
        <v>1001</v>
      </c>
      <c r="C19" s="29">
        <v>2500</v>
      </c>
      <c r="D19" s="28">
        <f>SUMIFS('#产量数据'!51:51,'#产量数据'!$1:$1,'@产量打印#概况'!$B$1,'#产量数据'!$2:$2,'@产量打印#概况'!$B$2)</f>
        <v>2121.0749999999998</v>
      </c>
      <c r="E19" s="26">
        <f t="shared" si="0"/>
        <v>84.842999999999989</v>
      </c>
      <c r="F19" s="29">
        <v>28000</v>
      </c>
      <c r="G19" s="28">
        <f>SUMIFS('#产量数据'!51:51,'#产量数据'!$1:$1,'@产量打印#概况'!$B$1,'#产量数据'!$2:$2,"&lt;="&amp;'@产量打印#概况'!$B$2)</f>
        <v>16935.065000000002</v>
      </c>
      <c r="H19" s="26">
        <f t="shared" si="1"/>
        <v>60.482375000000012</v>
      </c>
      <c r="I19" s="39">
        <f>D19/'@产量打印#概况'!$C$2</f>
        <v>68.421774193548387</v>
      </c>
      <c r="J19" s="30">
        <f>SUMIFS('#产量数据'!51:51,'#产量数据'!$1:$1,'@产量打印#概况'!$B$1-1,'#产量数据'!$2:$2,"&lt;="&amp;'@产量打印#概况'!$B$2)</f>
        <v>16528.740000000002</v>
      </c>
      <c r="K19" s="26">
        <f t="shared" si="2"/>
        <v>2.4582938566400139</v>
      </c>
    </row>
    <row r="20" spans="1:11" s="13" customFormat="1" ht="26.25" customHeight="1">
      <c r="A20" s="31" t="s">
        <v>1058</v>
      </c>
      <c r="B20" s="23" t="s">
        <v>1001</v>
      </c>
      <c r="C20" s="29">
        <v>95000</v>
      </c>
      <c r="D20" s="28">
        <f>SUMIFS('#产量数据'!52:52,'#产量数据'!$1:$1,'@产量打印#概况'!$B$1,'#产量数据'!$2:$2,'@产量打印#概况'!$B$2)</f>
        <v>96035.815000000002</v>
      </c>
      <c r="E20" s="26">
        <f t="shared" si="0"/>
        <v>101.09033157894739</v>
      </c>
      <c r="F20" s="29">
        <v>1000000</v>
      </c>
      <c r="G20" s="28">
        <f>SUMIFS('#产量数据'!52:52,'#产量数据'!$1:$1,'@产量打印#概况'!$B$1,'#产量数据'!$2:$2,"&lt;="&amp;'@产量打印#概况'!$B$2)</f>
        <v>693274.09199999995</v>
      </c>
      <c r="H20" s="26">
        <f t="shared" si="1"/>
        <v>69.327409199999991</v>
      </c>
      <c r="I20" s="39">
        <f>D20/'@产量打印#概况'!$C$2</f>
        <v>3097.9295161290324</v>
      </c>
      <c r="J20" s="30">
        <f>SUMIFS('#产量数据'!52:52,'#产量数据'!$1:$1,'@产量打印#概况'!$B$1-1,'#产量数据'!$2:$2,"&lt;="&amp;'@产量打印#概况'!$B$2)</f>
        <v>582454.14800000004</v>
      </c>
      <c r="K20" s="26">
        <f t="shared" si="2"/>
        <v>19.026380768430872</v>
      </c>
    </row>
    <row r="21" spans="1:11" s="14" customFormat="1" ht="26.25" customHeight="1">
      <c r="A21" s="22" t="s">
        <v>1059</v>
      </c>
      <c r="B21" s="23" t="s">
        <v>1001</v>
      </c>
      <c r="C21" s="27">
        <f>C22+C23</f>
        <v>267000</v>
      </c>
      <c r="D21" s="28">
        <f>SUMIFS('#产量数据'!53:53,'#产量数据'!$1:$1,'@产量打印#概况'!$B$1,'#产量数据'!$2:$2,'@产量打印#概况'!$B$2)</f>
        <v>281938.97700000001</v>
      </c>
      <c r="E21" s="26">
        <f t="shared" si="0"/>
        <v>105.59512247191012</v>
      </c>
      <c r="F21" s="29">
        <f>F22+F23</f>
        <v>3275000</v>
      </c>
      <c r="G21" s="28">
        <f>SUMIFS('#产量数据'!53:53,'#产量数据'!$1:$1,'@产量打印#概况'!$B$1,'#产量数据'!$2:$2,"&lt;="&amp;'@产量打印#概况'!$B$2)</f>
        <v>2074241.932</v>
      </c>
      <c r="H21" s="26">
        <f t="shared" si="1"/>
        <v>63.335631511450387</v>
      </c>
      <c r="I21" s="39">
        <f>D21/'@产量打印#概况'!$C$2</f>
        <v>9094.8057096774191</v>
      </c>
      <c r="J21" s="30">
        <f>SUMIFS('#产量数据'!53:53,'#产量数据'!$1:$1,'@产量打印#概况'!$B$1-1,'#产量数据'!$2:$2,"&lt;="&amp;'@产量打印#概况'!$B$2)</f>
        <v>1936165.834</v>
      </c>
      <c r="K21" s="26">
        <f t="shared" si="2"/>
        <v>7.1314189918713344</v>
      </c>
    </row>
    <row r="22" spans="1:11" s="13" customFormat="1" ht="26.25" customHeight="1">
      <c r="A22" s="22" t="s">
        <v>1060</v>
      </c>
      <c r="B22" s="23" t="s">
        <v>1001</v>
      </c>
      <c r="C22" s="29">
        <v>87000</v>
      </c>
      <c r="D22" s="28">
        <f>SUMIFS('#产量数据'!54:54,'#产量数据'!$1:$1,'@产量打印#概况'!$B$1,'#产量数据'!$2:$2,'@产量打印#概况'!$B$2)</f>
        <v>108347.38</v>
      </c>
      <c r="E22" s="26">
        <f t="shared" si="0"/>
        <v>124.53721839080461</v>
      </c>
      <c r="F22" s="29">
        <v>818000</v>
      </c>
      <c r="G22" s="28">
        <f>SUMIFS('#产量数据'!54:54,'#产量数据'!$1:$1,'@产量打印#概况'!$B$1,'#产量数据'!$2:$2,"&lt;="&amp;'@产量打印#概况'!$B$2)</f>
        <v>805051.04399999999</v>
      </c>
      <c r="H22" s="26">
        <f t="shared" si="1"/>
        <v>98.416998044009787</v>
      </c>
      <c r="I22" s="39">
        <f>D22/'@产量打印#概况'!$C$2</f>
        <v>3495.0767741935483</v>
      </c>
      <c r="J22" s="30">
        <f>SUMIFS('#产量数据'!54:54,'#产量数据'!$1:$1,'@产量打印#概况'!$B$1-1,'#产量数据'!$2:$2,"&lt;="&amp;'@产量打印#概况'!$B$2)</f>
        <v>615539.39800000004</v>
      </c>
      <c r="K22" s="26">
        <f t="shared" si="2"/>
        <v>30.787898648853009</v>
      </c>
    </row>
    <row r="23" spans="1:11" s="13" customFormat="1" ht="26.25" customHeight="1">
      <c r="A23" s="22" t="s">
        <v>1061</v>
      </c>
      <c r="B23" s="23" t="s">
        <v>1001</v>
      </c>
      <c r="C23" s="29">
        <v>180000</v>
      </c>
      <c r="D23" s="28">
        <f>SUMIFS('#产量数据'!55:55,'#产量数据'!$1:$1,'@产量打印#概况'!$B$1,'#产量数据'!$2:$2,'@产量打印#概况'!$B$2)</f>
        <v>173591.59700000001</v>
      </c>
      <c r="E23" s="26">
        <f t="shared" si="0"/>
        <v>96.439776111111115</v>
      </c>
      <c r="F23" s="29">
        <v>2457000</v>
      </c>
      <c r="G23" s="28">
        <f>SUMIFS('#产量数据'!55:55,'#产量数据'!$1:$1,'@产量打印#概况'!$B$1,'#产量数据'!$2:$2,"&lt;="&amp;'@产量打印#概况'!$B$2)</f>
        <v>1269190.888</v>
      </c>
      <c r="H23" s="26">
        <f t="shared" si="1"/>
        <v>51.656120797720796</v>
      </c>
      <c r="I23" s="39">
        <f>D23/'@产量打印#概况'!$C$2</f>
        <v>5599.7289354838713</v>
      </c>
      <c r="J23" s="30">
        <f>SUMIFS('#产量数据'!55:55,'#产量数据'!$1:$1,'@产量打印#概况'!$B$1-1,'#产量数据'!$2:$2,"&lt;="&amp;'@产量打印#概况'!$B$2)</f>
        <v>1320626.436</v>
      </c>
      <c r="K23" s="26">
        <f t="shared" si="2"/>
        <v>-3.8947840659461059</v>
      </c>
    </row>
    <row r="24" spans="1:11" s="14" customFormat="1" ht="26.25" customHeight="1">
      <c r="A24" s="22" t="s">
        <v>1062</v>
      </c>
      <c r="B24" s="23" t="s">
        <v>1001</v>
      </c>
      <c r="C24" s="27">
        <f>'@产量打印#不锈钢'!C31</f>
        <v>261200</v>
      </c>
      <c r="D24" s="28">
        <f>SUMIFS('#产量数据'!56:56,'#产量数据'!$1:$1,'@产量打印#概况'!$B$1,'#产量数据'!$2:$2,'@产量打印#概况'!$B$2)</f>
        <v>251074.43900000001</v>
      </c>
      <c r="E24" s="26">
        <f t="shared" si="0"/>
        <v>96.123445252679943</v>
      </c>
      <c r="F24" s="29">
        <f>F25+F26</f>
        <v>2824000</v>
      </c>
      <c r="G24" s="30">
        <f>SUMIFS('#产量数据'!56:56,'#产量数据'!$1:$1,'@产量打印#概况'!$B$1,'#产量数据'!$2:$2,"&lt;="&amp;'@产量打印#概况'!$B$2)</f>
        <v>1992411.341</v>
      </c>
      <c r="H24" s="26">
        <f t="shared" si="1"/>
        <v>70.552809525495746</v>
      </c>
      <c r="I24" s="39">
        <f>D24/'@产量打印#概况'!$C$2</f>
        <v>8099.175451612904</v>
      </c>
      <c r="J24" s="40">
        <f>SUMIFS('#产量数据'!56:56,'#产量数据'!$1:$1,'@产量打印#概况'!$B$1-1,'#产量数据'!$2:$2,"&lt;="&amp;'@产量打印#概况'!$B$2)</f>
        <v>1722896.031</v>
      </c>
      <c r="K24" s="26">
        <f t="shared" si="2"/>
        <v>15.643155776705139</v>
      </c>
    </row>
    <row r="25" spans="1:11" s="13" customFormat="1" ht="26.25" customHeight="1">
      <c r="A25" s="22" t="s">
        <v>1057</v>
      </c>
      <c r="B25" s="23" t="s">
        <v>1001</v>
      </c>
      <c r="C25" s="27">
        <f>'@产量打印#不锈钢'!C32</f>
        <v>147120</v>
      </c>
      <c r="D25" s="28">
        <f>SUMIFS('#产量数据'!57:57,'#产量数据'!$1:$1,'@产量打印#概况'!$B$1,'#产量数据'!$2:$2,'@产量打印#概况'!$B$2)</f>
        <v>146321.72099999999</v>
      </c>
      <c r="E25" s="26">
        <f t="shared" si="0"/>
        <v>99.45739600326263</v>
      </c>
      <c r="F25" s="27">
        <f>'@产量打印#不锈钢'!F32</f>
        <v>1575000</v>
      </c>
      <c r="G25" s="30">
        <f>SUMIFS('#产量数据'!57:57,'#产量数据'!$1:$1,'@产量打印#概况'!$B$1,'#产量数据'!$2:$2,"&lt;="&amp;'@产量打印#概况'!$B$2)</f>
        <v>1114023.5739999998</v>
      </c>
      <c r="H25" s="26">
        <f t="shared" si="1"/>
        <v>70.731655492063481</v>
      </c>
      <c r="I25" s="39">
        <f>D25/'@产量打印#概况'!$C$2</f>
        <v>4720.0555161290322</v>
      </c>
      <c r="J25" s="41">
        <f>SUMIFS('#产量数据'!57:57,'#产量数据'!$1:$1,'@产量打印#概况'!$B$1-1,'#产量数据'!$2:$2,"&lt;="&amp;'@产量打印#概况'!$B$2)</f>
        <v>932365.40899999987</v>
      </c>
      <c r="K25" s="26">
        <f t="shared" si="2"/>
        <v>19.483580498212149</v>
      </c>
    </row>
    <row r="26" spans="1:11" s="13" customFormat="1" ht="26.25" customHeight="1">
      <c r="A26" s="22" t="s">
        <v>1063</v>
      </c>
      <c r="B26" s="23" t="s">
        <v>1001</v>
      </c>
      <c r="C26" s="27">
        <f>'@产量打印#不锈钢'!C33</f>
        <v>114080</v>
      </c>
      <c r="D26" s="28">
        <f>SUMIFS('#产量数据'!58:58,'#产量数据'!$1:$1,'@产量打印#概况'!$B$1,'#产量数据'!$2:$2,'@产量打印#概况'!$B$2)</f>
        <v>104752.71800000001</v>
      </c>
      <c r="E26" s="26">
        <f t="shared" si="0"/>
        <v>91.823911290322584</v>
      </c>
      <c r="F26" s="27">
        <f>'@产量打印#不锈钢'!F33</f>
        <v>1249000</v>
      </c>
      <c r="G26" s="30">
        <f>SUMIFS('#产量数据'!58:58,'#产量数据'!$1:$1,'@产量打印#概况'!$B$1,'#产量数据'!$2:$2,"&lt;="&amp;'@产量打印#概况'!$B$2)</f>
        <v>878387.76700000011</v>
      </c>
      <c r="H26" s="26">
        <f t="shared" si="1"/>
        <v>70.327283186549252</v>
      </c>
      <c r="I26" s="39">
        <f>D26/'@产量打印#概况'!$C$2</f>
        <v>3379.1199354838714</v>
      </c>
      <c r="J26" s="41">
        <f>SUMIFS('#产量数据'!58:58,'#产量数据'!$1:$1,'@产量打印#概况'!$B$1-1,'#产量数据'!$2:$2,"&lt;="&amp;'@产量打印#概况'!$B$2)</f>
        <v>790530.62199999997</v>
      </c>
      <c r="K26" s="26">
        <f t="shared" si="2"/>
        <v>11.113692822894865</v>
      </c>
    </row>
    <row r="27" spans="1:11" s="13" customFormat="1" ht="26.25" customHeight="1">
      <c r="A27" s="22" t="s">
        <v>1064</v>
      </c>
      <c r="B27" s="23" t="s">
        <v>1001</v>
      </c>
      <c r="C27" s="27">
        <f>'@产量打印#不锈钢'!C34</f>
        <v>1500</v>
      </c>
      <c r="D27" s="28">
        <f>SUMIFS('#产量数据'!59:59,'#产量数据'!$1:$1,'@产量打印#概况'!$B$1,'#产量数据'!$2:$2,'@产量打印#概况'!$B$2)</f>
        <v>2278.75</v>
      </c>
      <c r="E27" s="26">
        <f t="shared" si="0"/>
        <v>151.91666666666669</v>
      </c>
      <c r="F27" s="27">
        <f>'@产量打印#不锈钢'!F34</f>
        <v>21000</v>
      </c>
      <c r="G27" s="28">
        <f>SUMIFS('#产量数据'!59:59,'#产量数据'!$1:$1,'@产量打印#概况'!$B$1,'#产量数据'!$2:$2,"&lt;="&amp;'@产量打印#概况'!$B$2)</f>
        <v>14402.916999999999</v>
      </c>
      <c r="H27" s="26">
        <f t="shared" si="1"/>
        <v>68.585319047619038</v>
      </c>
      <c r="I27" s="39">
        <f>D27/'@产量打印#概况'!$C$2</f>
        <v>73.508064516129039</v>
      </c>
      <c r="J27" s="30">
        <f>SUMIFS('#产量数据'!59:59,'#产量数据'!$1:$1,'@产量打印#概况'!$B$1-1,'#产量数据'!$2:$2,"&lt;="&amp;'@产量打印#概况'!$B$2)</f>
        <v>10886.802</v>
      </c>
      <c r="K27" s="26">
        <f t="shared" si="2"/>
        <v>32.297041867758772</v>
      </c>
    </row>
    <row r="28" spans="1:11" s="13" customFormat="1" ht="26.25" customHeight="1">
      <c r="A28" s="22" t="s">
        <v>1065</v>
      </c>
      <c r="B28" s="23" t="s">
        <v>1001</v>
      </c>
      <c r="C28" s="27">
        <f>'@产量打印#不锈钢'!C35</f>
        <v>2300</v>
      </c>
      <c r="D28" s="28">
        <f>SUMIFS('#产量数据'!60:60,'#产量数据'!$1:$1,'@产量打印#概况'!$B$1,'#产量数据'!$2:$2,'@产量打印#概况'!$B$2)</f>
        <v>2563.0149999999999</v>
      </c>
      <c r="E28" s="26">
        <f t="shared" si="0"/>
        <v>111.4354347826087</v>
      </c>
      <c r="F28" s="27">
        <f>'@产量打印#不锈钢'!F35</f>
        <v>28000</v>
      </c>
      <c r="G28" s="28">
        <f>SUMIFS('#产量数据'!60:60,'#产量数据'!$1:$1,'@产量打印#概况'!$B$1,'#产量数据'!$2:$2,"&lt;="&amp;'@产量打印#概况'!$B$2)</f>
        <v>17180.432000000001</v>
      </c>
      <c r="H28" s="26">
        <f t="shared" si="1"/>
        <v>61.35868571428572</v>
      </c>
      <c r="I28" s="39">
        <f>D28/'@产量打印#概况'!$C$2</f>
        <v>82.677903225806446</v>
      </c>
      <c r="J28" s="30">
        <f>SUMIFS('#产量数据'!60:60,'#产量数据'!$1:$1,'@产量打印#概况'!$B$1-1,'#产量数据'!$2:$2,"&lt;="&amp;'@产量打印#概况'!$B$2)</f>
        <v>13554.91</v>
      </c>
      <c r="K28" s="26">
        <f t="shared" si="2"/>
        <v>26.746927865990997</v>
      </c>
    </row>
    <row r="29" spans="1:11" s="13" customFormat="1" ht="26.25" customHeight="1">
      <c r="A29" s="32" t="s">
        <v>1066</v>
      </c>
      <c r="B29" s="23" t="s">
        <v>1001</v>
      </c>
      <c r="C29" s="27">
        <f>'@产量打印#不锈钢'!C36</f>
        <v>1500</v>
      </c>
      <c r="D29" s="28">
        <f>SUMIFS('#产量数据'!61:61,'#产量数据'!$1:$1,'@产量打印#概况'!$B$1,'#产量数据'!$2:$2,'@产量打印#概况'!$B$2)</f>
        <v>1671.0809999999999</v>
      </c>
      <c r="E29" s="26">
        <f t="shared" si="0"/>
        <v>111.40539999999999</v>
      </c>
      <c r="F29" s="27">
        <f>'@产量打印#不锈钢'!F36</f>
        <v>20000</v>
      </c>
      <c r="G29" s="28">
        <f>SUMIFS('#产量数据'!61:61,'#产量数据'!$1:$1,'@产量打印#概况'!$B$1,'#产量数据'!$2:$2,"&lt;="&amp;'@产量打印#概况'!$B$2)</f>
        <v>12850.736999999999</v>
      </c>
      <c r="H29" s="26">
        <f t="shared" si="1"/>
        <v>64.25368499999999</v>
      </c>
      <c r="I29" s="39">
        <f>D29/'@产量打印#概况'!$C$2</f>
        <v>53.905838709677418</v>
      </c>
      <c r="J29" s="30">
        <f>SUMIFS('#产量数据'!61:61,'#产量数据'!$1:$1,'@产量打印#概况'!$B$1-1,'#产量数据'!$2:$2,"&lt;="&amp;'@产量打印#概况'!$B$2)</f>
        <v>11051.594999999999</v>
      </c>
      <c r="K29" s="26">
        <f t="shared" si="2"/>
        <v>16.279478211063651</v>
      </c>
    </row>
    <row r="30" spans="1:11" s="13" customFormat="1" ht="26.25" customHeight="1">
      <c r="A30" s="32" t="s">
        <v>1067</v>
      </c>
      <c r="B30" s="23" t="s">
        <v>1001</v>
      </c>
      <c r="C30" s="27">
        <f>'@产量打印#不锈钢'!C37</f>
        <v>800</v>
      </c>
      <c r="D30" s="28">
        <f>SUMIFS('#产量数据'!62:62,'#产量数据'!$1:$1,'@产量打印#概况'!$B$1,'#产量数据'!$2:$2,'@产量打印#概况'!$B$2)</f>
        <v>891.93400000000008</v>
      </c>
      <c r="E30" s="26">
        <f t="shared" si="0"/>
        <v>111.49175</v>
      </c>
      <c r="F30" s="27">
        <f>'@产量打印#不锈钢'!F37</f>
        <v>8000</v>
      </c>
      <c r="G30" s="28">
        <f>SUMIFS('#产量数据'!62:62,'#产量数据'!$1:$1,'@产量打印#概况'!$B$1,'#产量数据'!$2:$2,"&lt;="&amp;'@产量打印#概况'!$B$2)</f>
        <v>4329.6949999999997</v>
      </c>
      <c r="H30" s="26">
        <f t="shared" si="1"/>
        <v>54.121187499999998</v>
      </c>
      <c r="I30" s="39">
        <f>D30/'@产量打印#概况'!$C$2</f>
        <v>28.772064516129035</v>
      </c>
      <c r="J30" s="30">
        <f>SUMIFS('#产量数据'!62:62,'#产量数据'!$1:$1,'@产量打印#概况'!$B$1-1,'#产量数据'!$2:$2,"&lt;="&amp;'@产量打印#概况'!$B$2)</f>
        <v>2503.3150000000001</v>
      </c>
      <c r="K30" s="26">
        <f t="shared" si="2"/>
        <v>72.958457085904072</v>
      </c>
    </row>
    <row r="31" spans="1:11" s="14" customFormat="1" ht="26.25" customHeight="1">
      <c r="A31" s="22" t="s">
        <v>1068</v>
      </c>
      <c r="B31" s="23" t="s">
        <v>1001</v>
      </c>
      <c r="C31" s="27">
        <f>'@产量打印#不锈钢'!C38</f>
        <v>2500</v>
      </c>
      <c r="D31" s="28">
        <f>SUMIFS('#产量数据'!63:63,'#产量数据'!$1:$1,'@产量打印#概况'!$B$1,'#产量数据'!$2:$2,'@产量打印#概况'!$B$2)</f>
        <v>2153.143</v>
      </c>
      <c r="E31" s="26">
        <f t="shared" si="0"/>
        <v>86.125720000000001</v>
      </c>
      <c r="F31" s="27">
        <f>'@产量打印#不锈钢'!F38</f>
        <v>24000</v>
      </c>
      <c r="G31" s="28">
        <f>SUMIFS('#产量数据'!63:63,'#产量数据'!$1:$1,'@产量打印#概况'!$B$1,'#产量数据'!$2:$2,"&lt;="&amp;'@产量打印#概况'!$B$2)</f>
        <v>19171.089999999997</v>
      </c>
      <c r="H31" s="26">
        <f t="shared" si="1"/>
        <v>79.879541666666654</v>
      </c>
      <c r="I31" s="39">
        <f>D31/'@产量打印#概况'!$C$2</f>
        <v>69.456225806451613</v>
      </c>
      <c r="J31" s="30">
        <f>SUMIFS('#产量数据'!63:63,'#产量数据'!$1:$1,'@产量打印#概况'!$B$1-1,'#产量数据'!$2:$2,"&lt;="&amp;'@产量打印#概况'!$B$2)</f>
        <v>15614.6337</v>
      </c>
      <c r="K31" s="26">
        <f t="shared" si="2"/>
        <v>22.776431188392181</v>
      </c>
    </row>
    <row r="32" spans="1:11" s="14" customFormat="1" ht="26.25" customHeight="1">
      <c r="A32" s="22" t="s">
        <v>1069</v>
      </c>
      <c r="B32" s="23" t="s">
        <v>1001</v>
      </c>
      <c r="C32" s="27">
        <f>'@产量打印#不锈钢'!C39</f>
        <v>36200</v>
      </c>
      <c r="D32" s="28">
        <f>SUMIFS('#产量数据'!64:64,'#产量数据'!$1:$1,'@产量打印#概况'!$B$1,'#产量数据'!$2:$2,'@产量打印#概况'!$B$2)</f>
        <v>39418.876000000004</v>
      </c>
      <c r="E32" s="26">
        <f t="shared" si="0"/>
        <v>108.8919226519337</v>
      </c>
      <c r="F32" s="27">
        <f>'@产量打印#不锈钢'!F39</f>
        <v>430000</v>
      </c>
      <c r="G32" s="28">
        <f>SUMIFS('#产量数据'!64:64,'#产量数据'!$1:$1,'@产量打印#概况'!$B$1,'#产量数据'!$2:$2,"&lt;="&amp;'@产量打印#概况'!$B$2)</f>
        <v>313648.946</v>
      </c>
      <c r="H32" s="26">
        <f t="shared" si="1"/>
        <v>72.941615348837203</v>
      </c>
      <c r="I32" s="39">
        <f>D32/'@产量打印#概况'!$C$2</f>
        <v>1271.5766451612903</v>
      </c>
      <c r="J32" s="30">
        <f>SUMIFS('#产量数据'!64:64,'#产量数据'!$1:$1,'@产量打印#概况'!$B$1-1,'#产量数据'!$2:$2,"&lt;="&amp;'@产量打印#概况'!$B$2)</f>
        <v>289574.49900000001</v>
      </c>
      <c r="K32" s="26">
        <f t="shared" si="2"/>
        <v>8.313731728151927</v>
      </c>
    </row>
    <row r="33" spans="1:11" s="14" customFormat="1" ht="26.25" customHeight="1">
      <c r="A33" s="22" t="s">
        <v>1070</v>
      </c>
      <c r="B33" s="23" t="s">
        <v>1001</v>
      </c>
      <c r="C33" s="29">
        <v>0</v>
      </c>
      <c r="D33" s="28">
        <f>SUMIFS('#产量数据'!65:65,'#产量数据'!$1:$1,'@产量打印#概况'!$B$1,'#产量数据'!$2:$2,'@产量打印#概况'!$B$2)</f>
        <v>0</v>
      </c>
      <c r="E33" s="26" t="str">
        <f t="shared" si="0"/>
        <v/>
      </c>
      <c r="F33" s="29">
        <v>0</v>
      </c>
      <c r="G33" s="28">
        <f>SUMIFS('#产量数据'!65:65,'#产量数据'!$1:$1,'@产量打印#概况'!$B$1,'#产量数据'!$2:$2,"&lt;="&amp;'@产量打印#概况'!$B$2)</f>
        <v>-42.075000000000003</v>
      </c>
      <c r="H33" s="26" t="str">
        <f t="shared" si="1"/>
        <v/>
      </c>
      <c r="I33" s="39">
        <f>D33/'@产量打印#概况'!$C$2</f>
        <v>0</v>
      </c>
      <c r="J33" s="30">
        <f>SUMIFS('#产量数据'!65:65,'#产量数据'!$1:$1,'@产量打印#概况'!$B$1-1,'#产量数据'!$2:$2,"&lt;="&amp;'@产量打印#概况'!$B$2)</f>
        <v>73083.750999999989</v>
      </c>
      <c r="K33" s="26">
        <f t="shared" si="2"/>
        <v>-100.05757093666415</v>
      </c>
    </row>
    <row r="34" spans="1:11" s="14" customFormat="1" ht="26.25" customHeight="1">
      <c r="A34" s="22" t="s">
        <v>1071</v>
      </c>
      <c r="B34" s="23" t="s">
        <v>1001</v>
      </c>
      <c r="C34" s="29">
        <v>36000</v>
      </c>
      <c r="D34" s="28">
        <f>SUMIFS('#产量数据'!66:66,'#产量数据'!$1:$1,'@产量打印#概况'!$B$1,'#产量数据'!$2:$2,'@产量打印#概况'!$B$2)</f>
        <v>43148.399000000019</v>
      </c>
      <c r="E34" s="26">
        <f t="shared" si="0"/>
        <v>119.85666388888893</v>
      </c>
      <c r="F34" s="29">
        <v>480000</v>
      </c>
      <c r="G34" s="28">
        <f>SUMIFS('#产量数据'!66:66,'#产量数据'!$1:$1,'@产量打印#概况'!$B$1,'#产量数据'!$2:$2,"&lt;="&amp;'@产量打印#概况'!$B$2)</f>
        <v>341242.69800000003</v>
      </c>
      <c r="H34" s="26">
        <f t="shared" si="1"/>
        <v>71.092228750000004</v>
      </c>
      <c r="I34" s="39">
        <f>D34/'@产量打印#概况'!$C$2</f>
        <v>1391.883838709678</v>
      </c>
      <c r="J34" s="30">
        <f>SUMIFS('#产量数据'!66:66,'#产量数据'!$1:$1,'@产量打印#概况'!$B$1-1,'#产量数据'!$2:$2,"&lt;="&amp;'@产量打印#概况'!$B$2)</f>
        <v>313895.50699999993</v>
      </c>
      <c r="K34" s="26">
        <f t="shared" si="2"/>
        <v>8.7121957435345241</v>
      </c>
    </row>
    <row r="35" spans="1:11" s="13" customFormat="1" ht="26.25" customHeight="1">
      <c r="A35" s="33" t="s">
        <v>325</v>
      </c>
      <c r="B35" s="34" t="s">
        <v>1001</v>
      </c>
      <c r="C35" s="35">
        <f>C27</f>
        <v>1500</v>
      </c>
      <c r="D35" s="36">
        <f>SUMIFS('#产量数据'!67:67,'#产量数据'!$1:$1,'@产量打印#概况'!$B$1,'#产量数据'!$2:$2,'@产量打印#概况'!$B$2)</f>
        <v>2893.4270000000001</v>
      </c>
      <c r="E35" s="26">
        <f t="shared" si="0"/>
        <v>192.89513333333335</v>
      </c>
      <c r="F35" s="29">
        <f>F27</f>
        <v>21000</v>
      </c>
      <c r="G35" s="36">
        <f>SUMIFS('#产量数据'!67:67,'#产量数据'!$1:$1,'@产量打印#概况'!$B$1,'#产量数据'!$2:$2,"&lt;="&amp;'@产量打印#概况'!$B$2)</f>
        <v>15971.753000000001</v>
      </c>
      <c r="H35" s="26">
        <f t="shared" si="1"/>
        <v>76.055966666666677</v>
      </c>
      <c r="I35" s="42">
        <f>D35/'@产量打印#概况'!$C$2</f>
        <v>93.336354838709681</v>
      </c>
      <c r="J35" s="43">
        <f>SUMIFS('#产量数据'!67:67,'#产量数据'!$1:$1,'@产量打印#概况'!$B$1-1,'#产量数据'!$2:$2,"&lt;="&amp;'@产量打印#概况'!$B$2)</f>
        <v>11712.743999999999</v>
      </c>
      <c r="K35" s="26">
        <f t="shared" si="2"/>
        <v>36.362179520016845</v>
      </c>
    </row>
  </sheetData>
  <customSheetViews>
    <customSheetView guid="{1683F931-F47D-47C0-A395-D48080DC7EE6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62" orientation="landscape" r:id="rId1"/>
    </customSheetView>
    <customSheetView guid="{43897816-D2F0-4C3D-8F57-E0039BD2296B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62" orientation="landscape" r:id="rId2"/>
    </customSheetView>
    <customSheetView guid="{849C46E5-4ED4-41B9-BDA9-A6465B9DA9C2}" showPageBreaks="1" fitToPage="1" printArea="1" view="pageBreakPreview" topLeftCell="A43">
      <selection activeCell="C22" sqref="C22"/>
      <pageMargins left="0.69930555555555596" right="0.69930555555555596" top="0.75" bottom="0.75" header="0.3" footer="0.3"/>
      <pageSetup paperSize="9" scale="62" orientation="landscape" r:id="rId3"/>
    </customSheetView>
    <customSheetView guid="{8C09BCDE-4B8A-4469-B3F2-7F4528A2E78D}" showPageBreaks="1" fitToPage="1" printArea="1" view="pageBreakPreview" topLeftCell="A43">
      <selection activeCell="C22" sqref="C22"/>
      <pageMargins left="0.69930555555555596" right="0.69930555555555596" top="0.75" bottom="0.75" header="0.3" footer="0.3"/>
      <pageSetup paperSize="9" scale="62" orientation="landscape" r:id="rId4"/>
    </customSheetView>
    <customSheetView guid="{F4EB51F4-FD23-4D5B-8072-1AF5D59D6686}" showPageBreaks="1" fitToPage="1" printArea="1" view="pageBreakPreview" topLeftCell="A4">
      <selection activeCell="C22" sqref="C22"/>
      <pageMargins left="0.69930555555555596" right="0.69930555555555596" top="0.75" bottom="0.75" header="0.3" footer="0.3"/>
      <pageSetup paperSize="9" scale="62" orientation="landscape" r:id="rId5"/>
    </customSheetView>
    <customSheetView guid="{D7BCFB76-2797-401D-A6F1-E020B5162DD4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62" orientation="landscape" r:id="rId6"/>
    </customSheetView>
    <customSheetView guid="{C9A88430-3808-49F4-8D86-BF8C70C55441}" showPageBreaks="1" fitToPage="1" printArea="1" view="pageBreakPreview" topLeftCell="C7">
      <selection activeCell="D7" sqref="D7"/>
      <pageMargins left="0.69930555555555596" right="0.69930555555555596" top="0.75" bottom="0.75" header="0.3" footer="0.3"/>
      <pageSetup paperSize="9" scale="62" orientation="landscape" r:id="rId7"/>
    </customSheetView>
    <customSheetView guid="{E61FFED3-723E-484A-93A0-94E1A801AF06}" scale="83" showPageBreaks="1" fitToPage="1" printArea="1" view="pageBreakPreview">
      <selection activeCell="G9" sqref="G9"/>
      <pageMargins left="0.69930555555555596" right="0.69930555555555596" top="0.75" bottom="0.75" header="0.3" footer="0.3"/>
      <pageSetup paperSize="9" scale="62" orientation="landscape" r:id="rId8"/>
    </customSheetView>
    <customSheetView guid="{6B5CCA07-2BDD-4B8E-9E3C-2111BBA97430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62" orientation="landscape" r:id="rId9"/>
    </customSheetView>
    <customSheetView guid="{2F47A827-9643-4D8A-AC5D-6B09D79AACF9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62" orientation="landscape" r:id="rId10"/>
    </customSheetView>
    <customSheetView guid="{B37168A1-DBAB-4BDE-9F92-6261DCDF3D92}" showPageBreaks="1" fitToPage="1" printArea="1" view="pageBreakPreview">
      <selection activeCell="D7" sqref="D7"/>
      <pageMargins left="0.69930555555555596" right="0.69930555555555596" top="0.75" bottom="0.75" header="0.3" footer="0.3"/>
      <pageSetup paperSize="9" scale="62" orientation="landscape" r:id="rId11"/>
    </customSheetView>
    <customSheetView guid="{AE0DD889-C13C-4059-8024-0F5B234827E9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59" orientation="landscape" r:id="rId12"/>
    </customSheetView>
    <customSheetView guid="{CCBBD9B0-4191-4D7A-9F7B-BAC044A49153}" showPageBreaks="1" fitToPage="1" printArea="1" view="pageBreakPreview">
      <selection activeCell="D7" sqref="D7"/>
      <pageMargins left="0.69930555555555596" right="0.69930555555555596" top="0.75" bottom="0.75" header="0.3" footer="0.3"/>
      <pageSetup paperSize="9" scale="55" orientation="landscape"/>
    </customSheetView>
    <customSheetView guid="{F5F9735B-EE22-4AC6-B5AB-C856ED6C133D}" showPageBreaks="1" fitToPage="1" printArea="1" view="pageBreakPreview">
      <selection activeCell="D7" sqref="D7"/>
      <pageMargins left="0.69930555555555596" right="0.69930555555555596" top="0.75" bottom="0.75" header="0.3" footer="0.3"/>
      <pageSetup paperSize="9" scale="55" orientation="landscape"/>
    </customSheetView>
    <customSheetView guid="{45B4C0D1-53B6-4553-BFF9-393760B8E0CE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59" orientation="landscape"/>
    </customSheetView>
    <customSheetView guid="{1BBD1596-143E-4714-99EF-E3545231CCD1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59" orientation="landscape"/>
    </customSheetView>
    <customSheetView guid="{A8456D60-99BA-4794-8966-0CBA0A37EA6F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62" orientation="landscape"/>
    </customSheetView>
    <customSheetView guid="{500C3980-ED13-4C97-96B1-955D50509B66}" showPageBreaks="1" fitToPage="1" printArea="1" view="pageBreakPreview">
      <selection activeCell="D7" sqref="D7"/>
      <pageMargins left="0.69930555555555596" right="0.69930555555555596" top="0.75" bottom="0.75" header="0.3" footer="0.3"/>
      <pageSetup paperSize="9" scale="62" orientation="landscape"/>
    </customSheetView>
    <customSheetView guid="{3B943BAF-34C7-494A-A071-85DE0891E5A1}" showPageBreaks="1" fitToPage="1" printArea="1" view="pageBreakPreview">
      <selection activeCell="E15" sqref="E15"/>
      <pageMargins left="0.69930555555555596" right="0.69930555555555596" top="0.75" bottom="0.75" header="0.3" footer="0.3"/>
      <pageSetup paperSize="9" scale="55" orientation="landscape"/>
    </customSheetView>
    <customSheetView guid="{EEE4B3DA-ADF6-49CC-9873-068FE5927B92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59" orientation="landscape"/>
    </customSheetView>
    <customSheetView guid="{C52D0F53-4D1D-4D01-B833-260359FD02A5}" showPageBreaks="1" fitToPage="1" printArea="1" hiddenRows="1" view="pageBreakPreview">
      <selection activeCell="D14" sqref="D14"/>
      <pageMargins left="0.69930555555555596" right="0.69930555555555596" top="0.75" bottom="0.75" header="0.3" footer="0.3"/>
      <pageSetup paperSize="9" scale="62" orientation="landscape" r:id="rId13"/>
    </customSheetView>
    <customSheetView guid="{6A1E79C9-91E3-4EEA-8ABB-4446083299EC}" showPageBreaks="1" fitToPage="1" printArea="1" view="pageBreakPreview" topLeftCell="C7">
      <selection activeCell="D7" sqref="D7"/>
      <pageMargins left="0.69930555555555596" right="0.69930555555555596" top="0.75" bottom="0.75" header="0.3" footer="0.3"/>
      <pageSetup paperSize="9" scale="62" orientation="landscape" r:id="rId14"/>
    </customSheetView>
    <customSheetView guid="{8B80B510-C931-46B1-8591-DEA916D76593}" showPageBreaks="1" fitToPage="1" printArea="1" view="pageBreakPreview" topLeftCell="A20">
      <selection activeCell="C7" sqref="C7:K35"/>
      <pageMargins left="0.69930555555555596" right="0.69930555555555596" top="0.75" bottom="0.75" header="0.3" footer="0.3"/>
      <pageSetup paperSize="9" scale="62" orientation="landscape" r:id="rId15"/>
    </customSheetView>
    <customSheetView guid="{303A9D89-611D-4504-BCAA-071C53B021F7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60" orientation="landscape" r:id="rId16"/>
    </customSheetView>
    <customSheetView guid="{4583A87D-5DFF-47BD-849A-FA4AAF2B9CE3}" showPageBreaks="1" fitToPage="1" printArea="1" view="pageBreakPreview">
      <selection activeCell="D29" sqref="D29"/>
      <pageMargins left="0.69930555555555596" right="0.69930555555555596" top="0.75" bottom="0.75" header="0.3" footer="0.3"/>
      <pageSetup paperSize="9" scale="62" orientation="landscape" r:id="rId17"/>
    </customSheetView>
    <customSheetView guid="{EA856AC2-CDFF-46B6-B0C4-30449DF132F4}" showPageBreaks="1" fitToPage="1" printArea="1" view="pageBreakPreview" topLeftCell="A20">
      <selection activeCell="C7" sqref="C7:K35"/>
      <pageMargins left="0.69930555555555596" right="0.69930555555555596" top="0.75" bottom="0.75" header="0.3" footer="0.3"/>
      <pageSetup paperSize="9" scale="62" orientation="landscape" r:id="rId18"/>
    </customSheetView>
    <customSheetView guid="{322A45A6-8B26-49B8-A4D9-EFB3C94A758D}" scale="60" showPageBreaks="1" fitToPage="1" printArea="1" view="pageBreakPreview">
      <selection activeCell="F21" sqref="F21"/>
      <pageMargins left="0.69930555555555596" right="0.69930555555555596" top="0.75" bottom="0.75" header="0.3" footer="0.3"/>
      <pageSetup paperSize="9" scale="60" orientation="landscape" r:id="rId19"/>
    </customSheetView>
  </customSheetViews>
  <mergeCells count="9">
    <mergeCell ref="A3:K3"/>
    <mergeCell ref="E4:F4"/>
    <mergeCell ref="C5:E5"/>
    <mergeCell ref="F5:H5"/>
    <mergeCell ref="A5:A6"/>
    <mergeCell ref="B5:B6"/>
    <mergeCell ref="I5:I6"/>
    <mergeCell ref="J5:J6"/>
    <mergeCell ref="K5:K6"/>
  </mergeCells>
  <phoneticPr fontId="133" type="noConversion"/>
  <pageMargins left="0.69930555555555596" right="0.69930555555555596" top="0.75" bottom="0.75" header="0.3" footer="0.3"/>
  <pageSetup paperSize="9" scale="62" orientation="landscape" r:id="rId2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B2:P54"/>
  <sheetViews>
    <sheetView workbookViewId="0">
      <selection activeCell="B12" sqref="B12:H18"/>
    </sheetView>
  </sheetViews>
  <sheetFormatPr defaultColWidth="8.875" defaultRowHeight="14.25"/>
  <cols>
    <col min="1" max="1" width="8.875" style="1"/>
    <col min="2" max="2" width="29.25" style="1" customWidth="1"/>
    <col min="3" max="8" width="15.5" style="1" customWidth="1"/>
    <col min="9" max="9" width="8.875" style="1"/>
    <col min="10" max="10" width="18.375" style="1" customWidth="1"/>
    <col min="11" max="16" width="15.375" style="1" customWidth="1"/>
    <col min="17" max="16384" width="8.875" style="1"/>
  </cols>
  <sheetData>
    <row r="2" spans="2:8">
      <c r="B2" s="1" t="s">
        <v>430</v>
      </c>
    </row>
    <row r="3" spans="2:8">
      <c r="B3" s="2" t="s">
        <v>1072</v>
      </c>
      <c r="C3" s="3" t="s">
        <v>1073</v>
      </c>
      <c r="D3" s="3" t="s">
        <v>1074</v>
      </c>
      <c r="E3" s="3" t="s">
        <v>1075</v>
      </c>
      <c r="F3" s="3" t="s">
        <v>1076</v>
      </c>
      <c r="G3" s="3" t="s">
        <v>1077</v>
      </c>
      <c r="H3" s="3" t="s">
        <v>1078</v>
      </c>
    </row>
    <row r="4" spans="2:8">
      <c r="B4" s="4" t="s">
        <v>1079</v>
      </c>
      <c r="C4" s="2">
        <v>9600</v>
      </c>
      <c r="D4" s="2">
        <v>15800</v>
      </c>
      <c r="E4" s="2">
        <v>14528</v>
      </c>
      <c r="F4" s="2">
        <v>-791</v>
      </c>
      <c r="G4" s="2">
        <v>-1245</v>
      </c>
      <c r="H4" s="2">
        <v>-171</v>
      </c>
    </row>
    <row r="5" spans="2:8">
      <c r="B5" s="4" t="s">
        <v>1080</v>
      </c>
      <c r="C5" s="2">
        <v>34600</v>
      </c>
      <c r="D5" s="2">
        <v>15798</v>
      </c>
      <c r="E5" s="2">
        <v>13392</v>
      </c>
      <c r="F5" s="2">
        <v>344</v>
      </c>
      <c r="G5" s="2">
        <v>-111</v>
      </c>
      <c r="H5" s="2">
        <v>578</v>
      </c>
    </row>
    <row r="6" spans="2:8">
      <c r="B6" s="4" t="s">
        <v>1081</v>
      </c>
      <c r="C6" s="2">
        <v>26000</v>
      </c>
      <c r="D6" s="2">
        <v>14400</v>
      </c>
      <c r="E6" s="2">
        <v>12926</v>
      </c>
      <c r="F6" s="2">
        <v>-313</v>
      </c>
      <c r="G6" s="2">
        <v>-738</v>
      </c>
      <c r="H6" s="2">
        <v>-108</v>
      </c>
    </row>
    <row r="7" spans="2:8">
      <c r="B7" s="4" t="s">
        <v>1082</v>
      </c>
      <c r="C7" s="2">
        <v>500</v>
      </c>
      <c r="D7" s="2">
        <v>18100</v>
      </c>
      <c r="E7" s="2">
        <v>14751</v>
      </c>
      <c r="F7" s="2">
        <v>1022</v>
      </c>
      <c r="G7" s="2">
        <v>521</v>
      </c>
      <c r="H7" s="2">
        <v>1420</v>
      </c>
    </row>
    <row r="8" spans="2:8">
      <c r="B8" s="4" t="s">
        <v>1083</v>
      </c>
      <c r="C8" s="2">
        <v>8000</v>
      </c>
      <c r="D8" s="2">
        <v>18200</v>
      </c>
      <c r="E8" s="2">
        <v>15630</v>
      </c>
      <c r="F8" s="2">
        <v>231</v>
      </c>
      <c r="G8" s="2">
        <v>-265</v>
      </c>
      <c r="H8" s="2">
        <v>1174</v>
      </c>
    </row>
    <row r="9" spans="2:8">
      <c r="B9" s="4" t="s">
        <v>1084</v>
      </c>
      <c r="C9" s="3">
        <v>580</v>
      </c>
      <c r="D9" s="3">
        <v>22200</v>
      </c>
      <c r="E9" s="3">
        <v>22718</v>
      </c>
      <c r="F9" s="3">
        <v>-3072</v>
      </c>
      <c r="G9" s="3">
        <v>-3715</v>
      </c>
      <c r="H9" s="3">
        <v>2367</v>
      </c>
    </row>
    <row r="10" spans="2:8">
      <c r="B10" s="5"/>
      <c r="C10" s="6"/>
      <c r="D10" s="6"/>
      <c r="E10" s="6"/>
      <c r="F10" s="6"/>
      <c r="G10" s="6"/>
      <c r="H10" s="6"/>
    </row>
    <row r="11" spans="2:8">
      <c r="B11" s="1" t="s">
        <v>432</v>
      </c>
    </row>
    <row r="12" spans="2:8" ht="28.5">
      <c r="B12" s="2" t="s">
        <v>1085</v>
      </c>
      <c r="C12" s="3" t="s">
        <v>1086</v>
      </c>
      <c r="D12" s="3" t="s">
        <v>1087</v>
      </c>
      <c r="E12" s="3" t="s">
        <v>1088</v>
      </c>
      <c r="F12" s="3" t="s">
        <v>1089</v>
      </c>
      <c r="G12" s="3" t="s">
        <v>1090</v>
      </c>
      <c r="H12" s="3" t="s">
        <v>1091</v>
      </c>
    </row>
    <row r="13" spans="2:8">
      <c r="B13" s="4" t="s">
        <v>1079</v>
      </c>
      <c r="C13" s="2">
        <v>9600</v>
      </c>
      <c r="D13" s="2">
        <v>15800</v>
      </c>
      <c r="E13" s="2">
        <v>14259</v>
      </c>
      <c r="F13" s="2">
        <v>-521</v>
      </c>
      <c r="G13" s="2">
        <v>-975</v>
      </c>
      <c r="H13" s="2">
        <v>99</v>
      </c>
    </row>
    <row r="14" spans="2:8">
      <c r="B14" s="4" t="s">
        <v>1080</v>
      </c>
      <c r="C14" s="2">
        <v>34600</v>
      </c>
      <c r="D14" s="2">
        <v>35798</v>
      </c>
      <c r="E14" s="2">
        <v>13166</v>
      </c>
      <c r="F14" s="2">
        <v>569</v>
      </c>
      <c r="G14" s="2">
        <v>115</v>
      </c>
      <c r="H14" s="2">
        <v>804</v>
      </c>
    </row>
    <row r="15" spans="2:8">
      <c r="B15" s="4" t="s">
        <v>1081</v>
      </c>
      <c r="C15" s="2">
        <v>39000</v>
      </c>
      <c r="D15" s="2">
        <v>13900</v>
      </c>
      <c r="E15" s="2">
        <v>12725</v>
      </c>
      <c r="F15" s="2">
        <v>-554</v>
      </c>
      <c r="G15" s="2">
        <v>-969</v>
      </c>
      <c r="H15" s="2">
        <v>-349</v>
      </c>
    </row>
    <row r="16" spans="2:8">
      <c r="B16" s="4" t="s">
        <v>1082</v>
      </c>
      <c r="C16" s="2">
        <v>2000</v>
      </c>
      <c r="D16" s="2">
        <v>18100</v>
      </c>
      <c r="E16" s="2">
        <v>14588</v>
      </c>
      <c r="F16" s="2">
        <v>1185</v>
      </c>
      <c r="G16" s="2">
        <v>685</v>
      </c>
      <c r="H16" s="2">
        <v>1583</v>
      </c>
    </row>
    <row r="17" spans="2:16">
      <c r="B17" s="4" t="s">
        <v>1083</v>
      </c>
      <c r="C17" s="2">
        <v>9500</v>
      </c>
      <c r="D17" s="2">
        <v>18200</v>
      </c>
      <c r="E17" s="2">
        <v>15465</v>
      </c>
      <c r="F17" s="2">
        <v>396</v>
      </c>
      <c r="G17" s="2">
        <v>-101</v>
      </c>
      <c r="H17" s="2">
        <v>1339</v>
      </c>
    </row>
    <row r="18" spans="2:16">
      <c r="B18" s="4" t="s">
        <v>1084</v>
      </c>
      <c r="C18" s="2">
        <v>500</v>
      </c>
      <c r="D18" s="2">
        <v>22600</v>
      </c>
      <c r="E18" s="2">
        <v>22472</v>
      </c>
      <c r="F18" s="2">
        <v>-2472</v>
      </c>
      <c r="G18" s="2">
        <v>-3115</v>
      </c>
      <c r="H18" s="2">
        <v>2967</v>
      </c>
    </row>
    <row r="20" spans="2:16">
      <c r="B20" s="1" t="s">
        <v>421</v>
      </c>
    </row>
    <row r="21" spans="2:16" ht="28.5">
      <c r="B21" s="2" t="s">
        <v>1085</v>
      </c>
      <c r="C21" s="3" t="s">
        <v>1086</v>
      </c>
      <c r="D21" s="3" t="s">
        <v>1087</v>
      </c>
      <c r="E21" s="3" t="s">
        <v>1088</v>
      </c>
      <c r="F21" s="3" t="s">
        <v>1089</v>
      </c>
      <c r="G21" s="3" t="s">
        <v>1090</v>
      </c>
      <c r="H21" s="3" t="s">
        <v>1091</v>
      </c>
      <c r="J21" s="2" t="s">
        <v>1085</v>
      </c>
      <c r="K21" s="3" t="s">
        <v>1086</v>
      </c>
      <c r="L21" s="3" t="s">
        <v>1087</v>
      </c>
      <c r="M21" s="3" t="s">
        <v>1088</v>
      </c>
      <c r="N21" s="3" t="s">
        <v>1089</v>
      </c>
      <c r="O21" s="3" t="s">
        <v>1090</v>
      </c>
      <c r="P21" s="3" t="s">
        <v>1091</v>
      </c>
    </row>
    <row r="22" spans="2:16">
      <c r="B22" s="4" t="s">
        <v>1079</v>
      </c>
      <c r="C22" s="2">
        <v>9600</v>
      </c>
      <c r="D22" s="2">
        <v>15300</v>
      </c>
      <c r="E22" s="2">
        <v>13428</v>
      </c>
      <c r="F22" s="2">
        <v>-133</v>
      </c>
      <c r="G22" s="2">
        <v>-577</v>
      </c>
      <c r="H22" s="2">
        <v>487</v>
      </c>
      <c r="J22" s="4" t="s">
        <v>1092</v>
      </c>
      <c r="K22" s="12">
        <v>19500</v>
      </c>
      <c r="L22" s="12">
        <v>8000</v>
      </c>
      <c r="M22" s="12">
        <v>6369</v>
      </c>
      <c r="N22" s="12">
        <v>466</v>
      </c>
      <c r="O22" s="12">
        <v>169</v>
      </c>
      <c r="P22" s="12">
        <v>1269</v>
      </c>
    </row>
    <row r="23" spans="2:16">
      <c r="B23" s="4" t="s">
        <v>1080</v>
      </c>
      <c r="C23" s="2">
        <v>36600</v>
      </c>
      <c r="D23" s="2">
        <v>15293</v>
      </c>
      <c r="E23" s="2">
        <v>12350</v>
      </c>
      <c r="F23" s="2">
        <v>939</v>
      </c>
      <c r="G23" s="2">
        <v>495</v>
      </c>
      <c r="H23" s="2">
        <v>1173</v>
      </c>
      <c r="J23" s="12" t="s">
        <v>1093</v>
      </c>
      <c r="K23" s="12">
        <v>42000</v>
      </c>
      <c r="L23" s="12">
        <v>5841</v>
      </c>
      <c r="M23" s="12">
        <v>5303</v>
      </c>
      <c r="N23" s="12">
        <v>293</v>
      </c>
      <c r="O23" s="12">
        <v>24</v>
      </c>
      <c r="P23" s="12">
        <v>637</v>
      </c>
    </row>
    <row r="24" spans="2:16">
      <c r="B24" s="4" t="s">
        <v>1081</v>
      </c>
      <c r="C24" s="2">
        <v>39000</v>
      </c>
      <c r="D24" s="2">
        <v>13400</v>
      </c>
      <c r="E24" s="2">
        <v>11936</v>
      </c>
      <c r="F24" s="2">
        <v>-208</v>
      </c>
      <c r="G24" s="2">
        <v>-613</v>
      </c>
      <c r="H24" s="2">
        <v>-3</v>
      </c>
      <c r="J24" s="12" t="s">
        <v>1094</v>
      </c>
      <c r="K24" s="12">
        <v>17000</v>
      </c>
      <c r="L24" s="12">
        <v>5665</v>
      </c>
      <c r="M24" s="12">
        <v>4738</v>
      </c>
      <c r="N24" s="12">
        <v>132</v>
      </c>
      <c r="O24" s="12">
        <v>-118</v>
      </c>
      <c r="P24" s="12">
        <v>473</v>
      </c>
    </row>
    <row r="25" spans="2:16">
      <c r="B25" s="4" t="s">
        <v>1082</v>
      </c>
      <c r="C25" s="2">
        <v>2000</v>
      </c>
      <c r="D25" s="2">
        <v>17800</v>
      </c>
      <c r="E25" s="2">
        <v>13831</v>
      </c>
      <c r="F25" s="2">
        <v>1676</v>
      </c>
      <c r="G25" s="2">
        <v>1182</v>
      </c>
      <c r="H25" s="2">
        <v>2074</v>
      </c>
      <c r="J25" s="12" t="s">
        <v>1095</v>
      </c>
      <c r="K25" s="12">
        <v>20850</v>
      </c>
      <c r="L25" s="12">
        <v>11447</v>
      </c>
      <c r="M25" s="12">
        <v>9394</v>
      </c>
      <c r="N25" s="12">
        <v>492</v>
      </c>
      <c r="O25" s="12">
        <v>125</v>
      </c>
      <c r="P25" s="12">
        <v>1396</v>
      </c>
    </row>
    <row r="26" spans="2:16">
      <c r="B26" s="4" t="s">
        <v>1083</v>
      </c>
      <c r="C26" s="2">
        <v>9500</v>
      </c>
      <c r="D26" s="2">
        <v>17900</v>
      </c>
      <c r="E26" s="2">
        <v>14701</v>
      </c>
      <c r="F26" s="2">
        <v>895</v>
      </c>
      <c r="G26" s="2">
        <v>404</v>
      </c>
      <c r="H26" s="2">
        <v>1838</v>
      </c>
      <c r="P26" s="7">
        <f>SUMPRODUCT(K22:K23,O22:O23)/SUM(K22:K23)</f>
        <v>69.975609756097555</v>
      </c>
    </row>
    <row r="27" spans="2:16">
      <c r="B27" s="4" t="s">
        <v>1084</v>
      </c>
      <c r="C27" s="2">
        <v>600</v>
      </c>
      <c r="D27" s="2">
        <v>22800</v>
      </c>
      <c r="E27" s="2">
        <v>21651</v>
      </c>
      <c r="F27" s="2">
        <v>-1474</v>
      </c>
      <c r="G27" s="2">
        <v>-2117</v>
      </c>
      <c r="H27" s="2">
        <v>3965</v>
      </c>
    </row>
    <row r="28" spans="2:16">
      <c r="H28" s="7">
        <f>SUMPRODUCT(C22:C27,G22:G27)/SUM(C22:C27)</f>
        <v>-65.749229188078104</v>
      </c>
    </row>
    <row r="29" spans="2:16">
      <c r="B29" s="1" t="s">
        <v>422</v>
      </c>
    </row>
    <row r="30" spans="2:16" ht="28.5">
      <c r="B30" s="2" t="s">
        <v>1085</v>
      </c>
      <c r="C30" s="3" t="s">
        <v>1086</v>
      </c>
      <c r="D30" s="3" t="s">
        <v>1087</v>
      </c>
      <c r="E30" s="3" t="s">
        <v>1088</v>
      </c>
      <c r="F30" s="3" t="s">
        <v>1089</v>
      </c>
      <c r="G30" s="3" t="s">
        <v>1090</v>
      </c>
      <c r="H30" s="3" t="s">
        <v>1091</v>
      </c>
      <c r="J30" s="2" t="s">
        <v>1085</v>
      </c>
      <c r="K30" s="3" t="s">
        <v>1086</v>
      </c>
      <c r="L30" s="3" t="s">
        <v>1087</v>
      </c>
      <c r="M30" s="3" t="s">
        <v>1088</v>
      </c>
      <c r="N30" s="3" t="s">
        <v>1089</v>
      </c>
      <c r="O30" s="3" t="s">
        <v>1090</v>
      </c>
      <c r="P30" s="3" t="s">
        <v>1091</v>
      </c>
    </row>
    <row r="31" spans="2:16">
      <c r="B31" s="4" t="s">
        <v>1079</v>
      </c>
      <c r="C31" s="2">
        <v>9700</v>
      </c>
      <c r="D31" s="2">
        <v>14800</v>
      </c>
      <c r="E31" s="2">
        <v>12491</v>
      </c>
      <c r="F31" s="2">
        <v>361</v>
      </c>
      <c r="G31" s="2">
        <v>-73</v>
      </c>
      <c r="H31" s="2">
        <v>981</v>
      </c>
      <c r="J31" s="4" t="s">
        <v>1092</v>
      </c>
      <c r="K31" s="12">
        <v>24500</v>
      </c>
      <c r="L31" s="12">
        <v>7800</v>
      </c>
      <c r="M31" s="12">
        <v>6104</v>
      </c>
      <c r="N31" s="12">
        <v>553</v>
      </c>
      <c r="O31" s="12">
        <v>261</v>
      </c>
      <c r="P31" s="12">
        <v>1356</v>
      </c>
    </row>
    <row r="32" spans="2:16">
      <c r="B32" s="4" t="s">
        <v>1080</v>
      </c>
      <c r="C32" s="2">
        <v>26600</v>
      </c>
      <c r="D32" s="2">
        <v>14690</v>
      </c>
      <c r="E32" s="2">
        <v>11382</v>
      </c>
      <c r="F32" s="2">
        <v>1373</v>
      </c>
      <c r="G32" s="2">
        <v>942</v>
      </c>
      <c r="H32" s="2">
        <v>1605</v>
      </c>
      <c r="J32" s="12" t="s">
        <v>1093</v>
      </c>
      <c r="K32" s="12">
        <v>37000</v>
      </c>
      <c r="L32" s="12">
        <v>6500</v>
      </c>
      <c r="M32" s="12">
        <v>5036</v>
      </c>
      <c r="N32" s="12">
        <v>471</v>
      </c>
      <c r="O32" s="12">
        <v>204</v>
      </c>
      <c r="P32" s="12">
        <v>816</v>
      </c>
    </row>
    <row r="33" spans="2:16">
      <c r="B33" s="4" t="s">
        <v>1081</v>
      </c>
      <c r="C33" s="2">
        <v>33500</v>
      </c>
      <c r="D33" s="2">
        <v>12900</v>
      </c>
      <c r="E33" s="2">
        <v>10880</v>
      </c>
      <c r="F33" s="2">
        <v>406</v>
      </c>
      <c r="G33" s="2">
        <v>10</v>
      </c>
      <c r="H33" s="2">
        <v>611</v>
      </c>
      <c r="J33" s="12" t="s">
        <v>1094</v>
      </c>
      <c r="K33" s="12">
        <v>17000</v>
      </c>
      <c r="L33" s="12">
        <v>5532</v>
      </c>
      <c r="M33" s="12">
        <v>4555</v>
      </c>
      <c r="N33" s="12">
        <v>197</v>
      </c>
      <c r="O33" s="12">
        <v>-50</v>
      </c>
      <c r="P33" s="12">
        <v>538</v>
      </c>
    </row>
    <row r="34" spans="2:16">
      <c r="B34" s="4" t="s">
        <v>1082</v>
      </c>
      <c r="C34" s="2">
        <v>2000</v>
      </c>
      <c r="D34" s="2">
        <v>17200</v>
      </c>
      <c r="E34" s="2">
        <v>12853</v>
      </c>
      <c r="F34" s="2">
        <v>2123</v>
      </c>
      <c r="G34" s="2">
        <v>1641</v>
      </c>
      <c r="H34" s="2">
        <v>2521</v>
      </c>
      <c r="J34" s="12" t="s">
        <v>1095</v>
      </c>
      <c r="K34" s="12">
        <v>20850</v>
      </c>
      <c r="L34" s="12">
        <v>11393</v>
      </c>
      <c r="M34" s="12">
        <v>9506</v>
      </c>
      <c r="N34" s="12">
        <v>696</v>
      </c>
      <c r="O34" s="12">
        <v>331</v>
      </c>
      <c r="P34" s="12">
        <v>1601</v>
      </c>
    </row>
    <row r="35" spans="2:16">
      <c r="B35" s="4" t="s">
        <v>1083</v>
      </c>
      <c r="C35" s="2">
        <v>9500</v>
      </c>
      <c r="D35" s="2">
        <v>17300</v>
      </c>
      <c r="E35" s="2">
        <v>13714</v>
      </c>
      <c r="F35" s="2">
        <v>1351</v>
      </c>
      <c r="G35" s="2">
        <v>873</v>
      </c>
      <c r="H35" s="2">
        <v>2294</v>
      </c>
    </row>
    <row r="36" spans="2:16">
      <c r="B36" s="4" t="s">
        <v>1084</v>
      </c>
      <c r="C36" s="2">
        <v>950</v>
      </c>
      <c r="D36" s="2">
        <v>22400</v>
      </c>
      <c r="E36" s="2">
        <v>20376</v>
      </c>
      <c r="F36" s="2">
        <v>-553</v>
      </c>
      <c r="G36" s="2">
        <v>-1196</v>
      </c>
      <c r="H36" s="2">
        <v>4886</v>
      </c>
    </row>
    <row r="40" spans="2:16" ht="28.5">
      <c r="B40" s="2" t="s">
        <v>1085</v>
      </c>
      <c r="C40" s="3" t="s">
        <v>1086</v>
      </c>
      <c r="D40" s="3" t="s">
        <v>1087</v>
      </c>
      <c r="E40" s="3" t="s">
        <v>1088</v>
      </c>
      <c r="F40" s="3" t="s">
        <v>1089</v>
      </c>
      <c r="G40" s="3" t="s">
        <v>1090</v>
      </c>
      <c r="H40" s="3" t="s">
        <v>1091</v>
      </c>
    </row>
    <row r="41" spans="2:16">
      <c r="B41" s="8" t="s">
        <v>1079</v>
      </c>
      <c r="C41" s="2">
        <v>9700</v>
      </c>
      <c r="D41" s="2">
        <v>14800</v>
      </c>
      <c r="E41" s="2">
        <v>12491</v>
      </c>
      <c r="F41" s="2">
        <v>361</v>
      </c>
      <c r="G41" s="2">
        <v>-73</v>
      </c>
      <c r="H41" s="2">
        <v>981</v>
      </c>
    </row>
    <row r="42" spans="2:16">
      <c r="B42" s="4" t="s">
        <v>1080</v>
      </c>
      <c r="C42" s="2">
        <v>26600</v>
      </c>
      <c r="D42" s="2">
        <v>14690</v>
      </c>
      <c r="E42" s="2">
        <v>11382</v>
      </c>
      <c r="F42" s="2">
        <v>1373</v>
      </c>
      <c r="G42" s="2">
        <v>942</v>
      </c>
      <c r="H42" s="2">
        <v>1605</v>
      </c>
    </row>
    <row r="43" spans="2:16">
      <c r="B43" s="4" t="s">
        <v>1081</v>
      </c>
      <c r="C43" s="2">
        <v>33500</v>
      </c>
      <c r="D43" s="2">
        <v>12900</v>
      </c>
      <c r="E43" s="2">
        <v>10880</v>
      </c>
      <c r="F43" s="2">
        <v>406</v>
      </c>
      <c r="G43" s="2">
        <v>10</v>
      </c>
      <c r="H43" s="2">
        <v>611</v>
      </c>
    </row>
    <row r="44" spans="2:16">
      <c r="B44" s="4" t="s">
        <v>1082</v>
      </c>
      <c r="C44" s="2">
        <v>2000</v>
      </c>
      <c r="D44" s="2">
        <v>17200</v>
      </c>
      <c r="E44" s="2">
        <v>12853</v>
      </c>
      <c r="F44" s="2">
        <v>2123</v>
      </c>
      <c r="G44" s="2">
        <v>1641</v>
      </c>
      <c r="H44" s="2">
        <v>2521</v>
      </c>
    </row>
    <row r="45" spans="2:16">
      <c r="B45" s="4" t="s">
        <v>1083</v>
      </c>
      <c r="C45" s="2">
        <v>9500</v>
      </c>
      <c r="D45" s="2">
        <v>17300</v>
      </c>
      <c r="E45" s="2">
        <v>13714</v>
      </c>
      <c r="F45" s="2">
        <v>1351</v>
      </c>
      <c r="G45" s="2">
        <v>873</v>
      </c>
      <c r="H45" s="2">
        <v>2294</v>
      </c>
    </row>
    <row r="46" spans="2:16">
      <c r="B46" s="4" t="s">
        <v>1084</v>
      </c>
      <c r="C46" s="2">
        <v>950</v>
      </c>
      <c r="D46" s="2">
        <v>22400</v>
      </c>
      <c r="E46" s="2">
        <v>20376</v>
      </c>
      <c r="F46" s="2">
        <v>-553</v>
      </c>
      <c r="G46" s="2">
        <v>-1196</v>
      </c>
      <c r="H46" s="2">
        <v>4886</v>
      </c>
    </row>
    <row r="49" spans="2:8">
      <c r="B49" s="9" t="s">
        <v>426</v>
      </c>
    </row>
    <row r="50" spans="2:8" ht="28.5">
      <c r="B50" s="2" t="s">
        <v>1085</v>
      </c>
      <c r="C50" s="3" t="s">
        <v>1086</v>
      </c>
      <c r="D50" s="3" t="s">
        <v>1087</v>
      </c>
      <c r="E50" s="3" t="s">
        <v>1088</v>
      </c>
      <c r="F50" s="3" t="s">
        <v>1089</v>
      </c>
      <c r="G50" s="3" t="s">
        <v>1090</v>
      </c>
      <c r="H50" s="3" t="s">
        <v>1091</v>
      </c>
    </row>
    <row r="51" spans="2:8">
      <c r="B51" s="10" t="s">
        <v>1096</v>
      </c>
      <c r="C51" s="2">
        <v>35820</v>
      </c>
      <c r="D51" s="2">
        <v>3300</v>
      </c>
      <c r="E51" s="2">
        <f>2790+100</f>
        <v>2890</v>
      </c>
      <c r="F51" s="2">
        <f>164-100</f>
        <v>64</v>
      </c>
      <c r="G51" s="2">
        <f>24-100</f>
        <v>-76</v>
      </c>
      <c r="H51" s="2">
        <f>379-100</f>
        <v>279</v>
      </c>
    </row>
    <row r="52" spans="2:8">
      <c r="B52" s="10" t="s">
        <v>1079</v>
      </c>
      <c r="C52" s="2">
        <v>9450</v>
      </c>
      <c r="D52" s="2">
        <v>13000</v>
      </c>
      <c r="E52" s="2">
        <v>11259</v>
      </c>
      <c r="F52" s="2">
        <v>-523</v>
      </c>
      <c r="G52" s="2">
        <v>-894</v>
      </c>
      <c r="H52" s="2">
        <v>97</v>
      </c>
    </row>
    <row r="53" spans="2:8">
      <c r="B53" s="4" t="s">
        <v>1092</v>
      </c>
      <c r="C53" s="2">
        <v>20300</v>
      </c>
      <c r="D53" s="2">
        <v>7000</v>
      </c>
      <c r="E53" s="11">
        <f>5950+100</f>
        <v>6050</v>
      </c>
      <c r="F53" s="2">
        <f>-22-100</f>
        <v>-122</v>
      </c>
      <c r="G53" s="2">
        <f>-286-100</f>
        <v>-386</v>
      </c>
      <c r="H53" s="11">
        <f>781-100</f>
        <v>681</v>
      </c>
    </row>
    <row r="54" spans="2:8">
      <c r="B54" s="10" t="s">
        <v>1097</v>
      </c>
      <c r="C54" s="2">
        <v>51000</v>
      </c>
      <c r="D54" s="2">
        <v>4535</v>
      </c>
      <c r="E54" s="11">
        <f>3768+100</f>
        <v>3868</v>
      </c>
      <c r="F54" s="2">
        <f>-153-100</f>
        <v>-253</v>
      </c>
      <c r="G54" s="2">
        <f>-315-100</f>
        <v>-415</v>
      </c>
      <c r="H54" s="2">
        <f>421-100</f>
        <v>321</v>
      </c>
    </row>
  </sheetData>
  <customSheetViews>
    <customSheetView guid="{1683F931-F47D-47C0-A395-D48080DC7EE6}" showPageBreaks="1">
      <selection activeCell="B12" sqref="B12:H18"/>
      <pageMargins left="0.7" right="0.7" top="0.75" bottom="0.75" header="0.3" footer="0.3"/>
      <pageSetup paperSize="9" orientation="portrait" r:id="rId1"/>
    </customSheetView>
    <customSheetView guid="{43897816-D2F0-4C3D-8F57-E0039BD2296B}">
      <selection activeCell="C22" sqref="C22:H27"/>
      <pageMargins left="0.7" right="0.7" top="0.75" bottom="0.75" header="0.3" footer="0.3"/>
      <pageSetup paperSize="9" orientation="portrait" r:id="rId2"/>
    </customSheetView>
    <customSheetView guid="{849C46E5-4ED4-41B9-BDA9-A6465B9DA9C2}" topLeftCell="A22">
      <selection activeCell="J42" sqref="J42"/>
      <pageMargins left="0.7" right="0.7" top="0.75" bottom="0.75" header="0.3" footer="0.3"/>
      <pageSetup paperSize="9" orientation="portrait" r:id="rId3"/>
    </customSheetView>
    <customSheetView guid="{8C09BCDE-4B8A-4469-B3F2-7F4528A2E78D}" topLeftCell="A22">
      <selection activeCell="J42" sqref="J42"/>
      <pageMargins left="0.7" right="0.7" top="0.75" bottom="0.75" header="0.3" footer="0.3"/>
      <pageSetup paperSize="9" orientation="portrait" r:id="rId4"/>
    </customSheetView>
    <customSheetView guid="{F4EB51F4-FD23-4D5B-8072-1AF5D59D6686}" topLeftCell="A22">
      <selection activeCell="J42" sqref="J42"/>
      <pageMargins left="0.7" right="0.7" top="0.75" bottom="0.75" header="0.3" footer="0.3"/>
      <pageSetup paperSize="9" orientation="portrait" r:id="rId5"/>
    </customSheetView>
    <customSheetView guid="{D7BCFB76-2797-401D-A6F1-E020B5162DD4}">
      <selection activeCell="C22" sqref="C22:H27"/>
      <pageMargins left="0.7" right="0.7" top="0.75" bottom="0.75" header="0.3" footer="0.3"/>
      <pageSetup paperSize="9" orientation="portrait" r:id="rId6"/>
    </customSheetView>
    <customSheetView guid="{C9A88430-3808-49F4-8D86-BF8C70C55441}">
      <selection activeCell="B12" sqref="B12:H18"/>
      <pageMargins left="0.7" right="0.7" top="0.75" bottom="0.75" header="0.3" footer="0.3"/>
      <pageSetup paperSize="9" orientation="portrait" r:id="rId7"/>
    </customSheetView>
    <customSheetView guid="{E61FFED3-723E-484A-93A0-94E1A801AF06}">
      <selection activeCell="B12" sqref="B12:H18"/>
      <pageMargins left="0.7" right="0.7" top="0.75" bottom="0.75" header="0.3" footer="0.3"/>
      <pageSetup paperSize="9" orientation="portrait"/>
    </customSheetView>
    <customSheetView guid="{6B5CCA07-2BDD-4B8E-9E3C-2111BBA97430}">
      <selection activeCell="C22" sqref="C22:H27"/>
      <pageMargins left="0.7" right="0.7" top="0.75" bottom="0.75" header="0.3" footer="0.3"/>
      <pageSetup paperSize="9" orientation="portrait" r:id="rId8"/>
    </customSheetView>
    <customSheetView guid="{2F47A827-9643-4D8A-AC5D-6B09D79AACF9}">
      <selection activeCell="C22" sqref="C22:H27"/>
      <pageMargins left="0.7" right="0.7" top="0.75" bottom="0.75" header="0.3" footer="0.3"/>
      <pageSetup paperSize="9" orientation="portrait"/>
    </customSheetView>
    <customSheetView guid="{B37168A1-DBAB-4BDE-9F92-6261DCDF3D92}" topLeftCell="A37">
      <selection activeCell="C22" sqref="C22:H27"/>
      <pageMargins left="0.7" right="0.7" top="0.75" bottom="0.75" header="0.3" footer="0.3"/>
      <pageSetup paperSize="9" orientation="portrait"/>
    </customSheetView>
    <customSheetView guid="{AE0DD889-C13C-4059-8024-0F5B234827E9}">
      <selection activeCell="B12" sqref="B12:H18"/>
      <pageMargins left="0.7" right="0.7" top="0.75" bottom="0.75" header="0.3" footer="0.3"/>
      <pageSetup paperSize="9" orientation="portrait"/>
    </customSheetView>
    <customSheetView guid="{CCBBD9B0-4191-4D7A-9F7B-BAC044A49153}">
      <selection activeCell="C22" sqref="C22:H27"/>
      <pageMargins left="0.7" right="0.7" top="0.75" bottom="0.75" header="0.3" footer="0.3"/>
      <pageSetup paperSize="9" orientation="portrait"/>
    </customSheetView>
    <customSheetView guid="{F5F9735B-EE22-4AC6-B5AB-C856ED6C133D}">
      <selection activeCell="B12" sqref="B12:H18"/>
      <pageMargins left="0.7" right="0.7" top="0.75" bottom="0.75" header="0.3" footer="0.3"/>
      <pageSetup paperSize="9" orientation="portrait"/>
    </customSheetView>
    <customSheetView guid="{500C3980-ED13-4C97-96B1-955D50509B66}" topLeftCell="A10">
      <selection activeCell="D40" sqref="D40"/>
      <pageMargins left="0.7" right="0.7" top="0.75" bottom="0.75" header="0.3" footer="0.3"/>
      <pageSetup paperSize="9" orientation="portrait"/>
    </customSheetView>
    <customSheetView guid="{3B943BAF-34C7-494A-A071-85DE0891E5A1}">
      <selection activeCell="C22" sqref="C22:H27"/>
      <pageMargins left="0.7" right="0.7" top="0.75" bottom="0.75" header="0.3" footer="0.3"/>
      <pageSetup paperSize="9" orientation="portrait"/>
    </customSheetView>
    <customSheetView guid="{EEE4B3DA-ADF6-49CC-9873-068FE5927B92}">
      <selection activeCell="C22" sqref="C22:H27"/>
      <pageMargins left="0.7" right="0.7" top="0.75" bottom="0.75" header="0.3" footer="0.3"/>
      <pageSetup paperSize="9" orientation="portrait"/>
    </customSheetView>
    <customSheetView guid="{C52D0F53-4D1D-4D01-B833-260359FD02A5}" topLeftCell="A22">
      <selection activeCell="J42" sqref="J42"/>
      <pageMargins left="0.7" right="0.7" top="0.75" bottom="0.75" header="0.3" footer="0.3"/>
      <pageSetup paperSize="9" orientation="portrait"/>
    </customSheetView>
    <customSheetView guid="{6A1E79C9-91E3-4EEA-8ABB-4446083299EC}">
      <selection activeCell="B12" sqref="B12:H18"/>
      <pageMargins left="0.7" right="0.7" top="0.75" bottom="0.75" header="0.3" footer="0.3"/>
      <pageSetup paperSize="9" orientation="portrait"/>
    </customSheetView>
    <customSheetView guid="{8B80B510-C931-46B1-8591-DEA916D76593}">
      <selection activeCell="C22" sqref="C22:H27"/>
      <pageMargins left="0.7" right="0.7" top="0.75" bottom="0.75" header="0.3" footer="0.3"/>
      <pageSetup paperSize="9" orientation="portrait" r:id="rId9"/>
    </customSheetView>
    <customSheetView guid="{303A9D89-611D-4504-BCAA-071C53B021F7}">
      <selection activeCell="C22" sqref="C22:H27"/>
      <pageMargins left="0.7" right="0.7" top="0.75" bottom="0.75" header="0.3" footer="0.3"/>
      <pageSetup paperSize="9" orientation="portrait"/>
    </customSheetView>
    <customSheetView guid="{4583A87D-5DFF-47BD-849A-FA4AAF2B9CE3}">
      <selection activeCell="C22" sqref="C22:H27"/>
      <pageMargins left="0.7" right="0.7" top="0.75" bottom="0.75" header="0.3" footer="0.3"/>
      <pageSetup paperSize="9" orientation="portrait"/>
    </customSheetView>
    <customSheetView guid="{EA856AC2-CDFF-46B6-B0C4-30449DF132F4}">
      <selection activeCell="C22" sqref="C22:H27"/>
      <pageMargins left="0.7" right="0.7" top="0.75" bottom="0.75" header="0.3" footer="0.3"/>
      <pageSetup paperSize="9" orientation="portrait" r:id="rId10"/>
    </customSheetView>
    <customSheetView guid="{322A45A6-8B26-49B8-A4D9-EFB3C94A758D}">
      <selection activeCell="B12" sqref="B12:H18"/>
      <pageMargins left="0.7" right="0.7" top="0.75" bottom="0.75" header="0.3" footer="0.3"/>
      <pageSetup paperSize="9" orientation="portrait" r:id="rId11"/>
    </customSheetView>
  </customSheetViews>
  <phoneticPr fontId="133" type="noConversion"/>
  <pageMargins left="0.7" right="0.7" top="0.75" bottom="0.75" header="0.3" footer="0.3"/>
  <pageSetup paperSize="9" orientation="portrait"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46</vt:i4>
      </vt:variant>
      <vt:variant>
        <vt:lpstr>命名范围</vt:lpstr>
      </vt:variant>
      <vt:variant>
        <vt:i4>16</vt:i4>
      </vt:variant>
    </vt:vector>
  </HeadingPairs>
  <TitlesOfParts>
    <vt:vector size="62" baseType="lpstr">
      <vt:lpstr>@预测#概况#</vt:lpstr>
      <vt:lpstr>@预测#利润分析#</vt:lpstr>
      <vt:lpstr>新价格</vt:lpstr>
      <vt:lpstr>@预测#利润建议# </vt:lpstr>
      <vt:lpstr>@预测#经营利润#</vt:lpstr>
      <vt:lpstr>@预测#收入利润#</vt:lpstr>
      <vt:lpstr>@预测#股份关联价（打印）</vt:lpstr>
      <vt:lpstr>#需填写</vt:lpstr>
      <vt:lpstr>#产量数据</vt:lpstr>
      <vt:lpstr>#产值</vt:lpstr>
      <vt:lpstr>#税金</vt:lpstr>
      <vt:lpstr>#子分公司分析</vt:lpstr>
      <vt:lpstr>#现金流 (新)</vt:lpstr>
      <vt:lpstr>#存货</vt:lpstr>
      <vt:lpstr>#销量数据</vt:lpstr>
      <vt:lpstr>#母公司报表</vt:lpstr>
      <vt:lpstr>#经营概况</vt:lpstr>
      <vt:lpstr>#经营利润</vt:lpstr>
      <vt:lpstr>#利润建议</vt:lpstr>
      <vt:lpstr>报宝武</vt:lpstr>
      <vt:lpstr>#分板块利润分析</vt:lpstr>
      <vt:lpstr>@分析#利润分析#</vt:lpstr>
      <vt:lpstr>钢铁分析</vt:lpstr>
      <vt:lpstr>钢材数据</vt:lpstr>
      <vt:lpstr>还原市场价格</vt:lpstr>
      <vt:lpstr>#利润因素分析（ppt）</vt:lpstr>
      <vt:lpstr>#采购&amp;股份关联</vt:lpstr>
      <vt:lpstr>Sheet1</vt:lpstr>
      <vt:lpstr>收入汇总（沈力）</vt:lpstr>
      <vt:lpstr>利润汇总（沈力)</vt:lpstr>
      <vt:lpstr>收入（汇总）</vt:lpstr>
      <vt:lpstr>#收入完成情况</vt:lpstr>
      <vt:lpstr>收入（关联）</vt:lpstr>
      <vt:lpstr>收入（外部）</vt:lpstr>
      <vt:lpstr>利润（汇总）</vt:lpstr>
      <vt:lpstr>画图</vt:lpstr>
      <vt:lpstr>#投资情况</vt:lpstr>
      <vt:lpstr>#投资收益</vt:lpstr>
      <vt:lpstr>矿产品购销</vt:lpstr>
      <vt:lpstr>产品质量</vt:lpstr>
      <vt:lpstr>@产量打印#概况</vt:lpstr>
      <vt:lpstr>@产量打印#矿产品</vt:lpstr>
      <vt:lpstr>@产量打印#不锈钢</vt:lpstr>
      <vt:lpstr>@产量打印#钢</vt:lpstr>
      <vt:lpstr>@产量打印#材</vt:lpstr>
      <vt:lpstr>304盈亏</vt:lpstr>
      <vt:lpstr>'@分析#利润分析#'!_Hlk66891807</vt:lpstr>
      <vt:lpstr>'@分析#利润分析#'!_Hlk66977573</vt:lpstr>
      <vt:lpstr>'@分析#利润分析#'!_Hlk66983430</vt:lpstr>
      <vt:lpstr>'#经营概况'!Print_Area</vt:lpstr>
      <vt:lpstr>'#经营利润'!Print_Area</vt:lpstr>
      <vt:lpstr>'#利润因素分析（ppt）'!Print_Area</vt:lpstr>
      <vt:lpstr>'#母公司报表'!Print_Area</vt:lpstr>
      <vt:lpstr>'@产量打印#不锈钢'!Print_Area</vt:lpstr>
      <vt:lpstr>'@产量打印#材'!Print_Area</vt:lpstr>
      <vt:lpstr>'@产量打印#概况'!Print_Area</vt:lpstr>
      <vt:lpstr>'@产量打印#钢'!Print_Area</vt:lpstr>
      <vt:lpstr>'@产量打印#矿产品'!Print_Area</vt:lpstr>
      <vt:lpstr>'@预测#概况#'!Print_Area</vt:lpstr>
      <vt:lpstr>'@预测#股份关联价（打印）'!Print_Area</vt:lpstr>
      <vt:lpstr>Sheet1!Print_Area</vt:lpstr>
      <vt:lpstr>'收入（外部）'!Print_Area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Lixd</dc:creator>
  <cp:lastModifiedBy>牛学娟</cp:lastModifiedBy>
  <cp:lastPrinted>2021-09-03T12:34:20Z</cp:lastPrinted>
  <dcterms:created xsi:type="dcterms:W3CDTF">2015-06-05T18:19:00Z</dcterms:created>
  <dcterms:modified xsi:type="dcterms:W3CDTF">2021-09-16T06:22:27Z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